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ibhati\Desktop\Beauty Boutique\Paid Tracker\"/>
    </mc:Choice>
  </mc:AlternateContent>
  <bookViews>
    <workbookView xWindow="34065" yWindow="615" windowWidth="31860" windowHeight="19980" firstSheet="1" activeTab="4"/>
  </bookViews>
  <sheets>
    <sheet name="2016 YTD Overview" sheetId="1" r:id="rId1"/>
    <sheet name="By Period" sheetId="15" r:id="rId2"/>
    <sheet name="By Week" sheetId="14" r:id="rId3"/>
    <sheet name="Spend Tracker" sheetId="8" r:id="rId4"/>
    <sheet name="Search" sheetId="3" r:id="rId5"/>
    <sheet name="Affiliate" sheetId="4" r:id="rId6"/>
    <sheet name="Linkshare Sales" sheetId="11" r:id="rId7"/>
    <sheet name="Social - Promos" sheetId="5" r:id="rId8"/>
    <sheet name="Social - Remarketing" sheetId="12" r:id="rId9"/>
    <sheet name="Display - Promos" sheetId="6" r:id="rId10"/>
    <sheet name="Display - Remarketing" sheetId="13" r:id="rId11"/>
    <sheet name="Social Campaigns" sheetId="9" r:id="rId12"/>
    <sheet name="Social Audiences" sheetId="10" r:id="rId13"/>
  </sheets>
  <definedNames>
    <definedName name="_xlnm._FilterDatabase" localSheetId="5" hidden="1">Affiliate!$A$1:$AV$55</definedName>
    <definedName name="_xlnm._FilterDatabase" localSheetId="1" hidden="1">'By Period'!$A$2:$AF$14</definedName>
    <definedName name="_xlnm._FilterDatabase" localSheetId="2" hidden="1">'By Week'!$A$2:$AF$14</definedName>
    <definedName name="_xlnm._FilterDatabase" localSheetId="9" hidden="1">'Display - Promos'!$A$1:$AF$210</definedName>
    <definedName name="_xlnm._FilterDatabase" localSheetId="10" hidden="1">'Display - Remarketing'!$A$1:$AN$54</definedName>
    <definedName name="_xlnm._FilterDatabase" localSheetId="4" hidden="1">Search!$A$1:$AS$212</definedName>
    <definedName name="_xlnm._FilterDatabase" localSheetId="7" hidden="1">'Social - Promos'!$A$1:$AO$323</definedName>
    <definedName name="_xlnm._FilterDatabase" localSheetId="8" hidden="1">'Social - Remarketing'!$A$1:$BD$54</definedName>
    <definedName name="_xlnm._FilterDatabase" localSheetId="12" hidden="1">'Social Audiences'!$A$1:$W$94</definedName>
    <definedName name="_xlnm._FilterDatabase" localSheetId="11" hidden="1">'Social Campaigns'!$A$1:$V$10</definedName>
  </definedName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289" i="5" l="1"/>
  <c r="AL290" i="5"/>
  <c r="AL291" i="5"/>
  <c r="AL292" i="5"/>
  <c r="AL293" i="5"/>
  <c r="AL294" i="5"/>
  <c r="AL295" i="5"/>
  <c r="AL296" i="5"/>
  <c r="AL297" i="5"/>
  <c r="Z292" i="5"/>
  <c r="Z293" i="5"/>
  <c r="Z294" i="5"/>
  <c r="Z295" i="5"/>
  <c r="Z296" i="5"/>
  <c r="Z297" i="5"/>
  <c r="G296" i="5"/>
  <c r="AH297" i="5"/>
  <c r="Q297" i="5"/>
  <c r="AH296" i="5"/>
  <c r="N291" i="5"/>
  <c r="N292" i="5"/>
  <c r="N293" i="5"/>
  <c r="N294" i="5"/>
  <c r="N295" i="5"/>
  <c r="N296" i="5"/>
  <c r="Q292" i="5"/>
  <c r="Q293" i="5"/>
  <c r="Q294" i="5"/>
  <c r="Q295" i="5"/>
  <c r="Q296" i="5"/>
  <c r="J296" i="5"/>
  <c r="K298" i="5"/>
  <c r="N298" i="5"/>
  <c r="AN292" i="5"/>
  <c r="AN293" i="5"/>
  <c r="AN294" i="5"/>
  <c r="AN295" i="5"/>
  <c r="AK292" i="5"/>
  <c r="AK293" i="5"/>
  <c r="AK294" i="5"/>
  <c r="AK295" i="5"/>
  <c r="AH292" i="5"/>
  <c r="AH293" i="5"/>
  <c r="AH294" i="5"/>
  <c r="AH295" i="5"/>
  <c r="AE292" i="5"/>
  <c r="AE293" i="5"/>
  <c r="AE294" i="5"/>
  <c r="AE295" i="5"/>
  <c r="AB292" i="5"/>
  <c r="AB293" i="5"/>
  <c r="AB294" i="5"/>
  <c r="AB295" i="5"/>
  <c r="Y292" i="5"/>
  <c r="Y293" i="5"/>
  <c r="Y294" i="5"/>
  <c r="Y295" i="5"/>
  <c r="V292" i="5"/>
  <c r="V293" i="5"/>
  <c r="V294" i="5"/>
  <c r="V295" i="5"/>
  <c r="S292" i="5"/>
  <c r="S293" i="5"/>
  <c r="S294" i="5"/>
  <c r="S295" i="5"/>
  <c r="O292" i="5"/>
  <c r="O293" i="5"/>
  <c r="O294" i="5"/>
  <c r="O295" i="5"/>
  <c r="P292" i="5"/>
  <c r="P293" i="5"/>
  <c r="P294" i="5"/>
  <c r="P295" i="5"/>
  <c r="M292" i="5"/>
  <c r="M293" i="5"/>
  <c r="M294" i="5"/>
  <c r="M295" i="5"/>
  <c r="J292" i="5"/>
  <c r="J293" i="5"/>
  <c r="J294" i="5"/>
  <c r="J295" i="5"/>
  <c r="G292" i="5"/>
  <c r="G293" i="5"/>
  <c r="G294" i="5"/>
  <c r="G295" i="5"/>
  <c r="N289" i="5"/>
  <c r="N290" i="5"/>
  <c r="AF49" i="12"/>
  <c r="AI49" i="12"/>
  <c r="AK191" i="3"/>
  <c r="AG191" i="3"/>
  <c r="I191" i="3"/>
  <c r="I193" i="3"/>
  <c r="AV49" i="12"/>
  <c r="AY49" i="12"/>
  <c r="Y193" i="3"/>
  <c r="AC193" i="3"/>
  <c r="AO193" i="3"/>
  <c r="M193" i="3"/>
  <c r="AV48" i="12"/>
  <c r="AY48" i="12"/>
  <c r="AF48" i="12"/>
  <c r="AI48" i="12"/>
  <c r="Y284" i="5"/>
  <c r="Q285" i="5"/>
  <c r="Q284" i="5"/>
  <c r="N284" i="5"/>
  <c r="AH284" i="5"/>
  <c r="AH285" i="5"/>
  <c r="AE284" i="5"/>
  <c r="AE285" i="5"/>
  <c r="AK284" i="5"/>
  <c r="AL284" i="5"/>
  <c r="AM284" i="5"/>
  <c r="AN284" i="5"/>
  <c r="AK285" i="5"/>
  <c r="AL285" i="5"/>
  <c r="AM285" i="5"/>
  <c r="AN285" i="5"/>
  <c r="Z284" i="5"/>
  <c r="AA284" i="5"/>
  <c r="AB284" i="5"/>
  <c r="Z285" i="5"/>
  <c r="AA285" i="5"/>
  <c r="AB285" i="5"/>
  <c r="Z286" i="5"/>
  <c r="AA286" i="5"/>
  <c r="AB286" i="5"/>
  <c r="V285" i="5"/>
  <c r="V284" i="5"/>
  <c r="R284" i="5"/>
  <c r="S284" i="5"/>
  <c r="R285" i="5"/>
  <c r="S285" i="5"/>
  <c r="O284" i="5"/>
  <c r="O285" i="5"/>
  <c r="P284" i="5"/>
  <c r="P285" i="5"/>
  <c r="M284" i="5"/>
  <c r="M285" i="5"/>
  <c r="K286" i="5"/>
  <c r="L286" i="5"/>
  <c r="M286" i="5"/>
  <c r="J284" i="5"/>
  <c r="J285" i="5"/>
  <c r="G284" i="5"/>
  <c r="G285" i="5"/>
  <c r="N282" i="5"/>
  <c r="N283" i="5"/>
  <c r="N281" i="5"/>
  <c r="N280" i="5"/>
  <c r="J283" i="5"/>
  <c r="J286" i="5"/>
  <c r="G283" i="5"/>
  <c r="V283" i="5"/>
  <c r="Q283" i="5"/>
  <c r="R283" i="5"/>
  <c r="S283" i="5"/>
  <c r="Q282" i="5"/>
  <c r="L282" i="5"/>
  <c r="R282" i="5"/>
  <c r="S282" i="5"/>
  <c r="M283" i="5"/>
  <c r="O283" i="5"/>
  <c r="P283" i="5"/>
  <c r="Z283" i="5"/>
  <c r="AA283" i="5"/>
  <c r="AE283" i="5"/>
  <c r="AB283" i="5"/>
  <c r="Y283" i="5"/>
  <c r="AM283" i="5"/>
  <c r="AL283" i="5"/>
  <c r="AN283" i="5"/>
  <c r="AM286" i="5"/>
  <c r="AL286" i="5"/>
  <c r="AN286" i="5"/>
  <c r="AK283" i="5"/>
  <c r="AH283" i="5"/>
  <c r="Y189" i="3"/>
  <c r="AC189" i="3"/>
  <c r="M189" i="3"/>
  <c r="AO189" i="3"/>
  <c r="AY42" i="12"/>
  <c r="AX42" i="12"/>
  <c r="AV47" i="12"/>
  <c r="AV43" i="12"/>
  <c r="AV44" i="12"/>
  <c r="AV45" i="12"/>
  <c r="AX45" i="12"/>
  <c r="AV46" i="12"/>
  <c r="AY46" i="12"/>
  <c r="AV42" i="12"/>
  <c r="AX43" i="12"/>
  <c r="AY47" i="12"/>
  <c r="AY45" i="12"/>
  <c r="AY44" i="12"/>
  <c r="AX44" i="12"/>
  <c r="AY43" i="12"/>
  <c r="AI44" i="12"/>
  <c r="AI45" i="12"/>
  <c r="AI46" i="12"/>
  <c r="AI47" i="12"/>
  <c r="AI43" i="12"/>
  <c r="AH44" i="12"/>
  <c r="AH45" i="12"/>
  <c r="AH46" i="12"/>
  <c r="AH47" i="12"/>
  <c r="AH43" i="12"/>
  <c r="AF43" i="12"/>
  <c r="AF44" i="12"/>
  <c r="AF45" i="12"/>
  <c r="AF46" i="12"/>
  <c r="AF47" i="12"/>
  <c r="AF42" i="12"/>
  <c r="K276" i="5"/>
  <c r="K277" i="5"/>
  <c r="K273" i="5"/>
  <c r="K272" i="5"/>
  <c r="M177" i="3"/>
  <c r="Y185" i="3"/>
  <c r="AN47" i="4"/>
  <c r="AC185" i="3"/>
  <c r="AO185" i="3"/>
  <c r="M185" i="3"/>
  <c r="I183" i="3"/>
  <c r="AK183" i="3"/>
  <c r="AG183" i="3"/>
  <c r="AX47" i="12"/>
  <c r="AX46" i="12"/>
  <c r="Y181" i="3"/>
  <c r="AC181" i="3"/>
  <c r="AK179" i="3"/>
  <c r="AG179" i="3"/>
  <c r="I179" i="3"/>
  <c r="M181" i="3"/>
  <c r="AO181" i="3"/>
  <c r="Y177" i="3"/>
  <c r="AC177" i="3"/>
  <c r="AK175" i="3"/>
  <c r="AG175" i="3"/>
  <c r="I175" i="3"/>
  <c r="AO177" i="3"/>
  <c r="H44" i="12"/>
  <c r="AO173" i="3"/>
  <c r="Y173" i="3"/>
  <c r="M173" i="3"/>
  <c r="AC173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Y169" i="3"/>
  <c r="AC169" i="3"/>
  <c r="AK167" i="3"/>
  <c r="AG167" i="3"/>
  <c r="I167" i="3"/>
  <c r="AO169" i="3"/>
  <c r="M169" i="3"/>
  <c r="H55" i="4"/>
  <c r="Y165" i="3"/>
  <c r="AC165" i="3"/>
  <c r="AK163" i="3"/>
  <c r="AG163" i="3"/>
  <c r="I164" i="3"/>
  <c r="I163" i="3"/>
  <c r="AO165" i="3"/>
  <c r="M165" i="3"/>
  <c r="V79" i="10"/>
  <c r="V78" i="10"/>
  <c r="V77" i="10"/>
  <c r="V76" i="10"/>
  <c r="V75" i="10"/>
  <c r="R75" i="10"/>
  <c r="S75" i="10"/>
  <c r="R76" i="10"/>
  <c r="S76" i="10"/>
  <c r="R77" i="10"/>
  <c r="S77" i="10"/>
  <c r="R78" i="10"/>
  <c r="S78" i="10"/>
  <c r="R79" i="10"/>
  <c r="S79" i="10"/>
  <c r="O75" i="10"/>
  <c r="P75" i="10"/>
  <c r="O76" i="10"/>
  <c r="P76" i="10"/>
  <c r="O77" i="10"/>
  <c r="P77" i="10"/>
  <c r="O78" i="10"/>
  <c r="P78" i="10"/>
  <c r="O79" i="10"/>
  <c r="P79" i="10"/>
  <c r="K75" i="10"/>
  <c r="J75" i="10"/>
  <c r="H75" i="10"/>
  <c r="L75" i="10"/>
  <c r="K76" i="10"/>
  <c r="J76" i="10"/>
  <c r="H76" i="10"/>
  <c r="L76" i="10"/>
  <c r="K77" i="10"/>
  <c r="J77" i="10"/>
  <c r="H77" i="10"/>
  <c r="L77" i="10"/>
  <c r="K78" i="10"/>
  <c r="J78" i="10"/>
  <c r="H78" i="10"/>
  <c r="L78" i="10"/>
  <c r="K79" i="10"/>
  <c r="J79" i="10"/>
  <c r="H79" i="10"/>
  <c r="L79" i="10"/>
  <c r="N11" i="9"/>
  <c r="O11" i="9"/>
  <c r="R11" i="9"/>
  <c r="U11" i="9"/>
  <c r="Q11" i="9"/>
  <c r="I11" i="9"/>
  <c r="G11" i="9"/>
  <c r="K11" i="9"/>
  <c r="J11" i="9"/>
  <c r="Y161" i="3"/>
  <c r="AC161" i="3"/>
  <c r="AO161" i="3"/>
  <c r="M161" i="3"/>
  <c r="AK159" i="3"/>
  <c r="AG159" i="3"/>
  <c r="I159" i="3"/>
  <c r="AK111" i="3"/>
  <c r="AK110" i="3"/>
  <c r="AK107" i="3"/>
  <c r="AK106" i="3"/>
  <c r="AM110" i="3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P92" i="10"/>
  <c r="P81" i="10"/>
  <c r="P82" i="10"/>
  <c r="P83" i="10"/>
  <c r="P84" i="10"/>
  <c r="P85" i="10"/>
  <c r="P86" i="10"/>
  <c r="P87" i="10"/>
  <c r="P88" i="10"/>
  <c r="P89" i="10"/>
  <c r="P90" i="10"/>
  <c r="P91" i="10"/>
  <c r="P80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K80" i="10"/>
  <c r="J80" i="10"/>
  <c r="H80" i="10"/>
  <c r="L80" i="10"/>
  <c r="K81" i="10"/>
  <c r="K82" i="10"/>
  <c r="K83" i="10"/>
  <c r="K84" i="10"/>
  <c r="J84" i="10"/>
  <c r="H84" i="10"/>
  <c r="L84" i="10"/>
  <c r="K85" i="10"/>
  <c r="K86" i="10"/>
  <c r="K87" i="10"/>
  <c r="K88" i="10"/>
  <c r="J88" i="10"/>
  <c r="H88" i="10"/>
  <c r="L88" i="10"/>
  <c r="K89" i="10"/>
  <c r="K90" i="10"/>
  <c r="K91" i="10"/>
  <c r="K92" i="10"/>
  <c r="J92" i="10"/>
  <c r="H92" i="10"/>
  <c r="L92" i="10"/>
  <c r="J81" i="10"/>
  <c r="J82" i="10"/>
  <c r="J83" i="10"/>
  <c r="H83" i="10"/>
  <c r="L83" i="10"/>
  <c r="J85" i="10"/>
  <c r="J86" i="10"/>
  <c r="J87" i="10"/>
  <c r="H87" i="10"/>
  <c r="L87" i="10"/>
  <c r="J89" i="10"/>
  <c r="J90" i="10"/>
  <c r="J91" i="10"/>
  <c r="H91" i="10"/>
  <c r="L91" i="10"/>
  <c r="H81" i="10"/>
  <c r="L81" i="10"/>
  <c r="H82" i="10"/>
  <c r="L82" i="10"/>
  <c r="H85" i="10"/>
  <c r="L85" i="10"/>
  <c r="H86" i="10"/>
  <c r="L86" i="10"/>
  <c r="H89" i="10"/>
  <c r="L89" i="10"/>
  <c r="H90" i="10"/>
  <c r="L90" i="10"/>
  <c r="R12" i="9"/>
  <c r="U12" i="9"/>
  <c r="Q12" i="9"/>
  <c r="N12" i="9"/>
  <c r="O12" i="9"/>
  <c r="I12" i="9"/>
  <c r="G12" i="9"/>
  <c r="K12" i="9"/>
  <c r="J12" i="9"/>
  <c r="Y157" i="3"/>
  <c r="AC157" i="3"/>
  <c r="AK3" i="3"/>
  <c r="AK4" i="3"/>
  <c r="AK2" i="3"/>
  <c r="AL194" i="3"/>
  <c r="AM2" i="3"/>
  <c r="AK155" i="3"/>
  <c r="AK151" i="3"/>
  <c r="AM155" i="3"/>
  <c r="AG155" i="3"/>
  <c r="I155" i="3"/>
  <c r="AO157" i="3"/>
  <c r="M157" i="3"/>
  <c r="B4" i="14"/>
  <c r="B5" i="14"/>
  <c r="B6" i="14"/>
  <c r="E4" i="14"/>
  <c r="E5" i="14"/>
  <c r="E6" i="14"/>
  <c r="AO153" i="3"/>
  <c r="M153" i="3"/>
  <c r="Y153" i="3"/>
  <c r="AC153" i="3"/>
  <c r="AG151" i="3"/>
  <c r="I151" i="3"/>
  <c r="C39" i="11"/>
  <c r="M149" i="3"/>
  <c r="M145" i="3"/>
  <c r="E2" i="3"/>
  <c r="I3" i="3"/>
  <c r="I4" i="3"/>
  <c r="I2" i="3"/>
  <c r="M2" i="3"/>
  <c r="AA162" i="6"/>
  <c r="AD12" i="14"/>
  <c r="X162" i="6"/>
  <c r="AA12" i="14"/>
  <c r="R162" i="6"/>
  <c r="O12" i="14"/>
  <c r="O162" i="6"/>
  <c r="L12" i="14"/>
  <c r="N146" i="6"/>
  <c r="I146" i="6"/>
  <c r="I162" i="6"/>
  <c r="F12" i="14"/>
  <c r="H154" i="6"/>
  <c r="F162" i="6"/>
  <c r="C12" i="14"/>
  <c r="E154" i="6"/>
  <c r="E146" i="6"/>
  <c r="K13" i="14"/>
  <c r="B7" i="14"/>
  <c r="Y149" i="3"/>
  <c r="AC149" i="3"/>
  <c r="I148" i="3"/>
  <c r="I147" i="3"/>
  <c r="AK148" i="3"/>
  <c r="AK147" i="3"/>
  <c r="AG148" i="3"/>
  <c r="AG147" i="3"/>
  <c r="AO149" i="3"/>
  <c r="AD169" i="15"/>
  <c r="AA194" i="6"/>
  <c r="AA198" i="6"/>
  <c r="AA202" i="6"/>
  <c r="AA206" i="6"/>
  <c r="AD168" i="15"/>
  <c r="AD166" i="15"/>
  <c r="AJ299" i="5"/>
  <c r="AJ305" i="5"/>
  <c r="AJ311" i="5"/>
  <c r="AJ317" i="5"/>
  <c r="AD165" i="15"/>
  <c r="AD164" i="15"/>
  <c r="AD162" i="15"/>
  <c r="AL199" i="3"/>
  <c r="AL203" i="3"/>
  <c r="AL207" i="3"/>
  <c r="AD160" i="15"/>
  <c r="AD159" i="15"/>
  <c r="AL200" i="3"/>
  <c r="AL204" i="3"/>
  <c r="AL208" i="3"/>
  <c r="AD161" i="15"/>
  <c r="AD167" i="15"/>
  <c r="AD156" i="15"/>
  <c r="AD155" i="15"/>
  <c r="AD153" i="15"/>
  <c r="AD152" i="15"/>
  <c r="AD151" i="15"/>
  <c r="AD149" i="15"/>
  <c r="AD148" i="15"/>
  <c r="AD147" i="15"/>
  <c r="AD146" i="15"/>
  <c r="AD154" i="15"/>
  <c r="AC169" i="15"/>
  <c r="Z194" i="6"/>
  <c r="Z198" i="6"/>
  <c r="Z202" i="6"/>
  <c r="Z206" i="6"/>
  <c r="AC168" i="15"/>
  <c r="AC167" i="15"/>
  <c r="AE167" i="15"/>
  <c r="AC166" i="15"/>
  <c r="AI299" i="5"/>
  <c r="AI305" i="5"/>
  <c r="AI311" i="5"/>
  <c r="AI317" i="5"/>
  <c r="AC165" i="15"/>
  <c r="AC164" i="15"/>
  <c r="AC162" i="15"/>
  <c r="AC161" i="15"/>
  <c r="AC160" i="15"/>
  <c r="AA169" i="15"/>
  <c r="X194" i="6"/>
  <c r="X198" i="6"/>
  <c r="X202" i="6"/>
  <c r="X206" i="6"/>
  <c r="AA168" i="15"/>
  <c r="AA166" i="15"/>
  <c r="AG299" i="5"/>
  <c r="AG305" i="5"/>
  <c r="AG311" i="5"/>
  <c r="AG317" i="5"/>
  <c r="AA165" i="15"/>
  <c r="AA162" i="15"/>
  <c r="AH200" i="3"/>
  <c r="AH204" i="3"/>
  <c r="AH208" i="3"/>
  <c r="AA161" i="15"/>
  <c r="AH199" i="3"/>
  <c r="AH203" i="3"/>
  <c r="AH207" i="3"/>
  <c r="AA160" i="15"/>
  <c r="AA159" i="15"/>
  <c r="Z169" i="15"/>
  <c r="W194" i="6"/>
  <c r="W198" i="6"/>
  <c r="W202" i="6"/>
  <c r="W206" i="6"/>
  <c r="Z168" i="15"/>
  <c r="Z167" i="15"/>
  <c r="Z166" i="15"/>
  <c r="AF299" i="5"/>
  <c r="AF305" i="5"/>
  <c r="AF311" i="5"/>
  <c r="AF317" i="5"/>
  <c r="Z165" i="15"/>
  <c r="AB165" i="15"/>
  <c r="AA164" i="15"/>
  <c r="Z162" i="15"/>
  <c r="AB162" i="15"/>
  <c r="Z161" i="15"/>
  <c r="Z160" i="15"/>
  <c r="AB160" i="15"/>
  <c r="AA167" i="15"/>
  <c r="AC156" i="15"/>
  <c r="Z178" i="6"/>
  <c r="Z182" i="6"/>
  <c r="Z186" i="6"/>
  <c r="Z190" i="6"/>
  <c r="AC155" i="15"/>
  <c r="AC154" i="15"/>
  <c r="AE154" i="15"/>
  <c r="AC143" i="15"/>
  <c r="Z162" i="6"/>
  <c r="Z166" i="6"/>
  <c r="Z170" i="6"/>
  <c r="Z174" i="6"/>
  <c r="AC142" i="15"/>
  <c r="AC140" i="15"/>
  <c r="Z140" i="15"/>
  <c r="AA140" i="15"/>
  <c r="AG242" i="5"/>
  <c r="AG248" i="5"/>
  <c r="AG254" i="5"/>
  <c r="AG260" i="5"/>
  <c r="AA139" i="15"/>
  <c r="AA138" i="15"/>
  <c r="AA144" i="15"/>
  <c r="AD140" i="15"/>
  <c r="AJ242" i="5"/>
  <c r="AJ248" i="5"/>
  <c r="AJ254" i="5"/>
  <c r="AJ260" i="5"/>
  <c r="AD139" i="15"/>
  <c r="AD138" i="15"/>
  <c r="AI242" i="5"/>
  <c r="AI248" i="5"/>
  <c r="AI254" i="5"/>
  <c r="AI260" i="5"/>
  <c r="AC139" i="15"/>
  <c r="AC153" i="15"/>
  <c r="AI266" i="5"/>
  <c r="AI272" i="5"/>
  <c r="AI278" i="5"/>
  <c r="AI287" i="5"/>
  <c r="AC152" i="15"/>
  <c r="AE152" i="15"/>
  <c r="AC149" i="15"/>
  <c r="AE149" i="15"/>
  <c r="AC148" i="15"/>
  <c r="AC147" i="15"/>
  <c r="AE147" i="15"/>
  <c r="AH179" i="3"/>
  <c r="AH183" i="3"/>
  <c r="AH187" i="3"/>
  <c r="AH191" i="3"/>
  <c r="AA147" i="15"/>
  <c r="AG147" i="15"/>
  <c r="AH180" i="3"/>
  <c r="AH184" i="3"/>
  <c r="AH188" i="3"/>
  <c r="AH192" i="3"/>
  <c r="AA148" i="15"/>
  <c r="AA149" i="15"/>
  <c r="AG266" i="5"/>
  <c r="AG272" i="5"/>
  <c r="AG278" i="5"/>
  <c r="AG287" i="5"/>
  <c r="AA152" i="15"/>
  <c r="AA153" i="15"/>
  <c r="X178" i="6"/>
  <c r="X182" i="6"/>
  <c r="X186" i="6"/>
  <c r="X190" i="6"/>
  <c r="AA155" i="15"/>
  <c r="AA156" i="15"/>
  <c r="Z156" i="15"/>
  <c r="W178" i="6"/>
  <c r="W182" i="6"/>
  <c r="W186" i="6"/>
  <c r="W190" i="6"/>
  <c r="Z155" i="15"/>
  <c r="Z153" i="15"/>
  <c r="AF266" i="5"/>
  <c r="AF272" i="5"/>
  <c r="AF278" i="5"/>
  <c r="AF287" i="5"/>
  <c r="Z152" i="15"/>
  <c r="AG152" i="15"/>
  <c r="Z149" i="15"/>
  <c r="AB149" i="15"/>
  <c r="Z148" i="15"/>
  <c r="Z147" i="15"/>
  <c r="AB147" i="15"/>
  <c r="AA154" i="15"/>
  <c r="Z154" i="15"/>
  <c r="AD143" i="15"/>
  <c r="AA166" i="6"/>
  <c r="AA170" i="6"/>
  <c r="AA174" i="6"/>
  <c r="AD142" i="15"/>
  <c r="AD136" i="15"/>
  <c r="AL164" i="3"/>
  <c r="AL168" i="3"/>
  <c r="AL172" i="3"/>
  <c r="AL176" i="3"/>
  <c r="AD135" i="15"/>
  <c r="AH164" i="3"/>
  <c r="AH168" i="3"/>
  <c r="AH172" i="3"/>
  <c r="AH176" i="3"/>
  <c r="AA135" i="15"/>
  <c r="AG135" i="15"/>
  <c r="AL163" i="3"/>
  <c r="AL167" i="3"/>
  <c r="AL171" i="3"/>
  <c r="AL175" i="3"/>
  <c r="AD134" i="15"/>
  <c r="AC136" i="15"/>
  <c r="AC135" i="15"/>
  <c r="AC134" i="15"/>
  <c r="AA143" i="15"/>
  <c r="X166" i="6"/>
  <c r="X170" i="6"/>
  <c r="X174" i="6"/>
  <c r="AA142" i="15"/>
  <c r="AA136" i="15"/>
  <c r="AH163" i="3"/>
  <c r="AH167" i="3"/>
  <c r="AH171" i="3"/>
  <c r="AH175" i="3"/>
  <c r="AA134" i="15"/>
  <c r="Z143" i="15"/>
  <c r="W162" i="6"/>
  <c r="W166" i="6"/>
  <c r="W170" i="6"/>
  <c r="W174" i="6"/>
  <c r="Z142" i="15"/>
  <c r="AF242" i="5"/>
  <c r="AF248" i="5"/>
  <c r="AF254" i="5"/>
  <c r="AF260" i="5"/>
  <c r="Z139" i="15"/>
  <c r="Z136" i="15"/>
  <c r="AB136" i="15"/>
  <c r="Z135" i="15"/>
  <c r="Z134" i="15"/>
  <c r="Z121" i="15"/>
  <c r="AD141" i="15"/>
  <c r="AC141" i="15"/>
  <c r="AA141" i="15"/>
  <c r="Z141" i="15"/>
  <c r="AD130" i="15"/>
  <c r="AA146" i="6"/>
  <c r="AA150" i="6"/>
  <c r="AA154" i="6"/>
  <c r="AA158" i="6"/>
  <c r="AD129" i="15"/>
  <c r="AD127" i="15"/>
  <c r="AJ218" i="5"/>
  <c r="AJ224" i="5"/>
  <c r="AJ230" i="5"/>
  <c r="AJ236" i="5"/>
  <c r="AD126" i="15"/>
  <c r="AD125" i="15"/>
  <c r="AD123" i="15"/>
  <c r="AL148" i="3"/>
  <c r="AL152" i="3"/>
  <c r="AL156" i="3"/>
  <c r="AL160" i="3"/>
  <c r="AD122" i="15"/>
  <c r="AL147" i="3"/>
  <c r="AL151" i="3"/>
  <c r="AL155" i="3"/>
  <c r="AL159" i="3"/>
  <c r="AD121" i="15"/>
  <c r="AD120" i="15"/>
  <c r="AD128" i="15"/>
  <c r="AC130" i="15"/>
  <c r="AC127" i="15"/>
  <c r="AI218" i="5"/>
  <c r="AI224" i="5"/>
  <c r="AI230" i="5"/>
  <c r="AI236" i="5"/>
  <c r="AC126" i="15"/>
  <c r="AF218" i="5"/>
  <c r="AF224" i="5"/>
  <c r="AF230" i="5"/>
  <c r="AF236" i="5"/>
  <c r="Z126" i="15"/>
  <c r="AF126" i="15"/>
  <c r="AG218" i="5"/>
  <c r="AG224" i="5"/>
  <c r="AG230" i="5"/>
  <c r="AG236" i="5"/>
  <c r="AA126" i="15"/>
  <c r="AG126" i="15"/>
  <c r="AH126" i="15"/>
  <c r="AC123" i="15"/>
  <c r="AE123" i="15"/>
  <c r="AC122" i="15"/>
  <c r="AC121" i="15"/>
  <c r="AA130" i="15"/>
  <c r="X146" i="6"/>
  <c r="X150" i="6"/>
  <c r="X154" i="6"/>
  <c r="X158" i="6"/>
  <c r="AA129" i="15"/>
  <c r="AA127" i="15"/>
  <c r="AA123" i="15"/>
  <c r="AH148" i="3"/>
  <c r="AH152" i="3"/>
  <c r="AH156" i="3"/>
  <c r="AH160" i="3"/>
  <c r="AA122" i="15"/>
  <c r="AH147" i="3"/>
  <c r="AH151" i="3"/>
  <c r="AH155" i="3"/>
  <c r="AH159" i="3"/>
  <c r="AA121" i="15"/>
  <c r="AG121" i="15"/>
  <c r="Z130" i="15"/>
  <c r="Z127" i="15"/>
  <c r="Z123" i="15"/>
  <c r="AB123" i="15"/>
  <c r="Z122" i="15"/>
  <c r="AB122" i="15"/>
  <c r="AA128" i="15"/>
  <c r="AD91" i="15"/>
  <c r="AA98" i="6"/>
  <c r="AA102" i="6"/>
  <c r="AA106" i="6"/>
  <c r="AA110" i="6"/>
  <c r="AD90" i="15"/>
  <c r="AD88" i="15"/>
  <c r="AJ146" i="5"/>
  <c r="AJ152" i="5"/>
  <c r="AJ158" i="5"/>
  <c r="AJ164" i="5"/>
  <c r="AD87" i="15"/>
  <c r="AD84" i="15"/>
  <c r="AL104" i="3"/>
  <c r="AL108" i="3"/>
  <c r="AL112" i="3"/>
  <c r="AD83" i="15"/>
  <c r="AL99" i="3"/>
  <c r="AL103" i="3"/>
  <c r="AL107" i="3"/>
  <c r="AL111" i="3"/>
  <c r="AD82" i="15"/>
  <c r="AC91" i="15"/>
  <c r="Z98" i="6"/>
  <c r="Z102" i="6"/>
  <c r="Z106" i="6"/>
  <c r="Z110" i="6"/>
  <c r="AC90" i="15"/>
  <c r="AC88" i="15"/>
  <c r="AI146" i="5"/>
  <c r="AI152" i="5"/>
  <c r="AI158" i="5"/>
  <c r="AI164" i="5"/>
  <c r="AC87" i="15"/>
  <c r="AE87" i="15"/>
  <c r="AC84" i="15"/>
  <c r="Z84" i="15"/>
  <c r="AF84" i="15"/>
  <c r="AH84" i="15"/>
  <c r="AC83" i="15"/>
  <c r="AK99" i="3"/>
  <c r="AK103" i="3"/>
  <c r="AC82" i="15"/>
  <c r="AA91" i="15"/>
  <c r="X98" i="6"/>
  <c r="X102" i="6"/>
  <c r="X106" i="6"/>
  <c r="X110" i="6"/>
  <c r="AA90" i="15"/>
  <c r="AA88" i="15"/>
  <c r="AG146" i="5"/>
  <c r="AG152" i="5"/>
  <c r="AG158" i="5"/>
  <c r="AG164" i="5"/>
  <c r="AA87" i="15"/>
  <c r="AA84" i="15"/>
  <c r="AG84" i="15"/>
  <c r="AH104" i="3"/>
  <c r="AH108" i="3"/>
  <c r="AH112" i="3"/>
  <c r="AA83" i="15"/>
  <c r="AH99" i="3"/>
  <c r="AH103" i="3"/>
  <c r="AH107" i="3"/>
  <c r="AH111" i="3"/>
  <c r="AA82" i="15"/>
  <c r="Z91" i="15"/>
  <c r="W98" i="6"/>
  <c r="W102" i="6"/>
  <c r="W106" i="6"/>
  <c r="W110" i="6"/>
  <c r="Z90" i="15"/>
  <c r="AF90" i="15"/>
  <c r="AG90" i="15"/>
  <c r="AH90" i="15"/>
  <c r="Z88" i="15"/>
  <c r="AF146" i="5"/>
  <c r="AF152" i="5"/>
  <c r="AF158" i="5"/>
  <c r="AF164" i="5"/>
  <c r="Z87" i="15"/>
  <c r="AB87" i="15"/>
  <c r="Z83" i="15"/>
  <c r="AG99" i="3"/>
  <c r="AG103" i="3"/>
  <c r="AG107" i="3"/>
  <c r="AG111" i="3"/>
  <c r="Z82" i="15"/>
  <c r="AD89" i="15"/>
  <c r="AC89" i="15"/>
  <c r="AD86" i="15"/>
  <c r="AD92" i="15"/>
  <c r="AA89" i="15"/>
  <c r="AD78" i="15"/>
  <c r="AA82" i="6"/>
  <c r="AA86" i="6"/>
  <c r="AA90" i="6"/>
  <c r="AA94" i="6"/>
  <c r="AD77" i="15"/>
  <c r="AD75" i="15"/>
  <c r="AJ122" i="5"/>
  <c r="AJ128" i="5"/>
  <c r="AJ134" i="5"/>
  <c r="AJ140" i="5"/>
  <c r="AD74" i="15"/>
  <c r="AD71" i="15"/>
  <c r="AD70" i="15"/>
  <c r="AA70" i="15"/>
  <c r="AG70" i="15"/>
  <c r="AL83" i="3"/>
  <c r="AL87" i="3"/>
  <c r="AL91" i="3"/>
  <c r="AL95" i="3"/>
  <c r="AD69" i="15"/>
  <c r="AC78" i="15"/>
  <c r="Z82" i="6"/>
  <c r="Z86" i="6"/>
  <c r="Z90" i="6"/>
  <c r="Z94" i="6"/>
  <c r="AC77" i="15"/>
  <c r="AC76" i="15"/>
  <c r="AD76" i="15"/>
  <c r="AE76" i="15"/>
  <c r="AC75" i="15"/>
  <c r="AE75" i="15"/>
  <c r="AI122" i="5"/>
  <c r="AI128" i="5"/>
  <c r="AI134" i="5"/>
  <c r="AI140" i="5"/>
  <c r="AC74" i="15"/>
  <c r="AE74" i="15"/>
  <c r="AC71" i="15"/>
  <c r="AE71" i="15"/>
  <c r="AC70" i="15"/>
  <c r="AE70" i="15"/>
  <c r="AK83" i="3"/>
  <c r="AK87" i="3"/>
  <c r="AK91" i="3"/>
  <c r="AK95" i="3"/>
  <c r="AC69" i="15"/>
  <c r="AE69" i="15"/>
  <c r="AA78" i="15"/>
  <c r="X82" i="6"/>
  <c r="X86" i="6"/>
  <c r="X90" i="6"/>
  <c r="X94" i="6"/>
  <c r="AA77" i="15"/>
  <c r="AA75" i="15"/>
  <c r="AG122" i="5"/>
  <c r="AG128" i="5"/>
  <c r="AG134" i="5"/>
  <c r="AG140" i="5"/>
  <c r="AA74" i="15"/>
  <c r="AA71" i="15"/>
  <c r="AG71" i="15"/>
  <c r="AH83" i="3"/>
  <c r="AH87" i="3"/>
  <c r="AH91" i="3"/>
  <c r="AH95" i="3"/>
  <c r="AA69" i="15"/>
  <c r="Z78" i="15"/>
  <c r="W82" i="6"/>
  <c r="W86" i="6"/>
  <c r="W90" i="6"/>
  <c r="W94" i="6"/>
  <c r="Z77" i="15"/>
  <c r="Z75" i="15"/>
  <c r="AF122" i="5"/>
  <c r="AF128" i="5"/>
  <c r="AF134" i="5"/>
  <c r="AF140" i="5"/>
  <c r="Z74" i="15"/>
  <c r="Z73" i="15"/>
  <c r="AA73" i="15"/>
  <c r="AB73" i="15"/>
  <c r="Z71" i="15"/>
  <c r="AB71" i="15"/>
  <c r="Z70" i="15"/>
  <c r="AG83" i="3"/>
  <c r="AG87" i="3"/>
  <c r="AG91" i="3"/>
  <c r="AG95" i="3"/>
  <c r="Z69" i="15"/>
  <c r="AB69" i="15"/>
  <c r="AA76" i="15"/>
  <c r="AD62" i="15"/>
  <c r="AJ98" i="5"/>
  <c r="AJ104" i="5"/>
  <c r="AJ110" i="5"/>
  <c r="AJ116" i="5"/>
  <c r="AD61" i="15"/>
  <c r="AD60" i="15"/>
  <c r="AD58" i="15"/>
  <c r="AL68" i="3"/>
  <c r="AL72" i="3"/>
  <c r="AL76" i="3"/>
  <c r="AL80" i="3"/>
  <c r="AD57" i="15"/>
  <c r="AL67" i="3"/>
  <c r="AL71" i="3"/>
  <c r="AL75" i="3"/>
  <c r="AL79" i="3"/>
  <c r="AD56" i="15"/>
  <c r="AA66" i="6"/>
  <c r="AA70" i="6"/>
  <c r="AA74" i="6"/>
  <c r="AA78" i="6"/>
  <c r="AD64" i="15"/>
  <c r="AD65" i="15"/>
  <c r="AC65" i="15"/>
  <c r="Z66" i="6"/>
  <c r="Z70" i="6"/>
  <c r="Z74" i="6"/>
  <c r="Z78" i="6"/>
  <c r="AC64" i="15"/>
  <c r="AC63" i="15"/>
  <c r="AD63" i="15"/>
  <c r="AE63" i="15"/>
  <c r="AC62" i="15"/>
  <c r="AE62" i="15"/>
  <c r="AI98" i="5"/>
  <c r="AI104" i="5"/>
  <c r="AI110" i="5"/>
  <c r="AI116" i="5"/>
  <c r="AC61" i="15"/>
  <c r="AF98" i="5"/>
  <c r="AF104" i="5"/>
  <c r="AF110" i="5"/>
  <c r="AF116" i="5"/>
  <c r="Z61" i="15"/>
  <c r="AF61" i="15"/>
  <c r="AG98" i="5"/>
  <c r="AG104" i="5"/>
  <c r="AG110" i="5"/>
  <c r="AG116" i="5"/>
  <c r="AA61" i="15"/>
  <c r="AG61" i="15"/>
  <c r="AH61" i="15"/>
  <c r="AC58" i="15"/>
  <c r="AE58" i="15"/>
  <c r="AC57" i="15"/>
  <c r="AE57" i="15"/>
  <c r="AK67" i="3"/>
  <c r="AK71" i="3"/>
  <c r="AK75" i="3"/>
  <c r="AK79" i="3"/>
  <c r="AC56" i="15"/>
  <c r="AE56" i="15"/>
  <c r="AH67" i="3"/>
  <c r="AH71" i="3"/>
  <c r="AH75" i="3"/>
  <c r="AH79" i="3"/>
  <c r="AA56" i="15"/>
  <c r="AH68" i="3"/>
  <c r="AH72" i="3"/>
  <c r="AH76" i="3"/>
  <c r="AH80" i="3"/>
  <c r="AA57" i="15"/>
  <c r="AA58" i="15"/>
  <c r="AA62" i="15"/>
  <c r="AA60" i="15"/>
  <c r="X66" i="6"/>
  <c r="X70" i="6"/>
  <c r="X74" i="6"/>
  <c r="X78" i="6"/>
  <c r="AA64" i="15"/>
  <c r="AA65" i="15"/>
  <c r="Z65" i="15"/>
  <c r="W66" i="6"/>
  <c r="W70" i="6"/>
  <c r="W74" i="6"/>
  <c r="W78" i="6"/>
  <c r="Z64" i="15"/>
  <c r="Z62" i="15"/>
  <c r="Z58" i="15"/>
  <c r="Z57" i="15"/>
  <c r="AG67" i="3"/>
  <c r="AG71" i="3"/>
  <c r="AG75" i="3"/>
  <c r="AG79" i="3"/>
  <c r="Z56" i="15"/>
  <c r="AA63" i="15"/>
  <c r="Z63" i="15"/>
  <c r="AD52" i="15"/>
  <c r="AA50" i="6"/>
  <c r="AA54" i="6"/>
  <c r="AA58" i="6"/>
  <c r="AA62" i="6"/>
  <c r="AD51" i="15"/>
  <c r="AD49" i="15"/>
  <c r="AJ74" i="5"/>
  <c r="AJ80" i="5"/>
  <c r="AJ86" i="5"/>
  <c r="AJ92" i="5"/>
  <c r="AD48" i="15"/>
  <c r="AD47" i="15"/>
  <c r="AD45" i="15"/>
  <c r="AL52" i="3"/>
  <c r="AL56" i="3"/>
  <c r="AL60" i="3"/>
  <c r="AL64" i="3"/>
  <c r="AD44" i="15"/>
  <c r="AL51" i="3"/>
  <c r="AL55" i="3"/>
  <c r="AL59" i="3"/>
  <c r="AL63" i="3"/>
  <c r="AD43" i="15"/>
  <c r="AD42" i="15"/>
  <c r="AC52" i="15"/>
  <c r="Z50" i="6"/>
  <c r="Z54" i="6"/>
  <c r="Z58" i="6"/>
  <c r="Z62" i="6"/>
  <c r="AC51" i="15"/>
  <c r="AE51" i="15"/>
  <c r="AC49" i="15"/>
  <c r="AI74" i="5"/>
  <c r="AI80" i="5"/>
  <c r="AI86" i="5"/>
  <c r="AI92" i="5"/>
  <c r="AC48" i="15"/>
  <c r="AE48" i="15"/>
  <c r="AC45" i="15"/>
  <c r="AE45" i="15"/>
  <c r="AK52" i="3"/>
  <c r="AC44" i="15"/>
  <c r="AK51" i="3"/>
  <c r="AK55" i="3"/>
  <c r="AK59" i="3"/>
  <c r="AK63" i="3"/>
  <c r="AC43" i="15"/>
  <c r="AA52" i="15"/>
  <c r="X50" i="6"/>
  <c r="X54" i="6"/>
  <c r="X58" i="6"/>
  <c r="X62" i="6"/>
  <c r="AA51" i="15"/>
  <c r="AA49" i="15"/>
  <c r="AG74" i="5"/>
  <c r="AG80" i="5"/>
  <c r="AG86" i="5"/>
  <c r="AG92" i="5"/>
  <c r="AA48" i="15"/>
  <c r="AA47" i="15"/>
  <c r="AA53" i="15"/>
  <c r="AA45" i="15"/>
  <c r="AH52" i="3"/>
  <c r="AH56" i="3"/>
  <c r="AH60" i="3"/>
  <c r="AH64" i="3"/>
  <c r="AA44" i="15"/>
  <c r="AG44" i="15"/>
  <c r="AH51" i="3"/>
  <c r="AH55" i="3"/>
  <c r="AH59" i="3"/>
  <c r="AH63" i="3"/>
  <c r="AA43" i="15"/>
  <c r="Z52" i="15"/>
  <c r="W50" i="6"/>
  <c r="W54" i="6"/>
  <c r="W58" i="6"/>
  <c r="W62" i="6"/>
  <c r="Z51" i="15"/>
  <c r="Z49" i="15"/>
  <c r="AF74" i="5"/>
  <c r="AF80" i="5"/>
  <c r="AF86" i="5"/>
  <c r="AF92" i="5"/>
  <c r="Z48" i="15"/>
  <c r="Z45" i="15"/>
  <c r="AB45" i="15"/>
  <c r="AG52" i="3"/>
  <c r="Z44" i="15"/>
  <c r="AG51" i="3"/>
  <c r="AG55" i="3"/>
  <c r="AG59" i="3"/>
  <c r="AG63" i="3"/>
  <c r="Z43" i="15"/>
  <c r="AB43" i="15"/>
  <c r="AD50" i="15"/>
  <c r="AA50" i="15"/>
  <c r="Z50" i="15"/>
  <c r="AD39" i="15"/>
  <c r="AA34" i="6"/>
  <c r="AA38" i="6"/>
  <c r="AA42" i="6"/>
  <c r="AA46" i="6"/>
  <c r="AD38" i="15"/>
  <c r="AD36" i="15"/>
  <c r="AJ50" i="5"/>
  <c r="AJ56" i="5"/>
  <c r="AJ62" i="5"/>
  <c r="AJ68" i="5"/>
  <c r="AD35" i="15"/>
  <c r="AD34" i="15"/>
  <c r="AD32" i="15"/>
  <c r="AL36" i="3"/>
  <c r="AL44" i="3"/>
  <c r="AL48" i="3"/>
  <c r="AD31" i="15"/>
  <c r="AL35" i="3"/>
  <c r="AL43" i="3"/>
  <c r="AL47" i="3"/>
  <c r="AD30" i="15"/>
  <c r="AC39" i="15"/>
  <c r="Z34" i="6"/>
  <c r="Z38" i="6"/>
  <c r="Z42" i="6"/>
  <c r="Z46" i="6"/>
  <c r="AC38" i="15"/>
  <c r="AC36" i="15"/>
  <c r="AI50" i="5"/>
  <c r="AI56" i="5"/>
  <c r="AI62" i="5"/>
  <c r="AI68" i="5"/>
  <c r="AC35" i="15"/>
  <c r="AE35" i="15"/>
  <c r="AC32" i="15"/>
  <c r="AE32" i="15"/>
  <c r="AK36" i="3"/>
  <c r="AK40" i="3"/>
  <c r="AK44" i="3"/>
  <c r="AK48" i="3"/>
  <c r="AC31" i="15"/>
  <c r="AE31" i="15"/>
  <c r="AK35" i="3"/>
  <c r="AK39" i="3"/>
  <c r="AK43" i="3"/>
  <c r="AK47" i="3"/>
  <c r="AC30" i="15"/>
  <c r="AE30" i="15"/>
  <c r="AA39" i="15"/>
  <c r="X34" i="6"/>
  <c r="X38" i="6"/>
  <c r="X42" i="6"/>
  <c r="X46" i="6"/>
  <c r="AA38" i="15"/>
  <c r="AA36" i="15"/>
  <c r="AG50" i="5"/>
  <c r="AG56" i="5"/>
  <c r="AG62" i="5"/>
  <c r="AG68" i="5"/>
  <c r="AA35" i="15"/>
  <c r="AA34" i="15"/>
  <c r="AA32" i="15"/>
  <c r="AH36" i="3"/>
  <c r="AH44" i="3"/>
  <c r="AH48" i="3"/>
  <c r="AA31" i="15"/>
  <c r="AH35" i="3"/>
  <c r="AH39" i="3"/>
  <c r="AH43" i="3"/>
  <c r="AH47" i="3"/>
  <c r="AA30" i="15"/>
  <c r="Z39" i="15"/>
  <c r="W34" i="6"/>
  <c r="W38" i="6"/>
  <c r="W42" i="6"/>
  <c r="W46" i="6"/>
  <c r="Z38" i="15"/>
  <c r="Z36" i="15"/>
  <c r="AF50" i="5"/>
  <c r="AF56" i="5"/>
  <c r="AF62" i="5"/>
  <c r="AF68" i="5"/>
  <c r="Z35" i="15"/>
  <c r="Z34" i="15"/>
  <c r="Z32" i="15"/>
  <c r="AG36" i="3"/>
  <c r="AG40" i="3"/>
  <c r="AG44" i="3"/>
  <c r="AG48" i="3"/>
  <c r="Z31" i="15"/>
  <c r="AB31" i="15"/>
  <c r="AG35" i="3"/>
  <c r="AG39" i="3"/>
  <c r="AG43" i="3"/>
  <c r="AG47" i="3"/>
  <c r="Z30" i="15"/>
  <c r="AD37" i="15"/>
  <c r="AC37" i="15"/>
  <c r="AE37" i="15"/>
  <c r="AA37" i="15"/>
  <c r="Z37" i="15"/>
  <c r="AD26" i="15"/>
  <c r="AA18" i="6"/>
  <c r="AA22" i="6"/>
  <c r="AA26" i="6"/>
  <c r="AA30" i="6"/>
  <c r="AD25" i="15"/>
  <c r="AD23" i="15"/>
  <c r="AJ26" i="5"/>
  <c r="AJ32" i="5"/>
  <c r="AJ38" i="5"/>
  <c r="AJ44" i="5"/>
  <c r="AD22" i="15"/>
  <c r="AD19" i="15"/>
  <c r="AA19" i="15"/>
  <c r="AG19" i="15"/>
  <c r="AL20" i="3"/>
  <c r="AL24" i="3"/>
  <c r="AL28" i="3"/>
  <c r="AL32" i="3"/>
  <c r="AD18" i="15"/>
  <c r="AL19" i="3"/>
  <c r="AL23" i="3"/>
  <c r="AL27" i="3"/>
  <c r="AL31" i="3"/>
  <c r="AD17" i="15"/>
  <c r="AC26" i="15"/>
  <c r="Z18" i="6"/>
  <c r="Z22" i="6"/>
  <c r="Z26" i="6"/>
  <c r="Z30" i="6"/>
  <c r="AC25" i="15"/>
  <c r="AC24" i="15"/>
  <c r="AD24" i="15"/>
  <c r="AE24" i="15"/>
  <c r="AC23" i="15"/>
  <c r="AE23" i="15"/>
  <c r="AI26" i="5"/>
  <c r="AI32" i="5"/>
  <c r="AI38" i="5"/>
  <c r="AI44" i="5"/>
  <c r="AC22" i="15"/>
  <c r="AF26" i="5"/>
  <c r="AF32" i="5"/>
  <c r="AF38" i="5"/>
  <c r="AF44" i="5"/>
  <c r="Z22" i="15"/>
  <c r="AF22" i="15"/>
  <c r="AG26" i="5"/>
  <c r="AG32" i="5"/>
  <c r="AG38" i="5"/>
  <c r="AG44" i="5"/>
  <c r="AA22" i="15"/>
  <c r="AG22" i="15"/>
  <c r="AH22" i="15"/>
  <c r="AC19" i="15"/>
  <c r="AE19" i="15"/>
  <c r="AK20" i="3"/>
  <c r="AK24" i="3"/>
  <c r="AK28" i="3"/>
  <c r="AK32" i="3"/>
  <c r="AC18" i="15"/>
  <c r="AE18" i="15"/>
  <c r="AK19" i="3"/>
  <c r="AK23" i="3"/>
  <c r="AK27" i="3"/>
  <c r="AK31" i="3"/>
  <c r="AC17" i="15"/>
  <c r="AA26" i="15"/>
  <c r="X18" i="6"/>
  <c r="X22" i="6"/>
  <c r="X26" i="6"/>
  <c r="X30" i="6"/>
  <c r="AA25" i="15"/>
  <c r="AA23" i="15"/>
  <c r="AA21" i="15"/>
  <c r="AH20" i="3"/>
  <c r="AH24" i="3"/>
  <c r="AH28" i="3"/>
  <c r="AH32" i="3"/>
  <c r="AA18" i="15"/>
  <c r="AH19" i="3"/>
  <c r="AH23" i="3"/>
  <c r="AH27" i="3"/>
  <c r="AH31" i="3"/>
  <c r="AA17" i="15"/>
  <c r="AG17" i="15"/>
  <c r="Z26" i="15"/>
  <c r="W18" i="6"/>
  <c r="W22" i="6"/>
  <c r="W26" i="6"/>
  <c r="W30" i="6"/>
  <c r="Z25" i="15"/>
  <c r="Z23" i="15"/>
  <c r="Z19" i="15"/>
  <c r="AG20" i="3"/>
  <c r="AG24" i="3"/>
  <c r="AG28" i="3"/>
  <c r="AG32" i="3"/>
  <c r="Z18" i="15"/>
  <c r="AG19" i="3"/>
  <c r="AG23" i="3"/>
  <c r="AG27" i="3"/>
  <c r="AG31" i="3"/>
  <c r="Z17" i="15"/>
  <c r="AB17" i="15"/>
  <c r="AA24" i="15"/>
  <c r="AD13" i="15"/>
  <c r="AC13" i="15"/>
  <c r="Z13" i="15"/>
  <c r="AA13" i="15"/>
  <c r="AA2" i="6"/>
  <c r="AA6" i="6"/>
  <c r="AA10" i="6"/>
  <c r="AA14" i="6"/>
  <c r="AD12" i="15"/>
  <c r="Z2" i="6"/>
  <c r="Z6" i="6"/>
  <c r="Z10" i="6"/>
  <c r="Z14" i="6"/>
  <c r="AC12" i="15"/>
  <c r="AE12" i="15"/>
  <c r="W2" i="6"/>
  <c r="W6" i="6"/>
  <c r="W10" i="6"/>
  <c r="W14" i="6"/>
  <c r="Z12" i="15"/>
  <c r="Z11" i="15"/>
  <c r="X2" i="6"/>
  <c r="X6" i="6"/>
  <c r="X10" i="6"/>
  <c r="X14" i="6"/>
  <c r="AA12" i="15"/>
  <c r="AC10" i="15"/>
  <c r="AD10" i="15"/>
  <c r="Z10" i="15"/>
  <c r="AA10" i="15"/>
  <c r="AG2" i="5"/>
  <c r="AG8" i="5"/>
  <c r="AG14" i="5"/>
  <c r="AG20" i="5"/>
  <c r="AA9" i="15"/>
  <c r="AA8" i="15"/>
  <c r="AA14" i="15"/>
  <c r="AJ2" i="5"/>
  <c r="AJ8" i="5"/>
  <c r="AJ14" i="5"/>
  <c r="AJ20" i="5"/>
  <c r="AD9" i="15"/>
  <c r="AI2" i="5"/>
  <c r="AI8" i="5"/>
  <c r="AI14" i="5"/>
  <c r="AI20" i="5"/>
  <c r="AC9" i="15"/>
  <c r="AE9" i="15"/>
  <c r="AF2" i="5"/>
  <c r="AF8" i="5"/>
  <c r="AF14" i="5"/>
  <c r="AF20" i="5"/>
  <c r="Z9" i="15"/>
  <c r="AD6" i="15"/>
  <c r="AC6" i="15"/>
  <c r="AE6" i="15"/>
  <c r="AK8" i="3"/>
  <c r="AK12" i="3"/>
  <c r="AK16" i="3"/>
  <c r="AC5" i="15"/>
  <c r="AK7" i="3"/>
  <c r="AK11" i="3"/>
  <c r="AK15" i="3"/>
  <c r="AC4" i="15"/>
  <c r="AD5" i="15"/>
  <c r="AA5" i="15"/>
  <c r="AG5" i="15"/>
  <c r="AD4" i="15"/>
  <c r="AA4" i="15"/>
  <c r="AA3" i="15"/>
  <c r="Z6" i="15"/>
  <c r="AG4" i="3"/>
  <c r="AG8" i="3"/>
  <c r="AG12" i="3"/>
  <c r="AG16" i="3"/>
  <c r="Z5" i="15"/>
  <c r="AB5" i="15"/>
  <c r="AG3" i="3"/>
  <c r="AG7" i="3"/>
  <c r="AG11" i="3"/>
  <c r="AG15" i="3"/>
  <c r="Z4" i="15"/>
  <c r="AB4" i="15"/>
  <c r="AA6" i="15"/>
  <c r="O169" i="15"/>
  <c r="R194" i="6"/>
  <c r="R198" i="6"/>
  <c r="R202" i="6"/>
  <c r="R206" i="6"/>
  <c r="O168" i="15"/>
  <c r="O166" i="15"/>
  <c r="X299" i="5"/>
  <c r="X305" i="5"/>
  <c r="X311" i="5"/>
  <c r="X317" i="5"/>
  <c r="O165" i="15"/>
  <c r="O164" i="15"/>
  <c r="O170" i="15"/>
  <c r="O163" i="15"/>
  <c r="O162" i="15"/>
  <c r="O160" i="15"/>
  <c r="O159" i="15"/>
  <c r="O161" i="15"/>
  <c r="N169" i="15"/>
  <c r="Q194" i="6"/>
  <c r="Q198" i="6"/>
  <c r="Q202" i="6"/>
  <c r="Q206" i="6"/>
  <c r="N168" i="15"/>
  <c r="P168" i="15"/>
  <c r="N166" i="15"/>
  <c r="W299" i="5"/>
  <c r="W305" i="5"/>
  <c r="W311" i="5"/>
  <c r="W317" i="5"/>
  <c r="N165" i="15"/>
  <c r="N163" i="15"/>
  <c r="P163" i="15"/>
  <c r="N162" i="15"/>
  <c r="P162" i="15"/>
  <c r="N161" i="15"/>
  <c r="N160" i="15"/>
  <c r="L169" i="15"/>
  <c r="O194" i="6"/>
  <c r="O198" i="6"/>
  <c r="O202" i="6"/>
  <c r="O206" i="6"/>
  <c r="L168" i="15"/>
  <c r="L166" i="15"/>
  <c r="U299" i="5"/>
  <c r="U305" i="5"/>
  <c r="U311" i="5"/>
  <c r="U317" i="5"/>
  <c r="L165" i="15"/>
  <c r="L163" i="15"/>
  <c r="L162" i="15"/>
  <c r="L161" i="15"/>
  <c r="L160" i="15"/>
  <c r="K169" i="15"/>
  <c r="N194" i="6"/>
  <c r="N198" i="6"/>
  <c r="N202" i="6"/>
  <c r="N206" i="6"/>
  <c r="K168" i="15"/>
  <c r="K167" i="15"/>
  <c r="K166" i="15"/>
  <c r="T299" i="5"/>
  <c r="T305" i="5"/>
  <c r="T311" i="5"/>
  <c r="T317" i="5"/>
  <c r="K165" i="15"/>
  <c r="K163" i="15"/>
  <c r="R163" i="15"/>
  <c r="K162" i="15"/>
  <c r="M162" i="15"/>
  <c r="K161" i="15"/>
  <c r="K160" i="15"/>
  <c r="O167" i="15"/>
  <c r="L167" i="15"/>
  <c r="O156" i="15"/>
  <c r="R178" i="6"/>
  <c r="R182" i="6"/>
  <c r="R186" i="6"/>
  <c r="R190" i="6"/>
  <c r="O155" i="15"/>
  <c r="O153" i="15"/>
  <c r="X266" i="5"/>
  <c r="X272" i="5"/>
  <c r="X278" i="5"/>
  <c r="X287" i="5"/>
  <c r="O152" i="15"/>
  <c r="O151" i="15"/>
  <c r="O150" i="15"/>
  <c r="O149" i="15"/>
  <c r="O147" i="15"/>
  <c r="O146" i="15"/>
  <c r="O148" i="15"/>
  <c r="O154" i="15"/>
  <c r="N156" i="15"/>
  <c r="Q178" i="6"/>
  <c r="Q182" i="6"/>
  <c r="Q186" i="6"/>
  <c r="Q190" i="6"/>
  <c r="N155" i="15"/>
  <c r="E178" i="6"/>
  <c r="E182" i="6"/>
  <c r="E186" i="6"/>
  <c r="E190" i="6"/>
  <c r="B155" i="15"/>
  <c r="W155" i="15"/>
  <c r="F178" i="6"/>
  <c r="F182" i="6"/>
  <c r="F186" i="6"/>
  <c r="F190" i="6"/>
  <c r="C155" i="15"/>
  <c r="X155" i="15"/>
  <c r="Y155" i="15"/>
  <c r="N153" i="15"/>
  <c r="W266" i="5"/>
  <c r="W272" i="5"/>
  <c r="W278" i="5"/>
  <c r="W287" i="5"/>
  <c r="N150" i="15"/>
  <c r="K150" i="15"/>
  <c r="Q150" i="15"/>
  <c r="S150" i="15"/>
  <c r="N149" i="15"/>
  <c r="N148" i="15"/>
  <c r="N147" i="15"/>
  <c r="L156" i="15"/>
  <c r="O178" i="6"/>
  <c r="O182" i="6"/>
  <c r="O186" i="6"/>
  <c r="O190" i="6"/>
  <c r="L155" i="15"/>
  <c r="L153" i="15"/>
  <c r="U266" i="5"/>
  <c r="U272" i="5"/>
  <c r="U278" i="5"/>
  <c r="U287" i="5"/>
  <c r="L152" i="15"/>
  <c r="L151" i="15"/>
  <c r="L150" i="15"/>
  <c r="L149" i="15"/>
  <c r="L148" i="15"/>
  <c r="L147" i="15"/>
  <c r="K156" i="15"/>
  <c r="N178" i="6"/>
  <c r="N182" i="6"/>
  <c r="N186" i="6"/>
  <c r="N190" i="6"/>
  <c r="K155" i="15"/>
  <c r="K154" i="15"/>
  <c r="K153" i="15"/>
  <c r="T266" i="5"/>
  <c r="T272" i="5"/>
  <c r="V272" i="5"/>
  <c r="T278" i="5"/>
  <c r="T287" i="5"/>
  <c r="K149" i="15"/>
  <c r="K148" i="15"/>
  <c r="M148" i="15"/>
  <c r="K147" i="15"/>
  <c r="M147" i="15"/>
  <c r="L154" i="15"/>
  <c r="O143" i="15"/>
  <c r="R166" i="6"/>
  <c r="R170" i="6"/>
  <c r="R174" i="6"/>
  <c r="O142" i="15"/>
  <c r="O140" i="15"/>
  <c r="X242" i="5"/>
  <c r="X248" i="5"/>
  <c r="X254" i="5"/>
  <c r="X260" i="5"/>
  <c r="O139" i="15"/>
  <c r="O138" i="15"/>
  <c r="O144" i="15"/>
  <c r="O137" i="15"/>
  <c r="O136" i="15"/>
  <c r="R136" i="15"/>
  <c r="O135" i="15"/>
  <c r="O134" i="15"/>
  <c r="N143" i="15"/>
  <c r="Q162" i="6"/>
  <c r="Q166" i="6"/>
  <c r="Q170" i="6"/>
  <c r="Q174" i="6"/>
  <c r="N142" i="15"/>
  <c r="H162" i="6"/>
  <c r="H166" i="6"/>
  <c r="H170" i="6"/>
  <c r="H174" i="6"/>
  <c r="E142" i="15"/>
  <c r="T142" i="15"/>
  <c r="I166" i="6"/>
  <c r="I170" i="6"/>
  <c r="I174" i="6"/>
  <c r="F142" i="15"/>
  <c r="U142" i="15"/>
  <c r="V142" i="15"/>
  <c r="N140" i="15"/>
  <c r="P140" i="15"/>
  <c r="N137" i="15"/>
  <c r="N136" i="15"/>
  <c r="N135" i="15"/>
  <c r="N134" i="15"/>
  <c r="P134" i="15"/>
  <c r="L143" i="15"/>
  <c r="O166" i="6"/>
  <c r="O170" i="6"/>
  <c r="O174" i="6"/>
  <c r="L142" i="15"/>
  <c r="L140" i="15"/>
  <c r="U242" i="5"/>
  <c r="U248" i="5"/>
  <c r="U254" i="5"/>
  <c r="U260" i="5"/>
  <c r="L139" i="15"/>
  <c r="L137" i="15"/>
  <c r="L136" i="15"/>
  <c r="L135" i="15"/>
  <c r="R135" i="15"/>
  <c r="R175" i="3"/>
  <c r="L134" i="15"/>
  <c r="K143" i="15"/>
  <c r="N162" i="6"/>
  <c r="N166" i="6"/>
  <c r="N170" i="6"/>
  <c r="N174" i="6"/>
  <c r="K142" i="15"/>
  <c r="K140" i="15"/>
  <c r="Q140" i="15"/>
  <c r="K137" i="15"/>
  <c r="M137" i="15"/>
  <c r="K136" i="15"/>
  <c r="M136" i="15"/>
  <c r="K135" i="15"/>
  <c r="K134" i="15"/>
  <c r="O141" i="15"/>
  <c r="N141" i="15"/>
  <c r="E162" i="6"/>
  <c r="E166" i="6"/>
  <c r="E170" i="6"/>
  <c r="E174" i="6"/>
  <c r="B142" i="15"/>
  <c r="B143" i="15"/>
  <c r="B141" i="15"/>
  <c r="W141" i="15"/>
  <c r="F166" i="6"/>
  <c r="F170" i="6"/>
  <c r="F174" i="6"/>
  <c r="C142" i="15"/>
  <c r="C143" i="15"/>
  <c r="C141" i="15"/>
  <c r="X141" i="15"/>
  <c r="Y141" i="15"/>
  <c r="L141" i="15"/>
  <c r="K141" i="15"/>
  <c r="O130" i="15"/>
  <c r="R146" i="6"/>
  <c r="R150" i="6"/>
  <c r="R154" i="6"/>
  <c r="R158" i="6"/>
  <c r="O129" i="15"/>
  <c r="O127" i="15"/>
  <c r="X218" i="5"/>
  <c r="X224" i="5"/>
  <c r="X230" i="5"/>
  <c r="X236" i="5"/>
  <c r="O126" i="15"/>
  <c r="O124" i="15"/>
  <c r="O123" i="15"/>
  <c r="O122" i="15"/>
  <c r="O121" i="15"/>
  <c r="R121" i="15"/>
  <c r="L130" i="15"/>
  <c r="O146" i="6"/>
  <c r="O150" i="6"/>
  <c r="O154" i="6"/>
  <c r="O158" i="6"/>
  <c r="L129" i="15"/>
  <c r="L127" i="15"/>
  <c r="U218" i="5"/>
  <c r="U224" i="5"/>
  <c r="U230" i="5"/>
  <c r="U236" i="5"/>
  <c r="L126" i="15"/>
  <c r="L125" i="15"/>
  <c r="L131" i="15"/>
  <c r="L124" i="15"/>
  <c r="L123" i="15"/>
  <c r="L122" i="15"/>
  <c r="R159" i="3"/>
  <c r="L121" i="15"/>
  <c r="N130" i="15"/>
  <c r="N127" i="15"/>
  <c r="P127" i="15"/>
  <c r="K127" i="15"/>
  <c r="W218" i="5"/>
  <c r="W224" i="5"/>
  <c r="W230" i="5"/>
  <c r="N124" i="15"/>
  <c r="P124" i="15"/>
  <c r="N123" i="15"/>
  <c r="P123" i="15"/>
  <c r="N122" i="15"/>
  <c r="N121" i="15"/>
  <c r="P121" i="15"/>
  <c r="K130" i="15"/>
  <c r="T218" i="5"/>
  <c r="T224" i="5"/>
  <c r="T230" i="5"/>
  <c r="K124" i="15"/>
  <c r="M124" i="15"/>
  <c r="K123" i="15"/>
  <c r="K122" i="15"/>
  <c r="K121" i="15"/>
  <c r="M121" i="15"/>
  <c r="O128" i="15"/>
  <c r="L128" i="15"/>
  <c r="O91" i="15"/>
  <c r="R98" i="6"/>
  <c r="R102" i="6"/>
  <c r="R106" i="6"/>
  <c r="R110" i="6"/>
  <c r="O90" i="15"/>
  <c r="O88" i="15"/>
  <c r="X146" i="5"/>
  <c r="X152" i="5"/>
  <c r="X158" i="5"/>
  <c r="X164" i="5"/>
  <c r="O87" i="15"/>
  <c r="O86" i="15"/>
  <c r="O85" i="15"/>
  <c r="O84" i="15"/>
  <c r="O82" i="15"/>
  <c r="O83" i="15"/>
  <c r="O81" i="15"/>
  <c r="O89" i="15"/>
  <c r="N91" i="15"/>
  <c r="Q98" i="6"/>
  <c r="Q102" i="6"/>
  <c r="Q106" i="6"/>
  <c r="Q110" i="6"/>
  <c r="N90" i="15"/>
  <c r="N89" i="15"/>
  <c r="N88" i="15"/>
  <c r="W146" i="5"/>
  <c r="W152" i="5"/>
  <c r="W158" i="5"/>
  <c r="W164" i="5"/>
  <c r="N87" i="15"/>
  <c r="P87" i="15"/>
  <c r="N85" i="15"/>
  <c r="P85" i="15"/>
  <c r="N84" i="15"/>
  <c r="N83" i="15"/>
  <c r="P83" i="15"/>
  <c r="N82" i="15"/>
  <c r="P82" i="15"/>
  <c r="L91" i="15"/>
  <c r="O98" i="6"/>
  <c r="O102" i="6"/>
  <c r="O106" i="6"/>
  <c r="O110" i="6"/>
  <c r="L90" i="15"/>
  <c r="L88" i="15"/>
  <c r="U146" i="5"/>
  <c r="U152" i="5"/>
  <c r="U158" i="5"/>
  <c r="U164" i="5"/>
  <c r="L87" i="15"/>
  <c r="L86" i="15"/>
  <c r="L92" i="15"/>
  <c r="U122" i="5"/>
  <c r="U128" i="5"/>
  <c r="U134" i="5"/>
  <c r="U140" i="5"/>
  <c r="L74" i="15"/>
  <c r="L85" i="15"/>
  <c r="L84" i="15"/>
  <c r="L81" i="15"/>
  <c r="L83" i="15"/>
  <c r="L82" i="15"/>
  <c r="K91" i="15"/>
  <c r="N98" i="6"/>
  <c r="N102" i="6"/>
  <c r="N106" i="6"/>
  <c r="N110" i="6"/>
  <c r="K90" i="15"/>
  <c r="K88" i="15"/>
  <c r="T146" i="5"/>
  <c r="T152" i="5"/>
  <c r="T158" i="5"/>
  <c r="T164" i="5"/>
  <c r="K87" i="15"/>
  <c r="K85" i="15"/>
  <c r="M85" i="15"/>
  <c r="K84" i="15"/>
  <c r="M84" i="15"/>
  <c r="K83" i="15"/>
  <c r="M83" i="15"/>
  <c r="K82" i="15"/>
  <c r="N69" i="15"/>
  <c r="P69" i="15"/>
  <c r="N70" i="15"/>
  <c r="P70" i="15"/>
  <c r="N71" i="15"/>
  <c r="O69" i="15"/>
  <c r="O70" i="15"/>
  <c r="O71" i="15"/>
  <c r="N72" i="15"/>
  <c r="O72" i="15"/>
  <c r="W122" i="5"/>
  <c r="W128" i="5"/>
  <c r="W134" i="5"/>
  <c r="W140" i="5"/>
  <c r="N74" i="15"/>
  <c r="X122" i="5"/>
  <c r="X128" i="5"/>
  <c r="X134" i="5"/>
  <c r="X140" i="5"/>
  <c r="O74" i="15"/>
  <c r="P74" i="15"/>
  <c r="N75" i="15"/>
  <c r="O75" i="15"/>
  <c r="Q82" i="6"/>
  <c r="Q86" i="6"/>
  <c r="Q90" i="6"/>
  <c r="Q94" i="6"/>
  <c r="N77" i="15"/>
  <c r="N78" i="15"/>
  <c r="N76" i="15"/>
  <c r="R82" i="6"/>
  <c r="R86" i="6"/>
  <c r="R90" i="6"/>
  <c r="R94" i="6"/>
  <c r="O77" i="15"/>
  <c r="O78" i="15"/>
  <c r="O76" i="15"/>
  <c r="P76" i="15"/>
  <c r="L89" i="15"/>
  <c r="K89" i="15"/>
  <c r="R81" i="15"/>
  <c r="L78" i="15"/>
  <c r="O82" i="6"/>
  <c r="O86" i="6"/>
  <c r="O90" i="6"/>
  <c r="O94" i="6"/>
  <c r="L77" i="15"/>
  <c r="L75" i="15"/>
  <c r="L72" i="15"/>
  <c r="L71" i="15"/>
  <c r="L70" i="15"/>
  <c r="L69" i="15"/>
  <c r="K78" i="15"/>
  <c r="N82" i="6"/>
  <c r="N86" i="6"/>
  <c r="N90" i="6"/>
  <c r="N94" i="6"/>
  <c r="K77" i="15"/>
  <c r="K75" i="15"/>
  <c r="T122" i="5"/>
  <c r="T128" i="5"/>
  <c r="T134" i="5"/>
  <c r="T140" i="5"/>
  <c r="K74" i="15"/>
  <c r="K73" i="15"/>
  <c r="K72" i="15"/>
  <c r="M72" i="15"/>
  <c r="K71" i="15"/>
  <c r="M71" i="15"/>
  <c r="K70" i="15"/>
  <c r="M70" i="15"/>
  <c r="K69" i="15"/>
  <c r="M69" i="15"/>
  <c r="L76" i="15"/>
  <c r="K76" i="15"/>
  <c r="O65" i="15"/>
  <c r="R66" i="6"/>
  <c r="R70" i="6"/>
  <c r="R74" i="6"/>
  <c r="R78" i="6"/>
  <c r="O64" i="15"/>
  <c r="O62" i="15"/>
  <c r="X98" i="5"/>
  <c r="X104" i="5"/>
  <c r="X110" i="5"/>
  <c r="X116" i="5"/>
  <c r="O61" i="15"/>
  <c r="O60" i="15"/>
  <c r="O66" i="15"/>
  <c r="O59" i="15"/>
  <c r="O58" i="15"/>
  <c r="O55" i="15"/>
  <c r="O57" i="15"/>
  <c r="O56" i="15"/>
  <c r="N65" i="15"/>
  <c r="Q66" i="6"/>
  <c r="Q70" i="6"/>
  <c r="Q74" i="6"/>
  <c r="Q78" i="6"/>
  <c r="N64" i="15"/>
  <c r="H66" i="6"/>
  <c r="H70" i="6"/>
  <c r="H74" i="6"/>
  <c r="H78" i="6"/>
  <c r="E64" i="15"/>
  <c r="T64" i="15"/>
  <c r="I66" i="6"/>
  <c r="I70" i="6"/>
  <c r="I74" i="6"/>
  <c r="I78" i="6"/>
  <c r="F64" i="15"/>
  <c r="U64" i="15"/>
  <c r="V64" i="15"/>
  <c r="N62" i="15"/>
  <c r="W98" i="5"/>
  <c r="W104" i="5"/>
  <c r="W110" i="5"/>
  <c r="W116" i="5"/>
  <c r="N61" i="15"/>
  <c r="P61" i="15"/>
  <c r="N59" i="15"/>
  <c r="K59" i="15"/>
  <c r="Q59" i="15"/>
  <c r="S59" i="15"/>
  <c r="N58" i="15"/>
  <c r="N57" i="15"/>
  <c r="N56" i="15"/>
  <c r="P56" i="15"/>
  <c r="L65" i="15"/>
  <c r="O66" i="6"/>
  <c r="O70" i="6"/>
  <c r="O74" i="6"/>
  <c r="O78" i="6"/>
  <c r="L64" i="15"/>
  <c r="L62" i="15"/>
  <c r="U98" i="5"/>
  <c r="U104" i="5"/>
  <c r="U110" i="5"/>
  <c r="U116" i="5"/>
  <c r="L61" i="15"/>
  <c r="L59" i="15"/>
  <c r="L58" i="15"/>
  <c r="L55" i="15"/>
  <c r="L57" i="15"/>
  <c r="L56" i="15"/>
  <c r="K65" i="15"/>
  <c r="N66" i="6"/>
  <c r="N70" i="6"/>
  <c r="N74" i="6"/>
  <c r="N78" i="6"/>
  <c r="K64" i="15"/>
  <c r="K63" i="15"/>
  <c r="K62" i="15"/>
  <c r="T98" i="5"/>
  <c r="T104" i="5"/>
  <c r="T110" i="5"/>
  <c r="T116" i="5"/>
  <c r="K61" i="15"/>
  <c r="M61" i="15"/>
  <c r="M59" i="15"/>
  <c r="K58" i="15"/>
  <c r="K57" i="15"/>
  <c r="K56" i="15"/>
  <c r="M56" i="15"/>
  <c r="O63" i="15"/>
  <c r="L63" i="15"/>
  <c r="O52" i="15"/>
  <c r="R50" i="6"/>
  <c r="R54" i="6"/>
  <c r="R58" i="6"/>
  <c r="R62" i="6"/>
  <c r="O51" i="15"/>
  <c r="O49" i="15"/>
  <c r="X74" i="5"/>
  <c r="X80" i="5"/>
  <c r="X86" i="5"/>
  <c r="X92" i="5"/>
  <c r="O48" i="15"/>
  <c r="O47" i="15"/>
  <c r="O46" i="15"/>
  <c r="O45" i="15"/>
  <c r="O44" i="15"/>
  <c r="O43" i="15"/>
  <c r="N52" i="15"/>
  <c r="Q50" i="6"/>
  <c r="Q54" i="6"/>
  <c r="Q58" i="6"/>
  <c r="Q62" i="6"/>
  <c r="N51" i="15"/>
  <c r="N50" i="6"/>
  <c r="N54" i="6"/>
  <c r="N58" i="6"/>
  <c r="N62" i="6"/>
  <c r="K51" i="15"/>
  <c r="Q51" i="15"/>
  <c r="O50" i="6"/>
  <c r="O54" i="6"/>
  <c r="O58" i="6"/>
  <c r="O62" i="6"/>
  <c r="L51" i="15"/>
  <c r="R51" i="15"/>
  <c r="S51" i="15"/>
  <c r="N49" i="15"/>
  <c r="W74" i="5"/>
  <c r="W80" i="5"/>
  <c r="W86" i="5"/>
  <c r="W92" i="5"/>
  <c r="N48" i="15"/>
  <c r="N46" i="15"/>
  <c r="P46" i="15"/>
  <c r="N45" i="15"/>
  <c r="P45" i="15"/>
  <c r="N44" i="15"/>
  <c r="N43" i="15"/>
  <c r="L52" i="15"/>
  <c r="L49" i="15"/>
  <c r="U74" i="5"/>
  <c r="U80" i="5"/>
  <c r="U86" i="5"/>
  <c r="U92" i="5"/>
  <c r="L48" i="15"/>
  <c r="R48" i="15"/>
  <c r="L46" i="15"/>
  <c r="L45" i="15"/>
  <c r="L44" i="15"/>
  <c r="L42" i="15"/>
  <c r="L43" i="15"/>
  <c r="K52" i="15"/>
  <c r="K49" i="15"/>
  <c r="T74" i="5"/>
  <c r="T80" i="5"/>
  <c r="T86" i="5"/>
  <c r="T92" i="5"/>
  <c r="K48" i="15"/>
  <c r="K46" i="15"/>
  <c r="K45" i="15"/>
  <c r="K44" i="15"/>
  <c r="K43" i="15"/>
  <c r="M43" i="15"/>
  <c r="O50" i="15"/>
  <c r="L50" i="15"/>
  <c r="K50" i="15"/>
  <c r="L47" i="15"/>
  <c r="Q34" i="6"/>
  <c r="Q38" i="6"/>
  <c r="Q42" i="6"/>
  <c r="Q46" i="6"/>
  <c r="N38" i="15"/>
  <c r="N39" i="15"/>
  <c r="O39" i="15"/>
  <c r="R34" i="6"/>
  <c r="R38" i="6"/>
  <c r="R42" i="6"/>
  <c r="R46" i="6"/>
  <c r="O38" i="15"/>
  <c r="O33" i="15"/>
  <c r="O32" i="15"/>
  <c r="O31" i="15"/>
  <c r="R31" i="15"/>
  <c r="O30" i="15"/>
  <c r="O36" i="15"/>
  <c r="X50" i="5"/>
  <c r="X56" i="5"/>
  <c r="X62" i="5"/>
  <c r="X68" i="5"/>
  <c r="O35" i="15"/>
  <c r="N36" i="15"/>
  <c r="W50" i="5"/>
  <c r="W56" i="5"/>
  <c r="W62" i="5"/>
  <c r="W68" i="5"/>
  <c r="N35" i="15"/>
  <c r="P35" i="15"/>
  <c r="O34" i="15"/>
  <c r="N33" i="15"/>
  <c r="P33" i="15"/>
  <c r="N32" i="15"/>
  <c r="P32" i="15"/>
  <c r="N31" i="15"/>
  <c r="K31" i="15"/>
  <c r="Q31" i="15"/>
  <c r="S31" i="15"/>
  <c r="N30" i="15"/>
  <c r="P30" i="15"/>
  <c r="L39" i="15"/>
  <c r="O34" i="6"/>
  <c r="O38" i="6"/>
  <c r="O42" i="6"/>
  <c r="O46" i="6"/>
  <c r="L38" i="15"/>
  <c r="L36" i="15"/>
  <c r="U50" i="5"/>
  <c r="U56" i="5"/>
  <c r="U62" i="5"/>
  <c r="U68" i="5"/>
  <c r="L35" i="15"/>
  <c r="L34" i="15"/>
  <c r="L33" i="15"/>
  <c r="L32" i="15"/>
  <c r="L31" i="15"/>
  <c r="L30" i="15"/>
  <c r="K39" i="15"/>
  <c r="N34" i="6"/>
  <c r="N38" i="6"/>
  <c r="N42" i="6"/>
  <c r="N46" i="6"/>
  <c r="K38" i="15"/>
  <c r="K37" i="15"/>
  <c r="K36" i="15"/>
  <c r="T50" i="5"/>
  <c r="T56" i="5"/>
  <c r="T62" i="5"/>
  <c r="T68" i="5"/>
  <c r="K35" i="15"/>
  <c r="K33" i="15"/>
  <c r="M33" i="15"/>
  <c r="K32" i="15"/>
  <c r="M31" i="15"/>
  <c r="K30" i="15"/>
  <c r="O37" i="15"/>
  <c r="N37" i="15"/>
  <c r="E34" i="6"/>
  <c r="E38" i="6"/>
  <c r="E42" i="6"/>
  <c r="E46" i="6"/>
  <c r="B38" i="15"/>
  <c r="B39" i="15"/>
  <c r="B37" i="15"/>
  <c r="W37" i="15"/>
  <c r="F34" i="6"/>
  <c r="F38" i="6"/>
  <c r="F42" i="6"/>
  <c r="F46" i="6"/>
  <c r="C38" i="15"/>
  <c r="C39" i="15"/>
  <c r="C37" i="15"/>
  <c r="X37" i="15"/>
  <c r="Y37" i="15"/>
  <c r="L37" i="15"/>
  <c r="R20" i="3"/>
  <c r="R28" i="3"/>
  <c r="R32" i="3"/>
  <c r="L18" i="15"/>
  <c r="R19" i="3"/>
  <c r="R31" i="3"/>
  <c r="L17" i="15"/>
  <c r="V19" i="3"/>
  <c r="V31" i="3"/>
  <c r="O17" i="15"/>
  <c r="R17" i="15"/>
  <c r="L19" i="15"/>
  <c r="L20" i="15"/>
  <c r="L23" i="15"/>
  <c r="U26" i="5"/>
  <c r="U32" i="5"/>
  <c r="U38" i="5"/>
  <c r="U44" i="5"/>
  <c r="L22" i="15"/>
  <c r="O18" i="6"/>
  <c r="O22" i="6"/>
  <c r="O26" i="6"/>
  <c r="O30" i="6"/>
  <c r="L25" i="15"/>
  <c r="L26" i="15"/>
  <c r="O26" i="15"/>
  <c r="O23" i="15"/>
  <c r="X26" i="5"/>
  <c r="X32" i="5"/>
  <c r="X38" i="5"/>
  <c r="X44" i="5"/>
  <c r="O22" i="15"/>
  <c r="O21" i="15"/>
  <c r="O20" i="15"/>
  <c r="O19" i="15"/>
  <c r="V20" i="3"/>
  <c r="V32" i="3"/>
  <c r="O18" i="15"/>
  <c r="R18" i="6"/>
  <c r="R22" i="6"/>
  <c r="R26" i="6"/>
  <c r="R30" i="6"/>
  <c r="O25" i="15"/>
  <c r="N26" i="15"/>
  <c r="Q18" i="6"/>
  <c r="Q22" i="6"/>
  <c r="Q26" i="6"/>
  <c r="Q30" i="6"/>
  <c r="N25" i="15"/>
  <c r="H18" i="6"/>
  <c r="H22" i="6"/>
  <c r="H26" i="6"/>
  <c r="H30" i="6"/>
  <c r="E25" i="15"/>
  <c r="T25" i="15"/>
  <c r="I18" i="6"/>
  <c r="I22" i="6"/>
  <c r="I26" i="6"/>
  <c r="I30" i="6"/>
  <c r="F25" i="15"/>
  <c r="U25" i="15"/>
  <c r="V25" i="15"/>
  <c r="N23" i="15"/>
  <c r="W26" i="5"/>
  <c r="W32" i="5"/>
  <c r="W38" i="5"/>
  <c r="W44" i="5"/>
  <c r="N22" i="15"/>
  <c r="P22" i="15"/>
  <c r="N20" i="15"/>
  <c r="P20" i="15"/>
  <c r="N19" i="15"/>
  <c r="N18" i="15"/>
  <c r="P18" i="15"/>
  <c r="N17" i="15"/>
  <c r="K26" i="15"/>
  <c r="N18" i="6"/>
  <c r="N22" i="6"/>
  <c r="N26" i="6"/>
  <c r="N30" i="6"/>
  <c r="K25" i="15"/>
  <c r="K23" i="15"/>
  <c r="Q23" i="15"/>
  <c r="T26" i="5"/>
  <c r="T32" i="5"/>
  <c r="T38" i="5"/>
  <c r="T44" i="5"/>
  <c r="K22" i="15"/>
  <c r="M22" i="15"/>
  <c r="K20" i="15"/>
  <c r="R20" i="15"/>
  <c r="K19" i="15"/>
  <c r="M19" i="15"/>
  <c r="K18" i="15"/>
  <c r="K17" i="15"/>
  <c r="M17" i="15"/>
  <c r="O24" i="15"/>
  <c r="N24" i="15"/>
  <c r="K24" i="15"/>
  <c r="Q24" i="15"/>
  <c r="L24" i="15"/>
  <c r="R24" i="15"/>
  <c r="S24" i="15"/>
  <c r="O13" i="15"/>
  <c r="N13" i="15"/>
  <c r="R2" i="6"/>
  <c r="R6" i="6"/>
  <c r="R10" i="6"/>
  <c r="R14" i="6"/>
  <c r="O12" i="15"/>
  <c r="Q2" i="6"/>
  <c r="Q6" i="6"/>
  <c r="Q10" i="6"/>
  <c r="Q14" i="6"/>
  <c r="N12" i="15"/>
  <c r="O7" i="15"/>
  <c r="N7" i="15"/>
  <c r="L21" i="15"/>
  <c r="L7" i="15"/>
  <c r="K7" i="15"/>
  <c r="M7" i="15"/>
  <c r="N2" i="6"/>
  <c r="N6" i="6"/>
  <c r="N10" i="6"/>
  <c r="N14" i="6"/>
  <c r="K12" i="15"/>
  <c r="O2" i="6"/>
  <c r="O6" i="6"/>
  <c r="O10" i="6"/>
  <c r="O14" i="6"/>
  <c r="L12" i="15"/>
  <c r="L13" i="15"/>
  <c r="K13" i="15"/>
  <c r="N10" i="15"/>
  <c r="O10" i="15"/>
  <c r="X2" i="5"/>
  <c r="X8" i="5"/>
  <c r="X14" i="5"/>
  <c r="X20" i="5"/>
  <c r="O9" i="15"/>
  <c r="O8" i="15"/>
  <c r="W2" i="5"/>
  <c r="W8" i="5"/>
  <c r="W14" i="5"/>
  <c r="W20" i="5"/>
  <c r="N9" i="15"/>
  <c r="U2" i="5"/>
  <c r="U8" i="5"/>
  <c r="U14" i="5"/>
  <c r="U20" i="5"/>
  <c r="L9" i="15"/>
  <c r="K10" i="15"/>
  <c r="T2" i="5"/>
  <c r="T8" i="5"/>
  <c r="T14" i="5"/>
  <c r="T20" i="5"/>
  <c r="K9" i="15"/>
  <c r="M9" i="15"/>
  <c r="L10" i="15"/>
  <c r="L8" i="15"/>
  <c r="O6" i="15"/>
  <c r="N6" i="15"/>
  <c r="P6" i="15"/>
  <c r="L6" i="15"/>
  <c r="K6" i="15"/>
  <c r="O5" i="15"/>
  <c r="O4" i="15"/>
  <c r="N5" i="15"/>
  <c r="P5" i="15"/>
  <c r="N4" i="15"/>
  <c r="L5" i="15"/>
  <c r="L4" i="15"/>
  <c r="K5" i="15"/>
  <c r="M5" i="15"/>
  <c r="K4" i="15"/>
  <c r="C7" i="15"/>
  <c r="B7" i="15"/>
  <c r="L11" i="15"/>
  <c r="K11" i="15"/>
  <c r="F169" i="15"/>
  <c r="I194" i="6"/>
  <c r="I198" i="6"/>
  <c r="I202" i="6"/>
  <c r="I206" i="6"/>
  <c r="F168" i="15"/>
  <c r="E169" i="15"/>
  <c r="H194" i="6"/>
  <c r="H198" i="6"/>
  <c r="H202" i="6"/>
  <c r="H206" i="6"/>
  <c r="E168" i="15"/>
  <c r="F156" i="15"/>
  <c r="I178" i="6"/>
  <c r="I182" i="6"/>
  <c r="I186" i="6"/>
  <c r="I190" i="6"/>
  <c r="F155" i="15"/>
  <c r="E156" i="15"/>
  <c r="H178" i="6"/>
  <c r="H182" i="6"/>
  <c r="H186" i="6"/>
  <c r="H190" i="6"/>
  <c r="E155" i="15"/>
  <c r="F143" i="15"/>
  <c r="E143" i="15"/>
  <c r="E141" i="15"/>
  <c r="E130" i="15"/>
  <c r="H146" i="6"/>
  <c r="H150" i="6"/>
  <c r="H158" i="6"/>
  <c r="E129" i="15"/>
  <c r="E128" i="15"/>
  <c r="F130" i="15"/>
  <c r="I150" i="6"/>
  <c r="I154" i="6"/>
  <c r="I158" i="6"/>
  <c r="F129" i="15"/>
  <c r="F91" i="15"/>
  <c r="I98" i="6"/>
  <c r="I102" i="6"/>
  <c r="I106" i="6"/>
  <c r="I110" i="6"/>
  <c r="F90" i="15"/>
  <c r="E91" i="15"/>
  <c r="H98" i="6"/>
  <c r="H102" i="6"/>
  <c r="H106" i="6"/>
  <c r="H110" i="6"/>
  <c r="E90" i="15"/>
  <c r="E89" i="15"/>
  <c r="F78" i="15"/>
  <c r="I82" i="6"/>
  <c r="I86" i="6"/>
  <c r="I90" i="6"/>
  <c r="I94" i="6"/>
  <c r="F77" i="15"/>
  <c r="E78" i="15"/>
  <c r="H82" i="6"/>
  <c r="H86" i="6"/>
  <c r="H90" i="6"/>
  <c r="H94" i="6"/>
  <c r="E77" i="15"/>
  <c r="E76" i="15"/>
  <c r="F65" i="15"/>
  <c r="E65" i="15"/>
  <c r="G64" i="15"/>
  <c r="F52" i="15"/>
  <c r="I50" i="6"/>
  <c r="I54" i="6"/>
  <c r="I58" i="6"/>
  <c r="I62" i="6"/>
  <c r="F51" i="15"/>
  <c r="E52" i="15"/>
  <c r="H50" i="6"/>
  <c r="H54" i="6"/>
  <c r="H58" i="6"/>
  <c r="H62" i="6"/>
  <c r="E51" i="15"/>
  <c r="G51" i="15"/>
  <c r="F39" i="15"/>
  <c r="I34" i="6"/>
  <c r="I38" i="6"/>
  <c r="I42" i="6"/>
  <c r="I46" i="6"/>
  <c r="F38" i="15"/>
  <c r="E39" i="15"/>
  <c r="H34" i="6"/>
  <c r="H38" i="6"/>
  <c r="H42" i="6"/>
  <c r="H46" i="6"/>
  <c r="E38" i="15"/>
  <c r="G38" i="15"/>
  <c r="F26" i="15"/>
  <c r="E26" i="15"/>
  <c r="F13" i="15"/>
  <c r="I2" i="6"/>
  <c r="I6" i="6"/>
  <c r="I10" i="6"/>
  <c r="I14" i="6"/>
  <c r="F12" i="15"/>
  <c r="E13" i="15"/>
  <c r="H2" i="6"/>
  <c r="H6" i="6"/>
  <c r="H10" i="6"/>
  <c r="H14" i="6"/>
  <c r="E12" i="15"/>
  <c r="E11" i="15"/>
  <c r="C169" i="15"/>
  <c r="F194" i="6"/>
  <c r="F198" i="6"/>
  <c r="F202" i="6"/>
  <c r="F206" i="6"/>
  <c r="C168" i="15"/>
  <c r="B169" i="15"/>
  <c r="E194" i="6"/>
  <c r="E198" i="6"/>
  <c r="E202" i="6"/>
  <c r="E206" i="6"/>
  <c r="B168" i="15"/>
  <c r="B167" i="15"/>
  <c r="C156" i="15"/>
  <c r="B156" i="15"/>
  <c r="C130" i="15"/>
  <c r="F146" i="6"/>
  <c r="F150" i="6"/>
  <c r="F154" i="6"/>
  <c r="F158" i="6"/>
  <c r="C129" i="15"/>
  <c r="B130" i="15"/>
  <c r="C91" i="15"/>
  <c r="F98" i="6"/>
  <c r="F102" i="6"/>
  <c r="F106" i="6"/>
  <c r="F110" i="6"/>
  <c r="C90" i="15"/>
  <c r="B91" i="15"/>
  <c r="E98" i="6"/>
  <c r="E102" i="6"/>
  <c r="E106" i="6"/>
  <c r="E110" i="6"/>
  <c r="B90" i="15"/>
  <c r="C78" i="15"/>
  <c r="F82" i="6"/>
  <c r="F86" i="6"/>
  <c r="F90" i="6"/>
  <c r="F94" i="6"/>
  <c r="C77" i="15"/>
  <c r="E82" i="6"/>
  <c r="E86" i="6"/>
  <c r="E90" i="6"/>
  <c r="E94" i="6"/>
  <c r="B77" i="15"/>
  <c r="B78" i="15"/>
  <c r="C65" i="15"/>
  <c r="F66" i="6"/>
  <c r="F70" i="6"/>
  <c r="F74" i="6"/>
  <c r="F78" i="6"/>
  <c r="C64" i="15"/>
  <c r="B65" i="15"/>
  <c r="E66" i="6"/>
  <c r="E70" i="6"/>
  <c r="E74" i="6"/>
  <c r="E78" i="6"/>
  <c r="B64" i="15"/>
  <c r="H64" i="15"/>
  <c r="I64" i="15"/>
  <c r="J64" i="15"/>
  <c r="C52" i="15"/>
  <c r="F50" i="6"/>
  <c r="F54" i="6"/>
  <c r="F58" i="6"/>
  <c r="F62" i="6"/>
  <c r="C51" i="15"/>
  <c r="B52" i="15"/>
  <c r="E50" i="6"/>
  <c r="E54" i="6"/>
  <c r="E58" i="6"/>
  <c r="E62" i="6"/>
  <c r="B51" i="15"/>
  <c r="H51" i="15"/>
  <c r="I51" i="15"/>
  <c r="J51" i="15"/>
  <c r="H38" i="15"/>
  <c r="I38" i="15"/>
  <c r="J38" i="15"/>
  <c r="C26" i="15"/>
  <c r="F18" i="6"/>
  <c r="F22" i="6"/>
  <c r="F26" i="6"/>
  <c r="F30" i="6"/>
  <c r="C25" i="15"/>
  <c r="B26" i="15"/>
  <c r="E18" i="6"/>
  <c r="E22" i="6"/>
  <c r="E26" i="6"/>
  <c r="E30" i="6"/>
  <c r="B25" i="15"/>
  <c r="C13" i="15"/>
  <c r="F2" i="6"/>
  <c r="F6" i="6"/>
  <c r="F10" i="6"/>
  <c r="F14" i="6"/>
  <c r="C12" i="15"/>
  <c r="B13" i="15"/>
  <c r="E2" i="6"/>
  <c r="E6" i="6"/>
  <c r="E10" i="6"/>
  <c r="E14" i="6"/>
  <c r="B12" i="15"/>
  <c r="I50" i="12"/>
  <c r="I51" i="12"/>
  <c r="I52" i="12"/>
  <c r="I53" i="12"/>
  <c r="Q53" i="12"/>
  <c r="I299" i="5"/>
  <c r="L299" i="5"/>
  <c r="I305" i="5"/>
  <c r="L305" i="5"/>
  <c r="I311" i="5"/>
  <c r="L311" i="5"/>
  <c r="I317" i="5"/>
  <c r="L317" i="5"/>
  <c r="F165" i="15"/>
  <c r="H50" i="12"/>
  <c r="H51" i="12"/>
  <c r="H52" i="12"/>
  <c r="H53" i="12"/>
  <c r="H299" i="5"/>
  <c r="K299" i="5"/>
  <c r="H305" i="5"/>
  <c r="K305" i="5"/>
  <c r="H311" i="5"/>
  <c r="K311" i="5"/>
  <c r="H317" i="5"/>
  <c r="K317" i="5"/>
  <c r="E165" i="15"/>
  <c r="G165" i="15"/>
  <c r="I46" i="12"/>
  <c r="I47" i="12"/>
  <c r="I48" i="12"/>
  <c r="I49" i="12"/>
  <c r="Q49" i="12"/>
  <c r="I266" i="5"/>
  <c r="L266" i="5"/>
  <c r="I272" i="5"/>
  <c r="L272" i="5"/>
  <c r="I278" i="5"/>
  <c r="L278" i="5"/>
  <c r="I287" i="5"/>
  <c r="L287" i="5"/>
  <c r="F152" i="15"/>
  <c r="H46" i="12"/>
  <c r="H47" i="12"/>
  <c r="H48" i="12"/>
  <c r="H49" i="12"/>
  <c r="H266" i="5"/>
  <c r="K266" i="5"/>
  <c r="H272" i="5"/>
  <c r="H278" i="5"/>
  <c r="K278" i="5"/>
  <c r="H287" i="5"/>
  <c r="K287" i="5"/>
  <c r="I42" i="12"/>
  <c r="I43" i="12"/>
  <c r="I44" i="12"/>
  <c r="I45" i="12"/>
  <c r="Q45" i="12"/>
  <c r="I242" i="5"/>
  <c r="L242" i="5"/>
  <c r="I248" i="5"/>
  <c r="L248" i="5"/>
  <c r="I254" i="5"/>
  <c r="L254" i="5"/>
  <c r="I260" i="5"/>
  <c r="L260" i="5"/>
  <c r="F139" i="15"/>
  <c r="H242" i="5"/>
  <c r="K242" i="5"/>
  <c r="H248" i="5"/>
  <c r="K248" i="5"/>
  <c r="H254" i="5"/>
  <c r="K254" i="5"/>
  <c r="H260" i="5"/>
  <c r="K260" i="5"/>
  <c r="I38" i="12"/>
  <c r="Q38" i="12"/>
  <c r="I39" i="12"/>
  <c r="I40" i="12"/>
  <c r="Q40" i="12"/>
  <c r="I41" i="12"/>
  <c r="F127" i="15"/>
  <c r="I218" i="5"/>
  <c r="L218" i="5"/>
  <c r="I224" i="5"/>
  <c r="L224" i="5"/>
  <c r="I230" i="5"/>
  <c r="L230" i="5"/>
  <c r="I236" i="5"/>
  <c r="L236" i="5"/>
  <c r="F126" i="15"/>
  <c r="H38" i="12"/>
  <c r="H39" i="12"/>
  <c r="H40" i="12"/>
  <c r="E127" i="15"/>
  <c r="H41" i="12"/>
  <c r="B127" i="15"/>
  <c r="C127" i="15"/>
  <c r="H218" i="5"/>
  <c r="K218" i="5"/>
  <c r="H224" i="5"/>
  <c r="K224" i="5"/>
  <c r="E224" i="5"/>
  <c r="Q224" i="5"/>
  <c r="F224" i="5"/>
  <c r="R224" i="5"/>
  <c r="S224" i="5"/>
  <c r="H230" i="5"/>
  <c r="K230" i="5"/>
  <c r="I26" i="12"/>
  <c r="I27" i="12"/>
  <c r="I28" i="12"/>
  <c r="I29" i="12"/>
  <c r="I146" i="5"/>
  <c r="L146" i="5"/>
  <c r="I152" i="5"/>
  <c r="L152" i="5"/>
  <c r="I158" i="5"/>
  <c r="L158" i="5"/>
  <c r="I164" i="5"/>
  <c r="L164" i="5"/>
  <c r="F87" i="15"/>
  <c r="H26" i="12"/>
  <c r="H27" i="12"/>
  <c r="H28" i="12"/>
  <c r="H29" i="12"/>
  <c r="H146" i="5"/>
  <c r="K146" i="5"/>
  <c r="H152" i="5"/>
  <c r="K152" i="5"/>
  <c r="H158" i="5"/>
  <c r="K158" i="5"/>
  <c r="H164" i="5"/>
  <c r="K164" i="5"/>
  <c r="E87" i="15"/>
  <c r="G87" i="15"/>
  <c r="I22" i="12"/>
  <c r="I23" i="12"/>
  <c r="I24" i="12"/>
  <c r="I25" i="12"/>
  <c r="Q25" i="12"/>
  <c r="H98" i="5"/>
  <c r="K98" i="5"/>
  <c r="H104" i="5"/>
  <c r="K104" i="5"/>
  <c r="H110" i="5"/>
  <c r="K110" i="5"/>
  <c r="H116" i="5"/>
  <c r="K116" i="5"/>
  <c r="E61" i="15"/>
  <c r="I98" i="5"/>
  <c r="L98" i="5"/>
  <c r="I104" i="5"/>
  <c r="L104" i="5"/>
  <c r="I110" i="5"/>
  <c r="L110" i="5"/>
  <c r="I116" i="5"/>
  <c r="L116" i="5"/>
  <c r="F61" i="15"/>
  <c r="G61" i="15"/>
  <c r="H22" i="12"/>
  <c r="H23" i="12"/>
  <c r="H24" i="12"/>
  <c r="H25" i="12"/>
  <c r="E75" i="15"/>
  <c r="I122" i="5"/>
  <c r="L122" i="5"/>
  <c r="I128" i="5"/>
  <c r="L128" i="5"/>
  <c r="I134" i="5"/>
  <c r="L134" i="5"/>
  <c r="I140" i="5"/>
  <c r="L140" i="5"/>
  <c r="F74" i="15"/>
  <c r="H122" i="5"/>
  <c r="K122" i="5"/>
  <c r="H128" i="5"/>
  <c r="K128" i="5"/>
  <c r="H134" i="5"/>
  <c r="K134" i="5"/>
  <c r="H140" i="5"/>
  <c r="K140" i="5"/>
  <c r="E74" i="15"/>
  <c r="T74" i="15"/>
  <c r="U74" i="15"/>
  <c r="V74" i="15"/>
  <c r="H18" i="12"/>
  <c r="H19" i="12"/>
  <c r="E62" i="15"/>
  <c r="H20" i="12"/>
  <c r="H21" i="12"/>
  <c r="I18" i="12"/>
  <c r="Q18" i="12"/>
  <c r="I19" i="12"/>
  <c r="I20" i="12"/>
  <c r="I21" i="12"/>
  <c r="I14" i="12"/>
  <c r="I15" i="12"/>
  <c r="F49" i="15"/>
  <c r="I16" i="12"/>
  <c r="I17" i="12"/>
  <c r="I74" i="5"/>
  <c r="L74" i="5"/>
  <c r="I80" i="5"/>
  <c r="L80" i="5"/>
  <c r="I86" i="5"/>
  <c r="L86" i="5"/>
  <c r="I92" i="5"/>
  <c r="L92" i="5"/>
  <c r="F48" i="15"/>
  <c r="H14" i="12"/>
  <c r="H15" i="12"/>
  <c r="H16" i="12"/>
  <c r="H17" i="12"/>
  <c r="H74" i="5"/>
  <c r="K74" i="5"/>
  <c r="H80" i="5"/>
  <c r="K80" i="5"/>
  <c r="H86" i="5"/>
  <c r="K86" i="5"/>
  <c r="H92" i="5"/>
  <c r="K92" i="5"/>
  <c r="E48" i="15"/>
  <c r="I10" i="12"/>
  <c r="I11" i="12"/>
  <c r="I12" i="12"/>
  <c r="I13" i="12"/>
  <c r="I50" i="5"/>
  <c r="L50" i="5"/>
  <c r="I56" i="5"/>
  <c r="L56" i="5"/>
  <c r="I62" i="5"/>
  <c r="L62" i="5"/>
  <c r="I68" i="5"/>
  <c r="L68" i="5"/>
  <c r="F35" i="15"/>
  <c r="H10" i="12"/>
  <c r="H11" i="12"/>
  <c r="E36" i="15"/>
  <c r="H12" i="12"/>
  <c r="H13" i="12"/>
  <c r="H50" i="5"/>
  <c r="K50" i="5"/>
  <c r="H56" i="5"/>
  <c r="K56" i="5"/>
  <c r="H62" i="5"/>
  <c r="K62" i="5"/>
  <c r="H68" i="5"/>
  <c r="K68" i="5"/>
  <c r="E35" i="15"/>
  <c r="G35" i="15"/>
  <c r="I6" i="12"/>
  <c r="I7" i="12"/>
  <c r="F23" i="15"/>
  <c r="I8" i="12"/>
  <c r="I9" i="12"/>
  <c r="I26" i="5"/>
  <c r="L26" i="5"/>
  <c r="I32" i="5"/>
  <c r="L32" i="5"/>
  <c r="I38" i="5"/>
  <c r="L38" i="5"/>
  <c r="I44" i="5"/>
  <c r="L44" i="5"/>
  <c r="F22" i="15"/>
  <c r="H6" i="12"/>
  <c r="H7" i="12"/>
  <c r="H8" i="12"/>
  <c r="H9" i="12"/>
  <c r="H26" i="5"/>
  <c r="K26" i="5"/>
  <c r="H32" i="5"/>
  <c r="K32" i="5"/>
  <c r="H38" i="5"/>
  <c r="K38" i="5"/>
  <c r="H44" i="5"/>
  <c r="K44" i="5"/>
  <c r="E22" i="15"/>
  <c r="G22" i="15"/>
  <c r="I2" i="12"/>
  <c r="I3" i="12"/>
  <c r="I4" i="12"/>
  <c r="I5" i="12"/>
  <c r="H2" i="12"/>
  <c r="H3" i="12"/>
  <c r="H4" i="12"/>
  <c r="E10" i="15"/>
  <c r="H5" i="12"/>
  <c r="F299" i="5"/>
  <c r="F305" i="5"/>
  <c r="F311" i="5"/>
  <c r="F317" i="5"/>
  <c r="C165" i="15"/>
  <c r="C166" i="15"/>
  <c r="B166" i="15"/>
  <c r="D166" i="15"/>
  <c r="E299" i="5"/>
  <c r="E305" i="5"/>
  <c r="E311" i="5"/>
  <c r="E317" i="5"/>
  <c r="B165" i="15"/>
  <c r="C153" i="15"/>
  <c r="F266" i="5"/>
  <c r="F272" i="5"/>
  <c r="F278" i="5"/>
  <c r="F287" i="5"/>
  <c r="C152" i="15"/>
  <c r="B153" i="15"/>
  <c r="E266" i="5"/>
  <c r="E272" i="5"/>
  <c r="N272" i="5"/>
  <c r="O272" i="5"/>
  <c r="P272" i="5"/>
  <c r="E278" i="5"/>
  <c r="E287" i="5"/>
  <c r="I152" i="15"/>
  <c r="B140" i="15"/>
  <c r="C140" i="15"/>
  <c r="X140" i="15"/>
  <c r="F242" i="5"/>
  <c r="F248" i="5"/>
  <c r="F254" i="5"/>
  <c r="F260" i="5"/>
  <c r="C139" i="15"/>
  <c r="F218" i="5"/>
  <c r="F230" i="5"/>
  <c r="F236" i="5"/>
  <c r="C126" i="15"/>
  <c r="E218" i="5"/>
  <c r="E230" i="5"/>
  <c r="C88" i="15"/>
  <c r="F146" i="5"/>
  <c r="F152" i="5"/>
  <c r="F158" i="5"/>
  <c r="F164" i="5"/>
  <c r="C87" i="15"/>
  <c r="X87" i="15"/>
  <c r="B88" i="15"/>
  <c r="D88" i="15"/>
  <c r="E146" i="5"/>
  <c r="E152" i="5"/>
  <c r="E158" i="5"/>
  <c r="E164" i="5"/>
  <c r="B87" i="15"/>
  <c r="C75" i="15"/>
  <c r="F122" i="5"/>
  <c r="F128" i="5"/>
  <c r="F134" i="5"/>
  <c r="F140" i="5"/>
  <c r="C74" i="15"/>
  <c r="B75" i="15"/>
  <c r="E122" i="5"/>
  <c r="E128" i="5"/>
  <c r="E134" i="5"/>
  <c r="E140" i="5"/>
  <c r="B74" i="15"/>
  <c r="C62" i="15"/>
  <c r="X62" i="15"/>
  <c r="F98" i="5"/>
  <c r="F104" i="5"/>
  <c r="F110" i="5"/>
  <c r="F116" i="5"/>
  <c r="C61" i="15"/>
  <c r="B62" i="15"/>
  <c r="E98" i="5"/>
  <c r="E104" i="5"/>
  <c r="E110" i="5"/>
  <c r="E116" i="5"/>
  <c r="B61" i="15"/>
  <c r="E2" i="5"/>
  <c r="E8" i="5"/>
  <c r="E14" i="5"/>
  <c r="E20" i="5"/>
  <c r="B48" i="15"/>
  <c r="F2" i="5"/>
  <c r="F8" i="5"/>
  <c r="F14" i="5"/>
  <c r="F20" i="5"/>
  <c r="C48" i="15"/>
  <c r="D48" i="15"/>
  <c r="B36" i="15"/>
  <c r="C36" i="15"/>
  <c r="C23" i="15"/>
  <c r="C10" i="15"/>
  <c r="C9" i="15"/>
  <c r="C8" i="15"/>
  <c r="B10" i="15"/>
  <c r="E50" i="5"/>
  <c r="E56" i="5"/>
  <c r="E62" i="5"/>
  <c r="E68" i="5"/>
  <c r="B35" i="15"/>
  <c r="F50" i="5"/>
  <c r="F56" i="5"/>
  <c r="F62" i="5"/>
  <c r="F68" i="5"/>
  <c r="C35" i="15"/>
  <c r="I35" i="15"/>
  <c r="F26" i="5"/>
  <c r="F32" i="5"/>
  <c r="F38" i="5"/>
  <c r="F44" i="5"/>
  <c r="C22" i="15"/>
  <c r="E26" i="5"/>
  <c r="E32" i="5"/>
  <c r="E38" i="5"/>
  <c r="E44" i="5"/>
  <c r="B22" i="15"/>
  <c r="B23" i="15"/>
  <c r="D23" i="15"/>
  <c r="E170" i="5"/>
  <c r="E176" i="5"/>
  <c r="E182" i="5"/>
  <c r="E188" i="5"/>
  <c r="B100" i="15"/>
  <c r="F170" i="5"/>
  <c r="F176" i="5"/>
  <c r="F182" i="5"/>
  <c r="F188" i="5"/>
  <c r="C100" i="15"/>
  <c r="B101" i="15"/>
  <c r="C101" i="15"/>
  <c r="E194" i="5"/>
  <c r="E200" i="5"/>
  <c r="E206" i="5"/>
  <c r="E212" i="5"/>
  <c r="B113" i="15"/>
  <c r="F194" i="5"/>
  <c r="F200" i="5"/>
  <c r="F206" i="5"/>
  <c r="F212" i="5"/>
  <c r="C113" i="15"/>
  <c r="B114" i="15"/>
  <c r="B112" i="15"/>
  <c r="C114" i="15"/>
  <c r="C49" i="15"/>
  <c r="X49" i="15"/>
  <c r="B49" i="15"/>
  <c r="I48" i="15"/>
  <c r="H2" i="5"/>
  <c r="K2" i="5"/>
  <c r="H8" i="5"/>
  <c r="K8" i="5"/>
  <c r="H14" i="5"/>
  <c r="K14" i="5"/>
  <c r="H20" i="5"/>
  <c r="K20" i="5"/>
  <c r="E9" i="15"/>
  <c r="I2" i="5"/>
  <c r="L2" i="5"/>
  <c r="I8" i="5"/>
  <c r="L8" i="5"/>
  <c r="I14" i="5"/>
  <c r="L14" i="5"/>
  <c r="I20" i="5"/>
  <c r="L20" i="5"/>
  <c r="F9" i="15"/>
  <c r="H170" i="5"/>
  <c r="K170" i="5"/>
  <c r="H176" i="5"/>
  <c r="K176" i="5"/>
  <c r="H182" i="5"/>
  <c r="K182" i="5"/>
  <c r="H188" i="5"/>
  <c r="K188" i="5"/>
  <c r="E100" i="15"/>
  <c r="E96" i="15"/>
  <c r="B9" i="15"/>
  <c r="M50" i="4"/>
  <c r="I50" i="4"/>
  <c r="M51" i="4"/>
  <c r="I51" i="4"/>
  <c r="M52" i="4"/>
  <c r="I52" i="4"/>
  <c r="M53" i="4"/>
  <c r="I53" i="4"/>
  <c r="F163" i="15"/>
  <c r="Q46" i="4"/>
  <c r="I46" i="4"/>
  <c r="Q47" i="4"/>
  <c r="I47" i="4"/>
  <c r="Q48" i="4"/>
  <c r="I48" i="4"/>
  <c r="Q49" i="4"/>
  <c r="I49" i="4"/>
  <c r="F150" i="15"/>
  <c r="I42" i="4"/>
  <c r="I43" i="4"/>
  <c r="I44" i="4"/>
  <c r="I45" i="4"/>
  <c r="F137" i="15"/>
  <c r="I38" i="4"/>
  <c r="I39" i="4"/>
  <c r="I40" i="4"/>
  <c r="I41" i="4"/>
  <c r="F124" i="15"/>
  <c r="H38" i="4"/>
  <c r="K38" i="4"/>
  <c r="H39" i="4"/>
  <c r="H40" i="4"/>
  <c r="U22" i="4"/>
  <c r="I22" i="4"/>
  <c r="U23" i="4"/>
  <c r="I23" i="4"/>
  <c r="U24" i="4"/>
  <c r="I24" i="4"/>
  <c r="U25" i="4"/>
  <c r="I25" i="4"/>
  <c r="F72" i="15"/>
  <c r="H22" i="4"/>
  <c r="H23" i="4"/>
  <c r="H24" i="4"/>
  <c r="H25" i="4"/>
  <c r="E72" i="15"/>
  <c r="U26" i="4"/>
  <c r="I26" i="4"/>
  <c r="U27" i="4"/>
  <c r="I27" i="4"/>
  <c r="U28" i="4"/>
  <c r="I28" i="4"/>
  <c r="U29" i="4"/>
  <c r="I29" i="4"/>
  <c r="F85" i="15"/>
  <c r="H26" i="4"/>
  <c r="H27" i="4"/>
  <c r="H28" i="4"/>
  <c r="H29" i="4"/>
  <c r="E85" i="15"/>
  <c r="U18" i="4"/>
  <c r="I18" i="4"/>
  <c r="U19" i="4"/>
  <c r="I19" i="4"/>
  <c r="U20" i="4"/>
  <c r="I20" i="4"/>
  <c r="U21" i="4"/>
  <c r="I21" i="4"/>
  <c r="F59" i="15"/>
  <c r="H18" i="4"/>
  <c r="H19" i="4"/>
  <c r="H20" i="4"/>
  <c r="H21" i="4"/>
  <c r="E59" i="15"/>
  <c r="G59" i="15"/>
  <c r="Q14" i="4"/>
  <c r="U14" i="4"/>
  <c r="I14" i="4"/>
  <c r="U15" i="4"/>
  <c r="I15" i="4"/>
  <c r="U16" i="4"/>
  <c r="I16" i="4"/>
  <c r="U17" i="4"/>
  <c r="I17" i="4"/>
  <c r="F46" i="15"/>
  <c r="H14" i="4"/>
  <c r="H15" i="4"/>
  <c r="H16" i="4"/>
  <c r="H17" i="4"/>
  <c r="E46" i="15"/>
  <c r="G46" i="15"/>
  <c r="Q10" i="4"/>
  <c r="U10" i="4"/>
  <c r="I10" i="4"/>
  <c r="Q11" i="4"/>
  <c r="U11" i="4"/>
  <c r="I11" i="4"/>
  <c r="Q12" i="4"/>
  <c r="U12" i="4"/>
  <c r="I12" i="4"/>
  <c r="Q13" i="4"/>
  <c r="U13" i="4"/>
  <c r="I13" i="4"/>
  <c r="F33" i="15"/>
  <c r="H10" i="4"/>
  <c r="H11" i="4"/>
  <c r="H12" i="4"/>
  <c r="H13" i="4"/>
  <c r="E33" i="15"/>
  <c r="B33" i="15"/>
  <c r="H33" i="15"/>
  <c r="J33" i="15"/>
  <c r="U6" i="4"/>
  <c r="I6" i="4"/>
  <c r="M7" i="4"/>
  <c r="Q7" i="4"/>
  <c r="U7" i="4"/>
  <c r="I7" i="4"/>
  <c r="Q8" i="4"/>
  <c r="U8" i="4"/>
  <c r="I8" i="4"/>
  <c r="Q9" i="4"/>
  <c r="U9" i="4"/>
  <c r="I9" i="4"/>
  <c r="F20" i="15"/>
  <c r="H2" i="4"/>
  <c r="H3" i="4"/>
  <c r="H4" i="4"/>
  <c r="H5" i="4"/>
  <c r="E7" i="15"/>
  <c r="U2" i="4"/>
  <c r="I2" i="4"/>
  <c r="U3" i="4"/>
  <c r="I3" i="4"/>
  <c r="U4" i="4"/>
  <c r="I4" i="4"/>
  <c r="U5" i="4"/>
  <c r="I5" i="4"/>
  <c r="F7" i="15"/>
  <c r="I7" i="15"/>
  <c r="H6" i="4"/>
  <c r="H7" i="4"/>
  <c r="H8" i="4"/>
  <c r="H9" i="4"/>
  <c r="E20" i="15"/>
  <c r="C163" i="15"/>
  <c r="B163" i="15"/>
  <c r="D163" i="15"/>
  <c r="C150" i="15"/>
  <c r="B150" i="15"/>
  <c r="X150" i="15"/>
  <c r="C137" i="15"/>
  <c r="B137" i="15"/>
  <c r="D137" i="15"/>
  <c r="C124" i="15"/>
  <c r="B124" i="15"/>
  <c r="C85" i="15"/>
  <c r="B85" i="15"/>
  <c r="W85" i="15"/>
  <c r="Y85" i="15"/>
  <c r="C72" i="15"/>
  <c r="B72" i="15"/>
  <c r="D72" i="15"/>
  <c r="C59" i="15"/>
  <c r="B59" i="15"/>
  <c r="X59" i="15"/>
  <c r="C46" i="15"/>
  <c r="B46" i="15"/>
  <c r="D46" i="15"/>
  <c r="C33" i="15"/>
  <c r="D33" i="15"/>
  <c r="C20" i="15"/>
  <c r="B20" i="15"/>
  <c r="D20" i="15"/>
  <c r="J199" i="3"/>
  <c r="J203" i="3"/>
  <c r="J207" i="3"/>
  <c r="F160" i="15"/>
  <c r="J200" i="3"/>
  <c r="J204" i="3"/>
  <c r="J208" i="3"/>
  <c r="F161" i="15"/>
  <c r="U161" i="15"/>
  <c r="F162" i="15"/>
  <c r="F167" i="15"/>
  <c r="E162" i="15"/>
  <c r="E161" i="15"/>
  <c r="E160" i="15"/>
  <c r="E149" i="15"/>
  <c r="E148" i="15"/>
  <c r="E147" i="15"/>
  <c r="F149" i="15"/>
  <c r="J180" i="3"/>
  <c r="J184" i="3"/>
  <c r="J188" i="3"/>
  <c r="J192" i="3"/>
  <c r="F148" i="15"/>
  <c r="U148" i="15"/>
  <c r="J179" i="3"/>
  <c r="J183" i="3"/>
  <c r="J187" i="3"/>
  <c r="J191" i="3"/>
  <c r="F147" i="15"/>
  <c r="U147" i="15"/>
  <c r="E136" i="15"/>
  <c r="E135" i="15"/>
  <c r="E134" i="15"/>
  <c r="G134" i="15"/>
  <c r="F136" i="15"/>
  <c r="U136" i="15"/>
  <c r="J164" i="3"/>
  <c r="J168" i="3"/>
  <c r="J172" i="3"/>
  <c r="J176" i="3"/>
  <c r="F135" i="15"/>
  <c r="J163" i="3"/>
  <c r="J167" i="3"/>
  <c r="J171" i="3"/>
  <c r="J175" i="3"/>
  <c r="F134" i="15"/>
  <c r="F123" i="15"/>
  <c r="J148" i="3"/>
  <c r="J152" i="3"/>
  <c r="J156" i="3"/>
  <c r="J160" i="3"/>
  <c r="F122" i="15"/>
  <c r="F120" i="15"/>
  <c r="J147" i="3"/>
  <c r="J151" i="3"/>
  <c r="J155" i="3"/>
  <c r="J159" i="3"/>
  <c r="F121" i="15"/>
  <c r="E123" i="15"/>
  <c r="E122" i="15"/>
  <c r="E121" i="15"/>
  <c r="T121" i="15"/>
  <c r="F84" i="15"/>
  <c r="U84" i="15"/>
  <c r="J100" i="3"/>
  <c r="J104" i="3"/>
  <c r="J108" i="3"/>
  <c r="J112" i="3"/>
  <c r="F83" i="15"/>
  <c r="U83" i="15"/>
  <c r="J99" i="3"/>
  <c r="J103" i="3"/>
  <c r="J107" i="3"/>
  <c r="J111" i="3"/>
  <c r="F82" i="15"/>
  <c r="E84" i="15"/>
  <c r="E83" i="15"/>
  <c r="I99" i="3"/>
  <c r="I103" i="3"/>
  <c r="I107" i="3"/>
  <c r="I111" i="3"/>
  <c r="E82" i="15"/>
  <c r="F71" i="15"/>
  <c r="U71" i="15"/>
  <c r="J84" i="3"/>
  <c r="J88" i="3"/>
  <c r="J92" i="3"/>
  <c r="J96" i="3"/>
  <c r="F70" i="15"/>
  <c r="J83" i="3"/>
  <c r="J87" i="3"/>
  <c r="J91" i="3"/>
  <c r="J95" i="3"/>
  <c r="F69" i="15"/>
  <c r="E71" i="15"/>
  <c r="E70" i="15"/>
  <c r="I83" i="3"/>
  <c r="I87" i="3"/>
  <c r="I91" i="3"/>
  <c r="I95" i="3"/>
  <c r="E69" i="15"/>
  <c r="F58" i="15"/>
  <c r="J68" i="3"/>
  <c r="J72" i="3"/>
  <c r="J76" i="3"/>
  <c r="J80" i="3"/>
  <c r="F57" i="15"/>
  <c r="U57" i="15"/>
  <c r="J67" i="3"/>
  <c r="J71" i="3"/>
  <c r="J75" i="3"/>
  <c r="J79" i="3"/>
  <c r="F56" i="15"/>
  <c r="E58" i="15"/>
  <c r="G58" i="15"/>
  <c r="E57" i="15"/>
  <c r="I67" i="3"/>
  <c r="I71" i="3"/>
  <c r="I75" i="3"/>
  <c r="I79" i="3"/>
  <c r="E56" i="15"/>
  <c r="F45" i="15"/>
  <c r="U45" i="15"/>
  <c r="J52" i="3"/>
  <c r="J56" i="3"/>
  <c r="J60" i="3"/>
  <c r="J64" i="3"/>
  <c r="F44" i="15"/>
  <c r="J51" i="3"/>
  <c r="J55" i="3"/>
  <c r="J59" i="3"/>
  <c r="J63" i="3"/>
  <c r="F43" i="15"/>
  <c r="U43" i="15"/>
  <c r="E45" i="15"/>
  <c r="I52" i="3"/>
  <c r="E44" i="15"/>
  <c r="I51" i="3"/>
  <c r="I55" i="3"/>
  <c r="I59" i="3"/>
  <c r="I63" i="3"/>
  <c r="E43" i="15"/>
  <c r="J36" i="3"/>
  <c r="J40" i="3"/>
  <c r="J44" i="3"/>
  <c r="J48" i="3"/>
  <c r="F31" i="15"/>
  <c r="J35" i="3"/>
  <c r="J39" i="3"/>
  <c r="J43" i="3"/>
  <c r="J47" i="3"/>
  <c r="F30" i="15"/>
  <c r="F32" i="15"/>
  <c r="U32" i="15"/>
  <c r="E32" i="15"/>
  <c r="I36" i="3"/>
  <c r="I40" i="3"/>
  <c r="I44" i="3"/>
  <c r="I48" i="3"/>
  <c r="E31" i="15"/>
  <c r="I35" i="3"/>
  <c r="I39" i="3"/>
  <c r="I43" i="3"/>
  <c r="I47" i="3"/>
  <c r="E30" i="15"/>
  <c r="F19" i="15"/>
  <c r="J20" i="3"/>
  <c r="J24" i="3"/>
  <c r="J28" i="3"/>
  <c r="J32" i="3"/>
  <c r="F18" i="15"/>
  <c r="U18" i="15"/>
  <c r="J19" i="3"/>
  <c r="J23" i="3"/>
  <c r="J27" i="3"/>
  <c r="J31" i="3"/>
  <c r="F17" i="15"/>
  <c r="U17" i="15"/>
  <c r="E19" i="15"/>
  <c r="I20" i="3"/>
  <c r="I24" i="3"/>
  <c r="I28" i="3"/>
  <c r="I32" i="3"/>
  <c r="E18" i="15"/>
  <c r="I19" i="3"/>
  <c r="I23" i="3"/>
  <c r="I27" i="3"/>
  <c r="I31" i="3"/>
  <c r="E17" i="15"/>
  <c r="F6" i="15"/>
  <c r="U6" i="15"/>
  <c r="F5" i="15"/>
  <c r="F4" i="15"/>
  <c r="E6" i="15"/>
  <c r="I8" i="3"/>
  <c r="I12" i="3"/>
  <c r="I16" i="3"/>
  <c r="E5" i="15"/>
  <c r="I7" i="3"/>
  <c r="I11" i="3"/>
  <c r="I15" i="3"/>
  <c r="E4" i="15"/>
  <c r="B84" i="15"/>
  <c r="B83" i="15"/>
  <c r="D83" i="15"/>
  <c r="B82" i="15"/>
  <c r="D82" i="15"/>
  <c r="B147" i="15"/>
  <c r="D147" i="15"/>
  <c r="B162" i="15"/>
  <c r="B161" i="15"/>
  <c r="D161" i="15"/>
  <c r="B160" i="15"/>
  <c r="C162" i="15"/>
  <c r="I162" i="15"/>
  <c r="F200" i="3"/>
  <c r="C161" i="15"/>
  <c r="X161" i="15"/>
  <c r="F199" i="3"/>
  <c r="C160" i="15"/>
  <c r="C82" i="15"/>
  <c r="X82" i="15"/>
  <c r="C84" i="15"/>
  <c r="C83" i="15"/>
  <c r="C71" i="15"/>
  <c r="X71" i="15"/>
  <c r="C70" i="15"/>
  <c r="C68" i="15"/>
  <c r="I70" i="15"/>
  <c r="C69" i="15"/>
  <c r="C58" i="15"/>
  <c r="I58" i="15"/>
  <c r="C57" i="15"/>
  <c r="X57" i="15"/>
  <c r="C56" i="15"/>
  <c r="C45" i="15"/>
  <c r="C44" i="15"/>
  <c r="C43" i="15"/>
  <c r="C32" i="15"/>
  <c r="X32" i="15"/>
  <c r="C31" i="15"/>
  <c r="C30" i="15"/>
  <c r="C19" i="15"/>
  <c r="F32" i="3"/>
  <c r="C18" i="15"/>
  <c r="X18" i="15"/>
  <c r="I18" i="15"/>
  <c r="F19" i="3"/>
  <c r="F27" i="3"/>
  <c r="F31" i="3"/>
  <c r="C17" i="15"/>
  <c r="X17" i="15"/>
  <c r="C6" i="15"/>
  <c r="C5" i="15"/>
  <c r="I5" i="15"/>
  <c r="C4" i="15"/>
  <c r="B123" i="15"/>
  <c r="B122" i="15"/>
  <c r="B121" i="15"/>
  <c r="D121" i="15"/>
  <c r="C136" i="15"/>
  <c r="X136" i="15"/>
  <c r="C123" i="15"/>
  <c r="X123" i="15"/>
  <c r="C149" i="15"/>
  <c r="X149" i="15"/>
  <c r="C148" i="15"/>
  <c r="I148" i="15"/>
  <c r="C147" i="15"/>
  <c r="X147" i="15"/>
  <c r="B149" i="15"/>
  <c r="B148" i="15"/>
  <c r="C135" i="15"/>
  <c r="C134" i="15"/>
  <c r="I134" i="15"/>
  <c r="X134" i="15"/>
  <c r="B136" i="15"/>
  <c r="D136" i="15"/>
  <c r="B135" i="15"/>
  <c r="B134" i="15"/>
  <c r="D134" i="15"/>
  <c r="C122" i="15"/>
  <c r="I122" i="15"/>
  <c r="C121" i="15"/>
  <c r="B71" i="15"/>
  <c r="D71" i="15"/>
  <c r="B70" i="15"/>
  <c r="W70" i="15"/>
  <c r="B69" i="15"/>
  <c r="B58" i="15"/>
  <c r="B57" i="15"/>
  <c r="B56" i="15"/>
  <c r="D56" i="15"/>
  <c r="B45" i="15"/>
  <c r="D45" i="15"/>
  <c r="B44" i="15"/>
  <c r="B43" i="15"/>
  <c r="D43" i="15"/>
  <c r="B32" i="15"/>
  <c r="D32" i="15"/>
  <c r="B31" i="15"/>
  <c r="B30" i="15"/>
  <c r="B19" i="15"/>
  <c r="D19" i="15"/>
  <c r="B18" i="15"/>
  <c r="B17" i="15"/>
  <c r="B6" i="15"/>
  <c r="B5" i="15"/>
  <c r="D5" i="15"/>
  <c r="B4" i="15"/>
  <c r="D4" i="15"/>
  <c r="AA170" i="15"/>
  <c r="C167" i="15"/>
  <c r="E167" i="15"/>
  <c r="G167" i="15"/>
  <c r="AF169" i="15"/>
  <c r="AG169" i="15"/>
  <c r="AH169" i="15"/>
  <c r="AE169" i="15"/>
  <c r="AB169" i="15"/>
  <c r="W169" i="15"/>
  <c r="X169" i="15"/>
  <c r="Y169" i="15"/>
  <c r="T169" i="15"/>
  <c r="U169" i="15"/>
  <c r="V169" i="15"/>
  <c r="Q169" i="15"/>
  <c r="R169" i="15"/>
  <c r="S169" i="15"/>
  <c r="P169" i="15"/>
  <c r="M169" i="15"/>
  <c r="H169" i="15"/>
  <c r="I169" i="15"/>
  <c r="J169" i="15"/>
  <c r="G169" i="15"/>
  <c r="D169" i="15"/>
  <c r="AF168" i="15"/>
  <c r="AG168" i="15"/>
  <c r="AH168" i="15"/>
  <c r="AB168" i="15"/>
  <c r="W168" i="15"/>
  <c r="X168" i="15"/>
  <c r="Y168" i="15"/>
  <c r="U168" i="15"/>
  <c r="R168" i="15"/>
  <c r="M168" i="15"/>
  <c r="I168" i="15"/>
  <c r="G168" i="15"/>
  <c r="D168" i="15"/>
  <c r="AG167" i="15"/>
  <c r="X167" i="15"/>
  <c r="U167" i="15"/>
  <c r="R167" i="15"/>
  <c r="I167" i="15"/>
  <c r="AG165" i="15"/>
  <c r="X165" i="15"/>
  <c r="U165" i="15"/>
  <c r="R165" i="15"/>
  <c r="I165" i="15"/>
  <c r="AG164" i="15"/>
  <c r="AH163" i="15"/>
  <c r="AE163" i="15"/>
  <c r="AB163" i="15"/>
  <c r="X163" i="15"/>
  <c r="U163" i="15"/>
  <c r="I163" i="15"/>
  <c r="R162" i="15"/>
  <c r="AG161" i="15"/>
  <c r="R161" i="15"/>
  <c r="AG160" i="15"/>
  <c r="X160" i="15"/>
  <c r="B154" i="15"/>
  <c r="C154" i="15"/>
  <c r="E154" i="15"/>
  <c r="F154" i="15"/>
  <c r="G154" i="15"/>
  <c r="AF156" i="15"/>
  <c r="AG156" i="15"/>
  <c r="AH156" i="15"/>
  <c r="AE156" i="15"/>
  <c r="AB156" i="15"/>
  <c r="W156" i="15"/>
  <c r="X156" i="15"/>
  <c r="Y156" i="15"/>
  <c r="T156" i="15"/>
  <c r="U156" i="15"/>
  <c r="V156" i="15"/>
  <c r="Q156" i="15"/>
  <c r="R156" i="15"/>
  <c r="S156" i="15"/>
  <c r="P156" i="15"/>
  <c r="M156" i="15"/>
  <c r="H156" i="15"/>
  <c r="I156" i="15"/>
  <c r="J156" i="15"/>
  <c r="G156" i="15"/>
  <c r="D156" i="15"/>
  <c r="AF155" i="15"/>
  <c r="AG155" i="15"/>
  <c r="AH155" i="15"/>
  <c r="AE155" i="15"/>
  <c r="AB155" i="15"/>
  <c r="T155" i="15"/>
  <c r="U155" i="15"/>
  <c r="V155" i="15"/>
  <c r="R155" i="15"/>
  <c r="P155" i="15"/>
  <c r="M155" i="15"/>
  <c r="H155" i="15"/>
  <c r="I155" i="15"/>
  <c r="J155" i="15"/>
  <c r="G155" i="15"/>
  <c r="D155" i="15"/>
  <c r="AG154" i="15"/>
  <c r="X154" i="15"/>
  <c r="U154" i="15"/>
  <c r="R154" i="15"/>
  <c r="I154" i="15"/>
  <c r="X152" i="15"/>
  <c r="U152" i="15"/>
  <c r="R152" i="15"/>
  <c r="AH150" i="15"/>
  <c r="AE150" i="15"/>
  <c r="AB150" i="15"/>
  <c r="U150" i="15"/>
  <c r="R150" i="15"/>
  <c r="M150" i="15"/>
  <c r="I150" i="15"/>
  <c r="AG149" i="15"/>
  <c r="U149" i="15"/>
  <c r="R149" i="15"/>
  <c r="R148" i="15"/>
  <c r="R147" i="15"/>
  <c r="F141" i="15"/>
  <c r="AF143" i="15"/>
  <c r="AG143" i="15"/>
  <c r="AH143" i="15"/>
  <c r="AE143" i="15"/>
  <c r="AB143" i="15"/>
  <c r="W143" i="15"/>
  <c r="X143" i="15"/>
  <c r="Y143" i="15"/>
  <c r="T143" i="15"/>
  <c r="U143" i="15"/>
  <c r="V143" i="15"/>
  <c r="Q143" i="15"/>
  <c r="R143" i="15"/>
  <c r="S143" i="15"/>
  <c r="P143" i="15"/>
  <c r="M143" i="15"/>
  <c r="H143" i="15"/>
  <c r="I143" i="15"/>
  <c r="J143" i="15"/>
  <c r="G143" i="15"/>
  <c r="D143" i="15"/>
  <c r="AF142" i="15"/>
  <c r="AG142" i="15"/>
  <c r="AH142" i="15"/>
  <c r="AE142" i="15"/>
  <c r="AB142" i="15"/>
  <c r="W142" i="15"/>
  <c r="X142" i="15"/>
  <c r="Y142" i="15"/>
  <c r="Q142" i="15"/>
  <c r="R142" i="15"/>
  <c r="S142" i="15"/>
  <c r="M142" i="15"/>
  <c r="H142" i="15"/>
  <c r="I142" i="15"/>
  <c r="J142" i="15"/>
  <c r="D142" i="15"/>
  <c r="AF141" i="15"/>
  <c r="AG141" i="15"/>
  <c r="AH141" i="15"/>
  <c r="AE141" i="15"/>
  <c r="AB141" i="15"/>
  <c r="U141" i="15"/>
  <c r="R141" i="15"/>
  <c r="I141" i="15"/>
  <c r="AG139" i="15"/>
  <c r="U139" i="15"/>
  <c r="AH137" i="15"/>
  <c r="AE137" i="15"/>
  <c r="AB137" i="15"/>
  <c r="X137" i="15"/>
  <c r="U137" i="15"/>
  <c r="R137" i="15"/>
  <c r="I137" i="15"/>
  <c r="AG136" i="15"/>
  <c r="X135" i="15"/>
  <c r="AG134" i="15"/>
  <c r="AB134" i="15"/>
  <c r="R134" i="15"/>
  <c r="F125" i="15"/>
  <c r="C128" i="15"/>
  <c r="F128" i="15"/>
  <c r="AF130" i="15"/>
  <c r="AG130" i="15"/>
  <c r="AH130" i="15"/>
  <c r="AE130" i="15"/>
  <c r="AB130" i="15"/>
  <c r="W130" i="15"/>
  <c r="X130" i="15"/>
  <c r="Y130" i="15"/>
  <c r="T130" i="15"/>
  <c r="U130" i="15"/>
  <c r="V130" i="15"/>
  <c r="Q130" i="15"/>
  <c r="R130" i="15"/>
  <c r="S130" i="15"/>
  <c r="P130" i="15"/>
  <c r="M130" i="15"/>
  <c r="H130" i="15"/>
  <c r="I130" i="15"/>
  <c r="J130" i="15"/>
  <c r="G130" i="15"/>
  <c r="D130" i="15"/>
  <c r="AG129" i="15"/>
  <c r="X129" i="15"/>
  <c r="U129" i="15"/>
  <c r="R129" i="15"/>
  <c r="I129" i="15"/>
  <c r="AG128" i="15"/>
  <c r="X128" i="15"/>
  <c r="U128" i="15"/>
  <c r="R128" i="15"/>
  <c r="I128" i="15"/>
  <c r="U127" i="15"/>
  <c r="AB126" i="15"/>
  <c r="X126" i="15"/>
  <c r="U126" i="15"/>
  <c r="R126" i="15"/>
  <c r="I126" i="15"/>
  <c r="AH124" i="15"/>
  <c r="AE124" i="15"/>
  <c r="AB124" i="15"/>
  <c r="X124" i="15"/>
  <c r="U124" i="15"/>
  <c r="R124" i="15"/>
  <c r="I124" i="15"/>
  <c r="AG123" i="15"/>
  <c r="U123" i="15"/>
  <c r="R123" i="15"/>
  <c r="AG122" i="15"/>
  <c r="U122" i="15"/>
  <c r="R122" i="15"/>
  <c r="B89" i="15"/>
  <c r="C89" i="15"/>
  <c r="F89" i="15"/>
  <c r="AF91" i="15"/>
  <c r="AG91" i="15"/>
  <c r="AH91" i="15"/>
  <c r="AE91" i="15"/>
  <c r="AB91" i="15"/>
  <c r="W91" i="15"/>
  <c r="X91" i="15"/>
  <c r="Y91" i="15"/>
  <c r="T91" i="15"/>
  <c r="U91" i="15"/>
  <c r="V91" i="15"/>
  <c r="Q91" i="15"/>
  <c r="R91" i="15"/>
  <c r="S91" i="15"/>
  <c r="P91" i="15"/>
  <c r="M91" i="15"/>
  <c r="H91" i="15"/>
  <c r="I91" i="15"/>
  <c r="J91" i="15"/>
  <c r="G91" i="15"/>
  <c r="D91" i="15"/>
  <c r="AE90" i="15"/>
  <c r="X90" i="15"/>
  <c r="U90" i="15"/>
  <c r="R90" i="15"/>
  <c r="M90" i="15"/>
  <c r="H90" i="15"/>
  <c r="I90" i="15"/>
  <c r="J90" i="15"/>
  <c r="D90" i="15"/>
  <c r="AG89" i="15"/>
  <c r="AE89" i="15"/>
  <c r="X89" i="15"/>
  <c r="U89" i="15"/>
  <c r="R89" i="15"/>
  <c r="M89" i="15"/>
  <c r="I89" i="15"/>
  <c r="AG87" i="15"/>
  <c r="U87" i="15"/>
  <c r="R87" i="15"/>
  <c r="AH85" i="15"/>
  <c r="AE85" i="15"/>
  <c r="AB85" i="15"/>
  <c r="X85" i="15"/>
  <c r="U85" i="15"/>
  <c r="R85" i="15"/>
  <c r="I85" i="15"/>
  <c r="AG83" i="15"/>
  <c r="R83" i="15"/>
  <c r="R82" i="15"/>
  <c r="B76" i="15"/>
  <c r="C76" i="15"/>
  <c r="F76" i="15"/>
  <c r="AF78" i="15"/>
  <c r="AG78" i="15"/>
  <c r="AH78" i="15"/>
  <c r="AE78" i="15"/>
  <c r="AB78" i="15"/>
  <c r="W78" i="15"/>
  <c r="X78" i="15"/>
  <c r="Y78" i="15"/>
  <c r="T78" i="15"/>
  <c r="U78" i="15"/>
  <c r="V78" i="15"/>
  <c r="Q78" i="15"/>
  <c r="R78" i="15"/>
  <c r="S78" i="15"/>
  <c r="P78" i="15"/>
  <c r="M78" i="15"/>
  <c r="H78" i="15"/>
  <c r="I78" i="15"/>
  <c r="J78" i="15"/>
  <c r="G78" i="15"/>
  <c r="D78" i="15"/>
  <c r="AG77" i="15"/>
  <c r="AE77" i="15"/>
  <c r="W77" i="15"/>
  <c r="X77" i="15"/>
  <c r="Y77" i="15"/>
  <c r="T77" i="15"/>
  <c r="U77" i="15"/>
  <c r="V77" i="15"/>
  <c r="Q77" i="15"/>
  <c r="R77" i="15"/>
  <c r="S77" i="15"/>
  <c r="P77" i="15"/>
  <c r="M77" i="15"/>
  <c r="H77" i="15"/>
  <c r="I77" i="15"/>
  <c r="J77" i="15"/>
  <c r="G77" i="15"/>
  <c r="D77" i="15"/>
  <c r="AG76" i="15"/>
  <c r="X76" i="15"/>
  <c r="U76" i="15"/>
  <c r="R76" i="15"/>
  <c r="M76" i="15"/>
  <c r="I76" i="15"/>
  <c r="D76" i="15"/>
  <c r="AG74" i="15"/>
  <c r="R74" i="15"/>
  <c r="AH72" i="15"/>
  <c r="AE72" i="15"/>
  <c r="AB72" i="15"/>
  <c r="X72" i="15"/>
  <c r="U72" i="15"/>
  <c r="R72" i="15"/>
  <c r="P72" i="15"/>
  <c r="I72" i="15"/>
  <c r="R70" i="15"/>
  <c r="AG69" i="15"/>
  <c r="R69" i="15"/>
  <c r="B63" i="15"/>
  <c r="E63" i="15"/>
  <c r="H63" i="15"/>
  <c r="C63" i="15"/>
  <c r="F63" i="15"/>
  <c r="I63" i="15"/>
  <c r="J63" i="15"/>
  <c r="AF65" i="15"/>
  <c r="AG65" i="15"/>
  <c r="AH65" i="15"/>
  <c r="AE65" i="15"/>
  <c r="AB65" i="15"/>
  <c r="W65" i="15"/>
  <c r="X65" i="15"/>
  <c r="Y65" i="15"/>
  <c r="T65" i="15"/>
  <c r="U65" i="15"/>
  <c r="V65" i="15"/>
  <c r="Q65" i="15"/>
  <c r="R65" i="15"/>
  <c r="S65" i="15"/>
  <c r="P65" i="15"/>
  <c r="M65" i="15"/>
  <c r="H65" i="15"/>
  <c r="I65" i="15"/>
  <c r="J65" i="15"/>
  <c r="G65" i="15"/>
  <c r="D65" i="15"/>
  <c r="AG64" i="15"/>
  <c r="X64" i="15"/>
  <c r="Q64" i="15"/>
  <c r="R64" i="15"/>
  <c r="S64" i="15"/>
  <c r="M64" i="15"/>
  <c r="AG63" i="15"/>
  <c r="X63" i="15"/>
  <c r="U63" i="15"/>
  <c r="R63" i="15"/>
  <c r="AE61" i="15"/>
  <c r="U61" i="15"/>
  <c r="R61" i="15"/>
  <c r="AH59" i="15"/>
  <c r="AE59" i="15"/>
  <c r="AB59" i="15"/>
  <c r="U59" i="15"/>
  <c r="R59" i="15"/>
  <c r="I59" i="15"/>
  <c r="AG58" i="15"/>
  <c r="AG57" i="15"/>
  <c r="AG56" i="15"/>
  <c r="R56" i="15"/>
  <c r="B50" i="15"/>
  <c r="E50" i="15"/>
  <c r="H50" i="15"/>
  <c r="C50" i="15"/>
  <c r="F50" i="15"/>
  <c r="I50" i="15"/>
  <c r="J50" i="15"/>
  <c r="AF52" i="15"/>
  <c r="AG52" i="15"/>
  <c r="AH52" i="15"/>
  <c r="AE52" i="15"/>
  <c r="AB52" i="15"/>
  <c r="W52" i="15"/>
  <c r="X52" i="15"/>
  <c r="Y52" i="15"/>
  <c r="T52" i="15"/>
  <c r="U52" i="15"/>
  <c r="V52" i="15"/>
  <c r="Q52" i="15"/>
  <c r="R52" i="15"/>
  <c r="S52" i="15"/>
  <c r="P52" i="15"/>
  <c r="M52" i="15"/>
  <c r="H52" i="15"/>
  <c r="I52" i="15"/>
  <c r="J52" i="15"/>
  <c r="G52" i="15"/>
  <c r="D52" i="15"/>
  <c r="AF51" i="15"/>
  <c r="AG51" i="15"/>
  <c r="AH51" i="15"/>
  <c r="AB51" i="15"/>
  <c r="X51" i="15"/>
  <c r="U51" i="15"/>
  <c r="P51" i="15"/>
  <c r="M51" i="15"/>
  <c r="AG50" i="15"/>
  <c r="AB50" i="15"/>
  <c r="X50" i="15"/>
  <c r="U50" i="15"/>
  <c r="R50" i="15"/>
  <c r="M50" i="15"/>
  <c r="AG49" i="15"/>
  <c r="R49" i="15"/>
  <c r="AG48" i="15"/>
  <c r="U48" i="15"/>
  <c r="AH46" i="15"/>
  <c r="AE46" i="15"/>
  <c r="AB46" i="15"/>
  <c r="X46" i="15"/>
  <c r="U46" i="15"/>
  <c r="R46" i="15"/>
  <c r="I46" i="15"/>
  <c r="R45" i="15"/>
  <c r="U44" i="15"/>
  <c r="M44" i="15"/>
  <c r="AG43" i="15"/>
  <c r="E37" i="15"/>
  <c r="F37" i="15"/>
  <c r="AF39" i="15"/>
  <c r="AG39" i="15"/>
  <c r="AH39" i="15"/>
  <c r="AE39" i="15"/>
  <c r="AB39" i="15"/>
  <c r="W39" i="15"/>
  <c r="X39" i="15"/>
  <c r="Y39" i="15"/>
  <c r="T39" i="15"/>
  <c r="U39" i="15"/>
  <c r="V39" i="15"/>
  <c r="Q39" i="15"/>
  <c r="R39" i="15"/>
  <c r="S39" i="15"/>
  <c r="P39" i="15"/>
  <c r="M39" i="15"/>
  <c r="H39" i="15"/>
  <c r="I39" i="15"/>
  <c r="J39" i="15"/>
  <c r="G39" i="15"/>
  <c r="D39" i="15"/>
  <c r="AF38" i="15"/>
  <c r="AG38" i="15"/>
  <c r="AH38" i="15"/>
  <c r="AE38" i="15"/>
  <c r="AB38" i="15"/>
  <c r="W38" i="15"/>
  <c r="X38" i="15"/>
  <c r="Y38" i="15"/>
  <c r="T38" i="15"/>
  <c r="U38" i="15"/>
  <c r="V38" i="15"/>
  <c r="Q38" i="15"/>
  <c r="R38" i="15"/>
  <c r="S38" i="15"/>
  <c r="P38" i="15"/>
  <c r="M38" i="15"/>
  <c r="AF37" i="15"/>
  <c r="AG37" i="15"/>
  <c r="AH37" i="15"/>
  <c r="AB37" i="15"/>
  <c r="U37" i="15"/>
  <c r="R37" i="15"/>
  <c r="I37" i="15"/>
  <c r="G37" i="15"/>
  <c r="AG35" i="15"/>
  <c r="X35" i="15"/>
  <c r="U35" i="15"/>
  <c r="R35" i="15"/>
  <c r="AH33" i="15"/>
  <c r="AE33" i="15"/>
  <c r="AB33" i="15"/>
  <c r="X33" i="15"/>
  <c r="U33" i="15"/>
  <c r="R33" i="15"/>
  <c r="I33" i="15"/>
  <c r="AG32" i="15"/>
  <c r="R32" i="15"/>
  <c r="AG30" i="15"/>
  <c r="B24" i="15"/>
  <c r="E24" i="15"/>
  <c r="H24" i="15"/>
  <c r="C24" i="15"/>
  <c r="F24" i="15"/>
  <c r="I24" i="15"/>
  <c r="J24" i="15"/>
  <c r="AF26" i="15"/>
  <c r="AG26" i="15"/>
  <c r="AH26" i="15"/>
  <c r="AE26" i="15"/>
  <c r="AB26" i="15"/>
  <c r="W26" i="15"/>
  <c r="X26" i="15"/>
  <c r="Y26" i="15"/>
  <c r="T26" i="15"/>
  <c r="U26" i="15"/>
  <c r="V26" i="15"/>
  <c r="Q26" i="15"/>
  <c r="R26" i="15"/>
  <c r="S26" i="15"/>
  <c r="P26" i="15"/>
  <c r="M26" i="15"/>
  <c r="H26" i="15"/>
  <c r="I26" i="15"/>
  <c r="J26" i="15"/>
  <c r="G26" i="15"/>
  <c r="D26" i="15"/>
  <c r="AG25" i="15"/>
  <c r="X25" i="15"/>
  <c r="R25" i="15"/>
  <c r="M25" i="15"/>
  <c r="H25" i="15"/>
  <c r="I25" i="15"/>
  <c r="J25" i="15"/>
  <c r="G25" i="15"/>
  <c r="D25" i="15"/>
  <c r="AG24" i="15"/>
  <c r="X24" i="15"/>
  <c r="U24" i="15"/>
  <c r="P24" i="15"/>
  <c r="M24" i="15"/>
  <c r="X22" i="15"/>
  <c r="U22" i="15"/>
  <c r="R22" i="15"/>
  <c r="AH20" i="15"/>
  <c r="AE20" i="15"/>
  <c r="AB20" i="15"/>
  <c r="X20" i="15"/>
  <c r="U20" i="15"/>
  <c r="I20" i="15"/>
  <c r="AG18" i="15"/>
  <c r="AD104" i="15"/>
  <c r="AC104" i="15"/>
  <c r="AA104" i="15"/>
  <c r="Z104" i="15"/>
  <c r="O104" i="15"/>
  <c r="N104" i="15"/>
  <c r="L104" i="15"/>
  <c r="K104" i="15"/>
  <c r="F104" i="15"/>
  <c r="E104" i="15"/>
  <c r="C104" i="15"/>
  <c r="B104" i="15"/>
  <c r="AA114" i="6"/>
  <c r="AA118" i="6"/>
  <c r="AA122" i="6"/>
  <c r="AA126" i="6"/>
  <c r="AD103" i="15"/>
  <c r="Z114" i="6"/>
  <c r="Z118" i="6"/>
  <c r="Z122" i="6"/>
  <c r="Z126" i="6"/>
  <c r="AC103" i="15"/>
  <c r="X114" i="6"/>
  <c r="X118" i="6"/>
  <c r="X122" i="6"/>
  <c r="X126" i="6"/>
  <c r="AA103" i="15"/>
  <c r="W114" i="6"/>
  <c r="W118" i="6"/>
  <c r="W122" i="6"/>
  <c r="W126" i="6"/>
  <c r="Z103" i="15"/>
  <c r="R114" i="6"/>
  <c r="R118" i="6"/>
  <c r="R122" i="6"/>
  <c r="R126" i="6"/>
  <c r="O103" i="15"/>
  <c r="Q114" i="6"/>
  <c r="Q118" i="6"/>
  <c r="Q122" i="6"/>
  <c r="Q126" i="6"/>
  <c r="N103" i="15"/>
  <c r="O114" i="6"/>
  <c r="O118" i="6"/>
  <c r="O122" i="6"/>
  <c r="O126" i="6"/>
  <c r="L103" i="15"/>
  <c r="N114" i="6"/>
  <c r="N118" i="6"/>
  <c r="N122" i="6"/>
  <c r="N126" i="6"/>
  <c r="K103" i="15"/>
  <c r="I114" i="6"/>
  <c r="I118" i="6"/>
  <c r="I122" i="6"/>
  <c r="I126" i="6"/>
  <c r="F103" i="15"/>
  <c r="H114" i="6"/>
  <c r="H118" i="6"/>
  <c r="H122" i="6"/>
  <c r="H126" i="6"/>
  <c r="E103" i="15"/>
  <c r="F114" i="6"/>
  <c r="F118" i="6"/>
  <c r="F122" i="6"/>
  <c r="F126" i="6"/>
  <c r="C103" i="15"/>
  <c r="E114" i="6"/>
  <c r="E118" i="6"/>
  <c r="E122" i="6"/>
  <c r="E126" i="6"/>
  <c r="B103" i="15"/>
  <c r="AD101" i="15"/>
  <c r="AJ170" i="5"/>
  <c r="AJ176" i="5"/>
  <c r="AJ182" i="5"/>
  <c r="AJ188" i="5"/>
  <c r="AD100" i="15"/>
  <c r="AD99" i="15"/>
  <c r="AD105" i="15"/>
  <c r="AC101" i="15"/>
  <c r="AA101" i="15"/>
  <c r="Z101" i="15"/>
  <c r="AF170" i="5"/>
  <c r="AF176" i="5"/>
  <c r="AF182" i="5"/>
  <c r="AF188" i="5"/>
  <c r="Z100" i="15"/>
  <c r="Z99" i="15"/>
  <c r="Z105" i="15"/>
  <c r="O101" i="15"/>
  <c r="X170" i="5"/>
  <c r="X176" i="5"/>
  <c r="X182" i="5"/>
  <c r="X188" i="5"/>
  <c r="O100" i="15"/>
  <c r="O99" i="15"/>
  <c r="N101" i="15"/>
  <c r="L101" i="15"/>
  <c r="K101" i="15"/>
  <c r="T170" i="5"/>
  <c r="T176" i="5"/>
  <c r="T182" i="5"/>
  <c r="T188" i="5"/>
  <c r="K100" i="15"/>
  <c r="K99" i="15"/>
  <c r="K105" i="15"/>
  <c r="I30" i="12"/>
  <c r="Q30" i="12"/>
  <c r="I31" i="12"/>
  <c r="F101" i="15"/>
  <c r="I170" i="5"/>
  <c r="L170" i="5"/>
  <c r="I176" i="5"/>
  <c r="L176" i="5"/>
  <c r="I182" i="5"/>
  <c r="L182" i="5"/>
  <c r="I188" i="5"/>
  <c r="L188" i="5"/>
  <c r="F100" i="15"/>
  <c r="F99" i="15"/>
  <c r="F105" i="15"/>
  <c r="I32" i="12"/>
  <c r="I33" i="12"/>
  <c r="H30" i="12"/>
  <c r="K30" i="12"/>
  <c r="H31" i="12"/>
  <c r="H32" i="12"/>
  <c r="E101" i="15"/>
  <c r="H33" i="12"/>
  <c r="AI170" i="5"/>
  <c r="AI176" i="5"/>
  <c r="AI182" i="5"/>
  <c r="AI188" i="5"/>
  <c r="AC100" i="15"/>
  <c r="AG170" i="5"/>
  <c r="AG176" i="5"/>
  <c r="AG182" i="5"/>
  <c r="AG188" i="5"/>
  <c r="AA100" i="15"/>
  <c r="W170" i="5"/>
  <c r="W176" i="5"/>
  <c r="W182" i="5"/>
  <c r="W188" i="5"/>
  <c r="N100" i="15"/>
  <c r="U170" i="5"/>
  <c r="U176" i="5"/>
  <c r="U182" i="5"/>
  <c r="U188" i="5"/>
  <c r="L100" i="15"/>
  <c r="O98" i="15"/>
  <c r="N98" i="15"/>
  <c r="L98" i="15"/>
  <c r="K98" i="15"/>
  <c r="U30" i="4"/>
  <c r="I30" i="4"/>
  <c r="U31" i="4"/>
  <c r="I31" i="4"/>
  <c r="U32" i="4"/>
  <c r="I32" i="4"/>
  <c r="U33" i="4"/>
  <c r="I33" i="4"/>
  <c r="F98" i="15"/>
  <c r="H30" i="4"/>
  <c r="H31" i="4"/>
  <c r="H32" i="4"/>
  <c r="H33" i="4"/>
  <c r="E98" i="15"/>
  <c r="C98" i="15"/>
  <c r="B98" i="15"/>
  <c r="AC96" i="15"/>
  <c r="AL116" i="3"/>
  <c r="AL120" i="3"/>
  <c r="AL124" i="3"/>
  <c r="AL128" i="3"/>
  <c r="AD96" i="15"/>
  <c r="AC97" i="15"/>
  <c r="AD97" i="15"/>
  <c r="AL115" i="3"/>
  <c r="AL119" i="3"/>
  <c r="AL123" i="3"/>
  <c r="AL127" i="3"/>
  <c r="AD95" i="15"/>
  <c r="AK115" i="3"/>
  <c r="AK119" i="3"/>
  <c r="AK123" i="3"/>
  <c r="AK127" i="3"/>
  <c r="AC95" i="15"/>
  <c r="AH115" i="3"/>
  <c r="AH119" i="3"/>
  <c r="AH123" i="3"/>
  <c r="AH127" i="3"/>
  <c r="AA95" i="15"/>
  <c r="AH116" i="3"/>
  <c r="AH120" i="3"/>
  <c r="AH124" i="3"/>
  <c r="AH128" i="3"/>
  <c r="AA96" i="15"/>
  <c r="AA97" i="15"/>
  <c r="Z96" i="15"/>
  <c r="Z97" i="15"/>
  <c r="AG115" i="3"/>
  <c r="AG119" i="3"/>
  <c r="AG123" i="3"/>
  <c r="AG127" i="3"/>
  <c r="Z95" i="15"/>
  <c r="N96" i="15"/>
  <c r="O96" i="15"/>
  <c r="N97" i="15"/>
  <c r="O97" i="15"/>
  <c r="O95" i="15"/>
  <c r="N95" i="15"/>
  <c r="K96" i="15"/>
  <c r="L96" i="15"/>
  <c r="K97" i="15"/>
  <c r="L97" i="15"/>
  <c r="L95" i="15"/>
  <c r="K95" i="15"/>
  <c r="J116" i="3"/>
  <c r="J120" i="3"/>
  <c r="J124" i="3"/>
  <c r="J128" i="3"/>
  <c r="F96" i="15"/>
  <c r="E97" i="15"/>
  <c r="F97" i="15"/>
  <c r="J115" i="3"/>
  <c r="J119" i="3"/>
  <c r="J123" i="3"/>
  <c r="J127" i="3"/>
  <c r="F95" i="15"/>
  <c r="I115" i="3"/>
  <c r="I119" i="3"/>
  <c r="I123" i="3"/>
  <c r="I127" i="3"/>
  <c r="E95" i="15"/>
  <c r="B96" i="15"/>
  <c r="C96" i="15"/>
  <c r="B97" i="15"/>
  <c r="C97" i="15"/>
  <c r="C95" i="15"/>
  <c r="B95" i="15"/>
  <c r="AC117" i="15"/>
  <c r="AA117" i="15"/>
  <c r="Z117" i="15"/>
  <c r="O117" i="15"/>
  <c r="N117" i="15"/>
  <c r="L117" i="15"/>
  <c r="K117" i="15"/>
  <c r="F117" i="15"/>
  <c r="E117" i="15"/>
  <c r="C117" i="15"/>
  <c r="B117" i="15"/>
  <c r="AA130" i="6"/>
  <c r="AA134" i="6"/>
  <c r="AA138" i="6"/>
  <c r="AA142" i="6"/>
  <c r="AD116" i="15"/>
  <c r="Z130" i="6"/>
  <c r="Z134" i="6"/>
  <c r="Z138" i="6"/>
  <c r="Z142" i="6"/>
  <c r="AC116" i="15"/>
  <c r="X130" i="6"/>
  <c r="X134" i="6"/>
  <c r="X138" i="6"/>
  <c r="X142" i="6"/>
  <c r="AA116" i="15"/>
  <c r="W130" i="6"/>
  <c r="W134" i="6"/>
  <c r="W138" i="6"/>
  <c r="W142" i="6"/>
  <c r="Z116" i="15"/>
  <c r="R130" i="6"/>
  <c r="R134" i="6"/>
  <c r="R138" i="6"/>
  <c r="R142" i="6"/>
  <c r="O116" i="15"/>
  <c r="Q130" i="6"/>
  <c r="Q134" i="6"/>
  <c r="Q138" i="6"/>
  <c r="Q142" i="6"/>
  <c r="N116" i="15"/>
  <c r="O130" i="6"/>
  <c r="O134" i="6"/>
  <c r="O138" i="6"/>
  <c r="O142" i="6"/>
  <c r="L116" i="15"/>
  <c r="N130" i="6"/>
  <c r="N134" i="6"/>
  <c r="N138" i="6"/>
  <c r="N142" i="6"/>
  <c r="K116" i="15"/>
  <c r="I130" i="6"/>
  <c r="I134" i="6"/>
  <c r="I138" i="6"/>
  <c r="I142" i="6"/>
  <c r="F116" i="15"/>
  <c r="H130" i="6"/>
  <c r="H134" i="6"/>
  <c r="H138" i="6"/>
  <c r="H142" i="6"/>
  <c r="E116" i="15"/>
  <c r="F130" i="6"/>
  <c r="F134" i="6"/>
  <c r="F138" i="6"/>
  <c r="F142" i="6"/>
  <c r="C116" i="15"/>
  <c r="E130" i="6"/>
  <c r="E134" i="6"/>
  <c r="E138" i="6"/>
  <c r="E142" i="6"/>
  <c r="B116" i="15"/>
  <c r="AC206" i="6"/>
  <c r="AD206" i="6"/>
  <c r="AE206" i="6"/>
  <c r="AB206" i="6"/>
  <c r="Y206" i="6"/>
  <c r="T206" i="6"/>
  <c r="U206" i="6"/>
  <c r="V206" i="6"/>
  <c r="S206" i="6"/>
  <c r="P206" i="6"/>
  <c r="K206" i="6"/>
  <c r="L206" i="6"/>
  <c r="M206" i="6"/>
  <c r="J206" i="6"/>
  <c r="G206" i="6"/>
  <c r="AC202" i="6"/>
  <c r="AD202" i="6"/>
  <c r="AE202" i="6"/>
  <c r="AB202" i="6"/>
  <c r="Y202" i="6"/>
  <c r="T202" i="6"/>
  <c r="U202" i="6"/>
  <c r="V202" i="6"/>
  <c r="S202" i="6"/>
  <c r="P202" i="6"/>
  <c r="K202" i="6"/>
  <c r="L202" i="6"/>
  <c r="M202" i="6"/>
  <c r="J202" i="6"/>
  <c r="G202" i="6"/>
  <c r="AC198" i="6"/>
  <c r="AD198" i="6"/>
  <c r="AE198" i="6"/>
  <c r="AB198" i="6"/>
  <c r="Y198" i="6"/>
  <c r="T198" i="6"/>
  <c r="U198" i="6"/>
  <c r="V198" i="6"/>
  <c r="S198" i="6"/>
  <c r="P198" i="6"/>
  <c r="K198" i="6"/>
  <c r="L198" i="6"/>
  <c r="M198" i="6"/>
  <c r="J198" i="6"/>
  <c r="G198" i="6"/>
  <c r="AC194" i="6"/>
  <c r="AD194" i="6"/>
  <c r="AE194" i="6"/>
  <c r="AB194" i="6"/>
  <c r="Y194" i="6"/>
  <c r="T194" i="6"/>
  <c r="U194" i="6"/>
  <c r="V194" i="6"/>
  <c r="S194" i="6"/>
  <c r="P194" i="6"/>
  <c r="K194" i="6"/>
  <c r="L194" i="6"/>
  <c r="M194" i="6"/>
  <c r="J194" i="6"/>
  <c r="G194" i="6"/>
  <c r="AC190" i="6"/>
  <c r="AA190" i="6"/>
  <c r="AD190" i="6"/>
  <c r="AE190" i="6"/>
  <c r="AB190" i="6"/>
  <c r="Y190" i="6"/>
  <c r="T190" i="6"/>
  <c r="U190" i="6"/>
  <c r="V190" i="6"/>
  <c r="S190" i="6"/>
  <c r="P190" i="6"/>
  <c r="K190" i="6"/>
  <c r="L190" i="6"/>
  <c r="M190" i="6"/>
  <c r="J190" i="6"/>
  <c r="G190" i="6"/>
  <c r="AC186" i="6"/>
  <c r="AA186" i="6"/>
  <c r="AD186" i="6"/>
  <c r="AE186" i="6"/>
  <c r="AB186" i="6"/>
  <c r="Y186" i="6"/>
  <c r="T186" i="6"/>
  <c r="U186" i="6"/>
  <c r="V186" i="6"/>
  <c r="S186" i="6"/>
  <c r="P186" i="6"/>
  <c r="K186" i="6"/>
  <c r="L186" i="6"/>
  <c r="M186" i="6"/>
  <c r="J186" i="6"/>
  <c r="G186" i="6"/>
  <c r="AC182" i="6"/>
  <c r="AA182" i="6"/>
  <c r="AD182" i="6"/>
  <c r="AE182" i="6"/>
  <c r="AB182" i="6"/>
  <c r="Y182" i="6"/>
  <c r="T182" i="6"/>
  <c r="U182" i="6"/>
  <c r="V182" i="6"/>
  <c r="S182" i="6"/>
  <c r="P182" i="6"/>
  <c r="K182" i="6"/>
  <c r="L182" i="6"/>
  <c r="M182" i="6"/>
  <c r="J182" i="6"/>
  <c r="G182" i="6"/>
  <c r="AC178" i="6"/>
  <c r="AA178" i="6"/>
  <c r="AD178" i="6"/>
  <c r="AE178" i="6"/>
  <c r="AB178" i="6"/>
  <c r="Y178" i="6"/>
  <c r="T178" i="6"/>
  <c r="U178" i="6"/>
  <c r="V178" i="6"/>
  <c r="S178" i="6"/>
  <c r="P178" i="6"/>
  <c r="K178" i="6"/>
  <c r="L178" i="6"/>
  <c r="M178" i="6"/>
  <c r="J178" i="6"/>
  <c r="G178" i="6"/>
  <c r="AC174" i="6"/>
  <c r="AD174" i="6"/>
  <c r="AE174" i="6"/>
  <c r="AB174" i="6"/>
  <c r="Y174" i="6"/>
  <c r="T174" i="6"/>
  <c r="U174" i="6"/>
  <c r="V174" i="6"/>
  <c r="S174" i="6"/>
  <c r="P174" i="6"/>
  <c r="K174" i="6"/>
  <c r="L174" i="6"/>
  <c r="M174" i="6"/>
  <c r="J174" i="6"/>
  <c r="G174" i="6"/>
  <c r="AC170" i="6"/>
  <c r="AD170" i="6"/>
  <c r="AE170" i="6"/>
  <c r="AB170" i="6"/>
  <c r="Y170" i="6"/>
  <c r="T170" i="6"/>
  <c r="U170" i="6"/>
  <c r="V170" i="6"/>
  <c r="S170" i="6"/>
  <c r="P170" i="6"/>
  <c r="K170" i="6"/>
  <c r="L170" i="6"/>
  <c r="M170" i="6"/>
  <c r="J170" i="6"/>
  <c r="G170" i="6"/>
  <c r="AC166" i="6"/>
  <c r="AD166" i="6"/>
  <c r="AE166" i="6"/>
  <c r="AB166" i="6"/>
  <c r="Y166" i="6"/>
  <c r="T166" i="6"/>
  <c r="U166" i="6"/>
  <c r="V166" i="6"/>
  <c r="S166" i="6"/>
  <c r="P166" i="6"/>
  <c r="K166" i="6"/>
  <c r="L166" i="6"/>
  <c r="M166" i="6"/>
  <c r="J166" i="6"/>
  <c r="G166" i="6"/>
  <c r="AC162" i="6"/>
  <c r="AD162" i="6"/>
  <c r="AE162" i="6"/>
  <c r="AB162" i="6"/>
  <c r="Y162" i="6"/>
  <c r="T162" i="6"/>
  <c r="U162" i="6"/>
  <c r="V162" i="6"/>
  <c r="S162" i="6"/>
  <c r="P162" i="6"/>
  <c r="K162" i="6"/>
  <c r="L162" i="6"/>
  <c r="M162" i="6"/>
  <c r="J162" i="6"/>
  <c r="G162" i="6"/>
  <c r="W158" i="6"/>
  <c r="Z12" i="14"/>
  <c r="Z13" i="14"/>
  <c r="Z11" i="14"/>
  <c r="Z158" i="6"/>
  <c r="Z146" i="6"/>
  <c r="Z150" i="6"/>
  <c r="Z154" i="6"/>
  <c r="AC129" i="15"/>
  <c r="AD158" i="6"/>
  <c r="AB158" i="6"/>
  <c r="Y158" i="6"/>
  <c r="E158" i="6"/>
  <c r="B12" i="14"/>
  <c r="Q158" i="6"/>
  <c r="Q146" i="6"/>
  <c r="Q150" i="6"/>
  <c r="Q154" i="6"/>
  <c r="N129" i="15"/>
  <c r="U158" i="6"/>
  <c r="S158" i="6"/>
  <c r="N158" i="6"/>
  <c r="K12" i="14"/>
  <c r="P158" i="6"/>
  <c r="E12" i="14"/>
  <c r="K158" i="6"/>
  <c r="L158" i="6"/>
  <c r="M158" i="6"/>
  <c r="J158" i="6"/>
  <c r="W154" i="6"/>
  <c r="AC154" i="6"/>
  <c r="AD154" i="6"/>
  <c r="AE154" i="6"/>
  <c r="AB154" i="6"/>
  <c r="Y154" i="6"/>
  <c r="T154" i="6"/>
  <c r="U154" i="6"/>
  <c r="V154" i="6"/>
  <c r="S154" i="6"/>
  <c r="N154" i="6"/>
  <c r="P154" i="6"/>
  <c r="K154" i="6"/>
  <c r="L154" i="6"/>
  <c r="M154" i="6"/>
  <c r="J154" i="6"/>
  <c r="G154" i="6"/>
  <c r="W150" i="6"/>
  <c r="AC150" i="6"/>
  <c r="AD150" i="6"/>
  <c r="AE150" i="6"/>
  <c r="AB150" i="6"/>
  <c r="Y150" i="6"/>
  <c r="E150" i="6"/>
  <c r="T150" i="6"/>
  <c r="U150" i="6"/>
  <c r="V150" i="6"/>
  <c r="S150" i="6"/>
  <c r="N150" i="6"/>
  <c r="P150" i="6"/>
  <c r="K150" i="6"/>
  <c r="L150" i="6"/>
  <c r="M150" i="6"/>
  <c r="J150" i="6"/>
  <c r="G150" i="6"/>
  <c r="W146" i="6"/>
  <c r="AC146" i="6"/>
  <c r="AD146" i="6"/>
  <c r="AE146" i="6"/>
  <c r="AB146" i="6"/>
  <c r="Y146" i="6"/>
  <c r="T146" i="6"/>
  <c r="U146" i="6"/>
  <c r="V146" i="6"/>
  <c r="S146" i="6"/>
  <c r="P146" i="6"/>
  <c r="K146" i="6"/>
  <c r="L146" i="6"/>
  <c r="M146" i="6"/>
  <c r="J146" i="6"/>
  <c r="G146" i="6"/>
  <c r="AC142" i="6"/>
  <c r="AD142" i="6"/>
  <c r="AE142" i="6"/>
  <c r="AB142" i="6"/>
  <c r="Y142" i="6"/>
  <c r="T142" i="6"/>
  <c r="U142" i="6"/>
  <c r="V142" i="6"/>
  <c r="S142" i="6"/>
  <c r="P142" i="6"/>
  <c r="K142" i="6"/>
  <c r="L142" i="6"/>
  <c r="M142" i="6"/>
  <c r="J142" i="6"/>
  <c r="G142" i="6"/>
  <c r="AC138" i="6"/>
  <c r="AD138" i="6"/>
  <c r="AE138" i="6"/>
  <c r="AB138" i="6"/>
  <c r="Y138" i="6"/>
  <c r="T138" i="6"/>
  <c r="U138" i="6"/>
  <c r="V138" i="6"/>
  <c r="S138" i="6"/>
  <c r="P138" i="6"/>
  <c r="K138" i="6"/>
  <c r="L138" i="6"/>
  <c r="M138" i="6"/>
  <c r="J138" i="6"/>
  <c r="G138" i="6"/>
  <c r="AC134" i="6"/>
  <c r="AD134" i="6"/>
  <c r="AE134" i="6"/>
  <c r="AB134" i="6"/>
  <c r="Y134" i="6"/>
  <c r="T134" i="6"/>
  <c r="U134" i="6"/>
  <c r="V134" i="6"/>
  <c r="S134" i="6"/>
  <c r="P134" i="6"/>
  <c r="K134" i="6"/>
  <c r="L134" i="6"/>
  <c r="M134" i="6"/>
  <c r="J134" i="6"/>
  <c r="G134" i="6"/>
  <c r="AC130" i="6"/>
  <c r="AD130" i="6"/>
  <c r="AE130" i="6"/>
  <c r="AB130" i="6"/>
  <c r="Y130" i="6"/>
  <c r="T130" i="6"/>
  <c r="U130" i="6"/>
  <c r="V130" i="6"/>
  <c r="S130" i="6"/>
  <c r="P130" i="6"/>
  <c r="K130" i="6"/>
  <c r="L130" i="6"/>
  <c r="M130" i="6"/>
  <c r="J130" i="6"/>
  <c r="G130" i="6"/>
  <c r="AC126" i="6"/>
  <c r="AD126" i="6"/>
  <c r="AE126" i="6"/>
  <c r="AB126" i="6"/>
  <c r="Y126" i="6"/>
  <c r="T126" i="6"/>
  <c r="U126" i="6"/>
  <c r="V126" i="6"/>
  <c r="S126" i="6"/>
  <c r="P126" i="6"/>
  <c r="K126" i="6"/>
  <c r="L126" i="6"/>
  <c r="M126" i="6"/>
  <c r="J126" i="6"/>
  <c r="G126" i="6"/>
  <c r="AC122" i="6"/>
  <c r="AD122" i="6"/>
  <c r="AE122" i="6"/>
  <c r="AB122" i="6"/>
  <c r="Y122" i="6"/>
  <c r="T122" i="6"/>
  <c r="U122" i="6"/>
  <c r="V122" i="6"/>
  <c r="S122" i="6"/>
  <c r="P122" i="6"/>
  <c r="K122" i="6"/>
  <c r="L122" i="6"/>
  <c r="M122" i="6"/>
  <c r="J122" i="6"/>
  <c r="G122" i="6"/>
  <c r="AC118" i="6"/>
  <c r="AD118" i="6"/>
  <c r="AE118" i="6"/>
  <c r="AB118" i="6"/>
  <c r="Y118" i="6"/>
  <c r="T118" i="6"/>
  <c r="U118" i="6"/>
  <c r="V118" i="6"/>
  <c r="S118" i="6"/>
  <c r="P118" i="6"/>
  <c r="K118" i="6"/>
  <c r="L118" i="6"/>
  <c r="M118" i="6"/>
  <c r="J118" i="6"/>
  <c r="G118" i="6"/>
  <c r="AC114" i="6"/>
  <c r="AD114" i="6"/>
  <c r="AE114" i="6"/>
  <c r="AB114" i="6"/>
  <c r="Y114" i="6"/>
  <c r="T114" i="6"/>
  <c r="U114" i="6"/>
  <c r="V114" i="6"/>
  <c r="S114" i="6"/>
  <c r="P114" i="6"/>
  <c r="K114" i="6"/>
  <c r="L114" i="6"/>
  <c r="M114" i="6"/>
  <c r="J114" i="6"/>
  <c r="G114" i="6"/>
  <c r="AC110" i="6"/>
  <c r="AD110" i="6"/>
  <c r="AE110" i="6"/>
  <c r="AB110" i="6"/>
  <c r="Y110" i="6"/>
  <c r="T110" i="6"/>
  <c r="U110" i="6"/>
  <c r="V110" i="6"/>
  <c r="S110" i="6"/>
  <c r="P110" i="6"/>
  <c r="K110" i="6"/>
  <c r="L110" i="6"/>
  <c r="M110" i="6"/>
  <c r="J110" i="6"/>
  <c r="G110" i="6"/>
  <c r="AC106" i="6"/>
  <c r="AD106" i="6"/>
  <c r="AE106" i="6"/>
  <c r="AB106" i="6"/>
  <c r="Y106" i="6"/>
  <c r="T106" i="6"/>
  <c r="U106" i="6"/>
  <c r="V106" i="6"/>
  <c r="S106" i="6"/>
  <c r="P106" i="6"/>
  <c r="K106" i="6"/>
  <c r="L106" i="6"/>
  <c r="M106" i="6"/>
  <c r="J106" i="6"/>
  <c r="G106" i="6"/>
  <c r="AC102" i="6"/>
  <c r="AD102" i="6"/>
  <c r="AE102" i="6"/>
  <c r="AB102" i="6"/>
  <c r="Y102" i="6"/>
  <c r="T102" i="6"/>
  <c r="U102" i="6"/>
  <c r="V102" i="6"/>
  <c r="S102" i="6"/>
  <c r="P102" i="6"/>
  <c r="K102" i="6"/>
  <c r="L102" i="6"/>
  <c r="M102" i="6"/>
  <c r="J102" i="6"/>
  <c r="G102" i="6"/>
  <c r="AC98" i="6"/>
  <c r="AD98" i="6"/>
  <c r="AE98" i="6"/>
  <c r="AB98" i="6"/>
  <c r="Y98" i="6"/>
  <c r="T98" i="6"/>
  <c r="U98" i="6"/>
  <c r="V98" i="6"/>
  <c r="S98" i="6"/>
  <c r="P98" i="6"/>
  <c r="K98" i="6"/>
  <c r="L98" i="6"/>
  <c r="M98" i="6"/>
  <c r="J98" i="6"/>
  <c r="G98" i="6"/>
  <c r="AC94" i="6"/>
  <c r="AD94" i="6"/>
  <c r="AE94" i="6"/>
  <c r="AB94" i="6"/>
  <c r="Y94" i="6"/>
  <c r="T94" i="6"/>
  <c r="U94" i="6"/>
  <c r="V94" i="6"/>
  <c r="S94" i="6"/>
  <c r="P94" i="6"/>
  <c r="K94" i="6"/>
  <c r="L94" i="6"/>
  <c r="M94" i="6"/>
  <c r="J94" i="6"/>
  <c r="G94" i="6"/>
  <c r="AC90" i="6"/>
  <c r="AD90" i="6"/>
  <c r="AE90" i="6"/>
  <c r="AB90" i="6"/>
  <c r="Y90" i="6"/>
  <c r="T90" i="6"/>
  <c r="U90" i="6"/>
  <c r="V90" i="6"/>
  <c r="S90" i="6"/>
  <c r="P90" i="6"/>
  <c r="K90" i="6"/>
  <c r="L90" i="6"/>
  <c r="M90" i="6"/>
  <c r="J90" i="6"/>
  <c r="G90" i="6"/>
  <c r="AC86" i="6"/>
  <c r="AD86" i="6"/>
  <c r="AE86" i="6"/>
  <c r="AB86" i="6"/>
  <c r="Y86" i="6"/>
  <c r="T86" i="6"/>
  <c r="U86" i="6"/>
  <c r="V86" i="6"/>
  <c r="S86" i="6"/>
  <c r="P86" i="6"/>
  <c r="K86" i="6"/>
  <c r="L86" i="6"/>
  <c r="M86" i="6"/>
  <c r="J86" i="6"/>
  <c r="G86" i="6"/>
  <c r="AC82" i="6"/>
  <c r="AD82" i="6"/>
  <c r="AE82" i="6"/>
  <c r="AB82" i="6"/>
  <c r="Y82" i="6"/>
  <c r="T82" i="6"/>
  <c r="U82" i="6"/>
  <c r="V82" i="6"/>
  <c r="S82" i="6"/>
  <c r="P82" i="6"/>
  <c r="K82" i="6"/>
  <c r="L82" i="6"/>
  <c r="M82" i="6"/>
  <c r="J82" i="6"/>
  <c r="G82" i="6"/>
  <c r="AC78" i="6"/>
  <c r="AD78" i="6"/>
  <c r="AE78" i="6"/>
  <c r="AB78" i="6"/>
  <c r="Y78" i="6"/>
  <c r="T78" i="6"/>
  <c r="U78" i="6"/>
  <c r="V78" i="6"/>
  <c r="S78" i="6"/>
  <c r="P78" i="6"/>
  <c r="K78" i="6"/>
  <c r="L78" i="6"/>
  <c r="M78" i="6"/>
  <c r="J78" i="6"/>
  <c r="G78" i="6"/>
  <c r="AC74" i="6"/>
  <c r="AD74" i="6"/>
  <c r="AE74" i="6"/>
  <c r="AB74" i="6"/>
  <c r="Y74" i="6"/>
  <c r="T74" i="6"/>
  <c r="U74" i="6"/>
  <c r="V74" i="6"/>
  <c r="S74" i="6"/>
  <c r="P74" i="6"/>
  <c r="K74" i="6"/>
  <c r="L74" i="6"/>
  <c r="M74" i="6"/>
  <c r="J74" i="6"/>
  <c r="G74" i="6"/>
  <c r="AC70" i="6"/>
  <c r="AD70" i="6"/>
  <c r="AE70" i="6"/>
  <c r="AB70" i="6"/>
  <c r="Y70" i="6"/>
  <c r="T70" i="6"/>
  <c r="U70" i="6"/>
  <c r="V70" i="6"/>
  <c r="S70" i="6"/>
  <c r="P70" i="6"/>
  <c r="K70" i="6"/>
  <c r="L70" i="6"/>
  <c r="M70" i="6"/>
  <c r="J70" i="6"/>
  <c r="G70" i="6"/>
  <c r="AC66" i="6"/>
  <c r="AD66" i="6"/>
  <c r="AE66" i="6"/>
  <c r="AB66" i="6"/>
  <c r="Y66" i="6"/>
  <c r="T66" i="6"/>
  <c r="U66" i="6"/>
  <c r="V66" i="6"/>
  <c r="S66" i="6"/>
  <c r="P66" i="6"/>
  <c r="K66" i="6"/>
  <c r="L66" i="6"/>
  <c r="M66" i="6"/>
  <c r="J66" i="6"/>
  <c r="G66" i="6"/>
  <c r="AC62" i="6"/>
  <c r="AD62" i="6"/>
  <c r="AE62" i="6"/>
  <c r="AB62" i="6"/>
  <c r="Y62" i="6"/>
  <c r="T62" i="6"/>
  <c r="U62" i="6"/>
  <c r="V62" i="6"/>
  <c r="S62" i="6"/>
  <c r="P62" i="6"/>
  <c r="K62" i="6"/>
  <c r="L62" i="6"/>
  <c r="M62" i="6"/>
  <c r="J62" i="6"/>
  <c r="G62" i="6"/>
  <c r="AC58" i="6"/>
  <c r="AD58" i="6"/>
  <c r="AE58" i="6"/>
  <c r="AB58" i="6"/>
  <c r="Y58" i="6"/>
  <c r="T58" i="6"/>
  <c r="U58" i="6"/>
  <c r="V58" i="6"/>
  <c r="S58" i="6"/>
  <c r="P58" i="6"/>
  <c r="K58" i="6"/>
  <c r="L58" i="6"/>
  <c r="M58" i="6"/>
  <c r="J58" i="6"/>
  <c r="G58" i="6"/>
  <c r="AC54" i="6"/>
  <c r="AD54" i="6"/>
  <c r="AE54" i="6"/>
  <c r="AB54" i="6"/>
  <c r="Y54" i="6"/>
  <c r="T54" i="6"/>
  <c r="U54" i="6"/>
  <c r="V54" i="6"/>
  <c r="S54" i="6"/>
  <c r="P54" i="6"/>
  <c r="K54" i="6"/>
  <c r="L54" i="6"/>
  <c r="M54" i="6"/>
  <c r="J54" i="6"/>
  <c r="G54" i="6"/>
  <c r="AC50" i="6"/>
  <c r="AD50" i="6"/>
  <c r="AE50" i="6"/>
  <c r="AB50" i="6"/>
  <c r="Y50" i="6"/>
  <c r="T50" i="6"/>
  <c r="U50" i="6"/>
  <c r="V50" i="6"/>
  <c r="S50" i="6"/>
  <c r="P50" i="6"/>
  <c r="K50" i="6"/>
  <c r="L50" i="6"/>
  <c r="M50" i="6"/>
  <c r="J50" i="6"/>
  <c r="G50" i="6"/>
  <c r="AC46" i="6"/>
  <c r="AD46" i="6"/>
  <c r="AE46" i="6"/>
  <c r="AB46" i="6"/>
  <c r="Y46" i="6"/>
  <c r="T46" i="6"/>
  <c r="U46" i="6"/>
  <c r="V46" i="6"/>
  <c r="S46" i="6"/>
  <c r="P46" i="6"/>
  <c r="K46" i="6"/>
  <c r="L46" i="6"/>
  <c r="M46" i="6"/>
  <c r="J46" i="6"/>
  <c r="G46" i="6"/>
  <c r="AC42" i="6"/>
  <c r="AD42" i="6"/>
  <c r="AE42" i="6"/>
  <c r="AB42" i="6"/>
  <c r="Y42" i="6"/>
  <c r="T42" i="6"/>
  <c r="U42" i="6"/>
  <c r="V42" i="6"/>
  <c r="S42" i="6"/>
  <c r="P42" i="6"/>
  <c r="K42" i="6"/>
  <c r="L42" i="6"/>
  <c r="M42" i="6"/>
  <c r="J42" i="6"/>
  <c r="G42" i="6"/>
  <c r="AC38" i="6"/>
  <c r="AD38" i="6"/>
  <c r="AE38" i="6"/>
  <c r="AB38" i="6"/>
  <c r="Y38" i="6"/>
  <c r="T38" i="6"/>
  <c r="U38" i="6"/>
  <c r="V38" i="6"/>
  <c r="S38" i="6"/>
  <c r="P38" i="6"/>
  <c r="K38" i="6"/>
  <c r="L38" i="6"/>
  <c r="M38" i="6"/>
  <c r="J38" i="6"/>
  <c r="G38" i="6"/>
  <c r="AC34" i="6"/>
  <c r="AD34" i="6"/>
  <c r="AE34" i="6"/>
  <c r="AB34" i="6"/>
  <c r="Y34" i="6"/>
  <c r="T34" i="6"/>
  <c r="U34" i="6"/>
  <c r="V34" i="6"/>
  <c r="S34" i="6"/>
  <c r="P34" i="6"/>
  <c r="K34" i="6"/>
  <c r="L34" i="6"/>
  <c r="M34" i="6"/>
  <c r="J34" i="6"/>
  <c r="G34" i="6"/>
  <c r="AC30" i="6"/>
  <c r="AD30" i="6"/>
  <c r="AE30" i="6"/>
  <c r="AB30" i="6"/>
  <c r="Y30" i="6"/>
  <c r="T30" i="6"/>
  <c r="U30" i="6"/>
  <c r="V30" i="6"/>
  <c r="S30" i="6"/>
  <c r="P30" i="6"/>
  <c r="K30" i="6"/>
  <c r="L30" i="6"/>
  <c r="M30" i="6"/>
  <c r="J30" i="6"/>
  <c r="G30" i="6"/>
  <c r="AC26" i="6"/>
  <c r="AD26" i="6"/>
  <c r="AE26" i="6"/>
  <c r="AB26" i="6"/>
  <c r="Y26" i="6"/>
  <c r="T26" i="6"/>
  <c r="U26" i="6"/>
  <c r="V26" i="6"/>
  <c r="S26" i="6"/>
  <c r="P26" i="6"/>
  <c r="K26" i="6"/>
  <c r="L26" i="6"/>
  <c r="M26" i="6"/>
  <c r="J26" i="6"/>
  <c r="G26" i="6"/>
  <c r="AC22" i="6"/>
  <c r="AD22" i="6"/>
  <c r="AE22" i="6"/>
  <c r="AB22" i="6"/>
  <c r="Y22" i="6"/>
  <c r="T22" i="6"/>
  <c r="U22" i="6"/>
  <c r="V22" i="6"/>
  <c r="S22" i="6"/>
  <c r="P22" i="6"/>
  <c r="K22" i="6"/>
  <c r="L22" i="6"/>
  <c r="M22" i="6"/>
  <c r="J22" i="6"/>
  <c r="G22" i="6"/>
  <c r="AC18" i="6"/>
  <c r="AD18" i="6"/>
  <c r="AE18" i="6"/>
  <c r="AB18" i="6"/>
  <c r="Y18" i="6"/>
  <c r="T18" i="6"/>
  <c r="U18" i="6"/>
  <c r="V18" i="6"/>
  <c r="S18" i="6"/>
  <c r="P18" i="6"/>
  <c r="K18" i="6"/>
  <c r="L18" i="6"/>
  <c r="M18" i="6"/>
  <c r="J18" i="6"/>
  <c r="G18" i="6"/>
  <c r="AC14" i="6"/>
  <c r="AD14" i="6"/>
  <c r="AE14" i="6"/>
  <c r="AB14" i="6"/>
  <c r="Y14" i="6"/>
  <c r="T14" i="6"/>
  <c r="U14" i="6"/>
  <c r="V14" i="6"/>
  <c r="S14" i="6"/>
  <c r="P14" i="6"/>
  <c r="K14" i="6"/>
  <c r="L14" i="6"/>
  <c r="M14" i="6"/>
  <c r="J14" i="6"/>
  <c r="G14" i="6"/>
  <c r="AC10" i="6"/>
  <c r="AD10" i="6"/>
  <c r="AE10" i="6"/>
  <c r="AB10" i="6"/>
  <c r="Y10" i="6"/>
  <c r="T10" i="6"/>
  <c r="U10" i="6"/>
  <c r="V10" i="6"/>
  <c r="S10" i="6"/>
  <c r="P10" i="6"/>
  <c r="K10" i="6"/>
  <c r="L10" i="6"/>
  <c r="M10" i="6"/>
  <c r="J10" i="6"/>
  <c r="G10" i="6"/>
  <c r="AC6" i="6"/>
  <c r="AD6" i="6"/>
  <c r="AE6" i="6"/>
  <c r="AB6" i="6"/>
  <c r="Y6" i="6"/>
  <c r="T6" i="6"/>
  <c r="U6" i="6"/>
  <c r="V6" i="6"/>
  <c r="S6" i="6"/>
  <c r="P6" i="6"/>
  <c r="K6" i="6"/>
  <c r="L6" i="6"/>
  <c r="M6" i="6"/>
  <c r="J6" i="6"/>
  <c r="G6" i="6"/>
  <c r="AD114" i="15"/>
  <c r="AJ194" i="5"/>
  <c r="AJ200" i="5"/>
  <c r="AJ206" i="5"/>
  <c r="AJ212" i="5"/>
  <c r="AD113" i="15"/>
  <c r="AD112" i="15"/>
  <c r="AD118" i="15"/>
  <c r="AC114" i="15"/>
  <c r="AA114" i="15"/>
  <c r="Z114" i="15"/>
  <c r="AF194" i="5"/>
  <c r="AF200" i="5"/>
  <c r="AF206" i="5"/>
  <c r="AF212" i="5"/>
  <c r="Z113" i="15"/>
  <c r="Z112" i="15"/>
  <c r="Z118" i="15"/>
  <c r="O114" i="15"/>
  <c r="X194" i="5"/>
  <c r="X200" i="5"/>
  <c r="X206" i="5"/>
  <c r="X212" i="5"/>
  <c r="O113" i="15"/>
  <c r="O112" i="15"/>
  <c r="N114" i="15"/>
  <c r="W194" i="5"/>
  <c r="W200" i="5"/>
  <c r="W206" i="5"/>
  <c r="W212" i="5"/>
  <c r="N113" i="15"/>
  <c r="N112" i="15"/>
  <c r="L114" i="15"/>
  <c r="K114" i="15"/>
  <c r="T194" i="5"/>
  <c r="T200" i="5"/>
  <c r="T206" i="5"/>
  <c r="T212" i="5"/>
  <c r="K113" i="15"/>
  <c r="K112" i="15"/>
  <c r="K118" i="15"/>
  <c r="I34" i="12"/>
  <c r="Q34" i="12"/>
  <c r="I35" i="12"/>
  <c r="I36" i="12"/>
  <c r="I37" i="12"/>
  <c r="H34" i="12"/>
  <c r="H35" i="12"/>
  <c r="H36" i="12"/>
  <c r="K36" i="12"/>
  <c r="H37" i="12"/>
  <c r="AI194" i="5"/>
  <c r="AI200" i="5"/>
  <c r="AI206" i="5"/>
  <c r="AI212" i="5"/>
  <c r="AC113" i="15"/>
  <c r="AG194" i="5"/>
  <c r="AG200" i="5"/>
  <c r="AG206" i="5"/>
  <c r="AG212" i="5"/>
  <c r="AA113" i="15"/>
  <c r="U194" i="5"/>
  <c r="U200" i="5"/>
  <c r="U206" i="5"/>
  <c r="U212" i="5"/>
  <c r="L113" i="15"/>
  <c r="I194" i="5"/>
  <c r="L194" i="5"/>
  <c r="I200" i="5"/>
  <c r="L200" i="5"/>
  <c r="I206" i="5"/>
  <c r="L206" i="5"/>
  <c r="I212" i="5"/>
  <c r="L212" i="5"/>
  <c r="F113" i="15"/>
  <c r="H194" i="5"/>
  <c r="K194" i="5"/>
  <c r="H200" i="5"/>
  <c r="K200" i="5"/>
  <c r="H206" i="5"/>
  <c r="K206" i="5"/>
  <c r="H212" i="5"/>
  <c r="K212" i="5"/>
  <c r="E113" i="15"/>
  <c r="O111" i="15"/>
  <c r="N111" i="15"/>
  <c r="L111" i="15"/>
  <c r="K111" i="15"/>
  <c r="U34" i="4"/>
  <c r="I34" i="4"/>
  <c r="U35" i="4"/>
  <c r="I35" i="4"/>
  <c r="U36" i="4"/>
  <c r="I36" i="4"/>
  <c r="I37" i="4"/>
  <c r="F111" i="15"/>
  <c r="H34" i="4"/>
  <c r="H35" i="4"/>
  <c r="H36" i="4"/>
  <c r="H37" i="4"/>
  <c r="E111" i="15"/>
  <c r="C111" i="15"/>
  <c r="B111" i="15"/>
  <c r="AC109" i="15"/>
  <c r="AL132" i="3"/>
  <c r="AL136" i="3"/>
  <c r="AL140" i="3"/>
  <c r="AL144" i="3"/>
  <c r="AD109" i="15"/>
  <c r="AC110" i="15"/>
  <c r="AD110" i="15"/>
  <c r="AL131" i="3"/>
  <c r="AL135" i="3"/>
  <c r="AL139" i="3"/>
  <c r="AL143" i="3"/>
  <c r="AD108" i="15"/>
  <c r="AK131" i="3"/>
  <c r="AK135" i="3"/>
  <c r="AK139" i="3"/>
  <c r="AK143" i="3"/>
  <c r="AC108" i="15"/>
  <c r="Z109" i="15"/>
  <c r="AH132" i="3"/>
  <c r="AH136" i="3"/>
  <c r="AH140" i="3"/>
  <c r="AH144" i="3"/>
  <c r="AA109" i="15"/>
  <c r="Z110" i="15"/>
  <c r="AA110" i="15"/>
  <c r="AH131" i="3"/>
  <c r="AH135" i="3"/>
  <c r="AH139" i="3"/>
  <c r="AH143" i="3"/>
  <c r="AA108" i="15"/>
  <c r="AG131" i="3"/>
  <c r="AG135" i="3"/>
  <c r="AG139" i="3"/>
  <c r="AG143" i="3"/>
  <c r="Z108" i="15"/>
  <c r="N109" i="15"/>
  <c r="O109" i="15"/>
  <c r="N110" i="15"/>
  <c r="O110" i="15"/>
  <c r="O108" i="15"/>
  <c r="N108" i="15"/>
  <c r="K109" i="15"/>
  <c r="L109" i="15"/>
  <c r="K110" i="15"/>
  <c r="L110" i="15"/>
  <c r="L108" i="15"/>
  <c r="K108" i="15"/>
  <c r="I144" i="3"/>
  <c r="E109" i="15"/>
  <c r="J132" i="3"/>
  <c r="J136" i="3"/>
  <c r="J140" i="3"/>
  <c r="J144" i="3"/>
  <c r="F109" i="15"/>
  <c r="E110" i="15"/>
  <c r="F110" i="15"/>
  <c r="J131" i="3"/>
  <c r="J135" i="3"/>
  <c r="J139" i="3"/>
  <c r="J143" i="3"/>
  <c r="F108" i="15"/>
  <c r="I131" i="3"/>
  <c r="I135" i="3"/>
  <c r="I139" i="3"/>
  <c r="I143" i="3"/>
  <c r="E108" i="15"/>
  <c r="B110" i="15"/>
  <c r="C110" i="15"/>
  <c r="C109" i="15"/>
  <c r="B109" i="15"/>
  <c r="C108" i="15"/>
  <c r="B108" i="15"/>
  <c r="Z107" i="15"/>
  <c r="Z115" i="15"/>
  <c r="AC107" i="15"/>
  <c r="AC115" i="15"/>
  <c r="AA107" i="15"/>
  <c r="AA115" i="15"/>
  <c r="AD107" i="15"/>
  <c r="AD115" i="15"/>
  <c r="B107" i="15"/>
  <c r="B115" i="15"/>
  <c r="N107" i="15"/>
  <c r="N115" i="15"/>
  <c r="C107" i="15"/>
  <c r="C115" i="15"/>
  <c r="O107" i="15"/>
  <c r="O115" i="15"/>
  <c r="E107" i="15"/>
  <c r="E115" i="15"/>
  <c r="F107" i="15"/>
  <c r="F115" i="15"/>
  <c r="K107" i="15"/>
  <c r="K115" i="15"/>
  <c r="L107" i="15"/>
  <c r="L115" i="15"/>
  <c r="AF117" i="15"/>
  <c r="AG117" i="15"/>
  <c r="AH117" i="15"/>
  <c r="AE117" i="15"/>
  <c r="AB117" i="15"/>
  <c r="W117" i="15"/>
  <c r="X117" i="15"/>
  <c r="Y117" i="15"/>
  <c r="T117" i="15"/>
  <c r="U117" i="15"/>
  <c r="V117" i="15"/>
  <c r="Q117" i="15"/>
  <c r="R117" i="15"/>
  <c r="S117" i="15"/>
  <c r="P117" i="15"/>
  <c r="M117" i="15"/>
  <c r="H117" i="15"/>
  <c r="I117" i="15"/>
  <c r="J117" i="15"/>
  <c r="G117" i="15"/>
  <c r="D117" i="15"/>
  <c r="AF116" i="15"/>
  <c r="AG116" i="15"/>
  <c r="AH116" i="15"/>
  <c r="AE116" i="15"/>
  <c r="AB116" i="15"/>
  <c r="W116" i="15"/>
  <c r="X116" i="15"/>
  <c r="Y116" i="15"/>
  <c r="T116" i="15"/>
  <c r="U116" i="15"/>
  <c r="V116" i="15"/>
  <c r="Q116" i="15"/>
  <c r="R116" i="15"/>
  <c r="S116" i="15"/>
  <c r="P116" i="15"/>
  <c r="M116" i="15"/>
  <c r="H116" i="15"/>
  <c r="I116" i="15"/>
  <c r="J116" i="15"/>
  <c r="G116" i="15"/>
  <c r="D116" i="15"/>
  <c r="AF115" i="15"/>
  <c r="AG115" i="15"/>
  <c r="AH115" i="15"/>
  <c r="AE115" i="15"/>
  <c r="AB115" i="15"/>
  <c r="W115" i="15"/>
  <c r="X115" i="15"/>
  <c r="Y115" i="15"/>
  <c r="T115" i="15"/>
  <c r="U115" i="15"/>
  <c r="V115" i="15"/>
  <c r="Q115" i="15"/>
  <c r="R115" i="15"/>
  <c r="S115" i="15"/>
  <c r="P115" i="15"/>
  <c r="M115" i="15"/>
  <c r="H115" i="15"/>
  <c r="I115" i="15"/>
  <c r="J115" i="15"/>
  <c r="G115" i="15"/>
  <c r="D115" i="15"/>
  <c r="AF113" i="15"/>
  <c r="AG113" i="15"/>
  <c r="AH113" i="15"/>
  <c r="AE113" i="15"/>
  <c r="AB113" i="15"/>
  <c r="W113" i="15"/>
  <c r="X113" i="15"/>
  <c r="Y113" i="15"/>
  <c r="T113" i="15"/>
  <c r="U113" i="15"/>
  <c r="V113" i="15"/>
  <c r="Q113" i="15"/>
  <c r="R113" i="15"/>
  <c r="S113" i="15"/>
  <c r="P113" i="15"/>
  <c r="M113" i="15"/>
  <c r="H113" i="15"/>
  <c r="I113" i="15"/>
  <c r="J113" i="15"/>
  <c r="G113" i="15"/>
  <c r="D113" i="15"/>
  <c r="AH111" i="15"/>
  <c r="AE111" i="15"/>
  <c r="AB111" i="15"/>
  <c r="W111" i="15"/>
  <c r="X111" i="15"/>
  <c r="Y111" i="15"/>
  <c r="U111" i="15"/>
  <c r="Q111" i="15"/>
  <c r="R111" i="15"/>
  <c r="S111" i="15"/>
  <c r="P111" i="15"/>
  <c r="M111" i="15"/>
  <c r="I111" i="15"/>
  <c r="D111" i="15"/>
  <c r="AF110" i="15"/>
  <c r="AG110" i="15"/>
  <c r="AH110" i="15"/>
  <c r="AE110" i="15"/>
  <c r="AB110" i="15"/>
  <c r="W110" i="15"/>
  <c r="X110" i="15"/>
  <c r="Y110" i="15"/>
  <c r="T110" i="15"/>
  <c r="U110" i="15"/>
  <c r="V110" i="15"/>
  <c r="Q110" i="15"/>
  <c r="R110" i="15"/>
  <c r="S110" i="15"/>
  <c r="P110" i="15"/>
  <c r="M110" i="15"/>
  <c r="H110" i="15"/>
  <c r="I110" i="15"/>
  <c r="J110" i="15"/>
  <c r="G110" i="15"/>
  <c r="D110" i="15"/>
  <c r="AF109" i="15"/>
  <c r="AG109" i="15"/>
  <c r="AH109" i="15"/>
  <c r="AE109" i="15"/>
  <c r="AB109" i="15"/>
  <c r="W109" i="15"/>
  <c r="X109" i="15"/>
  <c r="Y109" i="15"/>
  <c r="T109" i="15"/>
  <c r="U109" i="15"/>
  <c r="V109" i="15"/>
  <c r="Q109" i="15"/>
  <c r="R109" i="15"/>
  <c r="S109" i="15"/>
  <c r="P109" i="15"/>
  <c r="M109" i="15"/>
  <c r="H109" i="15"/>
  <c r="I109" i="15"/>
  <c r="J109" i="15"/>
  <c r="G109" i="15"/>
  <c r="D109" i="15"/>
  <c r="AF108" i="15"/>
  <c r="AG108" i="15"/>
  <c r="AH108" i="15"/>
  <c r="AE108" i="15"/>
  <c r="AB108" i="15"/>
  <c r="W108" i="15"/>
  <c r="X108" i="15"/>
  <c r="Y108" i="15"/>
  <c r="T108" i="15"/>
  <c r="U108" i="15"/>
  <c r="V108" i="15"/>
  <c r="Q108" i="15"/>
  <c r="R108" i="15"/>
  <c r="S108" i="15"/>
  <c r="P108" i="15"/>
  <c r="M108" i="15"/>
  <c r="H108" i="15"/>
  <c r="I108" i="15"/>
  <c r="J108" i="15"/>
  <c r="G108" i="15"/>
  <c r="D108" i="15"/>
  <c r="AF107" i="15"/>
  <c r="AG107" i="15"/>
  <c r="AH107" i="15"/>
  <c r="AE107" i="15"/>
  <c r="AB107" i="15"/>
  <c r="W107" i="15"/>
  <c r="X107" i="15"/>
  <c r="Y107" i="15"/>
  <c r="T107" i="15"/>
  <c r="U107" i="15"/>
  <c r="V107" i="15"/>
  <c r="Q107" i="15"/>
  <c r="R107" i="15"/>
  <c r="S107" i="15"/>
  <c r="P107" i="15"/>
  <c r="M107" i="15"/>
  <c r="H107" i="15"/>
  <c r="I107" i="15"/>
  <c r="J107" i="15"/>
  <c r="G107" i="15"/>
  <c r="D107" i="15"/>
  <c r="Z94" i="15"/>
  <c r="Z102" i="15"/>
  <c r="AC94" i="15"/>
  <c r="AC102" i="15"/>
  <c r="AA94" i="15"/>
  <c r="AA102" i="15"/>
  <c r="AD94" i="15"/>
  <c r="AD102" i="15"/>
  <c r="B94" i="15"/>
  <c r="B99" i="15"/>
  <c r="B102" i="15"/>
  <c r="N94" i="15"/>
  <c r="N102" i="15"/>
  <c r="C94" i="15"/>
  <c r="C102" i="15"/>
  <c r="O94" i="15"/>
  <c r="O102" i="15"/>
  <c r="E94" i="15"/>
  <c r="E102" i="15"/>
  <c r="F94" i="15"/>
  <c r="F102" i="15"/>
  <c r="K94" i="15"/>
  <c r="K102" i="15"/>
  <c r="L94" i="15"/>
  <c r="L102" i="15"/>
  <c r="AF104" i="15"/>
  <c r="AG104" i="15"/>
  <c r="AH104" i="15"/>
  <c r="AE104" i="15"/>
  <c r="AB104" i="15"/>
  <c r="W104" i="15"/>
  <c r="X104" i="15"/>
  <c r="Y104" i="15"/>
  <c r="T104" i="15"/>
  <c r="U104" i="15"/>
  <c r="V104" i="15"/>
  <c r="Q104" i="15"/>
  <c r="R104" i="15"/>
  <c r="S104" i="15"/>
  <c r="P104" i="15"/>
  <c r="M104" i="15"/>
  <c r="H104" i="15"/>
  <c r="I104" i="15"/>
  <c r="J104" i="15"/>
  <c r="G104" i="15"/>
  <c r="D104" i="15"/>
  <c r="AF103" i="15"/>
  <c r="AG103" i="15"/>
  <c r="AH103" i="15"/>
  <c r="AE103" i="15"/>
  <c r="AB103" i="15"/>
  <c r="W103" i="15"/>
  <c r="X103" i="15"/>
  <c r="Y103" i="15"/>
  <c r="T103" i="15"/>
  <c r="U103" i="15"/>
  <c r="V103" i="15"/>
  <c r="Q103" i="15"/>
  <c r="R103" i="15"/>
  <c r="S103" i="15"/>
  <c r="P103" i="15"/>
  <c r="M103" i="15"/>
  <c r="H103" i="15"/>
  <c r="I103" i="15"/>
  <c r="J103" i="15"/>
  <c r="G103" i="15"/>
  <c r="D103" i="15"/>
  <c r="AF102" i="15"/>
  <c r="AG102" i="15"/>
  <c r="AH102" i="15"/>
  <c r="AE102" i="15"/>
  <c r="AB102" i="15"/>
  <c r="W102" i="15"/>
  <c r="X102" i="15"/>
  <c r="Y102" i="15"/>
  <c r="T102" i="15"/>
  <c r="U102" i="15"/>
  <c r="V102" i="15"/>
  <c r="Q102" i="15"/>
  <c r="R102" i="15"/>
  <c r="S102" i="15"/>
  <c r="P102" i="15"/>
  <c r="M102" i="15"/>
  <c r="H102" i="15"/>
  <c r="I102" i="15"/>
  <c r="J102" i="15"/>
  <c r="G102" i="15"/>
  <c r="D102" i="15"/>
  <c r="AF100" i="15"/>
  <c r="AG100" i="15"/>
  <c r="AH100" i="15"/>
  <c r="AE100" i="15"/>
  <c r="AB100" i="15"/>
  <c r="W100" i="15"/>
  <c r="X100" i="15"/>
  <c r="Y100" i="15"/>
  <c r="T100" i="15"/>
  <c r="U100" i="15"/>
  <c r="V100" i="15"/>
  <c r="Q100" i="15"/>
  <c r="R100" i="15"/>
  <c r="S100" i="15"/>
  <c r="P100" i="15"/>
  <c r="M100" i="15"/>
  <c r="H100" i="15"/>
  <c r="I100" i="15"/>
  <c r="J100" i="15"/>
  <c r="G100" i="15"/>
  <c r="D100" i="15"/>
  <c r="AH98" i="15"/>
  <c r="AE98" i="15"/>
  <c r="AB98" i="15"/>
  <c r="W98" i="15"/>
  <c r="X98" i="15"/>
  <c r="Y98" i="15"/>
  <c r="T98" i="15"/>
  <c r="U98" i="15"/>
  <c r="V98" i="15"/>
  <c r="Q98" i="15"/>
  <c r="R98" i="15"/>
  <c r="S98" i="15"/>
  <c r="P98" i="15"/>
  <c r="M98" i="15"/>
  <c r="H98" i="15"/>
  <c r="I98" i="15"/>
  <c r="J98" i="15"/>
  <c r="G98" i="15"/>
  <c r="D98" i="15"/>
  <c r="AF97" i="15"/>
  <c r="AG97" i="15"/>
  <c r="AH97" i="15"/>
  <c r="AE97" i="15"/>
  <c r="AB97" i="15"/>
  <c r="W97" i="15"/>
  <c r="X97" i="15"/>
  <c r="Y97" i="15"/>
  <c r="T97" i="15"/>
  <c r="U97" i="15"/>
  <c r="V97" i="15"/>
  <c r="Q97" i="15"/>
  <c r="R97" i="15"/>
  <c r="S97" i="15"/>
  <c r="P97" i="15"/>
  <c r="M97" i="15"/>
  <c r="H97" i="15"/>
  <c r="I97" i="15"/>
  <c r="J97" i="15"/>
  <c r="G97" i="15"/>
  <c r="D97" i="15"/>
  <c r="AF96" i="15"/>
  <c r="AG96" i="15"/>
  <c r="AH96" i="15"/>
  <c r="AE96" i="15"/>
  <c r="AB96" i="15"/>
  <c r="W96" i="15"/>
  <c r="X96" i="15"/>
  <c r="Y96" i="15"/>
  <c r="T96" i="15"/>
  <c r="U96" i="15"/>
  <c r="V96" i="15"/>
  <c r="Q96" i="15"/>
  <c r="R96" i="15"/>
  <c r="S96" i="15"/>
  <c r="P96" i="15"/>
  <c r="M96" i="15"/>
  <c r="H96" i="15"/>
  <c r="I96" i="15"/>
  <c r="J96" i="15"/>
  <c r="G96" i="15"/>
  <c r="D96" i="15"/>
  <c r="AF95" i="15"/>
  <c r="AG95" i="15"/>
  <c r="AH95" i="15"/>
  <c r="AE95" i="15"/>
  <c r="AB95" i="15"/>
  <c r="W95" i="15"/>
  <c r="X95" i="15"/>
  <c r="Y95" i="15"/>
  <c r="T95" i="15"/>
  <c r="U95" i="15"/>
  <c r="V95" i="15"/>
  <c r="Q95" i="15"/>
  <c r="R95" i="15"/>
  <c r="S95" i="15"/>
  <c r="P95" i="15"/>
  <c r="M95" i="15"/>
  <c r="H95" i="15"/>
  <c r="I95" i="15"/>
  <c r="J95" i="15"/>
  <c r="G95" i="15"/>
  <c r="D95" i="15"/>
  <c r="AF94" i="15"/>
  <c r="AG94" i="15"/>
  <c r="AH94" i="15"/>
  <c r="AE94" i="15"/>
  <c r="AB94" i="15"/>
  <c r="W94" i="15"/>
  <c r="X94" i="15"/>
  <c r="Y94" i="15"/>
  <c r="T94" i="15"/>
  <c r="U94" i="15"/>
  <c r="V94" i="15"/>
  <c r="Q94" i="15"/>
  <c r="R94" i="15"/>
  <c r="S94" i="15"/>
  <c r="P94" i="15"/>
  <c r="M94" i="15"/>
  <c r="H94" i="15"/>
  <c r="I94" i="15"/>
  <c r="J94" i="15"/>
  <c r="G94" i="15"/>
  <c r="D94" i="15"/>
  <c r="AA11" i="15"/>
  <c r="AD11" i="15"/>
  <c r="B11" i="15"/>
  <c r="N11" i="15"/>
  <c r="O11" i="15"/>
  <c r="P11" i="15"/>
  <c r="C11" i="15"/>
  <c r="F11" i="15"/>
  <c r="AF13" i="15"/>
  <c r="AG13" i="15"/>
  <c r="AH13" i="15"/>
  <c r="AE13" i="15"/>
  <c r="AB13" i="15"/>
  <c r="W13" i="15"/>
  <c r="X13" i="15"/>
  <c r="Y13" i="15"/>
  <c r="T13" i="15"/>
  <c r="U13" i="15"/>
  <c r="V13" i="15"/>
  <c r="Q13" i="15"/>
  <c r="R13" i="15"/>
  <c r="S13" i="15"/>
  <c r="P13" i="15"/>
  <c r="M13" i="15"/>
  <c r="H13" i="15"/>
  <c r="I13" i="15"/>
  <c r="J13" i="15"/>
  <c r="G13" i="15"/>
  <c r="D13" i="15"/>
  <c r="AG12" i="15"/>
  <c r="W12" i="15"/>
  <c r="X12" i="15"/>
  <c r="Y12" i="15"/>
  <c r="T12" i="15"/>
  <c r="U12" i="15"/>
  <c r="V12" i="15"/>
  <c r="Q12" i="15"/>
  <c r="R12" i="15"/>
  <c r="S12" i="15"/>
  <c r="P12" i="15"/>
  <c r="M12" i="15"/>
  <c r="H12" i="15"/>
  <c r="I12" i="15"/>
  <c r="J12" i="15"/>
  <c r="G12" i="15"/>
  <c r="D12" i="15"/>
  <c r="AG11" i="15"/>
  <c r="X11" i="15"/>
  <c r="U11" i="15"/>
  <c r="R11" i="15"/>
  <c r="M11" i="15"/>
  <c r="I11" i="15"/>
  <c r="D11" i="15"/>
  <c r="AG9" i="15"/>
  <c r="AB9" i="15"/>
  <c r="X9" i="15"/>
  <c r="U9" i="15"/>
  <c r="R9" i="15"/>
  <c r="I9" i="15"/>
  <c r="AH7" i="15"/>
  <c r="AE7" i="15"/>
  <c r="AB7" i="15"/>
  <c r="X7" i="15"/>
  <c r="U7" i="15"/>
  <c r="R7" i="15"/>
  <c r="X5" i="15"/>
  <c r="R5" i="15"/>
  <c r="Y145" i="3"/>
  <c r="AC145" i="3"/>
  <c r="AO145" i="3"/>
  <c r="AO141" i="3"/>
  <c r="AP141" i="3"/>
  <c r="K141" i="3"/>
  <c r="L141" i="3"/>
  <c r="M141" i="3"/>
  <c r="N141" i="3"/>
  <c r="M137" i="3"/>
  <c r="O141" i="3"/>
  <c r="P141" i="3"/>
  <c r="W141" i="3"/>
  <c r="X141" i="3"/>
  <c r="Y141" i="3"/>
  <c r="Z141" i="3"/>
  <c r="Y137" i="3"/>
  <c r="AA141" i="3"/>
  <c r="AB141" i="3"/>
  <c r="AC141" i="3"/>
  <c r="AD141" i="3"/>
  <c r="AC137" i="3"/>
  <c r="AE141" i="3"/>
  <c r="AF141" i="3"/>
  <c r="AO137" i="3"/>
  <c r="AD13" i="14"/>
  <c r="AC13" i="14"/>
  <c r="AF13" i="14"/>
  <c r="AA13" i="14"/>
  <c r="O13" i="14"/>
  <c r="N13" i="14"/>
  <c r="L13" i="14"/>
  <c r="F13" i="14"/>
  <c r="E13" i="14"/>
  <c r="B13" i="14"/>
  <c r="C13" i="14"/>
  <c r="I13" i="14"/>
  <c r="AD4" i="14"/>
  <c r="AD5" i="14"/>
  <c r="AD6" i="14"/>
  <c r="AJ287" i="5"/>
  <c r="AD9" i="14"/>
  <c r="AD10" i="14"/>
  <c r="AC4" i="14"/>
  <c r="AC5" i="14"/>
  <c r="AC6" i="14"/>
  <c r="AC9" i="14"/>
  <c r="AC10" i="14"/>
  <c r="AA4" i="14"/>
  <c r="AA5" i="14"/>
  <c r="AA6" i="14"/>
  <c r="AA9" i="14"/>
  <c r="AA10" i="14"/>
  <c r="Z4" i="14"/>
  <c r="Z5" i="14"/>
  <c r="Z6" i="14"/>
  <c r="Z10" i="14"/>
  <c r="O4" i="14"/>
  <c r="L4" i="14"/>
  <c r="R4" i="14"/>
  <c r="O5" i="14"/>
  <c r="O6" i="14"/>
  <c r="O7" i="14"/>
  <c r="O9" i="14"/>
  <c r="O10" i="14"/>
  <c r="N4" i="14"/>
  <c r="N5" i="14"/>
  <c r="N6" i="14"/>
  <c r="N7" i="14"/>
  <c r="W7" i="14"/>
  <c r="N10" i="14"/>
  <c r="L5" i="14"/>
  <c r="L6" i="14"/>
  <c r="L7" i="14"/>
  <c r="L9" i="14"/>
  <c r="L10" i="14"/>
  <c r="L8" i="14"/>
  <c r="K4" i="14"/>
  <c r="K5" i="14"/>
  <c r="K6" i="14"/>
  <c r="K7" i="14"/>
  <c r="K10" i="14"/>
  <c r="F4" i="14"/>
  <c r="F5" i="14"/>
  <c r="F6" i="14"/>
  <c r="F7" i="14"/>
  <c r="F9" i="14"/>
  <c r="F10" i="14"/>
  <c r="C4" i="14"/>
  <c r="C5" i="14"/>
  <c r="C6" i="14"/>
  <c r="C7" i="14"/>
  <c r="X7" i="14"/>
  <c r="C10" i="14"/>
  <c r="B10" i="14"/>
  <c r="AH7" i="14"/>
  <c r="AE7" i="14"/>
  <c r="AB7" i="14"/>
  <c r="O29" i="12"/>
  <c r="K29" i="13"/>
  <c r="AB54" i="13"/>
  <c r="AF54" i="13"/>
  <c r="AJ54" i="13"/>
  <c r="AC54" i="13"/>
  <c r="AG54" i="13"/>
  <c r="AK54" i="13"/>
  <c r="AM54" i="13"/>
  <c r="AI54" i="13"/>
  <c r="AE54" i="13"/>
  <c r="D54" i="13"/>
  <c r="T54" i="13"/>
  <c r="X54" i="13"/>
  <c r="E54" i="13"/>
  <c r="U54" i="13"/>
  <c r="Y54" i="13"/>
  <c r="AA54" i="13"/>
  <c r="W54" i="13"/>
  <c r="P54" i="13"/>
  <c r="Q54" i="13"/>
  <c r="S54" i="13"/>
  <c r="H54" i="13"/>
  <c r="L54" i="13"/>
  <c r="I54" i="13"/>
  <c r="M54" i="13"/>
  <c r="O54" i="13"/>
  <c r="K54" i="13"/>
  <c r="G54" i="13"/>
  <c r="AJ53" i="13"/>
  <c r="AK53" i="13"/>
  <c r="AM53" i="13"/>
  <c r="AJ52" i="13"/>
  <c r="AL53" i="13"/>
  <c r="AI53" i="13"/>
  <c r="AH53" i="13"/>
  <c r="AE53" i="13"/>
  <c r="AD53" i="13"/>
  <c r="X53" i="13"/>
  <c r="Y53" i="13"/>
  <c r="AA53" i="13"/>
  <c r="X52" i="13"/>
  <c r="Z53" i="13"/>
  <c r="W53" i="13"/>
  <c r="V53" i="13"/>
  <c r="S53" i="13"/>
  <c r="R53" i="13"/>
  <c r="L53" i="13"/>
  <c r="M53" i="13"/>
  <c r="O53" i="13"/>
  <c r="L52" i="13"/>
  <c r="N53" i="13"/>
  <c r="K53" i="13"/>
  <c r="J53" i="13"/>
  <c r="G53" i="13"/>
  <c r="F53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AK52" i="13"/>
  <c r="AM52" i="13"/>
  <c r="AJ51" i="13"/>
  <c r="AL52" i="13"/>
  <c r="AI52" i="13"/>
  <c r="AH52" i="13"/>
  <c r="AE52" i="13"/>
  <c r="AD52" i="13"/>
  <c r="Y52" i="13"/>
  <c r="AA52" i="13"/>
  <c r="X51" i="13"/>
  <c r="Z52" i="13"/>
  <c r="W52" i="13"/>
  <c r="V52" i="13"/>
  <c r="S52" i="13"/>
  <c r="R52" i="13"/>
  <c r="M52" i="13"/>
  <c r="O52" i="13"/>
  <c r="L51" i="13"/>
  <c r="N52" i="13"/>
  <c r="K52" i="13"/>
  <c r="J52" i="13"/>
  <c r="G52" i="13"/>
  <c r="F52" i="13"/>
  <c r="AK51" i="13"/>
  <c r="AM51" i="13"/>
  <c r="AJ50" i="13"/>
  <c r="AL51" i="13"/>
  <c r="AI51" i="13"/>
  <c r="AH51" i="13"/>
  <c r="AE51" i="13"/>
  <c r="AD51" i="13"/>
  <c r="Y51" i="13"/>
  <c r="AA51" i="13"/>
  <c r="X50" i="13"/>
  <c r="Z51" i="13"/>
  <c r="W51" i="13"/>
  <c r="V51" i="13"/>
  <c r="S51" i="13"/>
  <c r="R51" i="13"/>
  <c r="M51" i="13"/>
  <c r="O51" i="13"/>
  <c r="L50" i="13"/>
  <c r="N51" i="13"/>
  <c r="K51" i="13"/>
  <c r="J51" i="13"/>
  <c r="G51" i="13"/>
  <c r="F51" i="13"/>
  <c r="AK50" i="13"/>
  <c r="AM50" i="13"/>
  <c r="AJ49" i="13"/>
  <c r="AL50" i="13"/>
  <c r="AI50" i="13"/>
  <c r="AH50" i="13"/>
  <c r="AE50" i="13"/>
  <c r="AD50" i="13"/>
  <c r="Y50" i="13"/>
  <c r="AA50" i="13"/>
  <c r="X49" i="13"/>
  <c r="Z50" i="13"/>
  <c r="W50" i="13"/>
  <c r="V50" i="13"/>
  <c r="S50" i="13"/>
  <c r="R50" i="13"/>
  <c r="M50" i="13"/>
  <c r="O50" i="13"/>
  <c r="L49" i="13"/>
  <c r="N50" i="13"/>
  <c r="K50" i="13"/>
  <c r="J50" i="13"/>
  <c r="G50" i="13"/>
  <c r="F50" i="13"/>
  <c r="AK49" i="13"/>
  <c r="AM49" i="13"/>
  <c r="AJ48" i="13"/>
  <c r="AL49" i="13"/>
  <c r="AI49" i="13"/>
  <c r="AH49" i="13"/>
  <c r="AE49" i="13"/>
  <c r="AD49" i="13"/>
  <c r="Y49" i="13"/>
  <c r="AA49" i="13"/>
  <c r="X48" i="13"/>
  <c r="Z49" i="13"/>
  <c r="W49" i="13"/>
  <c r="V49" i="13"/>
  <c r="S49" i="13"/>
  <c r="R49" i="13"/>
  <c r="M49" i="13"/>
  <c r="O49" i="13"/>
  <c r="L48" i="13"/>
  <c r="N49" i="13"/>
  <c r="K49" i="13"/>
  <c r="J49" i="13"/>
  <c r="G49" i="13"/>
  <c r="F49" i="13"/>
  <c r="AK48" i="13"/>
  <c r="AM48" i="13"/>
  <c r="AJ47" i="13"/>
  <c r="AL48" i="13"/>
  <c r="AI48" i="13"/>
  <c r="AH48" i="13"/>
  <c r="AE48" i="13"/>
  <c r="AD48" i="13"/>
  <c r="Y48" i="13"/>
  <c r="AA48" i="13"/>
  <c r="X47" i="13"/>
  <c r="Z48" i="13"/>
  <c r="W48" i="13"/>
  <c r="V48" i="13"/>
  <c r="S48" i="13"/>
  <c r="R48" i="13"/>
  <c r="M48" i="13"/>
  <c r="O48" i="13"/>
  <c r="L47" i="13"/>
  <c r="N48" i="13"/>
  <c r="K48" i="13"/>
  <c r="J48" i="13"/>
  <c r="G48" i="13"/>
  <c r="F48" i="13"/>
  <c r="AK47" i="13"/>
  <c r="AM47" i="13"/>
  <c r="AJ46" i="13"/>
  <c r="AL47" i="13"/>
  <c r="AI47" i="13"/>
  <c r="AH47" i="13"/>
  <c r="AE47" i="13"/>
  <c r="AD47" i="13"/>
  <c r="Y47" i="13"/>
  <c r="AA47" i="13"/>
  <c r="X46" i="13"/>
  <c r="Z47" i="13"/>
  <c r="W47" i="13"/>
  <c r="V47" i="13"/>
  <c r="S47" i="13"/>
  <c r="R47" i="13"/>
  <c r="M47" i="13"/>
  <c r="O47" i="13"/>
  <c r="L46" i="13"/>
  <c r="N47" i="13"/>
  <c r="K47" i="13"/>
  <c r="J47" i="13"/>
  <c r="G47" i="13"/>
  <c r="F47" i="13"/>
  <c r="AK46" i="13"/>
  <c r="AM46" i="13"/>
  <c r="AJ45" i="13"/>
  <c r="AL46" i="13"/>
  <c r="AI46" i="13"/>
  <c r="AH46" i="13"/>
  <c r="AE46" i="13"/>
  <c r="AD46" i="13"/>
  <c r="Y46" i="13"/>
  <c r="AA46" i="13"/>
  <c r="X45" i="13"/>
  <c r="Z46" i="13"/>
  <c r="W46" i="13"/>
  <c r="V46" i="13"/>
  <c r="S46" i="13"/>
  <c r="R46" i="13"/>
  <c r="M46" i="13"/>
  <c r="O46" i="13"/>
  <c r="L45" i="13"/>
  <c r="N46" i="13"/>
  <c r="K46" i="13"/>
  <c r="J46" i="13"/>
  <c r="G46" i="13"/>
  <c r="F46" i="13"/>
  <c r="AK45" i="13"/>
  <c r="AM45" i="13"/>
  <c r="AJ44" i="13"/>
  <c r="AL45" i="13"/>
  <c r="AI45" i="13"/>
  <c r="AH45" i="13"/>
  <c r="AE45" i="13"/>
  <c r="AD45" i="13"/>
  <c r="Y45" i="13"/>
  <c r="AA45" i="13"/>
  <c r="X44" i="13"/>
  <c r="Z45" i="13"/>
  <c r="W45" i="13"/>
  <c r="V45" i="13"/>
  <c r="S45" i="13"/>
  <c r="R45" i="13"/>
  <c r="M45" i="13"/>
  <c r="O45" i="13"/>
  <c r="L44" i="13"/>
  <c r="N45" i="13"/>
  <c r="K45" i="13"/>
  <c r="J45" i="13"/>
  <c r="G45" i="13"/>
  <c r="F45" i="13"/>
  <c r="AK44" i="13"/>
  <c r="AM44" i="13"/>
  <c r="AJ43" i="13"/>
  <c r="AL44" i="13"/>
  <c r="AI44" i="13"/>
  <c r="AH44" i="13"/>
  <c r="AE44" i="13"/>
  <c r="AD44" i="13"/>
  <c r="Y44" i="13"/>
  <c r="AA44" i="13"/>
  <c r="X43" i="13"/>
  <c r="Z44" i="13"/>
  <c r="W44" i="13"/>
  <c r="V44" i="13"/>
  <c r="S44" i="13"/>
  <c r="R44" i="13"/>
  <c r="M44" i="13"/>
  <c r="O44" i="13"/>
  <c r="L43" i="13"/>
  <c r="N44" i="13"/>
  <c r="K44" i="13"/>
  <c r="J44" i="13"/>
  <c r="G44" i="13"/>
  <c r="F44" i="13"/>
  <c r="AK43" i="13"/>
  <c r="AM43" i="13"/>
  <c r="AJ42" i="13"/>
  <c r="AL43" i="13"/>
  <c r="AI43" i="13"/>
  <c r="AH43" i="13"/>
  <c r="AE43" i="13"/>
  <c r="AD43" i="13"/>
  <c r="Y43" i="13"/>
  <c r="AA43" i="13"/>
  <c r="X42" i="13"/>
  <c r="Z43" i="13"/>
  <c r="W43" i="13"/>
  <c r="V43" i="13"/>
  <c r="S43" i="13"/>
  <c r="R43" i="13"/>
  <c r="M43" i="13"/>
  <c r="O43" i="13"/>
  <c r="L42" i="13"/>
  <c r="N43" i="13"/>
  <c r="K43" i="13"/>
  <c r="J43" i="13"/>
  <c r="G43" i="13"/>
  <c r="F43" i="13"/>
  <c r="AK42" i="13"/>
  <c r="AM42" i="13"/>
  <c r="AJ41" i="13"/>
  <c r="AL42" i="13"/>
  <c r="AI42" i="13"/>
  <c r="AH42" i="13"/>
  <c r="AE42" i="13"/>
  <c r="AD42" i="13"/>
  <c r="Y42" i="13"/>
  <c r="AA42" i="13"/>
  <c r="X41" i="13"/>
  <c r="Z42" i="13"/>
  <c r="W42" i="13"/>
  <c r="V42" i="13"/>
  <c r="S42" i="13"/>
  <c r="R42" i="13"/>
  <c r="M42" i="13"/>
  <c r="O42" i="13"/>
  <c r="L41" i="13"/>
  <c r="N42" i="13"/>
  <c r="K42" i="13"/>
  <c r="J42" i="13"/>
  <c r="G42" i="13"/>
  <c r="F42" i="13"/>
  <c r="AK41" i="13"/>
  <c r="AM41" i="13"/>
  <c r="AJ40" i="13"/>
  <c r="AL41" i="13"/>
  <c r="AI41" i="13"/>
  <c r="AH41" i="13"/>
  <c r="AE41" i="13"/>
  <c r="AD41" i="13"/>
  <c r="Y41" i="13"/>
  <c r="AA41" i="13"/>
  <c r="X40" i="13"/>
  <c r="Z41" i="13"/>
  <c r="W41" i="13"/>
  <c r="V41" i="13"/>
  <c r="S41" i="13"/>
  <c r="R41" i="13"/>
  <c r="M41" i="13"/>
  <c r="O41" i="13"/>
  <c r="L40" i="13"/>
  <c r="N41" i="13"/>
  <c r="K41" i="13"/>
  <c r="J41" i="13"/>
  <c r="G41" i="13"/>
  <c r="F41" i="13"/>
  <c r="AK40" i="13"/>
  <c r="AM40" i="13"/>
  <c r="AJ39" i="13"/>
  <c r="AL40" i="13"/>
  <c r="AI40" i="13"/>
  <c r="AH40" i="13"/>
  <c r="AE40" i="13"/>
  <c r="AD40" i="13"/>
  <c r="Y40" i="13"/>
  <c r="AA40" i="13"/>
  <c r="X39" i="13"/>
  <c r="Z40" i="13"/>
  <c r="W40" i="13"/>
  <c r="V40" i="13"/>
  <c r="S40" i="13"/>
  <c r="R40" i="13"/>
  <c r="M40" i="13"/>
  <c r="O40" i="13"/>
  <c r="L39" i="13"/>
  <c r="N40" i="13"/>
  <c r="K40" i="13"/>
  <c r="J40" i="13"/>
  <c r="G40" i="13"/>
  <c r="F40" i="13"/>
  <c r="AK39" i="13"/>
  <c r="AM39" i="13"/>
  <c r="AJ38" i="13"/>
  <c r="AL39" i="13"/>
  <c r="AI39" i="13"/>
  <c r="AH39" i="13"/>
  <c r="AE39" i="13"/>
  <c r="AD39" i="13"/>
  <c r="Y39" i="13"/>
  <c r="AA39" i="13"/>
  <c r="X38" i="13"/>
  <c r="Z39" i="13"/>
  <c r="W39" i="13"/>
  <c r="V39" i="13"/>
  <c r="S39" i="13"/>
  <c r="R39" i="13"/>
  <c r="M39" i="13"/>
  <c r="O39" i="13"/>
  <c r="L38" i="13"/>
  <c r="N39" i="13"/>
  <c r="K39" i="13"/>
  <c r="J39" i="13"/>
  <c r="G39" i="13"/>
  <c r="F39" i="13"/>
  <c r="AK38" i="13"/>
  <c r="AM38" i="13"/>
  <c r="AJ37" i="13"/>
  <c r="AL38" i="13"/>
  <c r="AI38" i="13"/>
  <c r="AH38" i="13"/>
  <c r="AE38" i="13"/>
  <c r="AD38" i="13"/>
  <c r="Y38" i="13"/>
  <c r="AA38" i="13"/>
  <c r="X37" i="13"/>
  <c r="Z38" i="13"/>
  <c r="W38" i="13"/>
  <c r="V38" i="13"/>
  <c r="S38" i="13"/>
  <c r="R38" i="13"/>
  <c r="M38" i="13"/>
  <c r="O38" i="13"/>
  <c r="L37" i="13"/>
  <c r="N38" i="13"/>
  <c r="K38" i="13"/>
  <c r="J38" i="13"/>
  <c r="G38" i="13"/>
  <c r="F38" i="13"/>
  <c r="AK37" i="13"/>
  <c r="AM37" i="13"/>
  <c r="AJ36" i="13"/>
  <c r="AL37" i="13"/>
  <c r="AI37" i="13"/>
  <c r="AH37" i="13"/>
  <c r="AE37" i="13"/>
  <c r="AD37" i="13"/>
  <c r="Y37" i="13"/>
  <c r="AA37" i="13"/>
  <c r="X36" i="13"/>
  <c r="Z37" i="13"/>
  <c r="W37" i="13"/>
  <c r="V37" i="13"/>
  <c r="S37" i="13"/>
  <c r="R37" i="13"/>
  <c r="M37" i="13"/>
  <c r="O37" i="13"/>
  <c r="L36" i="13"/>
  <c r="N37" i="13"/>
  <c r="K37" i="13"/>
  <c r="J37" i="13"/>
  <c r="G37" i="13"/>
  <c r="F37" i="13"/>
  <c r="AK36" i="13"/>
  <c r="AM36" i="13"/>
  <c r="AJ35" i="13"/>
  <c r="AL36" i="13"/>
  <c r="AI36" i="13"/>
  <c r="AH36" i="13"/>
  <c r="AE36" i="13"/>
  <c r="AD36" i="13"/>
  <c r="Y36" i="13"/>
  <c r="AA36" i="13"/>
  <c r="X35" i="13"/>
  <c r="Z36" i="13"/>
  <c r="W36" i="13"/>
  <c r="V36" i="13"/>
  <c r="S36" i="13"/>
  <c r="R36" i="13"/>
  <c r="M36" i="13"/>
  <c r="O36" i="13"/>
  <c r="L35" i="13"/>
  <c r="N36" i="13"/>
  <c r="K36" i="13"/>
  <c r="J36" i="13"/>
  <c r="G36" i="13"/>
  <c r="F36" i="13"/>
  <c r="AK35" i="13"/>
  <c r="AM35" i="13"/>
  <c r="AJ34" i="13"/>
  <c r="AL35" i="13"/>
  <c r="AI35" i="13"/>
  <c r="AH35" i="13"/>
  <c r="AE35" i="13"/>
  <c r="AD35" i="13"/>
  <c r="Y35" i="13"/>
  <c r="AA35" i="13"/>
  <c r="X34" i="13"/>
  <c r="Z35" i="13"/>
  <c r="W35" i="13"/>
  <c r="V35" i="13"/>
  <c r="S35" i="13"/>
  <c r="R35" i="13"/>
  <c r="M35" i="13"/>
  <c r="O35" i="13"/>
  <c r="L34" i="13"/>
  <c r="N35" i="13"/>
  <c r="K35" i="13"/>
  <c r="J35" i="13"/>
  <c r="G35" i="13"/>
  <c r="F35" i="13"/>
  <c r="AK34" i="13"/>
  <c r="AM34" i="13"/>
  <c r="AJ33" i="13"/>
  <c r="AL34" i="13"/>
  <c r="AI34" i="13"/>
  <c r="AH34" i="13"/>
  <c r="AE34" i="13"/>
  <c r="AD34" i="13"/>
  <c r="Y34" i="13"/>
  <c r="AA34" i="13"/>
  <c r="X33" i="13"/>
  <c r="Z34" i="13"/>
  <c r="W34" i="13"/>
  <c r="V34" i="13"/>
  <c r="S34" i="13"/>
  <c r="R34" i="13"/>
  <c r="M34" i="13"/>
  <c r="O34" i="13"/>
  <c r="L33" i="13"/>
  <c r="N34" i="13"/>
  <c r="K34" i="13"/>
  <c r="J34" i="13"/>
  <c r="G34" i="13"/>
  <c r="F34" i="13"/>
  <c r="AK33" i="13"/>
  <c r="AM33" i="13"/>
  <c r="AJ32" i="13"/>
  <c r="AL33" i="13"/>
  <c r="AI33" i="13"/>
  <c r="AH33" i="13"/>
  <c r="AE33" i="13"/>
  <c r="AD33" i="13"/>
  <c r="Y33" i="13"/>
  <c r="AA33" i="13"/>
  <c r="X32" i="13"/>
  <c r="Z33" i="13"/>
  <c r="W33" i="13"/>
  <c r="V33" i="13"/>
  <c r="S33" i="13"/>
  <c r="R33" i="13"/>
  <c r="M33" i="13"/>
  <c r="O33" i="13"/>
  <c r="L32" i="13"/>
  <c r="N33" i="13"/>
  <c r="K33" i="13"/>
  <c r="J33" i="13"/>
  <c r="G33" i="13"/>
  <c r="F33" i="13"/>
  <c r="AK32" i="13"/>
  <c r="AM32" i="13"/>
  <c r="AJ31" i="13"/>
  <c r="AL32" i="13"/>
  <c r="AI32" i="13"/>
  <c r="AH32" i="13"/>
  <c r="AE32" i="13"/>
  <c r="AD32" i="13"/>
  <c r="Y32" i="13"/>
  <c r="AA32" i="13"/>
  <c r="X31" i="13"/>
  <c r="Z32" i="13"/>
  <c r="W32" i="13"/>
  <c r="V32" i="13"/>
  <c r="S32" i="13"/>
  <c r="R32" i="13"/>
  <c r="M32" i="13"/>
  <c r="O32" i="13"/>
  <c r="L31" i="13"/>
  <c r="N32" i="13"/>
  <c r="K32" i="13"/>
  <c r="J32" i="13"/>
  <c r="G32" i="13"/>
  <c r="F32" i="13"/>
  <c r="AK31" i="13"/>
  <c r="AM31" i="13"/>
  <c r="AJ30" i="13"/>
  <c r="AL31" i="13"/>
  <c r="AI31" i="13"/>
  <c r="AH31" i="13"/>
  <c r="AE31" i="13"/>
  <c r="AD31" i="13"/>
  <c r="Y31" i="13"/>
  <c r="AA31" i="13"/>
  <c r="X30" i="13"/>
  <c r="Z31" i="13"/>
  <c r="W31" i="13"/>
  <c r="V31" i="13"/>
  <c r="S31" i="13"/>
  <c r="R31" i="13"/>
  <c r="M31" i="13"/>
  <c r="O31" i="13"/>
  <c r="L30" i="13"/>
  <c r="N31" i="13"/>
  <c r="K31" i="13"/>
  <c r="J31" i="13"/>
  <c r="G31" i="13"/>
  <c r="F31" i="13"/>
  <c r="AK30" i="13"/>
  <c r="AM30" i="13"/>
  <c r="AJ29" i="13"/>
  <c r="AL30" i="13"/>
  <c r="AI30" i="13"/>
  <c r="AH30" i="13"/>
  <c r="AE30" i="13"/>
  <c r="AD30" i="13"/>
  <c r="Y30" i="13"/>
  <c r="AA30" i="13"/>
  <c r="X29" i="13"/>
  <c r="Z30" i="13"/>
  <c r="W30" i="13"/>
  <c r="V30" i="13"/>
  <c r="S30" i="13"/>
  <c r="R30" i="13"/>
  <c r="M30" i="13"/>
  <c r="O30" i="13"/>
  <c r="L29" i="13"/>
  <c r="N30" i="13"/>
  <c r="K30" i="13"/>
  <c r="J30" i="13"/>
  <c r="G30" i="13"/>
  <c r="F30" i="13"/>
  <c r="AK29" i="13"/>
  <c r="AM29" i="13"/>
  <c r="AJ28" i="13"/>
  <c r="AL29" i="13"/>
  <c r="AI29" i="13"/>
  <c r="AH29" i="13"/>
  <c r="AE29" i="13"/>
  <c r="AD29" i="13"/>
  <c r="Y29" i="13"/>
  <c r="AA29" i="13"/>
  <c r="X28" i="13"/>
  <c r="Z29" i="13"/>
  <c r="W29" i="13"/>
  <c r="V29" i="13"/>
  <c r="S29" i="13"/>
  <c r="R29" i="13"/>
  <c r="M29" i="13"/>
  <c r="O29" i="13"/>
  <c r="L28" i="13"/>
  <c r="N29" i="13"/>
  <c r="J29" i="13"/>
  <c r="G29" i="13"/>
  <c r="F29" i="13"/>
  <c r="AK28" i="13"/>
  <c r="AM28" i="13"/>
  <c r="AJ27" i="13"/>
  <c r="AL28" i="13"/>
  <c r="AI28" i="13"/>
  <c r="AH28" i="13"/>
  <c r="AE28" i="13"/>
  <c r="AD28" i="13"/>
  <c r="Y28" i="13"/>
  <c r="AA28" i="13"/>
  <c r="X27" i="13"/>
  <c r="Z28" i="13"/>
  <c r="W28" i="13"/>
  <c r="V28" i="13"/>
  <c r="S28" i="13"/>
  <c r="R28" i="13"/>
  <c r="M28" i="13"/>
  <c r="O28" i="13"/>
  <c r="L27" i="13"/>
  <c r="N28" i="13"/>
  <c r="K28" i="13"/>
  <c r="J28" i="13"/>
  <c r="G28" i="13"/>
  <c r="F28" i="13"/>
  <c r="AK27" i="13"/>
  <c r="AM27" i="13"/>
  <c r="AJ26" i="13"/>
  <c r="AL27" i="13"/>
  <c r="AI27" i="13"/>
  <c r="AH27" i="13"/>
  <c r="AE27" i="13"/>
  <c r="AD27" i="13"/>
  <c r="Y27" i="13"/>
  <c r="AA27" i="13"/>
  <c r="X26" i="13"/>
  <c r="Z27" i="13"/>
  <c r="W27" i="13"/>
  <c r="V27" i="13"/>
  <c r="S27" i="13"/>
  <c r="R27" i="13"/>
  <c r="M27" i="13"/>
  <c r="O27" i="13"/>
  <c r="L26" i="13"/>
  <c r="N27" i="13"/>
  <c r="K27" i="13"/>
  <c r="J27" i="13"/>
  <c r="G27" i="13"/>
  <c r="F27" i="13"/>
  <c r="AK26" i="13"/>
  <c r="AM26" i="13"/>
  <c r="AJ25" i="13"/>
  <c r="AL26" i="13"/>
  <c r="AI26" i="13"/>
  <c r="AH26" i="13"/>
  <c r="AE26" i="13"/>
  <c r="AD26" i="13"/>
  <c r="Y26" i="13"/>
  <c r="AA26" i="13"/>
  <c r="X25" i="13"/>
  <c r="Z26" i="13"/>
  <c r="W26" i="13"/>
  <c r="V26" i="13"/>
  <c r="S26" i="13"/>
  <c r="R26" i="13"/>
  <c r="M26" i="13"/>
  <c r="O26" i="13"/>
  <c r="L25" i="13"/>
  <c r="N26" i="13"/>
  <c r="K26" i="13"/>
  <c r="J26" i="13"/>
  <c r="G26" i="13"/>
  <c r="F26" i="13"/>
  <c r="AK25" i="13"/>
  <c r="AM25" i="13"/>
  <c r="AJ24" i="13"/>
  <c r="AL25" i="13"/>
  <c r="AI25" i="13"/>
  <c r="AH25" i="13"/>
  <c r="AE25" i="13"/>
  <c r="AD25" i="13"/>
  <c r="Y25" i="13"/>
  <c r="AA25" i="13"/>
  <c r="X24" i="13"/>
  <c r="Z25" i="13"/>
  <c r="W25" i="13"/>
  <c r="V25" i="13"/>
  <c r="S25" i="13"/>
  <c r="R25" i="13"/>
  <c r="M25" i="13"/>
  <c r="O25" i="13"/>
  <c r="L24" i="13"/>
  <c r="N25" i="13"/>
  <c r="K25" i="13"/>
  <c r="J25" i="13"/>
  <c r="G25" i="13"/>
  <c r="F25" i="13"/>
  <c r="AK24" i="13"/>
  <c r="AM24" i="13"/>
  <c r="AJ23" i="13"/>
  <c r="AL24" i="13"/>
  <c r="AI24" i="13"/>
  <c r="AH24" i="13"/>
  <c r="AE24" i="13"/>
  <c r="AD24" i="13"/>
  <c r="Y24" i="13"/>
  <c r="AA24" i="13"/>
  <c r="X23" i="13"/>
  <c r="Z24" i="13"/>
  <c r="W24" i="13"/>
  <c r="V24" i="13"/>
  <c r="S24" i="13"/>
  <c r="R24" i="13"/>
  <c r="M24" i="13"/>
  <c r="O24" i="13"/>
  <c r="L23" i="13"/>
  <c r="N24" i="13"/>
  <c r="K24" i="13"/>
  <c r="J24" i="13"/>
  <c r="G24" i="13"/>
  <c r="F24" i="13"/>
  <c r="AK23" i="13"/>
  <c r="AM23" i="13"/>
  <c r="AJ22" i="13"/>
  <c r="AL23" i="13"/>
  <c r="AI23" i="13"/>
  <c r="AH23" i="13"/>
  <c r="AE23" i="13"/>
  <c r="AD23" i="13"/>
  <c r="Y23" i="13"/>
  <c r="AA23" i="13"/>
  <c r="X22" i="13"/>
  <c r="Z23" i="13"/>
  <c r="W23" i="13"/>
  <c r="V23" i="13"/>
  <c r="S23" i="13"/>
  <c r="R23" i="13"/>
  <c r="M23" i="13"/>
  <c r="O23" i="13"/>
  <c r="L22" i="13"/>
  <c r="N23" i="13"/>
  <c r="K23" i="13"/>
  <c r="J23" i="13"/>
  <c r="G23" i="13"/>
  <c r="F23" i="13"/>
  <c r="AK22" i="13"/>
  <c r="AM22" i="13"/>
  <c r="AJ21" i="13"/>
  <c r="AL22" i="13"/>
  <c r="AI22" i="13"/>
  <c r="AH22" i="13"/>
  <c r="AE22" i="13"/>
  <c r="AD22" i="13"/>
  <c r="Y22" i="13"/>
  <c r="AA22" i="13"/>
  <c r="X21" i="13"/>
  <c r="Z22" i="13"/>
  <c r="W22" i="13"/>
  <c r="V22" i="13"/>
  <c r="S22" i="13"/>
  <c r="R22" i="13"/>
  <c r="M22" i="13"/>
  <c r="O22" i="13"/>
  <c r="L21" i="13"/>
  <c r="N22" i="13"/>
  <c r="K22" i="13"/>
  <c r="J22" i="13"/>
  <c r="G22" i="13"/>
  <c r="F22" i="13"/>
  <c r="AK21" i="13"/>
  <c r="AM21" i="13"/>
  <c r="AJ20" i="13"/>
  <c r="AL21" i="13"/>
  <c r="AI21" i="13"/>
  <c r="AH21" i="13"/>
  <c r="AE21" i="13"/>
  <c r="AD21" i="13"/>
  <c r="Y21" i="13"/>
  <c r="AA21" i="13"/>
  <c r="X20" i="13"/>
  <c r="Z21" i="13"/>
  <c r="W21" i="13"/>
  <c r="V21" i="13"/>
  <c r="S21" i="13"/>
  <c r="R21" i="13"/>
  <c r="M21" i="13"/>
  <c r="O21" i="13"/>
  <c r="L20" i="13"/>
  <c r="N21" i="13"/>
  <c r="K21" i="13"/>
  <c r="J21" i="13"/>
  <c r="G21" i="13"/>
  <c r="F21" i="13"/>
  <c r="AK20" i="13"/>
  <c r="AM20" i="13"/>
  <c r="AJ19" i="13"/>
  <c r="AL20" i="13"/>
  <c r="AI20" i="13"/>
  <c r="AH20" i="13"/>
  <c r="AE20" i="13"/>
  <c r="AD20" i="13"/>
  <c r="Y20" i="13"/>
  <c r="AA20" i="13"/>
  <c r="X19" i="13"/>
  <c r="Z20" i="13"/>
  <c r="W20" i="13"/>
  <c r="V20" i="13"/>
  <c r="S20" i="13"/>
  <c r="R20" i="13"/>
  <c r="M20" i="13"/>
  <c r="O20" i="13"/>
  <c r="L19" i="13"/>
  <c r="N20" i="13"/>
  <c r="K20" i="13"/>
  <c r="J20" i="13"/>
  <c r="G20" i="13"/>
  <c r="F20" i="13"/>
  <c r="AK19" i="13"/>
  <c r="AM19" i="13"/>
  <c r="AJ18" i="13"/>
  <c r="AL19" i="13"/>
  <c r="AI19" i="13"/>
  <c r="AH19" i="13"/>
  <c r="AE19" i="13"/>
  <c r="AD19" i="13"/>
  <c r="Y19" i="13"/>
  <c r="AA19" i="13"/>
  <c r="X18" i="13"/>
  <c r="Z19" i="13"/>
  <c r="W19" i="13"/>
  <c r="V19" i="13"/>
  <c r="S19" i="13"/>
  <c r="R19" i="13"/>
  <c r="M19" i="13"/>
  <c r="O19" i="13"/>
  <c r="L18" i="13"/>
  <c r="N19" i="13"/>
  <c r="K19" i="13"/>
  <c r="J19" i="13"/>
  <c r="G19" i="13"/>
  <c r="F19" i="13"/>
  <c r="AK18" i="13"/>
  <c r="AM18" i="13"/>
  <c r="AJ17" i="13"/>
  <c r="AL18" i="13"/>
  <c r="AI18" i="13"/>
  <c r="AH18" i="13"/>
  <c r="AE18" i="13"/>
  <c r="AD18" i="13"/>
  <c r="Y18" i="13"/>
  <c r="AA18" i="13"/>
  <c r="X17" i="13"/>
  <c r="Z18" i="13"/>
  <c r="W18" i="13"/>
  <c r="V18" i="13"/>
  <c r="S18" i="13"/>
  <c r="R18" i="13"/>
  <c r="M18" i="13"/>
  <c r="O18" i="13"/>
  <c r="L17" i="13"/>
  <c r="N18" i="13"/>
  <c r="K18" i="13"/>
  <c r="J18" i="13"/>
  <c r="G18" i="13"/>
  <c r="F18" i="13"/>
  <c r="AK17" i="13"/>
  <c r="AM17" i="13"/>
  <c r="AJ16" i="13"/>
  <c r="AL17" i="13"/>
  <c r="AI17" i="13"/>
  <c r="AH17" i="13"/>
  <c r="AE17" i="13"/>
  <c r="AD17" i="13"/>
  <c r="Y17" i="13"/>
  <c r="AA17" i="13"/>
  <c r="X16" i="13"/>
  <c r="Z17" i="13"/>
  <c r="W17" i="13"/>
  <c r="V17" i="13"/>
  <c r="S17" i="13"/>
  <c r="R17" i="13"/>
  <c r="M17" i="13"/>
  <c r="O17" i="13"/>
  <c r="L16" i="13"/>
  <c r="N17" i="13"/>
  <c r="K17" i="13"/>
  <c r="J17" i="13"/>
  <c r="G17" i="13"/>
  <c r="F17" i="13"/>
  <c r="AK16" i="13"/>
  <c r="AM16" i="13"/>
  <c r="AJ15" i="13"/>
  <c r="AL16" i="13"/>
  <c r="AI16" i="13"/>
  <c r="AH16" i="13"/>
  <c r="AE16" i="13"/>
  <c r="AD16" i="13"/>
  <c r="Y16" i="13"/>
  <c r="AA16" i="13"/>
  <c r="X15" i="13"/>
  <c r="Z16" i="13"/>
  <c r="W16" i="13"/>
  <c r="V16" i="13"/>
  <c r="S16" i="13"/>
  <c r="R16" i="13"/>
  <c r="M16" i="13"/>
  <c r="O16" i="13"/>
  <c r="L15" i="13"/>
  <c r="N16" i="13"/>
  <c r="K16" i="13"/>
  <c r="J16" i="13"/>
  <c r="G16" i="13"/>
  <c r="F16" i="13"/>
  <c r="AK15" i="13"/>
  <c r="AM15" i="13"/>
  <c r="AJ14" i="13"/>
  <c r="AL15" i="13"/>
  <c r="AI15" i="13"/>
  <c r="AH15" i="13"/>
  <c r="AE15" i="13"/>
  <c r="AD15" i="13"/>
  <c r="Y15" i="13"/>
  <c r="AA15" i="13"/>
  <c r="X14" i="13"/>
  <c r="Z15" i="13"/>
  <c r="W15" i="13"/>
  <c r="V15" i="13"/>
  <c r="S15" i="13"/>
  <c r="R15" i="13"/>
  <c r="M15" i="13"/>
  <c r="O15" i="13"/>
  <c r="L14" i="13"/>
  <c r="N15" i="13"/>
  <c r="K15" i="13"/>
  <c r="J15" i="13"/>
  <c r="G15" i="13"/>
  <c r="F15" i="13"/>
  <c r="AK14" i="13"/>
  <c r="AM14" i="13"/>
  <c r="AJ13" i="13"/>
  <c r="AL14" i="13"/>
  <c r="AI14" i="13"/>
  <c r="AH14" i="13"/>
  <c r="AE14" i="13"/>
  <c r="AD14" i="13"/>
  <c r="Y14" i="13"/>
  <c r="AA14" i="13"/>
  <c r="X13" i="13"/>
  <c r="Z14" i="13"/>
  <c r="W14" i="13"/>
  <c r="V14" i="13"/>
  <c r="S14" i="13"/>
  <c r="R14" i="13"/>
  <c r="M14" i="13"/>
  <c r="O14" i="13"/>
  <c r="L13" i="13"/>
  <c r="N14" i="13"/>
  <c r="K14" i="13"/>
  <c r="J14" i="13"/>
  <c r="G14" i="13"/>
  <c r="F14" i="13"/>
  <c r="AK13" i="13"/>
  <c r="AM13" i="13"/>
  <c r="AJ12" i="13"/>
  <c r="AL13" i="13"/>
  <c r="AI13" i="13"/>
  <c r="AH13" i="13"/>
  <c r="AE13" i="13"/>
  <c r="AD13" i="13"/>
  <c r="Y13" i="13"/>
  <c r="AA13" i="13"/>
  <c r="X12" i="13"/>
  <c r="Z13" i="13"/>
  <c r="W13" i="13"/>
  <c r="V13" i="13"/>
  <c r="S13" i="13"/>
  <c r="R13" i="13"/>
  <c r="M13" i="13"/>
  <c r="O13" i="13"/>
  <c r="L12" i="13"/>
  <c r="N13" i="13"/>
  <c r="K13" i="13"/>
  <c r="J13" i="13"/>
  <c r="G13" i="13"/>
  <c r="F13" i="13"/>
  <c r="AK12" i="13"/>
  <c r="AM12" i="13"/>
  <c r="AJ11" i="13"/>
  <c r="AL12" i="13"/>
  <c r="AI12" i="13"/>
  <c r="AH12" i="13"/>
  <c r="AE12" i="13"/>
  <c r="AD12" i="13"/>
  <c r="Y12" i="13"/>
  <c r="AA12" i="13"/>
  <c r="X11" i="13"/>
  <c r="Z12" i="13"/>
  <c r="W12" i="13"/>
  <c r="V12" i="13"/>
  <c r="S12" i="13"/>
  <c r="R12" i="13"/>
  <c r="M12" i="13"/>
  <c r="O12" i="13"/>
  <c r="L11" i="13"/>
  <c r="N12" i="13"/>
  <c r="K12" i="13"/>
  <c r="J12" i="13"/>
  <c r="G12" i="13"/>
  <c r="F12" i="13"/>
  <c r="AK11" i="13"/>
  <c r="AM11" i="13"/>
  <c r="AJ10" i="13"/>
  <c r="AL11" i="13"/>
  <c r="AI11" i="13"/>
  <c r="AH11" i="13"/>
  <c r="AE11" i="13"/>
  <c r="AD11" i="13"/>
  <c r="Y11" i="13"/>
  <c r="AA11" i="13"/>
  <c r="X10" i="13"/>
  <c r="Z11" i="13"/>
  <c r="W11" i="13"/>
  <c r="V11" i="13"/>
  <c r="S11" i="13"/>
  <c r="R11" i="13"/>
  <c r="M11" i="13"/>
  <c r="O11" i="13"/>
  <c r="L10" i="13"/>
  <c r="N11" i="13"/>
  <c r="K11" i="13"/>
  <c r="J11" i="13"/>
  <c r="G11" i="13"/>
  <c r="F11" i="13"/>
  <c r="AK10" i="13"/>
  <c r="AM10" i="13"/>
  <c r="AJ9" i="13"/>
  <c r="AL10" i="13"/>
  <c r="AI10" i="13"/>
  <c r="AH10" i="13"/>
  <c r="AE10" i="13"/>
  <c r="AD10" i="13"/>
  <c r="Y10" i="13"/>
  <c r="AA10" i="13"/>
  <c r="X9" i="13"/>
  <c r="Z10" i="13"/>
  <c r="W10" i="13"/>
  <c r="V10" i="13"/>
  <c r="S10" i="13"/>
  <c r="R10" i="13"/>
  <c r="M10" i="13"/>
  <c r="O10" i="13"/>
  <c r="L9" i="13"/>
  <c r="N10" i="13"/>
  <c r="K10" i="13"/>
  <c r="J10" i="13"/>
  <c r="G10" i="13"/>
  <c r="F10" i="13"/>
  <c r="C3" i="13"/>
  <c r="C4" i="13"/>
  <c r="C5" i="13"/>
  <c r="C6" i="13"/>
  <c r="C7" i="13"/>
  <c r="C8" i="13"/>
  <c r="C9" i="13"/>
  <c r="C10" i="13"/>
  <c r="AK9" i="13"/>
  <c r="AM9" i="13"/>
  <c r="AJ8" i="13"/>
  <c r="AL9" i="13"/>
  <c r="AI9" i="13"/>
  <c r="AH9" i="13"/>
  <c r="AE9" i="13"/>
  <c r="AD9" i="13"/>
  <c r="Y9" i="13"/>
  <c r="AA9" i="13"/>
  <c r="X8" i="13"/>
  <c r="Z9" i="13"/>
  <c r="W9" i="13"/>
  <c r="V9" i="13"/>
  <c r="S9" i="13"/>
  <c r="R9" i="13"/>
  <c r="M9" i="13"/>
  <c r="O9" i="13"/>
  <c r="L8" i="13"/>
  <c r="N9" i="13"/>
  <c r="K9" i="13"/>
  <c r="J9" i="13"/>
  <c r="G9" i="13"/>
  <c r="F9" i="13"/>
  <c r="AK8" i="13"/>
  <c r="AM8" i="13"/>
  <c r="AJ7" i="13"/>
  <c r="AL8" i="13"/>
  <c r="AI8" i="13"/>
  <c r="AH8" i="13"/>
  <c r="AE8" i="13"/>
  <c r="AD8" i="13"/>
  <c r="Y8" i="13"/>
  <c r="AA8" i="13"/>
  <c r="X7" i="13"/>
  <c r="Z8" i="13"/>
  <c r="W8" i="13"/>
  <c r="V8" i="13"/>
  <c r="S8" i="13"/>
  <c r="R8" i="13"/>
  <c r="M8" i="13"/>
  <c r="O8" i="13"/>
  <c r="L7" i="13"/>
  <c r="N8" i="13"/>
  <c r="K8" i="13"/>
  <c r="J8" i="13"/>
  <c r="G8" i="13"/>
  <c r="F8" i="13"/>
  <c r="AK7" i="13"/>
  <c r="AM7" i="13"/>
  <c r="AJ6" i="13"/>
  <c r="AL7" i="13"/>
  <c r="AI7" i="13"/>
  <c r="AH7" i="13"/>
  <c r="AE7" i="13"/>
  <c r="AD7" i="13"/>
  <c r="Y7" i="13"/>
  <c r="AA7" i="13"/>
  <c r="X6" i="13"/>
  <c r="Z7" i="13"/>
  <c r="W7" i="13"/>
  <c r="V7" i="13"/>
  <c r="S7" i="13"/>
  <c r="R7" i="13"/>
  <c r="M7" i="13"/>
  <c r="O7" i="13"/>
  <c r="L6" i="13"/>
  <c r="N7" i="13"/>
  <c r="K7" i="13"/>
  <c r="J7" i="13"/>
  <c r="G7" i="13"/>
  <c r="F7" i="13"/>
  <c r="AK6" i="13"/>
  <c r="AM6" i="13"/>
  <c r="AJ5" i="13"/>
  <c r="AL6" i="13"/>
  <c r="AI6" i="13"/>
  <c r="AH6" i="13"/>
  <c r="AE6" i="13"/>
  <c r="AD6" i="13"/>
  <c r="Y6" i="13"/>
  <c r="AA6" i="13"/>
  <c r="X5" i="13"/>
  <c r="Z6" i="13"/>
  <c r="W6" i="13"/>
  <c r="V6" i="13"/>
  <c r="S6" i="13"/>
  <c r="R6" i="13"/>
  <c r="M6" i="13"/>
  <c r="O6" i="13"/>
  <c r="L5" i="13"/>
  <c r="N6" i="13"/>
  <c r="K6" i="13"/>
  <c r="J6" i="13"/>
  <c r="G6" i="13"/>
  <c r="F6" i="13"/>
  <c r="AK5" i="13"/>
  <c r="AM5" i="13"/>
  <c r="AJ4" i="13"/>
  <c r="AL5" i="13"/>
  <c r="AI5" i="13"/>
  <c r="AH5" i="13"/>
  <c r="AE5" i="13"/>
  <c r="AD5" i="13"/>
  <c r="Y5" i="13"/>
  <c r="AA5" i="13"/>
  <c r="X4" i="13"/>
  <c r="Z5" i="13"/>
  <c r="W5" i="13"/>
  <c r="V5" i="13"/>
  <c r="S5" i="13"/>
  <c r="R5" i="13"/>
  <c r="M5" i="13"/>
  <c r="O5" i="13"/>
  <c r="L4" i="13"/>
  <c r="N5" i="13"/>
  <c r="K5" i="13"/>
  <c r="J5" i="13"/>
  <c r="G5" i="13"/>
  <c r="F5" i="13"/>
  <c r="AK4" i="13"/>
  <c r="AM4" i="13"/>
  <c r="AJ3" i="13"/>
  <c r="AL4" i="13"/>
  <c r="AI4" i="13"/>
  <c r="AH4" i="13"/>
  <c r="AE4" i="13"/>
  <c r="AD4" i="13"/>
  <c r="Y4" i="13"/>
  <c r="AA4" i="13"/>
  <c r="X3" i="13"/>
  <c r="Z4" i="13"/>
  <c r="W4" i="13"/>
  <c r="V4" i="13"/>
  <c r="S4" i="13"/>
  <c r="R4" i="13"/>
  <c r="M4" i="13"/>
  <c r="O4" i="13"/>
  <c r="L3" i="13"/>
  <c r="N4" i="13"/>
  <c r="K4" i="13"/>
  <c r="J4" i="13"/>
  <c r="G4" i="13"/>
  <c r="F4" i="13"/>
  <c r="AK3" i="13"/>
  <c r="AM3" i="13"/>
  <c r="AJ2" i="13"/>
  <c r="AL3" i="13"/>
  <c r="AI3" i="13"/>
  <c r="AH3" i="13"/>
  <c r="AE3" i="13"/>
  <c r="AD3" i="13"/>
  <c r="Y3" i="13"/>
  <c r="AA3" i="13"/>
  <c r="X2" i="13"/>
  <c r="Z3" i="13"/>
  <c r="W3" i="13"/>
  <c r="V3" i="13"/>
  <c r="S3" i="13"/>
  <c r="R3" i="13"/>
  <c r="M3" i="13"/>
  <c r="O3" i="13"/>
  <c r="L2" i="13"/>
  <c r="N3" i="13"/>
  <c r="K3" i="13"/>
  <c r="J3" i="13"/>
  <c r="G3" i="13"/>
  <c r="F3" i="13"/>
  <c r="AK2" i="13"/>
  <c r="AM2" i="13"/>
  <c r="AI2" i="13"/>
  <c r="AE2" i="13"/>
  <c r="Y2" i="13"/>
  <c r="AA2" i="13"/>
  <c r="W2" i="13"/>
  <c r="S2" i="13"/>
  <c r="M2" i="13"/>
  <c r="O2" i="13"/>
  <c r="K2" i="13"/>
  <c r="G2" i="13"/>
  <c r="P3" i="12"/>
  <c r="Q3" i="12"/>
  <c r="P4" i="12"/>
  <c r="S4" i="12"/>
  <c r="Q4" i="12"/>
  <c r="P5" i="12"/>
  <c r="Q5" i="12"/>
  <c r="P6" i="12"/>
  <c r="R7" i="12"/>
  <c r="Q6" i="12"/>
  <c r="P7" i="12"/>
  <c r="Q7" i="12"/>
  <c r="P8" i="12"/>
  <c r="R8" i="12"/>
  <c r="Q8" i="12"/>
  <c r="P9" i="12"/>
  <c r="Q9" i="12"/>
  <c r="P10" i="12"/>
  <c r="S10" i="12"/>
  <c r="Q10" i="12"/>
  <c r="P11" i="12"/>
  <c r="Q11" i="12"/>
  <c r="P12" i="12"/>
  <c r="R12" i="12"/>
  <c r="Q12" i="12"/>
  <c r="P13" i="12"/>
  <c r="Q13" i="12"/>
  <c r="P14" i="12"/>
  <c r="R15" i="12"/>
  <c r="Q14" i="12"/>
  <c r="P15" i="12"/>
  <c r="Q15" i="12"/>
  <c r="P16" i="12"/>
  <c r="R16" i="12"/>
  <c r="Q16" i="12"/>
  <c r="P17" i="12"/>
  <c r="Q17" i="12"/>
  <c r="P18" i="12"/>
  <c r="S18" i="12"/>
  <c r="P19" i="12"/>
  <c r="Q19" i="12"/>
  <c r="P20" i="12"/>
  <c r="R20" i="12"/>
  <c r="P21" i="12"/>
  <c r="R22" i="12"/>
  <c r="Q21" i="12"/>
  <c r="P22" i="12"/>
  <c r="Q22" i="12"/>
  <c r="P23" i="12"/>
  <c r="S23" i="12"/>
  <c r="Q23" i="12"/>
  <c r="P24" i="12"/>
  <c r="Q24" i="12"/>
  <c r="P25" i="12"/>
  <c r="S25" i="12"/>
  <c r="P26" i="12"/>
  <c r="S26" i="12"/>
  <c r="Q26" i="12"/>
  <c r="P27" i="12"/>
  <c r="P28" i="12"/>
  <c r="S28" i="12"/>
  <c r="Q28" i="12"/>
  <c r="P29" i="12"/>
  <c r="Q29" i="12"/>
  <c r="P30" i="12"/>
  <c r="R30" i="12"/>
  <c r="P31" i="12"/>
  <c r="Q32" i="12"/>
  <c r="P33" i="12"/>
  <c r="S33" i="12"/>
  <c r="Q33" i="12"/>
  <c r="P35" i="12"/>
  <c r="Q35" i="12"/>
  <c r="Q36" i="12"/>
  <c r="P37" i="12"/>
  <c r="Q37" i="12"/>
  <c r="P38" i="12"/>
  <c r="R39" i="12"/>
  <c r="P39" i="12"/>
  <c r="Q39" i="12"/>
  <c r="P40" i="12"/>
  <c r="R40" i="12"/>
  <c r="P41" i="12"/>
  <c r="S41" i="12"/>
  <c r="Q41" i="12"/>
  <c r="H42" i="12"/>
  <c r="Q42" i="12"/>
  <c r="H43" i="12"/>
  <c r="P43" i="12"/>
  <c r="P44" i="12"/>
  <c r="S44" i="12"/>
  <c r="Q44" i="12"/>
  <c r="H45" i="12"/>
  <c r="K45" i="12"/>
  <c r="P45" i="12"/>
  <c r="S45" i="12"/>
  <c r="P46" i="12"/>
  <c r="S46" i="12"/>
  <c r="Q46" i="12"/>
  <c r="P47" i="12"/>
  <c r="P48" i="12"/>
  <c r="P49" i="12"/>
  <c r="R49" i="12"/>
  <c r="Q48" i="12"/>
  <c r="S49" i="12"/>
  <c r="P50" i="12"/>
  <c r="Q50" i="12"/>
  <c r="S50" i="12"/>
  <c r="P51" i="12"/>
  <c r="R51" i="12"/>
  <c r="P52" i="12"/>
  <c r="Q52" i="12"/>
  <c r="P53" i="12"/>
  <c r="S53" i="12"/>
  <c r="Q2" i="12"/>
  <c r="S2" i="12"/>
  <c r="P2" i="12"/>
  <c r="S54" i="12"/>
  <c r="R53" i="12"/>
  <c r="S52" i="12"/>
  <c r="R50" i="12"/>
  <c r="S38" i="12"/>
  <c r="R38" i="12"/>
  <c r="R31" i="12"/>
  <c r="S30" i="12"/>
  <c r="R28" i="12"/>
  <c r="S24" i="12"/>
  <c r="R23" i="12"/>
  <c r="S22" i="12"/>
  <c r="R17" i="12"/>
  <c r="S16" i="12"/>
  <c r="R14" i="12"/>
  <c r="S12" i="12"/>
  <c r="R10" i="12"/>
  <c r="R9" i="12"/>
  <c r="S6" i="12"/>
  <c r="R6" i="12"/>
  <c r="R3" i="12"/>
  <c r="J53" i="12"/>
  <c r="K52" i="12"/>
  <c r="J52" i="12"/>
  <c r="J51" i="12"/>
  <c r="K50" i="12"/>
  <c r="J50" i="12"/>
  <c r="J49" i="12"/>
  <c r="K48" i="12"/>
  <c r="J48" i="12"/>
  <c r="J47" i="12"/>
  <c r="K46" i="12"/>
  <c r="J46" i="12"/>
  <c r="K44" i="12"/>
  <c r="J44" i="12"/>
  <c r="J42" i="12"/>
  <c r="K41" i="12"/>
  <c r="J41" i="12"/>
  <c r="K40" i="12"/>
  <c r="J40" i="12"/>
  <c r="K39" i="12"/>
  <c r="J39" i="12"/>
  <c r="K38" i="12"/>
  <c r="J38" i="12"/>
  <c r="K37" i="12"/>
  <c r="K35" i="12"/>
  <c r="J35" i="12"/>
  <c r="J34" i="12"/>
  <c r="K33" i="12"/>
  <c r="J33" i="12"/>
  <c r="J32" i="12"/>
  <c r="J31" i="12"/>
  <c r="J30" i="12"/>
  <c r="J29" i="12"/>
  <c r="K28" i="12"/>
  <c r="J28" i="12"/>
  <c r="K27" i="12"/>
  <c r="J27" i="12"/>
  <c r="K26" i="12"/>
  <c r="J26" i="12"/>
  <c r="K25" i="12"/>
  <c r="J25" i="12"/>
  <c r="K24" i="12"/>
  <c r="J24" i="12"/>
  <c r="K23" i="12"/>
  <c r="J23" i="12"/>
  <c r="K22" i="12"/>
  <c r="J22" i="12"/>
  <c r="K21" i="12"/>
  <c r="J21" i="12"/>
  <c r="K20" i="12"/>
  <c r="J20" i="12"/>
  <c r="K19" i="12"/>
  <c r="J19" i="12"/>
  <c r="K18" i="12"/>
  <c r="J18" i="12"/>
  <c r="K17" i="12"/>
  <c r="J17" i="12"/>
  <c r="K16" i="12"/>
  <c r="J16" i="12"/>
  <c r="K15" i="12"/>
  <c r="J15" i="12"/>
  <c r="K14" i="12"/>
  <c r="J14" i="12"/>
  <c r="K13" i="12"/>
  <c r="J13" i="12"/>
  <c r="K12" i="12"/>
  <c r="J12" i="12"/>
  <c r="K11" i="12"/>
  <c r="J11" i="12"/>
  <c r="K10" i="12"/>
  <c r="J10" i="12"/>
  <c r="K9" i="12"/>
  <c r="J9" i="12"/>
  <c r="K8" i="12"/>
  <c r="J8" i="12"/>
  <c r="K7" i="12"/>
  <c r="J7" i="12"/>
  <c r="K6" i="12"/>
  <c r="J6" i="12"/>
  <c r="K5" i="12"/>
  <c r="J5" i="12"/>
  <c r="K4" i="12"/>
  <c r="J4" i="12"/>
  <c r="K3" i="12"/>
  <c r="J3" i="12"/>
  <c r="K2" i="12"/>
  <c r="AN54" i="12"/>
  <c r="AR54" i="12"/>
  <c r="AU54" i="12"/>
  <c r="AS54" i="12"/>
  <c r="AO54" i="12"/>
  <c r="D54" i="12"/>
  <c r="AB54" i="12"/>
  <c r="E54" i="12"/>
  <c r="AK54" i="12"/>
  <c r="AC54" i="12"/>
  <c r="AE54" i="12"/>
  <c r="X54" i="12"/>
  <c r="AA54" i="12"/>
  <c r="Y54" i="12"/>
  <c r="L54" i="12"/>
  <c r="M54" i="12"/>
  <c r="U54" i="12"/>
  <c r="AZ53" i="12"/>
  <c r="BA53" i="12"/>
  <c r="BC53" i="12"/>
  <c r="AZ52" i="12"/>
  <c r="BC52" i="12"/>
  <c r="AU53" i="12"/>
  <c r="AT53" i="12"/>
  <c r="AQ53" i="12"/>
  <c r="AP53" i="12"/>
  <c r="AJ53" i="12"/>
  <c r="AK53" i="12"/>
  <c r="AM53" i="12"/>
  <c r="AJ52" i="12"/>
  <c r="AL53" i="12"/>
  <c r="AE53" i="12"/>
  <c r="AD53" i="12"/>
  <c r="AA53" i="12"/>
  <c r="Z53" i="12"/>
  <c r="T53" i="12"/>
  <c r="U53" i="12"/>
  <c r="T52" i="12"/>
  <c r="V52" i="12"/>
  <c r="O53" i="12"/>
  <c r="N53" i="12"/>
  <c r="G53" i="12"/>
  <c r="F53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BA52" i="12"/>
  <c r="AZ51" i="12"/>
  <c r="BB51" i="12"/>
  <c r="AU52" i="12"/>
  <c r="AT52" i="12"/>
  <c r="AQ52" i="12"/>
  <c r="AP52" i="12"/>
  <c r="AK52" i="12"/>
  <c r="AM52" i="12"/>
  <c r="AJ51" i="12"/>
  <c r="AE52" i="12"/>
  <c r="AD52" i="12"/>
  <c r="AA52" i="12"/>
  <c r="Z52" i="12"/>
  <c r="U52" i="12"/>
  <c r="W52" i="12"/>
  <c r="T51" i="12"/>
  <c r="V51" i="12"/>
  <c r="O52" i="12"/>
  <c r="N52" i="12"/>
  <c r="G52" i="12"/>
  <c r="F52" i="12"/>
  <c r="BA51" i="12"/>
  <c r="BC51" i="12"/>
  <c r="AZ50" i="12"/>
  <c r="AZ49" i="12"/>
  <c r="BB50" i="12"/>
  <c r="AU51" i="12"/>
  <c r="AT51" i="12"/>
  <c r="AQ51" i="12"/>
  <c r="AP51" i="12"/>
  <c r="AK51" i="12"/>
  <c r="AM51" i="12"/>
  <c r="AJ50" i="12"/>
  <c r="AJ49" i="12"/>
  <c r="AL50" i="12"/>
  <c r="AE51" i="12"/>
  <c r="AD51" i="12"/>
  <c r="AA51" i="12"/>
  <c r="Z51" i="12"/>
  <c r="U51" i="12"/>
  <c r="W51" i="12"/>
  <c r="T50" i="12"/>
  <c r="O51" i="12"/>
  <c r="N51" i="12"/>
  <c r="G51" i="12"/>
  <c r="F51" i="12"/>
  <c r="BA50" i="12"/>
  <c r="BC50" i="12"/>
  <c r="AZ48" i="12"/>
  <c r="BB49" i="12"/>
  <c r="AU50" i="12"/>
  <c r="AT50" i="12"/>
  <c r="AQ50" i="12"/>
  <c r="AP50" i="12"/>
  <c r="AK50" i="12"/>
  <c r="AM50" i="12"/>
  <c r="AJ48" i="12"/>
  <c r="AL49" i="12"/>
  <c r="AE50" i="12"/>
  <c r="AD50" i="12"/>
  <c r="AA50" i="12"/>
  <c r="Z50" i="12"/>
  <c r="U50" i="12"/>
  <c r="W50" i="12"/>
  <c r="T49" i="12"/>
  <c r="W49" i="12"/>
  <c r="O50" i="12"/>
  <c r="N50" i="12"/>
  <c r="G50" i="12"/>
  <c r="F50" i="12"/>
  <c r="BA49" i="12"/>
  <c r="BC49" i="12"/>
  <c r="AU49" i="12"/>
  <c r="AT49" i="12"/>
  <c r="AQ49" i="12"/>
  <c r="AP49" i="12"/>
  <c r="AK49" i="12"/>
  <c r="AM49" i="12"/>
  <c r="AE49" i="12"/>
  <c r="AD49" i="12"/>
  <c r="AA49" i="12"/>
  <c r="Z49" i="12"/>
  <c r="U49" i="12"/>
  <c r="T48" i="12"/>
  <c r="W48" i="12"/>
  <c r="O49" i="12"/>
  <c r="N49" i="12"/>
  <c r="G49" i="12"/>
  <c r="F49" i="12"/>
  <c r="BA48" i="12"/>
  <c r="BC48" i="12"/>
  <c r="AZ47" i="12"/>
  <c r="BB48" i="12"/>
  <c r="AU48" i="12"/>
  <c r="AT48" i="12"/>
  <c r="AQ48" i="12"/>
  <c r="AP48" i="12"/>
  <c r="AK48" i="12"/>
  <c r="AM48" i="12"/>
  <c r="AJ47" i="12"/>
  <c r="AL48" i="12"/>
  <c r="AE48" i="12"/>
  <c r="AD48" i="12"/>
  <c r="AA48" i="12"/>
  <c r="Z48" i="12"/>
  <c r="U48" i="12"/>
  <c r="T47" i="12"/>
  <c r="O48" i="12"/>
  <c r="N48" i="12"/>
  <c r="G48" i="12"/>
  <c r="F48" i="12"/>
  <c r="BA47" i="12"/>
  <c r="AZ46" i="12"/>
  <c r="AU47" i="12"/>
  <c r="AT47" i="12"/>
  <c r="AQ47" i="12"/>
  <c r="AP47" i="12"/>
  <c r="AK47" i="12"/>
  <c r="AM47" i="12"/>
  <c r="AJ46" i="12"/>
  <c r="AE47" i="12"/>
  <c r="AD47" i="12"/>
  <c r="AA47" i="12"/>
  <c r="Z47" i="12"/>
  <c r="U47" i="12"/>
  <c r="W47" i="12"/>
  <c r="T46" i="12"/>
  <c r="O47" i="12"/>
  <c r="N47" i="12"/>
  <c r="G47" i="12"/>
  <c r="F47" i="12"/>
  <c r="BA46" i="12"/>
  <c r="AZ45" i="12"/>
  <c r="AU46" i="12"/>
  <c r="AT46" i="12"/>
  <c r="AQ46" i="12"/>
  <c r="AP46" i="12"/>
  <c r="AK46" i="12"/>
  <c r="AJ45" i="12"/>
  <c r="AL45" i="12"/>
  <c r="AE46" i="12"/>
  <c r="AD46" i="12"/>
  <c r="AA46" i="12"/>
  <c r="Z46" i="12"/>
  <c r="U46" i="12"/>
  <c r="W46" i="12"/>
  <c r="T45" i="12"/>
  <c r="V46" i="12"/>
  <c r="O46" i="12"/>
  <c r="N46" i="12"/>
  <c r="G46" i="12"/>
  <c r="F46" i="12"/>
  <c r="BA45" i="12"/>
  <c r="AZ44" i="12"/>
  <c r="AU45" i="12"/>
  <c r="AT45" i="12"/>
  <c r="AQ45" i="12"/>
  <c r="AP45" i="12"/>
  <c r="AK45" i="12"/>
  <c r="AJ44" i="12"/>
  <c r="AL44" i="12"/>
  <c r="AE45" i="12"/>
  <c r="AD45" i="12"/>
  <c r="AA45" i="12"/>
  <c r="Z45" i="12"/>
  <c r="U45" i="12"/>
  <c r="T44" i="12"/>
  <c r="W44" i="12"/>
  <c r="O45" i="12"/>
  <c r="N45" i="12"/>
  <c r="G45" i="12"/>
  <c r="F45" i="12"/>
  <c r="BA44" i="12"/>
  <c r="BC44" i="12"/>
  <c r="AZ43" i="12"/>
  <c r="AU44" i="12"/>
  <c r="AT44" i="12"/>
  <c r="AQ44" i="12"/>
  <c r="AP44" i="12"/>
  <c r="AK44" i="12"/>
  <c r="AM44" i="12"/>
  <c r="AJ43" i="12"/>
  <c r="AE44" i="12"/>
  <c r="AD44" i="12"/>
  <c r="AA44" i="12"/>
  <c r="Z44" i="12"/>
  <c r="U44" i="12"/>
  <c r="T43" i="12"/>
  <c r="O44" i="12"/>
  <c r="N44" i="12"/>
  <c r="G44" i="12"/>
  <c r="F44" i="12"/>
  <c r="BA43" i="12"/>
  <c r="AZ42" i="12"/>
  <c r="BC42" i="12"/>
  <c r="BA42" i="12"/>
  <c r="AU43" i="12"/>
  <c r="AT43" i="12"/>
  <c r="AQ43" i="12"/>
  <c r="AP43" i="12"/>
  <c r="AK43" i="12"/>
  <c r="AJ42" i="12"/>
  <c r="AE43" i="12"/>
  <c r="AD43" i="12"/>
  <c r="AA43" i="12"/>
  <c r="Z43" i="12"/>
  <c r="U43" i="12"/>
  <c r="T42" i="12"/>
  <c r="T41" i="12"/>
  <c r="V42" i="12"/>
  <c r="O43" i="12"/>
  <c r="N43" i="12"/>
  <c r="G43" i="12"/>
  <c r="F43" i="12"/>
  <c r="AZ41" i="12"/>
  <c r="AU42" i="12"/>
  <c r="AT42" i="12"/>
  <c r="AQ42" i="12"/>
  <c r="AP42" i="12"/>
  <c r="AK42" i="12"/>
  <c r="AM42" i="12"/>
  <c r="AJ41" i="12"/>
  <c r="AL42" i="12"/>
  <c r="AE42" i="12"/>
  <c r="AD42" i="12"/>
  <c r="AA42" i="12"/>
  <c r="Z42" i="12"/>
  <c r="U42" i="12"/>
  <c r="W42" i="12"/>
  <c r="O42" i="12"/>
  <c r="N42" i="12"/>
  <c r="G42" i="12"/>
  <c r="F42" i="12"/>
  <c r="BA41" i="12"/>
  <c r="BC41" i="12"/>
  <c r="AZ40" i="12"/>
  <c r="BB41" i="12"/>
  <c r="AU41" i="12"/>
  <c r="AT41" i="12"/>
  <c r="AQ41" i="12"/>
  <c r="AP41" i="12"/>
  <c r="AK41" i="12"/>
  <c r="AM41" i="12"/>
  <c r="AJ40" i="12"/>
  <c r="AL41" i="12"/>
  <c r="AE41" i="12"/>
  <c r="AD41" i="12"/>
  <c r="AA41" i="12"/>
  <c r="Z41" i="12"/>
  <c r="U41" i="12"/>
  <c r="T40" i="12"/>
  <c r="V41" i="12"/>
  <c r="O41" i="12"/>
  <c r="N41" i="12"/>
  <c r="G41" i="12"/>
  <c r="F41" i="12"/>
  <c r="BA40" i="12"/>
  <c r="BC40" i="12"/>
  <c r="AZ39" i="12"/>
  <c r="BB40" i="12"/>
  <c r="AU40" i="12"/>
  <c r="AT40" i="12"/>
  <c r="AQ40" i="12"/>
  <c r="AP40" i="12"/>
  <c r="AK40" i="12"/>
  <c r="AM40" i="12"/>
  <c r="AJ39" i="12"/>
  <c r="AL40" i="12"/>
  <c r="AE40" i="12"/>
  <c r="AD40" i="12"/>
  <c r="AA40" i="12"/>
  <c r="Z40" i="12"/>
  <c r="U40" i="12"/>
  <c r="W40" i="12"/>
  <c r="T39" i="12"/>
  <c r="V40" i="12"/>
  <c r="O40" i="12"/>
  <c r="N40" i="12"/>
  <c r="G40" i="12"/>
  <c r="F40" i="12"/>
  <c r="BA39" i="12"/>
  <c r="BC39" i="12"/>
  <c r="AZ38" i="12"/>
  <c r="BB39" i="12"/>
  <c r="AU39" i="12"/>
  <c r="AT39" i="12"/>
  <c r="AQ39" i="12"/>
  <c r="AP39" i="12"/>
  <c r="AK39" i="12"/>
  <c r="AM39" i="12"/>
  <c r="AJ38" i="12"/>
  <c r="AL39" i="12"/>
  <c r="AE39" i="12"/>
  <c r="AD39" i="12"/>
  <c r="AA39" i="12"/>
  <c r="Z39" i="12"/>
  <c r="U39" i="12"/>
  <c r="W39" i="12"/>
  <c r="T38" i="12"/>
  <c r="V39" i="12"/>
  <c r="O39" i="12"/>
  <c r="N39" i="12"/>
  <c r="G39" i="12"/>
  <c r="F39" i="12"/>
  <c r="BA38" i="12"/>
  <c r="BC38" i="12"/>
  <c r="AZ37" i="12"/>
  <c r="BB38" i="12"/>
  <c r="AU38" i="12"/>
  <c r="AT38" i="12"/>
  <c r="AQ38" i="12"/>
  <c r="AP38" i="12"/>
  <c r="AK38" i="12"/>
  <c r="AM38" i="12"/>
  <c r="AJ37" i="12"/>
  <c r="AL38" i="12"/>
  <c r="AE38" i="12"/>
  <c r="AD38" i="12"/>
  <c r="AA38" i="12"/>
  <c r="Z38" i="12"/>
  <c r="U38" i="12"/>
  <c r="W38" i="12"/>
  <c r="T37" i="12"/>
  <c r="V38" i="12"/>
  <c r="O38" i="12"/>
  <c r="N38" i="12"/>
  <c r="G38" i="12"/>
  <c r="F38" i="12"/>
  <c r="BA37" i="12"/>
  <c r="BC37" i="12"/>
  <c r="AZ36" i="12"/>
  <c r="BB37" i="12"/>
  <c r="AU37" i="12"/>
  <c r="AT37" i="12"/>
  <c r="AQ37" i="12"/>
  <c r="AP37" i="12"/>
  <c r="AK37" i="12"/>
  <c r="AM37" i="12"/>
  <c r="AJ36" i="12"/>
  <c r="AL37" i="12"/>
  <c r="AE37" i="12"/>
  <c r="AD37" i="12"/>
  <c r="AA37" i="12"/>
  <c r="Z37" i="12"/>
  <c r="U37" i="12"/>
  <c r="W37" i="12"/>
  <c r="T36" i="12"/>
  <c r="V37" i="12"/>
  <c r="O37" i="12"/>
  <c r="N37" i="12"/>
  <c r="G37" i="12"/>
  <c r="F37" i="12"/>
  <c r="BA36" i="12"/>
  <c r="BC36" i="12"/>
  <c r="AZ35" i="12"/>
  <c r="BB36" i="12"/>
  <c r="AU36" i="12"/>
  <c r="AT36" i="12"/>
  <c r="AQ36" i="12"/>
  <c r="AP36" i="12"/>
  <c r="AK36" i="12"/>
  <c r="AM36" i="12"/>
  <c r="AJ35" i="12"/>
  <c r="AL36" i="12"/>
  <c r="AE36" i="12"/>
  <c r="AD36" i="12"/>
  <c r="AA36" i="12"/>
  <c r="Z36" i="12"/>
  <c r="U36" i="12"/>
  <c r="W36" i="12"/>
  <c r="T35" i="12"/>
  <c r="V36" i="12"/>
  <c r="O36" i="12"/>
  <c r="N36" i="12"/>
  <c r="G36" i="12"/>
  <c r="F36" i="12"/>
  <c r="BA35" i="12"/>
  <c r="BC35" i="12"/>
  <c r="AZ34" i="12"/>
  <c r="BB35" i="12"/>
  <c r="AU35" i="12"/>
  <c r="AT35" i="12"/>
  <c r="AQ35" i="12"/>
  <c r="AP35" i="12"/>
  <c r="AK35" i="12"/>
  <c r="AM35" i="12"/>
  <c r="AJ34" i="12"/>
  <c r="AL35" i="12"/>
  <c r="AE35" i="12"/>
  <c r="AD35" i="12"/>
  <c r="AA35" i="12"/>
  <c r="Z35" i="12"/>
  <c r="U35" i="12"/>
  <c r="W35" i="12"/>
  <c r="T34" i="12"/>
  <c r="V35" i="12"/>
  <c r="O35" i="12"/>
  <c r="N35" i="12"/>
  <c r="G35" i="12"/>
  <c r="F35" i="12"/>
  <c r="BA34" i="12"/>
  <c r="BC34" i="12"/>
  <c r="AZ33" i="12"/>
  <c r="BB33" i="12"/>
  <c r="AU34" i="12"/>
  <c r="AT34" i="12"/>
  <c r="AQ34" i="12"/>
  <c r="AP34" i="12"/>
  <c r="AK34" i="12"/>
  <c r="AM34" i="12"/>
  <c r="AJ33" i="12"/>
  <c r="AL34" i="12"/>
  <c r="AE34" i="12"/>
  <c r="AD34" i="12"/>
  <c r="AA34" i="12"/>
  <c r="Z34" i="12"/>
  <c r="U34" i="12"/>
  <c r="W34" i="12"/>
  <c r="T33" i="12"/>
  <c r="V34" i="12"/>
  <c r="O34" i="12"/>
  <c r="N34" i="12"/>
  <c r="G34" i="12"/>
  <c r="F34" i="12"/>
  <c r="BA33" i="12"/>
  <c r="BC33" i="12"/>
  <c r="AZ32" i="12"/>
  <c r="BB32" i="12"/>
  <c r="AU33" i="12"/>
  <c r="AT33" i="12"/>
  <c r="AQ33" i="12"/>
  <c r="AP33" i="12"/>
  <c r="AK33" i="12"/>
  <c r="AM33" i="12"/>
  <c r="AJ32" i="12"/>
  <c r="AL33" i="12"/>
  <c r="AE33" i="12"/>
  <c r="AD33" i="12"/>
  <c r="AA33" i="12"/>
  <c r="Z33" i="12"/>
  <c r="U33" i="12"/>
  <c r="W33" i="12"/>
  <c r="T32" i="12"/>
  <c r="V33" i="12"/>
  <c r="O33" i="12"/>
  <c r="N33" i="12"/>
  <c r="G33" i="12"/>
  <c r="F33" i="12"/>
  <c r="BA32" i="12"/>
  <c r="BC32" i="12"/>
  <c r="AZ31" i="12"/>
  <c r="AU32" i="12"/>
  <c r="AT32" i="12"/>
  <c r="AQ32" i="12"/>
  <c r="AP32" i="12"/>
  <c r="AK32" i="12"/>
  <c r="AM32" i="12"/>
  <c r="AJ31" i="12"/>
  <c r="AL32" i="12"/>
  <c r="AE32" i="12"/>
  <c r="AD32" i="12"/>
  <c r="AA32" i="12"/>
  <c r="Z32" i="12"/>
  <c r="U32" i="12"/>
  <c r="W32" i="12"/>
  <c r="T31" i="12"/>
  <c r="V32" i="12"/>
  <c r="O32" i="12"/>
  <c r="N32" i="12"/>
  <c r="G32" i="12"/>
  <c r="F32" i="12"/>
  <c r="BA31" i="12"/>
  <c r="BC31" i="12"/>
  <c r="AZ30" i="12"/>
  <c r="BB31" i="12"/>
  <c r="AU31" i="12"/>
  <c r="AT31" i="12"/>
  <c r="AQ31" i="12"/>
  <c r="AP31" i="12"/>
  <c r="AK31" i="12"/>
  <c r="AM31" i="12"/>
  <c r="AJ30" i="12"/>
  <c r="AL31" i="12"/>
  <c r="AE31" i="12"/>
  <c r="AD31" i="12"/>
  <c r="AA31" i="12"/>
  <c r="Z31" i="12"/>
  <c r="U31" i="12"/>
  <c r="W31" i="12"/>
  <c r="T30" i="12"/>
  <c r="V31" i="12"/>
  <c r="O31" i="12"/>
  <c r="N31" i="12"/>
  <c r="G31" i="12"/>
  <c r="F31" i="12"/>
  <c r="BA30" i="12"/>
  <c r="BC30" i="12"/>
  <c r="AZ29" i="12"/>
  <c r="BB29" i="12"/>
  <c r="AU30" i="12"/>
  <c r="AT30" i="12"/>
  <c r="AQ30" i="12"/>
  <c r="AP30" i="12"/>
  <c r="AK30" i="12"/>
  <c r="AM30" i="12"/>
  <c r="AJ29" i="12"/>
  <c r="AL30" i="12"/>
  <c r="AE30" i="12"/>
  <c r="AD30" i="12"/>
  <c r="AA30" i="12"/>
  <c r="Z30" i="12"/>
  <c r="U30" i="12"/>
  <c r="W30" i="12"/>
  <c r="T29" i="12"/>
  <c r="V30" i="12"/>
  <c r="O30" i="12"/>
  <c r="N30" i="12"/>
  <c r="G30" i="12"/>
  <c r="F30" i="12"/>
  <c r="BA29" i="12"/>
  <c r="BC29" i="12"/>
  <c r="AZ28" i="12"/>
  <c r="AU29" i="12"/>
  <c r="AT29" i="12"/>
  <c r="AQ29" i="12"/>
  <c r="AP29" i="12"/>
  <c r="AK29" i="12"/>
  <c r="AM29" i="12"/>
  <c r="AJ28" i="12"/>
  <c r="AL29" i="12"/>
  <c r="AE29" i="12"/>
  <c r="AD29" i="12"/>
  <c r="AA29" i="12"/>
  <c r="Z29" i="12"/>
  <c r="U29" i="12"/>
  <c r="W29" i="12"/>
  <c r="T28" i="12"/>
  <c r="V29" i="12"/>
  <c r="N29" i="12"/>
  <c r="G29" i="12"/>
  <c r="F29" i="12"/>
  <c r="BA28" i="12"/>
  <c r="BC28" i="12"/>
  <c r="AZ27" i="12"/>
  <c r="AU28" i="12"/>
  <c r="AT28" i="12"/>
  <c r="AQ28" i="12"/>
  <c r="AP28" i="12"/>
  <c r="AK28" i="12"/>
  <c r="AM28" i="12"/>
  <c r="AJ27" i="12"/>
  <c r="AL28" i="12"/>
  <c r="AE28" i="12"/>
  <c r="AD28" i="12"/>
  <c r="AA28" i="12"/>
  <c r="Z28" i="12"/>
  <c r="U28" i="12"/>
  <c r="W28" i="12"/>
  <c r="T27" i="12"/>
  <c r="V28" i="12"/>
  <c r="O28" i="12"/>
  <c r="N28" i="12"/>
  <c r="G28" i="12"/>
  <c r="F28" i="12"/>
  <c r="BA27" i="12"/>
  <c r="BC27" i="12"/>
  <c r="AZ26" i="12"/>
  <c r="AU27" i="12"/>
  <c r="AT27" i="12"/>
  <c r="AQ27" i="12"/>
  <c r="AP27" i="12"/>
  <c r="AK27" i="12"/>
  <c r="AM27" i="12"/>
  <c r="AJ26" i="12"/>
  <c r="AL26" i="12"/>
  <c r="AE27" i="12"/>
  <c r="AD27" i="12"/>
  <c r="AA27" i="12"/>
  <c r="Z27" i="12"/>
  <c r="U27" i="12"/>
  <c r="W27" i="12"/>
  <c r="T26" i="12"/>
  <c r="V26" i="12"/>
  <c r="O27" i="12"/>
  <c r="N27" i="12"/>
  <c r="G27" i="12"/>
  <c r="F27" i="12"/>
  <c r="BA26" i="12"/>
  <c r="BC26" i="12"/>
  <c r="AZ25" i="12"/>
  <c r="BB25" i="12"/>
  <c r="AU26" i="12"/>
  <c r="AT26" i="12"/>
  <c r="AQ26" i="12"/>
  <c r="AP26" i="12"/>
  <c r="AK26" i="12"/>
  <c r="AM26" i="12"/>
  <c r="AJ25" i="12"/>
  <c r="AL25" i="12"/>
  <c r="AE26" i="12"/>
  <c r="AD26" i="12"/>
  <c r="AA26" i="12"/>
  <c r="Z26" i="12"/>
  <c r="U26" i="12"/>
  <c r="W26" i="12"/>
  <c r="T25" i="12"/>
  <c r="V25" i="12"/>
  <c r="O26" i="12"/>
  <c r="N26" i="12"/>
  <c r="G26" i="12"/>
  <c r="F26" i="12"/>
  <c r="BA25" i="12"/>
  <c r="BC25" i="12"/>
  <c r="AZ24" i="12"/>
  <c r="BB24" i="12"/>
  <c r="AU25" i="12"/>
  <c r="AT25" i="12"/>
  <c r="AQ25" i="12"/>
  <c r="AP25" i="12"/>
  <c r="AK25" i="12"/>
  <c r="AM25" i="12"/>
  <c r="AJ24" i="12"/>
  <c r="AL24" i="12"/>
  <c r="AE25" i="12"/>
  <c r="AD25" i="12"/>
  <c r="AA25" i="12"/>
  <c r="Z25" i="12"/>
  <c r="U25" i="12"/>
  <c r="W25" i="12"/>
  <c r="T24" i="12"/>
  <c r="V24" i="12"/>
  <c r="O25" i="12"/>
  <c r="N25" i="12"/>
  <c r="G25" i="12"/>
  <c r="F25" i="12"/>
  <c r="BA24" i="12"/>
  <c r="BC24" i="12"/>
  <c r="AZ23" i="12"/>
  <c r="BB23" i="12"/>
  <c r="AU24" i="12"/>
  <c r="AT24" i="12"/>
  <c r="AQ24" i="12"/>
  <c r="AP24" i="12"/>
  <c r="AK24" i="12"/>
  <c r="AM24" i="12"/>
  <c r="AJ23" i="12"/>
  <c r="AL23" i="12"/>
  <c r="AE24" i="12"/>
  <c r="AD24" i="12"/>
  <c r="AA24" i="12"/>
  <c r="Z24" i="12"/>
  <c r="U24" i="12"/>
  <c r="W24" i="12"/>
  <c r="T23" i="12"/>
  <c r="V23" i="12"/>
  <c r="O24" i="12"/>
  <c r="N24" i="12"/>
  <c r="G24" i="12"/>
  <c r="F24" i="12"/>
  <c r="BA23" i="12"/>
  <c r="BC23" i="12"/>
  <c r="AZ22" i="12"/>
  <c r="AU23" i="12"/>
  <c r="AT23" i="12"/>
  <c r="AQ23" i="12"/>
  <c r="AP23" i="12"/>
  <c r="AK23" i="12"/>
  <c r="AM23" i="12"/>
  <c r="AJ22" i="12"/>
  <c r="AL22" i="12"/>
  <c r="AE23" i="12"/>
  <c r="AD23" i="12"/>
  <c r="AA23" i="12"/>
  <c r="Z23" i="12"/>
  <c r="U23" i="12"/>
  <c r="W23" i="12"/>
  <c r="T22" i="12"/>
  <c r="V22" i="12"/>
  <c r="O23" i="12"/>
  <c r="N23" i="12"/>
  <c r="G23" i="12"/>
  <c r="F23" i="12"/>
  <c r="BA22" i="12"/>
  <c r="BC22" i="12"/>
  <c r="AZ21" i="12"/>
  <c r="BB21" i="12"/>
  <c r="AU22" i="12"/>
  <c r="AT22" i="12"/>
  <c r="AQ22" i="12"/>
  <c r="AP22" i="12"/>
  <c r="AK22" i="12"/>
  <c r="AM22" i="12"/>
  <c r="AJ21" i="12"/>
  <c r="AL21" i="12"/>
  <c r="AE22" i="12"/>
  <c r="AD22" i="12"/>
  <c r="AA22" i="12"/>
  <c r="Z22" i="12"/>
  <c r="U22" i="12"/>
  <c r="W22" i="12"/>
  <c r="T21" i="12"/>
  <c r="V21" i="12"/>
  <c r="O22" i="12"/>
  <c r="N22" i="12"/>
  <c r="G22" i="12"/>
  <c r="F22" i="12"/>
  <c r="BA21" i="12"/>
  <c r="BC21" i="12"/>
  <c r="AZ20" i="12"/>
  <c r="BB20" i="12"/>
  <c r="AU21" i="12"/>
  <c r="AT21" i="12"/>
  <c r="AQ21" i="12"/>
  <c r="AP21" i="12"/>
  <c r="AK21" i="12"/>
  <c r="AM21" i="12"/>
  <c r="AJ20" i="12"/>
  <c r="AL20" i="12"/>
  <c r="AE21" i="12"/>
  <c r="AD21" i="12"/>
  <c r="AA21" i="12"/>
  <c r="Z21" i="12"/>
  <c r="U21" i="12"/>
  <c r="W21" i="12"/>
  <c r="T20" i="12"/>
  <c r="V20" i="12"/>
  <c r="O21" i="12"/>
  <c r="N21" i="12"/>
  <c r="G21" i="12"/>
  <c r="F21" i="12"/>
  <c r="BA20" i="12"/>
  <c r="BC20" i="12"/>
  <c r="AZ19" i="12"/>
  <c r="AU20" i="12"/>
  <c r="AT20" i="12"/>
  <c r="AQ20" i="12"/>
  <c r="AP20" i="12"/>
  <c r="AK20" i="12"/>
  <c r="AM20" i="12"/>
  <c r="AJ19" i="12"/>
  <c r="AL19" i="12"/>
  <c r="AE20" i="12"/>
  <c r="AD20" i="12"/>
  <c r="AA20" i="12"/>
  <c r="Z20" i="12"/>
  <c r="U20" i="12"/>
  <c r="W20" i="12"/>
  <c r="T19" i="12"/>
  <c r="V19" i="12"/>
  <c r="O20" i="12"/>
  <c r="N20" i="12"/>
  <c r="G20" i="12"/>
  <c r="F20" i="12"/>
  <c r="BA19" i="12"/>
  <c r="BC19" i="12"/>
  <c r="AZ18" i="12"/>
  <c r="AU19" i="12"/>
  <c r="AT19" i="12"/>
  <c r="AQ19" i="12"/>
  <c r="AP19" i="12"/>
  <c r="AK19" i="12"/>
  <c r="AM19" i="12"/>
  <c r="AJ18" i="12"/>
  <c r="AL18" i="12"/>
  <c r="AE19" i="12"/>
  <c r="AD19" i="12"/>
  <c r="AA19" i="12"/>
  <c r="Z19" i="12"/>
  <c r="U19" i="12"/>
  <c r="W19" i="12"/>
  <c r="T18" i="12"/>
  <c r="V18" i="12"/>
  <c r="O19" i="12"/>
  <c r="N19" i="12"/>
  <c r="G19" i="12"/>
  <c r="F19" i="12"/>
  <c r="BA18" i="12"/>
  <c r="BC18" i="12"/>
  <c r="AZ17" i="12"/>
  <c r="BB17" i="12"/>
  <c r="AU18" i="12"/>
  <c r="AT18" i="12"/>
  <c r="AQ18" i="12"/>
  <c r="AP18" i="12"/>
  <c r="AK18" i="12"/>
  <c r="AM18" i="12"/>
  <c r="AJ17" i="12"/>
  <c r="AL17" i="12"/>
  <c r="AE18" i="12"/>
  <c r="AD18" i="12"/>
  <c r="AA18" i="12"/>
  <c r="Z18" i="12"/>
  <c r="U18" i="12"/>
  <c r="W18" i="12"/>
  <c r="T17" i="12"/>
  <c r="V17" i="12"/>
  <c r="O18" i="12"/>
  <c r="N18" i="12"/>
  <c r="G18" i="12"/>
  <c r="F18" i="12"/>
  <c r="BA17" i="12"/>
  <c r="AZ16" i="12"/>
  <c r="BB16" i="12"/>
  <c r="AU17" i="12"/>
  <c r="AT17" i="12"/>
  <c r="AQ17" i="12"/>
  <c r="AP17" i="12"/>
  <c r="AK17" i="12"/>
  <c r="AM17" i="12"/>
  <c r="AJ16" i="12"/>
  <c r="AL16" i="12"/>
  <c r="AE17" i="12"/>
  <c r="AD17" i="12"/>
  <c r="AA17" i="12"/>
  <c r="Z17" i="12"/>
  <c r="U17" i="12"/>
  <c r="W17" i="12"/>
  <c r="T16" i="12"/>
  <c r="V16" i="12"/>
  <c r="O17" i="12"/>
  <c r="N17" i="12"/>
  <c r="G17" i="12"/>
  <c r="F17" i="12"/>
  <c r="BA16" i="12"/>
  <c r="BC16" i="12"/>
  <c r="AZ15" i="12"/>
  <c r="AU16" i="12"/>
  <c r="AT16" i="12"/>
  <c r="AQ16" i="12"/>
  <c r="AP16" i="12"/>
  <c r="AK16" i="12"/>
  <c r="AM16" i="12"/>
  <c r="AJ15" i="12"/>
  <c r="AL15" i="12"/>
  <c r="AE16" i="12"/>
  <c r="AD16" i="12"/>
  <c r="AA16" i="12"/>
  <c r="Z16" i="12"/>
  <c r="U16" i="12"/>
  <c r="W16" i="12"/>
  <c r="T15" i="12"/>
  <c r="V15" i="12"/>
  <c r="O16" i="12"/>
  <c r="N16" i="12"/>
  <c r="G16" i="12"/>
  <c r="F16" i="12"/>
  <c r="BA15" i="12"/>
  <c r="BC15" i="12"/>
  <c r="AZ14" i="12"/>
  <c r="AU15" i="12"/>
  <c r="AT15" i="12"/>
  <c r="AQ15" i="12"/>
  <c r="AP15" i="12"/>
  <c r="AK15" i="12"/>
  <c r="AM15" i="12"/>
  <c r="AJ14" i="12"/>
  <c r="AL14" i="12"/>
  <c r="AE15" i="12"/>
  <c r="AD15" i="12"/>
  <c r="AA15" i="12"/>
  <c r="Z15" i="12"/>
  <c r="U15" i="12"/>
  <c r="W15" i="12"/>
  <c r="T14" i="12"/>
  <c r="V14" i="12"/>
  <c r="O15" i="12"/>
  <c r="N15" i="12"/>
  <c r="G15" i="12"/>
  <c r="F15" i="12"/>
  <c r="BA14" i="12"/>
  <c r="BC14" i="12"/>
  <c r="AZ13" i="12"/>
  <c r="BB13" i="12"/>
  <c r="AU14" i="12"/>
  <c r="AT14" i="12"/>
  <c r="AQ14" i="12"/>
  <c r="AP14" i="12"/>
  <c r="AK14" i="12"/>
  <c r="AM14" i="12"/>
  <c r="AJ13" i="12"/>
  <c r="AL13" i="12"/>
  <c r="AE14" i="12"/>
  <c r="AD14" i="12"/>
  <c r="AA14" i="12"/>
  <c r="Z14" i="12"/>
  <c r="U14" i="12"/>
  <c r="W14" i="12"/>
  <c r="T13" i="12"/>
  <c r="V13" i="12"/>
  <c r="O14" i="12"/>
  <c r="N14" i="12"/>
  <c r="G14" i="12"/>
  <c r="F14" i="12"/>
  <c r="BA13" i="12"/>
  <c r="BC13" i="12"/>
  <c r="AZ12" i="12"/>
  <c r="BB12" i="12"/>
  <c r="AU13" i="12"/>
  <c r="AT13" i="12"/>
  <c r="AQ13" i="12"/>
  <c r="AP13" i="12"/>
  <c r="AK13" i="12"/>
  <c r="AM13" i="12"/>
  <c r="AJ12" i="12"/>
  <c r="AL12" i="12"/>
  <c r="AE13" i="12"/>
  <c r="AD13" i="12"/>
  <c r="AA13" i="12"/>
  <c r="Z13" i="12"/>
  <c r="U13" i="12"/>
  <c r="W13" i="12"/>
  <c r="T12" i="12"/>
  <c r="V12" i="12"/>
  <c r="O13" i="12"/>
  <c r="N13" i="12"/>
  <c r="G13" i="12"/>
  <c r="F13" i="12"/>
  <c r="BA12" i="12"/>
  <c r="BC12" i="12"/>
  <c r="AZ11" i="12"/>
  <c r="AU12" i="12"/>
  <c r="AT12" i="12"/>
  <c r="AQ12" i="12"/>
  <c r="AP12" i="12"/>
  <c r="AK12" i="12"/>
  <c r="AM12" i="12"/>
  <c r="AJ11" i="12"/>
  <c r="AL11" i="12"/>
  <c r="AE12" i="12"/>
  <c r="AD12" i="12"/>
  <c r="AA12" i="12"/>
  <c r="Z12" i="12"/>
  <c r="U12" i="12"/>
  <c r="W12" i="12"/>
  <c r="T11" i="12"/>
  <c r="V11" i="12"/>
  <c r="O12" i="12"/>
  <c r="N12" i="12"/>
  <c r="G12" i="12"/>
  <c r="F12" i="12"/>
  <c r="BA11" i="12"/>
  <c r="BC11" i="12"/>
  <c r="AZ10" i="12"/>
  <c r="AU11" i="12"/>
  <c r="AT11" i="12"/>
  <c r="AQ11" i="12"/>
  <c r="AP11" i="12"/>
  <c r="AK11" i="12"/>
  <c r="AM11" i="12"/>
  <c r="AJ10" i="12"/>
  <c r="AL10" i="12"/>
  <c r="AE11" i="12"/>
  <c r="AD11" i="12"/>
  <c r="AA11" i="12"/>
  <c r="Z11" i="12"/>
  <c r="U11" i="12"/>
  <c r="W11" i="12"/>
  <c r="T10" i="12"/>
  <c r="V10" i="12"/>
  <c r="O11" i="12"/>
  <c r="N11" i="12"/>
  <c r="G11" i="12"/>
  <c r="F11" i="12"/>
  <c r="BA10" i="12"/>
  <c r="BC10" i="12"/>
  <c r="AZ9" i="12"/>
  <c r="BB9" i="12"/>
  <c r="AU10" i="12"/>
  <c r="AT10" i="12"/>
  <c r="AQ10" i="12"/>
  <c r="AP10" i="12"/>
  <c r="AK10" i="12"/>
  <c r="AM10" i="12"/>
  <c r="AJ9" i="12"/>
  <c r="AL9" i="12"/>
  <c r="AE10" i="12"/>
  <c r="AD10" i="12"/>
  <c r="AA10" i="12"/>
  <c r="Z10" i="12"/>
  <c r="U10" i="12"/>
  <c r="W10" i="12"/>
  <c r="T9" i="12"/>
  <c r="V9" i="12"/>
  <c r="O10" i="12"/>
  <c r="N10" i="12"/>
  <c r="G10" i="12"/>
  <c r="F10" i="12"/>
  <c r="C3" i="12"/>
  <c r="C4" i="12"/>
  <c r="C5" i="12"/>
  <c r="C6" i="12"/>
  <c r="C7" i="12"/>
  <c r="C8" i="12"/>
  <c r="C9" i="12"/>
  <c r="C10" i="12"/>
  <c r="BA9" i="12"/>
  <c r="AZ8" i="12"/>
  <c r="AU9" i="12"/>
  <c r="AT9" i="12"/>
  <c r="AQ9" i="12"/>
  <c r="AP9" i="12"/>
  <c r="AK9" i="12"/>
  <c r="AM9" i="12"/>
  <c r="AJ8" i="12"/>
  <c r="AL8" i="12"/>
  <c r="AE9" i="12"/>
  <c r="AD9" i="12"/>
  <c r="AA9" i="12"/>
  <c r="Z9" i="12"/>
  <c r="U9" i="12"/>
  <c r="W9" i="12"/>
  <c r="T8" i="12"/>
  <c r="V8" i="12"/>
  <c r="O9" i="12"/>
  <c r="N9" i="12"/>
  <c r="G9" i="12"/>
  <c r="F9" i="12"/>
  <c r="BA8" i="12"/>
  <c r="BC8" i="12"/>
  <c r="AZ7" i="12"/>
  <c r="BB7" i="12"/>
  <c r="AU8" i="12"/>
  <c r="AT8" i="12"/>
  <c r="AQ8" i="12"/>
  <c r="AP8" i="12"/>
  <c r="AK8" i="12"/>
  <c r="AM8" i="12"/>
  <c r="AJ7" i="12"/>
  <c r="AL7" i="12"/>
  <c r="AE8" i="12"/>
  <c r="AD8" i="12"/>
  <c r="AA8" i="12"/>
  <c r="Z8" i="12"/>
  <c r="U8" i="12"/>
  <c r="W8" i="12"/>
  <c r="T7" i="12"/>
  <c r="V7" i="12"/>
  <c r="O8" i="12"/>
  <c r="N8" i="12"/>
  <c r="G8" i="12"/>
  <c r="F8" i="12"/>
  <c r="BA7" i="12"/>
  <c r="BC7" i="12"/>
  <c r="AZ6" i="12"/>
  <c r="BB6" i="12"/>
  <c r="AU7" i="12"/>
  <c r="AT7" i="12"/>
  <c r="AQ7" i="12"/>
  <c r="AP7" i="12"/>
  <c r="AK7" i="12"/>
  <c r="AM7" i="12"/>
  <c r="AJ6" i="12"/>
  <c r="AL6" i="12"/>
  <c r="AE7" i="12"/>
  <c r="AD7" i="12"/>
  <c r="AA7" i="12"/>
  <c r="Z7" i="12"/>
  <c r="U7" i="12"/>
  <c r="W7" i="12"/>
  <c r="T6" i="12"/>
  <c r="V6" i="12"/>
  <c r="O7" i="12"/>
  <c r="N7" i="12"/>
  <c r="G7" i="12"/>
  <c r="F7" i="12"/>
  <c r="BA6" i="12"/>
  <c r="BC6" i="12"/>
  <c r="AZ5" i="12"/>
  <c r="AU6" i="12"/>
  <c r="AT6" i="12"/>
  <c r="AQ6" i="12"/>
  <c r="AP6" i="12"/>
  <c r="AK6" i="12"/>
  <c r="AM6" i="12"/>
  <c r="AJ5" i="12"/>
  <c r="AL5" i="12"/>
  <c r="AE6" i="12"/>
  <c r="AD6" i="12"/>
  <c r="AA6" i="12"/>
  <c r="Z6" i="12"/>
  <c r="U6" i="12"/>
  <c r="W6" i="12"/>
  <c r="T5" i="12"/>
  <c r="V5" i="12"/>
  <c r="O6" i="12"/>
  <c r="N6" i="12"/>
  <c r="G6" i="12"/>
  <c r="F6" i="12"/>
  <c r="BA5" i="12"/>
  <c r="BC5" i="12"/>
  <c r="AZ4" i="12"/>
  <c r="AU5" i="12"/>
  <c r="AT5" i="12"/>
  <c r="AQ5" i="12"/>
  <c r="AP5" i="12"/>
  <c r="AK5" i="12"/>
  <c r="AM5" i="12"/>
  <c r="AJ4" i="12"/>
  <c r="AL4" i="12"/>
  <c r="AE5" i="12"/>
  <c r="AD5" i="12"/>
  <c r="AA5" i="12"/>
  <c r="Z5" i="12"/>
  <c r="U5" i="12"/>
  <c r="W5" i="12"/>
  <c r="T4" i="12"/>
  <c r="V4" i="12"/>
  <c r="O5" i="12"/>
  <c r="N5" i="12"/>
  <c r="G5" i="12"/>
  <c r="F5" i="12"/>
  <c r="BA4" i="12"/>
  <c r="BC4" i="12"/>
  <c r="AZ3" i="12"/>
  <c r="BB3" i="12"/>
  <c r="AU4" i="12"/>
  <c r="AT4" i="12"/>
  <c r="AQ4" i="12"/>
  <c r="AP4" i="12"/>
  <c r="AK4" i="12"/>
  <c r="AM4" i="12"/>
  <c r="AJ3" i="12"/>
  <c r="AL3" i="12"/>
  <c r="AE4" i="12"/>
  <c r="AD4" i="12"/>
  <c r="AA4" i="12"/>
  <c r="Z4" i="12"/>
  <c r="U4" i="12"/>
  <c r="W4" i="12"/>
  <c r="T3" i="12"/>
  <c r="V3" i="12"/>
  <c r="O4" i="12"/>
  <c r="N4" i="12"/>
  <c r="G4" i="12"/>
  <c r="F4" i="12"/>
  <c r="BA3" i="12"/>
  <c r="BC3" i="12"/>
  <c r="AZ2" i="12"/>
  <c r="AU3" i="12"/>
  <c r="AT3" i="12"/>
  <c r="AQ3" i="12"/>
  <c r="AP3" i="12"/>
  <c r="AK3" i="12"/>
  <c r="AM3" i="12"/>
  <c r="AJ2" i="12"/>
  <c r="AE3" i="12"/>
  <c r="AD3" i="12"/>
  <c r="AA3" i="12"/>
  <c r="Z3" i="12"/>
  <c r="U3" i="12"/>
  <c r="W3" i="12"/>
  <c r="T2" i="12"/>
  <c r="O3" i="12"/>
  <c r="N3" i="12"/>
  <c r="G3" i="12"/>
  <c r="F3" i="12"/>
  <c r="BA2" i="12"/>
  <c r="BC2" i="12"/>
  <c r="AU2" i="12"/>
  <c r="AQ2" i="12"/>
  <c r="AK2" i="12"/>
  <c r="AM2" i="12"/>
  <c r="AE2" i="12"/>
  <c r="AA2" i="12"/>
  <c r="U2" i="12"/>
  <c r="W2" i="12"/>
  <c r="O2" i="12"/>
  <c r="G2" i="12"/>
  <c r="AL317" i="5"/>
  <c r="AM317" i="5"/>
  <c r="AN317" i="5"/>
  <c r="AK317" i="5"/>
  <c r="AH317" i="5"/>
  <c r="AC317" i="5"/>
  <c r="AD317" i="5"/>
  <c r="AE317" i="5"/>
  <c r="Z317" i="5"/>
  <c r="AA317" i="5"/>
  <c r="AB317" i="5"/>
  <c r="Y317" i="5"/>
  <c r="V317" i="5"/>
  <c r="Q317" i="5"/>
  <c r="R317" i="5"/>
  <c r="S317" i="5"/>
  <c r="N317" i="5"/>
  <c r="O317" i="5"/>
  <c r="P317" i="5"/>
  <c r="M317" i="5"/>
  <c r="J317" i="5"/>
  <c r="G317" i="5"/>
  <c r="AL311" i="5"/>
  <c r="AM311" i="5"/>
  <c r="AN311" i="5"/>
  <c r="AK311" i="5"/>
  <c r="AH311" i="5"/>
  <c r="AC311" i="5"/>
  <c r="AD311" i="5"/>
  <c r="AE311" i="5"/>
  <c r="Z311" i="5"/>
  <c r="AA311" i="5"/>
  <c r="AB311" i="5"/>
  <c r="Y311" i="5"/>
  <c r="V311" i="5"/>
  <c r="Q311" i="5"/>
  <c r="R311" i="5"/>
  <c r="S311" i="5"/>
  <c r="N311" i="5"/>
  <c r="O311" i="5"/>
  <c r="P311" i="5"/>
  <c r="M311" i="5"/>
  <c r="J311" i="5"/>
  <c r="G311" i="5"/>
  <c r="AL305" i="5"/>
  <c r="AM305" i="5"/>
  <c r="AN305" i="5"/>
  <c r="AK305" i="5"/>
  <c r="AH305" i="5"/>
  <c r="AC305" i="5"/>
  <c r="AD305" i="5"/>
  <c r="AE305" i="5"/>
  <c r="Z305" i="5"/>
  <c r="AA305" i="5"/>
  <c r="AB305" i="5"/>
  <c r="Y305" i="5"/>
  <c r="V305" i="5"/>
  <c r="Q305" i="5"/>
  <c r="R305" i="5"/>
  <c r="S305" i="5"/>
  <c r="N305" i="5"/>
  <c r="O305" i="5"/>
  <c r="P305" i="5"/>
  <c r="M305" i="5"/>
  <c r="J305" i="5"/>
  <c r="G305" i="5"/>
  <c r="AL299" i="5"/>
  <c r="AM299" i="5"/>
  <c r="AN299" i="5"/>
  <c r="AK299" i="5"/>
  <c r="AH299" i="5"/>
  <c r="AC299" i="5"/>
  <c r="AD299" i="5"/>
  <c r="AE299" i="5"/>
  <c r="Z299" i="5"/>
  <c r="AA299" i="5"/>
  <c r="AB299" i="5"/>
  <c r="Y299" i="5"/>
  <c r="V299" i="5"/>
  <c r="Q299" i="5"/>
  <c r="R299" i="5"/>
  <c r="S299" i="5"/>
  <c r="N299" i="5"/>
  <c r="O299" i="5"/>
  <c r="P299" i="5"/>
  <c r="M299" i="5"/>
  <c r="J299" i="5"/>
  <c r="G299" i="5"/>
  <c r="AL287" i="5"/>
  <c r="AM287" i="5"/>
  <c r="AN287" i="5"/>
  <c r="AK287" i="5"/>
  <c r="AH287" i="5"/>
  <c r="AC287" i="5"/>
  <c r="AD287" i="5"/>
  <c r="AE287" i="5"/>
  <c r="Z287" i="5"/>
  <c r="AA287" i="5"/>
  <c r="AB287" i="5"/>
  <c r="Y287" i="5"/>
  <c r="V287" i="5"/>
  <c r="Q287" i="5"/>
  <c r="R287" i="5"/>
  <c r="S287" i="5"/>
  <c r="N287" i="5"/>
  <c r="O287" i="5"/>
  <c r="P287" i="5"/>
  <c r="M287" i="5"/>
  <c r="J287" i="5"/>
  <c r="G287" i="5"/>
  <c r="AL278" i="5"/>
  <c r="AJ278" i="5"/>
  <c r="AM278" i="5"/>
  <c r="AN278" i="5"/>
  <c r="AK278" i="5"/>
  <c r="AH278" i="5"/>
  <c r="AC278" i="5"/>
  <c r="AD278" i="5"/>
  <c r="AE278" i="5"/>
  <c r="Z278" i="5"/>
  <c r="AA278" i="5"/>
  <c r="AB278" i="5"/>
  <c r="Y278" i="5"/>
  <c r="V278" i="5"/>
  <c r="Q278" i="5"/>
  <c r="R278" i="5"/>
  <c r="S278" i="5"/>
  <c r="N278" i="5"/>
  <c r="O278" i="5"/>
  <c r="P278" i="5"/>
  <c r="M278" i="5"/>
  <c r="J278" i="5"/>
  <c r="G278" i="5"/>
  <c r="AJ272" i="5"/>
  <c r="AM272" i="5"/>
  <c r="AK272" i="5"/>
  <c r="AH272" i="5"/>
  <c r="AC272" i="5"/>
  <c r="AD272" i="5"/>
  <c r="AE272" i="5"/>
  <c r="AA272" i="5"/>
  <c r="R272" i="5"/>
  <c r="J272" i="5"/>
  <c r="AL266" i="5"/>
  <c r="AJ266" i="5"/>
  <c r="AM266" i="5"/>
  <c r="AN266" i="5"/>
  <c r="AK266" i="5"/>
  <c r="AH266" i="5"/>
  <c r="AC266" i="5"/>
  <c r="AD266" i="5"/>
  <c r="AE266" i="5"/>
  <c r="Z266" i="5"/>
  <c r="AA266" i="5"/>
  <c r="AB266" i="5"/>
  <c r="Y266" i="5"/>
  <c r="V266" i="5"/>
  <c r="Q266" i="5"/>
  <c r="R266" i="5"/>
  <c r="S266" i="5"/>
  <c r="N266" i="5"/>
  <c r="O266" i="5"/>
  <c r="P266" i="5"/>
  <c r="M266" i="5"/>
  <c r="J266" i="5"/>
  <c r="G266" i="5"/>
  <c r="AL260" i="5"/>
  <c r="AM260" i="5"/>
  <c r="AN260" i="5"/>
  <c r="AK260" i="5"/>
  <c r="AH260" i="5"/>
  <c r="AC260" i="5"/>
  <c r="AD260" i="5"/>
  <c r="AE260" i="5"/>
  <c r="E260" i="5"/>
  <c r="W260" i="5"/>
  <c r="Z260" i="5"/>
  <c r="AA260" i="5"/>
  <c r="AB260" i="5"/>
  <c r="Y260" i="5"/>
  <c r="T260" i="5"/>
  <c r="V260" i="5"/>
  <c r="R260" i="5"/>
  <c r="O260" i="5"/>
  <c r="J260" i="5"/>
  <c r="G260" i="5"/>
  <c r="AL254" i="5"/>
  <c r="AM254" i="5"/>
  <c r="AN254" i="5"/>
  <c r="AK254" i="5"/>
  <c r="AH254" i="5"/>
  <c r="AC254" i="5"/>
  <c r="AD254" i="5"/>
  <c r="AE254" i="5"/>
  <c r="E254" i="5"/>
  <c r="W254" i="5"/>
  <c r="Z254" i="5"/>
  <c r="AA254" i="5"/>
  <c r="AB254" i="5"/>
  <c r="Y254" i="5"/>
  <c r="T254" i="5"/>
  <c r="V254" i="5"/>
  <c r="Q254" i="5"/>
  <c r="R254" i="5"/>
  <c r="S254" i="5"/>
  <c r="N254" i="5"/>
  <c r="O254" i="5"/>
  <c r="P254" i="5"/>
  <c r="M254" i="5"/>
  <c r="J254" i="5"/>
  <c r="G254" i="5"/>
  <c r="AL248" i="5"/>
  <c r="AM248" i="5"/>
  <c r="AN248" i="5"/>
  <c r="AK248" i="5"/>
  <c r="AH248" i="5"/>
  <c r="AC248" i="5"/>
  <c r="AD248" i="5"/>
  <c r="AE248" i="5"/>
  <c r="E248" i="5"/>
  <c r="W248" i="5"/>
  <c r="AA248" i="5"/>
  <c r="Y248" i="5"/>
  <c r="T248" i="5"/>
  <c r="V248" i="5"/>
  <c r="Q248" i="5"/>
  <c r="R248" i="5"/>
  <c r="S248" i="5"/>
  <c r="N248" i="5"/>
  <c r="O248" i="5"/>
  <c r="P248" i="5"/>
  <c r="M248" i="5"/>
  <c r="J248" i="5"/>
  <c r="G248" i="5"/>
  <c r="AL242" i="5"/>
  <c r="AM242" i="5"/>
  <c r="AN242" i="5"/>
  <c r="AK242" i="5"/>
  <c r="AH242" i="5"/>
  <c r="AC242" i="5"/>
  <c r="AD242" i="5"/>
  <c r="AE242" i="5"/>
  <c r="E242" i="5"/>
  <c r="W242" i="5"/>
  <c r="N139" i="15"/>
  <c r="N138" i="15"/>
  <c r="C9" i="14"/>
  <c r="T242" i="5"/>
  <c r="V242" i="5"/>
  <c r="R242" i="5"/>
  <c r="O242" i="5"/>
  <c r="M242" i="5"/>
  <c r="J242" i="5"/>
  <c r="AL236" i="5"/>
  <c r="AM236" i="5"/>
  <c r="AN236" i="5"/>
  <c r="AK236" i="5"/>
  <c r="AH236" i="5"/>
  <c r="AC236" i="5"/>
  <c r="AD236" i="5"/>
  <c r="AE236" i="5"/>
  <c r="E236" i="5"/>
  <c r="W236" i="5"/>
  <c r="AA236" i="5"/>
  <c r="T236" i="5"/>
  <c r="K126" i="15"/>
  <c r="M126" i="15"/>
  <c r="H236" i="5"/>
  <c r="K236" i="5"/>
  <c r="R236" i="5"/>
  <c r="O236" i="5"/>
  <c r="J236" i="5"/>
  <c r="AL230" i="5"/>
  <c r="AM230" i="5"/>
  <c r="AN230" i="5"/>
  <c r="AK230" i="5"/>
  <c r="AH230" i="5"/>
  <c r="AC230" i="5"/>
  <c r="AD230" i="5"/>
  <c r="AE230" i="5"/>
  <c r="Z230" i="5"/>
  <c r="AA230" i="5"/>
  <c r="AB230" i="5"/>
  <c r="Y230" i="5"/>
  <c r="V230" i="5"/>
  <c r="Q230" i="5"/>
  <c r="R230" i="5"/>
  <c r="S230" i="5"/>
  <c r="N230" i="5"/>
  <c r="O230" i="5"/>
  <c r="P230" i="5"/>
  <c r="M230" i="5"/>
  <c r="J230" i="5"/>
  <c r="G230" i="5"/>
  <c r="AL224" i="5"/>
  <c r="AM224" i="5"/>
  <c r="AN224" i="5"/>
  <c r="AK224" i="5"/>
  <c r="AH224" i="5"/>
  <c r="AC224" i="5"/>
  <c r="AD224" i="5"/>
  <c r="AE224" i="5"/>
  <c r="Z224" i="5"/>
  <c r="AA224" i="5"/>
  <c r="AB224" i="5"/>
  <c r="V224" i="5"/>
  <c r="N224" i="5"/>
  <c r="O224" i="5"/>
  <c r="P224" i="5"/>
  <c r="J224" i="5"/>
  <c r="G224" i="5"/>
  <c r="AL218" i="5"/>
  <c r="AM218" i="5"/>
  <c r="AN218" i="5"/>
  <c r="AK218" i="5"/>
  <c r="AH218" i="5"/>
  <c r="AC218" i="5"/>
  <c r="AD218" i="5"/>
  <c r="AE218" i="5"/>
  <c r="Z218" i="5"/>
  <c r="AA218" i="5"/>
  <c r="AB218" i="5"/>
  <c r="Y218" i="5"/>
  <c r="V218" i="5"/>
  <c r="Q218" i="5"/>
  <c r="R218" i="5"/>
  <c r="S218" i="5"/>
  <c r="N218" i="5"/>
  <c r="O218" i="5"/>
  <c r="P218" i="5"/>
  <c r="M218" i="5"/>
  <c r="J218" i="5"/>
  <c r="G218" i="5"/>
  <c r="AL212" i="5"/>
  <c r="AM212" i="5"/>
  <c r="AN212" i="5"/>
  <c r="AK212" i="5"/>
  <c r="AH212" i="5"/>
  <c r="AC212" i="5"/>
  <c r="AD212" i="5"/>
  <c r="AE212" i="5"/>
  <c r="Z212" i="5"/>
  <c r="AA212" i="5"/>
  <c r="AB212" i="5"/>
  <c r="Y212" i="5"/>
  <c r="V212" i="5"/>
  <c r="Q212" i="5"/>
  <c r="R212" i="5"/>
  <c r="S212" i="5"/>
  <c r="N212" i="5"/>
  <c r="O212" i="5"/>
  <c r="P212" i="5"/>
  <c r="M212" i="5"/>
  <c r="J212" i="5"/>
  <c r="G212" i="5"/>
  <c r="AL206" i="5"/>
  <c r="AM206" i="5"/>
  <c r="AN206" i="5"/>
  <c r="AK206" i="5"/>
  <c r="AH206" i="5"/>
  <c r="AC206" i="5"/>
  <c r="AD206" i="5"/>
  <c r="AE206" i="5"/>
  <c r="Z206" i="5"/>
  <c r="AA206" i="5"/>
  <c r="AB206" i="5"/>
  <c r="Y206" i="5"/>
  <c r="V206" i="5"/>
  <c r="Q206" i="5"/>
  <c r="R206" i="5"/>
  <c r="S206" i="5"/>
  <c r="N206" i="5"/>
  <c r="O206" i="5"/>
  <c r="P206" i="5"/>
  <c r="M206" i="5"/>
  <c r="J206" i="5"/>
  <c r="G206" i="5"/>
  <c r="AL200" i="5"/>
  <c r="AM200" i="5"/>
  <c r="AN200" i="5"/>
  <c r="AK200" i="5"/>
  <c r="AH200" i="5"/>
  <c r="AC200" i="5"/>
  <c r="AD200" i="5"/>
  <c r="AE200" i="5"/>
  <c r="Z200" i="5"/>
  <c r="AA200" i="5"/>
  <c r="AB200" i="5"/>
  <c r="Y200" i="5"/>
  <c r="V200" i="5"/>
  <c r="Q200" i="5"/>
  <c r="R200" i="5"/>
  <c r="S200" i="5"/>
  <c r="N200" i="5"/>
  <c r="O200" i="5"/>
  <c r="P200" i="5"/>
  <c r="M200" i="5"/>
  <c r="J200" i="5"/>
  <c r="G200" i="5"/>
  <c r="AL194" i="5"/>
  <c r="AM194" i="5"/>
  <c r="AN194" i="5"/>
  <c r="AK194" i="5"/>
  <c r="AH194" i="5"/>
  <c r="AC194" i="5"/>
  <c r="AD194" i="5"/>
  <c r="AE194" i="5"/>
  <c r="Z194" i="5"/>
  <c r="AA194" i="5"/>
  <c r="AB194" i="5"/>
  <c r="Y194" i="5"/>
  <c r="V194" i="5"/>
  <c r="Q194" i="5"/>
  <c r="R194" i="5"/>
  <c r="S194" i="5"/>
  <c r="N194" i="5"/>
  <c r="O194" i="5"/>
  <c r="P194" i="5"/>
  <c r="M194" i="5"/>
  <c r="J194" i="5"/>
  <c r="G194" i="5"/>
  <c r="AL188" i="5"/>
  <c r="AM188" i="5"/>
  <c r="AN188" i="5"/>
  <c r="AK188" i="5"/>
  <c r="AH188" i="5"/>
  <c r="AC188" i="5"/>
  <c r="AD188" i="5"/>
  <c r="AE188" i="5"/>
  <c r="Z188" i="5"/>
  <c r="AA188" i="5"/>
  <c r="AB188" i="5"/>
  <c r="Y188" i="5"/>
  <c r="V188" i="5"/>
  <c r="Q188" i="5"/>
  <c r="R188" i="5"/>
  <c r="S188" i="5"/>
  <c r="N188" i="5"/>
  <c r="O188" i="5"/>
  <c r="P188" i="5"/>
  <c r="M188" i="5"/>
  <c r="J188" i="5"/>
  <c r="G188" i="5"/>
  <c r="AL182" i="5"/>
  <c r="AM182" i="5"/>
  <c r="AN182" i="5"/>
  <c r="AK182" i="5"/>
  <c r="AH182" i="5"/>
  <c r="AC182" i="5"/>
  <c r="AD182" i="5"/>
  <c r="AE182" i="5"/>
  <c r="Z182" i="5"/>
  <c r="AA182" i="5"/>
  <c r="AB182" i="5"/>
  <c r="Y182" i="5"/>
  <c r="V182" i="5"/>
  <c r="Q182" i="5"/>
  <c r="R182" i="5"/>
  <c r="S182" i="5"/>
  <c r="N182" i="5"/>
  <c r="O182" i="5"/>
  <c r="P182" i="5"/>
  <c r="M182" i="5"/>
  <c r="J182" i="5"/>
  <c r="G182" i="5"/>
  <c r="AL176" i="5"/>
  <c r="AM176" i="5"/>
  <c r="AN176" i="5"/>
  <c r="AK176" i="5"/>
  <c r="AH176" i="5"/>
  <c r="AC176" i="5"/>
  <c r="AD176" i="5"/>
  <c r="AE176" i="5"/>
  <c r="Z176" i="5"/>
  <c r="AA176" i="5"/>
  <c r="AB176" i="5"/>
  <c r="Y176" i="5"/>
  <c r="V176" i="5"/>
  <c r="Q176" i="5"/>
  <c r="R176" i="5"/>
  <c r="S176" i="5"/>
  <c r="N176" i="5"/>
  <c r="O176" i="5"/>
  <c r="P176" i="5"/>
  <c r="M176" i="5"/>
  <c r="J176" i="5"/>
  <c r="G176" i="5"/>
  <c r="AL170" i="5"/>
  <c r="AM170" i="5"/>
  <c r="AN170" i="5"/>
  <c r="AK170" i="5"/>
  <c r="AH170" i="5"/>
  <c r="AC170" i="5"/>
  <c r="AD170" i="5"/>
  <c r="AE170" i="5"/>
  <c r="Z170" i="5"/>
  <c r="AA170" i="5"/>
  <c r="AB170" i="5"/>
  <c r="Y170" i="5"/>
  <c r="V170" i="5"/>
  <c r="Q170" i="5"/>
  <c r="R170" i="5"/>
  <c r="S170" i="5"/>
  <c r="N170" i="5"/>
  <c r="O170" i="5"/>
  <c r="P170" i="5"/>
  <c r="M170" i="5"/>
  <c r="J170" i="5"/>
  <c r="G170" i="5"/>
  <c r="AL164" i="5"/>
  <c r="AM164" i="5"/>
  <c r="AN164" i="5"/>
  <c r="AK164" i="5"/>
  <c r="AH164" i="5"/>
  <c r="AC164" i="5"/>
  <c r="AD164" i="5"/>
  <c r="AE164" i="5"/>
  <c r="Z164" i="5"/>
  <c r="AA164" i="5"/>
  <c r="AB164" i="5"/>
  <c r="Y164" i="5"/>
  <c r="V164" i="5"/>
  <c r="Q164" i="5"/>
  <c r="R164" i="5"/>
  <c r="S164" i="5"/>
  <c r="N164" i="5"/>
  <c r="O164" i="5"/>
  <c r="P164" i="5"/>
  <c r="M164" i="5"/>
  <c r="J164" i="5"/>
  <c r="G164" i="5"/>
  <c r="AL158" i="5"/>
  <c r="AM158" i="5"/>
  <c r="AN158" i="5"/>
  <c r="AK158" i="5"/>
  <c r="AH158" i="5"/>
  <c r="AC158" i="5"/>
  <c r="AD158" i="5"/>
  <c r="AE158" i="5"/>
  <c r="Z158" i="5"/>
  <c r="AA158" i="5"/>
  <c r="AB158" i="5"/>
  <c r="Y158" i="5"/>
  <c r="V158" i="5"/>
  <c r="Q158" i="5"/>
  <c r="R158" i="5"/>
  <c r="S158" i="5"/>
  <c r="N158" i="5"/>
  <c r="O158" i="5"/>
  <c r="P158" i="5"/>
  <c r="M158" i="5"/>
  <c r="J158" i="5"/>
  <c r="G158" i="5"/>
  <c r="AL152" i="5"/>
  <c r="AM152" i="5"/>
  <c r="AN152" i="5"/>
  <c r="AK152" i="5"/>
  <c r="AH152" i="5"/>
  <c r="AC152" i="5"/>
  <c r="AD152" i="5"/>
  <c r="AE152" i="5"/>
  <c r="Z152" i="5"/>
  <c r="AA152" i="5"/>
  <c r="AB152" i="5"/>
  <c r="Y152" i="5"/>
  <c r="V152" i="5"/>
  <c r="Q152" i="5"/>
  <c r="R152" i="5"/>
  <c r="S152" i="5"/>
  <c r="N152" i="5"/>
  <c r="O152" i="5"/>
  <c r="P152" i="5"/>
  <c r="M152" i="5"/>
  <c r="J152" i="5"/>
  <c r="G152" i="5"/>
  <c r="AL146" i="5"/>
  <c r="AM146" i="5"/>
  <c r="AN146" i="5"/>
  <c r="AK146" i="5"/>
  <c r="AH146" i="5"/>
  <c r="AC146" i="5"/>
  <c r="AD146" i="5"/>
  <c r="AE146" i="5"/>
  <c r="Z146" i="5"/>
  <c r="AA146" i="5"/>
  <c r="AB146" i="5"/>
  <c r="Y146" i="5"/>
  <c r="V146" i="5"/>
  <c r="Q146" i="5"/>
  <c r="R146" i="5"/>
  <c r="S146" i="5"/>
  <c r="N146" i="5"/>
  <c r="O146" i="5"/>
  <c r="P146" i="5"/>
  <c r="M146" i="5"/>
  <c r="J146" i="5"/>
  <c r="G146" i="5"/>
  <c r="AL140" i="5"/>
  <c r="AM140" i="5"/>
  <c r="AN140" i="5"/>
  <c r="AK140" i="5"/>
  <c r="AH140" i="5"/>
  <c r="AC140" i="5"/>
  <c r="AD140" i="5"/>
  <c r="AE140" i="5"/>
  <c r="Z140" i="5"/>
  <c r="AA140" i="5"/>
  <c r="AB140" i="5"/>
  <c r="Y140" i="5"/>
  <c r="V140" i="5"/>
  <c r="Q140" i="5"/>
  <c r="R140" i="5"/>
  <c r="S140" i="5"/>
  <c r="N140" i="5"/>
  <c r="O140" i="5"/>
  <c r="P140" i="5"/>
  <c r="M140" i="5"/>
  <c r="J140" i="5"/>
  <c r="G140" i="5"/>
  <c r="AL134" i="5"/>
  <c r="AM134" i="5"/>
  <c r="AN134" i="5"/>
  <c r="AK134" i="5"/>
  <c r="AH134" i="5"/>
  <c r="AC134" i="5"/>
  <c r="AD134" i="5"/>
  <c r="AE134" i="5"/>
  <c r="Z134" i="5"/>
  <c r="AA134" i="5"/>
  <c r="AB134" i="5"/>
  <c r="Y134" i="5"/>
  <c r="V134" i="5"/>
  <c r="Q134" i="5"/>
  <c r="R134" i="5"/>
  <c r="S134" i="5"/>
  <c r="N134" i="5"/>
  <c r="O134" i="5"/>
  <c r="P134" i="5"/>
  <c r="M134" i="5"/>
  <c r="J134" i="5"/>
  <c r="G134" i="5"/>
  <c r="AL128" i="5"/>
  <c r="AM128" i="5"/>
  <c r="AN128" i="5"/>
  <c r="AK128" i="5"/>
  <c r="AH128" i="5"/>
  <c r="AC128" i="5"/>
  <c r="AD128" i="5"/>
  <c r="AE128" i="5"/>
  <c r="Z128" i="5"/>
  <c r="AA128" i="5"/>
  <c r="AB128" i="5"/>
  <c r="Y128" i="5"/>
  <c r="V128" i="5"/>
  <c r="Q128" i="5"/>
  <c r="R128" i="5"/>
  <c r="S128" i="5"/>
  <c r="N128" i="5"/>
  <c r="O128" i="5"/>
  <c r="P128" i="5"/>
  <c r="M128" i="5"/>
  <c r="J128" i="5"/>
  <c r="G128" i="5"/>
  <c r="AL122" i="5"/>
  <c r="AM122" i="5"/>
  <c r="AN122" i="5"/>
  <c r="AK122" i="5"/>
  <c r="AH122" i="5"/>
  <c r="AC122" i="5"/>
  <c r="AD122" i="5"/>
  <c r="AE122" i="5"/>
  <c r="Z122" i="5"/>
  <c r="AA122" i="5"/>
  <c r="AB122" i="5"/>
  <c r="Y122" i="5"/>
  <c r="V122" i="5"/>
  <c r="Q122" i="5"/>
  <c r="R122" i="5"/>
  <c r="S122" i="5"/>
  <c r="N122" i="5"/>
  <c r="O122" i="5"/>
  <c r="P122" i="5"/>
  <c r="M122" i="5"/>
  <c r="J122" i="5"/>
  <c r="G122" i="5"/>
  <c r="AL116" i="5"/>
  <c r="AM116" i="5"/>
  <c r="AN116" i="5"/>
  <c r="AK116" i="5"/>
  <c r="AH116" i="5"/>
  <c r="AC116" i="5"/>
  <c r="AD116" i="5"/>
  <c r="AE116" i="5"/>
  <c r="Z116" i="5"/>
  <c r="AA116" i="5"/>
  <c r="AB116" i="5"/>
  <c r="Y116" i="5"/>
  <c r="V116" i="5"/>
  <c r="Q116" i="5"/>
  <c r="R116" i="5"/>
  <c r="S116" i="5"/>
  <c r="N116" i="5"/>
  <c r="O116" i="5"/>
  <c r="P116" i="5"/>
  <c r="M116" i="5"/>
  <c r="J116" i="5"/>
  <c r="G116" i="5"/>
  <c r="AL110" i="5"/>
  <c r="AM110" i="5"/>
  <c r="AN110" i="5"/>
  <c r="AK110" i="5"/>
  <c r="AH110" i="5"/>
  <c r="AC110" i="5"/>
  <c r="AD110" i="5"/>
  <c r="AE110" i="5"/>
  <c r="Z110" i="5"/>
  <c r="AA110" i="5"/>
  <c r="AB110" i="5"/>
  <c r="Y110" i="5"/>
  <c r="V110" i="5"/>
  <c r="Q110" i="5"/>
  <c r="R110" i="5"/>
  <c r="S110" i="5"/>
  <c r="N110" i="5"/>
  <c r="O110" i="5"/>
  <c r="P110" i="5"/>
  <c r="M110" i="5"/>
  <c r="J110" i="5"/>
  <c r="G110" i="5"/>
  <c r="AL104" i="5"/>
  <c r="AM104" i="5"/>
  <c r="AN104" i="5"/>
  <c r="AK104" i="5"/>
  <c r="AH104" i="5"/>
  <c r="AC104" i="5"/>
  <c r="AD104" i="5"/>
  <c r="AE104" i="5"/>
  <c r="Z104" i="5"/>
  <c r="AA104" i="5"/>
  <c r="AB104" i="5"/>
  <c r="Y104" i="5"/>
  <c r="V104" i="5"/>
  <c r="Q104" i="5"/>
  <c r="R104" i="5"/>
  <c r="S104" i="5"/>
  <c r="N104" i="5"/>
  <c r="O104" i="5"/>
  <c r="P104" i="5"/>
  <c r="M104" i="5"/>
  <c r="J104" i="5"/>
  <c r="G104" i="5"/>
  <c r="AL98" i="5"/>
  <c r="AM98" i="5"/>
  <c r="AN98" i="5"/>
  <c r="AK98" i="5"/>
  <c r="AH98" i="5"/>
  <c r="AC98" i="5"/>
  <c r="AD98" i="5"/>
  <c r="AE98" i="5"/>
  <c r="Z98" i="5"/>
  <c r="AA98" i="5"/>
  <c r="AB98" i="5"/>
  <c r="Y98" i="5"/>
  <c r="V98" i="5"/>
  <c r="Q98" i="5"/>
  <c r="R98" i="5"/>
  <c r="S98" i="5"/>
  <c r="N98" i="5"/>
  <c r="O98" i="5"/>
  <c r="P98" i="5"/>
  <c r="M98" i="5"/>
  <c r="J98" i="5"/>
  <c r="G98" i="5"/>
  <c r="AL92" i="5"/>
  <c r="AM92" i="5"/>
  <c r="AN92" i="5"/>
  <c r="AK92" i="5"/>
  <c r="AH92" i="5"/>
  <c r="AC92" i="5"/>
  <c r="AD92" i="5"/>
  <c r="AE92" i="5"/>
  <c r="E92" i="5"/>
  <c r="Z92" i="5"/>
  <c r="F92" i="5"/>
  <c r="AA92" i="5"/>
  <c r="AB92" i="5"/>
  <c r="Y92" i="5"/>
  <c r="V92" i="5"/>
  <c r="Q92" i="5"/>
  <c r="R92" i="5"/>
  <c r="S92" i="5"/>
  <c r="N92" i="5"/>
  <c r="O92" i="5"/>
  <c r="P92" i="5"/>
  <c r="M92" i="5"/>
  <c r="J92" i="5"/>
  <c r="G92" i="5"/>
  <c r="AL86" i="5"/>
  <c r="AM86" i="5"/>
  <c r="AN86" i="5"/>
  <c r="AK86" i="5"/>
  <c r="AH86" i="5"/>
  <c r="AC86" i="5"/>
  <c r="AD86" i="5"/>
  <c r="AE86" i="5"/>
  <c r="E86" i="5"/>
  <c r="Z86" i="5"/>
  <c r="F86" i="5"/>
  <c r="AA86" i="5"/>
  <c r="AB86" i="5"/>
  <c r="Y86" i="5"/>
  <c r="V86" i="5"/>
  <c r="Q86" i="5"/>
  <c r="R86" i="5"/>
  <c r="S86" i="5"/>
  <c r="N86" i="5"/>
  <c r="O86" i="5"/>
  <c r="P86" i="5"/>
  <c r="M86" i="5"/>
  <c r="J86" i="5"/>
  <c r="G86" i="5"/>
  <c r="AL80" i="5"/>
  <c r="AM80" i="5"/>
  <c r="AN80" i="5"/>
  <c r="AK80" i="5"/>
  <c r="AH80" i="5"/>
  <c r="AC80" i="5"/>
  <c r="AD80" i="5"/>
  <c r="AE80" i="5"/>
  <c r="E80" i="5"/>
  <c r="Z80" i="5"/>
  <c r="F80" i="5"/>
  <c r="AA80" i="5"/>
  <c r="AB80" i="5"/>
  <c r="Y80" i="5"/>
  <c r="V80" i="5"/>
  <c r="Q80" i="5"/>
  <c r="R80" i="5"/>
  <c r="S80" i="5"/>
  <c r="N80" i="5"/>
  <c r="O80" i="5"/>
  <c r="P80" i="5"/>
  <c r="M80" i="5"/>
  <c r="J80" i="5"/>
  <c r="G80" i="5"/>
  <c r="AL74" i="5"/>
  <c r="AM74" i="5"/>
  <c r="AN74" i="5"/>
  <c r="AK74" i="5"/>
  <c r="AH74" i="5"/>
  <c r="AC74" i="5"/>
  <c r="AD74" i="5"/>
  <c r="AE74" i="5"/>
  <c r="E74" i="5"/>
  <c r="Z74" i="5"/>
  <c r="F74" i="5"/>
  <c r="AA74" i="5"/>
  <c r="AB74" i="5"/>
  <c r="Y74" i="5"/>
  <c r="V74" i="5"/>
  <c r="Q74" i="5"/>
  <c r="R74" i="5"/>
  <c r="S74" i="5"/>
  <c r="N74" i="5"/>
  <c r="O74" i="5"/>
  <c r="P74" i="5"/>
  <c r="M74" i="5"/>
  <c r="J74" i="5"/>
  <c r="G74" i="5"/>
  <c r="AL68" i="5"/>
  <c r="AM68" i="5"/>
  <c r="AN68" i="5"/>
  <c r="AK68" i="5"/>
  <c r="AH68" i="5"/>
  <c r="AC68" i="5"/>
  <c r="AD68" i="5"/>
  <c r="AE68" i="5"/>
  <c r="Z68" i="5"/>
  <c r="AA68" i="5"/>
  <c r="AB68" i="5"/>
  <c r="Y68" i="5"/>
  <c r="V68" i="5"/>
  <c r="Q68" i="5"/>
  <c r="R68" i="5"/>
  <c r="S68" i="5"/>
  <c r="N68" i="5"/>
  <c r="O68" i="5"/>
  <c r="P68" i="5"/>
  <c r="M68" i="5"/>
  <c r="J68" i="5"/>
  <c r="G68" i="5"/>
  <c r="AL62" i="5"/>
  <c r="AM62" i="5"/>
  <c r="AN62" i="5"/>
  <c r="AK62" i="5"/>
  <c r="AH62" i="5"/>
  <c r="AC62" i="5"/>
  <c r="AD62" i="5"/>
  <c r="AE62" i="5"/>
  <c r="Z62" i="5"/>
  <c r="AA62" i="5"/>
  <c r="AB62" i="5"/>
  <c r="Y62" i="5"/>
  <c r="V62" i="5"/>
  <c r="Q62" i="5"/>
  <c r="R62" i="5"/>
  <c r="S62" i="5"/>
  <c r="N62" i="5"/>
  <c r="O62" i="5"/>
  <c r="P62" i="5"/>
  <c r="M62" i="5"/>
  <c r="J62" i="5"/>
  <c r="G62" i="5"/>
  <c r="AL56" i="5"/>
  <c r="AM56" i="5"/>
  <c r="AN56" i="5"/>
  <c r="AK56" i="5"/>
  <c r="AH56" i="5"/>
  <c r="AC56" i="5"/>
  <c r="AD56" i="5"/>
  <c r="AE56" i="5"/>
  <c r="Z56" i="5"/>
  <c r="AA56" i="5"/>
  <c r="AB56" i="5"/>
  <c r="Y56" i="5"/>
  <c r="V56" i="5"/>
  <c r="Q56" i="5"/>
  <c r="R56" i="5"/>
  <c r="S56" i="5"/>
  <c r="N56" i="5"/>
  <c r="O56" i="5"/>
  <c r="P56" i="5"/>
  <c r="M56" i="5"/>
  <c r="J56" i="5"/>
  <c r="G56" i="5"/>
  <c r="AL50" i="5"/>
  <c r="AM50" i="5"/>
  <c r="AN50" i="5"/>
  <c r="AK50" i="5"/>
  <c r="AH50" i="5"/>
  <c r="AC50" i="5"/>
  <c r="AD50" i="5"/>
  <c r="AE50" i="5"/>
  <c r="Z50" i="5"/>
  <c r="AA50" i="5"/>
  <c r="AB50" i="5"/>
  <c r="Y50" i="5"/>
  <c r="V50" i="5"/>
  <c r="Q50" i="5"/>
  <c r="R50" i="5"/>
  <c r="S50" i="5"/>
  <c r="N50" i="5"/>
  <c r="O50" i="5"/>
  <c r="P50" i="5"/>
  <c r="M50" i="5"/>
  <c r="J50" i="5"/>
  <c r="G50" i="5"/>
  <c r="AL44" i="5"/>
  <c r="AM44" i="5"/>
  <c r="AN44" i="5"/>
  <c r="AK44" i="5"/>
  <c r="AH44" i="5"/>
  <c r="AC44" i="5"/>
  <c r="AD44" i="5"/>
  <c r="AE44" i="5"/>
  <c r="Z44" i="5"/>
  <c r="AA44" i="5"/>
  <c r="AB44" i="5"/>
  <c r="Y44" i="5"/>
  <c r="V44" i="5"/>
  <c r="Q44" i="5"/>
  <c r="R44" i="5"/>
  <c r="S44" i="5"/>
  <c r="N44" i="5"/>
  <c r="O44" i="5"/>
  <c r="P44" i="5"/>
  <c r="M44" i="5"/>
  <c r="J44" i="5"/>
  <c r="G44" i="5"/>
  <c r="AL38" i="5"/>
  <c r="AM38" i="5"/>
  <c r="AN38" i="5"/>
  <c r="AK38" i="5"/>
  <c r="AH38" i="5"/>
  <c r="AC38" i="5"/>
  <c r="AD38" i="5"/>
  <c r="AE38" i="5"/>
  <c r="Z38" i="5"/>
  <c r="AA38" i="5"/>
  <c r="AB38" i="5"/>
  <c r="Y38" i="5"/>
  <c r="V38" i="5"/>
  <c r="Q38" i="5"/>
  <c r="R38" i="5"/>
  <c r="S38" i="5"/>
  <c r="N38" i="5"/>
  <c r="O38" i="5"/>
  <c r="P38" i="5"/>
  <c r="M38" i="5"/>
  <c r="J38" i="5"/>
  <c r="G38" i="5"/>
  <c r="AL32" i="5"/>
  <c r="AM32" i="5"/>
  <c r="AN32" i="5"/>
  <c r="AK32" i="5"/>
  <c r="AH32" i="5"/>
  <c r="AC32" i="5"/>
  <c r="AD32" i="5"/>
  <c r="AE32" i="5"/>
  <c r="Z32" i="5"/>
  <c r="AA32" i="5"/>
  <c r="AB32" i="5"/>
  <c r="Y32" i="5"/>
  <c r="V32" i="5"/>
  <c r="Q32" i="5"/>
  <c r="R32" i="5"/>
  <c r="S32" i="5"/>
  <c r="N32" i="5"/>
  <c r="O32" i="5"/>
  <c r="P32" i="5"/>
  <c r="M32" i="5"/>
  <c r="J32" i="5"/>
  <c r="G32" i="5"/>
  <c r="AG206" i="3"/>
  <c r="AK206" i="3"/>
  <c r="AO206" i="3"/>
  <c r="AH206" i="3"/>
  <c r="AL206" i="3"/>
  <c r="AP206" i="3"/>
  <c r="AR206" i="3"/>
  <c r="AG202" i="3"/>
  <c r="AK202" i="3"/>
  <c r="AO202" i="3"/>
  <c r="AQ206" i="3"/>
  <c r="AN206" i="3"/>
  <c r="AM206" i="3"/>
  <c r="AJ206" i="3"/>
  <c r="AI206" i="3"/>
  <c r="E206" i="3"/>
  <c r="U206" i="3"/>
  <c r="AC206" i="3"/>
  <c r="F206" i="3"/>
  <c r="V206" i="3"/>
  <c r="AD206" i="3"/>
  <c r="AF206" i="3"/>
  <c r="E202" i="3"/>
  <c r="U202" i="3"/>
  <c r="AC202" i="3"/>
  <c r="AE206" i="3"/>
  <c r="Q206" i="3"/>
  <c r="Y206" i="3"/>
  <c r="R206" i="3"/>
  <c r="Z206" i="3"/>
  <c r="AB206" i="3"/>
  <c r="Q202" i="3"/>
  <c r="Y202" i="3"/>
  <c r="AA206" i="3"/>
  <c r="X206" i="3"/>
  <c r="W206" i="3"/>
  <c r="T206" i="3"/>
  <c r="S206" i="3"/>
  <c r="I206" i="3"/>
  <c r="M206" i="3"/>
  <c r="J206" i="3"/>
  <c r="N206" i="3"/>
  <c r="P206" i="3"/>
  <c r="I202" i="3"/>
  <c r="M202" i="3"/>
  <c r="O206" i="3"/>
  <c r="L206" i="3"/>
  <c r="K206" i="3"/>
  <c r="H206" i="3"/>
  <c r="G206" i="3"/>
  <c r="AH202" i="3"/>
  <c r="AL202" i="3"/>
  <c r="AP202" i="3"/>
  <c r="AR202" i="3"/>
  <c r="AG198" i="3"/>
  <c r="AK198" i="3"/>
  <c r="AO198" i="3"/>
  <c r="AQ202" i="3"/>
  <c r="AN202" i="3"/>
  <c r="AM202" i="3"/>
  <c r="AJ202" i="3"/>
  <c r="AI202" i="3"/>
  <c r="F202" i="3"/>
  <c r="V202" i="3"/>
  <c r="AD202" i="3"/>
  <c r="AF202" i="3"/>
  <c r="E198" i="3"/>
  <c r="U198" i="3"/>
  <c r="AC198" i="3"/>
  <c r="AE202" i="3"/>
  <c r="R202" i="3"/>
  <c r="Z202" i="3"/>
  <c r="AB202" i="3"/>
  <c r="Q198" i="3"/>
  <c r="Y198" i="3"/>
  <c r="AA202" i="3"/>
  <c r="X202" i="3"/>
  <c r="W202" i="3"/>
  <c r="T202" i="3"/>
  <c r="S202" i="3"/>
  <c r="J202" i="3"/>
  <c r="N202" i="3"/>
  <c r="P202" i="3"/>
  <c r="I198" i="3"/>
  <c r="M198" i="3"/>
  <c r="O202" i="3"/>
  <c r="L202" i="3"/>
  <c r="K202" i="3"/>
  <c r="H202" i="3"/>
  <c r="G202" i="3"/>
  <c r="AH198" i="3"/>
  <c r="AL198" i="3"/>
  <c r="AP198" i="3"/>
  <c r="AR198" i="3"/>
  <c r="AG194" i="3"/>
  <c r="AK194" i="3"/>
  <c r="AO194" i="3"/>
  <c r="AQ198" i="3"/>
  <c r="AN198" i="3"/>
  <c r="AM198" i="3"/>
  <c r="AJ198" i="3"/>
  <c r="AI198" i="3"/>
  <c r="F198" i="3"/>
  <c r="V198" i="3"/>
  <c r="AD198" i="3"/>
  <c r="AF198" i="3"/>
  <c r="E194" i="3"/>
  <c r="U194" i="3"/>
  <c r="AC194" i="3"/>
  <c r="AE198" i="3"/>
  <c r="R198" i="3"/>
  <c r="Z198" i="3"/>
  <c r="AB198" i="3"/>
  <c r="Q194" i="3"/>
  <c r="Y194" i="3"/>
  <c r="AA198" i="3"/>
  <c r="X198" i="3"/>
  <c r="W198" i="3"/>
  <c r="T198" i="3"/>
  <c r="S198" i="3"/>
  <c r="J198" i="3"/>
  <c r="N198" i="3"/>
  <c r="P198" i="3"/>
  <c r="I194" i="3"/>
  <c r="M194" i="3"/>
  <c r="O198" i="3"/>
  <c r="L198" i="3"/>
  <c r="K198" i="3"/>
  <c r="H198" i="3"/>
  <c r="G198" i="3"/>
  <c r="AH194" i="3"/>
  <c r="AP194" i="3"/>
  <c r="AR194" i="3"/>
  <c r="AG190" i="3"/>
  <c r="AK190" i="3"/>
  <c r="AO190" i="3"/>
  <c r="AQ194" i="3"/>
  <c r="AN194" i="3"/>
  <c r="AM194" i="3"/>
  <c r="AJ194" i="3"/>
  <c r="AI194" i="3"/>
  <c r="F194" i="3"/>
  <c r="V194" i="3"/>
  <c r="AD194" i="3"/>
  <c r="AF194" i="3"/>
  <c r="E190" i="3"/>
  <c r="U190" i="3"/>
  <c r="AC190" i="3"/>
  <c r="AE194" i="3"/>
  <c r="R194" i="3"/>
  <c r="Z194" i="3"/>
  <c r="AB194" i="3"/>
  <c r="Q190" i="3"/>
  <c r="Y190" i="3"/>
  <c r="AA194" i="3"/>
  <c r="X194" i="3"/>
  <c r="W194" i="3"/>
  <c r="T194" i="3"/>
  <c r="S194" i="3"/>
  <c r="J194" i="3"/>
  <c r="N194" i="3"/>
  <c r="P194" i="3"/>
  <c r="I190" i="3"/>
  <c r="M190" i="3"/>
  <c r="O194" i="3"/>
  <c r="L194" i="3"/>
  <c r="K194" i="3"/>
  <c r="H194" i="3"/>
  <c r="G194" i="3"/>
  <c r="AH190" i="3"/>
  <c r="AL191" i="3"/>
  <c r="AL192" i="3"/>
  <c r="AL190" i="3"/>
  <c r="AP190" i="3"/>
  <c r="AR190" i="3"/>
  <c r="AG186" i="3"/>
  <c r="AK186" i="3"/>
  <c r="AO186" i="3"/>
  <c r="AQ190" i="3"/>
  <c r="AN190" i="3"/>
  <c r="AM190" i="3"/>
  <c r="AJ190" i="3"/>
  <c r="AI190" i="3"/>
  <c r="F190" i="3"/>
  <c r="V190" i="3"/>
  <c r="AD190" i="3"/>
  <c r="AF190" i="3"/>
  <c r="E186" i="3"/>
  <c r="U186" i="3"/>
  <c r="AC186" i="3"/>
  <c r="AE190" i="3"/>
  <c r="R190" i="3"/>
  <c r="Z190" i="3"/>
  <c r="AB190" i="3"/>
  <c r="Q186" i="3"/>
  <c r="Y186" i="3"/>
  <c r="AA190" i="3"/>
  <c r="X190" i="3"/>
  <c r="W190" i="3"/>
  <c r="T190" i="3"/>
  <c r="S190" i="3"/>
  <c r="J190" i="3"/>
  <c r="N190" i="3"/>
  <c r="P190" i="3"/>
  <c r="I186" i="3"/>
  <c r="M186" i="3"/>
  <c r="O190" i="3"/>
  <c r="L190" i="3"/>
  <c r="K190" i="3"/>
  <c r="H190" i="3"/>
  <c r="G190" i="3"/>
  <c r="AH186" i="3"/>
  <c r="AL187" i="3"/>
  <c r="AL188" i="3"/>
  <c r="AL186" i="3"/>
  <c r="AP186" i="3"/>
  <c r="AR186" i="3"/>
  <c r="AG182" i="3"/>
  <c r="AJ182" i="3"/>
  <c r="AK182" i="3"/>
  <c r="AN182" i="3"/>
  <c r="AN186" i="3"/>
  <c r="AM186" i="3"/>
  <c r="AJ186" i="3"/>
  <c r="F186" i="3"/>
  <c r="V186" i="3"/>
  <c r="AD186" i="3"/>
  <c r="AF186" i="3"/>
  <c r="E182" i="3"/>
  <c r="AC182" i="3"/>
  <c r="U182" i="3"/>
  <c r="R186" i="3"/>
  <c r="Z186" i="3"/>
  <c r="AB186" i="3"/>
  <c r="Q182" i="3"/>
  <c r="Y182" i="3"/>
  <c r="X186" i="3"/>
  <c r="W186" i="3"/>
  <c r="T186" i="3"/>
  <c r="J186" i="3"/>
  <c r="N186" i="3"/>
  <c r="P186" i="3"/>
  <c r="I182" i="3"/>
  <c r="L182" i="3"/>
  <c r="L186" i="3"/>
  <c r="K186" i="3"/>
  <c r="H186" i="3"/>
  <c r="AH182" i="3"/>
  <c r="AL183" i="3"/>
  <c r="AL184" i="3"/>
  <c r="AL182" i="3"/>
  <c r="AP182" i="3"/>
  <c r="AG178" i="3"/>
  <c r="AK178" i="3"/>
  <c r="AM182" i="3"/>
  <c r="F182" i="3"/>
  <c r="V182" i="3"/>
  <c r="AD182" i="3"/>
  <c r="E178" i="3"/>
  <c r="G178" i="3"/>
  <c r="U178" i="3"/>
  <c r="W182" i="3"/>
  <c r="R182" i="3"/>
  <c r="Z182" i="3"/>
  <c r="Q178" i="3"/>
  <c r="X182" i="3"/>
  <c r="T182" i="3"/>
  <c r="J182" i="3"/>
  <c r="N182" i="3"/>
  <c r="I178" i="3"/>
  <c r="K182" i="3"/>
  <c r="AH178" i="3"/>
  <c r="AL179" i="3"/>
  <c r="AL180" i="3"/>
  <c r="AL178" i="3"/>
  <c r="AP178" i="3"/>
  <c r="AG174" i="3"/>
  <c r="AK174" i="3"/>
  <c r="AJ178" i="3"/>
  <c r="F178" i="3"/>
  <c r="V178" i="3"/>
  <c r="AD178" i="3"/>
  <c r="E174" i="3"/>
  <c r="M174" i="3"/>
  <c r="O174" i="3"/>
  <c r="U174" i="3"/>
  <c r="R178" i="3"/>
  <c r="Z178" i="3"/>
  <c r="Q174" i="3"/>
  <c r="J178" i="3"/>
  <c r="N178" i="3"/>
  <c r="I174" i="3"/>
  <c r="L174" i="3"/>
  <c r="H178" i="3"/>
  <c r="AH174" i="3"/>
  <c r="AL174" i="3"/>
  <c r="AP174" i="3"/>
  <c r="AG170" i="3"/>
  <c r="AK170" i="3"/>
  <c r="AO170" i="3"/>
  <c r="F174" i="3"/>
  <c r="V174" i="3"/>
  <c r="AD174" i="3"/>
  <c r="E170" i="3"/>
  <c r="U170" i="3"/>
  <c r="AC170" i="3"/>
  <c r="R174" i="3"/>
  <c r="Z174" i="3"/>
  <c r="Q170" i="3"/>
  <c r="Y170" i="3"/>
  <c r="T174" i="3"/>
  <c r="J174" i="3"/>
  <c r="N174" i="3"/>
  <c r="I170" i="3"/>
  <c r="M170" i="3"/>
  <c r="K174" i="3"/>
  <c r="H174" i="3"/>
  <c r="AH170" i="3"/>
  <c r="AL170" i="3"/>
  <c r="AP170" i="3"/>
  <c r="AR170" i="3"/>
  <c r="AG166" i="3"/>
  <c r="AK166" i="3"/>
  <c r="AL166" i="3"/>
  <c r="AN166" i="3"/>
  <c r="AN170" i="3"/>
  <c r="AJ170" i="3"/>
  <c r="F170" i="3"/>
  <c r="V170" i="3"/>
  <c r="AD170" i="3"/>
  <c r="AF170" i="3"/>
  <c r="E166" i="3"/>
  <c r="G170" i="3"/>
  <c r="U166" i="3"/>
  <c r="AC166" i="3"/>
  <c r="R170" i="3"/>
  <c r="Z170" i="3"/>
  <c r="AB170" i="3"/>
  <c r="Q166" i="3"/>
  <c r="S170" i="3"/>
  <c r="X170" i="3"/>
  <c r="T170" i="3"/>
  <c r="J170" i="3"/>
  <c r="N170" i="3"/>
  <c r="P170" i="3"/>
  <c r="I166" i="3"/>
  <c r="M166" i="3"/>
  <c r="L170" i="3"/>
  <c r="H170" i="3"/>
  <c r="AH166" i="3"/>
  <c r="AP166" i="3"/>
  <c r="AG162" i="3"/>
  <c r="AH162" i="3"/>
  <c r="AJ162" i="3"/>
  <c r="AK162" i="3"/>
  <c r="F166" i="3"/>
  <c r="V166" i="3"/>
  <c r="AD166" i="3"/>
  <c r="E162" i="3"/>
  <c r="G166" i="3"/>
  <c r="U162" i="3"/>
  <c r="V162" i="3"/>
  <c r="X162" i="3"/>
  <c r="R166" i="3"/>
  <c r="Z166" i="3"/>
  <c r="Q162" i="3"/>
  <c r="Y162" i="3"/>
  <c r="J166" i="3"/>
  <c r="N166" i="3"/>
  <c r="I162" i="3"/>
  <c r="H166" i="3"/>
  <c r="AL162" i="3"/>
  <c r="AP162" i="3"/>
  <c r="AG158" i="3"/>
  <c r="AI162" i="3"/>
  <c r="AK158" i="3"/>
  <c r="F162" i="3"/>
  <c r="AD162" i="3"/>
  <c r="E158" i="3"/>
  <c r="F158" i="3"/>
  <c r="H158" i="3"/>
  <c r="U158" i="3"/>
  <c r="U154" i="3"/>
  <c r="W158" i="3"/>
  <c r="R162" i="3"/>
  <c r="Z162" i="3"/>
  <c r="Q158" i="3"/>
  <c r="Y158" i="3"/>
  <c r="J162" i="3"/>
  <c r="N162" i="3"/>
  <c r="I158" i="3"/>
  <c r="I154" i="3"/>
  <c r="K158" i="3"/>
  <c r="H162" i="3"/>
  <c r="AH158" i="3"/>
  <c r="AL158" i="3"/>
  <c r="AP158" i="3"/>
  <c r="AG154" i="3"/>
  <c r="AK154" i="3"/>
  <c r="AO154" i="3"/>
  <c r="AI158" i="3"/>
  <c r="V158" i="3"/>
  <c r="AD158" i="3"/>
  <c r="E154" i="3"/>
  <c r="AC154" i="3"/>
  <c r="R158" i="3"/>
  <c r="Z158" i="3"/>
  <c r="Q154" i="3"/>
  <c r="Y154" i="3"/>
  <c r="J158" i="3"/>
  <c r="N158" i="3"/>
  <c r="M154" i="3"/>
  <c r="G158" i="3"/>
  <c r="AH154" i="3"/>
  <c r="AL154" i="3"/>
  <c r="AP154" i="3"/>
  <c r="AR154" i="3"/>
  <c r="AG150" i="3"/>
  <c r="AK150" i="3"/>
  <c r="AO150" i="3"/>
  <c r="AQ154" i="3"/>
  <c r="AN154" i="3"/>
  <c r="AM154" i="3"/>
  <c r="AJ154" i="3"/>
  <c r="AI154" i="3"/>
  <c r="F154" i="3"/>
  <c r="V154" i="3"/>
  <c r="AD154" i="3"/>
  <c r="AF154" i="3"/>
  <c r="E150" i="3"/>
  <c r="U150" i="3"/>
  <c r="AC150" i="3"/>
  <c r="AE154" i="3"/>
  <c r="R154" i="3"/>
  <c r="Z154" i="3"/>
  <c r="AB154" i="3"/>
  <c r="Q150" i="3"/>
  <c r="Y150" i="3"/>
  <c r="AA154" i="3"/>
  <c r="X154" i="3"/>
  <c r="W154" i="3"/>
  <c r="T154" i="3"/>
  <c r="S154" i="3"/>
  <c r="J154" i="3"/>
  <c r="N154" i="3"/>
  <c r="P154" i="3"/>
  <c r="I150" i="3"/>
  <c r="M150" i="3"/>
  <c r="O154" i="3"/>
  <c r="L154" i="3"/>
  <c r="K154" i="3"/>
  <c r="H154" i="3"/>
  <c r="G154" i="3"/>
  <c r="AH150" i="3"/>
  <c r="AL150" i="3"/>
  <c r="AP150" i="3"/>
  <c r="AR150" i="3"/>
  <c r="AG146" i="3"/>
  <c r="AK146" i="3"/>
  <c r="AO146" i="3"/>
  <c r="AQ150" i="3"/>
  <c r="AN150" i="3"/>
  <c r="AM150" i="3"/>
  <c r="AJ150" i="3"/>
  <c r="AI150" i="3"/>
  <c r="F150" i="3"/>
  <c r="V150" i="3"/>
  <c r="AD150" i="3"/>
  <c r="AF150" i="3"/>
  <c r="E146" i="3"/>
  <c r="U146" i="3"/>
  <c r="AC146" i="3"/>
  <c r="AE150" i="3"/>
  <c r="R150" i="3"/>
  <c r="Z150" i="3"/>
  <c r="AB150" i="3"/>
  <c r="Q146" i="3"/>
  <c r="Y146" i="3"/>
  <c r="AA150" i="3"/>
  <c r="X150" i="3"/>
  <c r="W150" i="3"/>
  <c r="T150" i="3"/>
  <c r="S150" i="3"/>
  <c r="J150" i="3"/>
  <c r="N150" i="3"/>
  <c r="P150" i="3"/>
  <c r="I146" i="3"/>
  <c r="M146" i="3"/>
  <c r="O150" i="3"/>
  <c r="L150" i="3"/>
  <c r="K150" i="3"/>
  <c r="H150" i="3"/>
  <c r="G150" i="3"/>
  <c r="AH146" i="3"/>
  <c r="AL146" i="3"/>
  <c r="AP146" i="3"/>
  <c r="AR146" i="3"/>
  <c r="AG142" i="3"/>
  <c r="AK142" i="3"/>
  <c r="AO142" i="3"/>
  <c r="AQ146" i="3"/>
  <c r="AN146" i="3"/>
  <c r="AM146" i="3"/>
  <c r="AJ146" i="3"/>
  <c r="AI146" i="3"/>
  <c r="F146" i="3"/>
  <c r="V146" i="3"/>
  <c r="AD146" i="3"/>
  <c r="AF146" i="3"/>
  <c r="E142" i="3"/>
  <c r="U142" i="3"/>
  <c r="AC142" i="3"/>
  <c r="AE146" i="3"/>
  <c r="R146" i="3"/>
  <c r="Z146" i="3"/>
  <c r="AB146" i="3"/>
  <c r="Q142" i="3"/>
  <c r="Y142" i="3"/>
  <c r="AA146" i="3"/>
  <c r="X146" i="3"/>
  <c r="W146" i="3"/>
  <c r="T146" i="3"/>
  <c r="S146" i="3"/>
  <c r="J146" i="3"/>
  <c r="N146" i="3"/>
  <c r="P146" i="3"/>
  <c r="I142" i="3"/>
  <c r="M142" i="3"/>
  <c r="O146" i="3"/>
  <c r="L146" i="3"/>
  <c r="K146" i="3"/>
  <c r="H146" i="3"/>
  <c r="G146" i="3"/>
  <c r="AH142" i="3"/>
  <c r="AL142" i="3"/>
  <c r="AP142" i="3"/>
  <c r="AR142" i="3"/>
  <c r="AG138" i="3"/>
  <c r="AK138" i="3"/>
  <c r="AO138" i="3"/>
  <c r="AQ142" i="3"/>
  <c r="AN142" i="3"/>
  <c r="AM142" i="3"/>
  <c r="AJ142" i="3"/>
  <c r="AI142" i="3"/>
  <c r="F142" i="3"/>
  <c r="V142" i="3"/>
  <c r="AD142" i="3"/>
  <c r="AF142" i="3"/>
  <c r="E138" i="3"/>
  <c r="U138" i="3"/>
  <c r="AC138" i="3"/>
  <c r="AE142" i="3"/>
  <c r="R142" i="3"/>
  <c r="Z142" i="3"/>
  <c r="AB142" i="3"/>
  <c r="Q138" i="3"/>
  <c r="Y138" i="3"/>
  <c r="AA142" i="3"/>
  <c r="X142" i="3"/>
  <c r="W142" i="3"/>
  <c r="T142" i="3"/>
  <c r="S142" i="3"/>
  <c r="J142" i="3"/>
  <c r="N142" i="3"/>
  <c r="P142" i="3"/>
  <c r="I138" i="3"/>
  <c r="M138" i="3"/>
  <c r="O142" i="3"/>
  <c r="L142" i="3"/>
  <c r="K142" i="3"/>
  <c r="H142" i="3"/>
  <c r="G142" i="3"/>
  <c r="AH138" i="3"/>
  <c r="AL138" i="3"/>
  <c r="AP138" i="3"/>
  <c r="AR138" i="3"/>
  <c r="AG134" i="3"/>
  <c r="AK134" i="3"/>
  <c r="AO134" i="3"/>
  <c r="AQ138" i="3"/>
  <c r="AN138" i="3"/>
  <c r="AM138" i="3"/>
  <c r="AJ138" i="3"/>
  <c r="AI138" i="3"/>
  <c r="F138" i="3"/>
  <c r="V138" i="3"/>
  <c r="AD138" i="3"/>
  <c r="AF138" i="3"/>
  <c r="E134" i="3"/>
  <c r="U134" i="3"/>
  <c r="AC134" i="3"/>
  <c r="AE138" i="3"/>
  <c r="R138" i="3"/>
  <c r="Z138" i="3"/>
  <c r="AB138" i="3"/>
  <c r="Q134" i="3"/>
  <c r="Y134" i="3"/>
  <c r="AA138" i="3"/>
  <c r="X138" i="3"/>
  <c r="W138" i="3"/>
  <c r="T138" i="3"/>
  <c r="S138" i="3"/>
  <c r="J138" i="3"/>
  <c r="N138" i="3"/>
  <c r="P138" i="3"/>
  <c r="I134" i="3"/>
  <c r="M134" i="3"/>
  <c r="O138" i="3"/>
  <c r="L138" i="3"/>
  <c r="K138" i="3"/>
  <c r="H138" i="3"/>
  <c r="G138" i="3"/>
  <c r="AH134" i="3"/>
  <c r="AL134" i="3"/>
  <c r="AP134" i="3"/>
  <c r="AR134" i="3"/>
  <c r="AG130" i="3"/>
  <c r="AK130" i="3"/>
  <c r="AO130" i="3"/>
  <c r="AQ134" i="3"/>
  <c r="AN134" i="3"/>
  <c r="AM134" i="3"/>
  <c r="AJ134" i="3"/>
  <c r="AI134" i="3"/>
  <c r="F134" i="3"/>
  <c r="V134" i="3"/>
  <c r="AD134" i="3"/>
  <c r="AF134" i="3"/>
  <c r="E130" i="3"/>
  <c r="U130" i="3"/>
  <c r="AC130" i="3"/>
  <c r="AE134" i="3"/>
  <c r="R134" i="3"/>
  <c r="Z134" i="3"/>
  <c r="AB134" i="3"/>
  <c r="Q130" i="3"/>
  <c r="Y130" i="3"/>
  <c r="AA134" i="3"/>
  <c r="X134" i="3"/>
  <c r="W134" i="3"/>
  <c r="T134" i="3"/>
  <c r="S134" i="3"/>
  <c r="J134" i="3"/>
  <c r="N134" i="3"/>
  <c r="P134" i="3"/>
  <c r="I130" i="3"/>
  <c r="M130" i="3"/>
  <c r="O134" i="3"/>
  <c r="L134" i="3"/>
  <c r="K134" i="3"/>
  <c r="H134" i="3"/>
  <c r="G134" i="3"/>
  <c r="AH130" i="3"/>
  <c r="AL130" i="3"/>
  <c r="AP130" i="3"/>
  <c r="AR130" i="3"/>
  <c r="AG126" i="3"/>
  <c r="AK126" i="3"/>
  <c r="AO126" i="3"/>
  <c r="AQ130" i="3"/>
  <c r="AN130" i="3"/>
  <c r="AM130" i="3"/>
  <c r="AJ130" i="3"/>
  <c r="AI130" i="3"/>
  <c r="F130" i="3"/>
  <c r="V130" i="3"/>
  <c r="AD130" i="3"/>
  <c r="AF130" i="3"/>
  <c r="E126" i="3"/>
  <c r="U126" i="3"/>
  <c r="AC126" i="3"/>
  <c r="AE130" i="3"/>
  <c r="R130" i="3"/>
  <c r="Z130" i="3"/>
  <c r="AB130" i="3"/>
  <c r="Q126" i="3"/>
  <c r="Y126" i="3"/>
  <c r="AA130" i="3"/>
  <c r="X130" i="3"/>
  <c r="W130" i="3"/>
  <c r="T130" i="3"/>
  <c r="S130" i="3"/>
  <c r="J130" i="3"/>
  <c r="N130" i="3"/>
  <c r="P130" i="3"/>
  <c r="I126" i="3"/>
  <c r="M126" i="3"/>
  <c r="O130" i="3"/>
  <c r="L130" i="3"/>
  <c r="K130" i="3"/>
  <c r="H130" i="3"/>
  <c r="G130" i="3"/>
  <c r="AH126" i="3"/>
  <c r="AL126" i="3"/>
  <c r="AP126" i="3"/>
  <c r="AR126" i="3"/>
  <c r="AG122" i="3"/>
  <c r="AK122" i="3"/>
  <c r="AO122" i="3"/>
  <c r="AQ126" i="3"/>
  <c r="AN126" i="3"/>
  <c r="AM126" i="3"/>
  <c r="AJ126" i="3"/>
  <c r="AI126" i="3"/>
  <c r="F126" i="3"/>
  <c r="V126" i="3"/>
  <c r="AD126" i="3"/>
  <c r="AF126" i="3"/>
  <c r="E122" i="3"/>
  <c r="U122" i="3"/>
  <c r="AC122" i="3"/>
  <c r="AE126" i="3"/>
  <c r="R126" i="3"/>
  <c r="Z126" i="3"/>
  <c r="AB126" i="3"/>
  <c r="Q122" i="3"/>
  <c r="Y122" i="3"/>
  <c r="AA126" i="3"/>
  <c r="X126" i="3"/>
  <c r="W126" i="3"/>
  <c r="T126" i="3"/>
  <c r="S126" i="3"/>
  <c r="J126" i="3"/>
  <c r="N126" i="3"/>
  <c r="P126" i="3"/>
  <c r="I122" i="3"/>
  <c r="M122" i="3"/>
  <c r="O126" i="3"/>
  <c r="L126" i="3"/>
  <c r="K126" i="3"/>
  <c r="H126" i="3"/>
  <c r="G126" i="3"/>
  <c r="AH122" i="3"/>
  <c r="AL122" i="3"/>
  <c r="AP122" i="3"/>
  <c r="AR122" i="3"/>
  <c r="AG118" i="3"/>
  <c r="AK118" i="3"/>
  <c r="AO118" i="3"/>
  <c r="AQ122" i="3"/>
  <c r="AN122" i="3"/>
  <c r="AM122" i="3"/>
  <c r="AJ122" i="3"/>
  <c r="AI122" i="3"/>
  <c r="F122" i="3"/>
  <c r="V122" i="3"/>
  <c r="AD122" i="3"/>
  <c r="AF122" i="3"/>
  <c r="E118" i="3"/>
  <c r="U118" i="3"/>
  <c r="AC118" i="3"/>
  <c r="AE122" i="3"/>
  <c r="R122" i="3"/>
  <c r="Z122" i="3"/>
  <c r="AB122" i="3"/>
  <c r="Q118" i="3"/>
  <c r="Y118" i="3"/>
  <c r="AA122" i="3"/>
  <c r="X122" i="3"/>
  <c r="W122" i="3"/>
  <c r="T122" i="3"/>
  <c r="S122" i="3"/>
  <c r="J122" i="3"/>
  <c r="N122" i="3"/>
  <c r="P122" i="3"/>
  <c r="I118" i="3"/>
  <c r="M118" i="3"/>
  <c r="O122" i="3"/>
  <c r="L122" i="3"/>
  <c r="K122" i="3"/>
  <c r="H122" i="3"/>
  <c r="G122" i="3"/>
  <c r="AH118" i="3"/>
  <c r="AL118" i="3"/>
  <c r="AP118" i="3"/>
  <c r="AR118" i="3"/>
  <c r="AG114" i="3"/>
  <c r="AK114" i="3"/>
  <c r="AO114" i="3"/>
  <c r="AQ118" i="3"/>
  <c r="AN118" i="3"/>
  <c r="AM118" i="3"/>
  <c r="AJ118" i="3"/>
  <c r="AI118" i="3"/>
  <c r="F118" i="3"/>
  <c r="V118" i="3"/>
  <c r="AD118" i="3"/>
  <c r="AF118" i="3"/>
  <c r="E114" i="3"/>
  <c r="U114" i="3"/>
  <c r="AC114" i="3"/>
  <c r="AE118" i="3"/>
  <c r="R118" i="3"/>
  <c r="Z118" i="3"/>
  <c r="AB118" i="3"/>
  <c r="Q114" i="3"/>
  <c r="Y114" i="3"/>
  <c r="AA118" i="3"/>
  <c r="X118" i="3"/>
  <c r="W118" i="3"/>
  <c r="T118" i="3"/>
  <c r="S118" i="3"/>
  <c r="J118" i="3"/>
  <c r="N118" i="3"/>
  <c r="P118" i="3"/>
  <c r="I114" i="3"/>
  <c r="M114" i="3"/>
  <c r="O118" i="3"/>
  <c r="L118" i="3"/>
  <c r="K118" i="3"/>
  <c r="H118" i="3"/>
  <c r="G118" i="3"/>
  <c r="AH114" i="3"/>
  <c r="AL114" i="3"/>
  <c r="AP114" i="3"/>
  <c r="AR114" i="3"/>
  <c r="AG110" i="3"/>
  <c r="AO110" i="3"/>
  <c r="AQ114" i="3"/>
  <c r="AN114" i="3"/>
  <c r="AM114" i="3"/>
  <c r="AJ114" i="3"/>
  <c r="AI114" i="3"/>
  <c r="F114" i="3"/>
  <c r="V114" i="3"/>
  <c r="AD114" i="3"/>
  <c r="AF114" i="3"/>
  <c r="E110" i="3"/>
  <c r="U110" i="3"/>
  <c r="AC110" i="3"/>
  <c r="AE114" i="3"/>
  <c r="R114" i="3"/>
  <c r="Z114" i="3"/>
  <c r="AB114" i="3"/>
  <c r="Q110" i="3"/>
  <c r="Y110" i="3"/>
  <c r="AA114" i="3"/>
  <c r="X114" i="3"/>
  <c r="W114" i="3"/>
  <c r="T114" i="3"/>
  <c r="S114" i="3"/>
  <c r="J114" i="3"/>
  <c r="N114" i="3"/>
  <c r="P114" i="3"/>
  <c r="I110" i="3"/>
  <c r="M110" i="3"/>
  <c r="O114" i="3"/>
  <c r="L114" i="3"/>
  <c r="K114" i="3"/>
  <c r="H114" i="3"/>
  <c r="G114" i="3"/>
  <c r="AH110" i="3"/>
  <c r="AL110" i="3"/>
  <c r="AP110" i="3"/>
  <c r="AR110" i="3"/>
  <c r="AG106" i="3"/>
  <c r="AO106" i="3"/>
  <c r="AQ110" i="3"/>
  <c r="AN110" i="3"/>
  <c r="AJ110" i="3"/>
  <c r="AI110" i="3"/>
  <c r="F110" i="3"/>
  <c r="V110" i="3"/>
  <c r="AD110" i="3"/>
  <c r="AF110" i="3"/>
  <c r="E106" i="3"/>
  <c r="U106" i="3"/>
  <c r="AC106" i="3"/>
  <c r="AE110" i="3"/>
  <c r="R110" i="3"/>
  <c r="Z110" i="3"/>
  <c r="AB110" i="3"/>
  <c r="Q106" i="3"/>
  <c r="Y106" i="3"/>
  <c r="AA110" i="3"/>
  <c r="X110" i="3"/>
  <c r="W110" i="3"/>
  <c r="T110" i="3"/>
  <c r="S110" i="3"/>
  <c r="J110" i="3"/>
  <c r="N110" i="3"/>
  <c r="P110" i="3"/>
  <c r="I106" i="3"/>
  <c r="M106" i="3"/>
  <c r="O110" i="3"/>
  <c r="L110" i="3"/>
  <c r="K110" i="3"/>
  <c r="H110" i="3"/>
  <c r="G110" i="3"/>
  <c r="AH106" i="3"/>
  <c r="AL106" i="3"/>
  <c r="AP106" i="3"/>
  <c r="AR106" i="3"/>
  <c r="AG102" i="3"/>
  <c r="AK102" i="3"/>
  <c r="AO102" i="3"/>
  <c r="AQ106" i="3"/>
  <c r="AN106" i="3"/>
  <c r="AM106" i="3"/>
  <c r="AJ106" i="3"/>
  <c r="AI106" i="3"/>
  <c r="F106" i="3"/>
  <c r="V106" i="3"/>
  <c r="AD106" i="3"/>
  <c r="AF106" i="3"/>
  <c r="E102" i="3"/>
  <c r="U102" i="3"/>
  <c r="AC102" i="3"/>
  <c r="AE106" i="3"/>
  <c r="R106" i="3"/>
  <c r="Z106" i="3"/>
  <c r="AB106" i="3"/>
  <c r="Q102" i="3"/>
  <c r="Y102" i="3"/>
  <c r="AA106" i="3"/>
  <c r="X106" i="3"/>
  <c r="W106" i="3"/>
  <c r="T106" i="3"/>
  <c r="S106" i="3"/>
  <c r="J106" i="3"/>
  <c r="N106" i="3"/>
  <c r="P106" i="3"/>
  <c r="I102" i="3"/>
  <c r="M102" i="3"/>
  <c r="O106" i="3"/>
  <c r="L106" i="3"/>
  <c r="K106" i="3"/>
  <c r="H106" i="3"/>
  <c r="G106" i="3"/>
  <c r="AH102" i="3"/>
  <c r="AL102" i="3"/>
  <c r="AP102" i="3"/>
  <c r="AR102" i="3"/>
  <c r="AG98" i="3"/>
  <c r="AK98" i="3"/>
  <c r="AO98" i="3"/>
  <c r="AQ102" i="3"/>
  <c r="AN102" i="3"/>
  <c r="AM102" i="3"/>
  <c r="AJ102" i="3"/>
  <c r="AI102" i="3"/>
  <c r="F102" i="3"/>
  <c r="V102" i="3"/>
  <c r="AD102" i="3"/>
  <c r="AF102" i="3"/>
  <c r="E98" i="3"/>
  <c r="U98" i="3"/>
  <c r="AC98" i="3"/>
  <c r="AE102" i="3"/>
  <c r="R102" i="3"/>
  <c r="Z102" i="3"/>
  <c r="AB102" i="3"/>
  <c r="Q98" i="3"/>
  <c r="Y98" i="3"/>
  <c r="AA102" i="3"/>
  <c r="X102" i="3"/>
  <c r="W102" i="3"/>
  <c r="T102" i="3"/>
  <c r="S102" i="3"/>
  <c r="J102" i="3"/>
  <c r="N102" i="3"/>
  <c r="P102" i="3"/>
  <c r="I98" i="3"/>
  <c r="M98" i="3"/>
  <c r="O102" i="3"/>
  <c r="L102" i="3"/>
  <c r="K102" i="3"/>
  <c r="H102" i="3"/>
  <c r="G102" i="3"/>
  <c r="AH98" i="3"/>
  <c r="AL98" i="3"/>
  <c r="AP98" i="3"/>
  <c r="AR98" i="3"/>
  <c r="AG94" i="3"/>
  <c r="AK94" i="3"/>
  <c r="AO94" i="3"/>
  <c r="AQ98" i="3"/>
  <c r="AN98" i="3"/>
  <c r="AM98" i="3"/>
  <c r="AJ98" i="3"/>
  <c r="AI98" i="3"/>
  <c r="F98" i="3"/>
  <c r="V98" i="3"/>
  <c r="AD98" i="3"/>
  <c r="AF98" i="3"/>
  <c r="E94" i="3"/>
  <c r="U94" i="3"/>
  <c r="AC94" i="3"/>
  <c r="AE98" i="3"/>
  <c r="R98" i="3"/>
  <c r="Z98" i="3"/>
  <c r="AB98" i="3"/>
  <c r="Q94" i="3"/>
  <c r="Y94" i="3"/>
  <c r="AA98" i="3"/>
  <c r="X98" i="3"/>
  <c r="W98" i="3"/>
  <c r="T98" i="3"/>
  <c r="S98" i="3"/>
  <c r="J98" i="3"/>
  <c r="N98" i="3"/>
  <c r="P98" i="3"/>
  <c r="I94" i="3"/>
  <c r="M94" i="3"/>
  <c r="O98" i="3"/>
  <c r="L98" i="3"/>
  <c r="K98" i="3"/>
  <c r="H98" i="3"/>
  <c r="G98" i="3"/>
  <c r="AH94" i="3"/>
  <c r="AL94" i="3"/>
  <c r="AP94" i="3"/>
  <c r="AR94" i="3"/>
  <c r="AG90" i="3"/>
  <c r="AK90" i="3"/>
  <c r="AO90" i="3"/>
  <c r="AQ94" i="3"/>
  <c r="AN94" i="3"/>
  <c r="AM94" i="3"/>
  <c r="AJ94" i="3"/>
  <c r="AI94" i="3"/>
  <c r="F94" i="3"/>
  <c r="V94" i="3"/>
  <c r="AD94" i="3"/>
  <c r="AF94" i="3"/>
  <c r="E90" i="3"/>
  <c r="U90" i="3"/>
  <c r="AC90" i="3"/>
  <c r="AE94" i="3"/>
  <c r="R94" i="3"/>
  <c r="Z94" i="3"/>
  <c r="AB94" i="3"/>
  <c r="Q90" i="3"/>
  <c r="Y90" i="3"/>
  <c r="AA94" i="3"/>
  <c r="X94" i="3"/>
  <c r="W94" i="3"/>
  <c r="T94" i="3"/>
  <c r="S94" i="3"/>
  <c r="J94" i="3"/>
  <c r="N94" i="3"/>
  <c r="P94" i="3"/>
  <c r="I90" i="3"/>
  <c r="M90" i="3"/>
  <c r="O94" i="3"/>
  <c r="L94" i="3"/>
  <c r="K94" i="3"/>
  <c r="H94" i="3"/>
  <c r="G94" i="3"/>
  <c r="AH90" i="3"/>
  <c r="AL90" i="3"/>
  <c r="AP90" i="3"/>
  <c r="AR90" i="3"/>
  <c r="AG86" i="3"/>
  <c r="AK86" i="3"/>
  <c r="AO86" i="3"/>
  <c r="AQ90" i="3"/>
  <c r="AN90" i="3"/>
  <c r="AM90" i="3"/>
  <c r="AJ90" i="3"/>
  <c r="AI90" i="3"/>
  <c r="F90" i="3"/>
  <c r="V90" i="3"/>
  <c r="AD90" i="3"/>
  <c r="AF90" i="3"/>
  <c r="E86" i="3"/>
  <c r="U86" i="3"/>
  <c r="AC86" i="3"/>
  <c r="AE90" i="3"/>
  <c r="R90" i="3"/>
  <c r="Z90" i="3"/>
  <c r="AB90" i="3"/>
  <c r="Q86" i="3"/>
  <c r="Y86" i="3"/>
  <c r="AA90" i="3"/>
  <c r="X90" i="3"/>
  <c r="W90" i="3"/>
  <c r="T90" i="3"/>
  <c r="S90" i="3"/>
  <c r="J90" i="3"/>
  <c r="N90" i="3"/>
  <c r="P90" i="3"/>
  <c r="I86" i="3"/>
  <c r="M86" i="3"/>
  <c r="O90" i="3"/>
  <c r="L90" i="3"/>
  <c r="K90" i="3"/>
  <c r="H90" i="3"/>
  <c r="G90" i="3"/>
  <c r="AH86" i="3"/>
  <c r="AL86" i="3"/>
  <c r="AP86" i="3"/>
  <c r="AR86" i="3"/>
  <c r="AG82" i="3"/>
  <c r="AK82" i="3"/>
  <c r="AO82" i="3"/>
  <c r="AQ86" i="3"/>
  <c r="AN86" i="3"/>
  <c r="AM86" i="3"/>
  <c r="AJ86" i="3"/>
  <c r="AI86" i="3"/>
  <c r="F86" i="3"/>
  <c r="V86" i="3"/>
  <c r="AD86" i="3"/>
  <c r="AF86" i="3"/>
  <c r="E82" i="3"/>
  <c r="U82" i="3"/>
  <c r="AC82" i="3"/>
  <c r="AE86" i="3"/>
  <c r="R86" i="3"/>
  <c r="Z86" i="3"/>
  <c r="AB86" i="3"/>
  <c r="Q82" i="3"/>
  <c r="Y82" i="3"/>
  <c r="AA86" i="3"/>
  <c r="X86" i="3"/>
  <c r="W86" i="3"/>
  <c r="T86" i="3"/>
  <c r="S86" i="3"/>
  <c r="J86" i="3"/>
  <c r="N86" i="3"/>
  <c r="P86" i="3"/>
  <c r="I82" i="3"/>
  <c r="M82" i="3"/>
  <c r="O86" i="3"/>
  <c r="L86" i="3"/>
  <c r="K86" i="3"/>
  <c r="H86" i="3"/>
  <c r="G86" i="3"/>
  <c r="AL82" i="3"/>
  <c r="AH82" i="3"/>
  <c r="V82" i="3"/>
  <c r="R82" i="3"/>
  <c r="J82" i="3"/>
  <c r="F82" i="3"/>
  <c r="K9" i="5"/>
  <c r="K10" i="5"/>
  <c r="K11" i="5"/>
  <c r="K12" i="5"/>
  <c r="K13" i="5"/>
  <c r="K7" i="5"/>
  <c r="K15" i="5"/>
  <c r="K16" i="5"/>
  <c r="K17" i="5"/>
  <c r="K18" i="5"/>
  <c r="K19" i="5"/>
  <c r="K21" i="5"/>
  <c r="K22" i="5"/>
  <c r="K23" i="5"/>
  <c r="K24" i="5"/>
  <c r="K25" i="5"/>
  <c r="K27" i="5"/>
  <c r="K28" i="5"/>
  <c r="K29" i="5"/>
  <c r="K30" i="5"/>
  <c r="K31" i="5"/>
  <c r="K33" i="5"/>
  <c r="K34" i="5"/>
  <c r="K35" i="5"/>
  <c r="K36" i="5"/>
  <c r="K37" i="5"/>
  <c r="K39" i="5"/>
  <c r="K40" i="5"/>
  <c r="K41" i="5"/>
  <c r="K42" i="5"/>
  <c r="K43" i="5"/>
  <c r="K45" i="5"/>
  <c r="K46" i="5"/>
  <c r="K47" i="5"/>
  <c r="K48" i="5"/>
  <c r="K49" i="5"/>
  <c r="K51" i="5"/>
  <c r="K52" i="5"/>
  <c r="K53" i="5"/>
  <c r="K54" i="5"/>
  <c r="K55" i="5"/>
  <c r="K57" i="5"/>
  <c r="K58" i="5"/>
  <c r="K59" i="5"/>
  <c r="K60" i="5"/>
  <c r="K61" i="5"/>
  <c r="K63" i="5"/>
  <c r="K64" i="5"/>
  <c r="K65" i="5"/>
  <c r="K66" i="5"/>
  <c r="K67" i="5"/>
  <c r="K69" i="5"/>
  <c r="K70" i="5"/>
  <c r="K71" i="5"/>
  <c r="K72" i="5"/>
  <c r="K73" i="5"/>
  <c r="K75" i="5"/>
  <c r="K76" i="5"/>
  <c r="K77" i="5"/>
  <c r="K78" i="5"/>
  <c r="K79" i="5"/>
  <c r="K81" i="5"/>
  <c r="K82" i="5"/>
  <c r="K83" i="5"/>
  <c r="K84" i="5"/>
  <c r="K85" i="5"/>
  <c r="K87" i="5"/>
  <c r="K88" i="5"/>
  <c r="K89" i="5"/>
  <c r="K90" i="5"/>
  <c r="K91" i="5"/>
  <c r="K93" i="5"/>
  <c r="K94" i="5"/>
  <c r="K95" i="5"/>
  <c r="K96" i="5"/>
  <c r="K97" i="5"/>
  <c r="K99" i="5"/>
  <c r="K100" i="5"/>
  <c r="K101" i="5"/>
  <c r="K102" i="5"/>
  <c r="K103" i="5"/>
  <c r="K105" i="5"/>
  <c r="K106" i="5"/>
  <c r="K107" i="5"/>
  <c r="K108" i="5"/>
  <c r="K109" i="5"/>
  <c r="K111" i="5"/>
  <c r="K112" i="5"/>
  <c r="K113" i="5"/>
  <c r="K114" i="5"/>
  <c r="K115" i="5"/>
  <c r="K117" i="5"/>
  <c r="K118" i="5"/>
  <c r="K119" i="5"/>
  <c r="K120" i="5"/>
  <c r="K121" i="5"/>
  <c r="K123" i="5"/>
  <c r="K124" i="5"/>
  <c r="K125" i="5"/>
  <c r="K126" i="5"/>
  <c r="K127" i="5"/>
  <c r="K129" i="5"/>
  <c r="K130" i="5"/>
  <c r="K131" i="5"/>
  <c r="K132" i="5"/>
  <c r="K133" i="5"/>
  <c r="K135" i="5"/>
  <c r="K136" i="5"/>
  <c r="K137" i="5"/>
  <c r="K138" i="5"/>
  <c r="K139" i="5"/>
  <c r="K141" i="5"/>
  <c r="K142" i="5"/>
  <c r="K143" i="5"/>
  <c r="K144" i="5"/>
  <c r="K145" i="5"/>
  <c r="K147" i="5"/>
  <c r="K148" i="5"/>
  <c r="K149" i="5"/>
  <c r="K150" i="5"/>
  <c r="K151" i="5"/>
  <c r="K153" i="5"/>
  <c r="K154" i="5"/>
  <c r="K155" i="5"/>
  <c r="K156" i="5"/>
  <c r="K157" i="5"/>
  <c r="K159" i="5"/>
  <c r="K160" i="5"/>
  <c r="K161" i="5"/>
  <c r="K162" i="5"/>
  <c r="K163" i="5"/>
  <c r="K165" i="5"/>
  <c r="K166" i="5"/>
  <c r="K167" i="5"/>
  <c r="K168" i="5"/>
  <c r="K169" i="5"/>
  <c r="K171" i="5"/>
  <c r="K172" i="5"/>
  <c r="K173" i="5"/>
  <c r="K174" i="5"/>
  <c r="K175" i="5"/>
  <c r="K177" i="5"/>
  <c r="K178" i="5"/>
  <c r="K179" i="5"/>
  <c r="K180" i="5"/>
  <c r="K181" i="5"/>
  <c r="K183" i="5"/>
  <c r="K184" i="5"/>
  <c r="K185" i="5"/>
  <c r="K186" i="5"/>
  <c r="K187" i="5"/>
  <c r="K189" i="5"/>
  <c r="K190" i="5"/>
  <c r="K191" i="5"/>
  <c r="K192" i="5"/>
  <c r="K193" i="5"/>
  <c r="K195" i="5"/>
  <c r="K196" i="5"/>
  <c r="K197" i="5"/>
  <c r="K198" i="5"/>
  <c r="K199" i="5"/>
  <c r="K201" i="5"/>
  <c r="K202" i="5"/>
  <c r="K203" i="5"/>
  <c r="K204" i="5"/>
  <c r="K205" i="5"/>
  <c r="K207" i="5"/>
  <c r="K208" i="5"/>
  <c r="K209" i="5"/>
  <c r="K210" i="5"/>
  <c r="K211" i="5"/>
  <c r="K213" i="5"/>
  <c r="K214" i="5"/>
  <c r="K215" i="5"/>
  <c r="K216" i="5"/>
  <c r="K217" i="5"/>
  <c r="K219" i="5"/>
  <c r="K220" i="5"/>
  <c r="K221" i="5"/>
  <c r="K222" i="5"/>
  <c r="K223" i="5"/>
  <c r="K225" i="5"/>
  <c r="L225" i="5"/>
  <c r="M225" i="5"/>
  <c r="K226" i="5"/>
  <c r="K227" i="5"/>
  <c r="K228" i="5"/>
  <c r="K229" i="5"/>
  <c r="K231" i="5"/>
  <c r="K232" i="5"/>
  <c r="K233" i="5"/>
  <c r="K234" i="5"/>
  <c r="K235" i="5"/>
  <c r="K237" i="5"/>
  <c r="K238" i="5"/>
  <c r="K239" i="5"/>
  <c r="K240" i="5"/>
  <c r="K241" i="5"/>
  <c r="K243" i="5"/>
  <c r="K244" i="5"/>
  <c r="K245" i="5"/>
  <c r="K246" i="5"/>
  <c r="K247" i="5"/>
  <c r="K249" i="5"/>
  <c r="K250" i="5"/>
  <c r="K251" i="5"/>
  <c r="K252" i="5"/>
  <c r="K253" i="5"/>
  <c r="K255" i="5"/>
  <c r="K256" i="5"/>
  <c r="K257" i="5"/>
  <c r="K258" i="5"/>
  <c r="K259" i="5"/>
  <c r="K261" i="5"/>
  <c r="L261" i="5"/>
  <c r="M261" i="5"/>
  <c r="K262" i="5"/>
  <c r="K263" i="5"/>
  <c r="K264" i="5"/>
  <c r="K265" i="5"/>
  <c r="K267" i="5"/>
  <c r="K268" i="5"/>
  <c r="K269" i="5"/>
  <c r="K270" i="5"/>
  <c r="K271" i="5"/>
  <c r="Q273" i="5"/>
  <c r="L273" i="5"/>
  <c r="R273" i="5"/>
  <c r="S273" i="5"/>
  <c r="K279" i="5"/>
  <c r="K280" i="5"/>
  <c r="K288" i="5"/>
  <c r="K289" i="5"/>
  <c r="K290" i="5"/>
  <c r="K291" i="5"/>
  <c r="K300" i="5"/>
  <c r="K301" i="5"/>
  <c r="K302" i="5"/>
  <c r="K303" i="5"/>
  <c r="K304" i="5"/>
  <c r="K306" i="5"/>
  <c r="K307" i="5"/>
  <c r="K308" i="5"/>
  <c r="K309" i="5"/>
  <c r="K310" i="5"/>
  <c r="K312" i="5"/>
  <c r="K313" i="5"/>
  <c r="K314" i="5"/>
  <c r="K315" i="5"/>
  <c r="K316" i="5"/>
  <c r="K318" i="5"/>
  <c r="K319" i="5"/>
  <c r="K320" i="5"/>
  <c r="K321" i="5"/>
  <c r="K322" i="5"/>
  <c r="N8" i="5"/>
  <c r="N2" i="5"/>
  <c r="N9" i="5"/>
  <c r="N10" i="5"/>
  <c r="N11" i="5"/>
  <c r="N12" i="5"/>
  <c r="N13" i="5"/>
  <c r="N7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3" i="5"/>
  <c r="N34" i="5"/>
  <c r="N35" i="5"/>
  <c r="N36" i="5"/>
  <c r="N37" i="5"/>
  <c r="N39" i="5"/>
  <c r="N40" i="5"/>
  <c r="N41" i="5"/>
  <c r="N42" i="5"/>
  <c r="N43" i="5"/>
  <c r="N45" i="5"/>
  <c r="N46" i="5"/>
  <c r="N47" i="5"/>
  <c r="N48" i="5"/>
  <c r="N49" i="5"/>
  <c r="N51" i="5"/>
  <c r="N52" i="5"/>
  <c r="N53" i="5"/>
  <c r="N54" i="5"/>
  <c r="N55" i="5"/>
  <c r="N57" i="5"/>
  <c r="N58" i="5"/>
  <c r="N59" i="5"/>
  <c r="N60" i="5"/>
  <c r="N61" i="5"/>
  <c r="N63" i="5"/>
  <c r="N64" i="5"/>
  <c r="N65" i="5"/>
  <c r="N66" i="5"/>
  <c r="N67" i="5"/>
  <c r="N69" i="5"/>
  <c r="N70" i="5"/>
  <c r="N71" i="5"/>
  <c r="N72" i="5"/>
  <c r="N73" i="5"/>
  <c r="N75" i="5"/>
  <c r="N76" i="5"/>
  <c r="N77" i="5"/>
  <c r="N78" i="5"/>
  <c r="N79" i="5"/>
  <c r="N81" i="5"/>
  <c r="N82" i="5"/>
  <c r="N83" i="5"/>
  <c r="N84" i="5"/>
  <c r="N85" i="5"/>
  <c r="N87" i="5"/>
  <c r="N88" i="5"/>
  <c r="N89" i="5"/>
  <c r="N90" i="5"/>
  <c r="N91" i="5"/>
  <c r="N93" i="5"/>
  <c r="N94" i="5"/>
  <c r="N95" i="5"/>
  <c r="N96" i="5"/>
  <c r="N97" i="5"/>
  <c r="N99" i="5"/>
  <c r="N100" i="5"/>
  <c r="N101" i="5"/>
  <c r="N102" i="5"/>
  <c r="N103" i="5"/>
  <c r="N105" i="5"/>
  <c r="N106" i="5"/>
  <c r="N107" i="5"/>
  <c r="N108" i="5"/>
  <c r="N109" i="5"/>
  <c r="N111" i="5"/>
  <c r="N112" i="5"/>
  <c r="N113" i="5"/>
  <c r="N114" i="5"/>
  <c r="N115" i="5"/>
  <c r="N117" i="5"/>
  <c r="N118" i="5"/>
  <c r="N119" i="5"/>
  <c r="N120" i="5"/>
  <c r="N121" i="5"/>
  <c r="N123" i="5"/>
  <c r="N124" i="5"/>
  <c r="N125" i="5"/>
  <c r="N126" i="5"/>
  <c r="N127" i="5"/>
  <c r="N129" i="5"/>
  <c r="N130" i="5"/>
  <c r="N131" i="5"/>
  <c r="N132" i="5"/>
  <c r="N133" i="5"/>
  <c r="N135" i="5"/>
  <c r="N136" i="5"/>
  <c r="N137" i="5"/>
  <c r="N138" i="5"/>
  <c r="N139" i="5"/>
  <c r="N141" i="5"/>
  <c r="N142" i="5"/>
  <c r="N143" i="5"/>
  <c r="N144" i="5"/>
  <c r="N145" i="5"/>
  <c r="N147" i="5"/>
  <c r="N148" i="5"/>
  <c r="N149" i="5"/>
  <c r="N150" i="5"/>
  <c r="N151" i="5"/>
  <c r="N153" i="5"/>
  <c r="N154" i="5"/>
  <c r="N155" i="5"/>
  <c r="N156" i="5"/>
  <c r="N157" i="5"/>
  <c r="N159" i="5"/>
  <c r="N160" i="5"/>
  <c r="N161" i="5"/>
  <c r="N162" i="5"/>
  <c r="N163" i="5"/>
  <c r="N165" i="5"/>
  <c r="N166" i="5"/>
  <c r="N167" i="5"/>
  <c r="N168" i="5"/>
  <c r="N169" i="5"/>
  <c r="N171" i="5"/>
  <c r="N172" i="5"/>
  <c r="N173" i="5"/>
  <c r="N174" i="5"/>
  <c r="N175" i="5"/>
  <c r="N177" i="5"/>
  <c r="N178" i="5"/>
  <c r="N179" i="5"/>
  <c r="N180" i="5"/>
  <c r="N181" i="5"/>
  <c r="N183" i="5"/>
  <c r="N184" i="5"/>
  <c r="N185" i="5"/>
  <c r="N186" i="5"/>
  <c r="N187" i="5"/>
  <c r="N189" i="5"/>
  <c r="N190" i="5"/>
  <c r="N191" i="5"/>
  <c r="N192" i="5"/>
  <c r="N193" i="5"/>
  <c r="N195" i="5"/>
  <c r="N196" i="5"/>
  <c r="N197" i="5"/>
  <c r="N198" i="5"/>
  <c r="N199" i="5"/>
  <c r="N201" i="5"/>
  <c r="N202" i="5"/>
  <c r="N203" i="5"/>
  <c r="N204" i="5"/>
  <c r="N205" i="5"/>
  <c r="N207" i="5"/>
  <c r="N208" i="5"/>
  <c r="N209" i="5"/>
  <c r="N210" i="5"/>
  <c r="N211" i="5"/>
  <c r="N213" i="5"/>
  <c r="N214" i="5"/>
  <c r="N215" i="5"/>
  <c r="N216" i="5"/>
  <c r="N217" i="5"/>
  <c r="N219" i="5"/>
  <c r="N220" i="5"/>
  <c r="N221" i="5"/>
  <c r="N222" i="5"/>
  <c r="N223" i="5"/>
  <c r="N225" i="5"/>
  <c r="N226" i="5"/>
  <c r="N227" i="5"/>
  <c r="N228" i="5"/>
  <c r="N229" i="5"/>
  <c r="N231" i="5"/>
  <c r="N232" i="5"/>
  <c r="N233" i="5"/>
  <c r="N234" i="5"/>
  <c r="N235" i="5"/>
  <c r="N237" i="5"/>
  <c r="N238" i="5"/>
  <c r="N239" i="5"/>
  <c r="N240" i="5"/>
  <c r="N241" i="5"/>
  <c r="N243" i="5"/>
  <c r="N244" i="5"/>
  <c r="N245" i="5"/>
  <c r="N246" i="5"/>
  <c r="N247" i="5"/>
  <c r="N249" i="5"/>
  <c r="N250" i="5"/>
  <c r="N251" i="5"/>
  <c r="N252" i="5"/>
  <c r="N253" i="5"/>
  <c r="O253" i="5"/>
  <c r="P253" i="5"/>
  <c r="N255" i="5"/>
  <c r="N256" i="5"/>
  <c r="N257" i="5"/>
  <c r="N258" i="5"/>
  <c r="N259" i="5"/>
  <c r="N261" i="5"/>
  <c r="N262" i="5"/>
  <c r="N263" i="5"/>
  <c r="N264" i="5"/>
  <c r="N265" i="5"/>
  <c r="O265" i="5"/>
  <c r="P265" i="5"/>
  <c r="N267" i="5"/>
  <c r="N268" i="5"/>
  <c r="N269" i="5"/>
  <c r="N270" i="5"/>
  <c r="N271" i="5"/>
  <c r="N273" i="5"/>
  <c r="N274" i="5"/>
  <c r="O274" i="5"/>
  <c r="P274" i="5"/>
  <c r="N275" i="5"/>
  <c r="N276" i="5"/>
  <c r="N277" i="5"/>
  <c r="N279" i="5"/>
  <c r="N286" i="5"/>
  <c r="N288" i="5"/>
  <c r="N300" i="5"/>
  <c r="N301" i="5"/>
  <c r="N302" i="5"/>
  <c r="N303" i="5"/>
  <c r="N304" i="5"/>
  <c r="N306" i="5"/>
  <c r="N307" i="5"/>
  <c r="N308" i="5"/>
  <c r="N309" i="5"/>
  <c r="N310" i="5"/>
  <c r="N312" i="5"/>
  <c r="N313" i="5"/>
  <c r="N314" i="5"/>
  <c r="N315" i="5"/>
  <c r="N316" i="5"/>
  <c r="N318" i="5"/>
  <c r="N319" i="5"/>
  <c r="N320" i="5"/>
  <c r="N321" i="5"/>
  <c r="N322" i="5"/>
  <c r="AL26" i="5"/>
  <c r="AM26" i="5"/>
  <c r="AN26" i="5"/>
  <c r="AL20" i="5"/>
  <c r="AK26" i="5"/>
  <c r="AH26" i="5"/>
  <c r="AC26" i="5"/>
  <c r="AD26" i="5"/>
  <c r="AE26" i="5"/>
  <c r="Z26" i="5"/>
  <c r="AA26" i="5"/>
  <c r="AB26" i="5"/>
  <c r="Z20" i="5"/>
  <c r="Y26" i="5"/>
  <c r="V26" i="5"/>
  <c r="Q26" i="5"/>
  <c r="R26" i="5"/>
  <c r="S26" i="5"/>
  <c r="Q20" i="5"/>
  <c r="O26" i="5"/>
  <c r="P26" i="5"/>
  <c r="M26" i="5"/>
  <c r="J26" i="5"/>
  <c r="G26" i="5"/>
  <c r="AM20" i="5"/>
  <c r="AN20" i="5"/>
  <c r="AL14" i="5"/>
  <c r="AK20" i="5"/>
  <c r="AH20" i="5"/>
  <c r="AC20" i="5"/>
  <c r="AD20" i="5"/>
  <c r="AE20" i="5"/>
  <c r="AA20" i="5"/>
  <c r="AB20" i="5"/>
  <c r="Z14" i="5"/>
  <c r="Y20" i="5"/>
  <c r="V20" i="5"/>
  <c r="R20" i="5"/>
  <c r="S20" i="5"/>
  <c r="Q14" i="5"/>
  <c r="O20" i="5"/>
  <c r="P20" i="5"/>
  <c r="M20" i="5"/>
  <c r="J20" i="5"/>
  <c r="G20" i="5"/>
  <c r="AM14" i="5"/>
  <c r="AN14" i="5"/>
  <c r="AL8" i="5"/>
  <c r="AK14" i="5"/>
  <c r="AH14" i="5"/>
  <c r="AC14" i="5"/>
  <c r="AD14" i="5"/>
  <c r="AE14" i="5"/>
  <c r="AA14" i="5"/>
  <c r="AB14" i="5"/>
  <c r="Z8" i="5"/>
  <c r="Y14" i="5"/>
  <c r="V14" i="5"/>
  <c r="R14" i="5"/>
  <c r="S14" i="5"/>
  <c r="Q8" i="5"/>
  <c r="O14" i="5"/>
  <c r="P14" i="5"/>
  <c r="M14" i="5"/>
  <c r="J14" i="5"/>
  <c r="G14" i="5"/>
  <c r="AD8" i="5"/>
  <c r="AC8" i="5"/>
  <c r="AD2" i="5"/>
  <c r="AC2" i="5"/>
  <c r="O2" i="5"/>
  <c r="R2" i="5"/>
  <c r="Q2" i="5"/>
  <c r="AL7" i="5"/>
  <c r="Z7" i="5"/>
  <c r="Q7" i="5"/>
  <c r="AK9" i="5"/>
  <c r="AL9" i="5"/>
  <c r="AM9" i="5"/>
  <c r="AN9" i="5"/>
  <c r="AK10" i="5"/>
  <c r="AL10" i="5"/>
  <c r="AM10" i="5"/>
  <c r="AN10" i="5"/>
  <c r="AK11" i="5"/>
  <c r="AL11" i="5"/>
  <c r="AM11" i="5"/>
  <c r="AN11" i="5"/>
  <c r="AK12" i="5"/>
  <c r="AL12" i="5"/>
  <c r="AM12" i="5"/>
  <c r="AN12" i="5"/>
  <c r="AK13" i="5"/>
  <c r="AL13" i="5"/>
  <c r="AM13" i="5"/>
  <c r="AN13" i="5"/>
  <c r="AK15" i="5"/>
  <c r="AL15" i="5"/>
  <c r="AM15" i="5"/>
  <c r="AN15" i="5"/>
  <c r="AK16" i="5"/>
  <c r="AL16" i="5"/>
  <c r="AM16" i="5"/>
  <c r="AN16" i="5"/>
  <c r="AK17" i="5"/>
  <c r="AL17" i="5"/>
  <c r="AM17" i="5"/>
  <c r="AN17" i="5"/>
  <c r="AK18" i="5"/>
  <c r="AL18" i="5"/>
  <c r="AM18" i="5"/>
  <c r="AN18" i="5"/>
  <c r="AK19" i="5"/>
  <c r="AL19" i="5"/>
  <c r="AM19" i="5"/>
  <c r="AN19" i="5"/>
  <c r="AK21" i="5"/>
  <c r="AL21" i="5"/>
  <c r="AM21" i="5"/>
  <c r="AN21" i="5"/>
  <c r="AK22" i="5"/>
  <c r="AL22" i="5"/>
  <c r="AM22" i="5"/>
  <c r="AN22" i="5"/>
  <c r="AK23" i="5"/>
  <c r="AL23" i="5"/>
  <c r="AM23" i="5"/>
  <c r="AN23" i="5"/>
  <c r="AK24" i="5"/>
  <c r="AL24" i="5"/>
  <c r="AM24" i="5"/>
  <c r="AN24" i="5"/>
  <c r="AK25" i="5"/>
  <c r="AL25" i="5"/>
  <c r="AM25" i="5"/>
  <c r="AN25" i="5"/>
  <c r="AK27" i="5"/>
  <c r="AL27" i="5"/>
  <c r="AM27" i="5"/>
  <c r="AN27" i="5"/>
  <c r="AK28" i="5"/>
  <c r="AL28" i="5"/>
  <c r="AM28" i="5"/>
  <c r="AN28" i="5"/>
  <c r="AK29" i="5"/>
  <c r="AL29" i="5"/>
  <c r="AM29" i="5"/>
  <c r="AN29" i="5"/>
  <c r="AK30" i="5"/>
  <c r="AL30" i="5"/>
  <c r="AM30" i="5"/>
  <c r="AN30" i="5"/>
  <c r="AK31" i="5"/>
  <c r="AL31" i="5"/>
  <c r="AM31" i="5"/>
  <c r="AN31" i="5"/>
  <c r="AK33" i="5"/>
  <c r="AL33" i="5"/>
  <c r="AM33" i="5"/>
  <c r="AN33" i="5"/>
  <c r="AK34" i="5"/>
  <c r="AL34" i="5"/>
  <c r="AM34" i="5"/>
  <c r="AN34" i="5"/>
  <c r="AK35" i="5"/>
  <c r="AL35" i="5"/>
  <c r="AM35" i="5"/>
  <c r="AN35" i="5"/>
  <c r="AK36" i="5"/>
  <c r="AL36" i="5"/>
  <c r="AM36" i="5"/>
  <c r="AN36" i="5"/>
  <c r="AK37" i="5"/>
  <c r="AL37" i="5"/>
  <c r="AM37" i="5"/>
  <c r="AN37" i="5"/>
  <c r="AK39" i="5"/>
  <c r="AL39" i="5"/>
  <c r="AM39" i="5"/>
  <c r="AN39" i="5"/>
  <c r="AK40" i="5"/>
  <c r="AL40" i="5"/>
  <c r="AM40" i="5"/>
  <c r="AN40" i="5"/>
  <c r="AK41" i="5"/>
  <c r="AL41" i="5"/>
  <c r="AM41" i="5"/>
  <c r="AN41" i="5"/>
  <c r="AK42" i="5"/>
  <c r="AL42" i="5"/>
  <c r="AM42" i="5"/>
  <c r="AN42" i="5"/>
  <c r="AK43" i="5"/>
  <c r="AL43" i="5"/>
  <c r="AM43" i="5"/>
  <c r="AN43" i="5"/>
  <c r="AK45" i="5"/>
  <c r="AL45" i="5"/>
  <c r="AM45" i="5"/>
  <c r="AN45" i="5"/>
  <c r="AK46" i="5"/>
  <c r="AL46" i="5"/>
  <c r="AM46" i="5"/>
  <c r="AN46" i="5"/>
  <c r="AK47" i="5"/>
  <c r="AL47" i="5"/>
  <c r="AM47" i="5"/>
  <c r="AN47" i="5"/>
  <c r="AK48" i="5"/>
  <c r="AL48" i="5"/>
  <c r="AM48" i="5"/>
  <c r="AN48" i="5"/>
  <c r="AK49" i="5"/>
  <c r="AL49" i="5"/>
  <c r="AM49" i="5"/>
  <c r="AN49" i="5"/>
  <c r="AK51" i="5"/>
  <c r="AL51" i="5"/>
  <c r="AM51" i="5"/>
  <c r="AN51" i="5"/>
  <c r="AK52" i="5"/>
  <c r="AL52" i="5"/>
  <c r="AM52" i="5"/>
  <c r="AN52" i="5"/>
  <c r="AK53" i="5"/>
  <c r="AL53" i="5"/>
  <c r="AM53" i="5"/>
  <c r="AN53" i="5"/>
  <c r="AK54" i="5"/>
  <c r="AL54" i="5"/>
  <c r="AM54" i="5"/>
  <c r="AN54" i="5"/>
  <c r="AK55" i="5"/>
  <c r="AL55" i="5"/>
  <c r="AM55" i="5"/>
  <c r="AN55" i="5"/>
  <c r="AK57" i="5"/>
  <c r="AL57" i="5"/>
  <c r="AM57" i="5"/>
  <c r="AN57" i="5"/>
  <c r="AK58" i="5"/>
  <c r="AL58" i="5"/>
  <c r="AM58" i="5"/>
  <c r="AN58" i="5"/>
  <c r="AK59" i="5"/>
  <c r="AL59" i="5"/>
  <c r="AM59" i="5"/>
  <c r="AN59" i="5"/>
  <c r="AK60" i="5"/>
  <c r="AL60" i="5"/>
  <c r="AM60" i="5"/>
  <c r="AN60" i="5"/>
  <c r="AK61" i="5"/>
  <c r="AL61" i="5"/>
  <c r="AM61" i="5"/>
  <c r="AN61" i="5"/>
  <c r="AK63" i="5"/>
  <c r="AL63" i="5"/>
  <c r="AM63" i="5"/>
  <c r="AN63" i="5"/>
  <c r="AK64" i="5"/>
  <c r="AL64" i="5"/>
  <c r="AM64" i="5"/>
  <c r="AN64" i="5"/>
  <c r="AK65" i="5"/>
  <c r="AL65" i="5"/>
  <c r="AM65" i="5"/>
  <c r="AN65" i="5"/>
  <c r="AK66" i="5"/>
  <c r="AL66" i="5"/>
  <c r="AM66" i="5"/>
  <c r="AN66" i="5"/>
  <c r="AK67" i="5"/>
  <c r="AL67" i="5"/>
  <c r="AM67" i="5"/>
  <c r="AN67" i="5"/>
  <c r="AK69" i="5"/>
  <c r="AL69" i="5"/>
  <c r="AM69" i="5"/>
  <c r="AN69" i="5"/>
  <c r="AK70" i="5"/>
  <c r="AL70" i="5"/>
  <c r="AM70" i="5"/>
  <c r="AN70" i="5"/>
  <c r="AK71" i="5"/>
  <c r="AL71" i="5"/>
  <c r="AM71" i="5"/>
  <c r="AN71" i="5"/>
  <c r="AK72" i="5"/>
  <c r="AL72" i="5"/>
  <c r="AM72" i="5"/>
  <c r="AN72" i="5"/>
  <c r="AK73" i="5"/>
  <c r="AL73" i="5"/>
  <c r="AM73" i="5"/>
  <c r="AN73" i="5"/>
  <c r="AK75" i="5"/>
  <c r="AL75" i="5"/>
  <c r="AM75" i="5"/>
  <c r="AN75" i="5"/>
  <c r="AK76" i="5"/>
  <c r="AL76" i="5"/>
  <c r="AM76" i="5"/>
  <c r="AN76" i="5"/>
  <c r="AK77" i="5"/>
  <c r="AL77" i="5"/>
  <c r="AM77" i="5"/>
  <c r="AN77" i="5"/>
  <c r="AK78" i="5"/>
  <c r="AL78" i="5"/>
  <c r="AM78" i="5"/>
  <c r="AN78" i="5"/>
  <c r="AK79" i="5"/>
  <c r="AL79" i="5"/>
  <c r="AM79" i="5"/>
  <c r="AN79" i="5"/>
  <c r="AK81" i="5"/>
  <c r="AL81" i="5"/>
  <c r="AM81" i="5"/>
  <c r="AN81" i="5"/>
  <c r="AK82" i="5"/>
  <c r="AL82" i="5"/>
  <c r="AM82" i="5"/>
  <c r="AN82" i="5"/>
  <c r="AK83" i="5"/>
  <c r="AL83" i="5"/>
  <c r="AM83" i="5"/>
  <c r="AN83" i="5"/>
  <c r="AK84" i="5"/>
  <c r="AL84" i="5"/>
  <c r="AM84" i="5"/>
  <c r="AN84" i="5"/>
  <c r="AK85" i="5"/>
  <c r="AL85" i="5"/>
  <c r="AM85" i="5"/>
  <c r="AN85" i="5"/>
  <c r="AK87" i="5"/>
  <c r="AL87" i="5"/>
  <c r="AM87" i="5"/>
  <c r="AN87" i="5"/>
  <c r="AK88" i="5"/>
  <c r="AL88" i="5"/>
  <c r="AM88" i="5"/>
  <c r="AN88" i="5"/>
  <c r="AK89" i="5"/>
  <c r="AL89" i="5"/>
  <c r="AM89" i="5"/>
  <c r="AN89" i="5"/>
  <c r="AK90" i="5"/>
  <c r="AL90" i="5"/>
  <c r="AM90" i="5"/>
  <c r="AN90" i="5"/>
  <c r="AK91" i="5"/>
  <c r="AL91" i="5"/>
  <c r="AM91" i="5"/>
  <c r="AN91" i="5"/>
  <c r="AK93" i="5"/>
  <c r="AL93" i="5"/>
  <c r="AM93" i="5"/>
  <c r="AN93" i="5"/>
  <c r="AK94" i="5"/>
  <c r="AL94" i="5"/>
  <c r="AM94" i="5"/>
  <c r="AN94" i="5"/>
  <c r="AK95" i="5"/>
  <c r="AL95" i="5"/>
  <c r="AM95" i="5"/>
  <c r="AN95" i="5"/>
  <c r="AK96" i="5"/>
  <c r="AL96" i="5"/>
  <c r="AM96" i="5"/>
  <c r="AN96" i="5"/>
  <c r="AK97" i="5"/>
  <c r="AL97" i="5"/>
  <c r="AM97" i="5"/>
  <c r="AN97" i="5"/>
  <c r="AK99" i="5"/>
  <c r="AL99" i="5"/>
  <c r="AM99" i="5"/>
  <c r="AN99" i="5"/>
  <c r="AK100" i="5"/>
  <c r="AL100" i="5"/>
  <c r="AM100" i="5"/>
  <c r="AN100" i="5"/>
  <c r="AK101" i="5"/>
  <c r="AL101" i="5"/>
  <c r="AM101" i="5"/>
  <c r="AN101" i="5"/>
  <c r="AK102" i="5"/>
  <c r="AL102" i="5"/>
  <c r="AM102" i="5"/>
  <c r="AN102" i="5"/>
  <c r="AK103" i="5"/>
  <c r="AL103" i="5"/>
  <c r="AM103" i="5"/>
  <c r="AN103" i="5"/>
  <c r="AK105" i="5"/>
  <c r="AL105" i="5"/>
  <c r="AM105" i="5"/>
  <c r="AN105" i="5"/>
  <c r="AK106" i="5"/>
  <c r="AL106" i="5"/>
  <c r="AM106" i="5"/>
  <c r="AN106" i="5"/>
  <c r="AK107" i="5"/>
  <c r="AL107" i="5"/>
  <c r="AM107" i="5"/>
  <c r="AN107" i="5"/>
  <c r="AK108" i="5"/>
  <c r="AL108" i="5"/>
  <c r="AM108" i="5"/>
  <c r="AN108" i="5"/>
  <c r="AK109" i="5"/>
  <c r="AL109" i="5"/>
  <c r="AM109" i="5"/>
  <c r="AN109" i="5"/>
  <c r="AK111" i="5"/>
  <c r="AL111" i="5"/>
  <c r="AM111" i="5"/>
  <c r="AN111" i="5"/>
  <c r="AK112" i="5"/>
  <c r="AL112" i="5"/>
  <c r="AM112" i="5"/>
  <c r="AN112" i="5"/>
  <c r="AK113" i="5"/>
  <c r="AL113" i="5"/>
  <c r="AM113" i="5"/>
  <c r="AN113" i="5"/>
  <c r="AK114" i="5"/>
  <c r="AL114" i="5"/>
  <c r="AM114" i="5"/>
  <c r="AN114" i="5"/>
  <c r="AK115" i="5"/>
  <c r="AL115" i="5"/>
  <c r="AM115" i="5"/>
  <c r="AN115" i="5"/>
  <c r="AK117" i="5"/>
  <c r="AL117" i="5"/>
  <c r="AM117" i="5"/>
  <c r="AN117" i="5"/>
  <c r="AK118" i="5"/>
  <c r="AL118" i="5"/>
  <c r="AM118" i="5"/>
  <c r="AN118" i="5"/>
  <c r="AK119" i="5"/>
  <c r="AL119" i="5"/>
  <c r="AM119" i="5"/>
  <c r="AN119" i="5"/>
  <c r="AK120" i="5"/>
  <c r="AL120" i="5"/>
  <c r="AM120" i="5"/>
  <c r="AN120" i="5"/>
  <c r="AK121" i="5"/>
  <c r="AL121" i="5"/>
  <c r="AM121" i="5"/>
  <c r="AN121" i="5"/>
  <c r="AK123" i="5"/>
  <c r="AL123" i="5"/>
  <c r="AM123" i="5"/>
  <c r="AN123" i="5"/>
  <c r="AK124" i="5"/>
  <c r="AL124" i="5"/>
  <c r="AM124" i="5"/>
  <c r="AN124" i="5"/>
  <c r="AK125" i="5"/>
  <c r="AL125" i="5"/>
  <c r="AM125" i="5"/>
  <c r="AN125" i="5"/>
  <c r="AK126" i="5"/>
  <c r="AL126" i="5"/>
  <c r="AM126" i="5"/>
  <c r="AN126" i="5"/>
  <c r="AK127" i="5"/>
  <c r="AL127" i="5"/>
  <c r="AM127" i="5"/>
  <c r="AN127" i="5"/>
  <c r="AK129" i="5"/>
  <c r="AL129" i="5"/>
  <c r="AM129" i="5"/>
  <c r="AN129" i="5"/>
  <c r="AK130" i="5"/>
  <c r="AL130" i="5"/>
  <c r="AM130" i="5"/>
  <c r="AN130" i="5"/>
  <c r="AK131" i="5"/>
  <c r="AL131" i="5"/>
  <c r="AM131" i="5"/>
  <c r="AN131" i="5"/>
  <c r="AK132" i="5"/>
  <c r="AL132" i="5"/>
  <c r="AM132" i="5"/>
  <c r="AN132" i="5"/>
  <c r="AK133" i="5"/>
  <c r="AL133" i="5"/>
  <c r="AM133" i="5"/>
  <c r="AN133" i="5"/>
  <c r="AK135" i="5"/>
  <c r="AL135" i="5"/>
  <c r="AM135" i="5"/>
  <c r="AN135" i="5"/>
  <c r="AK136" i="5"/>
  <c r="AL136" i="5"/>
  <c r="AM136" i="5"/>
  <c r="AN136" i="5"/>
  <c r="AK137" i="5"/>
  <c r="AL137" i="5"/>
  <c r="AM137" i="5"/>
  <c r="AN137" i="5"/>
  <c r="AK138" i="5"/>
  <c r="AL138" i="5"/>
  <c r="AM138" i="5"/>
  <c r="AN138" i="5"/>
  <c r="AK139" i="5"/>
  <c r="AL139" i="5"/>
  <c r="AM139" i="5"/>
  <c r="AN139" i="5"/>
  <c r="AK141" i="5"/>
  <c r="AL141" i="5"/>
  <c r="AM141" i="5"/>
  <c r="AN141" i="5"/>
  <c r="AK142" i="5"/>
  <c r="AL142" i="5"/>
  <c r="AM142" i="5"/>
  <c r="AN142" i="5"/>
  <c r="AK143" i="5"/>
  <c r="AL143" i="5"/>
  <c r="AM143" i="5"/>
  <c r="AN143" i="5"/>
  <c r="AK144" i="5"/>
  <c r="AL144" i="5"/>
  <c r="AM144" i="5"/>
  <c r="AN144" i="5"/>
  <c r="AK145" i="5"/>
  <c r="AL145" i="5"/>
  <c r="AM145" i="5"/>
  <c r="AN145" i="5"/>
  <c r="AK147" i="5"/>
  <c r="AL147" i="5"/>
  <c r="AM147" i="5"/>
  <c r="AN147" i="5"/>
  <c r="AK148" i="5"/>
  <c r="AL148" i="5"/>
  <c r="AM148" i="5"/>
  <c r="AN148" i="5"/>
  <c r="AK149" i="5"/>
  <c r="AL149" i="5"/>
  <c r="AM149" i="5"/>
  <c r="AN149" i="5"/>
  <c r="AK150" i="5"/>
  <c r="AL150" i="5"/>
  <c r="AM150" i="5"/>
  <c r="AN150" i="5"/>
  <c r="AK151" i="5"/>
  <c r="AL151" i="5"/>
  <c r="AM151" i="5"/>
  <c r="AN151" i="5"/>
  <c r="AK153" i="5"/>
  <c r="AL153" i="5"/>
  <c r="AM153" i="5"/>
  <c r="AN153" i="5"/>
  <c r="AK154" i="5"/>
  <c r="AL154" i="5"/>
  <c r="AM154" i="5"/>
  <c r="AN154" i="5"/>
  <c r="AK155" i="5"/>
  <c r="AL155" i="5"/>
  <c r="AM155" i="5"/>
  <c r="AN155" i="5"/>
  <c r="AK156" i="5"/>
  <c r="AL156" i="5"/>
  <c r="AM156" i="5"/>
  <c r="AN156" i="5"/>
  <c r="AK157" i="5"/>
  <c r="AL157" i="5"/>
  <c r="AM157" i="5"/>
  <c r="AN157" i="5"/>
  <c r="AK159" i="5"/>
  <c r="AL159" i="5"/>
  <c r="AM159" i="5"/>
  <c r="AN159" i="5"/>
  <c r="AK160" i="5"/>
  <c r="AL160" i="5"/>
  <c r="AM160" i="5"/>
  <c r="AN160" i="5"/>
  <c r="AK161" i="5"/>
  <c r="AL161" i="5"/>
  <c r="AM161" i="5"/>
  <c r="AN161" i="5"/>
  <c r="AK162" i="5"/>
  <c r="AL162" i="5"/>
  <c r="AM162" i="5"/>
  <c r="AN162" i="5"/>
  <c r="AK163" i="5"/>
  <c r="AL163" i="5"/>
  <c r="AM163" i="5"/>
  <c r="AN163" i="5"/>
  <c r="AK165" i="5"/>
  <c r="AL165" i="5"/>
  <c r="AM165" i="5"/>
  <c r="AN165" i="5"/>
  <c r="AK166" i="5"/>
  <c r="AL166" i="5"/>
  <c r="AM166" i="5"/>
  <c r="AN166" i="5"/>
  <c r="AK167" i="5"/>
  <c r="AL167" i="5"/>
  <c r="AM167" i="5"/>
  <c r="AN167" i="5"/>
  <c r="AK168" i="5"/>
  <c r="AL168" i="5"/>
  <c r="AM168" i="5"/>
  <c r="AN168" i="5"/>
  <c r="AK169" i="5"/>
  <c r="AL169" i="5"/>
  <c r="AM169" i="5"/>
  <c r="AN169" i="5"/>
  <c r="AK171" i="5"/>
  <c r="AL171" i="5"/>
  <c r="AM171" i="5"/>
  <c r="AN171" i="5"/>
  <c r="AK172" i="5"/>
  <c r="AL172" i="5"/>
  <c r="AM172" i="5"/>
  <c r="AN172" i="5"/>
  <c r="AK173" i="5"/>
  <c r="AL173" i="5"/>
  <c r="AM173" i="5"/>
  <c r="AN173" i="5"/>
  <c r="AK174" i="5"/>
  <c r="AL174" i="5"/>
  <c r="AM174" i="5"/>
  <c r="AN174" i="5"/>
  <c r="AK175" i="5"/>
  <c r="AL175" i="5"/>
  <c r="AM175" i="5"/>
  <c r="AN175" i="5"/>
  <c r="AK177" i="5"/>
  <c r="AL177" i="5"/>
  <c r="AM177" i="5"/>
  <c r="AN177" i="5"/>
  <c r="AK178" i="5"/>
  <c r="AL178" i="5"/>
  <c r="AM178" i="5"/>
  <c r="AN178" i="5"/>
  <c r="AK179" i="5"/>
  <c r="AL179" i="5"/>
  <c r="AM179" i="5"/>
  <c r="AN179" i="5"/>
  <c r="AK180" i="5"/>
  <c r="AL180" i="5"/>
  <c r="AM180" i="5"/>
  <c r="AN180" i="5"/>
  <c r="AK181" i="5"/>
  <c r="AL181" i="5"/>
  <c r="AM181" i="5"/>
  <c r="AN181" i="5"/>
  <c r="AK183" i="5"/>
  <c r="AL183" i="5"/>
  <c r="AM183" i="5"/>
  <c r="AN183" i="5"/>
  <c r="AK184" i="5"/>
  <c r="AL184" i="5"/>
  <c r="AM184" i="5"/>
  <c r="AN184" i="5"/>
  <c r="AK185" i="5"/>
  <c r="AL185" i="5"/>
  <c r="AM185" i="5"/>
  <c r="AN185" i="5"/>
  <c r="AK186" i="5"/>
  <c r="AL186" i="5"/>
  <c r="AM186" i="5"/>
  <c r="AN186" i="5"/>
  <c r="AK187" i="5"/>
  <c r="AL187" i="5"/>
  <c r="AM187" i="5"/>
  <c r="AN187" i="5"/>
  <c r="AK189" i="5"/>
  <c r="AL189" i="5"/>
  <c r="AM189" i="5"/>
  <c r="AN189" i="5"/>
  <c r="AK190" i="5"/>
  <c r="AL190" i="5"/>
  <c r="AM190" i="5"/>
  <c r="AN190" i="5"/>
  <c r="AK191" i="5"/>
  <c r="AL191" i="5"/>
  <c r="AM191" i="5"/>
  <c r="AN191" i="5"/>
  <c r="AK192" i="5"/>
  <c r="AL192" i="5"/>
  <c r="AM192" i="5"/>
  <c r="AN192" i="5"/>
  <c r="AK193" i="5"/>
  <c r="AL193" i="5"/>
  <c r="AM193" i="5"/>
  <c r="AN193" i="5"/>
  <c r="AK195" i="5"/>
  <c r="AL195" i="5"/>
  <c r="AM195" i="5"/>
  <c r="AN195" i="5"/>
  <c r="AK196" i="5"/>
  <c r="AL196" i="5"/>
  <c r="AM196" i="5"/>
  <c r="AN196" i="5"/>
  <c r="AK197" i="5"/>
  <c r="AL197" i="5"/>
  <c r="AM197" i="5"/>
  <c r="AN197" i="5"/>
  <c r="AK198" i="5"/>
  <c r="AL198" i="5"/>
  <c r="AM198" i="5"/>
  <c r="AN198" i="5"/>
  <c r="AK199" i="5"/>
  <c r="AL199" i="5"/>
  <c r="AM199" i="5"/>
  <c r="AN199" i="5"/>
  <c r="AK201" i="5"/>
  <c r="AL201" i="5"/>
  <c r="AM201" i="5"/>
  <c r="AN201" i="5"/>
  <c r="AK202" i="5"/>
  <c r="AL202" i="5"/>
  <c r="AM202" i="5"/>
  <c r="AN202" i="5"/>
  <c r="AK203" i="5"/>
  <c r="AL203" i="5"/>
  <c r="AM203" i="5"/>
  <c r="AN203" i="5"/>
  <c r="AK204" i="5"/>
  <c r="AL204" i="5"/>
  <c r="AM204" i="5"/>
  <c r="AN204" i="5"/>
  <c r="AK205" i="5"/>
  <c r="AL205" i="5"/>
  <c r="AM205" i="5"/>
  <c r="AN205" i="5"/>
  <c r="AK207" i="5"/>
  <c r="AL207" i="5"/>
  <c r="AM207" i="5"/>
  <c r="AN207" i="5"/>
  <c r="AK208" i="5"/>
  <c r="AL208" i="5"/>
  <c r="AM208" i="5"/>
  <c r="AN208" i="5"/>
  <c r="AK209" i="5"/>
  <c r="AL209" i="5"/>
  <c r="AM209" i="5"/>
  <c r="AN209" i="5"/>
  <c r="AK210" i="5"/>
  <c r="AL210" i="5"/>
  <c r="AM210" i="5"/>
  <c r="AN210" i="5"/>
  <c r="AK211" i="5"/>
  <c r="AL211" i="5"/>
  <c r="AM211" i="5"/>
  <c r="AN211" i="5"/>
  <c r="AK213" i="5"/>
  <c r="AL213" i="5"/>
  <c r="AM213" i="5"/>
  <c r="AN213" i="5"/>
  <c r="AK214" i="5"/>
  <c r="AL214" i="5"/>
  <c r="AM214" i="5"/>
  <c r="AN214" i="5"/>
  <c r="AK215" i="5"/>
  <c r="AL215" i="5"/>
  <c r="AM215" i="5"/>
  <c r="AN215" i="5"/>
  <c r="AK216" i="5"/>
  <c r="AL216" i="5"/>
  <c r="AM216" i="5"/>
  <c r="AN216" i="5"/>
  <c r="AK217" i="5"/>
  <c r="AL217" i="5"/>
  <c r="AM217" i="5"/>
  <c r="AN217" i="5"/>
  <c r="AK219" i="5"/>
  <c r="AL219" i="5"/>
  <c r="AM219" i="5"/>
  <c r="AN219" i="5"/>
  <c r="AK220" i="5"/>
  <c r="AL220" i="5"/>
  <c r="AM220" i="5"/>
  <c r="AN220" i="5"/>
  <c r="AK221" i="5"/>
  <c r="AL221" i="5"/>
  <c r="AM221" i="5"/>
  <c r="AN221" i="5"/>
  <c r="AK222" i="5"/>
  <c r="AL222" i="5"/>
  <c r="AM222" i="5"/>
  <c r="AN222" i="5"/>
  <c r="AK223" i="5"/>
  <c r="AL223" i="5"/>
  <c r="AM223" i="5"/>
  <c r="AN223" i="5"/>
  <c r="AK225" i="5"/>
  <c r="AL225" i="5"/>
  <c r="AM225" i="5"/>
  <c r="AN225" i="5"/>
  <c r="AK226" i="5"/>
  <c r="AL226" i="5"/>
  <c r="AM226" i="5"/>
  <c r="AN226" i="5"/>
  <c r="AK227" i="5"/>
  <c r="AL227" i="5"/>
  <c r="AM227" i="5"/>
  <c r="AN227" i="5"/>
  <c r="AK228" i="5"/>
  <c r="AL228" i="5"/>
  <c r="AM228" i="5"/>
  <c r="AN228" i="5"/>
  <c r="AK229" i="5"/>
  <c r="AL229" i="5"/>
  <c r="AM229" i="5"/>
  <c r="AN229" i="5"/>
  <c r="AK231" i="5"/>
  <c r="AL231" i="5"/>
  <c r="AM231" i="5"/>
  <c r="AN231" i="5"/>
  <c r="AK232" i="5"/>
  <c r="AL232" i="5"/>
  <c r="AM232" i="5"/>
  <c r="AN232" i="5"/>
  <c r="AK233" i="5"/>
  <c r="AL233" i="5"/>
  <c r="AM233" i="5"/>
  <c r="AN233" i="5"/>
  <c r="AK234" i="5"/>
  <c r="AL234" i="5"/>
  <c r="AM234" i="5"/>
  <c r="AN234" i="5"/>
  <c r="AK235" i="5"/>
  <c r="AL235" i="5"/>
  <c r="AM235" i="5"/>
  <c r="AN235" i="5"/>
  <c r="AK237" i="5"/>
  <c r="AL237" i="5"/>
  <c r="AM237" i="5"/>
  <c r="AN237" i="5"/>
  <c r="AK238" i="5"/>
  <c r="AL238" i="5"/>
  <c r="AM238" i="5"/>
  <c r="AN238" i="5"/>
  <c r="AK239" i="5"/>
  <c r="AL239" i="5"/>
  <c r="AM239" i="5"/>
  <c r="AN239" i="5"/>
  <c r="AK240" i="5"/>
  <c r="AL240" i="5"/>
  <c r="AM240" i="5"/>
  <c r="AN240" i="5"/>
  <c r="AK241" i="5"/>
  <c r="AL241" i="5"/>
  <c r="AM241" i="5"/>
  <c r="AN241" i="5"/>
  <c r="AK243" i="5"/>
  <c r="AL243" i="5"/>
  <c r="AM243" i="5"/>
  <c r="AN243" i="5"/>
  <c r="AK244" i="5"/>
  <c r="AL244" i="5"/>
  <c r="AM244" i="5"/>
  <c r="AN244" i="5"/>
  <c r="AK245" i="5"/>
  <c r="AL245" i="5"/>
  <c r="AM245" i="5"/>
  <c r="AN245" i="5"/>
  <c r="AK246" i="5"/>
  <c r="AL246" i="5"/>
  <c r="AM246" i="5"/>
  <c r="AN246" i="5"/>
  <c r="AK247" i="5"/>
  <c r="AL247" i="5"/>
  <c r="AM247" i="5"/>
  <c r="AN247" i="5"/>
  <c r="AK249" i="5"/>
  <c r="AL249" i="5"/>
  <c r="AM249" i="5"/>
  <c r="AN249" i="5"/>
  <c r="AK250" i="5"/>
  <c r="AL250" i="5"/>
  <c r="AM250" i="5"/>
  <c r="AN250" i="5"/>
  <c r="AK251" i="5"/>
  <c r="AL251" i="5"/>
  <c r="AM251" i="5"/>
  <c r="AN251" i="5"/>
  <c r="AK252" i="5"/>
  <c r="AL252" i="5"/>
  <c r="AM252" i="5"/>
  <c r="AN252" i="5"/>
  <c r="AK253" i="5"/>
  <c r="AL253" i="5"/>
  <c r="AM253" i="5"/>
  <c r="AN253" i="5"/>
  <c r="AK255" i="5"/>
  <c r="AL255" i="5"/>
  <c r="AM255" i="5"/>
  <c r="AN255" i="5"/>
  <c r="AK256" i="5"/>
  <c r="AL256" i="5"/>
  <c r="AM256" i="5"/>
  <c r="AN256" i="5"/>
  <c r="AK257" i="5"/>
  <c r="AL257" i="5"/>
  <c r="AM257" i="5"/>
  <c r="AN257" i="5"/>
  <c r="AK258" i="5"/>
  <c r="AL258" i="5"/>
  <c r="AM258" i="5"/>
  <c r="AN258" i="5"/>
  <c r="AK259" i="5"/>
  <c r="AL259" i="5"/>
  <c r="AM259" i="5"/>
  <c r="AN259" i="5"/>
  <c r="AK261" i="5"/>
  <c r="AL261" i="5"/>
  <c r="AM261" i="5"/>
  <c r="AN261" i="5"/>
  <c r="AK262" i="5"/>
  <c r="AL262" i="5"/>
  <c r="AM262" i="5"/>
  <c r="AN262" i="5"/>
  <c r="AK263" i="5"/>
  <c r="AL263" i="5"/>
  <c r="AM263" i="5"/>
  <c r="AN263" i="5"/>
  <c r="AK264" i="5"/>
  <c r="AL264" i="5"/>
  <c r="AM264" i="5"/>
  <c r="AN264" i="5"/>
  <c r="AK265" i="5"/>
  <c r="AL265" i="5"/>
  <c r="AM265" i="5"/>
  <c r="AN265" i="5"/>
  <c r="AK267" i="5"/>
  <c r="AL267" i="5"/>
  <c r="AM267" i="5"/>
  <c r="AN267" i="5"/>
  <c r="AK268" i="5"/>
  <c r="AL268" i="5"/>
  <c r="AM268" i="5"/>
  <c r="AN268" i="5"/>
  <c r="AK269" i="5"/>
  <c r="AL269" i="5"/>
  <c r="AM269" i="5"/>
  <c r="AN269" i="5"/>
  <c r="AK270" i="5"/>
  <c r="AL270" i="5"/>
  <c r="AM270" i="5"/>
  <c r="AN270" i="5"/>
  <c r="AK271" i="5"/>
  <c r="AL271" i="5"/>
  <c r="AM271" i="5"/>
  <c r="AN271" i="5"/>
  <c r="AK273" i="5"/>
  <c r="AL273" i="5"/>
  <c r="AM273" i="5"/>
  <c r="AN273" i="5"/>
  <c r="AK274" i="5"/>
  <c r="AL274" i="5"/>
  <c r="AM274" i="5"/>
  <c r="AN274" i="5"/>
  <c r="AK275" i="5"/>
  <c r="AL275" i="5"/>
  <c r="AM275" i="5"/>
  <c r="AN275" i="5"/>
  <c r="AK276" i="5"/>
  <c r="AL276" i="5"/>
  <c r="AM276" i="5"/>
  <c r="AN276" i="5"/>
  <c r="AK277" i="5"/>
  <c r="AL277" i="5"/>
  <c r="AM277" i="5"/>
  <c r="AN277" i="5"/>
  <c r="AK279" i="5"/>
  <c r="AL279" i="5"/>
  <c r="AM279" i="5"/>
  <c r="AN279" i="5"/>
  <c r="AK280" i="5"/>
  <c r="AL280" i="5"/>
  <c r="AM280" i="5"/>
  <c r="AN280" i="5"/>
  <c r="AK281" i="5"/>
  <c r="AL281" i="5"/>
  <c r="AM281" i="5"/>
  <c r="AN281" i="5"/>
  <c r="AK282" i="5"/>
  <c r="AL282" i="5"/>
  <c r="AM282" i="5"/>
  <c r="AN282" i="5"/>
  <c r="AK286" i="5"/>
  <c r="AK288" i="5"/>
  <c r="AL288" i="5"/>
  <c r="AM288" i="5"/>
  <c r="AN288" i="5"/>
  <c r="AK289" i="5"/>
  <c r="AM289" i="5"/>
  <c r="AN289" i="5"/>
  <c r="AK290" i="5"/>
  <c r="AM290" i="5"/>
  <c r="AN290" i="5"/>
  <c r="AK291" i="5"/>
  <c r="AM291" i="5"/>
  <c r="AN291" i="5"/>
  <c r="AK298" i="5"/>
  <c r="AL298" i="5"/>
  <c r="AM298" i="5"/>
  <c r="AN298" i="5"/>
  <c r="AK300" i="5"/>
  <c r="AL300" i="5"/>
  <c r="AM300" i="5"/>
  <c r="AN300" i="5"/>
  <c r="AK301" i="5"/>
  <c r="AL301" i="5"/>
  <c r="AM301" i="5"/>
  <c r="AN301" i="5"/>
  <c r="AK302" i="5"/>
  <c r="AL302" i="5"/>
  <c r="AM302" i="5"/>
  <c r="AN302" i="5"/>
  <c r="AK303" i="5"/>
  <c r="AL303" i="5"/>
  <c r="AM303" i="5"/>
  <c r="AN303" i="5"/>
  <c r="AK304" i="5"/>
  <c r="AL304" i="5"/>
  <c r="AM304" i="5"/>
  <c r="AN304" i="5"/>
  <c r="AK306" i="5"/>
  <c r="AL306" i="5"/>
  <c r="AM306" i="5"/>
  <c r="AN306" i="5"/>
  <c r="AK307" i="5"/>
  <c r="AL307" i="5"/>
  <c r="AM307" i="5"/>
  <c r="AN307" i="5"/>
  <c r="AK308" i="5"/>
  <c r="AL308" i="5"/>
  <c r="AM308" i="5"/>
  <c r="AN308" i="5"/>
  <c r="AK309" i="5"/>
  <c r="AL309" i="5"/>
  <c r="AM309" i="5"/>
  <c r="AN309" i="5"/>
  <c r="AK310" i="5"/>
  <c r="AL310" i="5"/>
  <c r="AM310" i="5"/>
  <c r="AN310" i="5"/>
  <c r="AK312" i="5"/>
  <c r="AL312" i="5"/>
  <c r="AM312" i="5"/>
  <c r="AN312" i="5"/>
  <c r="AK313" i="5"/>
  <c r="AL313" i="5"/>
  <c r="AM313" i="5"/>
  <c r="AN313" i="5"/>
  <c r="AK314" i="5"/>
  <c r="AL314" i="5"/>
  <c r="AM314" i="5"/>
  <c r="AN314" i="5"/>
  <c r="AK315" i="5"/>
  <c r="AL315" i="5"/>
  <c r="AM315" i="5"/>
  <c r="AN315" i="5"/>
  <c r="AK316" i="5"/>
  <c r="AL316" i="5"/>
  <c r="AM316" i="5"/>
  <c r="AN316" i="5"/>
  <c r="AK318" i="5"/>
  <c r="AL318" i="5"/>
  <c r="AM318" i="5"/>
  <c r="AN318" i="5"/>
  <c r="AK319" i="5"/>
  <c r="AL319" i="5"/>
  <c r="AM319" i="5"/>
  <c r="AN319" i="5"/>
  <c r="AK320" i="5"/>
  <c r="AL320" i="5"/>
  <c r="AM320" i="5"/>
  <c r="AN320" i="5"/>
  <c r="AK321" i="5"/>
  <c r="AL321" i="5"/>
  <c r="AM321" i="5"/>
  <c r="AN321" i="5"/>
  <c r="AK322" i="5"/>
  <c r="AL322" i="5"/>
  <c r="AM322" i="5"/>
  <c r="AN322" i="5"/>
  <c r="AH9" i="5"/>
  <c r="AH10" i="5"/>
  <c r="AH11" i="5"/>
  <c r="AH12" i="5"/>
  <c r="AH13" i="5"/>
  <c r="AH15" i="5"/>
  <c r="AH16" i="5"/>
  <c r="AH17" i="5"/>
  <c r="AH18" i="5"/>
  <c r="AH19" i="5"/>
  <c r="AH21" i="5"/>
  <c r="AH22" i="5"/>
  <c r="AH23" i="5"/>
  <c r="AH24" i="5"/>
  <c r="AH25" i="5"/>
  <c r="AH27" i="5"/>
  <c r="AH28" i="5"/>
  <c r="AH29" i="5"/>
  <c r="AH30" i="5"/>
  <c r="AH31" i="5"/>
  <c r="AH33" i="5"/>
  <c r="AH34" i="5"/>
  <c r="AH35" i="5"/>
  <c r="AH36" i="5"/>
  <c r="AH37" i="5"/>
  <c r="AH39" i="5"/>
  <c r="AH40" i="5"/>
  <c r="AH41" i="5"/>
  <c r="AH42" i="5"/>
  <c r="AH43" i="5"/>
  <c r="AH45" i="5"/>
  <c r="AH46" i="5"/>
  <c r="AH47" i="5"/>
  <c r="AH48" i="5"/>
  <c r="AH49" i="5"/>
  <c r="AH51" i="5"/>
  <c r="AH52" i="5"/>
  <c r="AH53" i="5"/>
  <c r="AH54" i="5"/>
  <c r="AH55" i="5"/>
  <c r="AH57" i="5"/>
  <c r="AH58" i="5"/>
  <c r="AH59" i="5"/>
  <c r="AH60" i="5"/>
  <c r="AH61" i="5"/>
  <c r="AH63" i="5"/>
  <c r="AH64" i="5"/>
  <c r="AH65" i="5"/>
  <c r="AH66" i="5"/>
  <c r="AH67" i="5"/>
  <c r="AH69" i="5"/>
  <c r="AH70" i="5"/>
  <c r="AH71" i="5"/>
  <c r="AH72" i="5"/>
  <c r="AH73" i="5"/>
  <c r="AH75" i="5"/>
  <c r="AH76" i="5"/>
  <c r="AH77" i="5"/>
  <c r="AH78" i="5"/>
  <c r="AH79" i="5"/>
  <c r="AH81" i="5"/>
  <c r="AH82" i="5"/>
  <c r="AH83" i="5"/>
  <c r="AH84" i="5"/>
  <c r="AH85" i="5"/>
  <c r="AH87" i="5"/>
  <c r="AH88" i="5"/>
  <c r="AH89" i="5"/>
  <c r="AH90" i="5"/>
  <c r="AH91" i="5"/>
  <c r="AH93" i="5"/>
  <c r="AH94" i="5"/>
  <c r="AH95" i="5"/>
  <c r="AH96" i="5"/>
  <c r="AH97" i="5"/>
  <c r="AH99" i="5"/>
  <c r="AH100" i="5"/>
  <c r="AH101" i="5"/>
  <c r="AH102" i="5"/>
  <c r="AH103" i="5"/>
  <c r="AH105" i="5"/>
  <c r="AH106" i="5"/>
  <c r="AH107" i="5"/>
  <c r="AH108" i="5"/>
  <c r="AH109" i="5"/>
  <c r="AH111" i="5"/>
  <c r="AH112" i="5"/>
  <c r="AH113" i="5"/>
  <c r="AH114" i="5"/>
  <c r="AH115" i="5"/>
  <c r="AH117" i="5"/>
  <c r="AH118" i="5"/>
  <c r="AH119" i="5"/>
  <c r="AH120" i="5"/>
  <c r="AH121" i="5"/>
  <c r="AH123" i="5"/>
  <c r="AH124" i="5"/>
  <c r="AH125" i="5"/>
  <c r="AH126" i="5"/>
  <c r="AH127" i="5"/>
  <c r="AH129" i="5"/>
  <c r="AH130" i="5"/>
  <c r="AH131" i="5"/>
  <c r="AH132" i="5"/>
  <c r="AH133" i="5"/>
  <c r="AH135" i="5"/>
  <c r="AH136" i="5"/>
  <c r="AH137" i="5"/>
  <c r="AH138" i="5"/>
  <c r="AH139" i="5"/>
  <c r="AH141" i="5"/>
  <c r="AH142" i="5"/>
  <c r="AH143" i="5"/>
  <c r="AH144" i="5"/>
  <c r="AH145" i="5"/>
  <c r="AH147" i="5"/>
  <c r="AH148" i="5"/>
  <c r="AH149" i="5"/>
  <c r="AH150" i="5"/>
  <c r="AH151" i="5"/>
  <c r="AH153" i="5"/>
  <c r="AH154" i="5"/>
  <c r="AH155" i="5"/>
  <c r="AH156" i="5"/>
  <c r="AH157" i="5"/>
  <c r="AH159" i="5"/>
  <c r="AH160" i="5"/>
  <c r="AH161" i="5"/>
  <c r="AH162" i="5"/>
  <c r="AH163" i="5"/>
  <c r="AH165" i="5"/>
  <c r="AH166" i="5"/>
  <c r="AH167" i="5"/>
  <c r="AH168" i="5"/>
  <c r="AH169" i="5"/>
  <c r="AH171" i="5"/>
  <c r="AH172" i="5"/>
  <c r="AH173" i="5"/>
  <c r="AH174" i="5"/>
  <c r="AH175" i="5"/>
  <c r="AH177" i="5"/>
  <c r="AH178" i="5"/>
  <c r="AH179" i="5"/>
  <c r="AH180" i="5"/>
  <c r="AH181" i="5"/>
  <c r="AH183" i="5"/>
  <c r="AH184" i="5"/>
  <c r="AH185" i="5"/>
  <c r="AH186" i="5"/>
  <c r="AH187" i="5"/>
  <c r="AH189" i="5"/>
  <c r="AH190" i="5"/>
  <c r="AH191" i="5"/>
  <c r="AH192" i="5"/>
  <c r="AH193" i="5"/>
  <c r="AH195" i="5"/>
  <c r="AH196" i="5"/>
  <c r="AH197" i="5"/>
  <c r="AH198" i="5"/>
  <c r="AH199" i="5"/>
  <c r="AH201" i="5"/>
  <c r="AH202" i="5"/>
  <c r="AH203" i="5"/>
  <c r="AH204" i="5"/>
  <c r="AH205" i="5"/>
  <c r="AH207" i="5"/>
  <c r="AH208" i="5"/>
  <c r="AH209" i="5"/>
  <c r="AH210" i="5"/>
  <c r="AH211" i="5"/>
  <c r="AH213" i="5"/>
  <c r="AH214" i="5"/>
  <c r="AH215" i="5"/>
  <c r="AH216" i="5"/>
  <c r="AH217" i="5"/>
  <c r="AH219" i="5"/>
  <c r="AH220" i="5"/>
  <c r="AH221" i="5"/>
  <c r="AH222" i="5"/>
  <c r="AH223" i="5"/>
  <c r="AH225" i="5"/>
  <c r="AH226" i="5"/>
  <c r="AH227" i="5"/>
  <c r="AH228" i="5"/>
  <c r="AH229" i="5"/>
  <c r="AH231" i="5"/>
  <c r="AH232" i="5"/>
  <c r="AH233" i="5"/>
  <c r="AH234" i="5"/>
  <c r="AH235" i="5"/>
  <c r="AH237" i="5"/>
  <c r="AH238" i="5"/>
  <c r="AH239" i="5"/>
  <c r="AH240" i="5"/>
  <c r="AH241" i="5"/>
  <c r="AH243" i="5"/>
  <c r="AH244" i="5"/>
  <c r="AH245" i="5"/>
  <c r="AH246" i="5"/>
  <c r="AH247" i="5"/>
  <c r="AH249" i="5"/>
  <c r="AH250" i="5"/>
  <c r="AH251" i="5"/>
  <c r="AH252" i="5"/>
  <c r="AH253" i="5"/>
  <c r="AH255" i="5"/>
  <c r="AH256" i="5"/>
  <c r="AH257" i="5"/>
  <c r="AH258" i="5"/>
  <c r="AH259" i="5"/>
  <c r="AH261" i="5"/>
  <c r="AH262" i="5"/>
  <c r="AH263" i="5"/>
  <c r="AH264" i="5"/>
  <c r="AH265" i="5"/>
  <c r="AH267" i="5"/>
  <c r="AH268" i="5"/>
  <c r="AH269" i="5"/>
  <c r="AH270" i="5"/>
  <c r="AH271" i="5"/>
  <c r="AH273" i="5"/>
  <c r="AH274" i="5"/>
  <c r="AH275" i="5"/>
  <c r="AH276" i="5"/>
  <c r="AH277" i="5"/>
  <c r="AH279" i="5"/>
  <c r="AH280" i="5"/>
  <c r="AH281" i="5"/>
  <c r="AH282" i="5"/>
  <c r="AH286" i="5"/>
  <c r="AH288" i="5"/>
  <c r="AH289" i="5"/>
  <c r="AH290" i="5"/>
  <c r="AH291" i="5"/>
  <c r="AH298" i="5"/>
  <c r="AH300" i="5"/>
  <c r="AH301" i="5"/>
  <c r="AH302" i="5"/>
  <c r="AH303" i="5"/>
  <c r="AH304" i="5"/>
  <c r="AH306" i="5"/>
  <c r="AH307" i="5"/>
  <c r="AH308" i="5"/>
  <c r="AH309" i="5"/>
  <c r="AH310" i="5"/>
  <c r="AH312" i="5"/>
  <c r="AH313" i="5"/>
  <c r="AH314" i="5"/>
  <c r="AH315" i="5"/>
  <c r="AH316" i="5"/>
  <c r="AH318" i="5"/>
  <c r="AH319" i="5"/>
  <c r="AH320" i="5"/>
  <c r="AH321" i="5"/>
  <c r="AH322" i="5"/>
  <c r="AE9" i="5"/>
  <c r="AE10" i="5"/>
  <c r="AE11" i="5"/>
  <c r="AE12" i="5"/>
  <c r="AE13" i="5"/>
  <c r="AE15" i="5"/>
  <c r="AE16" i="5"/>
  <c r="AE17" i="5"/>
  <c r="AE18" i="5"/>
  <c r="AE19" i="5"/>
  <c r="AE21" i="5"/>
  <c r="AE22" i="5"/>
  <c r="AE23" i="5"/>
  <c r="AE24" i="5"/>
  <c r="AE25" i="5"/>
  <c r="AE27" i="5"/>
  <c r="AE28" i="5"/>
  <c r="AE29" i="5"/>
  <c r="AE30" i="5"/>
  <c r="AE31" i="5"/>
  <c r="AE33" i="5"/>
  <c r="AE34" i="5"/>
  <c r="AE35" i="5"/>
  <c r="AE36" i="5"/>
  <c r="AE37" i="5"/>
  <c r="AE39" i="5"/>
  <c r="AE40" i="5"/>
  <c r="AE41" i="5"/>
  <c r="AE42" i="5"/>
  <c r="AE43" i="5"/>
  <c r="AE45" i="5"/>
  <c r="AE46" i="5"/>
  <c r="AE47" i="5"/>
  <c r="AE48" i="5"/>
  <c r="AE49" i="5"/>
  <c r="AE51" i="5"/>
  <c r="AE52" i="5"/>
  <c r="AE53" i="5"/>
  <c r="AE54" i="5"/>
  <c r="AE55" i="5"/>
  <c r="AE57" i="5"/>
  <c r="AE58" i="5"/>
  <c r="AE59" i="5"/>
  <c r="AE60" i="5"/>
  <c r="AE61" i="5"/>
  <c r="AE63" i="5"/>
  <c r="AE64" i="5"/>
  <c r="AE65" i="5"/>
  <c r="AE66" i="5"/>
  <c r="AE67" i="5"/>
  <c r="AE69" i="5"/>
  <c r="AE70" i="5"/>
  <c r="AE71" i="5"/>
  <c r="AE72" i="5"/>
  <c r="AE73" i="5"/>
  <c r="AE75" i="5"/>
  <c r="AE76" i="5"/>
  <c r="AE77" i="5"/>
  <c r="AE78" i="5"/>
  <c r="AE79" i="5"/>
  <c r="AE81" i="5"/>
  <c r="AE82" i="5"/>
  <c r="AE83" i="5"/>
  <c r="AE84" i="5"/>
  <c r="AE85" i="5"/>
  <c r="AE87" i="5"/>
  <c r="AE88" i="5"/>
  <c r="AE89" i="5"/>
  <c r="AE90" i="5"/>
  <c r="AE91" i="5"/>
  <c r="AE93" i="5"/>
  <c r="AE94" i="5"/>
  <c r="AE95" i="5"/>
  <c r="AE96" i="5"/>
  <c r="AE97" i="5"/>
  <c r="AE99" i="5"/>
  <c r="AE100" i="5"/>
  <c r="AE101" i="5"/>
  <c r="AE102" i="5"/>
  <c r="AE103" i="5"/>
  <c r="AE105" i="5"/>
  <c r="AE106" i="5"/>
  <c r="AE107" i="5"/>
  <c r="AE108" i="5"/>
  <c r="AE109" i="5"/>
  <c r="AE111" i="5"/>
  <c r="AE112" i="5"/>
  <c r="AE113" i="5"/>
  <c r="AE114" i="5"/>
  <c r="AE115" i="5"/>
  <c r="AE117" i="5"/>
  <c r="AE118" i="5"/>
  <c r="AE119" i="5"/>
  <c r="AE120" i="5"/>
  <c r="AE121" i="5"/>
  <c r="AE123" i="5"/>
  <c r="AE124" i="5"/>
  <c r="AE125" i="5"/>
  <c r="AE126" i="5"/>
  <c r="AE127" i="5"/>
  <c r="AE129" i="5"/>
  <c r="AE130" i="5"/>
  <c r="AE131" i="5"/>
  <c r="AE132" i="5"/>
  <c r="AE133" i="5"/>
  <c r="AE135" i="5"/>
  <c r="AE136" i="5"/>
  <c r="AE137" i="5"/>
  <c r="AE138" i="5"/>
  <c r="AE139" i="5"/>
  <c r="AE141" i="5"/>
  <c r="AE142" i="5"/>
  <c r="AE143" i="5"/>
  <c r="AE144" i="5"/>
  <c r="AE145" i="5"/>
  <c r="AE147" i="5"/>
  <c r="AE148" i="5"/>
  <c r="AE149" i="5"/>
  <c r="AE150" i="5"/>
  <c r="AE151" i="5"/>
  <c r="AE153" i="5"/>
  <c r="AE154" i="5"/>
  <c r="AE155" i="5"/>
  <c r="AE156" i="5"/>
  <c r="AE157" i="5"/>
  <c r="AE159" i="5"/>
  <c r="AE160" i="5"/>
  <c r="AE161" i="5"/>
  <c r="AE162" i="5"/>
  <c r="AE163" i="5"/>
  <c r="AE165" i="5"/>
  <c r="AE166" i="5"/>
  <c r="AE167" i="5"/>
  <c r="AE168" i="5"/>
  <c r="AE169" i="5"/>
  <c r="AE171" i="5"/>
  <c r="AE172" i="5"/>
  <c r="AE173" i="5"/>
  <c r="AE174" i="5"/>
  <c r="AE175" i="5"/>
  <c r="AE177" i="5"/>
  <c r="AE178" i="5"/>
  <c r="AE179" i="5"/>
  <c r="AE180" i="5"/>
  <c r="AE181" i="5"/>
  <c r="AE183" i="5"/>
  <c r="AE184" i="5"/>
  <c r="AE185" i="5"/>
  <c r="AE186" i="5"/>
  <c r="AE187" i="5"/>
  <c r="AE189" i="5"/>
  <c r="AE190" i="5"/>
  <c r="AE191" i="5"/>
  <c r="AE192" i="5"/>
  <c r="AE193" i="5"/>
  <c r="AE195" i="5"/>
  <c r="AE196" i="5"/>
  <c r="AE197" i="5"/>
  <c r="AE198" i="5"/>
  <c r="AE199" i="5"/>
  <c r="AE201" i="5"/>
  <c r="AE202" i="5"/>
  <c r="AE203" i="5"/>
  <c r="AE204" i="5"/>
  <c r="AE205" i="5"/>
  <c r="AE207" i="5"/>
  <c r="AE208" i="5"/>
  <c r="AE209" i="5"/>
  <c r="AE210" i="5"/>
  <c r="AE211" i="5"/>
  <c r="AE213" i="5"/>
  <c r="AE214" i="5"/>
  <c r="AE215" i="5"/>
  <c r="AE216" i="5"/>
  <c r="AE217" i="5"/>
  <c r="AE219" i="5"/>
  <c r="AE220" i="5"/>
  <c r="AE221" i="5"/>
  <c r="AE222" i="5"/>
  <c r="AE223" i="5"/>
  <c r="AE225" i="5"/>
  <c r="AE226" i="5"/>
  <c r="AE227" i="5"/>
  <c r="AE228" i="5"/>
  <c r="AE229" i="5"/>
  <c r="AE231" i="5"/>
  <c r="AE232" i="5"/>
  <c r="AE233" i="5"/>
  <c r="AE234" i="5"/>
  <c r="AE235" i="5"/>
  <c r="AE237" i="5"/>
  <c r="AE238" i="5"/>
  <c r="AE239" i="5"/>
  <c r="AE240" i="5"/>
  <c r="AE241" i="5"/>
  <c r="AE243" i="5"/>
  <c r="AE244" i="5"/>
  <c r="AE245" i="5"/>
  <c r="AE246" i="5"/>
  <c r="AE247" i="5"/>
  <c r="AE249" i="5"/>
  <c r="AE250" i="5"/>
  <c r="AE251" i="5"/>
  <c r="AE252" i="5"/>
  <c r="AE253" i="5"/>
  <c r="AE255" i="5"/>
  <c r="AE256" i="5"/>
  <c r="AE257" i="5"/>
  <c r="AE258" i="5"/>
  <c r="AE259" i="5"/>
  <c r="AE261" i="5"/>
  <c r="AE262" i="5"/>
  <c r="AE263" i="5"/>
  <c r="AE264" i="5"/>
  <c r="AE265" i="5"/>
  <c r="AE267" i="5"/>
  <c r="AE268" i="5"/>
  <c r="AE269" i="5"/>
  <c r="AE270" i="5"/>
  <c r="AE271" i="5"/>
  <c r="AE273" i="5"/>
  <c r="AE274" i="5"/>
  <c r="AE275" i="5"/>
  <c r="AE276" i="5"/>
  <c r="AE277" i="5"/>
  <c r="AE279" i="5"/>
  <c r="AE280" i="5"/>
  <c r="AE281" i="5"/>
  <c r="AE282" i="5"/>
  <c r="AE286" i="5"/>
  <c r="AE288" i="5"/>
  <c r="AE289" i="5"/>
  <c r="AE290" i="5"/>
  <c r="AE291" i="5"/>
  <c r="AE298" i="5"/>
  <c r="AE300" i="5"/>
  <c r="AE301" i="5"/>
  <c r="AE302" i="5"/>
  <c r="AE303" i="5"/>
  <c r="AE304" i="5"/>
  <c r="AE306" i="5"/>
  <c r="AE307" i="5"/>
  <c r="AE308" i="5"/>
  <c r="AE309" i="5"/>
  <c r="AE310" i="5"/>
  <c r="AE312" i="5"/>
  <c r="AE313" i="5"/>
  <c r="AE314" i="5"/>
  <c r="AE315" i="5"/>
  <c r="AE316" i="5"/>
  <c r="AE318" i="5"/>
  <c r="AE319" i="5"/>
  <c r="AE320" i="5"/>
  <c r="AE321" i="5"/>
  <c r="AE322" i="5"/>
  <c r="Y9" i="5"/>
  <c r="Z9" i="5"/>
  <c r="AA9" i="5"/>
  <c r="AB9" i="5"/>
  <c r="Y10" i="5"/>
  <c r="Z10" i="5"/>
  <c r="AA10" i="5"/>
  <c r="AB10" i="5"/>
  <c r="Y11" i="5"/>
  <c r="Z11" i="5"/>
  <c r="AA11" i="5"/>
  <c r="AB11" i="5"/>
  <c r="Y12" i="5"/>
  <c r="Z12" i="5"/>
  <c r="AA12" i="5"/>
  <c r="AB12" i="5"/>
  <c r="Y13" i="5"/>
  <c r="Z13" i="5"/>
  <c r="AA13" i="5"/>
  <c r="AB13" i="5"/>
  <c r="Y15" i="5"/>
  <c r="Z15" i="5"/>
  <c r="AA15" i="5"/>
  <c r="AB15" i="5"/>
  <c r="Y16" i="5"/>
  <c r="Z16" i="5"/>
  <c r="AA16" i="5"/>
  <c r="AB16" i="5"/>
  <c r="Y17" i="5"/>
  <c r="Z17" i="5"/>
  <c r="AA17" i="5"/>
  <c r="AB17" i="5"/>
  <c r="Y18" i="5"/>
  <c r="Z18" i="5"/>
  <c r="AA18" i="5"/>
  <c r="AB18" i="5"/>
  <c r="Y19" i="5"/>
  <c r="Z19" i="5"/>
  <c r="AA19" i="5"/>
  <c r="AB19" i="5"/>
  <c r="Y21" i="5"/>
  <c r="Z21" i="5"/>
  <c r="AA21" i="5"/>
  <c r="AB21" i="5"/>
  <c r="Y22" i="5"/>
  <c r="Z22" i="5"/>
  <c r="AA22" i="5"/>
  <c r="AB22" i="5"/>
  <c r="Y23" i="5"/>
  <c r="Z23" i="5"/>
  <c r="AA23" i="5"/>
  <c r="AB23" i="5"/>
  <c r="Y24" i="5"/>
  <c r="Z24" i="5"/>
  <c r="AA24" i="5"/>
  <c r="AB24" i="5"/>
  <c r="Y25" i="5"/>
  <c r="Z25" i="5"/>
  <c r="AA25" i="5"/>
  <c r="AB25" i="5"/>
  <c r="Y27" i="5"/>
  <c r="Z27" i="5"/>
  <c r="AA27" i="5"/>
  <c r="AB27" i="5"/>
  <c r="Y28" i="5"/>
  <c r="Z28" i="5"/>
  <c r="AA28" i="5"/>
  <c r="AB28" i="5"/>
  <c r="Y29" i="5"/>
  <c r="Z29" i="5"/>
  <c r="AA29" i="5"/>
  <c r="AB29" i="5"/>
  <c r="Y30" i="5"/>
  <c r="Z30" i="5"/>
  <c r="AA30" i="5"/>
  <c r="AB30" i="5"/>
  <c r="Y31" i="5"/>
  <c r="Z31" i="5"/>
  <c r="AA31" i="5"/>
  <c r="AB31" i="5"/>
  <c r="Y33" i="5"/>
  <c r="Z33" i="5"/>
  <c r="AA33" i="5"/>
  <c r="AB33" i="5"/>
  <c r="Y34" i="5"/>
  <c r="Z34" i="5"/>
  <c r="AA34" i="5"/>
  <c r="AB34" i="5"/>
  <c r="Y35" i="5"/>
  <c r="Z35" i="5"/>
  <c r="AA35" i="5"/>
  <c r="AB35" i="5"/>
  <c r="Y36" i="5"/>
  <c r="Z36" i="5"/>
  <c r="AA36" i="5"/>
  <c r="AB36" i="5"/>
  <c r="Y37" i="5"/>
  <c r="Z37" i="5"/>
  <c r="AA37" i="5"/>
  <c r="AB37" i="5"/>
  <c r="Y39" i="5"/>
  <c r="Z39" i="5"/>
  <c r="AA39" i="5"/>
  <c r="AB39" i="5"/>
  <c r="Y40" i="5"/>
  <c r="Z40" i="5"/>
  <c r="AA40" i="5"/>
  <c r="AB40" i="5"/>
  <c r="Y41" i="5"/>
  <c r="Z41" i="5"/>
  <c r="AA41" i="5"/>
  <c r="AB41" i="5"/>
  <c r="Y42" i="5"/>
  <c r="Z42" i="5"/>
  <c r="AA42" i="5"/>
  <c r="AB42" i="5"/>
  <c r="Y43" i="5"/>
  <c r="Z43" i="5"/>
  <c r="AA43" i="5"/>
  <c r="AB43" i="5"/>
  <c r="Y45" i="5"/>
  <c r="Z45" i="5"/>
  <c r="AA45" i="5"/>
  <c r="AB45" i="5"/>
  <c r="Y46" i="5"/>
  <c r="Z46" i="5"/>
  <c r="AA46" i="5"/>
  <c r="AB46" i="5"/>
  <c r="Y47" i="5"/>
  <c r="Z47" i="5"/>
  <c r="AA47" i="5"/>
  <c r="AB47" i="5"/>
  <c r="Y48" i="5"/>
  <c r="Z48" i="5"/>
  <c r="AA48" i="5"/>
  <c r="AB48" i="5"/>
  <c r="Y49" i="5"/>
  <c r="Z49" i="5"/>
  <c r="AA49" i="5"/>
  <c r="AB49" i="5"/>
  <c r="Y51" i="5"/>
  <c r="Z51" i="5"/>
  <c r="AA51" i="5"/>
  <c r="AB51" i="5"/>
  <c r="Y52" i="5"/>
  <c r="Z52" i="5"/>
  <c r="AA52" i="5"/>
  <c r="AB52" i="5"/>
  <c r="Y53" i="5"/>
  <c r="Z53" i="5"/>
  <c r="AA53" i="5"/>
  <c r="AB53" i="5"/>
  <c r="Y54" i="5"/>
  <c r="Z54" i="5"/>
  <c r="AA54" i="5"/>
  <c r="AB54" i="5"/>
  <c r="Y55" i="5"/>
  <c r="Z55" i="5"/>
  <c r="AA55" i="5"/>
  <c r="AB55" i="5"/>
  <c r="Y57" i="5"/>
  <c r="Z57" i="5"/>
  <c r="AA57" i="5"/>
  <c r="AB57" i="5"/>
  <c r="Y58" i="5"/>
  <c r="Z58" i="5"/>
  <c r="AA58" i="5"/>
  <c r="AB58" i="5"/>
  <c r="Y59" i="5"/>
  <c r="Z59" i="5"/>
  <c r="AA59" i="5"/>
  <c r="AB59" i="5"/>
  <c r="Y60" i="5"/>
  <c r="Z60" i="5"/>
  <c r="AA60" i="5"/>
  <c r="AB60" i="5"/>
  <c r="Y61" i="5"/>
  <c r="Z61" i="5"/>
  <c r="AA61" i="5"/>
  <c r="AB61" i="5"/>
  <c r="Y63" i="5"/>
  <c r="Z63" i="5"/>
  <c r="AA63" i="5"/>
  <c r="AB63" i="5"/>
  <c r="Y64" i="5"/>
  <c r="Z64" i="5"/>
  <c r="AA64" i="5"/>
  <c r="AB64" i="5"/>
  <c r="Y65" i="5"/>
  <c r="Z65" i="5"/>
  <c r="AA65" i="5"/>
  <c r="AB65" i="5"/>
  <c r="Y66" i="5"/>
  <c r="Z66" i="5"/>
  <c r="AA66" i="5"/>
  <c r="AB66" i="5"/>
  <c r="Y67" i="5"/>
  <c r="Z67" i="5"/>
  <c r="AA67" i="5"/>
  <c r="AB67" i="5"/>
  <c r="Y69" i="5"/>
  <c r="Z69" i="5"/>
  <c r="AA69" i="5"/>
  <c r="AB69" i="5"/>
  <c r="Y70" i="5"/>
  <c r="Z70" i="5"/>
  <c r="AA70" i="5"/>
  <c r="AB70" i="5"/>
  <c r="Y71" i="5"/>
  <c r="Z71" i="5"/>
  <c r="AA71" i="5"/>
  <c r="AB71" i="5"/>
  <c r="Y72" i="5"/>
  <c r="Z72" i="5"/>
  <c r="AA72" i="5"/>
  <c r="AB72" i="5"/>
  <c r="Y73" i="5"/>
  <c r="Z73" i="5"/>
  <c r="AA73" i="5"/>
  <c r="AB73" i="5"/>
  <c r="Y75" i="5"/>
  <c r="Z75" i="5"/>
  <c r="AA75" i="5"/>
  <c r="AB75" i="5"/>
  <c r="Y76" i="5"/>
  <c r="Z76" i="5"/>
  <c r="AA76" i="5"/>
  <c r="AB76" i="5"/>
  <c r="Y77" i="5"/>
  <c r="Z77" i="5"/>
  <c r="AA77" i="5"/>
  <c r="AB77" i="5"/>
  <c r="Y78" i="5"/>
  <c r="Z78" i="5"/>
  <c r="AA78" i="5"/>
  <c r="AB78" i="5"/>
  <c r="Y79" i="5"/>
  <c r="Z79" i="5"/>
  <c r="AA79" i="5"/>
  <c r="AB79" i="5"/>
  <c r="Y81" i="5"/>
  <c r="Z81" i="5"/>
  <c r="AA81" i="5"/>
  <c r="AB81" i="5"/>
  <c r="Y82" i="5"/>
  <c r="Z82" i="5"/>
  <c r="AA82" i="5"/>
  <c r="AB82" i="5"/>
  <c r="Y83" i="5"/>
  <c r="Z83" i="5"/>
  <c r="AA83" i="5"/>
  <c r="AB83" i="5"/>
  <c r="Y84" i="5"/>
  <c r="Z84" i="5"/>
  <c r="AA84" i="5"/>
  <c r="AB84" i="5"/>
  <c r="Y85" i="5"/>
  <c r="Z85" i="5"/>
  <c r="AA85" i="5"/>
  <c r="AB85" i="5"/>
  <c r="Y87" i="5"/>
  <c r="Z87" i="5"/>
  <c r="AA87" i="5"/>
  <c r="AB87" i="5"/>
  <c r="Y88" i="5"/>
  <c r="Z88" i="5"/>
  <c r="AA88" i="5"/>
  <c r="AB88" i="5"/>
  <c r="Y89" i="5"/>
  <c r="Z89" i="5"/>
  <c r="AA89" i="5"/>
  <c r="AB89" i="5"/>
  <c r="Y90" i="5"/>
  <c r="Z90" i="5"/>
  <c r="AA90" i="5"/>
  <c r="AB90" i="5"/>
  <c r="Y91" i="5"/>
  <c r="Z91" i="5"/>
  <c r="AA91" i="5"/>
  <c r="AB91" i="5"/>
  <c r="Y93" i="5"/>
  <c r="Z93" i="5"/>
  <c r="AA93" i="5"/>
  <c r="AB93" i="5"/>
  <c r="Y94" i="5"/>
  <c r="Z94" i="5"/>
  <c r="AA94" i="5"/>
  <c r="AB94" i="5"/>
  <c r="Y95" i="5"/>
  <c r="Z95" i="5"/>
  <c r="AA95" i="5"/>
  <c r="AB95" i="5"/>
  <c r="Y96" i="5"/>
  <c r="Z96" i="5"/>
  <c r="AA96" i="5"/>
  <c r="AB96" i="5"/>
  <c r="Y97" i="5"/>
  <c r="Z97" i="5"/>
  <c r="AA97" i="5"/>
  <c r="AB97" i="5"/>
  <c r="Y99" i="5"/>
  <c r="Z99" i="5"/>
  <c r="AA99" i="5"/>
  <c r="AB99" i="5"/>
  <c r="Y100" i="5"/>
  <c r="Z100" i="5"/>
  <c r="AA100" i="5"/>
  <c r="AB100" i="5"/>
  <c r="Y101" i="5"/>
  <c r="Z101" i="5"/>
  <c r="AA101" i="5"/>
  <c r="AB101" i="5"/>
  <c r="Y102" i="5"/>
  <c r="Z102" i="5"/>
  <c r="AA102" i="5"/>
  <c r="AB102" i="5"/>
  <c r="Y103" i="5"/>
  <c r="Z103" i="5"/>
  <c r="AA103" i="5"/>
  <c r="AB103" i="5"/>
  <c r="Y105" i="5"/>
  <c r="Z105" i="5"/>
  <c r="AA105" i="5"/>
  <c r="AB105" i="5"/>
  <c r="Y106" i="5"/>
  <c r="Z106" i="5"/>
  <c r="AA106" i="5"/>
  <c r="AB106" i="5"/>
  <c r="Y107" i="5"/>
  <c r="Z107" i="5"/>
  <c r="AA107" i="5"/>
  <c r="AB107" i="5"/>
  <c r="Y108" i="5"/>
  <c r="Z108" i="5"/>
  <c r="AA108" i="5"/>
  <c r="AB108" i="5"/>
  <c r="Y109" i="5"/>
  <c r="Z109" i="5"/>
  <c r="AA109" i="5"/>
  <c r="AB109" i="5"/>
  <c r="Y111" i="5"/>
  <c r="Z111" i="5"/>
  <c r="AA111" i="5"/>
  <c r="AB111" i="5"/>
  <c r="Y112" i="5"/>
  <c r="Z112" i="5"/>
  <c r="AA112" i="5"/>
  <c r="AB112" i="5"/>
  <c r="Y113" i="5"/>
  <c r="Z113" i="5"/>
  <c r="AA113" i="5"/>
  <c r="AB113" i="5"/>
  <c r="Y114" i="5"/>
  <c r="Z114" i="5"/>
  <c r="AA114" i="5"/>
  <c r="AB114" i="5"/>
  <c r="Y115" i="5"/>
  <c r="Z115" i="5"/>
  <c r="AA115" i="5"/>
  <c r="AB115" i="5"/>
  <c r="Y117" i="5"/>
  <c r="Z117" i="5"/>
  <c r="AA117" i="5"/>
  <c r="AB117" i="5"/>
  <c r="Y118" i="5"/>
  <c r="Z118" i="5"/>
  <c r="AA118" i="5"/>
  <c r="AB118" i="5"/>
  <c r="Y119" i="5"/>
  <c r="Z119" i="5"/>
  <c r="AA119" i="5"/>
  <c r="AB119" i="5"/>
  <c r="Y120" i="5"/>
  <c r="Z120" i="5"/>
  <c r="AA120" i="5"/>
  <c r="AB120" i="5"/>
  <c r="Y121" i="5"/>
  <c r="Z121" i="5"/>
  <c r="AA121" i="5"/>
  <c r="AB121" i="5"/>
  <c r="Y123" i="5"/>
  <c r="Z123" i="5"/>
  <c r="AA123" i="5"/>
  <c r="AB123" i="5"/>
  <c r="Y124" i="5"/>
  <c r="Z124" i="5"/>
  <c r="AA124" i="5"/>
  <c r="AB124" i="5"/>
  <c r="Y125" i="5"/>
  <c r="Z125" i="5"/>
  <c r="AA125" i="5"/>
  <c r="AB125" i="5"/>
  <c r="Y126" i="5"/>
  <c r="Z126" i="5"/>
  <c r="AA126" i="5"/>
  <c r="AB126" i="5"/>
  <c r="Y127" i="5"/>
  <c r="Z127" i="5"/>
  <c r="AA127" i="5"/>
  <c r="AB127" i="5"/>
  <c r="Y129" i="5"/>
  <c r="Z129" i="5"/>
  <c r="AA129" i="5"/>
  <c r="AB129" i="5"/>
  <c r="Y130" i="5"/>
  <c r="Z130" i="5"/>
  <c r="AA130" i="5"/>
  <c r="AB130" i="5"/>
  <c r="Y131" i="5"/>
  <c r="Z131" i="5"/>
  <c r="AA131" i="5"/>
  <c r="AB131" i="5"/>
  <c r="Y132" i="5"/>
  <c r="Z132" i="5"/>
  <c r="AA132" i="5"/>
  <c r="AB132" i="5"/>
  <c r="Y133" i="5"/>
  <c r="Z133" i="5"/>
  <c r="AA133" i="5"/>
  <c r="AB133" i="5"/>
  <c r="Y135" i="5"/>
  <c r="Z135" i="5"/>
  <c r="AA135" i="5"/>
  <c r="AB135" i="5"/>
  <c r="Y136" i="5"/>
  <c r="Z136" i="5"/>
  <c r="AA136" i="5"/>
  <c r="AB136" i="5"/>
  <c r="Y137" i="5"/>
  <c r="Z137" i="5"/>
  <c r="AA137" i="5"/>
  <c r="AB137" i="5"/>
  <c r="Y138" i="5"/>
  <c r="Z138" i="5"/>
  <c r="AA138" i="5"/>
  <c r="AB138" i="5"/>
  <c r="Y139" i="5"/>
  <c r="Z139" i="5"/>
  <c r="AA139" i="5"/>
  <c r="AB139" i="5"/>
  <c r="Y141" i="5"/>
  <c r="Z141" i="5"/>
  <c r="AA141" i="5"/>
  <c r="AB141" i="5"/>
  <c r="Y142" i="5"/>
  <c r="Z142" i="5"/>
  <c r="AA142" i="5"/>
  <c r="AB142" i="5"/>
  <c r="Y143" i="5"/>
  <c r="Z143" i="5"/>
  <c r="AA143" i="5"/>
  <c r="AB143" i="5"/>
  <c r="Y144" i="5"/>
  <c r="Z144" i="5"/>
  <c r="AA144" i="5"/>
  <c r="AB144" i="5"/>
  <c r="Y145" i="5"/>
  <c r="Z145" i="5"/>
  <c r="AA145" i="5"/>
  <c r="AB145" i="5"/>
  <c r="Y147" i="5"/>
  <c r="Z147" i="5"/>
  <c r="AA147" i="5"/>
  <c r="AB147" i="5"/>
  <c r="Y148" i="5"/>
  <c r="Z148" i="5"/>
  <c r="AA148" i="5"/>
  <c r="AB148" i="5"/>
  <c r="Y149" i="5"/>
  <c r="Z149" i="5"/>
  <c r="AA149" i="5"/>
  <c r="AB149" i="5"/>
  <c r="Y150" i="5"/>
  <c r="Z150" i="5"/>
  <c r="AA150" i="5"/>
  <c r="AB150" i="5"/>
  <c r="Y151" i="5"/>
  <c r="Z151" i="5"/>
  <c r="AA151" i="5"/>
  <c r="AB151" i="5"/>
  <c r="Y153" i="5"/>
  <c r="Z153" i="5"/>
  <c r="AA153" i="5"/>
  <c r="AB153" i="5"/>
  <c r="Y154" i="5"/>
  <c r="Z154" i="5"/>
  <c r="AA154" i="5"/>
  <c r="AB154" i="5"/>
  <c r="Y155" i="5"/>
  <c r="Z155" i="5"/>
  <c r="AA155" i="5"/>
  <c r="AB155" i="5"/>
  <c r="Y156" i="5"/>
  <c r="Z156" i="5"/>
  <c r="AA156" i="5"/>
  <c r="AB156" i="5"/>
  <c r="Y157" i="5"/>
  <c r="Z157" i="5"/>
  <c r="AA157" i="5"/>
  <c r="AB157" i="5"/>
  <c r="Y159" i="5"/>
  <c r="Z159" i="5"/>
  <c r="AA159" i="5"/>
  <c r="AB159" i="5"/>
  <c r="Y160" i="5"/>
  <c r="Z160" i="5"/>
  <c r="AA160" i="5"/>
  <c r="AB160" i="5"/>
  <c r="Y161" i="5"/>
  <c r="Z161" i="5"/>
  <c r="AA161" i="5"/>
  <c r="AB161" i="5"/>
  <c r="Y162" i="5"/>
  <c r="Z162" i="5"/>
  <c r="AA162" i="5"/>
  <c r="AB162" i="5"/>
  <c r="Y163" i="5"/>
  <c r="Z163" i="5"/>
  <c r="AA163" i="5"/>
  <c r="AB163" i="5"/>
  <c r="Y165" i="5"/>
  <c r="Z165" i="5"/>
  <c r="AA165" i="5"/>
  <c r="AB165" i="5"/>
  <c r="Y166" i="5"/>
  <c r="Z166" i="5"/>
  <c r="AA166" i="5"/>
  <c r="AB166" i="5"/>
  <c r="Y167" i="5"/>
  <c r="Z167" i="5"/>
  <c r="AA167" i="5"/>
  <c r="AB167" i="5"/>
  <c r="Y168" i="5"/>
  <c r="Z168" i="5"/>
  <c r="AA168" i="5"/>
  <c r="AB168" i="5"/>
  <c r="Y169" i="5"/>
  <c r="Z169" i="5"/>
  <c r="AA169" i="5"/>
  <c r="AB169" i="5"/>
  <c r="Y171" i="5"/>
  <c r="Z171" i="5"/>
  <c r="AA171" i="5"/>
  <c r="AB171" i="5"/>
  <c r="Y172" i="5"/>
  <c r="Z172" i="5"/>
  <c r="AA172" i="5"/>
  <c r="AB172" i="5"/>
  <c r="Y173" i="5"/>
  <c r="Z173" i="5"/>
  <c r="AA173" i="5"/>
  <c r="AB173" i="5"/>
  <c r="Y174" i="5"/>
  <c r="Z174" i="5"/>
  <c r="AA174" i="5"/>
  <c r="AB174" i="5"/>
  <c r="Y175" i="5"/>
  <c r="Z175" i="5"/>
  <c r="AA175" i="5"/>
  <c r="AB175" i="5"/>
  <c r="Y177" i="5"/>
  <c r="Z177" i="5"/>
  <c r="AA177" i="5"/>
  <c r="AB177" i="5"/>
  <c r="Y178" i="5"/>
  <c r="Z178" i="5"/>
  <c r="AA178" i="5"/>
  <c r="AB178" i="5"/>
  <c r="Y179" i="5"/>
  <c r="Z179" i="5"/>
  <c r="AA179" i="5"/>
  <c r="AB179" i="5"/>
  <c r="Y180" i="5"/>
  <c r="Z180" i="5"/>
  <c r="AA180" i="5"/>
  <c r="AB180" i="5"/>
  <c r="Y181" i="5"/>
  <c r="Z181" i="5"/>
  <c r="AA181" i="5"/>
  <c r="AB181" i="5"/>
  <c r="Y183" i="5"/>
  <c r="Z183" i="5"/>
  <c r="AA183" i="5"/>
  <c r="AB183" i="5"/>
  <c r="Y184" i="5"/>
  <c r="Z184" i="5"/>
  <c r="AA184" i="5"/>
  <c r="AB184" i="5"/>
  <c r="Y185" i="5"/>
  <c r="Z185" i="5"/>
  <c r="AA185" i="5"/>
  <c r="AB185" i="5"/>
  <c r="Y186" i="5"/>
  <c r="Z186" i="5"/>
  <c r="AA186" i="5"/>
  <c r="AB186" i="5"/>
  <c r="Y187" i="5"/>
  <c r="Z187" i="5"/>
  <c r="AA187" i="5"/>
  <c r="AB187" i="5"/>
  <c r="Y189" i="5"/>
  <c r="Z189" i="5"/>
  <c r="AA189" i="5"/>
  <c r="AB189" i="5"/>
  <c r="Y190" i="5"/>
  <c r="Z190" i="5"/>
  <c r="AA190" i="5"/>
  <c r="AB190" i="5"/>
  <c r="Y191" i="5"/>
  <c r="Z191" i="5"/>
  <c r="AA191" i="5"/>
  <c r="AB191" i="5"/>
  <c r="Y192" i="5"/>
  <c r="Z192" i="5"/>
  <c r="AA192" i="5"/>
  <c r="AB192" i="5"/>
  <c r="Y193" i="5"/>
  <c r="Z193" i="5"/>
  <c r="AA193" i="5"/>
  <c r="AB193" i="5"/>
  <c r="Y195" i="5"/>
  <c r="Z195" i="5"/>
  <c r="AA195" i="5"/>
  <c r="AB195" i="5"/>
  <c r="Y196" i="5"/>
  <c r="Z196" i="5"/>
  <c r="AA196" i="5"/>
  <c r="AB196" i="5"/>
  <c r="Y197" i="5"/>
  <c r="Z197" i="5"/>
  <c r="AA197" i="5"/>
  <c r="AB197" i="5"/>
  <c r="Y198" i="5"/>
  <c r="Z198" i="5"/>
  <c r="AA198" i="5"/>
  <c r="AB198" i="5"/>
  <c r="Y199" i="5"/>
  <c r="Z199" i="5"/>
  <c r="AA199" i="5"/>
  <c r="AB199" i="5"/>
  <c r="Y201" i="5"/>
  <c r="Z201" i="5"/>
  <c r="AA201" i="5"/>
  <c r="AB201" i="5"/>
  <c r="Y202" i="5"/>
  <c r="Z202" i="5"/>
  <c r="AA202" i="5"/>
  <c r="AB202" i="5"/>
  <c r="Y203" i="5"/>
  <c r="Z203" i="5"/>
  <c r="AA203" i="5"/>
  <c r="AB203" i="5"/>
  <c r="Y204" i="5"/>
  <c r="Z204" i="5"/>
  <c r="AA204" i="5"/>
  <c r="AB204" i="5"/>
  <c r="Y205" i="5"/>
  <c r="Z205" i="5"/>
  <c r="AA205" i="5"/>
  <c r="AB205" i="5"/>
  <c r="Y207" i="5"/>
  <c r="Z207" i="5"/>
  <c r="AA207" i="5"/>
  <c r="AB207" i="5"/>
  <c r="Y208" i="5"/>
  <c r="Z208" i="5"/>
  <c r="AA208" i="5"/>
  <c r="AB208" i="5"/>
  <c r="Y209" i="5"/>
  <c r="Z209" i="5"/>
  <c r="AA209" i="5"/>
  <c r="AB209" i="5"/>
  <c r="Y210" i="5"/>
  <c r="Z210" i="5"/>
  <c r="AA210" i="5"/>
  <c r="AB210" i="5"/>
  <c r="Y211" i="5"/>
  <c r="Z211" i="5"/>
  <c r="AA211" i="5"/>
  <c r="AB211" i="5"/>
  <c r="Y213" i="5"/>
  <c r="Z213" i="5"/>
  <c r="AA213" i="5"/>
  <c r="AB213" i="5"/>
  <c r="Y214" i="5"/>
  <c r="Z214" i="5"/>
  <c r="AA214" i="5"/>
  <c r="AB214" i="5"/>
  <c r="Y215" i="5"/>
  <c r="Z215" i="5"/>
  <c r="AA215" i="5"/>
  <c r="AB215" i="5"/>
  <c r="Y216" i="5"/>
  <c r="Z216" i="5"/>
  <c r="AA216" i="5"/>
  <c r="AB216" i="5"/>
  <c r="Y217" i="5"/>
  <c r="Z217" i="5"/>
  <c r="AA217" i="5"/>
  <c r="AB217" i="5"/>
  <c r="Y219" i="5"/>
  <c r="Z219" i="5"/>
  <c r="AA219" i="5"/>
  <c r="AB219" i="5"/>
  <c r="Y220" i="5"/>
  <c r="Z220" i="5"/>
  <c r="AA220" i="5"/>
  <c r="AB220" i="5"/>
  <c r="Y221" i="5"/>
  <c r="Z221" i="5"/>
  <c r="AA221" i="5"/>
  <c r="AB221" i="5"/>
  <c r="Y222" i="5"/>
  <c r="Z222" i="5"/>
  <c r="AA222" i="5"/>
  <c r="AB222" i="5"/>
  <c r="Y223" i="5"/>
  <c r="Z223" i="5"/>
  <c r="AA223" i="5"/>
  <c r="AB223" i="5"/>
  <c r="Y225" i="5"/>
  <c r="Z225" i="5"/>
  <c r="AA225" i="5"/>
  <c r="AB225" i="5"/>
  <c r="Y226" i="5"/>
  <c r="Z226" i="5"/>
  <c r="AA226" i="5"/>
  <c r="AB226" i="5"/>
  <c r="Y227" i="5"/>
  <c r="Z227" i="5"/>
  <c r="AA227" i="5"/>
  <c r="AB227" i="5"/>
  <c r="Y228" i="5"/>
  <c r="Z228" i="5"/>
  <c r="AA228" i="5"/>
  <c r="AB228" i="5"/>
  <c r="Y229" i="5"/>
  <c r="Z229" i="5"/>
  <c r="AA229" i="5"/>
  <c r="AB229" i="5"/>
  <c r="Y231" i="5"/>
  <c r="Z231" i="5"/>
  <c r="AA231" i="5"/>
  <c r="AB231" i="5"/>
  <c r="Y232" i="5"/>
  <c r="Z232" i="5"/>
  <c r="AA232" i="5"/>
  <c r="AB232" i="5"/>
  <c r="Y233" i="5"/>
  <c r="Z233" i="5"/>
  <c r="AA233" i="5"/>
  <c r="AB233" i="5"/>
  <c r="Y234" i="5"/>
  <c r="Z234" i="5"/>
  <c r="AA234" i="5"/>
  <c r="AB234" i="5"/>
  <c r="Y235" i="5"/>
  <c r="Z235" i="5"/>
  <c r="AA235" i="5"/>
  <c r="AB235" i="5"/>
  <c r="Y237" i="5"/>
  <c r="Z237" i="5"/>
  <c r="AA237" i="5"/>
  <c r="AB237" i="5"/>
  <c r="Y238" i="5"/>
  <c r="Z238" i="5"/>
  <c r="AA238" i="5"/>
  <c r="AB238" i="5"/>
  <c r="Y239" i="5"/>
  <c r="Z239" i="5"/>
  <c r="AA239" i="5"/>
  <c r="AB239" i="5"/>
  <c r="Y240" i="5"/>
  <c r="Z240" i="5"/>
  <c r="AA240" i="5"/>
  <c r="AB240" i="5"/>
  <c r="Y241" i="5"/>
  <c r="Z241" i="5"/>
  <c r="AA241" i="5"/>
  <c r="AB241" i="5"/>
  <c r="Y243" i="5"/>
  <c r="Z243" i="5"/>
  <c r="AA243" i="5"/>
  <c r="AB243" i="5"/>
  <c r="Y244" i="5"/>
  <c r="Z244" i="5"/>
  <c r="AA244" i="5"/>
  <c r="AB244" i="5"/>
  <c r="Y245" i="5"/>
  <c r="Z245" i="5"/>
  <c r="AA245" i="5"/>
  <c r="AB245" i="5"/>
  <c r="Y246" i="5"/>
  <c r="Z246" i="5"/>
  <c r="AA246" i="5"/>
  <c r="AB246" i="5"/>
  <c r="Y247" i="5"/>
  <c r="Z247" i="5"/>
  <c r="AA247" i="5"/>
  <c r="Y249" i="5"/>
  <c r="Z249" i="5"/>
  <c r="AA249" i="5"/>
  <c r="AB249" i="5"/>
  <c r="Y250" i="5"/>
  <c r="Z250" i="5"/>
  <c r="AA250" i="5"/>
  <c r="AB250" i="5"/>
  <c r="Y251" i="5"/>
  <c r="Z251" i="5"/>
  <c r="AA251" i="5"/>
  <c r="AB251" i="5"/>
  <c r="Y252" i="5"/>
  <c r="Z252" i="5"/>
  <c r="AA252" i="5"/>
  <c r="AB252" i="5"/>
  <c r="Y253" i="5"/>
  <c r="Z253" i="5"/>
  <c r="AA253" i="5"/>
  <c r="AB253" i="5"/>
  <c r="Y255" i="5"/>
  <c r="Z255" i="5"/>
  <c r="AA255" i="5"/>
  <c r="AB255" i="5"/>
  <c r="Y256" i="5"/>
  <c r="Z256" i="5"/>
  <c r="AA256" i="5"/>
  <c r="AB256" i="5"/>
  <c r="Y257" i="5"/>
  <c r="Z257" i="5"/>
  <c r="AA257" i="5"/>
  <c r="AB257" i="5"/>
  <c r="Y258" i="5"/>
  <c r="Z258" i="5"/>
  <c r="AA258" i="5"/>
  <c r="AB258" i="5"/>
  <c r="Y259" i="5"/>
  <c r="Z259" i="5"/>
  <c r="AA259" i="5"/>
  <c r="AB259" i="5"/>
  <c r="Y261" i="5"/>
  <c r="Z261" i="5"/>
  <c r="AA261" i="5"/>
  <c r="AB261" i="5"/>
  <c r="Y262" i="5"/>
  <c r="Z262" i="5"/>
  <c r="AA262" i="5"/>
  <c r="AB262" i="5"/>
  <c r="Y263" i="5"/>
  <c r="Z263" i="5"/>
  <c r="AA263" i="5"/>
  <c r="AB263" i="5"/>
  <c r="Y264" i="5"/>
  <c r="Z264" i="5"/>
  <c r="AA264" i="5"/>
  <c r="AB264" i="5"/>
  <c r="Y265" i="5"/>
  <c r="Z265" i="5"/>
  <c r="AA265" i="5"/>
  <c r="AB265" i="5"/>
  <c r="Y267" i="5"/>
  <c r="Z267" i="5"/>
  <c r="AA267" i="5"/>
  <c r="AB267" i="5"/>
  <c r="Y268" i="5"/>
  <c r="Z268" i="5"/>
  <c r="AA268" i="5"/>
  <c r="AB268" i="5"/>
  <c r="Y269" i="5"/>
  <c r="Z269" i="5"/>
  <c r="AA269" i="5"/>
  <c r="AB269" i="5"/>
  <c r="Y270" i="5"/>
  <c r="Z270" i="5"/>
  <c r="AA270" i="5"/>
  <c r="AB270" i="5"/>
  <c r="Y271" i="5"/>
  <c r="Z271" i="5"/>
  <c r="AA271" i="5"/>
  <c r="AB271" i="5"/>
  <c r="Y273" i="5"/>
  <c r="Z273" i="5"/>
  <c r="AA273" i="5"/>
  <c r="AB273" i="5"/>
  <c r="Y274" i="5"/>
  <c r="Z274" i="5"/>
  <c r="AA274" i="5"/>
  <c r="AB274" i="5"/>
  <c r="Y275" i="5"/>
  <c r="Z275" i="5"/>
  <c r="AA275" i="5"/>
  <c r="AB275" i="5"/>
  <c r="Y276" i="5"/>
  <c r="Z276" i="5"/>
  <c r="AA276" i="5"/>
  <c r="AB276" i="5"/>
  <c r="Y277" i="5"/>
  <c r="Z277" i="5"/>
  <c r="AA277" i="5"/>
  <c r="AB277" i="5"/>
  <c r="Y279" i="5"/>
  <c r="Z279" i="5"/>
  <c r="AA279" i="5"/>
  <c r="AB279" i="5"/>
  <c r="Y280" i="5"/>
  <c r="Z280" i="5"/>
  <c r="AA280" i="5"/>
  <c r="AB280" i="5"/>
  <c r="Y281" i="5"/>
  <c r="Z281" i="5"/>
  <c r="AA281" i="5"/>
  <c r="AB281" i="5"/>
  <c r="Y282" i="5"/>
  <c r="Z282" i="5"/>
  <c r="AA282" i="5"/>
  <c r="AB282" i="5"/>
  <c r="Y286" i="5"/>
  <c r="Y288" i="5"/>
  <c r="Z288" i="5"/>
  <c r="AA288" i="5"/>
  <c r="AB288" i="5"/>
  <c r="Y289" i="5"/>
  <c r="Z289" i="5"/>
  <c r="AA289" i="5"/>
  <c r="AB289" i="5"/>
  <c r="Y290" i="5"/>
  <c r="Z290" i="5"/>
  <c r="AA290" i="5"/>
  <c r="AB290" i="5"/>
  <c r="Y291" i="5"/>
  <c r="Z291" i="5"/>
  <c r="AA291" i="5"/>
  <c r="AB291" i="5"/>
  <c r="Y298" i="5"/>
  <c r="Z298" i="5"/>
  <c r="AA298" i="5"/>
  <c r="AB298" i="5"/>
  <c r="Y300" i="5"/>
  <c r="Z300" i="5"/>
  <c r="AA300" i="5"/>
  <c r="AB300" i="5"/>
  <c r="Y301" i="5"/>
  <c r="Z301" i="5"/>
  <c r="AA301" i="5"/>
  <c r="AB301" i="5"/>
  <c r="Y302" i="5"/>
  <c r="Z302" i="5"/>
  <c r="AA302" i="5"/>
  <c r="AB302" i="5"/>
  <c r="Y303" i="5"/>
  <c r="Z303" i="5"/>
  <c r="AA303" i="5"/>
  <c r="AB303" i="5"/>
  <c r="Y304" i="5"/>
  <c r="Z304" i="5"/>
  <c r="AA304" i="5"/>
  <c r="AB304" i="5"/>
  <c r="Y306" i="5"/>
  <c r="Z306" i="5"/>
  <c r="AA306" i="5"/>
  <c r="AB306" i="5"/>
  <c r="Y307" i="5"/>
  <c r="Z307" i="5"/>
  <c r="AA307" i="5"/>
  <c r="AB307" i="5"/>
  <c r="Y308" i="5"/>
  <c r="Z308" i="5"/>
  <c r="AA308" i="5"/>
  <c r="AB308" i="5"/>
  <c r="Y309" i="5"/>
  <c r="Z309" i="5"/>
  <c r="AA309" i="5"/>
  <c r="AB309" i="5"/>
  <c r="Y310" i="5"/>
  <c r="Z310" i="5"/>
  <c r="AA310" i="5"/>
  <c r="AB310" i="5"/>
  <c r="Y312" i="5"/>
  <c r="Z312" i="5"/>
  <c r="AA312" i="5"/>
  <c r="AB312" i="5"/>
  <c r="Y313" i="5"/>
  <c r="Z313" i="5"/>
  <c r="AA313" i="5"/>
  <c r="AB313" i="5"/>
  <c r="Y314" i="5"/>
  <c r="Z314" i="5"/>
  <c r="AA314" i="5"/>
  <c r="AB314" i="5"/>
  <c r="Y315" i="5"/>
  <c r="Z315" i="5"/>
  <c r="AA315" i="5"/>
  <c r="AB315" i="5"/>
  <c r="Y316" i="5"/>
  <c r="Z316" i="5"/>
  <c r="AA316" i="5"/>
  <c r="AB316" i="5"/>
  <c r="Y318" i="5"/>
  <c r="Z318" i="5"/>
  <c r="AA318" i="5"/>
  <c r="AB318" i="5"/>
  <c r="Y319" i="5"/>
  <c r="Z319" i="5"/>
  <c r="AA319" i="5"/>
  <c r="AB319" i="5"/>
  <c r="Y320" i="5"/>
  <c r="Z320" i="5"/>
  <c r="AA320" i="5"/>
  <c r="AB320" i="5"/>
  <c r="Y321" i="5"/>
  <c r="Z321" i="5"/>
  <c r="AA321" i="5"/>
  <c r="AB321" i="5"/>
  <c r="Y322" i="5"/>
  <c r="Z322" i="5"/>
  <c r="AA322" i="5"/>
  <c r="AB322" i="5"/>
  <c r="V9" i="5"/>
  <c r="V10" i="5"/>
  <c r="V11" i="5"/>
  <c r="V12" i="5"/>
  <c r="V13" i="5"/>
  <c r="V15" i="5"/>
  <c r="V16" i="5"/>
  <c r="V17" i="5"/>
  <c r="V18" i="5"/>
  <c r="V19" i="5"/>
  <c r="V21" i="5"/>
  <c r="V22" i="5"/>
  <c r="V23" i="5"/>
  <c r="V24" i="5"/>
  <c r="V25" i="5"/>
  <c r="V27" i="5"/>
  <c r="V28" i="5"/>
  <c r="V29" i="5"/>
  <c r="V30" i="5"/>
  <c r="V31" i="5"/>
  <c r="V33" i="5"/>
  <c r="V34" i="5"/>
  <c r="V35" i="5"/>
  <c r="V36" i="5"/>
  <c r="V37" i="5"/>
  <c r="V39" i="5"/>
  <c r="V40" i="5"/>
  <c r="V41" i="5"/>
  <c r="V42" i="5"/>
  <c r="V43" i="5"/>
  <c r="V45" i="5"/>
  <c r="V46" i="5"/>
  <c r="V47" i="5"/>
  <c r="V48" i="5"/>
  <c r="V49" i="5"/>
  <c r="V51" i="5"/>
  <c r="V52" i="5"/>
  <c r="V53" i="5"/>
  <c r="V54" i="5"/>
  <c r="V55" i="5"/>
  <c r="V57" i="5"/>
  <c r="V58" i="5"/>
  <c r="V59" i="5"/>
  <c r="V60" i="5"/>
  <c r="V61" i="5"/>
  <c r="V63" i="5"/>
  <c r="V64" i="5"/>
  <c r="V65" i="5"/>
  <c r="V66" i="5"/>
  <c r="V67" i="5"/>
  <c r="V69" i="5"/>
  <c r="V70" i="5"/>
  <c r="V71" i="5"/>
  <c r="V72" i="5"/>
  <c r="V73" i="5"/>
  <c r="V75" i="5"/>
  <c r="V76" i="5"/>
  <c r="V77" i="5"/>
  <c r="V78" i="5"/>
  <c r="V79" i="5"/>
  <c r="V81" i="5"/>
  <c r="V82" i="5"/>
  <c r="V83" i="5"/>
  <c r="V84" i="5"/>
  <c r="V85" i="5"/>
  <c r="V87" i="5"/>
  <c r="V88" i="5"/>
  <c r="V89" i="5"/>
  <c r="V90" i="5"/>
  <c r="V91" i="5"/>
  <c r="V93" i="5"/>
  <c r="V94" i="5"/>
  <c r="V95" i="5"/>
  <c r="V96" i="5"/>
  <c r="V97" i="5"/>
  <c r="V99" i="5"/>
  <c r="V100" i="5"/>
  <c r="V101" i="5"/>
  <c r="V102" i="5"/>
  <c r="V103" i="5"/>
  <c r="V105" i="5"/>
  <c r="V106" i="5"/>
  <c r="V107" i="5"/>
  <c r="V108" i="5"/>
  <c r="V109" i="5"/>
  <c r="V111" i="5"/>
  <c r="V112" i="5"/>
  <c r="V113" i="5"/>
  <c r="V114" i="5"/>
  <c r="V115" i="5"/>
  <c r="V117" i="5"/>
  <c r="V118" i="5"/>
  <c r="V119" i="5"/>
  <c r="V120" i="5"/>
  <c r="V121" i="5"/>
  <c r="V123" i="5"/>
  <c r="V124" i="5"/>
  <c r="V125" i="5"/>
  <c r="V126" i="5"/>
  <c r="V127" i="5"/>
  <c r="V129" i="5"/>
  <c r="V130" i="5"/>
  <c r="V131" i="5"/>
  <c r="V132" i="5"/>
  <c r="V133" i="5"/>
  <c r="V135" i="5"/>
  <c r="V136" i="5"/>
  <c r="V137" i="5"/>
  <c r="V138" i="5"/>
  <c r="V139" i="5"/>
  <c r="V141" i="5"/>
  <c r="V142" i="5"/>
  <c r="V143" i="5"/>
  <c r="V144" i="5"/>
  <c r="V145" i="5"/>
  <c r="V147" i="5"/>
  <c r="V148" i="5"/>
  <c r="V149" i="5"/>
  <c r="V150" i="5"/>
  <c r="V151" i="5"/>
  <c r="V153" i="5"/>
  <c r="V154" i="5"/>
  <c r="V155" i="5"/>
  <c r="V156" i="5"/>
  <c r="V157" i="5"/>
  <c r="V159" i="5"/>
  <c r="V160" i="5"/>
  <c r="V161" i="5"/>
  <c r="V162" i="5"/>
  <c r="V163" i="5"/>
  <c r="V165" i="5"/>
  <c r="V166" i="5"/>
  <c r="V167" i="5"/>
  <c r="V168" i="5"/>
  <c r="V169" i="5"/>
  <c r="V171" i="5"/>
  <c r="V172" i="5"/>
  <c r="V173" i="5"/>
  <c r="V174" i="5"/>
  <c r="V175" i="5"/>
  <c r="V177" i="5"/>
  <c r="V178" i="5"/>
  <c r="V179" i="5"/>
  <c r="V180" i="5"/>
  <c r="V181" i="5"/>
  <c r="V183" i="5"/>
  <c r="V184" i="5"/>
  <c r="V185" i="5"/>
  <c r="V186" i="5"/>
  <c r="V187" i="5"/>
  <c r="V189" i="5"/>
  <c r="V190" i="5"/>
  <c r="V191" i="5"/>
  <c r="V192" i="5"/>
  <c r="V193" i="5"/>
  <c r="V195" i="5"/>
  <c r="V196" i="5"/>
  <c r="V197" i="5"/>
  <c r="V198" i="5"/>
  <c r="V199" i="5"/>
  <c r="V201" i="5"/>
  <c r="V202" i="5"/>
  <c r="V203" i="5"/>
  <c r="V204" i="5"/>
  <c r="V205" i="5"/>
  <c r="V207" i="5"/>
  <c r="V208" i="5"/>
  <c r="V209" i="5"/>
  <c r="V210" i="5"/>
  <c r="V211" i="5"/>
  <c r="V213" i="5"/>
  <c r="V214" i="5"/>
  <c r="V215" i="5"/>
  <c r="V216" i="5"/>
  <c r="V217" i="5"/>
  <c r="V219" i="5"/>
  <c r="V220" i="5"/>
  <c r="V221" i="5"/>
  <c r="V222" i="5"/>
  <c r="V223" i="5"/>
  <c r="V225" i="5"/>
  <c r="V226" i="5"/>
  <c r="V227" i="5"/>
  <c r="V228" i="5"/>
  <c r="V229" i="5"/>
  <c r="V231" i="5"/>
  <c r="V232" i="5"/>
  <c r="V233" i="5"/>
  <c r="V234" i="5"/>
  <c r="V235" i="5"/>
  <c r="V237" i="5"/>
  <c r="V238" i="5"/>
  <c r="V239" i="5"/>
  <c r="V240" i="5"/>
  <c r="V241" i="5"/>
  <c r="V243" i="5"/>
  <c r="V244" i="5"/>
  <c r="V245" i="5"/>
  <c r="V246" i="5"/>
  <c r="V247" i="5"/>
  <c r="V249" i="5"/>
  <c r="V250" i="5"/>
  <c r="V251" i="5"/>
  <c r="V252" i="5"/>
  <c r="V253" i="5"/>
  <c r="V255" i="5"/>
  <c r="V256" i="5"/>
  <c r="V257" i="5"/>
  <c r="V258" i="5"/>
  <c r="V259" i="5"/>
  <c r="V261" i="5"/>
  <c r="V262" i="5"/>
  <c r="V263" i="5"/>
  <c r="V264" i="5"/>
  <c r="V265" i="5"/>
  <c r="V267" i="5"/>
  <c r="V268" i="5"/>
  <c r="V269" i="5"/>
  <c r="V270" i="5"/>
  <c r="V271" i="5"/>
  <c r="V273" i="5"/>
  <c r="V274" i="5"/>
  <c r="V275" i="5"/>
  <c r="V276" i="5"/>
  <c r="V277" i="5"/>
  <c r="V279" i="5"/>
  <c r="V280" i="5"/>
  <c r="V281" i="5"/>
  <c r="V282" i="5"/>
  <c r="V286" i="5"/>
  <c r="V288" i="5"/>
  <c r="V289" i="5"/>
  <c r="V290" i="5"/>
  <c r="V291" i="5"/>
  <c r="V298" i="5"/>
  <c r="V300" i="5"/>
  <c r="V301" i="5"/>
  <c r="V302" i="5"/>
  <c r="V303" i="5"/>
  <c r="V304" i="5"/>
  <c r="V306" i="5"/>
  <c r="V307" i="5"/>
  <c r="V308" i="5"/>
  <c r="V309" i="5"/>
  <c r="V310" i="5"/>
  <c r="V312" i="5"/>
  <c r="V313" i="5"/>
  <c r="V314" i="5"/>
  <c r="V315" i="5"/>
  <c r="V316" i="5"/>
  <c r="V318" i="5"/>
  <c r="V319" i="5"/>
  <c r="V320" i="5"/>
  <c r="V321" i="5"/>
  <c r="V322" i="5"/>
  <c r="J9" i="5"/>
  <c r="L9" i="5"/>
  <c r="M9" i="5"/>
  <c r="O9" i="5"/>
  <c r="P9" i="5"/>
  <c r="Q9" i="5"/>
  <c r="R9" i="5"/>
  <c r="S9" i="5"/>
  <c r="J10" i="5"/>
  <c r="L10" i="5"/>
  <c r="M10" i="5"/>
  <c r="O10" i="5"/>
  <c r="P10" i="5"/>
  <c r="Q10" i="5"/>
  <c r="R10" i="5"/>
  <c r="S10" i="5"/>
  <c r="J11" i="5"/>
  <c r="L11" i="5"/>
  <c r="M11" i="5"/>
  <c r="O11" i="5"/>
  <c r="P11" i="5"/>
  <c r="Q11" i="5"/>
  <c r="R11" i="5"/>
  <c r="S11" i="5"/>
  <c r="J12" i="5"/>
  <c r="L12" i="5"/>
  <c r="M12" i="5"/>
  <c r="O12" i="5"/>
  <c r="P12" i="5"/>
  <c r="Q12" i="5"/>
  <c r="R12" i="5"/>
  <c r="S12" i="5"/>
  <c r="J13" i="5"/>
  <c r="L13" i="5"/>
  <c r="M13" i="5"/>
  <c r="O13" i="5"/>
  <c r="P13" i="5"/>
  <c r="Q13" i="5"/>
  <c r="R13" i="5"/>
  <c r="S13" i="5"/>
  <c r="J15" i="5"/>
  <c r="L15" i="5"/>
  <c r="M15" i="5"/>
  <c r="O15" i="5"/>
  <c r="P15" i="5"/>
  <c r="Q15" i="5"/>
  <c r="R15" i="5"/>
  <c r="S15" i="5"/>
  <c r="J16" i="5"/>
  <c r="L16" i="5"/>
  <c r="M16" i="5"/>
  <c r="O16" i="5"/>
  <c r="P16" i="5"/>
  <c r="Q16" i="5"/>
  <c r="R16" i="5"/>
  <c r="S16" i="5"/>
  <c r="J17" i="5"/>
  <c r="L17" i="5"/>
  <c r="M17" i="5"/>
  <c r="O17" i="5"/>
  <c r="P17" i="5"/>
  <c r="Q17" i="5"/>
  <c r="R17" i="5"/>
  <c r="S17" i="5"/>
  <c r="J18" i="5"/>
  <c r="L18" i="5"/>
  <c r="M18" i="5"/>
  <c r="O18" i="5"/>
  <c r="P18" i="5"/>
  <c r="Q18" i="5"/>
  <c r="R18" i="5"/>
  <c r="S18" i="5"/>
  <c r="J19" i="5"/>
  <c r="L19" i="5"/>
  <c r="M19" i="5"/>
  <c r="O19" i="5"/>
  <c r="P19" i="5"/>
  <c r="Q19" i="5"/>
  <c r="R19" i="5"/>
  <c r="S19" i="5"/>
  <c r="J21" i="5"/>
  <c r="L21" i="5"/>
  <c r="M21" i="5"/>
  <c r="O21" i="5"/>
  <c r="P21" i="5"/>
  <c r="Q21" i="5"/>
  <c r="R21" i="5"/>
  <c r="S21" i="5"/>
  <c r="J22" i="5"/>
  <c r="L22" i="5"/>
  <c r="M22" i="5"/>
  <c r="O22" i="5"/>
  <c r="P22" i="5"/>
  <c r="Q22" i="5"/>
  <c r="R22" i="5"/>
  <c r="S22" i="5"/>
  <c r="J23" i="5"/>
  <c r="L23" i="5"/>
  <c r="M23" i="5"/>
  <c r="O23" i="5"/>
  <c r="P23" i="5"/>
  <c r="Q23" i="5"/>
  <c r="R23" i="5"/>
  <c r="S23" i="5"/>
  <c r="J24" i="5"/>
  <c r="L24" i="5"/>
  <c r="M24" i="5"/>
  <c r="O24" i="5"/>
  <c r="P24" i="5"/>
  <c r="Q24" i="5"/>
  <c r="R24" i="5"/>
  <c r="S24" i="5"/>
  <c r="J25" i="5"/>
  <c r="L25" i="5"/>
  <c r="M25" i="5"/>
  <c r="O25" i="5"/>
  <c r="P25" i="5"/>
  <c r="Q25" i="5"/>
  <c r="R25" i="5"/>
  <c r="S25" i="5"/>
  <c r="J27" i="5"/>
  <c r="L27" i="5"/>
  <c r="M27" i="5"/>
  <c r="O27" i="5"/>
  <c r="P27" i="5"/>
  <c r="Q27" i="5"/>
  <c r="R27" i="5"/>
  <c r="S27" i="5"/>
  <c r="J28" i="5"/>
  <c r="L28" i="5"/>
  <c r="M28" i="5"/>
  <c r="O28" i="5"/>
  <c r="P28" i="5"/>
  <c r="Q28" i="5"/>
  <c r="R28" i="5"/>
  <c r="S28" i="5"/>
  <c r="J29" i="5"/>
  <c r="L29" i="5"/>
  <c r="M29" i="5"/>
  <c r="O29" i="5"/>
  <c r="P29" i="5"/>
  <c r="Q29" i="5"/>
  <c r="R29" i="5"/>
  <c r="S29" i="5"/>
  <c r="J30" i="5"/>
  <c r="L30" i="5"/>
  <c r="M30" i="5"/>
  <c r="O30" i="5"/>
  <c r="P30" i="5"/>
  <c r="Q30" i="5"/>
  <c r="R30" i="5"/>
  <c r="S30" i="5"/>
  <c r="J31" i="5"/>
  <c r="L31" i="5"/>
  <c r="M31" i="5"/>
  <c r="O31" i="5"/>
  <c r="P31" i="5"/>
  <c r="Q31" i="5"/>
  <c r="R31" i="5"/>
  <c r="S31" i="5"/>
  <c r="J33" i="5"/>
  <c r="L33" i="5"/>
  <c r="M33" i="5"/>
  <c r="O33" i="5"/>
  <c r="P33" i="5"/>
  <c r="Q33" i="5"/>
  <c r="R33" i="5"/>
  <c r="S33" i="5"/>
  <c r="J34" i="5"/>
  <c r="L34" i="5"/>
  <c r="M34" i="5"/>
  <c r="O34" i="5"/>
  <c r="P34" i="5"/>
  <c r="Q34" i="5"/>
  <c r="R34" i="5"/>
  <c r="S34" i="5"/>
  <c r="J35" i="5"/>
  <c r="L35" i="5"/>
  <c r="M35" i="5"/>
  <c r="O35" i="5"/>
  <c r="P35" i="5"/>
  <c r="Q35" i="5"/>
  <c r="R35" i="5"/>
  <c r="S35" i="5"/>
  <c r="J36" i="5"/>
  <c r="L36" i="5"/>
  <c r="M36" i="5"/>
  <c r="O36" i="5"/>
  <c r="P36" i="5"/>
  <c r="Q36" i="5"/>
  <c r="R36" i="5"/>
  <c r="S36" i="5"/>
  <c r="J37" i="5"/>
  <c r="L37" i="5"/>
  <c r="M37" i="5"/>
  <c r="O37" i="5"/>
  <c r="P37" i="5"/>
  <c r="Q37" i="5"/>
  <c r="R37" i="5"/>
  <c r="S37" i="5"/>
  <c r="J39" i="5"/>
  <c r="L39" i="5"/>
  <c r="M39" i="5"/>
  <c r="O39" i="5"/>
  <c r="P39" i="5"/>
  <c r="Q39" i="5"/>
  <c r="R39" i="5"/>
  <c r="S39" i="5"/>
  <c r="J40" i="5"/>
  <c r="L40" i="5"/>
  <c r="M40" i="5"/>
  <c r="O40" i="5"/>
  <c r="P40" i="5"/>
  <c r="Q40" i="5"/>
  <c r="R40" i="5"/>
  <c r="S40" i="5"/>
  <c r="J41" i="5"/>
  <c r="L41" i="5"/>
  <c r="M41" i="5"/>
  <c r="O41" i="5"/>
  <c r="P41" i="5"/>
  <c r="Q41" i="5"/>
  <c r="R41" i="5"/>
  <c r="S41" i="5"/>
  <c r="J42" i="5"/>
  <c r="L42" i="5"/>
  <c r="M42" i="5"/>
  <c r="O42" i="5"/>
  <c r="P42" i="5"/>
  <c r="Q42" i="5"/>
  <c r="R42" i="5"/>
  <c r="S42" i="5"/>
  <c r="J43" i="5"/>
  <c r="L43" i="5"/>
  <c r="M43" i="5"/>
  <c r="O43" i="5"/>
  <c r="P43" i="5"/>
  <c r="Q43" i="5"/>
  <c r="R43" i="5"/>
  <c r="S43" i="5"/>
  <c r="J45" i="5"/>
  <c r="L45" i="5"/>
  <c r="M45" i="5"/>
  <c r="O45" i="5"/>
  <c r="P45" i="5"/>
  <c r="Q45" i="5"/>
  <c r="R45" i="5"/>
  <c r="S45" i="5"/>
  <c r="J46" i="5"/>
  <c r="L46" i="5"/>
  <c r="M46" i="5"/>
  <c r="O46" i="5"/>
  <c r="P46" i="5"/>
  <c r="Q46" i="5"/>
  <c r="R46" i="5"/>
  <c r="S46" i="5"/>
  <c r="J47" i="5"/>
  <c r="L47" i="5"/>
  <c r="M47" i="5"/>
  <c r="O47" i="5"/>
  <c r="P47" i="5"/>
  <c r="Q47" i="5"/>
  <c r="R47" i="5"/>
  <c r="S47" i="5"/>
  <c r="J48" i="5"/>
  <c r="L48" i="5"/>
  <c r="M48" i="5"/>
  <c r="O48" i="5"/>
  <c r="P48" i="5"/>
  <c r="Q48" i="5"/>
  <c r="R48" i="5"/>
  <c r="S48" i="5"/>
  <c r="J49" i="5"/>
  <c r="L49" i="5"/>
  <c r="M49" i="5"/>
  <c r="O49" i="5"/>
  <c r="P49" i="5"/>
  <c r="Q49" i="5"/>
  <c r="R49" i="5"/>
  <c r="S49" i="5"/>
  <c r="J51" i="5"/>
  <c r="L51" i="5"/>
  <c r="M51" i="5"/>
  <c r="O51" i="5"/>
  <c r="P51" i="5"/>
  <c r="Q51" i="5"/>
  <c r="R51" i="5"/>
  <c r="S51" i="5"/>
  <c r="J52" i="5"/>
  <c r="L52" i="5"/>
  <c r="M52" i="5"/>
  <c r="O52" i="5"/>
  <c r="P52" i="5"/>
  <c r="Q52" i="5"/>
  <c r="R52" i="5"/>
  <c r="S52" i="5"/>
  <c r="J53" i="5"/>
  <c r="L53" i="5"/>
  <c r="M53" i="5"/>
  <c r="O53" i="5"/>
  <c r="P53" i="5"/>
  <c r="Q53" i="5"/>
  <c r="R53" i="5"/>
  <c r="S53" i="5"/>
  <c r="J54" i="5"/>
  <c r="L54" i="5"/>
  <c r="M54" i="5"/>
  <c r="O54" i="5"/>
  <c r="P54" i="5"/>
  <c r="Q54" i="5"/>
  <c r="R54" i="5"/>
  <c r="S54" i="5"/>
  <c r="J55" i="5"/>
  <c r="L55" i="5"/>
  <c r="M55" i="5"/>
  <c r="O55" i="5"/>
  <c r="P55" i="5"/>
  <c r="Q55" i="5"/>
  <c r="R55" i="5"/>
  <c r="S55" i="5"/>
  <c r="J57" i="5"/>
  <c r="L57" i="5"/>
  <c r="M57" i="5"/>
  <c r="O57" i="5"/>
  <c r="P57" i="5"/>
  <c r="Q57" i="5"/>
  <c r="R57" i="5"/>
  <c r="S57" i="5"/>
  <c r="J58" i="5"/>
  <c r="L58" i="5"/>
  <c r="M58" i="5"/>
  <c r="O58" i="5"/>
  <c r="P58" i="5"/>
  <c r="Q58" i="5"/>
  <c r="R58" i="5"/>
  <c r="S58" i="5"/>
  <c r="J59" i="5"/>
  <c r="L59" i="5"/>
  <c r="M59" i="5"/>
  <c r="O59" i="5"/>
  <c r="P59" i="5"/>
  <c r="Q59" i="5"/>
  <c r="R59" i="5"/>
  <c r="S59" i="5"/>
  <c r="J60" i="5"/>
  <c r="L60" i="5"/>
  <c r="M60" i="5"/>
  <c r="O60" i="5"/>
  <c r="P60" i="5"/>
  <c r="Q60" i="5"/>
  <c r="R60" i="5"/>
  <c r="S60" i="5"/>
  <c r="J61" i="5"/>
  <c r="L61" i="5"/>
  <c r="M61" i="5"/>
  <c r="O61" i="5"/>
  <c r="P61" i="5"/>
  <c r="Q61" i="5"/>
  <c r="R61" i="5"/>
  <c r="S61" i="5"/>
  <c r="J63" i="5"/>
  <c r="L63" i="5"/>
  <c r="M63" i="5"/>
  <c r="O63" i="5"/>
  <c r="P63" i="5"/>
  <c r="Q63" i="5"/>
  <c r="R63" i="5"/>
  <c r="S63" i="5"/>
  <c r="J64" i="5"/>
  <c r="L64" i="5"/>
  <c r="M64" i="5"/>
  <c r="O64" i="5"/>
  <c r="P64" i="5"/>
  <c r="Q64" i="5"/>
  <c r="R64" i="5"/>
  <c r="S64" i="5"/>
  <c r="J65" i="5"/>
  <c r="L65" i="5"/>
  <c r="M65" i="5"/>
  <c r="O65" i="5"/>
  <c r="P65" i="5"/>
  <c r="Q65" i="5"/>
  <c r="R65" i="5"/>
  <c r="S65" i="5"/>
  <c r="J66" i="5"/>
  <c r="L66" i="5"/>
  <c r="M66" i="5"/>
  <c r="O66" i="5"/>
  <c r="P66" i="5"/>
  <c r="Q66" i="5"/>
  <c r="R66" i="5"/>
  <c r="S66" i="5"/>
  <c r="J67" i="5"/>
  <c r="L67" i="5"/>
  <c r="M67" i="5"/>
  <c r="O67" i="5"/>
  <c r="P67" i="5"/>
  <c r="Q67" i="5"/>
  <c r="R67" i="5"/>
  <c r="S67" i="5"/>
  <c r="J69" i="5"/>
  <c r="L69" i="5"/>
  <c r="M69" i="5"/>
  <c r="O69" i="5"/>
  <c r="P69" i="5"/>
  <c r="Q69" i="5"/>
  <c r="R69" i="5"/>
  <c r="S69" i="5"/>
  <c r="J70" i="5"/>
  <c r="L70" i="5"/>
  <c r="M70" i="5"/>
  <c r="O70" i="5"/>
  <c r="P70" i="5"/>
  <c r="Q70" i="5"/>
  <c r="R70" i="5"/>
  <c r="S70" i="5"/>
  <c r="J71" i="5"/>
  <c r="L71" i="5"/>
  <c r="M71" i="5"/>
  <c r="O71" i="5"/>
  <c r="P71" i="5"/>
  <c r="Q71" i="5"/>
  <c r="R71" i="5"/>
  <c r="S71" i="5"/>
  <c r="J72" i="5"/>
  <c r="L72" i="5"/>
  <c r="M72" i="5"/>
  <c r="O72" i="5"/>
  <c r="P72" i="5"/>
  <c r="Q72" i="5"/>
  <c r="R72" i="5"/>
  <c r="S72" i="5"/>
  <c r="J73" i="5"/>
  <c r="L73" i="5"/>
  <c r="M73" i="5"/>
  <c r="O73" i="5"/>
  <c r="P73" i="5"/>
  <c r="Q73" i="5"/>
  <c r="R73" i="5"/>
  <c r="S73" i="5"/>
  <c r="J75" i="5"/>
  <c r="L75" i="5"/>
  <c r="M75" i="5"/>
  <c r="O75" i="5"/>
  <c r="P75" i="5"/>
  <c r="Q75" i="5"/>
  <c r="R75" i="5"/>
  <c r="S75" i="5"/>
  <c r="J76" i="5"/>
  <c r="L76" i="5"/>
  <c r="M76" i="5"/>
  <c r="O76" i="5"/>
  <c r="P76" i="5"/>
  <c r="Q76" i="5"/>
  <c r="R76" i="5"/>
  <c r="S76" i="5"/>
  <c r="J77" i="5"/>
  <c r="L77" i="5"/>
  <c r="M77" i="5"/>
  <c r="O77" i="5"/>
  <c r="P77" i="5"/>
  <c r="Q77" i="5"/>
  <c r="R77" i="5"/>
  <c r="S77" i="5"/>
  <c r="J78" i="5"/>
  <c r="L78" i="5"/>
  <c r="M78" i="5"/>
  <c r="O78" i="5"/>
  <c r="P78" i="5"/>
  <c r="Q78" i="5"/>
  <c r="R78" i="5"/>
  <c r="S78" i="5"/>
  <c r="J79" i="5"/>
  <c r="L79" i="5"/>
  <c r="M79" i="5"/>
  <c r="O79" i="5"/>
  <c r="P79" i="5"/>
  <c r="Q79" i="5"/>
  <c r="R79" i="5"/>
  <c r="S79" i="5"/>
  <c r="J81" i="5"/>
  <c r="L81" i="5"/>
  <c r="M81" i="5"/>
  <c r="O81" i="5"/>
  <c r="P81" i="5"/>
  <c r="Q81" i="5"/>
  <c r="R81" i="5"/>
  <c r="S81" i="5"/>
  <c r="J82" i="5"/>
  <c r="L82" i="5"/>
  <c r="M82" i="5"/>
  <c r="O82" i="5"/>
  <c r="P82" i="5"/>
  <c r="Q82" i="5"/>
  <c r="R82" i="5"/>
  <c r="S82" i="5"/>
  <c r="J83" i="5"/>
  <c r="L83" i="5"/>
  <c r="M83" i="5"/>
  <c r="O83" i="5"/>
  <c r="P83" i="5"/>
  <c r="Q83" i="5"/>
  <c r="R83" i="5"/>
  <c r="S83" i="5"/>
  <c r="J84" i="5"/>
  <c r="L84" i="5"/>
  <c r="M84" i="5"/>
  <c r="O84" i="5"/>
  <c r="P84" i="5"/>
  <c r="Q84" i="5"/>
  <c r="R84" i="5"/>
  <c r="S84" i="5"/>
  <c r="J85" i="5"/>
  <c r="L85" i="5"/>
  <c r="M85" i="5"/>
  <c r="O85" i="5"/>
  <c r="P85" i="5"/>
  <c r="Q85" i="5"/>
  <c r="R85" i="5"/>
  <c r="S85" i="5"/>
  <c r="J87" i="5"/>
  <c r="L87" i="5"/>
  <c r="M87" i="5"/>
  <c r="O87" i="5"/>
  <c r="P87" i="5"/>
  <c r="Q87" i="5"/>
  <c r="R87" i="5"/>
  <c r="S87" i="5"/>
  <c r="J88" i="5"/>
  <c r="L88" i="5"/>
  <c r="M88" i="5"/>
  <c r="O88" i="5"/>
  <c r="P88" i="5"/>
  <c r="Q88" i="5"/>
  <c r="R88" i="5"/>
  <c r="S88" i="5"/>
  <c r="J89" i="5"/>
  <c r="L89" i="5"/>
  <c r="M89" i="5"/>
  <c r="O89" i="5"/>
  <c r="P89" i="5"/>
  <c r="Q89" i="5"/>
  <c r="R89" i="5"/>
  <c r="S89" i="5"/>
  <c r="J90" i="5"/>
  <c r="L90" i="5"/>
  <c r="M90" i="5"/>
  <c r="O90" i="5"/>
  <c r="P90" i="5"/>
  <c r="Q90" i="5"/>
  <c r="R90" i="5"/>
  <c r="S90" i="5"/>
  <c r="J91" i="5"/>
  <c r="L91" i="5"/>
  <c r="M91" i="5"/>
  <c r="O91" i="5"/>
  <c r="P91" i="5"/>
  <c r="Q91" i="5"/>
  <c r="R91" i="5"/>
  <c r="S91" i="5"/>
  <c r="J93" i="5"/>
  <c r="L93" i="5"/>
  <c r="M93" i="5"/>
  <c r="O93" i="5"/>
  <c r="P93" i="5"/>
  <c r="Q93" i="5"/>
  <c r="R93" i="5"/>
  <c r="S93" i="5"/>
  <c r="J94" i="5"/>
  <c r="L94" i="5"/>
  <c r="M94" i="5"/>
  <c r="O94" i="5"/>
  <c r="P94" i="5"/>
  <c r="Q94" i="5"/>
  <c r="R94" i="5"/>
  <c r="S94" i="5"/>
  <c r="J95" i="5"/>
  <c r="L95" i="5"/>
  <c r="M95" i="5"/>
  <c r="O95" i="5"/>
  <c r="P95" i="5"/>
  <c r="Q95" i="5"/>
  <c r="R95" i="5"/>
  <c r="S95" i="5"/>
  <c r="J96" i="5"/>
  <c r="L96" i="5"/>
  <c r="M96" i="5"/>
  <c r="O96" i="5"/>
  <c r="P96" i="5"/>
  <c r="Q96" i="5"/>
  <c r="R96" i="5"/>
  <c r="S96" i="5"/>
  <c r="J97" i="5"/>
  <c r="L97" i="5"/>
  <c r="M97" i="5"/>
  <c r="O97" i="5"/>
  <c r="P97" i="5"/>
  <c r="Q97" i="5"/>
  <c r="R97" i="5"/>
  <c r="S97" i="5"/>
  <c r="J99" i="5"/>
  <c r="L99" i="5"/>
  <c r="M99" i="5"/>
  <c r="O99" i="5"/>
  <c r="P99" i="5"/>
  <c r="Q99" i="5"/>
  <c r="R99" i="5"/>
  <c r="S99" i="5"/>
  <c r="J100" i="5"/>
  <c r="L100" i="5"/>
  <c r="M100" i="5"/>
  <c r="O100" i="5"/>
  <c r="P100" i="5"/>
  <c r="Q100" i="5"/>
  <c r="R100" i="5"/>
  <c r="S100" i="5"/>
  <c r="J101" i="5"/>
  <c r="L101" i="5"/>
  <c r="M101" i="5"/>
  <c r="O101" i="5"/>
  <c r="P101" i="5"/>
  <c r="Q101" i="5"/>
  <c r="R101" i="5"/>
  <c r="S101" i="5"/>
  <c r="J102" i="5"/>
  <c r="L102" i="5"/>
  <c r="M102" i="5"/>
  <c r="O102" i="5"/>
  <c r="P102" i="5"/>
  <c r="Q102" i="5"/>
  <c r="R102" i="5"/>
  <c r="S102" i="5"/>
  <c r="J103" i="5"/>
  <c r="L103" i="5"/>
  <c r="M103" i="5"/>
  <c r="O103" i="5"/>
  <c r="P103" i="5"/>
  <c r="Q103" i="5"/>
  <c r="R103" i="5"/>
  <c r="S103" i="5"/>
  <c r="J105" i="5"/>
  <c r="L105" i="5"/>
  <c r="M105" i="5"/>
  <c r="O105" i="5"/>
  <c r="P105" i="5"/>
  <c r="Q105" i="5"/>
  <c r="R105" i="5"/>
  <c r="S105" i="5"/>
  <c r="J106" i="5"/>
  <c r="L106" i="5"/>
  <c r="M106" i="5"/>
  <c r="O106" i="5"/>
  <c r="P106" i="5"/>
  <c r="Q106" i="5"/>
  <c r="R106" i="5"/>
  <c r="S106" i="5"/>
  <c r="J107" i="5"/>
  <c r="L107" i="5"/>
  <c r="M107" i="5"/>
  <c r="O107" i="5"/>
  <c r="P107" i="5"/>
  <c r="Q107" i="5"/>
  <c r="R107" i="5"/>
  <c r="S107" i="5"/>
  <c r="J108" i="5"/>
  <c r="L108" i="5"/>
  <c r="M108" i="5"/>
  <c r="O108" i="5"/>
  <c r="P108" i="5"/>
  <c r="Q108" i="5"/>
  <c r="R108" i="5"/>
  <c r="S108" i="5"/>
  <c r="J109" i="5"/>
  <c r="L109" i="5"/>
  <c r="M109" i="5"/>
  <c r="O109" i="5"/>
  <c r="P109" i="5"/>
  <c r="Q109" i="5"/>
  <c r="R109" i="5"/>
  <c r="S109" i="5"/>
  <c r="J111" i="5"/>
  <c r="L111" i="5"/>
  <c r="M111" i="5"/>
  <c r="O111" i="5"/>
  <c r="P111" i="5"/>
  <c r="Q111" i="5"/>
  <c r="R111" i="5"/>
  <c r="S111" i="5"/>
  <c r="J112" i="5"/>
  <c r="L112" i="5"/>
  <c r="M112" i="5"/>
  <c r="O112" i="5"/>
  <c r="P112" i="5"/>
  <c r="Q112" i="5"/>
  <c r="R112" i="5"/>
  <c r="S112" i="5"/>
  <c r="J113" i="5"/>
  <c r="L113" i="5"/>
  <c r="M113" i="5"/>
  <c r="O113" i="5"/>
  <c r="P113" i="5"/>
  <c r="Q113" i="5"/>
  <c r="R113" i="5"/>
  <c r="S113" i="5"/>
  <c r="J114" i="5"/>
  <c r="L114" i="5"/>
  <c r="M114" i="5"/>
  <c r="O114" i="5"/>
  <c r="P114" i="5"/>
  <c r="Q114" i="5"/>
  <c r="R114" i="5"/>
  <c r="S114" i="5"/>
  <c r="J115" i="5"/>
  <c r="L115" i="5"/>
  <c r="M115" i="5"/>
  <c r="O115" i="5"/>
  <c r="P115" i="5"/>
  <c r="Q115" i="5"/>
  <c r="R115" i="5"/>
  <c r="S115" i="5"/>
  <c r="J117" i="5"/>
  <c r="L117" i="5"/>
  <c r="M117" i="5"/>
  <c r="O117" i="5"/>
  <c r="P117" i="5"/>
  <c r="Q117" i="5"/>
  <c r="R117" i="5"/>
  <c r="S117" i="5"/>
  <c r="J118" i="5"/>
  <c r="L118" i="5"/>
  <c r="M118" i="5"/>
  <c r="O118" i="5"/>
  <c r="P118" i="5"/>
  <c r="Q118" i="5"/>
  <c r="R118" i="5"/>
  <c r="S118" i="5"/>
  <c r="J119" i="5"/>
  <c r="L119" i="5"/>
  <c r="M119" i="5"/>
  <c r="O119" i="5"/>
  <c r="P119" i="5"/>
  <c r="Q119" i="5"/>
  <c r="R119" i="5"/>
  <c r="S119" i="5"/>
  <c r="J120" i="5"/>
  <c r="L120" i="5"/>
  <c r="M120" i="5"/>
  <c r="O120" i="5"/>
  <c r="P120" i="5"/>
  <c r="Q120" i="5"/>
  <c r="R120" i="5"/>
  <c r="S120" i="5"/>
  <c r="J121" i="5"/>
  <c r="L121" i="5"/>
  <c r="M121" i="5"/>
  <c r="O121" i="5"/>
  <c r="P121" i="5"/>
  <c r="Q121" i="5"/>
  <c r="R121" i="5"/>
  <c r="S121" i="5"/>
  <c r="J123" i="5"/>
  <c r="L123" i="5"/>
  <c r="M123" i="5"/>
  <c r="O123" i="5"/>
  <c r="P123" i="5"/>
  <c r="Q123" i="5"/>
  <c r="R123" i="5"/>
  <c r="S123" i="5"/>
  <c r="J124" i="5"/>
  <c r="L124" i="5"/>
  <c r="M124" i="5"/>
  <c r="O124" i="5"/>
  <c r="P124" i="5"/>
  <c r="Q124" i="5"/>
  <c r="R124" i="5"/>
  <c r="S124" i="5"/>
  <c r="J125" i="5"/>
  <c r="L125" i="5"/>
  <c r="M125" i="5"/>
  <c r="O125" i="5"/>
  <c r="P125" i="5"/>
  <c r="Q125" i="5"/>
  <c r="R125" i="5"/>
  <c r="S125" i="5"/>
  <c r="J126" i="5"/>
  <c r="L126" i="5"/>
  <c r="M126" i="5"/>
  <c r="O126" i="5"/>
  <c r="P126" i="5"/>
  <c r="Q126" i="5"/>
  <c r="R126" i="5"/>
  <c r="S126" i="5"/>
  <c r="J127" i="5"/>
  <c r="L127" i="5"/>
  <c r="M127" i="5"/>
  <c r="O127" i="5"/>
  <c r="P127" i="5"/>
  <c r="Q127" i="5"/>
  <c r="R127" i="5"/>
  <c r="S127" i="5"/>
  <c r="J129" i="5"/>
  <c r="L129" i="5"/>
  <c r="M129" i="5"/>
  <c r="O129" i="5"/>
  <c r="P129" i="5"/>
  <c r="Q129" i="5"/>
  <c r="R129" i="5"/>
  <c r="S129" i="5"/>
  <c r="J130" i="5"/>
  <c r="L130" i="5"/>
  <c r="M130" i="5"/>
  <c r="O130" i="5"/>
  <c r="P130" i="5"/>
  <c r="Q130" i="5"/>
  <c r="R130" i="5"/>
  <c r="S130" i="5"/>
  <c r="J131" i="5"/>
  <c r="L131" i="5"/>
  <c r="M131" i="5"/>
  <c r="O131" i="5"/>
  <c r="P131" i="5"/>
  <c r="Q131" i="5"/>
  <c r="R131" i="5"/>
  <c r="S131" i="5"/>
  <c r="J132" i="5"/>
  <c r="L132" i="5"/>
  <c r="M132" i="5"/>
  <c r="O132" i="5"/>
  <c r="P132" i="5"/>
  <c r="Q132" i="5"/>
  <c r="R132" i="5"/>
  <c r="S132" i="5"/>
  <c r="J133" i="5"/>
  <c r="L133" i="5"/>
  <c r="M133" i="5"/>
  <c r="O133" i="5"/>
  <c r="P133" i="5"/>
  <c r="Q133" i="5"/>
  <c r="R133" i="5"/>
  <c r="S133" i="5"/>
  <c r="J135" i="5"/>
  <c r="L135" i="5"/>
  <c r="M135" i="5"/>
  <c r="O135" i="5"/>
  <c r="P135" i="5"/>
  <c r="Q135" i="5"/>
  <c r="R135" i="5"/>
  <c r="S135" i="5"/>
  <c r="J136" i="5"/>
  <c r="L136" i="5"/>
  <c r="M136" i="5"/>
  <c r="O136" i="5"/>
  <c r="P136" i="5"/>
  <c r="Q136" i="5"/>
  <c r="R136" i="5"/>
  <c r="S136" i="5"/>
  <c r="J137" i="5"/>
  <c r="L137" i="5"/>
  <c r="M137" i="5"/>
  <c r="O137" i="5"/>
  <c r="P137" i="5"/>
  <c r="Q137" i="5"/>
  <c r="R137" i="5"/>
  <c r="S137" i="5"/>
  <c r="J138" i="5"/>
  <c r="L138" i="5"/>
  <c r="M138" i="5"/>
  <c r="O138" i="5"/>
  <c r="P138" i="5"/>
  <c r="Q138" i="5"/>
  <c r="R138" i="5"/>
  <c r="S138" i="5"/>
  <c r="J139" i="5"/>
  <c r="L139" i="5"/>
  <c r="M139" i="5"/>
  <c r="O139" i="5"/>
  <c r="P139" i="5"/>
  <c r="Q139" i="5"/>
  <c r="R139" i="5"/>
  <c r="S139" i="5"/>
  <c r="J141" i="5"/>
  <c r="L141" i="5"/>
  <c r="M141" i="5"/>
  <c r="O141" i="5"/>
  <c r="P141" i="5"/>
  <c r="Q141" i="5"/>
  <c r="R141" i="5"/>
  <c r="S141" i="5"/>
  <c r="J142" i="5"/>
  <c r="L142" i="5"/>
  <c r="M142" i="5"/>
  <c r="O142" i="5"/>
  <c r="P142" i="5"/>
  <c r="Q142" i="5"/>
  <c r="R142" i="5"/>
  <c r="S142" i="5"/>
  <c r="J143" i="5"/>
  <c r="L143" i="5"/>
  <c r="M143" i="5"/>
  <c r="O143" i="5"/>
  <c r="P143" i="5"/>
  <c r="Q143" i="5"/>
  <c r="R143" i="5"/>
  <c r="S143" i="5"/>
  <c r="J144" i="5"/>
  <c r="L144" i="5"/>
  <c r="M144" i="5"/>
  <c r="O144" i="5"/>
  <c r="P144" i="5"/>
  <c r="Q144" i="5"/>
  <c r="R144" i="5"/>
  <c r="S144" i="5"/>
  <c r="J145" i="5"/>
  <c r="L145" i="5"/>
  <c r="M145" i="5"/>
  <c r="O145" i="5"/>
  <c r="P145" i="5"/>
  <c r="Q145" i="5"/>
  <c r="R145" i="5"/>
  <c r="S145" i="5"/>
  <c r="J147" i="5"/>
  <c r="L147" i="5"/>
  <c r="M147" i="5"/>
  <c r="O147" i="5"/>
  <c r="P147" i="5"/>
  <c r="Q147" i="5"/>
  <c r="R147" i="5"/>
  <c r="S147" i="5"/>
  <c r="J148" i="5"/>
  <c r="L148" i="5"/>
  <c r="M148" i="5"/>
  <c r="O148" i="5"/>
  <c r="P148" i="5"/>
  <c r="Q148" i="5"/>
  <c r="R148" i="5"/>
  <c r="S148" i="5"/>
  <c r="J149" i="5"/>
  <c r="L149" i="5"/>
  <c r="M149" i="5"/>
  <c r="O149" i="5"/>
  <c r="P149" i="5"/>
  <c r="Q149" i="5"/>
  <c r="R149" i="5"/>
  <c r="S149" i="5"/>
  <c r="J150" i="5"/>
  <c r="L150" i="5"/>
  <c r="M150" i="5"/>
  <c r="O150" i="5"/>
  <c r="P150" i="5"/>
  <c r="Q150" i="5"/>
  <c r="R150" i="5"/>
  <c r="S150" i="5"/>
  <c r="J151" i="5"/>
  <c r="L151" i="5"/>
  <c r="M151" i="5"/>
  <c r="O151" i="5"/>
  <c r="P151" i="5"/>
  <c r="Q151" i="5"/>
  <c r="R151" i="5"/>
  <c r="S151" i="5"/>
  <c r="J153" i="5"/>
  <c r="L153" i="5"/>
  <c r="M153" i="5"/>
  <c r="O153" i="5"/>
  <c r="P153" i="5"/>
  <c r="Q153" i="5"/>
  <c r="R153" i="5"/>
  <c r="S153" i="5"/>
  <c r="J154" i="5"/>
  <c r="L154" i="5"/>
  <c r="M154" i="5"/>
  <c r="O154" i="5"/>
  <c r="P154" i="5"/>
  <c r="Q154" i="5"/>
  <c r="R154" i="5"/>
  <c r="S154" i="5"/>
  <c r="J155" i="5"/>
  <c r="L155" i="5"/>
  <c r="M155" i="5"/>
  <c r="O155" i="5"/>
  <c r="P155" i="5"/>
  <c r="Q155" i="5"/>
  <c r="R155" i="5"/>
  <c r="S155" i="5"/>
  <c r="J156" i="5"/>
  <c r="L156" i="5"/>
  <c r="M156" i="5"/>
  <c r="O156" i="5"/>
  <c r="P156" i="5"/>
  <c r="Q156" i="5"/>
  <c r="R156" i="5"/>
  <c r="S156" i="5"/>
  <c r="J157" i="5"/>
  <c r="L157" i="5"/>
  <c r="M157" i="5"/>
  <c r="O157" i="5"/>
  <c r="P157" i="5"/>
  <c r="Q157" i="5"/>
  <c r="R157" i="5"/>
  <c r="S157" i="5"/>
  <c r="J159" i="5"/>
  <c r="L159" i="5"/>
  <c r="M159" i="5"/>
  <c r="O159" i="5"/>
  <c r="P159" i="5"/>
  <c r="Q159" i="5"/>
  <c r="R159" i="5"/>
  <c r="S159" i="5"/>
  <c r="J160" i="5"/>
  <c r="L160" i="5"/>
  <c r="M160" i="5"/>
  <c r="O160" i="5"/>
  <c r="P160" i="5"/>
  <c r="Q160" i="5"/>
  <c r="R160" i="5"/>
  <c r="S160" i="5"/>
  <c r="J161" i="5"/>
  <c r="L161" i="5"/>
  <c r="M161" i="5"/>
  <c r="O161" i="5"/>
  <c r="P161" i="5"/>
  <c r="Q161" i="5"/>
  <c r="R161" i="5"/>
  <c r="S161" i="5"/>
  <c r="J162" i="5"/>
  <c r="L162" i="5"/>
  <c r="M162" i="5"/>
  <c r="O162" i="5"/>
  <c r="P162" i="5"/>
  <c r="Q162" i="5"/>
  <c r="R162" i="5"/>
  <c r="S162" i="5"/>
  <c r="J163" i="5"/>
  <c r="L163" i="5"/>
  <c r="M163" i="5"/>
  <c r="O163" i="5"/>
  <c r="P163" i="5"/>
  <c r="Q163" i="5"/>
  <c r="R163" i="5"/>
  <c r="S163" i="5"/>
  <c r="J165" i="5"/>
  <c r="L165" i="5"/>
  <c r="M165" i="5"/>
  <c r="O165" i="5"/>
  <c r="P165" i="5"/>
  <c r="Q165" i="5"/>
  <c r="R165" i="5"/>
  <c r="S165" i="5"/>
  <c r="J166" i="5"/>
  <c r="L166" i="5"/>
  <c r="M166" i="5"/>
  <c r="O166" i="5"/>
  <c r="P166" i="5"/>
  <c r="Q166" i="5"/>
  <c r="R166" i="5"/>
  <c r="S166" i="5"/>
  <c r="J167" i="5"/>
  <c r="L167" i="5"/>
  <c r="M167" i="5"/>
  <c r="O167" i="5"/>
  <c r="P167" i="5"/>
  <c r="Q167" i="5"/>
  <c r="R167" i="5"/>
  <c r="S167" i="5"/>
  <c r="J168" i="5"/>
  <c r="L168" i="5"/>
  <c r="M168" i="5"/>
  <c r="O168" i="5"/>
  <c r="P168" i="5"/>
  <c r="Q168" i="5"/>
  <c r="R168" i="5"/>
  <c r="S168" i="5"/>
  <c r="J169" i="5"/>
  <c r="L169" i="5"/>
  <c r="M169" i="5"/>
  <c r="O169" i="5"/>
  <c r="P169" i="5"/>
  <c r="Q169" i="5"/>
  <c r="R169" i="5"/>
  <c r="S169" i="5"/>
  <c r="J171" i="5"/>
  <c r="L171" i="5"/>
  <c r="M171" i="5"/>
  <c r="O171" i="5"/>
  <c r="P171" i="5"/>
  <c r="Q171" i="5"/>
  <c r="R171" i="5"/>
  <c r="S171" i="5"/>
  <c r="J172" i="5"/>
  <c r="L172" i="5"/>
  <c r="M172" i="5"/>
  <c r="O172" i="5"/>
  <c r="P172" i="5"/>
  <c r="Q172" i="5"/>
  <c r="R172" i="5"/>
  <c r="S172" i="5"/>
  <c r="J173" i="5"/>
  <c r="L173" i="5"/>
  <c r="M173" i="5"/>
  <c r="O173" i="5"/>
  <c r="P173" i="5"/>
  <c r="Q173" i="5"/>
  <c r="R173" i="5"/>
  <c r="S173" i="5"/>
  <c r="J174" i="5"/>
  <c r="L174" i="5"/>
  <c r="M174" i="5"/>
  <c r="O174" i="5"/>
  <c r="P174" i="5"/>
  <c r="Q174" i="5"/>
  <c r="R174" i="5"/>
  <c r="S174" i="5"/>
  <c r="J175" i="5"/>
  <c r="L175" i="5"/>
  <c r="M175" i="5"/>
  <c r="O175" i="5"/>
  <c r="P175" i="5"/>
  <c r="Q175" i="5"/>
  <c r="R175" i="5"/>
  <c r="S175" i="5"/>
  <c r="J177" i="5"/>
  <c r="L177" i="5"/>
  <c r="M177" i="5"/>
  <c r="O177" i="5"/>
  <c r="P177" i="5"/>
  <c r="Q177" i="5"/>
  <c r="R177" i="5"/>
  <c r="S177" i="5"/>
  <c r="J178" i="5"/>
  <c r="L178" i="5"/>
  <c r="M178" i="5"/>
  <c r="O178" i="5"/>
  <c r="P178" i="5"/>
  <c r="Q178" i="5"/>
  <c r="R178" i="5"/>
  <c r="S178" i="5"/>
  <c r="J179" i="5"/>
  <c r="L179" i="5"/>
  <c r="M179" i="5"/>
  <c r="O179" i="5"/>
  <c r="P179" i="5"/>
  <c r="Q179" i="5"/>
  <c r="R179" i="5"/>
  <c r="S179" i="5"/>
  <c r="J180" i="5"/>
  <c r="L180" i="5"/>
  <c r="M180" i="5"/>
  <c r="O180" i="5"/>
  <c r="P180" i="5"/>
  <c r="Q180" i="5"/>
  <c r="R180" i="5"/>
  <c r="S180" i="5"/>
  <c r="J181" i="5"/>
  <c r="L181" i="5"/>
  <c r="M181" i="5"/>
  <c r="O181" i="5"/>
  <c r="P181" i="5"/>
  <c r="Q181" i="5"/>
  <c r="R181" i="5"/>
  <c r="S181" i="5"/>
  <c r="J183" i="5"/>
  <c r="L183" i="5"/>
  <c r="M183" i="5"/>
  <c r="O183" i="5"/>
  <c r="P183" i="5"/>
  <c r="Q183" i="5"/>
  <c r="R183" i="5"/>
  <c r="S183" i="5"/>
  <c r="J184" i="5"/>
  <c r="L184" i="5"/>
  <c r="M184" i="5"/>
  <c r="O184" i="5"/>
  <c r="P184" i="5"/>
  <c r="Q184" i="5"/>
  <c r="R184" i="5"/>
  <c r="S184" i="5"/>
  <c r="J185" i="5"/>
  <c r="L185" i="5"/>
  <c r="M185" i="5"/>
  <c r="O185" i="5"/>
  <c r="P185" i="5"/>
  <c r="Q185" i="5"/>
  <c r="R185" i="5"/>
  <c r="S185" i="5"/>
  <c r="J186" i="5"/>
  <c r="L186" i="5"/>
  <c r="M186" i="5"/>
  <c r="O186" i="5"/>
  <c r="P186" i="5"/>
  <c r="Q186" i="5"/>
  <c r="R186" i="5"/>
  <c r="S186" i="5"/>
  <c r="J187" i="5"/>
  <c r="L187" i="5"/>
  <c r="M187" i="5"/>
  <c r="O187" i="5"/>
  <c r="P187" i="5"/>
  <c r="Q187" i="5"/>
  <c r="R187" i="5"/>
  <c r="S187" i="5"/>
  <c r="J189" i="5"/>
  <c r="L189" i="5"/>
  <c r="M189" i="5"/>
  <c r="O189" i="5"/>
  <c r="P189" i="5"/>
  <c r="Q189" i="5"/>
  <c r="R189" i="5"/>
  <c r="S189" i="5"/>
  <c r="J190" i="5"/>
  <c r="L190" i="5"/>
  <c r="M190" i="5"/>
  <c r="O190" i="5"/>
  <c r="P190" i="5"/>
  <c r="Q190" i="5"/>
  <c r="R190" i="5"/>
  <c r="S190" i="5"/>
  <c r="J191" i="5"/>
  <c r="L191" i="5"/>
  <c r="M191" i="5"/>
  <c r="O191" i="5"/>
  <c r="P191" i="5"/>
  <c r="Q191" i="5"/>
  <c r="R191" i="5"/>
  <c r="S191" i="5"/>
  <c r="J192" i="5"/>
  <c r="L192" i="5"/>
  <c r="M192" i="5"/>
  <c r="O192" i="5"/>
  <c r="P192" i="5"/>
  <c r="Q192" i="5"/>
  <c r="R192" i="5"/>
  <c r="S192" i="5"/>
  <c r="J193" i="5"/>
  <c r="L193" i="5"/>
  <c r="M193" i="5"/>
  <c r="O193" i="5"/>
  <c r="P193" i="5"/>
  <c r="Q193" i="5"/>
  <c r="R193" i="5"/>
  <c r="S193" i="5"/>
  <c r="J195" i="5"/>
  <c r="L195" i="5"/>
  <c r="M195" i="5"/>
  <c r="O195" i="5"/>
  <c r="P195" i="5"/>
  <c r="Q195" i="5"/>
  <c r="R195" i="5"/>
  <c r="S195" i="5"/>
  <c r="J196" i="5"/>
  <c r="L196" i="5"/>
  <c r="M196" i="5"/>
  <c r="O196" i="5"/>
  <c r="P196" i="5"/>
  <c r="Q196" i="5"/>
  <c r="R196" i="5"/>
  <c r="S196" i="5"/>
  <c r="J197" i="5"/>
  <c r="L197" i="5"/>
  <c r="M197" i="5"/>
  <c r="O197" i="5"/>
  <c r="P197" i="5"/>
  <c r="Q197" i="5"/>
  <c r="R197" i="5"/>
  <c r="S197" i="5"/>
  <c r="J198" i="5"/>
  <c r="L198" i="5"/>
  <c r="M198" i="5"/>
  <c r="O198" i="5"/>
  <c r="P198" i="5"/>
  <c r="Q198" i="5"/>
  <c r="R198" i="5"/>
  <c r="S198" i="5"/>
  <c r="J199" i="5"/>
  <c r="L199" i="5"/>
  <c r="M199" i="5"/>
  <c r="O199" i="5"/>
  <c r="P199" i="5"/>
  <c r="Q199" i="5"/>
  <c r="R199" i="5"/>
  <c r="S199" i="5"/>
  <c r="J201" i="5"/>
  <c r="L201" i="5"/>
  <c r="M201" i="5"/>
  <c r="O201" i="5"/>
  <c r="P201" i="5"/>
  <c r="Q201" i="5"/>
  <c r="R201" i="5"/>
  <c r="S201" i="5"/>
  <c r="J202" i="5"/>
  <c r="L202" i="5"/>
  <c r="M202" i="5"/>
  <c r="O202" i="5"/>
  <c r="P202" i="5"/>
  <c r="Q202" i="5"/>
  <c r="R202" i="5"/>
  <c r="S202" i="5"/>
  <c r="J203" i="5"/>
  <c r="L203" i="5"/>
  <c r="M203" i="5"/>
  <c r="O203" i="5"/>
  <c r="P203" i="5"/>
  <c r="Q203" i="5"/>
  <c r="R203" i="5"/>
  <c r="S203" i="5"/>
  <c r="J204" i="5"/>
  <c r="L204" i="5"/>
  <c r="M204" i="5"/>
  <c r="O204" i="5"/>
  <c r="P204" i="5"/>
  <c r="Q204" i="5"/>
  <c r="R204" i="5"/>
  <c r="S204" i="5"/>
  <c r="J205" i="5"/>
  <c r="L205" i="5"/>
  <c r="M205" i="5"/>
  <c r="O205" i="5"/>
  <c r="P205" i="5"/>
  <c r="Q205" i="5"/>
  <c r="R205" i="5"/>
  <c r="S205" i="5"/>
  <c r="J207" i="5"/>
  <c r="L207" i="5"/>
  <c r="M207" i="5"/>
  <c r="O207" i="5"/>
  <c r="P207" i="5"/>
  <c r="Q207" i="5"/>
  <c r="R207" i="5"/>
  <c r="S207" i="5"/>
  <c r="J208" i="5"/>
  <c r="L208" i="5"/>
  <c r="M208" i="5"/>
  <c r="O208" i="5"/>
  <c r="P208" i="5"/>
  <c r="Q208" i="5"/>
  <c r="R208" i="5"/>
  <c r="S208" i="5"/>
  <c r="J209" i="5"/>
  <c r="L209" i="5"/>
  <c r="M209" i="5"/>
  <c r="O209" i="5"/>
  <c r="P209" i="5"/>
  <c r="Q209" i="5"/>
  <c r="R209" i="5"/>
  <c r="S209" i="5"/>
  <c r="J210" i="5"/>
  <c r="L210" i="5"/>
  <c r="M210" i="5"/>
  <c r="O210" i="5"/>
  <c r="P210" i="5"/>
  <c r="Q210" i="5"/>
  <c r="R210" i="5"/>
  <c r="S210" i="5"/>
  <c r="J211" i="5"/>
  <c r="L211" i="5"/>
  <c r="M211" i="5"/>
  <c r="O211" i="5"/>
  <c r="P211" i="5"/>
  <c r="Q211" i="5"/>
  <c r="R211" i="5"/>
  <c r="S211" i="5"/>
  <c r="J213" i="5"/>
  <c r="L213" i="5"/>
  <c r="M213" i="5"/>
  <c r="O213" i="5"/>
  <c r="P213" i="5"/>
  <c r="Q213" i="5"/>
  <c r="R213" i="5"/>
  <c r="S213" i="5"/>
  <c r="J214" i="5"/>
  <c r="L214" i="5"/>
  <c r="M214" i="5"/>
  <c r="O214" i="5"/>
  <c r="P214" i="5"/>
  <c r="Q214" i="5"/>
  <c r="R214" i="5"/>
  <c r="S214" i="5"/>
  <c r="J215" i="5"/>
  <c r="L215" i="5"/>
  <c r="M215" i="5"/>
  <c r="O215" i="5"/>
  <c r="P215" i="5"/>
  <c r="Q215" i="5"/>
  <c r="R215" i="5"/>
  <c r="S215" i="5"/>
  <c r="J216" i="5"/>
  <c r="L216" i="5"/>
  <c r="M216" i="5"/>
  <c r="O216" i="5"/>
  <c r="P216" i="5"/>
  <c r="Q216" i="5"/>
  <c r="R216" i="5"/>
  <c r="S216" i="5"/>
  <c r="J217" i="5"/>
  <c r="L217" i="5"/>
  <c r="M217" i="5"/>
  <c r="O217" i="5"/>
  <c r="P217" i="5"/>
  <c r="Q217" i="5"/>
  <c r="R217" i="5"/>
  <c r="S217" i="5"/>
  <c r="J219" i="5"/>
  <c r="L219" i="5"/>
  <c r="M219" i="5"/>
  <c r="O219" i="5"/>
  <c r="P219" i="5"/>
  <c r="Q219" i="5"/>
  <c r="R219" i="5"/>
  <c r="S219" i="5"/>
  <c r="J220" i="5"/>
  <c r="L220" i="5"/>
  <c r="M220" i="5"/>
  <c r="O220" i="5"/>
  <c r="P220" i="5"/>
  <c r="Q220" i="5"/>
  <c r="R220" i="5"/>
  <c r="S220" i="5"/>
  <c r="J221" i="5"/>
  <c r="L221" i="5"/>
  <c r="M221" i="5"/>
  <c r="O221" i="5"/>
  <c r="P221" i="5"/>
  <c r="Q221" i="5"/>
  <c r="R221" i="5"/>
  <c r="S221" i="5"/>
  <c r="J222" i="5"/>
  <c r="L222" i="5"/>
  <c r="M222" i="5"/>
  <c r="O222" i="5"/>
  <c r="P222" i="5"/>
  <c r="Q222" i="5"/>
  <c r="R222" i="5"/>
  <c r="S222" i="5"/>
  <c r="J223" i="5"/>
  <c r="L223" i="5"/>
  <c r="M223" i="5"/>
  <c r="O223" i="5"/>
  <c r="P223" i="5"/>
  <c r="Q223" i="5"/>
  <c r="R223" i="5"/>
  <c r="S223" i="5"/>
  <c r="J225" i="5"/>
  <c r="O225" i="5"/>
  <c r="P225" i="5"/>
  <c r="Q225" i="5"/>
  <c r="R225" i="5"/>
  <c r="S225" i="5"/>
  <c r="J226" i="5"/>
  <c r="L226" i="5"/>
  <c r="M226" i="5"/>
  <c r="O226" i="5"/>
  <c r="P226" i="5"/>
  <c r="Q226" i="5"/>
  <c r="R226" i="5"/>
  <c r="S226" i="5"/>
  <c r="J227" i="5"/>
  <c r="L227" i="5"/>
  <c r="M227" i="5"/>
  <c r="O227" i="5"/>
  <c r="P227" i="5"/>
  <c r="Q227" i="5"/>
  <c r="R227" i="5"/>
  <c r="S227" i="5"/>
  <c r="J228" i="5"/>
  <c r="L228" i="5"/>
  <c r="M228" i="5"/>
  <c r="O228" i="5"/>
  <c r="P228" i="5"/>
  <c r="Q228" i="5"/>
  <c r="R228" i="5"/>
  <c r="S228" i="5"/>
  <c r="J229" i="5"/>
  <c r="L229" i="5"/>
  <c r="M229" i="5"/>
  <c r="O229" i="5"/>
  <c r="P229" i="5"/>
  <c r="Q229" i="5"/>
  <c r="R229" i="5"/>
  <c r="S229" i="5"/>
  <c r="J231" i="5"/>
  <c r="L231" i="5"/>
  <c r="M231" i="5"/>
  <c r="O231" i="5"/>
  <c r="P231" i="5"/>
  <c r="Q231" i="5"/>
  <c r="R231" i="5"/>
  <c r="S231" i="5"/>
  <c r="J232" i="5"/>
  <c r="L232" i="5"/>
  <c r="M232" i="5"/>
  <c r="O232" i="5"/>
  <c r="P232" i="5"/>
  <c r="Q232" i="5"/>
  <c r="R232" i="5"/>
  <c r="S232" i="5"/>
  <c r="J233" i="5"/>
  <c r="L233" i="5"/>
  <c r="M233" i="5"/>
  <c r="O233" i="5"/>
  <c r="P233" i="5"/>
  <c r="Q233" i="5"/>
  <c r="R233" i="5"/>
  <c r="S233" i="5"/>
  <c r="J234" i="5"/>
  <c r="L234" i="5"/>
  <c r="M234" i="5"/>
  <c r="O234" i="5"/>
  <c r="P234" i="5"/>
  <c r="Q234" i="5"/>
  <c r="R234" i="5"/>
  <c r="S234" i="5"/>
  <c r="J235" i="5"/>
  <c r="L235" i="5"/>
  <c r="M235" i="5"/>
  <c r="O235" i="5"/>
  <c r="P235" i="5"/>
  <c r="Q235" i="5"/>
  <c r="R235" i="5"/>
  <c r="S235" i="5"/>
  <c r="J237" i="5"/>
  <c r="L237" i="5"/>
  <c r="M237" i="5"/>
  <c r="O237" i="5"/>
  <c r="P237" i="5"/>
  <c r="Q237" i="5"/>
  <c r="R237" i="5"/>
  <c r="S237" i="5"/>
  <c r="J238" i="5"/>
  <c r="L238" i="5"/>
  <c r="M238" i="5"/>
  <c r="O238" i="5"/>
  <c r="P238" i="5"/>
  <c r="Q238" i="5"/>
  <c r="R238" i="5"/>
  <c r="S238" i="5"/>
  <c r="J239" i="5"/>
  <c r="L239" i="5"/>
  <c r="M239" i="5"/>
  <c r="O239" i="5"/>
  <c r="P239" i="5"/>
  <c r="Q239" i="5"/>
  <c r="R239" i="5"/>
  <c r="S239" i="5"/>
  <c r="J240" i="5"/>
  <c r="L240" i="5"/>
  <c r="M240" i="5"/>
  <c r="O240" i="5"/>
  <c r="P240" i="5"/>
  <c r="Q240" i="5"/>
  <c r="R240" i="5"/>
  <c r="S240" i="5"/>
  <c r="J241" i="5"/>
  <c r="L241" i="5"/>
  <c r="M241" i="5"/>
  <c r="O241" i="5"/>
  <c r="P241" i="5"/>
  <c r="Q241" i="5"/>
  <c r="R241" i="5"/>
  <c r="S241" i="5"/>
  <c r="J243" i="5"/>
  <c r="L243" i="5"/>
  <c r="M243" i="5"/>
  <c r="O243" i="5"/>
  <c r="P243" i="5"/>
  <c r="Q243" i="5"/>
  <c r="R243" i="5"/>
  <c r="S243" i="5"/>
  <c r="J244" i="5"/>
  <c r="L244" i="5"/>
  <c r="M244" i="5"/>
  <c r="O244" i="5"/>
  <c r="P244" i="5"/>
  <c r="Q244" i="5"/>
  <c r="R244" i="5"/>
  <c r="S244" i="5"/>
  <c r="J245" i="5"/>
  <c r="L245" i="5"/>
  <c r="M245" i="5"/>
  <c r="O245" i="5"/>
  <c r="P245" i="5"/>
  <c r="Q245" i="5"/>
  <c r="R245" i="5"/>
  <c r="S245" i="5"/>
  <c r="J246" i="5"/>
  <c r="L246" i="5"/>
  <c r="M246" i="5"/>
  <c r="O246" i="5"/>
  <c r="P246" i="5"/>
  <c r="Q246" i="5"/>
  <c r="R246" i="5"/>
  <c r="S246" i="5"/>
  <c r="J247" i="5"/>
  <c r="L247" i="5"/>
  <c r="M247" i="5"/>
  <c r="O247" i="5"/>
  <c r="P247" i="5"/>
  <c r="Q247" i="5"/>
  <c r="R247" i="5"/>
  <c r="S247" i="5"/>
  <c r="J249" i="5"/>
  <c r="L249" i="5"/>
  <c r="M249" i="5"/>
  <c r="O249" i="5"/>
  <c r="P249" i="5"/>
  <c r="Q249" i="5"/>
  <c r="R249" i="5"/>
  <c r="S249" i="5"/>
  <c r="J250" i="5"/>
  <c r="L250" i="5"/>
  <c r="M250" i="5"/>
  <c r="O250" i="5"/>
  <c r="P250" i="5"/>
  <c r="Q250" i="5"/>
  <c r="R250" i="5"/>
  <c r="S250" i="5"/>
  <c r="J251" i="5"/>
  <c r="L251" i="5"/>
  <c r="M251" i="5"/>
  <c r="O251" i="5"/>
  <c r="P251" i="5"/>
  <c r="Q251" i="5"/>
  <c r="R251" i="5"/>
  <c r="S251" i="5"/>
  <c r="J252" i="5"/>
  <c r="L252" i="5"/>
  <c r="M252" i="5"/>
  <c r="O252" i="5"/>
  <c r="P252" i="5"/>
  <c r="Q252" i="5"/>
  <c r="R252" i="5"/>
  <c r="S252" i="5"/>
  <c r="J253" i="5"/>
  <c r="L253" i="5"/>
  <c r="M253" i="5"/>
  <c r="Q253" i="5"/>
  <c r="R253" i="5"/>
  <c r="S253" i="5"/>
  <c r="J255" i="5"/>
  <c r="L255" i="5"/>
  <c r="M255" i="5"/>
  <c r="O255" i="5"/>
  <c r="P255" i="5"/>
  <c r="Q255" i="5"/>
  <c r="R255" i="5"/>
  <c r="S255" i="5"/>
  <c r="J256" i="5"/>
  <c r="L256" i="5"/>
  <c r="M256" i="5"/>
  <c r="O256" i="5"/>
  <c r="P256" i="5"/>
  <c r="Q256" i="5"/>
  <c r="R256" i="5"/>
  <c r="S256" i="5"/>
  <c r="J257" i="5"/>
  <c r="L257" i="5"/>
  <c r="M257" i="5"/>
  <c r="O257" i="5"/>
  <c r="P257" i="5"/>
  <c r="Q257" i="5"/>
  <c r="R257" i="5"/>
  <c r="S257" i="5"/>
  <c r="J258" i="5"/>
  <c r="L258" i="5"/>
  <c r="M258" i="5"/>
  <c r="O258" i="5"/>
  <c r="P258" i="5"/>
  <c r="Q258" i="5"/>
  <c r="R258" i="5"/>
  <c r="S258" i="5"/>
  <c r="J259" i="5"/>
  <c r="L259" i="5"/>
  <c r="M259" i="5"/>
  <c r="O259" i="5"/>
  <c r="P259" i="5"/>
  <c r="Q259" i="5"/>
  <c r="R259" i="5"/>
  <c r="S259" i="5"/>
  <c r="J261" i="5"/>
  <c r="O261" i="5"/>
  <c r="P261" i="5"/>
  <c r="Q261" i="5"/>
  <c r="R261" i="5"/>
  <c r="S261" i="5"/>
  <c r="J262" i="5"/>
  <c r="L262" i="5"/>
  <c r="M262" i="5"/>
  <c r="O262" i="5"/>
  <c r="P262" i="5"/>
  <c r="Q262" i="5"/>
  <c r="R262" i="5"/>
  <c r="S262" i="5"/>
  <c r="J263" i="5"/>
  <c r="L263" i="5"/>
  <c r="M263" i="5"/>
  <c r="O263" i="5"/>
  <c r="P263" i="5"/>
  <c r="Q263" i="5"/>
  <c r="R263" i="5"/>
  <c r="S263" i="5"/>
  <c r="J264" i="5"/>
  <c r="L264" i="5"/>
  <c r="M264" i="5"/>
  <c r="O264" i="5"/>
  <c r="P264" i="5"/>
  <c r="Q264" i="5"/>
  <c r="R264" i="5"/>
  <c r="S264" i="5"/>
  <c r="J265" i="5"/>
  <c r="L265" i="5"/>
  <c r="M265" i="5"/>
  <c r="Q265" i="5"/>
  <c r="R265" i="5"/>
  <c r="S265" i="5"/>
  <c r="J267" i="5"/>
  <c r="L267" i="5"/>
  <c r="M267" i="5"/>
  <c r="O267" i="5"/>
  <c r="P267" i="5"/>
  <c r="Q267" i="5"/>
  <c r="R267" i="5"/>
  <c r="S267" i="5"/>
  <c r="J268" i="5"/>
  <c r="L268" i="5"/>
  <c r="M268" i="5"/>
  <c r="O268" i="5"/>
  <c r="P268" i="5"/>
  <c r="Q268" i="5"/>
  <c r="R268" i="5"/>
  <c r="S268" i="5"/>
  <c r="J269" i="5"/>
  <c r="L269" i="5"/>
  <c r="M269" i="5"/>
  <c r="O269" i="5"/>
  <c r="P269" i="5"/>
  <c r="Q269" i="5"/>
  <c r="R269" i="5"/>
  <c r="S269" i="5"/>
  <c r="J270" i="5"/>
  <c r="L270" i="5"/>
  <c r="M270" i="5"/>
  <c r="O270" i="5"/>
  <c r="P270" i="5"/>
  <c r="Q270" i="5"/>
  <c r="R270" i="5"/>
  <c r="S270" i="5"/>
  <c r="J271" i="5"/>
  <c r="L271" i="5"/>
  <c r="M271" i="5"/>
  <c r="O271" i="5"/>
  <c r="P271" i="5"/>
  <c r="Q271" i="5"/>
  <c r="R271" i="5"/>
  <c r="S271" i="5"/>
  <c r="J273" i="5"/>
  <c r="M273" i="5"/>
  <c r="O273" i="5"/>
  <c r="P273" i="5"/>
  <c r="J274" i="5"/>
  <c r="L274" i="5"/>
  <c r="M274" i="5"/>
  <c r="Q274" i="5"/>
  <c r="R274" i="5"/>
  <c r="S274" i="5"/>
  <c r="J275" i="5"/>
  <c r="L275" i="5"/>
  <c r="M275" i="5"/>
  <c r="O275" i="5"/>
  <c r="P275" i="5"/>
  <c r="Q275" i="5"/>
  <c r="R275" i="5"/>
  <c r="S275" i="5"/>
  <c r="J276" i="5"/>
  <c r="L276" i="5"/>
  <c r="M276" i="5"/>
  <c r="O276" i="5"/>
  <c r="P276" i="5"/>
  <c r="Q276" i="5"/>
  <c r="R276" i="5"/>
  <c r="S276" i="5"/>
  <c r="J277" i="5"/>
  <c r="L277" i="5"/>
  <c r="M277" i="5"/>
  <c r="O277" i="5"/>
  <c r="P277" i="5"/>
  <c r="Q277" i="5"/>
  <c r="R277" i="5"/>
  <c r="S277" i="5"/>
  <c r="J279" i="5"/>
  <c r="L279" i="5"/>
  <c r="M279" i="5"/>
  <c r="O279" i="5"/>
  <c r="P279" i="5"/>
  <c r="Q279" i="5"/>
  <c r="R279" i="5"/>
  <c r="S279" i="5"/>
  <c r="J280" i="5"/>
  <c r="L280" i="5"/>
  <c r="M280" i="5"/>
  <c r="O280" i="5"/>
  <c r="P280" i="5"/>
  <c r="Q280" i="5"/>
  <c r="R280" i="5"/>
  <c r="S280" i="5"/>
  <c r="J281" i="5"/>
  <c r="L281" i="5"/>
  <c r="M281" i="5"/>
  <c r="O281" i="5"/>
  <c r="P281" i="5"/>
  <c r="Q281" i="5"/>
  <c r="R281" i="5"/>
  <c r="S281" i="5"/>
  <c r="J282" i="5"/>
  <c r="M282" i="5"/>
  <c r="O282" i="5"/>
  <c r="P282" i="5"/>
  <c r="O286" i="5"/>
  <c r="P286" i="5"/>
  <c r="Q286" i="5"/>
  <c r="R286" i="5"/>
  <c r="S286" i="5"/>
  <c r="J288" i="5"/>
  <c r="L288" i="5"/>
  <c r="M288" i="5"/>
  <c r="O288" i="5"/>
  <c r="P288" i="5"/>
  <c r="Q288" i="5"/>
  <c r="R288" i="5"/>
  <c r="S288" i="5"/>
  <c r="J289" i="5"/>
  <c r="L289" i="5"/>
  <c r="M289" i="5"/>
  <c r="O289" i="5"/>
  <c r="P289" i="5"/>
  <c r="Q289" i="5"/>
  <c r="R289" i="5"/>
  <c r="S289" i="5"/>
  <c r="J290" i="5"/>
  <c r="L290" i="5"/>
  <c r="M290" i="5"/>
  <c r="O290" i="5"/>
  <c r="P290" i="5"/>
  <c r="Q290" i="5"/>
  <c r="R290" i="5"/>
  <c r="S290" i="5"/>
  <c r="J291" i="5"/>
  <c r="L291" i="5"/>
  <c r="M291" i="5"/>
  <c r="O291" i="5"/>
  <c r="P291" i="5"/>
  <c r="Q291" i="5"/>
  <c r="R291" i="5"/>
  <c r="S291" i="5"/>
  <c r="J298" i="5"/>
  <c r="L298" i="5"/>
  <c r="M298" i="5"/>
  <c r="O298" i="5"/>
  <c r="P298" i="5"/>
  <c r="Q298" i="5"/>
  <c r="R298" i="5"/>
  <c r="S298" i="5"/>
  <c r="J300" i="5"/>
  <c r="L300" i="5"/>
  <c r="M300" i="5"/>
  <c r="O300" i="5"/>
  <c r="P300" i="5"/>
  <c r="Q300" i="5"/>
  <c r="R300" i="5"/>
  <c r="S300" i="5"/>
  <c r="J301" i="5"/>
  <c r="L301" i="5"/>
  <c r="M301" i="5"/>
  <c r="O301" i="5"/>
  <c r="P301" i="5"/>
  <c r="Q301" i="5"/>
  <c r="R301" i="5"/>
  <c r="S301" i="5"/>
  <c r="J302" i="5"/>
  <c r="L302" i="5"/>
  <c r="M302" i="5"/>
  <c r="O302" i="5"/>
  <c r="P302" i="5"/>
  <c r="Q302" i="5"/>
  <c r="R302" i="5"/>
  <c r="S302" i="5"/>
  <c r="J303" i="5"/>
  <c r="L303" i="5"/>
  <c r="M303" i="5"/>
  <c r="O303" i="5"/>
  <c r="P303" i="5"/>
  <c r="Q303" i="5"/>
  <c r="R303" i="5"/>
  <c r="S303" i="5"/>
  <c r="J304" i="5"/>
  <c r="L304" i="5"/>
  <c r="M304" i="5"/>
  <c r="O304" i="5"/>
  <c r="P304" i="5"/>
  <c r="Q304" i="5"/>
  <c r="R304" i="5"/>
  <c r="S304" i="5"/>
  <c r="J306" i="5"/>
  <c r="L306" i="5"/>
  <c r="M306" i="5"/>
  <c r="O306" i="5"/>
  <c r="P306" i="5"/>
  <c r="Q306" i="5"/>
  <c r="R306" i="5"/>
  <c r="S306" i="5"/>
  <c r="J307" i="5"/>
  <c r="L307" i="5"/>
  <c r="M307" i="5"/>
  <c r="O307" i="5"/>
  <c r="P307" i="5"/>
  <c r="Q307" i="5"/>
  <c r="R307" i="5"/>
  <c r="S307" i="5"/>
  <c r="J308" i="5"/>
  <c r="L308" i="5"/>
  <c r="M308" i="5"/>
  <c r="O308" i="5"/>
  <c r="P308" i="5"/>
  <c r="Q308" i="5"/>
  <c r="R308" i="5"/>
  <c r="S308" i="5"/>
  <c r="J309" i="5"/>
  <c r="L309" i="5"/>
  <c r="M309" i="5"/>
  <c r="O309" i="5"/>
  <c r="P309" i="5"/>
  <c r="Q309" i="5"/>
  <c r="R309" i="5"/>
  <c r="S309" i="5"/>
  <c r="J310" i="5"/>
  <c r="L310" i="5"/>
  <c r="M310" i="5"/>
  <c r="O310" i="5"/>
  <c r="P310" i="5"/>
  <c r="Q310" i="5"/>
  <c r="R310" i="5"/>
  <c r="S310" i="5"/>
  <c r="J312" i="5"/>
  <c r="L312" i="5"/>
  <c r="M312" i="5"/>
  <c r="O312" i="5"/>
  <c r="P312" i="5"/>
  <c r="Q312" i="5"/>
  <c r="R312" i="5"/>
  <c r="S312" i="5"/>
  <c r="J313" i="5"/>
  <c r="L313" i="5"/>
  <c r="M313" i="5"/>
  <c r="O313" i="5"/>
  <c r="P313" i="5"/>
  <c r="Q313" i="5"/>
  <c r="R313" i="5"/>
  <c r="S313" i="5"/>
  <c r="J314" i="5"/>
  <c r="L314" i="5"/>
  <c r="M314" i="5"/>
  <c r="O314" i="5"/>
  <c r="P314" i="5"/>
  <c r="Q314" i="5"/>
  <c r="R314" i="5"/>
  <c r="S314" i="5"/>
  <c r="J315" i="5"/>
  <c r="L315" i="5"/>
  <c r="M315" i="5"/>
  <c r="O315" i="5"/>
  <c r="P315" i="5"/>
  <c r="Q315" i="5"/>
  <c r="R315" i="5"/>
  <c r="S315" i="5"/>
  <c r="J316" i="5"/>
  <c r="L316" i="5"/>
  <c r="M316" i="5"/>
  <c r="O316" i="5"/>
  <c r="P316" i="5"/>
  <c r="Q316" i="5"/>
  <c r="R316" i="5"/>
  <c r="S316" i="5"/>
  <c r="J318" i="5"/>
  <c r="L318" i="5"/>
  <c r="M318" i="5"/>
  <c r="O318" i="5"/>
  <c r="P318" i="5"/>
  <c r="Q318" i="5"/>
  <c r="R318" i="5"/>
  <c r="S318" i="5"/>
  <c r="J319" i="5"/>
  <c r="L319" i="5"/>
  <c r="M319" i="5"/>
  <c r="O319" i="5"/>
  <c r="P319" i="5"/>
  <c r="Q319" i="5"/>
  <c r="R319" i="5"/>
  <c r="S319" i="5"/>
  <c r="J320" i="5"/>
  <c r="L320" i="5"/>
  <c r="M320" i="5"/>
  <c r="O320" i="5"/>
  <c r="P320" i="5"/>
  <c r="Q320" i="5"/>
  <c r="R320" i="5"/>
  <c r="S320" i="5"/>
  <c r="J321" i="5"/>
  <c r="L321" i="5"/>
  <c r="M321" i="5"/>
  <c r="O321" i="5"/>
  <c r="P321" i="5"/>
  <c r="Q321" i="5"/>
  <c r="R321" i="5"/>
  <c r="S321" i="5"/>
  <c r="J322" i="5"/>
  <c r="L322" i="5"/>
  <c r="M322" i="5"/>
  <c r="O322" i="5"/>
  <c r="P322" i="5"/>
  <c r="Q322" i="5"/>
  <c r="R322" i="5"/>
  <c r="S322" i="5"/>
  <c r="G9" i="5"/>
  <c r="G10" i="5"/>
  <c r="G11" i="5"/>
  <c r="G12" i="5"/>
  <c r="G13" i="5"/>
  <c r="G15" i="5"/>
  <c r="G16" i="5"/>
  <c r="G17" i="5"/>
  <c r="G18" i="5"/>
  <c r="G19" i="5"/>
  <c r="G21" i="5"/>
  <c r="G22" i="5"/>
  <c r="G23" i="5"/>
  <c r="G24" i="5"/>
  <c r="G25" i="5"/>
  <c r="G27" i="5"/>
  <c r="G28" i="5"/>
  <c r="G29" i="5"/>
  <c r="G30" i="5"/>
  <c r="G31" i="5"/>
  <c r="G33" i="5"/>
  <c r="G34" i="5"/>
  <c r="G35" i="5"/>
  <c r="G36" i="5"/>
  <c r="G37" i="5"/>
  <c r="G39" i="5"/>
  <c r="G40" i="5"/>
  <c r="G41" i="5"/>
  <c r="G42" i="5"/>
  <c r="G43" i="5"/>
  <c r="G45" i="5"/>
  <c r="G46" i="5"/>
  <c r="G47" i="5"/>
  <c r="G48" i="5"/>
  <c r="G49" i="5"/>
  <c r="G51" i="5"/>
  <c r="G52" i="5"/>
  <c r="G53" i="5"/>
  <c r="G54" i="5"/>
  <c r="G55" i="5"/>
  <c r="G57" i="5"/>
  <c r="G58" i="5"/>
  <c r="G59" i="5"/>
  <c r="G60" i="5"/>
  <c r="G61" i="5"/>
  <c r="G63" i="5"/>
  <c r="G64" i="5"/>
  <c r="G65" i="5"/>
  <c r="G66" i="5"/>
  <c r="G67" i="5"/>
  <c r="G69" i="5"/>
  <c r="G70" i="5"/>
  <c r="G71" i="5"/>
  <c r="G72" i="5"/>
  <c r="G73" i="5"/>
  <c r="G75" i="5"/>
  <c r="G76" i="5"/>
  <c r="G77" i="5"/>
  <c r="G78" i="5"/>
  <c r="G79" i="5"/>
  <c r="G81" i="5"/>
  <c r="G82" i="5"/>
  <c r="G83" i="5"/>
  <c r="G84" i="5"/>
  <c r="G85" i="5"/>
  <c r="G87" i="5"/>
  <c r="G88" i="5"/>
  <c r="G89" i="5"/>
  <c r="G90" i="5"/>
  <c r="G91" i="5"/>
  <c r="G93" i="5"/>
  <c r="G94" i="5"/>
  <c r="G95" i="5"/>
  <c r="G96" i="5"/>
  <c r="G97" i="5"/>
  <c r="G99" i="5"/>
  <c r="G100" i="5"/>
  <c r="G101" i="5"/>
  <c r="G102" i="5"/>
  <c r="G103" i="5"/>
  <c r="G105" i="5"/>
  <c r="G106" i="5"/>
  <c r="G107" i="5"/>
  <c r="G108" i="5"/>
  <c r="G109" i="5"/>
  <c r="G111" i="5"/>
  <c r="G112" i="5"/>
  <c r="G113" i="5"/>
  <c r="G114" i="5"/>
  <c r="G115" i="5"/>
  <c r="G117" i="5"/>
  <c r="G118" i="5"/>
  <c r="G119" i="5"/>
  <c r="G120" i="5"/>
  <c r="G121" i="5"/>
  <c r="G123" i="5"/>
  <c r="G124" i="5"/>
  <c r="G125" i="5"/>
  <c r="G126" i="5"/>
  <c r="G127" i="5"/>
  <c r="G129" i="5"/>
  <c r="G130" i="5"/>
  <c r="G131" i="5"/>
  <c r="G132" i="5"/>
  <c r="G133" i="5"/>
  <c r="G135" i="5"/>
  <c r="G136" i="5"/>
  <c r="G137" i="5"/>
  <c r="G138" i="5"/>
  <c r="G139" i="5"/>
  <c r="G141" i="5"/>
  <c r="G142" i="5"/>
  <c r="G143" i="5"/>
  <c r="G144" i="5"/>
  <c r="G145" i="5"/>
  <c r="G147" i="5"/>
  <c r="G148" i="5"/>
  <c r="G149" i="5"/>
  <c r="G150" i="5"/>
  <c r="G151" i="5"/>
  <c r="G153" i="5"/>
  <c r="G154" i="5"/>
  <c r="G155" i="5"/>
  <c r="G156" i="5"/>
  <c r="G157" i="5"/>
  <c r="G159" i="5"/>
  <c r="G160" i="5"/>
  <c r="G161" i="5"/>
  <c r="G162" i="5"/>
  <c r="G163" i="5"/>
  <c r="G165" i="5"/>
  <c r="G166" i="5"/>
  <c r="G167" i="5"/>
  <c r="G168" i="5"/>
  <c r="G169" i="5"/>
  <c r="G171" i="5"/>
  <c r="G172" i="5"/>
  <c r="G173" i="5"/>
  <c r="G174" i="5"/>
  <c r="G175" i="5"/>
  <c r="G177" i="5"/>
  <c r="G178" i="5"/>
  <c r="G179" i="5"/>
  <c r="G180" i="5"/>
  <c r="G181" i="5"/>
  <c r="G183" i="5"/>
  <c r="G184" i="5"/>
  <c r="G185" i="5"/>
  <c r="G186" i="5"/>
  <c r="G187" i="5"/>
  <c r="G189" i="5"/>
  <c r="G190" i="5"/>
  <c r="G191" i="5"/>
  <c r="G192" i="5"/>
  <c r="G193" i="5"/>
  <c r="G195" i="5"/>
  <c r="G196" i="5"/>
  <c r="G197" i="5"/>
  <c r="G198" i="5"/>
  <c r="G199" i="5"/>
  <c r="G201" i="5"/>
  <c r="G202" i="5"/>
  <c r="G203" i="5"/>
  <c r="G204" i="5"/>
  <c r="G205" i="5"/>
  <c r="G207" i="5"/>
  <c r="G208" i="5"/>
  <c r="G209" i="5"/>
  <c r="G210" i="5"/>
  <c r="G211" i="5"/>
  <c r="G213" i="5"/>
  <c r="G214" i="5"/>
  <c r="G215" i="5"/>
  <c r="G216" i="5"/>
  <c r="G217" i="5"/>
  <c r="G219" i="5"/>
  <c r="G220" i="5"/>
  <c r="G221" i="5"/>
  <c r="G222" i="5"/>
  <c r="G223" i="5"/>
  <c r="G225" i="5"/>
  <c r="G226" i="5"/>
  <c r="G227" i="5"/>
  <c r="G228" i="5"/>
  <c r="G229" i="5"/>
  <c r="G231" i="5"/>
  <c r="G232" i="5"/>
  <c r="G233" i="5"/>
  <c r="G234" i="5"/>
  <c r="G235" i="5"/>
  <c r="G237" i="5"/>
  <c r="G238" i="5"/>
  <c r="G239" i="5"/>
  <c r="G240" i="5"/>
  <c r="G241" i="5"/>
  <c r="G243" i="5"/>
  <c r="G244" i="5"/>
  <c r="G245" i="5"/>
  <c r="G246" i="5"/>
  <c r="G247" i="5"/>
  <c r="G249" i="5"/>
  <c r="G250" i="5"/>
  <c r="G251" i="5"/>
  <c r="G252" i="5"/>
  <c r="G253" i="5"/>
  <c r="G255" i="5"/>
  <c r="G256" i="5"/>
  <c r="G257" i="5"/>
  <c r="G258" i="5"/>
  <c r="G259" i="5"/>
  <c r="G261" i="5"/>
  <c r="G262" i="5"/>
  <c r="G263" i="5"/>
  <c r="G264" i="5"/>
  <c r="G265" i="5"/>
  <c r="G267" i="5"/>
  <c r="G268" i="5"/>
  <c r="G269" i="5"/>
  <c r="G270" i="5"/>
  <c r="G271" i="5"/>
  <c r="G273" i="5"/>
  <c r="G274" i="5"/>
  <c r="G275" i="5"/>
  <c r="G276" i="5"/>
  <c r="G277" i="5"/>
  <c r="G279" i="5"/>
  <c r="G280" i="5"/>
  <c r="G281" i="5"/>
  <c r="G282" i="5"/>
  <c r="G286" i="5"/>
  <c r="G288" i="5"/>
  <c r="G289" i="5"/>
  <c r="G290" i="5"/>
  <c r="G291" i="5"/>
  <c r="G298" i="5"/>
  <c r="G300" i="5"/>
  <c r="G301" i="5"/>
  <c r="G302" i="5"/>
  <c r="G303" i="5"/>
  <c r="G304" i="5"/>
  <c r="G306" i="5"/>
  <c r="G307" i="5"/>
  <c r="G308" i="5"/>
  <c r="G309" i="5"/>
  <c r="G310" i="5"/>
  <c r="G312" i="5"/>
  <c r="G313" i="5"/>
  <c r="G314" i="5"/>
  <c r="G315" i="5"/>
  <c r="G316" i="5"/>
  <c r="G318" i="5"/>
  <c r="G319" i="5"/>
  <c r="G320" i="5"/>
  <c r="G321" i="5"/>
  <c r="G322" i="5"/>
  <c r="C45" i="3"/>
  <c r="C49" i="3"/>
  <c r="C53" i="3"/>
  <c r="C57" i="3"/>
  <c r="C61" i="3"/>
  <c r="C65" i="3"/>
  <c r="C69" i="3"/>
  <c r="C73" i="3"/>
  <c r="C77" i="3"/>
  <c r="C81" i="3"/>
  <c r="C85" i="3"/>
  <c r="C89" i="3"/>
  <c r="C93" i="3"/>
  <c r="C97" i="3"/>
  <c r="C101" i="3"/>
  <c r="C105" i="3"/>
  <c r="C109" i="3"/>
  <c r="C113" i="3"/>
  <c r="C117" i="3"/>
  <c r="C121" i="3"/>
  <c r="C125" i="3"/>
  <c r="C129" i="3"/>
  <c r="C133" i="3"/>
  <c r="C137" i="3"/>
  <c r="C141" i="3"/>
  <c r="C145" i="3"/>
  <c r="C149" i="3"/>
  <c r="C153" i="3"/>
  <c r="C157" i="3"/>
  <c r="C161" i="3"/>
  <c r="C165" i="3"/>
  <c r="C169" i="3"/>
  <c r="C173" i="3"/>
  <c r="C177" i="3"/>
  <c r="C181" i="3"/>
  <c r="C185" i="3"/>
  <c r="C189" i="3"/>
  <c r="C193" i="3"/>
  <c r="C197" i="3"/>
  <c r="C201" i="3"/>
  <c r="C205" i="3"/>
  <c r="C209" i="3"/>
  <c r="C9" i="3"/>
  <c r="C13" i="3"/>
  <c r="C17" i="3"/>
  <c r="C21" i="3"/>
  <c r="C25" i="3"/>
  <c r="C29" i="3"/>
  <c r="C33" i="3"/>
  <c r="C37" i="3"/>
  <c r="AO133" i="3"/>
  <c r="Y133" i="3"/>
  <c r="AC133" i="3"/>
  <c r="M133" i="3"/>
  <c r="AH2" i="3"/>
  <c r="AH6" i="3"/>
  <c r="AH10" i="3"/>
  <c r="AH14" i="3"/>
  <c r="AH18" i="3"/>
  <c r="AH22" i="3"/>
  <c r="AH26" i="3"/>
  <c r="AH30" i="3"/>
  <c r="AH34" i="3"/>
  <c r="AH38" i="3"/>
  <c r="AH42" i="3"/>
  <c r="AH46" i="3"/>
  <c r="AH50" i="3"/>
  <c r="AH54" i="3"/>
  <c r="AH58" i="3"/>
  <c r="AH62" i="3"/>
  <c r="AH66" i="3"/>
  <c r="AH70" i="3"/>
  <c r="AH74" i="3"/>
  <c r="AH78" i="3"/>
  <c r="AH210" i="3"/>
  <c r="AL2" i="3"/>
  <c r="AL6" i="3"/>
  <c r="AL10" i="3"/>
  <c r="AL14" i="3"/>
  <c r="AL18" i="3"/>
  <c r="AL22" i="3"/>
  <c r="AL26" i="3"/>
  <c r="AL30" i="3"/>
  <c r="AL34" i="3"/>
  <c r="AL38" i="3"/>
  <c r="AL42" i="3"/>
  <c r="AL46" i="3"/>
  <c r="AL50" i="3"/>
  <c r="AL54" i="3"/>
  <c r="AL58" i="3"/>
  <c r="AL62" i="3"/>
  <c r="AL66" i="3"/>
  <c r="AL70" i="3"/>
  <c r="AL74" i="3"/>
  <c r="AL78" i="3"/>
  <c r="AL210" i="3"/>
  <c r="AP210" i="3"/>
  <c r="AH211" i="3"/>
  <c r="AL211" i="3"/>
  <c r="AP211" i="3"/>
  <c r="AH212" i="3"/>
  <c r="AL212" i="3"/>
  <c r="AP212" i="3"/>
  <c r="AO7" i="3"/>
  <c r="AO3" i="3"/>
  <c r="AQ7" i="3"/>
  <c r="AP7" i="3"/>
  <c r="AR7" i="3"/>
  <c r="AO8" i="3"/>
  <c r="AO4" i="3"/>
  <c r="AQ8" i="3"/>
  <c r="AP8" i="3"/>
  <c r="AR8" i="3"/>
  <c r="AQ9" i="3"/>
  <c r="AR9" i="3"/>
  <c r="AG10" i="3"/>
  <c r="AK10" i="3"/>
  <c r="AO10" i="3"/>
  <c r="AG6" i="3"/>
  <c r="AK6" i="3"/>
  <c r="AO6" i="3"/>
  <c r="AQ10" i="3"/>
  <c r="AP10" i="3"/>
  <c r="AR10" i="3"/>
  <c r="AO11" i="3"/>
  <c r="AQ11" i="3"/>
  <c r="AP11" i="3"/>
  <c r="AR11" i="3"/>
  <c r="AO12" i="3"/>
  <c r="AQ12" i="3"/>
  <c r="AP12" i="3"/>
  <c r="AR12" i="3"/>
  <c r="AQ13" i="3"/>
  <c r="AR13" i="3"/>
  <c r="AG14" i="3"/>
  <c r="AK14" i="3"/>
  <c r="AO14" i="3"/>
  <c r="AQ14" i="3"/>
  <c r="AP14" i="3"/>
  <c r="AR14" i="3"/>
  <c r="AO15" i="3"/>
  <c r="AQ15" i="3"/>
  <c r="AP15" i="3"/>
  <c r="AR15" i="3"/>
  <c r="AO16" i="3"/>
  <c r="AQ16" i="3"/>
  <c r="AP16" i="3"/>
  <c r="AR16" i="3"/>
  <c r="AQ17" i="3"/>
  <c r="AR17" i="3"/>
  <c r="AG18" i="3"/>
  <c r="AK18" i="3"/>
  <c r="AO18" i="3"/>
  <c r="AQ18" i="3"/>
  <c r="AP18" i="3"/>
  <c r="AR18" i="3"/>
  <c r="AO19" i="3"/>
  <c r="AQ19" i="3"/>
  <c r="AP19" i="3"/>
  <c r="AR19" i="3"/>
  <c r="AO20" i="3"/>
  <c r="AQ20" i="3"/>
  <c r="AP20" i="3"/>
  <c r="AR20" i="3"/>
  <c r="AQ21" i="3"/>
  <c r="AR21" i="3"/>
  <c r="AG22" i="3"/>
  <c r="AK22" i="3"/>
  <c r="AO22" i="3"/>
  <c r="AQ22" i="3"/>
  <c r="AP22" i="3"/>
  <c r="AR22" i="3"/>
  <c r="AO23" i="3"/>
  <c r="AQ23" i="3"/>
  <c r="AP23" i="3"/>
  <c r="AR23" i="3"/>
  <c r="AO24" i="3"/>
  <c r="AQ24" i="3"/>
  <c r="AP24" i="3"/>
  <c r="AR24" i="3"/>
  <c r="AQ25" i="3"/>
  <c r="AR25" i="3"/>
  <c r="AG26" i="3"/>
  <c r="AK26" i="3"/>
  <c r="AO26" i="3"/>
  <c r="AQ26" i="3"/>
  <c r="AP26" i="3"/>
  <c r="AR26" i="3"/>
  <c r="AO27" i="3"/>
  <c r="AQ27" i="3"/>
  <c r="AP27" i="3"/>
  <c r="AR27" i="3"/>
  <c r="AO28" i="3"/>
  <c r="AQ28" i="3"/>
  <c r="AP28" i="3"/>
  <c r="AR28" i="3"/>
  <c r="AQ29" i="3"/>
  <c r="AR29" i="3"/>
  <c r="AG30" i="3"/>
  <c r="AK30" i="3"/>
  <c r="AO30" i="3"/>
  <c r="AQ30" i="3"/>
  <c r="AP30" i="3"/>
  <c r="AR30" i="3"/>
  <c r="AO31" i="3"/>
  <c r="AQ31" i="3"/>
  <c r="AP31" i="3"/>
  <c r="AR31" i="3"/>
  <c r="AO32" i="3"/>
  <c r="AQ32" i="3"/>
  <c r="AP32" i="3"/>
  <c r="AR32" i="3"/>
  <c r="AQ33" i="3"/>
  <c r="AR33" i="3"/>
  <c r="AG34" i="3"/>
  <c r="AK34" i="3"/>
  <c r="AO34" i="3"/>
  <c r="AQ34" i="3"/>
  <c r="AP34" i="3"/>
  <c r="AR34" i="3"/>
  <c r="AO35" i="3"/>
  <c r="AQ35" i="3"/>
  <c r="AP35" i="3"/>
  <c r="AR35" i="3"/>
  <c r="AO36" i="3"/>
  <c r="AQ36" i="3"/>
  <c r="AP36" i="3"/>
  <c r="AR36" i="3"/>
  <c r="AQ37" i="3"/>
  <c r="AR37" i="3"/>
  <c r="AG38" i="3"/>
  <c r="AK38" i="3"/>
  <c r="AO38" i="3"/>
  <c r="AQ38" i="3"/>
  <c r="AP38" i="3"/>
  <c r="AR38" i="3"/>
  <c r="AO39" i="3"/>
  <c r="AQ39" i="3"/>
  <c r="AP39" i="3"/>
  <c r="AR39" i="3"/>
  <c r="AO40" i="3"/>
  <c r="AQ40" i="3"/>
  <c r="AP40" i="3"/>
  <c r="AR40" i="3"/>
  <c r="AQ41" i="3"/>
  <c r="AR41" i="3"/>
  <c r="AG42" i="3"/>
  <c r="AK42" i="3"/>
  <c r="AO42" i="3"/>
  <c r="AQ42" i="3"/>
  <c r="AP42" i="3"/>
  <c r="AR42" i="3"/>
  <c r="AO43" i="3"/>
  <c r="AQ43" i="3"/>
  <c r="AP43" i="3"/>
  <c r="AR43" i="3"/>
  <c r="AO44" i="3"/>
  <c r="AQ44" i="3"/>
  <c r="AP44" i="3"/>
  <c r="AR44" i="3"/>
  <c r="AQ45" i="3"/>
  <c r="AR45" i="3"/>
  <c r="AG46" i="3"/>
  <c r="AK46" i="3"/>
  <c r="AO46" i="3"/>
  <c r="AQ46" i="3"/>
  <c r="AP46" i="3"/>
  <c r="AR46" i="3"/>
  <c r="AO47" i="3"/>
  <c r="AQ47" i="3"/>
  <c r="AP47" i="3"/>
  <c r="AR47" i="3"/>
  <c r="AO48" i="3"/>
  <c r="AQ48" i="3"/>
  <c r="AP48" i="3"/>
  <c r="AR48" i="3"/>
  <c r="AQ49" i="3"/>
  <c r="AR49" i="3"/>
  <c r="AG50" i="3"/>
  <c r="AK50" i="3"/>
  <c r="AO50" i="3"/>
  <c r="AQ50" i="3"/>
  <c r="AP50" i="3"/>
  <c r="AR50" i="3"/>
  <c r="AO51" i="3"/>
  <c r="AQ51" i="3"/>
  <c r="AP51" i="3"/>
  <c r="AR51" i="3"/>
  <c r="AO52" i="3"/>
  <c r="AQ52" i="3"/>
  <c r="AP52" i="3"/>
  <c r="AR52" i="3"/>
  <c r="AQ53" i="3"/>
  <c r="AR53" i="3"/>
  <c r="AG54" i="3"/>
  <c r="AK54" i="3"/>
  <c r="AO54" i="3"/>
  <c r="AQ54" i="3"/>
  <c r="AP54" i="3"/>
  <c r="AR54" i="3"/>
  <c r="AO55" i="3"/>
  <c r="AQ55" i="3"/>
  <c r="AP55" i="3"/>
  <c r="AR55" i="3"/>
  <c r="AO56" i="3"/>
  <c r="AQ56" i="3"/>
  <c r="AP56" i="3"/>
  <c r="AR56" i="3"/>
  <c r="AQ57" i="3"/>
  <c r="AR57" i="3"/>
  <c r="AG58" i="3"/>
  <c r="AK58" i="3"/>
  <c r="AO58" i="3"/>
  <c r="AQ58" i="3"/>
  <c r="AP58" i="3"/>
  <c r="AR58" i="3"/>
  <c r="AO59" i="3"/>
  <c r="AQ59" i="3"/>
  <c r="AP59" i="3"/>
  <c r="AR59" i="3"/>
  <c r="AO60" i="3"/>
  <c r="AQ60" i="3"/>
  <c r="AP60" i="3"/>
  <c r="AR60" i="3"/>
  <c r="AQ61" i="3"/>
  <c r="AR61" i="3"/>
  <c r="AG62" i="3"/>
  <c r="AK62" i="3"/>
  <c r="AO62" i="3"/>
  <c r="AQ62" i="3"/>
  <c r="AP62" i="3"/>
  <c r="AR62" i="3"/>
  <c r="AO63" i="3"/>
  <c r="AQ63" i="3"/>
  <c r="AP63" i="3"/>
  <c r="AR63" i="3"/>
  <c r="AO64" i="3"/>
  <c r="AQ64" i="3"/>
  <c r="AP64" i="3"/>
  <c r="AR64" i="3"/>
  <c r="AQ65" i="3"/>
  <c r="AR65" i="3"/>
  <c r="AG66" i="3"/>
  <c r="AK66" i="3"/>
  <c r="AO66" i="3"/>
  <c r="AQ66" i="3"/>
  <c r="AP66" i="3"/>
  <c r="AR66" i="3"/>
  <c r="AO67" i="3"/>
  <c r="AQ67" i="3"/>
  <c r="AP67" i="3"/>
  <c r="AR67" i="3"/>
  <c r="AO68" i="3"/>
  <c r="AQ68" i="3"/>
  <c r="AP68" i="3"/>
  <c r="AR68" i="3"/>
  <c r="AQ69" i="3"/>
  <c r="AR69" i="3"/>
  <c r="AG70" i="3"/>
  <c r="AK70" i="3"/>
  <c r="AO70" i="3"/>
  <c r="AQ70" i="3"/>
  <c r="AP70" i="3"/>
  <c r="AR70" i="3"/>
  <c r="AO71" i="3"/>
  <c r="AQ71" i="3"/>
  <c r="AP71" i="3"/>
  <c r="AR71" i="3"/>
  <c r="AO72" i="3"/>
  <c r="AQ72" i="3"/>
  <c r="AP72" i="3"/>
  <c r="AR72" i="3"/>
  <c r="AQ73" i="3"/>
  <c r="AR73" i="3"/>
  <c r="AG74" i="3"/>
  <c r="AK74" i="3"/>
  <c r="AO74" i="3"/>
  <c r="AQ74" i="3"/>
  <c r="AP74" i="3"/>
  <c r="AR74" i="3"/>
  <c r="AO75" i="3"/>
  <c r="AQ75" i="3"/>
  <c r="AP75" i="3"/>
  <c r="AR75" i="3"/>
  <c r="AO76" i="3"/>
  <c r="AQ76" i="3"/>
  <c r="AP76" i="3"/>
  <c r="AR76" i="3"/>
  <c r="AQ77" i="3"/>
  <c r="AR77" i="3"/>
  <c r="AG78" i="3"/>
  <c r="AK78" i="3"/>
  <c r="AO78" i="3"/>
  <c r="AQ78" i="3"/>
  <c r="AP78" i="3"/>
  <c r="AR78" i="3"/>
  <c r="AO79" i="3"/>
  <c r="AQ79" i="3"/>
  <c r="AP79" i="3"/>
  <c r="AR79" i="3"/>
  <c r="AO80" i="3"/>
  <c r="AQ80" i="3"/>
  <c r="AP80" i="3"/>
  <c r="AR80" i="3"/>
  <c r="AQ81" i="3"/>
  <c r="AR81" i="3"/>
  <c r="AQ82" i="3"/>
  <c r="AP82" i="3"/>
  <c r="AR82" i="3"/>
  <c r="AO83" i="3"/>
  <c r="AQ83" i="3"/>
  <c r="AP83" i="3"/>
  <c r="AR83" i="3"/>
  <c r="AO84" i="3"/>
  <c r="AQ84" i="3"/>
  <c r="AP84" i="3"/>
  <c r="AR84" i="3"/>
  <c r="AO85" i="3"/>
  <c r="AQ85" i="3"/>
  <c r="AR85" i="3"/>
  <c r="AO87" i="3"/>
  <c r="AQ87" i="3"/>
  <c r="AP87" i="3"/>
  <c r="AR87" i="3"/>
  <c r="AO88" i="3"/>
  <c r="AQ88" i="3"/>
  <c r="AP88" i="3"/>
  <c r="AR88" i="3"/>
  <c r="AO89" i="3"/>
  <c r="AQ89" i="3"/>
  <c r="AR89" i="3"/>
  <c r="AO91" i="3"/>
  <c r="AQ91" i="3"/>
  <c r="AP91" i="3"/>
  <c r="AR91" i="3"/>
  <c r="AO92" i="3"/>
  <c r="AQ92" i="3"/>
  <c r="AP92" i="3"/>
  <c r="AR92" i="3"/>
  <c r="AO93" i="3"/>
  <c r="AQ93" i="3"/>
  <c r="AR93" i="3"/>
  <c r="AO95" i="3"/>
  <c r="AQ95" i="3"/>
  <c r="AP95" i="3"/>
  <c r="AR95" i="3"/>
  <c r="AO96" i="3"/>
  <c r="AQ96" i="3"/>
  <c r="AP96" i="3"/>
  <c r="AR96" i="3"/>
  <c r="AO97" i="3"/>
  <c r="AQ97" i="3"/>
  <c r="AR97" i="3"/>
  <c r="AO99" i="3"/>
  <c r="AQ99" i="3"/>
  <c r="AP99" i="3"/>
  <c r="AR99" i="3"/>
  <c r="AO100" i="3"/>
  <c r="AQ100" i="3"/>
  <c r="AP100" i="3"/>
  <c r="AR100" i="3"/>
  <c r="AO101" i="3"/>
  <c r="AQ101" i="3"/>
  <c r="AR101" i="3"/>
  <c r="AO103" i="3"/>
  <c r="AQ103" i="3"/>
  <c r="AP103" i="3"/>
  <c r="AR103" i="3"/>
  <c r="AO104" i="3"/>
  <c r="AQ104" i="3"/>
  <c r="AP104" i="3"/>
  <c r="AR104" i="3"/>
  <c r="AO105" i="3"/>
  <c r="AQ105" i="3"/>
  <c r="AR105" i="3"/>
  <c r="AO107" i="3"/>
  <c r="AQ107" i="3"/>
  <c r="AP107" i="3"/>
  <c r="AR107" i="3"/>
  <c r="AO108" i="3"/>
  <c r="AQ108" i="3"/>
  <c r="AP108" i="3"/>
  <c r="AR108" i="3"/>
  <c r="AO109" i="3"/>
  <c r="AQ109" i="3"/>
  <c r="AR109" i="3"/>
  <c r="AO111" i="3"/>
  <c r="AQ111" i="3"/>
  <c r="AP111" i="3"/>
  <c r="AR111" i="3"/>
  <c r="AO112" i="3"/>
  <c r="AQ112" i="3"/>
  <c r="AP112" i="3"/>
  <c r="AR112" i="3"/>
  <c r="AO113" i="3"/>
  <c r="AQ113" i="3"/>
  <c r="AR113" i="3"/>
  <c r="AO115" i="3"/>
  <c r="AQ115" i="3"/>
  <c r="AP115" i="3"/>
  <c r="AR115" i="3"/>
  <c r="AO116" i="3"/>
  <c r="AQ116" i="3"/>
  <c r="AP116" i="3"/>
  <c r="AR116" i="3"/>
  <c r="AO117" i="3"/>
  <c r="AQ117" i="3"/>
  <c r="AR117" i="3"/>
  <c r="AO119" i="3"/>
  <c r="AQ119" i="3"/>
  <c r="AP119" i="3"/>
  <c r="AR119" i="3"/>
  <c r="AO120" i="3"/>
  <c r="AQ120" i="3"/>
  <c r="AP120" i="3"/>
  <c r="AR120" i="3"/>
  <c r="AO121" i="3"/>
  <c r="AQ121" i="3"/>
  <c r="AR121" i="3"/>
  <c r="AO123" i="3"/>
  <c r="AQ123" i="3"/>
  <c r="AP123" i="3"/>
  <c r="AR123" i="3"/>
  <c r="AO124" i="3"/>
  <c r="AQ124" i="3"/>
  <c r="AP124" i="3"/>
  <c r="AR124" i="3"/>
  <c r="AO125" i="3"/>
  <c r="AQ125" i="3"/>
  <c r="AR125" i="3"/>
  <c r="AO127" i="3"/>
  <c r="AQ127" i="3"/>
  <c r="AP127" i="3"/>
  <c r="AR127" i="3"/>
  <c r="AO128" i="3"/>
  <c r="AQ128" i="3"/>
  <c r="AP128" i="3"/>
  <c r="AR128" i="3"/>
  <c r="AO129" i="3"/>
  <c r="AQ129" i="3"/>
  <c r="AR129" i="3"/>
  <c r="AO131" i="3"/>
  <c r="AQ131" i="3"/>
  <c r="AP131" i="3"/>
  <c r="AR131" i="3"/>
  <c r="AO132" i="3"/>
  <c r="AQ132" i="3"/>
  <c r="AP132" i="3"/>
  <c r="AR132" i="3"/>
  <c r="AQ133" i="3"/>
  <c r="AR133" i="3"/>
  <c r="AO135" i="3"/>
  <c r="AQ135" i="3"/>
  <c r="AP135" i="3"/>
  <c r="AR135" i="3"/>
  <c r="AO136" i="3"/>
  <c r="AQ136" i="3"/>
  <c r="AP136" i="3"/>
  <c r="AR136" i="3"/>
  <c r="AQ137" i="3"/>
  <c r="AR137" i="3"/>
  <c r="AO139" i="3"/>
  <c r="AQ139" i="3"/>
  <c r="AP139" i="3"/>
  <c r="AR139" i="3"/>
  <c r="AO140" i="3"/>
  <c r="AQ140" i="3"/>
  <c r="AP140" i="3"/>
  <c r="AR140" i="3"/>
  <c r="AQ141" i="3"/>
  <c r="AR141" i="3"/>
  <c r="AO143" i="3"/>
  <c r="AQ143" i="3"/>
  <c r="AP143" i="3"/>
  <c r="AR143" i="3"/>
  <c r="AO144" i="3"/>
  <c r="AQ144" i="3"/>
  <c r="AP144" i="3"/>
  <c r="AR144" i="3"/>
  <c r="AQ145" i="3"/>
  <c r="AR145" i="3"/>
  <c r="AO147" i="3"/>
  <c r="AQ147" i="3"/>
  <c r="AP147" i="3"/>
  <c r="AR147" i="3"/>
  <c r="AO148" i="3"/>
  <c r="AQ148" i="3"/>
  <c r="AP148" i="3"/>
  <c r="AR148" i="3"/>
  <c r="AQ149" i="3"/>
  <c r="AR149" i="3"/>
  <c r="AO151" i="3"/>
  <c r="AQ151" i="3"/>
  <c r="AP151" i="3"/>
  <c r="AR151" i="3"/>
  <c r="AO152" i="3"/>
  <c r="AQ152" i="3"/>
  <c r="AP152" i="3"/>
  <c r="AR152" i="3"/>
  <c r="AQ153" i="3"/>
  <c r="AR153" i="3"/>
  <c r="AO155" i="3"/>
  <c r="AQ155" i="3"/>
  <c r="AP155" i="3"/>
  <c r="AR155" i="3"/>
  <c r="AO156" i="3"/>
  <c r="AQ156" i="3"/>
  <c r="AP156" i="3"/>
  <c r="AR156" i="3"/>
  <c r="AQ157" i="3"/>
  <c r="AR157" i="3"/>
  <c r="AO159" i="3"/>
  <c r="AP159" i="3"/>
  <c r="AR159" i="3"/>
  <c r="AO160" i="3"/>
  <c r="AP160" i="3"/>
  <c r="AQ161" i="3"/>
  <c r="AR161" i="3"/>
  <c r="AO163" i="3"/>
  <c r="AP163" i="3"/>
  <c r="AO164" i="3"/>
  <c r="AP164" i="3"/>
  <c r="AQ165" i="3"/>
  <c r="AR165" i="3"/>
  <c r="AO167" i="3"/>
  <c r="AO171" i="3"/>
  <c r="AQ171" i="3"/>
  <c r="AP167" i="3"/>
  <c r="AO168" i="3"/>
  <c r="AO172" i="3"/>
  <c r="AQ172" i="3"/>
  <c r="AP168" i="3"/>
  <c r="AQ169" i="3"/>
  <c r="AR169" i="3"/>
  <c r="AP171" i="3"/>
  <c r="AR171" i="3"/>
  <c r="AP172" i="3"/>
  <c r="AR172" i="3"/>
  <c r="AQ173" i="3"/>
  <c r="AR173" i="3"/>
  <c r="AO175" i="3"/>
  <c r="AR175" i="3"/>
  <c r="AQ175" i="3"/>
  <c r="AP175" i="3"/>
  <c r="AO176" i="3"/>
  <c r="AQ176" i="3"/>
  <c r="AP176" i="3"/>
  <c r="AQ177" i="3"/>
  <c r="AR177" i="3"/>
  <c r="AO179" i="3"/>
  <c r="AR179" i="3"/>
  <c r="AP179" i="3"/>
  <c r="AO180" i="3"/>
  <c r="AR180" i="3"/>
  <c r="AP180" i="3"/>
  <c r="AQ181" i="3"/>
  <c r="AR181" i="3"/>
  <c r="AO183" i="3"/>
  <c r="AO187" i="3"/>
  <c r="AQ187" i="3"/>
  <c r="AP183" i="3"/>
  <c r="AO184" i="3"/>
  <c r="AR184" i="3"/>
  <c r="AP184" i="3"/>
  <c r="AQ185" i="3"/>
  <c r="AR185" i="3"/>
  <c r="AP187" i="3"/>
  <c r="AR187" i="3"/>
  <c r="AO188" i="3"/>
  <c r="AQ188" i="3"/>
  <c r="AP188" i="3"/>
  <c r="AR188" i="3"/>
  <c r="AQ189" i="3"/>
  <c r="AR189" i="3"/>
  <c r="AO191" i="3"/>
  <c r="AQ191" i="3"/>
  <c r="AP191" i="3"/>
  <c r="AR191" i="3"/>
  <c r="AO192" i="3"/>
  <c r="AQ192" i="3"/>
  <c r="AP192" i="3"/>
  <c r="AR192" i="3"/>
  <c r="AQ193" i="3"/>
  <c r="AR193" i="3"/>
  <c r="AO195" i="3"/>
  <c r="AQ195" i="3"/>
  <c r="AP195" i="3"/>
  <c r="AR195" i="3"/>
  <c r="AO196" i="3"/>
  <c r="AQ196" i="3"/>
  <c r="AP196" i="3"/>
  <c r="AR196" i="3"/>
  <c r="AQ197" i="3"/>
  <c r="AR197" i="3"/>
  <c r="AO199" i="3"/>
  <c r="AQ199" i="3"/>
  <c r="AP199" i="3"/>
  <c r="AR199" i="3"/>
  <c r="AO200" i="3"/>
  <c r="AQ200" i="3"/>
  <c r="AP200" i="3"/>
  <c r="AR200" i="3"/>
  <c r="AQ201" i="3"/>
  <c r="AR201" i="3"/>
  <c r="AO203" i="3"/>
  <c r="AQ203" i="3"/>
  <c r="AP203" i="3"/>
  <c r="AR203" i="3"/>
  <c r="AO204" i="3"/>
  <c r="AQ204" i="3"/>
  <c r="AP204" i="3"/>
  <c r="AR204" i="3"/>
  <c r="AQ205" i="3"/>
  <c r="AR205" i="3"/>
  <c r="AO207" i="3"/>
  <c r="AQ207" i="3"/>
  <c r="AP207" i="3"/>
  <c r="AR207" i="3"/>
  <c r="AO208" i="3"/>
  <c r="AQ208" i="3"/>
  <c r="AP208" i="3"/>
  <c r="AR208" i="3"/>
  <c r="AQ209" i="3"/>
  <c r="AR209" i="3"/>
  <c r="AM7" i="3"/>
  <c r="AN7" i="3"/>
  <c r="AM8" i="3"/>
  <c r="AN8" i="3"/>
  <c r="AM9" i="3"/>
  <c r="AN9" i="3"/>
  <c r="AM10" i="3"/>
  <c r="AN10" i="3"/>
  <c r="AM11" i="3"/>
  <c r="AN11" i="3"/>
  <c r="AM12" i="3"/>
  <c r="AN12" i="3"/>
  <c r="AM13" i="3"/>
  <c r="AN13" i="3"/>
  <c r="AM14" i="3"/>
  <c r="AN14" i="3"/>
  <c r="AM15" i="3"/>
  <c r="AN15" i="3"/>
  <c r="AM16" i="3"/>
  <c r="AN16" i="3"/>
  <c r="AM17" i="3"/>
  <c r="AN17" i="3"/>
  <c r="AM18" i="3"/>
  <c r="AN18" i="3"/>
  <c r="AM19" i="3"/>
  <c r="AN19" i="3"/>
  <c r="AM20" i="3"/>
  <c r="AN20" i="3"/>
  <c r="AM21" i="3"/>
  <c r="AN21" i="3"/>
  <c r="AM22" i="3"/>
  <c r="AN22" i="3"/>
  <c r="AM23" i="3"/>
  <c r="AN23" i="3"/>
  <c r="AM24" i="3"/>
  <c r="AN24" i="3"/>
  <c r="AM25" i="3"/>
  <c r="AN25" i="3"/>
  <c r="AM26" i="3"/>
  <c r="AN26" i="3"/>
  <c r="AM27" i="3"/>
  <c r="AN27" i="3"/>
  <c r="AM28" i="3"/>
  <c r="AN28" i="3"/>
  <c r="AM29" i="3"/>
  <c r="AN29" i="3"/>
  <c r="AM30" i="3"/>
  <c r="AN30" i="3"/>
  <c r="AM31" i="3"/>
  <c r="AN31" i="3"/>
  <c r="AM32" i="3"/>
  <c r="AN32" i="3"/>
  <c r="AM33" i="3"/>
  <c r="AN33" i="3"/>
  <c r="AM34" i="3"/>
  <c r="AN34" i="3"/>
  <c r="AM35" i="3"/>
  <c r="AN35" i="3"/>
  <c r="AM36" i="3"/>
  <c r="AN36" i="3"/>
  <c r="AM37" i="3"/>
  <c r="AN37" i="3"/>
  <c r="AM38" i="3"/>
  <c r="AN38" i="3"/>
  <c r="AM39" i="3"/>
  <c r="AN39" i="3"/>
  <c r="AM40" i="3"/>
  <c r="AN40" i="3"/>
  <c r="AM41" i="3"/>
  <c r="AN41" i="3"/>
  <c r="AM42" i="3"/>
  <c r="AN42" i="3"/>
  <c r="AM43" i="3"/>
  <c r="AN43" i="3"/>
  <c r="AM44" i="3"/>
  <c r="AN44" i="3"/>
  <c r="AM45" i="3"/>
  <c r="AN45" i="3"/>
  <c r="AM46" i="3"/>
  <c r="AN46" i="3"/>
  <c r="AM47" i="3"/>
  <c r="AN47" i="3"/>
  <c r="AM48" i="3"/>
  <c r="AN48" i="3"/>
  <c r="AM49" i="3"/>
  <c r="AN49" i="3"/>
  <c r="AM50" i="3"/>
  <c r="AN50" i="3"/>
  <c r="AM51" i="3"/>
  <c r="AN51" i="3"/>
  <c r="AM52" i="3"/>
  <c r="AN52" i="3"/>
  <c r="AM53" i="3"/>
  <c r="AN53" i="3"/>
  <c r="AM54" i="3"/>
  <c r="AN54" i="3"/>
  <c r="AM55" i="3"/>
  <c r="AN55" i="3"/>
  <c r="AM56" i="3"/>
  <c r="AN56" i="3"/>
  <c r="AM57" i="3"/>
  <c r="AN57" i="3"/>
  <c r="AM58" i="3"/>
  <c r="AN58" i="3"/>
  <c r="AM59" i="3"/>
  <c r="AN59" i="3"/>
  <c r="AM60" i="3"/>
  <c r="AN60" i="3"/>
  <c r="AM61" i="3"/>
  <c r="AN61" i="3"/>
  <c r="AM62" i="3"/>
  <c r="AN62" i="3"/>
  <c r="AM63" i="3"/>
  <c r="AN63" i="3"/>
  <c r="AM64" i="3"/>
  <c r="AN64" i="3"/>
  <c r="AM65" i="3"/>
  <c r="AN65" i="3"/>
  <c r="AM66" i="3"/>
  <c r="AN66" i="3"/>
  <c r="AM67" i="3"/>
  <c r="AN67" i="3"/>
  <c r="AM68" i="3"/>
  <c r="AN68" i="3"/>
  <c r="AM69" i="3"/>
  <c r="AN69" i="3"/>
  <c r="AM70" i="3"/>
  <c r="AN70" i="3"/>
  <c r="AM71" i="3"/>
  <c r="AN71" i="3"/>
  <c r="AM72" i="3"/>
  <c r="AN72" i="3"/>
  <c r="AM73" i="3"/>
  <c r="AN73" i="3"/>
  <c r="AM74" i="3"/>
  <c r="AN74" i="3"/>
  <c r="AM75" i="3"/>
  <c r="AN75" i="3"/>
  <c r="AM76" i="3"/>
  <c r="AN76" i="3"/>
  <c r="AM77" i="3"/>
  <c r="AN77" i="3"/>
  <c r="AM78" i="3"/>
  <c r="AN78" i="3"/>
  <c r="AM79" i="3"/>
  <c r="AN79" i="3"/>
  <c r="AM80" i="3"/>
  <c r="AN80" i="3"/>
  <c r="AM81" i="3"/>
  <c r="AN81" i="3"/>
  <c r="AM82" i="3"/>
  <c r="AN82" i="3"/>
  <c r="AM83" i="3"/>
  <c r="AN83" i="3"/>
  <c r="AM84" i="3"/>
  <c r="AN84" i="3"/>
  <c r="AM85" i="3"/>
  <c r="AN85" i="3"/>
  <c r="AM87" i="3"/>
  <c r="AN87" i="3"/>
  <c r="AM88" i="3"/>
  <c r="AN88" i="3"/>
  <c r="AM89" i="3"/>
  <c r="AN89" i="3"/>
  <c r="AM91" i="3"/>
  <c r="AN91" i="3"/>
  <c r="AM92" i="3"/>
  <c r="AN92" i="3"/>
  <c r="AM93" i="3"/>
  <c r="AN93" i="3"/>
  <c r="AM95" i="3"/>
  <c r="AN95" i="3"/>
  <c r="AM96" i="3"/>
  <c r="AN96" i="3"/>
  <c r="AM97" i="3"/>
  <c r="AN97" i="3"/>
  <c r="AM99" i="3"/>
  <c r="AN99" i="3"/>
  <c r="AM100" i="3"/>
  <c r="AN100" i="3"/>
  <c r="AM101" i="3"/>
  <c r="AN101" i="3"/>
  <c r="AM103" i="3"/>
  <c r="AN103" i="3"/>
  <c r="AM104" i="3"/>
  <c r="AN104" i="3"/>
  <c r="AM105" i="3"/>
  <c r="AN105" i="3"/>
  <c r="AM107" i="3"/>
  <c r="AN107" i="3"/>
  <c r="AM108" i="3"/>
  <c r="AN108" i="3"/>
  <c r="AM109" i="3"/>
  <c r="AN109" i="3"/>
  <c r="AM111" i="3"/>
  <c r="AN111" i="3"/>
  <c r="AM112" i="3"/>
  <c r="AN112" i="3"/>
  <c r="AM113" i="3"/>
  <c r="AN113" i="3"/>
  <c r="AM115" i="3"/>
  <c r="AN115" i="3"/>
  <c r="AM116" i="3"/>
  <c r="AN116" i="3"/>
  <c r="AM117" i="3"/>
  <c r="AN117" i="3"/>
  <c r="AM119" i="3"/>
  <c r="AN119" i="3"/>
  <c r="AM120" i="3"/>
  <c r="AN120" i="3"/>
  <c r="AM121" i="3"/>
  <c r="AN121" i="3"/>
  <c r="AM123" i="3"/>
  <c r="AN123" i="3"/>
  <c r="AM124" i="3"/>
  <c r="AN124" i="3"/>
  <c r="AM125" i="3"/>
  <c r="AN125" i="3"/>
  <c r="AM127" i="3"/>
  <c r="AN127" i="3"/>
  <c r="AM128" i="3"/>
  <c r="AN128" i="3"/>
  <c r="AM129" i="3"/>
  <c r="AN129" i="3"/>
  <c r="AM131" i="3"/>
  <c r="AN131" i="3"/>
  <c r="AM132" i="3"/>
  <c r="AN132" i="3"/>
  <c r="AM133" i="3"/>
  <c r="AN133" i="3"/>
  <c r="AM135" i="3"/>
  <c r="AN135" i="3"/>
  <c r="AM136" i="3"/>
  <c r="AN136" i="3"/>
  <c r="AM137" i="3"/>
  <c r="AN137" i="3"/>
  <c r="AM139" i="3"/>
  <c r="AN139" i="3"/>
  <c r="AM140" i="3"/>
  <c r="AN140" i="3"/>
  <c r="AM141" i="3"/>
  <c r="AN141" i="3"/>
  <c r="AM143" i="3"/>
  <c r="AN143" i="3"/>
  <c r="AM144" i="3"/>
  <c r="AN144" i="3"/>
  <c r="AM145" i="3"/>
  <c r="AN145" i="3"/>
  <c r="AM147" i="3"/>
  <c r="AN147" i="3"/>
  <c r="AM148" i="3"/>
  <c r="AN148" i="3"/>
  <c r="AM149" i="3"/>
  <c r="AN149" i="3"/>
  <c r="AM151" i="3"/>
  <c r="AN151" i="3"/>
  <c r="AM152" i="3"/>
  <c r="AN152" i="3"/>
  <c r="AM153" i="3"/>
  <c r="AN153" i="3"/>
  <c r="AN155" i="3"/>
  <c r="AM156" i="3"/>
  <c r="AN156" i="3"/>
  <c r="AM157" i="3"/>
  <c r="AN157" i="3"/>
  <c r="AM159" i="3"/>
  <c r="AN159" i="3"/>
  <c r="AM160" i="3"/>
  <c r="AN160" i="3"/>
  <c r="AM161" i="3"/>
  <c r="AN161" i="3"/>
  <c r="AM163" i="3"/>
  <c r="AN163" i="3"/>
  <c r="AM164" i="3"/>
  <c r="AN164" i="3"/>
  <c r="AM165" i="3"/>
  <c r="AN165" i="3"/>
  <c r="AM167" i="3"/>
  <c r="AN167" i="3"/>
  <c r="AM168" i="3"/>
  <c r="AN168" i="3"/>
  <c r="AM169" i="3"/>
  <c r="AN169" i="3"/>
  <c r="AM171" i="3"/>
  <c r="AN171" i="3"/>
  <c r="AM172" i="3"/>
  <c r="AN172" i="3"/>
  <c r="AM173" i="3"/>
  <c r="AN173" i="3"/>
  <c r="AM175" i="3"/>
  <c r="AN175" i="3"/>
  <c r="AM176" i="3"/>
  <c r="AN176" i="3"/>
  <c r="AM177" i="3"/>
  <c r="AN177" i="3"/>
  <c r="AM179" i="3"/>
  <c r="AN179" i="3"/>
  <c r="AM180" i="3"/>
  <c r="AN180" i="3"/>
  <c r="AM181" i="3"/>
  <c r="AN181" i="3"/>
  <c r="AM183" i="3"/>
  <c r="AN183" i="3"/>
  <c r="AM184" i="3"/>
  <c r="AN184" i="3"/>
  <c r="AM185" i="3"/>
  <c r="AN185" i="3"/>
  <c r="AM187" i="3"/>
  <c r="AN187" i="3"/>
  <c r="AM188" i="3"/>
  <c r="AN188" i="3"/>
  <c r="AM189" i="3"/>
  <c r="AN189" i="3"/>
  <c r="AM191" i="3"/>
  <c r="AN191" i="3"/>
  <c r="AM192" i="3"/>
  <c r="AN192" i="3"/>
  <c r="AM193" i="3"/>
  <c r="AN193" i="3"/>
  <c r="AM195" i="3"/>
  <c r="AN195" i="3"/>
  <c r="AM196" i="3"/>
  <c r="AN196" i="3"/>
  <c r="AM197" i="3"/>
  <c r="AN197" i="3"/>
  <c r="AM199" i="3"/>
  <c r="AN199" i="3"/>
  <c r="AM200" i="3"/>
  <c r="AN200" i="3"/>
  <c r="AM201" i="3"/>
  <c r="AN201" i="3"/>
  <c r="AM203" i="3"/>
  <c r="AN203" i="3"/>
  <c r="AM204" i="3"/>
  <c r="AN204" i="3"/>
  <c r="AM205" i="3"/>
  <c r="AN205" i="3"/>
  <c r="AM207" i="3"/>
  <c r="AN207" i="3"/>
  <c r="AM208" i="3"/>
  <c r="AN208" i="3"/>
  <c r="AM209" i="3"/>
  <c r="AN209" i="3"/>
  <c r="AI7" i="3"/>
  <c r="AJ7" i="3"/>
  <c r="AI8" i="3"/>
  <c r="AJ8" i="3"/>
  <c r="AI9" i="3"/>
  <c r="AJ9" i="3"/>
  <c r="AI10" i="3"/>
  <c r="AJ10" i="3"/>
  <c r="AI11" i="3"/>
  <c r="AJ11" i="3"/>
  <c r="AI12" i="3"/>
  <c r="AJ12" i="3"/>
  <c r="AI13" i="3"/>
  <c r="AJ13" i="3"/>
  <c r="AI14" i="3"/>
  <c r="AJ14" i="3"/>
  <c r="AI15" i="3"/>
  <c r="AJ15" i="3"/>
  <c r="AI16" i="3"/>
  <c r="AJ16" i="3"/>
  <c r="AI17" i="3"/>
  <c r="AJ17" i="3"/>
  <c r="AI18" i="3"/>
  <c r="AJ18" i="3"/>
  <c r="AI19" i="3"/>
  <c r="AJ19" i="3"/>
  <c r="AI20" i="3"/>
  <c r="AJ20" i="3"/>
  <c r="AI21" i="3"/>
  <c r="AJ21" i="3"/>
  <c r="AI22" i="3"/>
  <c r="AJ22" i="3"/>
  <c r="AI23" i="3"/>
  <c r="AJ23" i="3"/>
  <c r="AI24" i="3"/>
  <c r="AJ24" i="3"/>
  <c r="AI25" i="3"/>
  <c r="AJ25" i="3"/>
  <c r="AI26" i="3"/>
  <c r="AJ26" i="3"/>
  <c r="AI27" i="3"/>
  <c r="AJ27" i="3"/>
  <c r="AI28" i="3"/>
  <c r="AJ28" i="3"/>
  <c r="AI29" i="3"/>
  <c r="AJ29" i="3"/>
  <c r="AI30" i="3"/>
  <c r="AJ30" i="3"/>
  <c r="AI31" i="3"/>
  <c r="AJ31" i="3"/>
  <c r="AI32" i="3"/>
  <c r="AJ32" i="3"/>
  <c r="AI33" i="3"/>
  <c r="AJ33" i="3"/>
  <c r="AI34" i="3"/>
  <c r="AJ34" i="3"/>
  <c r="AI35" i="3"/>
  <c r="AJ35" i="3"/>
  <c r="AI36" i="3"/>
  <c r="AJ36" i="3"/>
  <c r="AI37" i="3"/>
  <c r="AJ37" i="3"/>
  <c r="AI38" i="3"/>
  <c r="AJ38" i="3"/>
  <c r="AI39" i="3"/>
  <c r="AJ39" i="3"/>
  <c r="AI40" i="3"/>
  <c r="AJ40" i="3"/>
  <c r="AI41" i="3"/>
  <c r="AJ41" i="3"/>
  <c r="AI42" i="3"/>
  <c r="AJ42" i="3"/>
  <c r="AI43" i="3"/>
  <c r="AJ43" i="3"/>
  <c r="AI44" i="3"/>
  <c r="AJ44" i="3"/>
  <c r="AI45" i="3"/>
  <c r="AJ45" i="3"/>
  <c r="AI46" i="3"/>
  <c r="AJ46" i="3"/>
  <c r="AI47" i="3"/>
  <c r="AJ47" i="3"/>
  <c r="AI48" i="3"/>
  <c r="AJ48" i="3"/>
  <c r="AI49" i="3"/>
  <c r="AJ49" i="3"/>
  <c r="AI50" i="3"/>
  <c r="AJ50" i="3"/>
  <c r="AI51" i="3"/>
  <c r="AJ51" i="3"/>
  <c r="AI52" i="3"/>
  <c r="AJ52" i="3"/>
  <c r="AI53" i="3"/>
  <c r="AJ53" i="3"/>
  <c r="AI54" i="3"/>
  <c r="AJ54" i="3"/>
  <c r="AI55" i="3"/>
  <c r="AJ55" i="3"/>
  <c r="AI56" i="3"/>
  <c r="AJ56" i="3"/>
  <c r="AI57" i="3"/>
  <c r="AJ57" i="3"/>
  <c r="AI58" i="3"/>
  <c r="AJ58" i="3"/>
  <c r="AI59" i="3"/>
  <c r="AJ59" i="3"/>
  <c r="AI60" i="3"/>
  <c r="AJ60" i="3"/>
  <c r="AI61" i="3"/>
  <c r="AJ61" i="3"/>
  <c r="AI62" i="3"/>
  <c r="AJ62" i="3"/>
  <c r="AI63" i="3"/>
  <c r="AJ63" i="3"/>
  <c r="AI64" i="3"/>
  <c r="AJ64" i="3"/>
  <c r="AI65" i="3"/>
  <c r="AJ65" i="3"/>
  <c r="AI66" i="3"/>
  <c r="AJ66" i="3"/>
  <c r="AI67" i="3"/>
  <c r="AJ67" i="3"/>
  <c r="AI68" i="3"/>
  <c r="AJ68" i="3"/>
  <c r="AI69" i="3"/>
  <c r="AJ69" i="3"/>
  <c r="AI70" i="3"/>
  <c r="AJ70" i="3"/>
  <c r="AI71" i="3"/>
  <c r="AJ71" i="3"/>
  <c r="AI72" i="3"/>
  <c r="AJ72" i="3"/>
  <c r="AI73" i="3"/>
  <c r="AJ73" i="3"/>
  <c r="AI74" i="3"/>
  <c r="AJ74" i="3"/>
  <c r="AI75" i="3"/>
  <c r="AJ75" i="3"/>
  <c r="AI76" i="3"/>
  <c r="AJ76" i="3"/>
  <c r="AI77" i="3"/>
  <c r="AJ77" i="3"/>
  <c r="AI78" i="3"/>
  <c r="AJ78" i="3"/>
  <c r="AI79" i="3"/>
  <c r="AJ79" i="3"/>
  <c r="AI80" i="3"/>
  <c r="AJ80" i="3"/>
  <c r="AI81" i="3"/>
  <c r="AJ81" i="3"/>
  <c r="AI82" i="3"/>
  <c r="AJ82" i="3"/>
  <c r="AI83" i="3"/>
  <c r="AJ83" i="3"/>
  <c r="AI84" i="3"/>
  <c r="AJ84" i="3"/>
  <c r="AI85" i="3"/>
  <c r="AJ85" i="3"/>
  <c r="AI87" i="3"/>
  <c r="AJ87" i="3"/>
  <c r="AI88" i="3"/>
  <c r="AJ88" i="3"/>
  <c r="AI89" i="3"/>
  <c r="AJ89" i="3"/>
  <c r="AI91" i="3"/>
  <c r="AJ91" i="3"/>
  <c r="AI92" i="3"/>
  <c r="AJ92" i="3"/>
  <c r="AI93" i="3"/>
  <c r="AJ93" i="3"/>
  <c r="AI95" i="3"/>
  <c r="AJ95" i="3"/>
  <c r="AI96" i="3"/>
  <c r="AJ96" i="3"/>
  <c r="AI97" i="3"/>
  <c r="AJ97" i="3"/>
  <c r="AI99" i="3"/>
  <c r="AJ99" i="3"/>
  <c r="AI100" i="3"/>
  <c r="AJ100" i="3"/>
  <c r="AI101" i="3"/>
  <c r="AJ101" i="3"/>
  <c r="AI103" i="3"/>
  <c r="AJ103" i="3"/>
  <c r="AI104" i="3"/>
  <c r="AJ104" i="3"/>
  <c r="AI105" i="3"/>
  <c r="AJ105" i="3"/>
  <c r="AI107" i="3"/>
  <c r="AJ107" i="3"/>
  <c r="AI108" i="3"/>
  <c r="AJ108" i="3"/>
  <c r="AI109" i="3"/>
  <c r="AJ109" i="3"/>
  <c r="AI111" i="3"/>
  <c r="AJ111" i="3"/>
  <c r="AI112" i="3"/>
  <c r="AJ112" i="3"/>
  <c r="AI113" i="3"/>
  <c r="AJ113" i="3"/>
  <c r="AI115" i="3"/>
  <c r="AJ115" i="3"/>
  <c r="AI116" i="3"/>
  <c r="AJ116" i="3"/>
  <c r="AI117" i="3"/>
  <c r="AJ117" i="3"/>
  <c r="AI119" i="3"/>
  <c r="AJ119" i="3"/>
  <c r="AI120" i="3"/>
  <c r="AJ120" i="3"/>
  <c r="AI121" i="3"/>
  <c r="AJ121" i="3"/>
  <c r="AI123" i="3"/>
  <c r="AJ123" i="3"/>
  <c r="AI124" i="3"/>
  <c r="AJ124" i="3"/>
  <c r="AI125" i="3"/>
  <c r="AJ125" i="3"/>
  <c r="AI127" i="3"/>
  <c r="AJ127" i="3"/>
  <c r="AI128" i="3"/>
  <c r="AJ128" i="3"/>
  <c r="AI129" i="3"/>
  <c r="AJ129" i="3"/>
  <c r="AI131" i="3"/>
  <c r="AJ131" i="3"/>
  <c r="AI132" i="3"/>
  <c r="AJ132" i="3"/>
  <c r="AI133" i="3"/>
  <c r="AJ133" i="3"/>
  <c r="AI135" i="3"/>
  <c r="AJ135" i="3"/>
  <c r="AI136" i="3"/>
  <c r="AJ136" i="3"/>
  <c r="AI137" i="3"/>
  <c r="AJ137" i="3"/>
  <c r="AI139" i="3"/>
  <c r="AJ139" i="3"/>
  <c r="AI140" i="3"/>
  <c r="AJ140" i="3"/>
  <c r="AI141" i="3"/>
  <c r="AJ141" i="3"/>
  <c r="AI143" i="3"/>
  <c r="AJ143" i="3"/>
  <c r="AI144" i="3"/>
  <c r="AJ144" i="3"/>
  <c r="AI145" i="3"/>
  <c r="AJ145" i="3"/>
  <c r="AI147" i="3"/>
  <c r="AJ147" i="3"/>
  <c r="AI148" i="3"/>
  <c r="AJ148" i="3"/>
  <c r="AI149" i="3"/>
  <c r="AJ149" i="3"/>
  <c r="AI151" i="3"/>
  <c r="AJ151" i="3"/>
  <c r="AI152" i="3"/>
  <c r="AJ152" i="3"/>
  <c r="AI153" i="3"/>
  <c r="AJ153" i="3"/>
  <c r="AI155" i="3"/>
  <c r="AJ155" i="3"/>
  <c r="AI156" i="3"/>
  <c r="AJ156" i="3"/>
  <c r="AI157" i="3"/>
  <c r="AJ157" i="3"/>
  <c r="AI159" i="3"/>
  <c r="AJ159" i="3"/>
  <c r="AI160" i="3"/>
  <c r="AJ160" i="3"/>
  <c r="AI161" i="3"/>
  <c r="AJ161" i="3"/>
  <c r="AI163" i="3"/>
  <c r="AJ163" i="3"/>
  <c r="AI164" i="3"/>
  <c r="AJ164" i="3"/>
  <c r="AI165" i="3"/>
  <c r="AJ165" i="3"/>
  <c r="AI167" i="3"/>
  <c r="AJ167" i="3"/>
  <c r="AI168" i="3"/>
  <c r="AJ168" i="3"/>
  <c r="AI169" i="3"/>
  <c r="AJ169" i="3"/>
  <c r="AI171" i="3"/>
  <c r="AJ171" i="3"/>
  <c r="AI172" i="3"/>
  <c r="AJ172" i="3"/>
  <c r="AI173" i="3"/>
  <c r="AJ173" i="3"/>
  <c r="AI175" i="3"/>
  <c r="AJ175" i="3"/>
  <c r="AI176" i="3"/>
  <c r="AJ176" i="3"/>
  <c r="AI177" i="3"/>
  <c r="AJ177" i="3"/>
  <c r="AI179" i="3"/>
  <c r="AJ179" i="3"/>
  <c r="AI180" i="3"/>
  <c r="AJ180" i="3"/>
  <c r="AI181" i="3"/>
  <c r="AJ181" i="3"/>
  <c r="AI183" i="3"/>
  <c r="AJ183" i="3"/>
  <c r="AI184" i="3"/>
  <c r="AJ184" i="3"/>
  <c r="AI185" i="3"/>
  <c r="AJ185" i="3"/>
  <c r="AI187" i="3"/>
  <c r="AJ187" i="3"/>
  <c r="AI188" i="3"/>
  <c r="AJ188" i="3"/>
  <c r="AI189" i="3"/>
  <c r="AJ189" i="3"/>
  <c r="AI191" i="3"/>
  <c r="AJ191" i="3"/>
  <c r="AI192" i="3"/>
  <c r="AJ192" i="3"/>
  <c r="AI193" i="3"/>
  <c r="AJ193" i="3"/>
  <c r="AI195" i="3"/>
  <c r="AJ195" i="3"/>
  <c r="AI196" i="3"/>
  <c r="AJ196" i="3"/>
  <c r="AI197" i="3"/>
  <c r="AJ197" i="3"/>
  <c r="AI199" i="3"/>
  <c r="AJ199" i="3"/>
  <c r="AI200" i="3"/>
  <c r="AJ200" i="3"/>
  <c r="AI201" i="3"/>
  <c r="AJ201" i="3"/>
  <c r="AI203" i="3"/>
  <c r="AJ203" i="3"/>
  <c r="AI204" i="3"/>
  <c r="AJ204" i="3"/>
  <c r="AI205" i="3"/>
  <c r="AJ205" i="3"/>
  <c r="AI207" i="3"/>
  <c r="AJ207" i="3"/>
  <c r="AI208" i="3"/>
  <c r="AJ208" i="3"/>
  <c r="AI209" i="3"/>
  <c r="AJ209" i="3"/>
  <c r="AC7" i="3"/>
  <c r="AC3" i="3"/>
  <c r="AE7" i="3"/>
  <c r="AD7" i="3"/>
  <c r="AF7" i="3"/>
  <c r="AC8" i="3"/>
  <c r="AC4" i="3"/>
  <c r="AE8" i="3"/>
  <c r="AD8" i="3"/>
  <c r="AF8" i="3"/>
  <c r="AE9" i="3"/>
  <c r="AF9" i="3"/>
  <c r="E10" i="3"/>
  <c r="U10" i="3"/>
  <c r="AC10" i="3"/>
  <c r="E6" i="3"/>
  <c r="U6" i="3"/>
  <c r="AC6" i="3"/>
  <c r="AE10" i="3"/>
  <c r="F10" i="3"/>
  <c r="V10" i="3"/>
  <c r="AD10" i="3"/>
  <c r="AF10" i="3"/>
  <c r="AC11" i="3"/>
  <c r="AE11" i="3"/>
  <c r="AD11" i="3"/>
  <c r="AF11" i="3"/>
  <c r="AC12" i="3"/>
  <c r="AE12" i="3"/>
  <c r="AD12" i="3"/>
  <c r="AF12" i="3"/>
  <c r="AE13" i="3"/>
  <c r="AF13" i="3"/>
  <c r="E14" i="3"/>
  <c r="U14" i="3"/>
  <c r="AC14" i="3"/>
  <c r="AE14" i="3"/>
  <c r="F14" i="3"/>
  <c r="V14" i="3"/>
  <c r="AD14" i="3"/>
  <c r="AF14" i="3"/>
  <c r="AC15" i="3"/>
  <c r="AE15" i="3"/>
  <c r="AD15" i="3"/>
  <c r="AF15" i="3"/>
  <c r="AC16" i="3"/>
  <c r="AE16" i="3"/>
  <c r="AD16" i="3"/>
  <c r="AF16" i="3"/>
  <c r="AE17" i="3"/>
  <c r="AF17" i="3"/>
  <c r="E18" i="3"/>
  <c r="U18" i="3"/>
  <c r="AC18" i="3"/>
  <c r="AE18" i="3"/>
  <c r="F18" i="3"/>
  <c r="V18" i="3"/>
  <c r="AD18" i="3"/>
  <c r="AF18" i="3"/>
  <c r="AC19" i="3"/>
  <c r="AE19" i="3"/>
  <c r="AD19" i="3"/>
  <c r="AF19" i="3"/>
  <c r="AC20" i="3"/>
  <c r="AE20" i="3"/>
  <c r="AD20" i="3"/>
  <c r="AF20" i="3"/>
  <c r="AE21" i="3"/>
  <c r="AF21" i="3"/>
  <c r="E22" i="3"/>
  <c r="U22" i="3"/>
  <c r="AC22" i="3"/>
  <c r="AE22" i="3"/>
  <c r="F22" i="3"/>
  <c r="V22" i="3"/>
  <c r="AD22" i="3"/>
  <c r="AF22" i="3"/>
  <c r="AC23" i="3"/>
  <c r="AE23" i="3"/>
  <c r="AD23" i="3"/>
  <c r="AF23" i="3"/>
  <c r="AC24" i="3"/>
  <c r="AE24" i="3"/>
  <c r="AD24" i="3"/>
  <c r="AF24" i="3"/>
  <c r="AE25" i="3"/>
  <c r="AF25" i="3"/>
  <c r="E26" i="3"/>
  <c r="U26" i="3"/>
  <c r="AC26" i="3"/>
  <c r="AE26" i="3"/>
  <c r="F26" i="3"/>
  <c r="V26" i="3"/>
  <c r="AD26" i="3"/>
  <c r="AF26" i="3"/>
  <c r="AC27" i="3"/>
  <c r="AE27" i="3"/>
  <c r="AD27" i="3"/>
  <c r="AF27" i="3"/>
  <c r="AC28" i="3"/>
  <c r="AE28" i="3"/>
  <c r="AD28" i="3"/>
  <c r="AF28" i="3"/>
  <c r="AE29" i="3"/>
  <c r="AF29" i="3"/>
  <c r="E30" i="3"/>
  <c r="U30" i="3"/>
  <c r="AC30" i="3"/>
  <c r="AE30" i="3"/>
  <c r="F30" i="3"/>
  <c r="V30" i="3"/>
  <c r="AD30" i="3"/>
  <c r="AF30" i="3"/>
  <c r="AC31" i="3"/>
  <c r="AE31" i="3"/>
  <c r="AD31" i="3"/>
  <c r="AF31" i="3"/>
  <c r="AC32" i="3"/>
  <c r="AE32" i="3"/>
  <c r="AD32" i="3"/>
  <c r="AF32" i="3"/>
  <c r="AE33" i="3"/>
  <c r="AF33" i="3"/>
  <c r="E34" i="3"/>
  <c r="U34" i="3"/>
  <c r="AC34" i="3"/>
  <c r="AE34" i="3"/>
  <c r="F34" i="3"/>
  <c r="V34" i="3"/>
  <c r="AD34" i="3"/>
  <c r="AF34" i="3"/>
  <c r="AC35" i="3"/>
  <c r="AE35" i="3"/>
  <c r="AD35" i="3"/>
  <c r="AF35" i="3"/>
  <c r="AC36" i="3"/>
  <c r="AE36" i="3"/>
  <c r="AD36" i="3"/>
  <c r="AF36" i="3"/>
  <c r="AE37" i="3"/>
  <c r="AF37" i="3"/>
  <c r="E38" i="3"/>
  <c r="U38" i="3"/>
  <c r="AC38" i="3"/>
  <c r="AE38" i="3"/>
  <c r="F38" i="3"/>
  <c r="V38" i="3"/>
  <c r="AD38" i="3"/>
  <c r="AF38" i="3"/>
  <c r="AC39" i="3"/>
  <c r="AE39" i="3"/>
  <c r="AD39" i="3"/>
  <c r="AF39" i="3"/>
  <c r="AC40" i="3"/>
  <c r="AE40" i="3"/>
  <c r="AD40" i="3"/>
  <c r="AF40" i="3"/>
  <c r="AE41" i="3"/>
  <c r="AF41" i="3"/>
  <c r="E42" i="3"/>
  <c r="U42" i="3"/>
  <c r="AC42" i="3"/>
  <c r="AE42" i="3"/>
  <c r="F42" i="3"/>
  <c r="V42" i="3"/>
  <c r="AD42" i="3"/>
  <c r="AF42" i="3"/>
  <c r="AC43" i="3"/>
  <c r="AE43" i="3"/>
  <c r="AD43" i="3"/>
  <c r="AF43" i="3"/>
  <c r="AC44" i="3"/>
  <c r="AE44" i="3"/>
  <c r="AD44" i="3"/>
  <c r="AF44" i="3"/>
  <c r="AE45" i="3"/>
  <c r="AF45" i="3"/>
  <c r="E46" i="3"/>
  <c r="U46" i="3"/>
  <c r="AC46" i="3"/>
  <c r="AE46" i="3"/>
  <c r="F46" i="3"/>
  <c r="V46" i="3"/>
  <c r="AD46" i="3"/>
  <c r="AF46" i="3"/>
  <c r="AC47" i="3"/>
  <c r="AE47" i="3"/>
  <c r="AD47" i="3"/>
  <c r="AF47" i="3"/>
  <c r="AC48" i="3"/>
  <c r="AE48" i="3"/>
  <c r="AD48" i="3"/>
  <c r="AF48" i="3"/>
  <c r="AE49" i="3"/>
  <c r="AF49" i="3"/>
  <c r="E50" i="3"/>
  <c r="U50" i="3"/>
  <c r="AC50" i="3"/>
  <c r="AE50" i="3"/>
  <c r="F50" i="3"/>
  <c r="V50" i="3"/>
  <c r="AD50" i="3"/>
  <c r="AF50" i="3"/>
  <c r="AC51" i="3"/>
  <c r="AE51" i="3"/>
  <c r="AD51" i="3"/>
  <c r="AF51" i="3"/>
  <c r="AC52" i="3"/>
  <c r="AE52" i="3"/>
  <c r="AD52" i="3"/>
  <c r="AF52" i="3"/>
  <c r="AE53" i="3"/>
  <c r="AF53" i="3"/>
  <c r="E54" i="3"/>
  <c r="U54" i="3"/>
  <c r="AC54" i="3"/>
  <c r="AE54" i="3"/>
  <c r="F54" i="3"/>
  <c r="V54" i="3"/>
  <c r="AD54" i="3"/>
  <c r="AF54" i="3"/>
  <c r="AC55" i="3"/>
  <c r="AE55" i="3"/>
  <c r="AD55" i="3"/>
  <c r="AF55" i="3"/>
  <c r="AC56" i="3"/>
  <c r="AE56" i="3"/>
  <c r="AD56" i="3"/>
  <c r="AF56" i="3"/>
  <c r="AE57" i="3"/>
  <c r="AF57" i="3"/>
  <c r="E58" i="3"/>
  <c r="U58" i="3"/>
  <c r="AC58" i="3"/>
  <c r="AE58" i="3"/>
  <c r="F58" i="3"/>
  <c r="V58" i="3"/>
  <c r="AD58" i="3"/>
  <c r="AF58" i="3"/>
  <c r="AC59" i="3"/>
  <c r="AE59" i="3"/>
  <c r="AD59" i="3"/>
  <c r="AF59" i="3"/>
  <c r="AC60" i="3"/>
  <c r="AE60" i="3"/>
  <c r="AD60" i="3"/>
  <c r="AF60" i="3"/>
  <c r="AE61" i="3"/>
  <c r="AF61" i="3"/>
  <c r="E62" i="3"/>
  <c r="U62" i="3"/>
  <c r="AC62" i="3"/>
  <c r="AE62" i="3"/>
  <c r="F62" i="3"/>
  <c r="V62" i="3"/>
  <c r="AD62" i="3"/>
  <c r="AF62" i="3"/>
  <c r="AC63" i="3"/>
  <c r="AE63" i="3"/>
  <c r="AD63" i="3"/>
  <c r="AF63" i="3"/>
  <c r="AC64" i="3"/>
  <c r="AE64" i="3"/>
  <c r="AD64" i="3"/>
  <c r="AF64" i="3"/>
  <c r="AE65" i="3"/>
  <c r="AF65" i="3"/>
  <c r="E66" i="3"/>
  <c r="U66" i="3"/>
  <c r="AC66" i="3"/>
  <c r="AE66" i="3"/>
  <c r="F66" i="3"/>
  <c r="V66" i="3"/>
  <c r="AD66" i="3"/>
  <c r="AF66" i="3"/>
  <c r="AC67" i="3"/>
  <c r="AE67" i="3"/>
  <c r="AD67" i="3"/>
  <c r="AF67" i="3"/>
  <c r="AC68" i="3"/>
  <c r="AE68" i="3"/>
  <c r="AD68" i="3"/>
  <c r="AF68" i="3"/>
  <c r="AE69" i="3"/>
  <c r="AF69" i="3"/>
  <c r="E70" i="3"/>
  <c r="U70" i="3"/>
  <c r="AC70" i="3"/>
  <c r="AE70" i="3"/>
  <c r="F70" i="3"/>
  <c r="V70" i="3"/>
  <c r="AD70" i="3"/>
  <c r="AF70" i="3"/>
  <c r="AC71" i="3"/>
  <c r="AE71" i="3"/>
  <c r="AD71" i="3"/>
  <c r="AF71" i="3"/>
  <c r="AC72" i="3"/>
  <c r="AE72" i="3"/>
  <c r="AD72" i="3"/>
  <c r="AF72" i="3"/>
  <c r="AE73" i="3"/>
  <c r="AF73" i="3"/>
  <c r="E74" i="3"/>
  <c r="U74" i="3"/>
  <c r="AC74" i="3"/>
  <c r="AE74" i="3"/>
  <c r="F74" i="3"/>
  <c r="V74" i="3"/>
  <c r="AD74" i="3"/>
  <c r="AF74" i="3"/>
  <c r="AC75" i="3"/>
  <c r="AE75" i="3"/>
  <c r="AD75" i="3"/>
  <c r="AF75" i="3"/>
  <c r="AC76" i="3"/>
  <c r="AE76" i="3"/>
  <c r="AD76" i="3"/>
  <c r="AF76" i="3"/>
  <c r="AE77" i="3"/>
  <c r="AF77" i="3"/>
  <c r="E78" i="3"/>
  <c r="U78" i="3"/>
  <c r="AC78" i="3"/>
  <c r="AE78" i="3"/>
  <c r="F78" i="3"/>
  <c r="V78" i="3"/>
  <c r="AD78" i="3"/>
  <c r="AF78" i="3"/>
  <c r="AC79" i="3"/>
  <c r="AE79" i="3"/>
  <c r="AD79" i="3"/>
  <c r="AF79" i="3"/>
  <c r="AC80" i="3"/>
  <c r="AE80" i="3"/>
  <c r="AD80" i="3"/>
  <c r="AF80" i="3"/>
  <c r="AE81" i="3"/>
  <c r="AF81" i="3"/>
  <c r="AE82" i="3"/>
  <c r="AD82" i="3"/>
  <c r="AF82" i="3"/>
  <c r="AC83" i="3"/>
  <c r="AE83" i="3"/>
  <c r="AD83" i="3"/>
  <c r="AF83" i="3"/>
  <c r="AC84" i="3"/>
  <c r="AE84" i="3"/>
  <c r="AD84" i="3"/>
  <c r="AF84" i="3"/>
  <c r="AC85" i="3"/>
  <c r="AE85" i="3"/>
  <c r="AF85" i="3"/>
  <c r="AC87" i="3"/>
  <c r="AE87" i="3"/>
  <c r="AD87" i="3"/>
  <c r="AF87" i="3"/>
  <c r="AC88" i="3"/>
  <c r="AE88" i="3"/>
  <c r="AD88" i="3"/>
  <c r="AF88" i="3"/>
  <c r="AC89" i="3"/>
  <c r="AE89" i="3"/>
  <c r="AF89" i="3"/>
  <c r="AC91" i="3"/>
  <c r="AE91" i="3"/>
  <c r="AD91" i="3"/>
  <c r="AF91" i="3"/>
  <c r="AC92" i="3"/>
  <c r="AE92" i="3"/>
  <c r="AD92" i="3"/>
  <c r="AF92" i="3"/>
  <c r="AC93" i="3"/>
  <c r="AE93" i="3"/>
  <c r="AF93" i="3"/>
  <c r="AC95" i="3"/>
  <c r="AE95" i="3"/>
  <c r="AD95" i="3"/>
  <c r="AF95" i="3"/>
  <c r="AC96" i="3"/>
  <c r="AE96" i="3"/>
  <c r="AD96" i="3"/>
  <c r="AF96" i="3"/>
  <c r="AC97" i="3"/>
  <c r="AE97" i="3"/>
  <c r="AF97" i="3"/>
  <c r="AC99" i="3"/>
  <c r="AE99" i="3"/>
  <c r="AD99" i="3"/>
  <c r="AF99" i="3"/>
  <c r="AC100" i="3"/>
  <c r="AE100" i="3"/>
  <c r="AD100" i="3"/>
  <c r="AF100" i="3"/>
  <c r="AC101" i="3"/>
  <c r="AE101" i="3"/>
  <c r="AF101" i="3"/>
  <c r="AC103" i="3"/>
  <c r="AE103" i="3"/>
  <c r="AD103" i="3"/>
  <c r="AF103" i="3"/>
  <c r="AC104" i="3"/>
  <c r="AE104" i="3"/>
  <c r="AD104" i="3"/>
  <c r="AF104" i="3"/>
  <c r="AC105" i="3"/>
  <c r="AE105" i="3"/>
  <c r="AF105" i="3"/>
  <c r="AC107" i="3"/>
  <c r="AE107" i="3"/>
  <c r="AD107" i="3"/>
  <c r="AF107" i="3"/>
  <c r="AC108" i="3"/>
  <c r="AE108" i="3"/>
  <c r="AD108" i="3"/>
  <c r="AF108" i="3"/>
  <c r="AC109" i="3"/>
  <c r="AE109" i="3"/>
  <c r="AF109" i="3"/>
  <c r="AC111" i="3"/>
  <c r="AE111" i="3"/>
  <c r="AD111" i="3"/>
  <c r="AF111" i="3"/>
  <c r="AC112" i="3"/>
  <c r="AE112" i="3"/>
  <c r="AD112" i="3"/>
  <c r="AF112" i="3"/>
  <c r="AC113" i="3"/>
  <c r="AE113" i="3"/>
  <c r="AF113" i="3"/>
  <c r="AC115" i="3"/>
  <c r="AE115" i="3"/>
  <c r="AD115" i="3"/>
  <c r="AF115" i="3"/>
  <c r="AC116" i="3"/>
  <c r="AE116" i="3"/>
  <c r="AD116" i="3"/>
  <c r="AF116" i="3"/>
  <c r="AC117" i="3"/>
  <c r="AE117" i="3"/>
  <c r="AF117" i="3"/>
  <c r="AC119" i="3"/>
  <c r="AE119" i="3"/>
  <c r="AD119" i="3"/>
  <c r="AF119" i="3"/>
  <c r="AC120" i="3"/>
  <c r="AE120" i="3"/>
  <c r="AD120" i="3"/>
  <c r="AF120" i="3"/>
  <c r="AC121" i="3"/>
  <c r="AE121" i="3"/>
  <c r="AF121" i="3"/>
  <c r="AC123" i="3"/>
  <c r="AE123" i="3"/>
  <c r="AD123" i="3"/>
  <c r="AF123" i="3"/>
  <c r="AC124" i="3"/>
  <c r="AE124" i="3"/>
  <c r="AD124" i="3"/>
  <c r="AF124" i="3"/>
  <c r="AC125" i="3"/>
  <c r="AE125" i="3"/>
  <c r="AF125" i="3"/>
  <c r="AC127" i="3"/>
  <c r="AE127" i="3"/>
  <c r="AD127" i="3"/>
  <c r="AF127" i="3"/>
  <c r="AC128" i="3"/>
  <c r="AE128" i="3"/>
  <c r="AD128" i="3"/>
  <c r="AF128" i="3"/>
  <c r="AC129" i="3"/>
  <c r="AE129" i="3"/>
  <c r="AF129" i="3"/>
  <c r="AC131" i="3"/>
  <c r="AE131" i="3"/>
  <c r="AD131" i="3"/>
  <c r="AF131" i="3"/>
  <c r="AC132" i="3"/>
  <c r="AE132" i="3"/>
  <c r="AD132" i="3"/>
  <c r="AF132" i="3"/>
  <c r="AE133" i="3"/>
  <c r="AF133" i="3"/>
  <c r="AC135" i="3"/>
  <c r="AE135" i="3"/>
  <c r="AD135" i="3"/>
  <c r="AF135" i="3"/>
  <c r="AC136" i="3"/>
  <c r="AE136" i="3"/>
  <c r="AD136" i="3"/>
  <c r="AF136" i="3"/>
  <c r="AE137" i="3"/>
  <c r="AF137" i="3"/>
  <c r="AC139" i="3"/>
  <c r="AE139" i="3"/>
  <c r="AD139" i="3"/>
  <c r="AF139" i="3"/>
  <c r="AC140" i="3"/>
  <c r="AE140" i="3"/>
  <c r="AD140" i="3"/>
  <c r="AF140" i="3"/>
  <c r="AC143" i="3"/>
  <c r="AE143" i="3"/>
  <c r="AD143" i="3"/>
  <c r="AF143" i="3"/>
  <c r="AC144" i="3"/>
  <c r="AE144" i="3"/>
  <c r="AD144" i="3"/>
  <c r="AF144" i="3"/>
  <c r="AE145" i="3"/>
  <c r="AF145" i="3"/>
  <c r="AC147" i="3"/>
  <c r="AE147" i="3"/>
  <c r="AD147" i="3"/>
  <c r="AF147" i="3"/>
  <c r="AC148" i="3"/>
  <c r="AE148" i="3"/>
  <c r="AD148" i="3"/>
  <c r="AF148" i="3"/>
  <c r="AE149" i="3"/>
  <c r="AF149" i="3"/>
  <c r="AC151" i="3"/>
  <c r="AE151" i="3"/>
  <c r="AD151" i="3"/>
  <c r="AF151" i="3"/>
  <c r="AC152" i="3"/>
  <c r="AE152" i="3"/>
  <c r="AD152" i="3"/>
  <c r="AF152" i="3"/>
  <c r="AE153" i="3"/>
  <c r="AF153" i="3"/>
  <c r="AC155" i="3"/>
  <c r="AE155" i="3"/>
  <c r="AD155" i="3"/>
  <c r="AF155" i="3"/>
  <c r="AC156" i="3"/>
  <c r="AE156" i="3"/>
  <c r="AD156" i="3"/>
  <c r="AF156" i="3"/>
  <c r="AE157" i="3"/>
  <c r="AF157" i="3"/>
  <c r="AC159" i="3"/>
  <c r="AE159" i="3"/>
  <c r="AD159" i="3"/>
  <c r="AC160" i="3"/>
  <c r="AE160" i="3"/>
  <c r="AD160" i="3"/>
  <c r="AE161" i="3"/>
  <c r="AF161" i="3"/>
  <c r="AC163" i="3"/>
  <c r="AD163" i="3"/>
  <c r="AC164" i="3"/>
  <c r="AD164" i="3"/>
  <c r="AF164" i="3"/>
  <c r="AE165" i="3"/>
  <c r="AF165" i="3"/>
  <c r="AC167" i="3"/>
  <c r="AD167" i="3"/>
  <c r="AF167" i="3"/>
  <c r="AC168" i="3"/>
  <c r="AC172" i="3"/>
  <c r="AE172" i="3"/>
  <c r="AD168" i="3"/>
  <c r="AE169" i="3"/>
  <c r="AF169" i="3"/>
  <c r="AC171" i="3"/>
  <c r="AD171" i="3"/>
  <c r="AF171" i="3"/>
  <c r="AD172" i="3"/>
  <c r="AF172" i="3"/>
  <c r="AE173" i="3"/>
  <c r="AF173" i="3"/>
  <c r="AC175" i="3"/>
  <c r="AE175" i="3"/>
  <c r="AD175" i="3"/>
  <c r="AF175" i="3"/>
  <c r="AC176" i="3"/>
  <c r="AE176" i="3"/>
  <c r="AD176" i="3"/>
  <c r="AE177" i="3"/>
  <c r="AF177" i="3"/>
  <c r="AC179" i="3"/>
  <c r="AE179" i="3"/>
  <c r="AD179" i="3"/>
  <c r="AC180" i="3"/>
  <c r="AF180" i="3"/>
  <c r="AD180" i="3"/>
  <c r="AE181" i="3"/>
  <c r="AF181" i="3"/>
  <c r="AC183" i="3"/>
  <c r="AC187" i="3"/>
  <c r="AE187" i="3"/>
  <c r="AD183" i="3"/>
  <c r="AF183" i="3"/>
  <c r="AC184" i="3"/>
  <c r="AF184" i="3"/>
  <c r="AD184" i="3"/>
  <c r="AE185" i="3"/>
  <c r="AF185" i="3"/>
  <c r="AD187" i="3"/>
  <c r="AF187" i="3"/>
  <c r="AC188" i="3"/>
  <c r="AE188" i="3"/>
  <c r="AD188" i="3"/>
  <c r="AF188" i="3"/>
  <c r="AE189" i="3"/>
  <c r="AF189" i="3"/>
  <c r="AC191" i="3"/>
  <c r="AE191" i="3"/>
  <c r="AD191" i="3"/>
  <c r="AF191" i="3"/>
  <c r="AC192" i="3"/>
  <c r="AE192" i="3"/>
  <c r="AD192" i="3"/>
  <c r="AF192" i="3"/>
  <c r="AE193" i="3"/>
  <c r="AF193" i="3"/>
  <c r="AC195" i="3"/>
  <c r="AE195" i="3"/>
  <c r="AD195" i="3"/>
  <c r="AF195" i="3"/>
  <c r="AC196" i="3"/>
  <c r="AE196" i="3"/>
  <c r="AD196" i="3"/>
  <c r="AF196" i="3"/>
  <c r="AE197" i="3"/>
  <c r="AF197" i="3"/>
  <c r="AC199" i="3"/>
  <c r="AE199" i="3"/>
  <c r="AD199" i="3"/>
  <c r="AF199" i="3"/>
  <c r="AC200" i="3"/>
  <c r="AE200" i="3"/>
  <c r="AD200" i="3"/>
  <c r="AF200" i="3"/>
  <c r="AE201" i="3"/>
  <c r="AF201" i="3"/>
  <c r="AC203" i="3"/>
  <c r="AE203" i="3"/>
  <c r="AD203" i="3"/>
  <c r="AF203" i="3"/>
  <c r="AC204" i="3"/>
  <c r="AE204" i="3"/>
  <c r="AD204" i="3"/>
  <c r="AF204" i="3"/>
  <c r="AE205" i="3"/>
  <c r="AF205" i="3"/>
  <c r="AC207" i="3"/>
  <c r="AE207" i="3"/>
  <c r="AD207" i="3"/>
  <c r="AF207" i="3"/>
  <c r="AC208" i="3"/>
  <c r="AE208" i="3"/>
  <c r="AD208" i="3"/>
  <c r="AF208" i="3"/>
  <c r="AE209" i="3"/>
  <c r="AF209" i="3"/>
  <c r="Y7" i="3"/>
  <c r="Y3" i="3"/>
  <c r="AA7" i="3"/>
  <c r="Z7" i="3"/>
  <c r="AB7" i="3"/>
  <c r="Y8" i="3"/>
  <c r="Y4" i="3"/>
  <c r="AA8" i="3"/>
  <c r="Z8" i="3"/>
  <c r="AB8" i="3"/>
  <c r="AA9" i="3"/>
  <c r="AB9" i="3"/>
  <c r="Q10" i="3"/>
  <c r="Y10" i="3"/>
  <c r="Q6" i="3"/>
  <c r="Y6" i="3"/>
  <c r="AA10" i="3"/>
  <c r="R10" i="3"/>
  <c r="Z10" i="3"/>
  <c r="AB10" i="3"/>
  <c r="Y11" i="3"/>
  <c r="AA11" i="3"/>
  <c r="Z11" i="3"/>
  <c r="AB11" i="3"/>
  <c r="Y12" i="3"/>
  <c r="AA12" i="3"/>
  <c r="Z12" i="3"/>
  <c r="AB12" i="3"/>
  <c r="AA13" i="3"/>
  <c r="AB13" i="3"/>
  <c r="Q14" i="3"/>
  <c r="Y14" i="3"/>
  <c r="AA14" i="3"/>
  <c r="R14" i="3"/>
  <c r="Z14" i="3"/>
  <c r="AB14" i="3"/>
  <c r="Y15" i="3"/>
  <c r="AA15" i="3"/>
  <c r="Z15" i="3"/>
  <c r="AB15" i="3"/>
  <c r="Y16" i="3"/>
  <c r="AA16" i="3"/>
  <c r="Z16" i="3"/>
  <c r="AB16" i="3"/>
  <c r="AA17" i="3"/>
  <c r="AB17" i="3"/>
  <c r="Q18" i="3"/>
  <c r="Y18" i="3"/>
  <c r="AA18" i="3"/>
  <c r="R18" i="3"/>
  <c r="Z18" i="3"/>
  <c r="AB18" i="3"/>
  <c r="Y19" i="3"/>
  <c r="AA19" i="3"/>
  <c r="Z19" i="3"/>
  <c r="AB19" i="3"/>
  <c r="Y20" i="3"/>
  <c r="AA20" i="3"/>
  <c r="Z20" i="3"/>
  <c r="AB20" i="3"/>
  <c r="AA21" i="3"/>
  <c r="AB21" i="3"/>
  <c r="Q22" i="3"/>
  <c r="Y22" i="3"/>
  <c r="AA22" i="3"/>
  <c r="R22" i="3"/>
  <c r="Z22" i="3"/>
  <c r="AB22" i="3"/>
  <c r="Y23" i="3"/>
  <c r="AA23" i="3"/>
  <c r="Z23" i="3"/>
  <c r="AB23" i="3"/>
  <c r="Y24" i="3"/>
  <c r="AA24" i="3"/>
  <c r="Z24" i="3"/>
  <c r="AB24" i="3"/>
  <c r="AA25" i="3"/>
  <c r="AB25" i="3"/>
  <c r="Q26" i="3"/>
  <c r="Y26" i="3"/>
  <c r="AA26" i="3"/>
  <c r="R26" i="3"/>
  <c r="Z26" i="3"/>
  <c r="AB26" i="3"/>
  <c r="Y27" i="3"/>
  <c r="AA27" i="3"/>
  <c r="Z27" i="3"/>
  <c r="AB27" i="3"/>
  <c r="Y28" i="3"/>
  <c r="AA28" i="3"/>
  <c r="Z28" i="3"/>
  <c r="AB28" i="3"/>
  <c r="AA29" i="3"/>
  <c r="AB29" i="3"/>
  <c r="Q30" i="3"/>
  <c r="Y30" i="3"/>
  <c r="AA30" i="3"/>
  <c r="R30" i="3"/>
  <c r="Z30" i="3"/>
  <c r="AB30" i="3"/>
  <c r="Y31" i="3"/>
  <c r="AA31" i="3"/>
  <c r="Z31" i="3"/>
  <c r="AB31" i="3"/>
  <c r="Y32" i="3"/>
  <c r="AA32" i="3"/>
  <c r="Z32" i="3"/>
  <c r="AB32" i="3"/>
  <c r="AA33" i="3"/>
  <c r="AB33" i="3"/>
  <c r="Q34" i="3"/>
  <c r="Y34" i="3"/>
  <c r="AA34" i="3"/>
  <c r="R34" i="3"/>
  <c r="Z34" i="3"/>
  <c r="AB34" i="3"/>
  <c r="Y35" i="3"/>
  <c r="AA35" i="3"/>
  <c r="Z35" i="3"/>
  <c r="AB35" i="3"/>
  <c r="Y36" i="3"/>
  <c r="AA36" i="3"/>
  <c r="Z36" i="3"/>
  <c r="AB36" i="3"/>
  <c r="AA37" i="3"/>
  <c r="AB37" i="3"/>
  <c r="Q38" i="3"/>
  <c r="Y38" i="3"/>
  <c r="AA38" i="3"/>
  <c r="R38" i="3"/>
  <c r="Z38" i="3"/>
  <c r="AB38" i="3"/>
  <c r="Y39" i="3"/>
  <c r="AA39" i="3"/>
  <c r="Z39" i="3"/>
  <c r="AB39" i="3"/>
  <c r="Y40" i="3"/>
  <c r="AA40" i="3"/>
  <c r="Z40" i="3"/>
  <c r="AB40" i="3"/>
  <c r="AA41" i="3"/>
  <c r="AB41" i="3"/>
  <c r="Q42" i="3"/>
  <c r="Y42" i="3"/>
  <c r="AA42" i="3"/>
  <c r="R42" i="3"/>
  <c r="Z42" i="3"/>
  <c r="AB42" i="3"/>
  <c r="Y43" i="3"/>
  <c r="AA43" i="3"/>
  <c r="Z43" i="3"/>
  <c r="AB43" i="3"/>
  <c r="Y44" i="3"/>
  <c r="AA44" i="3"/>
  <c r="Z44" i="3"/>
  <c r="AB44" i="3"/>
  <c r="AA45" i="3"/>
  <c r="AB45" i="3"/>
  <c r="Q46" i="3"/>
  <c r="Y46" i="3"/>
  <c r="AA46" i="3"/>
  <c r="R46" i="3"/>
  <c r="Z46" i="3"/>
  <c r="AB46" i="3"/>
  <c r="Y47" i="3"/>
  <c r="AA47" i="3"/>
  <c r="Z47" i="3"/>
  <c r="AB47" i="3"/>
  <c r="Y48" i="3"/>
  <c r="AA48" i="3"/>
  <c r="Z48" i="3"/>
  <c r="AB48" i="3"/>
  <c r="AA49" i="3"/>
  <c r="AB49" i="3"/>
  <c r="Q50" i="3"/>
  <c r="Y50" i="3"/>
  <c r="AA50" i="3"/>
  <c r="R50" i="3"/>
  <c r="Z50" i="3"/>
  <c r="AB50" i="3"/>
  <c r="Y51" i="3"/>
  <c r="AA51" i="3"/>
  <c r="Z51" i="3"/>
  <c r="AB51" i="3"/>
  <c r="Y52" i="3"/>
  <c r="AA52" i="3"/>
  <c r="Z52" i="3"/>
  <c r="AB52" i="3"/>
  <c r="AA53" i="3"/>
  <c r="AB53" i="3"/>
  <c r="Q54" i="3"/>
  <c r="Y54" i="3"/>
  <c r="AA54" i="3"/>
  <c r="R54" i="3"/>
  <c r="Z54" i="3"/>
  <c r="AB54" i="3"/>
  <c r="Y55" i="3"/>
  <c r="AA55" i="3"/>
  <c r="Z55" i="3"/>
  <c r="AB55" i="3"/>
  <c r="Y56" i="3"/>
  <c r="AA56" i="3"/>
  <c r="Z56" i="3"/>
  <c r="AB56" i="3"/>
  <c r="AA57" i="3"/>
  <c r="AB57" i="3"/>
  <c r="Q58" i="3"/>
  <c r="Y58" i="3"/>
  <c r="AA58" i="3"/>
  <c r="R58" i="3"/>
  <c r="Z58" i="3"/>
  <c r="AB58" i="3"/>
  <c r="Y59" i="3"/>
  <c r="AA59" i="3"/>
  <c r="Z59" i="3"/>
  <c r="AB59" i="3"/>
  <c r="Y60" i="3"/>
  <c r="AA60" i="3"/>
  <c r="Z60" i="3"/>
  <c r="AB60" i="3"/>
  <c r="AA61" i="3"/>
  <c r="AB61" i="3"/>
  <c r="Q62" i="3"/>
  <c r="Y62" i="3"/>
  <c r="AA62" i="3"/>
  <c r="R62" i="3"/>
  <c r="Z62" i="3"/>
  <c r="AB62" i="3"/>
  <c r="Y63" i="3"/>
  <c r="AA63" i="3"/>
  <c r="Z63" i="3"/>
  <c r="AB63" i="3"/>
  <c r="Y64" i="3"/>
  <c r="AA64" i="3"/>
  <c r="Z64" i="3"/>
  <c r="AB64" i="3"/>
  <c r="AA65" i="3"/>
  <c r="AB65" i="3"/>
  <c r="Q66" i="3"/>
  <c r="Y66" i="3"/>
  <c r="AA66" i="3"/>
  <c r="R66" i="3"/>
  <c r="Z66" i="3"/>
  <c r="AB66" i="3"/>
  <c r="Y67" i="3"/>
  <c r="AA67" i="3"/>
  <c r="Z67" i="3"/>
  <c r="AB67" i="3"/>
  <c r="Y68" i="3"/>
  <c r="AA68" i="3"/>
  <c r="Z68" i="3"/>
  <c r="AB68" i="3"/>
  <c r="AA69" i="3"/>
  <c r="AB69" i="3"/>
  <c r="Q70" i="3"/>
  <c r="Y70" i="3"/>
  <c r="AA70" i="3"/>
  <c r="R70" i="3"/>
  <c r="Z70" i="3"/>
  <c r="AB70" i="3"/>
  <c r="Y71" i="3"/>
  <c r="AA71" i="3"/>
  <c r="Z71" i="3"/>
  <c r="AB71" i="3"/>
  <c r="Y72" i="3"/>
  <c r="AA72" i="3"/>
  <c r="Z72" i="3"/>
  <c r="AB72" i="3"/>
  <c r="AA73" i="3"/>
  <c r="AB73" i="3"/>
  <c r="Q74" i="3"/>
  <c r="Y74" i="3"/>
  <c r="AA74" i="3"/>
  <c r="R74" i="3"/>
  <c r="Z74" i="3"/>
  <c r="AB74" i="3"/>
  <c r="Y75" i="3"/>
  <c r="AA75" i="3"/>
  <c r="Z75" i="3"/>
  <c r="AB75" i="3"/>
  <c r="Y76" i="3"/>
  <c r="AA76" i="3"/>
  <c r="Z76" i="3"/>
  <c r="AB76" i="3"/>
  <c r="AA77" i="3"/>
  <c r="AB77" i="3"/>
  <c r="Q78" i="3"/>
  <c r="Y78" i="3"/>
  <c r="AA78" i="3"/>
  <c r="R78" i="3"/>
  <c r="Z78" i="3"/>
  <c r="AB78" i="3"/>
  <c r="Y79" i="3"/>
  <c r="AA79" i="3"/>
  <c r="Z79" i="3"/>
  <c r="AB79" i="3"/>
  <c r="Y80" i="3"/>
  <c r="AA80" i="3"/>
  <c r="Z80" i="3"/>
  <c r="AB80" i="3"/>
  <c r="AA81" i="3"/>
  <c r="AB81" i="3"/>
  <c r="AA82" i="3"/>
  <c r="Z82" i="3"/>
  <c r="AB82" i="3"/>
  <c r="Y83" i="3"/>
  <c r="AA83" i="3"/>
  <c r="Z83" i="3"/>
  <c r="AB83" i="3"/>
  <c r="Y84" i="3"/>
  <c r="AA84" i="3"/>
  <c r="Z84" i="3"/>
  <c r="AB84" i="3"/>
  <c r="Y85" i="3"/>
  <c r="AA85" i="3"/>
  <c r="AB85" i="3"/>
  <c r="Y87" i="3"/>
  <c r="AA87" i="3"/>
  <c r="Z87" i="3"/>
  <c r="AB87" i="3"/>
  <c r="Y88" i="3"/>
  <c r="AA88" i="3"/>
  <c r="Z88" i="3"/>
  <c r="AB88" i="3"/>
  <c r="Y89" i="3"/>
  <c r="AA89" i="3"/>
  <c r="AB89" i="3"/>
  <c r="Y91" i="3"/>
  <c r="AA91" i="3"/>
  <c r="Z91" i="3"/>
  <c r="AB91" i="3"/>
  <c r="Y92" i="3"/>
  <c r="AA92" i="3"/>
  <c r="Z92" i="3"/>
  <c r="AB92" i="3"/>
  <c r="Y93" i="3"/>
  <c r="AA93" i="3"/>
  <c r="AB93" i="3"/>
  <c r="Y95" i="3"/>
  <c r="AA95" i="3"/>
  <c r="Z95" i="3"/>
  <c r="AB95" i="3"/>
  <c r="Y96" i="3"/>
  <c r="AA96" i="3"/>
  <c r="Z96" i="3"/>
  <c r="AB96" i="3"/>
  <c r="Y97" i="3"/>
  <c r="AA97" i="3"/>
  <c r="AB97" i="3"/>
  <c r="Y99" i="3"/>
  <c r="AA99" i="3"/>
  <c r="Z99" i="3"/>
  <c r="AB99" i="3"/>
  <c r="Y100" i="3"/>
  <c r="AA100" i="3"/>
  <c r="Z100" i="3"/>
  <c r="AB100" i="3"/>
  <c r="Y101" i="3"/>
  <c r="AA101" i="3"/>
  <c r="AB101" i="3"/>
  <c r="Y103" i="3"/>
  <c r="AA103" i="3"/>
  <c r="Z103" i="3"/>
  <c r="AB103" i="3"/>
  <c r="Y104" i="3"/>
  <c r="AA104" i="3"/>
  <c r="Z104" i="3"/>
  <c r="AB104" i="3"/>
  <c r="Y105" i="3"/>
  <c r="AA105" i="3"/>
  <c r="AB105" i="3"/>
  <c r="Y107" i="3"/>
  <c r="AA107" i="3"/>
  <c r="Z107" i="3"/>
  <c r="AB107" i="3"/>
  <c r="Y108" i="3"/>
  <c r="AA108" i="3"/>
  <c r="Z108" i="3"/>
  <c r="AB108" i="3"/>
  <c r="Y109" i="3"/>
  <c r="AA109" i="3"/>
  <c r="AB109" i="3"/>
  <c r="Y111" i="3"/>
  <c r="AA111" i="3"/>
  <c r="Z111" i="3"/>
  <c r="AB111" i="3"/>
  <c r="Y112" i="3"/>
  <c r="AA112" i="3"/>
  <c r="Z112" i="3"/>
  <c r="AB112" i="3"/>
  <c r="Y113" i="3"/>
  <c r="AA113" i="3"/>
  <c r="AB113" i="3"/>
  <c r="Y115" i="3"/>
  <c r="AA115" i="3"/>
  <c r="Z115" i="3"/>
  <c r="AB115" i="3"/>
  <c r="Y116" i="3"/>
  <c r="AA116" i="3"/>
  <c r="Z116" i="3"/>
  <c r="AB116" i="3"/>
  <c r="Y117" i="3"/>
  <c r="AA117" i="3"/>
  <c r="AB117" i="3"/>
  <c r="Y119" i="3"/>
  <c r="AA119" i="3"/>
  <c r="Z119" i="3"/>
  <c r="AB119" i="3"/>
  <c r="Y120" i="3"/>
  <c r="AA120" i="3"/>
  <c r="Z120" i="3"/>
  <c r="AB120" i="3"/>
  <c r="Y121" i="3"/>
  <c r="AA121" i="3"/>
  <c r="AB121" i="3"/>
  <c r="Y123" i="3"/>
  <c r="AA123" i="3"/>
  <c r="Z123" i="3"/>
  <c r="AB123" i="3"/>
  <c r="Y124" i="3"/>
  <c r="AA124" i="3"/>
  <c r="Z124" i="3"/>
  <c r="AB124" i="3"/>
  <c r="Y125" i="3"/>
  <c r="AA125" i="3"/>
  <c r="AB125" i="3"/>
  <c r="Y127" i="3"/>
  <c r="AA127" i="3"/>
  <c r="Z127" i="3"/>
  <c r="AB127" i="3"/>
  <c r="Y128" i="3"/>
  <c r="AA128" i="3"/>
  <c r="Z128" i="3"/>
  <c r="AB128" i="3"/>
  <c r="Y129" i="3"/>
  <c r="AA129" i="3"/>
  <c r="AB129" i="3"/>
  <c r="Y131" i="3"/>
  <c r="AA131" i="3"/>
  <c r="Z131" i="3"/>
  <c r="AB131" i="3"/>
  <c r="Y132" i="3"/>
  <c r="AA132" i="3"/>
  <c r="Z132" i="3"/>
  <c r="AB132" i="3"/>
  <c r="AA133" i="3"/>
  <c r="AB133" i="3"/>
  <c r="Y135" i="3"/>
  <c r="AA135" i="3"/>
  <c r="Z135" i="3"/>
  <c r="AB135" i="3"/>
  <c r="Y136" i="3"/>
  <c r="AA136" i="3"/>
  <c r="Z136" i="3"/>
  <c r="AB136" i="3"/>
  <c r="AA137" i="3"/>
  <c r="AB137" i="3"/>
  <c r="Y139" i="3"/>
  <c r="AA139" i="3"/>
  <c r="Z139" i="3"/>
  <c r="AB139" i="3"/>
  <c r="Y140" i="3"/>
  <c r="AA140" i="3"/>
  <c r="Z140" i="3"/>
  <c r="AB140" i="3"/>
  <c r="Y143" i="3"/>
  <c r="AA143" i="3"/>
  <c r="Z143" i="3"/>
  <c r="AB143" i="3"/>
  <c r="Y144" i="3"/>
  <c r="AA144" i="3"/>
  <c r="Z144" i="3"/>
  <c r="AB144" i="3"/>
  <c r="AA145" i="3"/>
  <c r="AB145" i="3"/>
  <c r="Y147" i="3"/>
  <c r="AA147" i="3"/>
  <c r="Z147" i="3"/>
  <c r="AB147" i="3"/>
  <c r="Y148" i="3"/>
  <c r="AA148" i="3"/>
  <c r="Z148" i="3"/>
  <c r="AB148" i="3"/>
  <c r="AA149" i="3"/>
  <c r="AB149" i="3"/>
  <c r="Y151" i="3"/>
  <c r="AA151" i="3"/>
  <c r="Z151" i="3"/>
  <c r="AB151" i="3"/>
  <c r="Y152" i="3"/>
  <c r="AA152" i="3"/>
  <c r="Z152" i="3"/>
  <c r="AB152" i="3"/>
  <c r="AA153" i="3"/>
  <c r="AB153" i="3"/>
  <c r="Y155" i="3"/>
  <c r="AA155" i="3"/>
  <c r="Z155" i="3"/>
  <c r="AB155" i="3"/>
  <c r="Y156" i="3"/>
  <c r="AA156" i="3"/>
  <c r="Z156" i="3"/>
  <c r="AB156" i="3"/>
  <c r="AA157" i="3"/>
  <c r="AB157" i="3"/>
  <c r="Y159" i="3"/>
  <c r="AA159" i="3"/>
  <c r="Z159" i="3"/>
  <c r="Y160" i="3"/>
  <c r="AA160" i="3"/>
  <c r="Z160" i="3"/>
  <c r="AA161" i="3"/>
  <c r="AB161" i="3"/>
  <c r="Y163" i="3"/>
  <c r="Z163" i="3"/>
  <c r="AB163" i="3"/>
  <c r="Y164" i="3"/>
  <c r="Z164" i="3"/>
  <c r="AB164" i="3"/>
  <c r="AA165" i="3"/>
  <c r="AB165" i="3"/>
  <c r="Y167" i="3"/>
  <c r="Z167" i="3"/>
  <c r="AB167" i="3"/>
  <c r="Y168" i="3"/>
  <c r="AA168" i="3"/>
  <c r="Z168" i="3"/>
  <c r="AA169" i="3"/>
  <c r="AB169" i="3"/>
  <c r="Y171" i="3"/>
  <c r="Z171" i="3"/>
  <c r="AB171" i="3"/>
  <c r="Y172" i="3"/>
  <c r="Z172" i="3"/>
  <c r="AB172" i="3"/>
  <c r="AA173" i="3"/>
  <c r="AB173" i="3"/>
  <c r="Y175" i="3"/>
  <c r="AA175" i="3"/>
  <c r="Z175" i="3"/>
  <c r="Y176" i="3"/>
  <c r="AA176" i="3"/>
  <c r="Z176" i="3"/>
  <c r="AA177" i="3"/>
  <c r="AB177" i="3"/>
  <c r="Y179" i="3"/>
  <c r="AB179" i="3"/>
  <c r="Z179" i="3"/>
  <c r="Y180" i="3"/>
  <c r="AB180" i="3"/>
  <c r="Z180" i="3"/>
  <c r="AA181" i="3"/>
  <c r="AB181" i="3"/>
  <c r="Y183" i="3"/>
  <c r="AB183" i="3"/>
  <c r="AA183" i="3"/>
  <c r="Z183" i="3"/>
  <c r="Y184" i="3"/>
  <c r="AB184" i="3"/>
  <c r="Z184" i="3"/>
  <c r="AA185" i="3"/>
  <c r="AB185" i="3"/>
  <c r="Y187" i="3"/>
  <c r="AA187" i="3"/>
  <c r="Z187" i="3"/>
  <c r="AB187" i="3"/>
  <c r="Y188" i="3"/>
  <c r="Z188" i="3"/>
  <c r="AB188" i="3"/>
  <c r="AA189" i="3"/>
  <c r="AB189" i="3"/>
  <c r="Y191" i="3"/>
  <c r="AA191" i="3"/>
  <c r="Z191" i="3"/>
  <c r="AB191" i="3"/>
  <c r="Y192" i="3"/>
  <c r="AA192" i="3"/>
  <c r="Z192" i="3"/>
  <c r="AB192" i="3"/>
  <c r="AA193" i="3"/>
  <c r="AB193" i="3"/>
  <c r="Y195" i="3"/>
  <c r="AA195" i="3"/>
  <c r="Z195" i="3"/>
  <c r="AB195" i="3"/>
  <c r="Y196" i="3"/>
  <c r="AA196" i="3"/>
  <c r="Z196" i="3"/>
  <c r="AB196" i="3"/>
  <c r="AA197" i="3"/>
  <c r="AB197" i="3"/>
  <c r="Y199" i="3"/>
  <c r="AA199" i="3"/>
  <c r="Z199" i="3"/>
  <c r="AB199" i="3"/>
  <c r="Y200" i="3"/>
  <c r="AA200" i="3"/>
  <c r="Z200" i="3"/>
  <c r="AB200" i="3"/>
  <c r="AA201" i="3"/>
  <c r="AB201" i="3"/>
  <c r="Y203" i="3"/>
  <c r="AA203" i="3"/>
  <c r="Z203" i="3"/>
  <c r="AB203" i="3"/>
  <c r="Y204" i="3"/>
  <c r="AA204" i="3"/>
  <c r="Z204" i="3"/>
  <c r="AB204" i="3"/>
  <c r="AA205" i="3"/>
  <c r="AB205" i="3"/>
  <c r="Y207" i="3"/>
  <c r="AA207" i="3"/>
  <c r="Z207" i="3"/>
  <c r="AB207" i="3"/>
  <c r="Y208" i="3"/>
  <c r="AA208" i="3"/>
  <c r="Z208" i="3"/>
  <c r="AB208" i="3"/>
  <c r="AA209" i="3"/>
  <c r="AB209" i="3"/>
  <c r="W7" i="3"/>
  <c r="X7" i="3"/>
  <c r="W8" i="3"/>
  <c r="X8" i="3"/>
  <c r="W9" i="3"/>
  <c r="X9" i="3"/>
  <c r="W10" i="3"/>
  <c r="X10" i="3"/>
  <c r="W11" i="3"/>
  <c r="X11" i="3"/>
  <c r="W12" i="3"/>
  <c r="X12" i="3"/>
  <c r="W13" i="3"/>
  <c r="X13" i="3"/>
  <c r="W14" i="3"/>
  <c r="X14" i="3"/>
  <c r="W15" i="3"/>
  <c r="X15" i="3"/>
  <c r="W16" i="3"/>
  <c r="X16" i="3"/>
  <c r="W17" i="3"/>
  <c r="X17" i="3"/>
  <c r="W18" i="3"/>
  <c r="X18" i="3"/>
  <c r="W19" i="3"/>
  <c r="X19" i="3"/>
  <c r="W20" i="3"/>
  <c r="X20" i="3"/>
  <c r="W21" i="3"/>
  <c r="X21" i="3"/>
  <c r="W22" i="3"/>
  <c r="X22" i="3"/>
  <c r="W23" i="3"/>
  <c r="X23" i="3"/>
  <c r="W24" i="3"/>
  <c r="X24" i="3"/>
  <c r="W25" i="3"/>
  <c r="X25" i="3"/>
  <c r="W26" i="3"/>
  <c r="X26" i="3"/>
  <c r="W27" i="3"/>
  <c r="X27" i="3"/>
  <c r="W28" i="3"/>
  <c r="X28" i="3"/>
  <c r="W29" i="3"/>
  <c r="X29" i="3"/>
  <c r="W30" i="3"/>
  <c r="X30" i="3"/>
  <c r="W31" i="3"/>
  <c r="X31" i="3"/>
  <c r="W32" i="3"/>
  <c r="X32" i="3"/>
  <c r="W33" i="3"/>
  <c r="X33" i="3"/>
  <c r="W34" i="3"/>
  <c r="X34" i="3"/>
  <c r="W35" i="3"/>
  <c r="X35" i="3"/>
  <c r="W36" i="3"/>
  <c r="X36" i="3"/>
  <c r="W37" i="3"/>
  <c r="X37" i="3"/>
  <c r="W38" i="3"/>
  <c r="X38" i="3"/>
  <c r="W39" i="3"/>
  <c r="X39" i="3"/>
  <c r="W40" i="3"/>
  <c r="X40" i="3"/>
  <c r="W41" i="3"/>
  <c r="X41" i="3"/>
  <c r="W42" i="3"/>
  <c r="X42" i="3"/>
  <c r="W43" i="3"/>
  <c r="X43" i="3"/>
  <c r="W44" i="3"/>
  <c r="X44" i="3"/>
  <c r="W45" i="3"/>
  <c r="X45" i="3"/>
  <c r="W46" i="3"/>
  <c r="X46" i="3"/>
  <c r="W47" i="3"/>
  <c r="X47" i="3"/>
  <c r="W48" i="3"/>
  <c r="X48" i="3"/>
  <c r="W49" i="3"/>
  <c r="X49" i="3"/>
  <c r="W50" i="3"/>
  <c r="X50" i="3"/>
  <c r="W51" i="3"/>
  <c r="X51" i="3"/>
  <c r="W52" i="3"/>
  <c r="X52" i="3"/>
  <c r="W53" i="3"/>
  <c r="X53" i="3"/>
  <c r="W54" i="3"/>
  <c r="X54" i="3"/>
  <c r="W55" i="3"/>
  <c r="X55" i="3"/>
  <c r="W56" i="3"/>
  <c r="X56" i="3"/>
  <c r="W57" i="3"/>
  <c r="X57" i="3"/>
  <c r="W58" i="3"/>
  <c r="X58" i="3"/>
  <c r="W59" i="3"/>
  <c r="X59" i="3"/>
  <c r="W60" i="3"/>
  <c r="X60" i="3"/>
  <c r="W61" i="3"/>
  <c r="X61" i="3"/>
  <c r="W62" i="3"/>
  <c r="X62" i="3"/>
  <c r="W63" i="3"/>
  <c r="X63" i="3"/>
  <c r="W64" i="3"/>
  <c r="X64" i="3"/>
  <c r="W65" i="3"/>
  <c r="X65" i="3"/>
  <c r="W66" i="3"/>
  <c r="X66" i="3"/>
  <c r="W67" i="3"/>
  <c r="X67" i="3"/>
  <c r="W68" i="3"/>
  <c r="X68" i="3"/>
  <c r="W69" i="3"/>
  <c r="X69" i="3"/>
  <c r="W70" i="3"/>
  <c r="X70" i="3"/>
  <c r="W71" i="3"/>
  <c r="X71" i="3"/>
  <c r="W72" i="3"/>
  <c r="X72" i="3"/>
  <c r="W73" i="3"/>
  <c r="X73" i="3"/>
  <c r="W74" i="3"/>
  <c r="X74" i="3"/>
  <c r="W75" i="3"/>
  <c r="X75" i="3"/>
  <c r="W76" i="3"/>
  <c r="X76" i="3"/>
  <c r="W77" i="3"/>
  <c r="X77" i="3"/>
  <c r="W78" i="3"/>
  <c r="X78" i="3"/>
  <c r="W79" i="3"/>
  <c r="X79" i="3"/>
  <c r="W80" i="3"/>
  <c r="X80" i="3"/>
  <c r="W81" i="3"/>
  <c r="X81" i="3"/>
  <c r="W82" i="3"/>
  <c r="X82" i="3"/>
  <c r="W83" i="3"/>
  <c r="X83" i="3"/>
  <c r="W84" i="3"/>
  <c r="X84" i="3"/>
  <c r="W85" i="3"/>
  <c r="X85" i="3"/>
  <c r="W87" i="3"/>
  <c r="X87" i="3"/>
  <c r="W88" i="3"/>
  <c r="X88" i="3"/>
  <c r="W89" i="3"/>
  <c r="X89" i="3"/>
  <c r="W91" i="3"/>
  <c r="X91" i="3"/>
  <c r="W92" i="3"/>
  <c r="X92" i="3"/>
  <c r="W93" i="3"/>
  <c r="X93" i="3"/>
  <c r="W95" i="3"/>
  <c r="X95" i="3"/>
  <c r="W96" i="3"/>
  <c r="X96" i="3"/>
  <c r="W97" i="3"/>
  <c r="X97" i="3"/>
  <c r="W99" i="3"/>
  <c r="X99" i="3"/>
  <c r="W100" i="3"/>
  <c r="X100" i="3"/>
  <c r="W101" i="3"/>
  <c r="X101" i="3"/>
  <c r="W103" i="3"/>
  <c r="X103" i="3"/>
  <c r="W104" i="3"/>
  <c r="X104" i="3"/>
  <c r="W105" i="3"/>
  <c r="X105" i="3"/>
  <c r="W107" i="3"/>
  <c r="X107" i="3"/>
  <c r="W108" i="3"/>
  <c r="X108" i="3"/>
  <c r="W109" i="3"/>
  <c r="X109" i="3"/>
  <c r="W111" i="3"/>
  <c r="X111" i="3"/>
  <c r="W112" i="3"/>
  <c r="X112" i="3"/>
  <c r="W113" i="3"/>
  <c r="X113" i="3"/>
  <c r="W115" i="3"/>
  <c r="X115" i="3"/>
  <c r="W116" i="3"/>
  <c r="X116" i="3"/>
  <c r="W117" i="3"/>
  <c r="X117" i="3"/>
  <c r="W119" i="3"/>
  <c r="X119" i="3"/>
  <c r="W120" i="3"/>
  <c r="X120" i="3"/>
  <c r="W121" i="3"/>
  <c r="X121" i="3"/>
  <c r="W123" i="3"/>
  <c r="X123" i="3"/>
  <c r="W124" i="3"/>
  <c r="X124" i="3"/>
  <c r="W125" i="3"/>
  <c r="X125" i="3"/>
  <c r="W127" i="3"/>
  <c r="X127" i="3"/>
  <c r="W128" i="3"/>
  <c r="X128" i="3"/>
  <c r="W129" i="3"/>
  <c r="X129" i="3"/>
  <c r="W131" i="3"/>
  <c r="X131" i="3"/>
  <c r="W132" i="3"/>
  <c r="X132" i="3"/>
  <c r="W133" i="3"/>
  <c r="X133" i="3"/>
  <c r="W135" i="3"/>
  <c r="X135" i="3"/>
  <c r="W136" i="3"/>
  <c r="X136" i="3"/>
  <c r="W137" i="3"/>
  <c r="X137" i="3"/>
  <c r="W139" i="3"/>
  <c r="X139" i="3"/>
  <c r="W140" i="3"/>
  <c r="X140" i="3"/>
  <c r="W143" i="3"/>
  <c r="X143" i="3"/>
  <c r="W144" i="3"/>
  <c r="X144" i="3"/>
  <c r="W145" i="3"/>
  <c r="X145" i="3"/>
  <c r="W147" i="3"/>
  <c r="X147" i="3"/>
  <c r="W148" i="3"/>
  <c r="X148" i="3"/>
  <c r="W149" i="3"/>
  <c r="X149" i="3"/>
  <c r="W151" i="3"/>
  <c r="X151" i="3"/>
  <c r="W152" i="3"/>
  <c r="X152" i="3"/>
  <c r="W153" i="3"/>
  <c r="X153" i="3"/>
  <c r="W155" i="3"/>
  <c r="X155" i="3"/>
  <c r="W156" i="3"/>
  <c r="X156" i="3"/>
  <c r="W157" i="3"/>
  <c r="X157" i="3"/>
  <c r="W159" i="3"/>
  <c r="X159" i="3"/>
  <c r="W160" i="3"/>
  <c r="X160" i="3"/>
  <c r="W161" i="3"/>
  <c r="X161" i="3"/>
  <c r="W163" i="3"/>
  <c r="X163" i="3"/>
  <c r="W164" i="3"/>
  <c r="X164" i="3"/>
  <c r="W165" i="3"/>
  <c r="X165" i="3"/>
  <c r="W167" i="3"/>
  <c r="X167" i="3"/>
  <c r="W168" i="3"/>
  <c r="X168" i="3"/>
  <c r="W169" i="3"/>
  <c r="X169" i="3"/>
  <c r="W171" i="3"/>
  <c r="X171" i="3"/>
  <c r="W172" i="3"/>
  <c r="X172" i="3"/>
  <c r="W173" i="3"/>
  <c r="X173" i="3"/>
  <c r="W175" i="3"/>
  <c r="X175" i="3"/>
  <c r="W176" i="3"/>
  <c r="X176" i="3"/>
  <c r="W177" i="3"/>
  <c r="X177" i="3"/>
  <c r="W179" i="3"/>
  <c r="X179" i="3"/>
  <c r="W180" i="3"/>
  <c r="X180" i="3"/>
  <c r="W181" i="3"/>
  <c r="X181" i="3"/>
  <c r="W183" i="3"/>
  <c r="X183" i="3"/>
  <c r="W184" i="3"/>
  <c r="X184" i="3"/>
  <c r="W185" i="3"/>
  <c r="X185" i="3"/>
  <c r="W187" i="3"/>
  <c r="X187" i="3"/>
  <c r="W188" i="3"/>
  <c r="X188" i="3"/>
  <c r="W189" i="3"/>
  <c r="X189" i="3"/>
  <c r="W191" i="3"/>
  <c r="X191" i="3"/>
  <c r="W192" i="3"/>
  <c r="X192" i="3"/>
  <c r="W193" i="3"/>
  <c r="X193" i="3"/>
  <c r="W195" i="3"/>
  <c r="X195" i="3"/>
  <c r="W196" i="3"/>
  <c r="X196" i="3"/>
  <c r="W197" i="3"/>
  <c r="X197" i="3"/>
  <c r="W199" i="3"/>
  <c r="X199" i="3"/>
  <c r="W200" i="3"/>
  <c r="X200" i="3"/>
  <c r="W201" i="3"/>
  <c r="X201" i="3"/>
  <c r="W203" i="3"/>
  <c r="X203" i="3"/>
  <c r="W204" i="3"/>
  <c r="X204" i="3"/>
  <c r="W205" i="3"/>
  <c r="X205" i="3"/>
  <c r="W207" i="3"/>
  <c r="X207" i="3"/>
  <c r="W208" i="3"/>
  <c r="X208" i="3"/>
  <c r="W209" i="3"/>
  <c r="X209" i="3"/>
  <c r="S7" i="3"/>
  <c r="T7" i="3"/>
  <c r="S8" i="3"/>
  <c r="T8" i="3"/>
  <c r="S9" i="3"/>
  <c r="T9" i="3"/>
  <c r="S10" i="3"/>
  <c r="T10" i="3"/>
  <c r="S11" i="3"/>
  <c r="T11" i="3"/>
  <c r="S12" i="3"/>
  <c r="T12" i="3"/>
  <c r="S13" i="3"/>
  <c r="T13" i="3"/>
  <c r="S14" i="3"/>
  <c r="T14" i="3"/>
  <c r="S15" i="3"/>
  <c r="T15" i="3"/>
  <c r="S16" i="3"/>
  <c r="T16" i="3"/>
  <c r="S17" i="3"/>
  <c r="T17" i="3"/>
  <c r="S18" i="3"/>
  <c r="T18" i="3"/>
  <c r="S19" i="3"/>
  <c r="T19" i="3"/>
  <c r="S20" i="3"/>
  <c r="T20" i="3"/>
  <c r="S21" i="3"/>
  <c r="T21" i="3"/>
  <c r="S22" i="3"/>
  <c r="T22" i="3"/>
  <c r="S23" i="3"/>
  <c r="T23" i="3"/>
  <c r="S24" i="3"/>
  <c r="T24" i="3"/>
  <c r="S25" i="3"/>
  <c r="T25" i="3"/>
  <c r="S26" i="3"/>
  <c r="T26" i="3"/>
  <c r="S27" i="3"/>
  <c r="T27" i="3"/>
  <c r="S28" i="3"/>
  <c r="T28" i="3"/>
  <c r="S29" i="3"/>
  <c r="T29" i="3"/>
  <c r="S30" i="3"/>
  <c r="T30" i="3"/>
  <c r="S31" i="3"/>
  <c r="T31" i="3"/>
  <c r="S32" i="3"/>
  <c r="T32" i="3"/>
  <c r="S33" i="3"/>
  <c r="T33" i="3"/>
  <c r="S34" i="3"/>
  <c r="T34" i="3"/>
  <c r="S35" i="3"/>
  <c r="T35" i="3"/>
  <c r="S36" i="3"/>
  <c r="T36" i="3"/>
  <c r="S37" i="3"/>
  <c r="T37" i="3"/>
  <c r="S38" i="3"/>
  <c r="T38" i="3"/>
  <c r="S39" i="3"/>
  <c r="T39" i="3"/>
  <c r="S40" i="3"/>
  <c r="T40" i="3"/>
  <c r="S41" i="3"/>
  <c r="T41" i="3"/>
  <c r="S42" i="3"/>
  <c r="T42" i="3"/>
  <c r="S43" i="3"/>
  <c r="T43" i="3"/>
  <c r="S44" i="3"/>
  <c r="T44" i="3"/>
  <c r="S45" i="3"/>
  <c r="T45" i="3"/>
  <c r="S46" i="3"/>
  <c r="T46" i="3"/>
  <c r="S47" i="3"/>
  <c r="T47" i="3"/>
  <c r="S48" i="3"/>
  <c r="T48" i="3"/>
  <c r="S49" i="3"/>
  <c r="T49" i="3"/>
  <c r="S50" i="3"/>
  <c r="T50" i="3"/>
  <c r="S51" i="3"/>
  <c r="T51" i="3"/>
  <c r="S52" i="3"/>
  <c r="T52" i="3"/>
  <c r="S53" i="3"/>
  <c r="T53" i="3"/>
  <c r="S54" i="3"/>
  <c r="T54" i="3"/>
  <c r="S55" i="3"/>
  <c r="T55" i="3"/>
  <c r="S56" i="3"/>
  <c r="T56" i="3"/>
  <c r="S57" i="3"/>
  <c r="T57" i="3"/>
  <c r="S58" i="3"/>
  <c r="T58" i="3"/>
  <c r="S59" i="3"/>
  <c r="T59" i="3"/>
  <c r="S60" i="3"/>
  <c r="T60" i="3"/>
  <c r="S61" i="3"/>
  <c r="T61" i="3"/>
  <c r="S62" i="3"/>
  <c r="T62" i="3"/>
  <c r="S63" i="3"/>
  <c r="T63" i="3"/>
  <c r="S64" i="3"/>
  <c r="T64" i="3"/>
  <c r="S65" i="3"/>
  <c r="T65" i="3"/>
  <c r="S66" i="3"/>
  <c r="T66" i="3"/>
  <c r="S67" i="3"/>
  <c r="T67" i="3"/>
  <c r="S68" i="3"/>
  <c r="T68" i="3"/>
  <c r="S69" i="3"/>
  <c r="T69" i="3"/>
  <c r="S70" i="3"/>
  <c r="T70" i="3"/>
  <c r="S71" i="3"/>
  <c r="T71" i="3"/>
  <c r="S72" i="3"/>
  <c r="T72" i="3"/>
  <c r="S73" i="3"/>
  <c r="T73" i="3"/>
  <c r="S74" i="3"/>
  <c r="T74" i="3"/>
  <c r="S75" i="3"/>
  <c r="T75" i="3"/>
  <c r="S76" i="3"/>
  <c r="T76" i="3"/>
  <c r="S77" i="3"/>
  <c r="T77" i="3"/>
  <c r="S78" i="3"/>
  <c r="T78" i="3"/>
  <c r="S79" i="3"/>
  <c r="T79" i="3"/>
  <c r="S80" i="3"/>
  <c r="T80" i="3"/>
  <c r="S81" i="3"/>
  <c r="T81" i="3"/>
  <c r="S82" i="3"/>
  <c r="T82" i="3"/>
  <c r="S83" i="3"/>
  <c r="T83" i="3"/>
  <c r="S84" i="3"/>
  <c r="T84" i="3"/>
  <c r="S85" i="3"/>
  <c r="T85" i="3"/>
  <c r="S87" i="3"/>
  <c r="T87" i="3"/>
  <c r="S88" i="3"/>
  <c r="T88" i="3"/>
  <c r="S89" i="3"/>
  <c r="T89" i="3"/>
  <c r="S91" i="3"/>
  <c r="T91" i="3"/>
  <c r="S92" i="3"/>
  <c r="T92" i="3"/>
  <c r="S93" i="3"/>
  <c r="T93" i="3"/>
  <c r="S95" i="3"/>
  <c r="T95" i="3"/>
  <c r="S96" i="3"/>
  <c r="T96" i="3"/>
  <c r="S97" i="3"/>
  <c r="T97" i="3"/>
  <c r="S99" i="3"/>
  <c r="T99" i="3"/>
  <c r="S100" i="3"/>
  <c r="T100" i="3"/>
  <c r="S101" i="3"/>
  <c r="T101" i="3"/>
  <c r="S103" i="3"/>
  <c r="T103" i="3"/>
  <c r="S104" i="3"/>
  <c r="T104" i="3"/>
  <c r="S105" i="3"/>
  <c r="T105" i="3"/>
  <c r="S107" i="3"/>
  <c r="T107" i="3"/>
  <c r="S108" i="3"/>
  <c r="T108" i="3"/>
  <c r="S109" i="3"/>
  <c r="T109" i="3"/>
  <c r="S111" i="3"/>
  <c r="T111" i="3"/>
  <c r="S112" i="3"/>
  <c r="T112" i="3"/>
  <c r="S113" i="3"/>
  <c r="T113" i="3"/>
  <c r="S115" i="3"/>
  <c r="T115" i="3"/>
  <c r="S116" i="3"/>
  <c r="T116" i="3"/>
  <c r="S117" i="3"/>
  <c r="T117" i="3"/>
  <c r="S119" i="3"/>
  <c r="T119" i="3"/>
  <c r="S120" i="3"/>
  <c r="T120" i="3"/>
  <c r="S121" i="3"/>
  <c r="T121" i="3"/>
  <c r="S123" i="3"/>
  <c r="T123" i="3"/>
  <c r="S124" i="3"/>
  <c r="T124" i="3"/>
  <c r="S125" i="3"/>
  <c r="T125" i="3"/>
  <c r="S127" i="3"/>
  <c r="T127" i="3"/>
  <c r="S128" i="3"/>
  <c r="T128" i="3"/>
  <c r="S129" i="3"/>
  <c r="T129" i="3"/>
  <c r="S131" i="3"/>
  <c r="T131" i="3"/>
  <c r="S132" i="3"/>
  <c r="T132" i="3"/>
  <c r="S133" i="3"/>
  <c r="T133" i="3"/>
  <c r="S135" i="3"/>
  <c r="T135" i="3"/>
  <c r="S136" i="3"/>
  <c r="T136" i="3"/>
  <c r="S137" i="3"/>
  <c r="T137" i="3"/>
  <c r="S139" i="3"/>
  <c r="T139" i="3"/>
  <c r="S140" i="3"/>
  <c r="T140" i="3"/>
  <c r="S141" i="3"/>
  <c r="T141" i="3"/>
  <c r="S143" i="3"/>
  <c r="T143" i="3"/>
  <c r="S144" i="3"/>
  <c r="T144" i="3"/>
  <c r="S145" i="3"/>
  <c r="T145" i="3"/>
  <c r="S147" i="3"/>
  <c r="T147" i="3"/>
  <c r="S148" i="3"/>
  <c r="T148" i="3"/>
  <c r="S149" i="3"/>
  <c r="T149" i="3"/>
  <c r="S151" i="3"/>
  <c r="T151" i="3"/>
  <c r="S152" i="3"/>
  <c r="T152" i="3"/>
  <c r="S153" i="3"/>
  <c r="T153" i="3"/>
  <c r="S155" i="3"/>
  <c r="T155" i="3"/>
  <c r="S156" i="3"/>
  <c r="T156" i="3"/>
  <c r="S157" i="3"/>
  <c r="T157" i="3"/>
  <c r="S159" i="3"/>
  <c r="T159" i="3"/>
  <c r="S160" i="3"/>
  <c r="T160" i="3"/>
  <c r="S161" i="3"/>
  <c r="T161" i="3"/>
  <c r="S163" i="3"/>
  <c r="T163" i="3"/>
  <c r="S164" i="3"/>
  <c r="T164" i="3"/>
  <c r="S165" i="3"/>
  <c r="T165" i="3"/>
  <c r="S167" i="3"/>
  <c r="T167" i="3"/>
  <c r="S168" i="3"/>
  <c r="T168" i="3"/>
  <c r="S169" i="3"/>
  <c r="T169" i="3"/>
  <c r="S171" i="3"/>
  <c r="T171" i="3"/>
  <c r="S172" i="3"/>
  <c r="T172" i="3"/>
  <c r="S173" i="3"/>
  <c r="T173" i="3"/>
  <c r="S175" i="3"/>
  <c r="T175" i="3"/>
  <c r="S176" i="3"/>
  <c r="T176" i="3"/>
  <c r="S177" i="3"/>
  <c r="T177" i="3"/>
  <c r="S179" i="3"/>
  <c r="T179" i="3"/>
  <c r="S180" i="3"/>
  <c r="T180" i="3"/>
  <c r="S181" i="3"/>
  <c r="T181" i="3"/>
  <c r="S183" i="3"/>
  <c r="T183" i="3"/>
  <c r="S184" i="3"/>
  <c r="T184" i="3"/>
  <c r="S185" i="3"/>
  <c r="T185" i="3"/>
  <c r="S187" i="3"/>
  <c r="T187" i="3"/>
  <c r="S188" i="3"/>
  <c r="T188" i="3"/>
  <c r="S189" i="3"/>
  <c r="T189" i="3"/>
  <c r="S191" i="3"/>
  <c r="T191" i="3"/>
  <c r="S192" i="3"/>
  <c r="T192" i="3"/>
  <c r="S193" i="3"/>
  <c r="T193" i="3"/>
  <c r="S195" i="3"/>
  <c r="T195" i="3"/>
  <c r="S196" i="3"/>
  <c r="T196" i="3"/>
  <c r="S197" i="3"/>
  <c r="T197" i="3"/>
  <c r="S199" i="3"/>
  <c r="T199" i="3"/>
  <c r="S200" i="3"/>
  <c r="T200" i="3"/>
  <c r="S201" i="3"/>
  <c r="T201" i="3"/>
  <c r="S203" i="3"/>
  <c r="T203" i="3"/>
  <c r="S204" i="3"/>
  <c r="T204" i="3"/>
  <c r="S205" i="3"/>
  <c r="T205" i="3"/>
  <c r="S207" i="3"/>
  <c r="T207" i="3"/>
  <c r="S208" i="3"/>
  <c r="T208" i="3"/>
  <c r="S209" i="3"/>
  <c r="T209" i="3"/>
  <c r="M7" i="3"/>
  <c r="M3" i="3"/>
  <c r="O7" i="3"/>
  <c r="N7" i="3"/>
  <c r="P7" i="3"/>
  <c r="M8" i="3"/>
  <c r="M4" i="3"/>
  <c r="O8" i="3"/>
  <c r="N8" i="3"/>
  <c r="P8" i="3"/>
  <c r="O9" i="3"/>
  <c r="P9" i="3"/>
  <c r="I10" i="3"/>
  <c r="M10" i="3"/>
  <c r="I6" i="3"/>
  <c r="M6" i="3"/>
  <c r="O10" i="3"/>
  <c r="J10" i="3"/>
  <c r="N10" i="3"/>
  <c r="P10" i="3"/>
  <c r="M11" i="3"/>
  <c r="O11" i="3"/>
  <c r="N11" i="3"/>
  <c r="P11" i="3"/>
  <c r="M12" i="3"/>
  <c r="O12" i="3"/>
  <c r="N12" i="3"/>
  <c r="P12" i="3"/>
  <c r="O13" i="3"/>
  <c r="P13" i="3"/>
  <c r="I14" i="3"/>
  <c r="M14" i="3"/>
  <c r="O14" i="3"/>
  <c r="J14" i="3"/>
  <c r="N14" i="3"/>
  <c r="P14" i="3"/>
  <c r="M15" i="3"/>
  <c r="O15" i="3"/>
  <c r="N15" i="3"/>
  <c r="P15" i="3"/>
  <c r="M16" i="3"/>
  <c r="O16" i="3"/>
  <c r="N16" i="3"/>
  <c r="P16" i="3"/>
  <c r="O17" i="3"/>
  <c r="P17" i="3"/>
  <c r="I18" i="3"/>
  <c r="M18" i="3"/>
  <c r="O18" i="3"/>
  <c r="J18" i="3"/>
  <c r="N18" i="3"/>
  <c r="P18" i="3"/>
  <c r="M19" i="3"/>
  <c r="O19" i="3"/>
  <c r="N19" i="3"/>
  <c r="P19" i="3"/>
  <c r="M20" i="3"/>
  <c r="O20" i="3"/>
  <c r="N20" i="3"/>
  <c r="P20" i="3"/>
  <c r="O21" i="3"/>
  <c r="P21" i="3"/>
  <c r="I22" i="3"/>
  <c r="M22" i="3"/>
  <c r="O22" i="3"/>
  <c r="J22" i="3"/>
  <c r="N22" i="3"/>
  <c r="P22" i="3"/>
  <c r="M23" i="3"/>
  <c r="O23" i="3"/>
  <c r="N23" i="3"/>
  <c r="P23" i="3"/>
  <c r="M24" i="3"/>
  <c r="O24" i="3"/>
  <c r="N24" i="3"/>
  <c r="P24" i="3"/>
  <c r="O25" i="3"/>
  <c r="P25" i="3"/>
  <c r="I26" i="3"/>
  <c r="M26" i="3"/>
  <c r="O26" i="3"/>
  <c r="J26" i="3"/>
  <c r="N26" i="3"/>
  <c r="P26" i="3"/>
  <c r="M27" i="3"/>
  <c r="O27" i="3"/>
  <c r="N27" i="3"/>
  <c r="P27" i="3"/>
  <c r="M28" i="3"/>
  <c r="O28" i="3"/>
  <c r="N28" i="3"/>
  <c r="P28" i="3"/>
  <c r="O29" i="3"/>
  <c r="P29" i="3"/>
  <c r="I30" i="3"/>
  <c r="M30" i="3"/>
  <c r="O30" i="3"/>
  <c r="J30" i="3"/>
  <c r="N30" i="3"/>
  <c r="P30" i="3"/>
  <c r="M31" i="3"/>
  <c r="O31" i="3"/>
  <c r="N31" i="3"/>
  <c r="P31" i="3"/>
  <c r="M32" i="3"/>
  <c r="O32" i="3"/>
  <c r="N32" i="3"/>
  <c r="P32" i="3"/>
  <c r="O33" i="3"/>
  <c r="P33" i="3"/>
  <c r="I34" i="3"/>
  <c r="M34" i="3"/>
  <c r="O34" i="3"/>
  <c r="J34" i="3"/>
  <c r="N34" i="3"/>
  <c r="P34" i="3"/>
  <c r="M35" i="3"/>
  <c r="O35" i="3"/>
  <c r="N35" i="3"/>
  <c r="P35" i="3"/>
  <c r="M36" i="3"/>
  <c r="O36" i="3"/>
  <c r="N36" i="3"/>
  <c r="P36" i="3"/>
  <c r="O37" i="3"/>
  <c r="P37" i="3"/>
  <c r="I38" i="3"/>
  <c r="M38" i="3"/>
  <c r="O38" i="3"/>
  <c r="J38" i="3"/>
  <c r="N38" i="3"/>
  <c r="P38" i="3"/>
  <c r="M39" i="3"/>
  <c r="O39" i="3"/>
  <c r="N39" i="3"/>
  <c r="P39" i="3"/>
  <c r="M40" i="3"/>
  <c r="O40" i="3"/>
  <c r="N40" i="3"/>
  <c r="P40" i="3"/>
  <c r="O41" i="3"/>
  <c r="P41" i="3"/>
  <c r="I42" i="3"/>
  <c r="M42" i="3"/>
  <c r="O42" i="3"/>
  <c r="J42" i="3"/>
  <c r="N42" i="3"/>
  <c r="P42" i="3"/>
  <c r="M43" i="3"/>
  <c r="O43" i="3"/>
  <c r="N43" i="3"/>
  <c r="P43" i="3"/>
  <c r="M44" i="3"/>
  <c r="O44" i="3"/>
  <c r="N44" i="3"/>
  <c r="P44" i="3"/>
  <c r="O45" i="3"/>
  <c r="P45" i="3"/>
  <c r="I46" i="3"/>
  <c r="M46" i="3"/>
  <c r="O46" i="3"/>
  <c r="J46" i="3"/>
  <c r="N46" i="3"/>
  <c r="P46" i="3"/>
  <c r="M47" i="3"/>
  <c r="O47" i="3"/>
  <c r="N47" i="3"/>
  <c r="P47" i="3"/>
  <c r="M48" i="3"/>
  <c r="O48" i="3"/>
  <c r="N48" i="3"/>
  <c r="P48" i="3"/>
  <c r="O49" i="3"/>
  <c r="P49" i="3"/>
  <c r="I50" i="3"/>
  <c r="M50" i="3"/>
  <c r="O50" i="3"/>
  <c r="J50" i="3"/>
  <c r="N50" i="3"/>
  <c r="P50" i="3"/>
  <c r="M51" i="3"/>
  <c r="O51" i="3"/>
  <c r="N51" i="3"/>
  <c r="P51" i="3"/>
  <c r="M52" i="3"/>
  <c r="O52" i="3"/>
  <c r="N52" i="3"/>
  <c r="P52" i="3"/>
  <c r="O53" i="3"/>
  <c r="P53" i="3"/>
  <c r="I54" i="3"/>
  <c r="M54" i="3"/>
  <c r="O54" i="3"/>
  <c r="J54" i="3"/>
  <c r="N54" i="3"/>
  <c r="P54" i="3"/>
  <c r="M55" i="3"/>
  <c r="O55" i="3"/>
  <c r="N55" i="3"/>
  <c r="P55" i="3"/>
  <c r="M56" i="3"/>
  <c r="O56" i="3"/>
  <c r="N56" i="3"/>
  <c r="P56" i="3"/>
  <c r="O57" i="3"/>
  <c r="P57" i="3"/>
  <c r="I58" i="3"/>
  <c r="M58" i="3"/>
  <c r="O58" i="3"/>
  <c r="J58" i="3"/>
  <c r="N58" i="3"/>
  <c r="P58" i="3"/>
  <c r="M59" i="3"/>
  <c r="O59" i="3"/>
  <c r="N59" i="3"/>
  <c r="P59" i="3"/>
  <c r="M60" i="3"/>
  <c r="O60" i="3"/>
  <c r="N60" i="3"/>
  <c r="P60" i="3"/>
  <c r="O61" i="3"/>
  <c r="P61" i="3"/>
  <c r="I62" i="3"/>
  <c r="M62" i="3"/>
  <c r="O62" i="3"/>
  <c r="J62" i="3"/>
  <c r="N62" i="3"/>
  <c r="P62" i="3"/>
  <c r="M63" i="3"/>
  <c r="O63" i="3"/>
  <c r="N63" i="3"/>
  <c r="P63" i="3"/>
  <c r="M64" i="3"/>
  <c r="O64" i="3"/>
  <c r="N64" i="3"/>
  <c r="P64" i="3"/>
  <c r="O65" i="3"/>
  <c r="P65" i="3"/>
  <c r="I66" i="3"/>
  <c r="M66" i="3"/>
  <c r="O66" i="3"/>
  <c r="J66" i="3"/>
  <c r="N66" i="3"/>
  <c r="P66" i="3"/>
  <c r="M67" i="3"/>
  <c r="O67" i="3"/>
  <c r="N67" i="3"/>
  <c r="P67" i="3"/>
  <c r="M68" i="3"/>
  <c r="O68" i="3"/>
  <c r="N68" i="3"/>
  <c r="P68" i="3"/>
  <c r="O69" i="3"/>
  <c r="P69" i="3"/>
  <c r="I70" i="3"/>
  <c r="M70" i="3"/>
  <c r="O70" i="3"/>
  <c r="J70" i="3"/>
  <c r="N70" i="3"/>
  <c r="P70" i="3"/>
  <c r="M71" i="3"/>
  <c r="O71" i="3"/>
  <c r="N71" i="3"/>
  <c r="P71" i="3"/>
  <c r="M72" i="3"/>
  <c r="O72" i="3"/>
  <c r="N72" i="3"/>
  <c r="P72" i="3"/>
  <c r="O73" i="3"/>
  <c r="P73" i="3"/>
  <c r="I74" i="3"/>
  <c r="M74" i="3"/>
  <c r="O74" i="3"/>
  <c r="J74" i="3"/>
  <c r="N74" i="3"/>
  <c r="P74" i="3"/>
  <c r="M75" i="3"/>
  <c r="O75" i="3"/>
  <c r="N75" i="3"/>
  <c r="P75" i="3"/>
  <c r="M76" i="3"/>
  <c r="O76" i="3"/>
  <c r="N76" i="3"/>
  <c r="P76" i="3"/>
  <c r="O77" i="3"/>
  <c r="P77" i="3"/>
  <c r="I78" i="3"/>
  <c r="M78" i="3"/>
  <c r="O78" i="3"/>
  <c r="J78" i="3"/>
  <c r="N78" i="3"/>
  <c r="P78" i="3"/>
  <c r="M79" i="3"/>
  <c r="O79" i="3"/>
  <c r="N79" i="3"/>
  <c r="P79" i="3"/>
  <c r="M80" i="3"/>
  <c r="O80" i="3"/>
  <c r="N80" i="3"/>
  <c r="P80" i="3"/>
  <c r="O81" i="3"/>
  <c r="P81" i="3"/>
  <c r="O82" i="3"/>
  <c r="N82" i="3"/>
  <c r="P82" i="3"/>
  <c r="M83" i="3"/>
  <c r="O83" i="3"/>
  <c r="N83" i="3"/>
  <c r="P83" i="3"/>
  <c r="M84" i="3"/>
  <c r="O84" i="3"/>
  <c r="N84" i="3"/>
  <c r="P84" i="3"/>
  <c r="M85" i="3"/>
  <c r="O85" i="3"/>
  <c r="P85" i="3"/>
  <c r="M87" i="3"/>
  <c r="O87" i="3"/>
  <c r="N87" i="3"/>
  <c r="P87" i="3"/>
  <c r="M88" i="3"/>
  <c r="O88" i="3"/>
  <c r="N88" i="3"/>
  <c r="P88" i="3"/>
  <c r="M89" i="3"/>
  <c r="O89" i="3"/>
  <c r="P89" i="3"/>
  <c r="M91" i="3"/>
  <c r="O91" i="3"/>
  <c r="N91" i="3"/>
  <c r="P91" i="3"/>
  <c r="M92" i="3"/>
  <c r="O92" i="3"/>
  <c r="N92" i="3"/>
  <c r="P92" i="3"/>
  <c r="M93" i="3"/>
  <c r="O93" i="3"/>
  <c r="P93" i="3"/>
  <c r="M95" i="3"/>
  <c r="O95" i="3"/>
  <c r="N95" i="3"/>
  <c r="P95" i="3"/>
  <c r="M96" i="3"/>
  <c r="O96" i="3"/>
  <c r="N96" i="3"/>
  <c r="P96" i="3"/>
  <c r="M97" i="3"/>
  <c r="O97" i="3"/>
  <c r="P97" i="3"/>
  <c r="M99" i="3"/>
  <c r="O99" i="3"/>
  <c r="N99" i="3"/>
  <c r="P99" i="3"/>
  <c r="M100" i="3"/>
  <c r="O100" i="3"/>
  <c r="N100" i="3"/>
  <c r="P100" i="3"/>
  <c r="M101" i="3"/>
  <c r="O101" i="3"/>
  <c r="P101" i="3"/>
  <c r="M103" i="3"/>
  <c r="O103" i="3"/>
  <c r="N103" i="3"/>
  <c r="P103" i="3"/>
  <c r="M104" i="3"/>
  <c r="O104" i="3"/>
  <c r="N104" i="3"/>
  <c r="P104" i="3"/>
  <c r="M105" i="3"/>
  <c r="O105" i="3"/>
  <c r="P105" i="3"/>
  <c r="M107" i="3"/>
  <c r="O107" i="3"/>
  <c r="N107" i="3"/>
  <c r="P107" i="3"/>
  <c r="M108" i="3"/>
  <c r="O108" i="3"/>
  <c r="N108" i="3"/>
  <c r="P108" i="3"/>
  <c r="M109" i="3"/>
  <c r="O109" i="3"/>
  <c r="P109" i="3"/>
  <c r="M111" i="3"/>
  <c r="O111" i="3"/>
  <c r="N111" i="3"/>
  <c r="P111" i="3"/>
  <c r="M112" i="3"/>
  <c r="O112" i="3"/>
  <c r="N112" i="3"/>
  <c r="P112" i="3"/>
  <c r="M113" i="3"/>
  <c r="O113" i="3"/>
  <c r="P113" i="3"/>
  <c r="M115" i="3"/>
  <c r="O115" i="3"/>
  <c r="N115" i="3"/>
  <c r="P115" i="3"/>
  <c r="M116" i="3"/>
  <c r="O116" i="3"/>
  <c r="N116" i="3"/>
  <c r="P116" i="3"/>
  <c r="M117" i="3"/>
  <c r="O117" i="3"/>
  <c r="P117" i="3"/>
  <c r="M119" i="3"/>
  <c r="O119" i="3"/>
  <c r="N119" i="3"/>
  <c r="P119" i="3"/>
  <c r="M120" i="3"/>
  <c r="O120" i="3"/>
  <c r="N120" i="3"/>
  <c r="P120" i="3"/>
  <c r="M121" i="3"/>
  <c r="O121" i="3"/>
  <c r="P121" i="3"/>
  <c r="M123" i="3"/>
  <c r="O123" i="3"/>
  <c r="N123" i="3"/>
  <c r="P123" i="3"/>
  <c r="M124" i="3"/>
  <c r="O124" i="3"/>
  <c r="N124" i="3"/>
  <c r="P124" i="3"/>
  <c r="M125" i="3"/>
  <c r="O125" i="3"/>
  <c r="P125" i="3"/>
  <c r="M127" i="3"/>
  <c r="O127" i="3"/>
  <c r="N127" i="3"/>
  <c r="P127" i="3"/>
  <c r="M128" i="3"/>
  <c r="O128" i="3"/>
  <c r="N128" i="3"/>
  <c r="P128" i="3"/>
  <c r="M129" i="3"/>
  <c r="O129" i="3"/>
  <c r="P129" i="3"/>
  <c r="M131" i="3"/>
  <c r="O131" i="3"/>
  <c r="N131" i="3"/>
  <c r="P131" i="3"/>
  <c r="M132" i="3"/>
  <c r="O132" i="3"/>
  <c r="N132" i="3"/>
  <c r="P132" i="3"/>
  <c r="O133" i="3"/>
  <c r="P133" i="3"/>
  <c r="M135" i="3"/>
  <c r="O135" i="3"/>
  <c r="N135" i="3"/>
  <c r="P135" i="3"/>
  <c r="M136" i="3"/>
  <c r="O136" i="3"/>
  <c r="N136" i="3"/>
  <c r="P136" i="3"/>
  <c r="O137" i="3"/>
  <c r="P137" i="3"/>
  <c r="M139" i="3"/>
  <c r="O139" i="3"/>
  <c r="N139" i="3"/>
  <c r="P139" i="3"/>
  <c r="M140" i="3"/>
  <c r="O140" i="3"/>
  <c r="N140" i="3"/>
  <c r="P140" i="3"/>
  <c r="M143" i="3"/>
  <c r="O143" i="3"/>
  <c r="N143" i="3"/>
  <c r="P143" i="3"/>
  <c r="M144" i="3"/>
  <c r="O144" i="3"/>
  <c r="N144" i="3"/>
  <c r="P144" i="3"/>
  <c r="O145" i="3"/>
  <c r="P145" i="3"/>
  <c r="M147" i="3"/>
  <c r="O147" i="3"/>
  <c r="N147" i="3"/>
  <c r="P147" i="3"/>
  <c r="M148" i="3"/>
  <c r="O148" i="3"/>
  <c r="N148" i="3"/>
  <c r="P148" i="3"/>
  <c r="O149" i="3"/>
  <c r="P149" i="3"/>
  <c r="M151" i="3"/>
  <c r="O151" i="3"/>
  <c r="N151" i="3"/>
  <c r="P151" i="3"/>
  <c r="M152" i="3"/>
  <c r="O152" i="3"/>
  <c r="N152" i="3"/>
  <c r="P152" i="3"/>
  <c r="O153" i="3"/>
  <c r="P153" i="3"/>
  <c r="M155" i="3"/>
  <c r="O155" i="3"/>
  <c r="N155" i="3"/>
  <c r="P155" i="3"/>
  <c r="M156" i="3"/>
  <c r="O156" i="3"/>
  <c r="N156" i="3"/>
  <c r="P156" i="3"/>
  <c r="O157" i="3"/>
  <c r="P157" i="3"/>
  <c r="M159" i="3"/>
  <c r="O159" i="3"/>
  <c r="N159" i="3"/>
  <c r="M160" i="3"/>
  <c r="O160" i="3"/>
  <c r="N160" i="3"/>
  <c r="O161" i="3"/>
  <c r="P161" i="3"/>
  <c r="M163" i="3"/>
  <c r="M167" i="3"/>
  <c r="O167" i="3"/>
  <c r="N163" i="3"/>
  <c r="M164" i="3"/>
  <c r="M168" i="3"/>
  <c r="O168" i="3"/>
  <c r="N164" i="3"/>
  <c r="O165" i="3"/>
  <c r="P165" i="3"/>
  <c r="M171" i="3"/>
  <c r="O171" i="3"/>
  <c r="N167" i="3"/>
  <c r="P167" i="3"/>
  <c r="N168" i="3"/>
  <c r="P168" i="3"/>
  <c r="O169" i="3"/>
  <c r="P169" i="3"/>
  <c r="N171" i="3"/>
  <c r="P171" i="3"/>
  <c r="M172" i="3"/>
  <c r="O172" i="3"/>
  <c r="N172" i="3"/>
  <c r="P172" i="3"/>
  <c r="O173" i="3"/>
  <c r="P173" i="3"/>
  <c r="M175" i="3"/>
  <c r="P175" i="3"/>
  <c r="O175" i="3"/>
  <c r="N175" i="3"/>
  <c r="M176" i="3"/>
  <c r="N176" i="3"/>
  <c r="O177" i="3"/>
  <c r="P177" i="3"/>
  <c r="M179" i="3"/>
  <c r="N179" i="3"/>
  <c r="M180" i="3"/>
  <c r="P180" i="3"/>
  <c r="N180" i="3"/>
  <c r="O181" i="3"/>
  <c r="P181" i="3"/>
  <c r="M183" i="3"/>
  <c r="M187" i="3"/>
  <c r="O187" i="3"/>
  <c r="N183" i="3"/>
  <c r="M184" i="3"/>
  <c r="M188" i="3"/>
  <c r="O188" i="3"/>
  <c r="N184" i="3"/>
  <c r="O185" i="3"/>
  <c r="P185" i="3"/>
  <c r="N187" i="3"/>
  <c r="P187" i="3"/>
  <c r="N188" i="3"/>
  <c r="P188" i="3"/>
  <c r="O189" i="3"/>
  <c r="P189" i="3"/>
  <c r="M191" i="3"/>
  <c r="O191" i="3"/>
  <c r="N191" i="3"/>
  <c r="P191" i="3"/>
  <c r="M192" i="3"/>
  <c r="O192" i="3"/>
  <c r="N192" i="3"/>
  <c r="P192" i="3"/>
  <c r="O193" i="3"/>
  <c r="P193" i="3"/>
  <c r="M195" i="3"/>
  <c r="O195" i="3"/>
  <c r="N195" i="3"/>
  <c r="P195" i="3"/>
  <c r="M196" i="3"/>
  <c r="O196" i="3"/>
  <c r="N196" i="3"/>
  <c r="P196" i="3"/>
  <c r="O197" i="3"/>
  <c r="P197" i="3"/>
  <c r="M199" i="3"/>
  <c r="O199" i="3"/>
  <c r="N199" i="3"/>
  <c r="P199" i="3"/>
  <c r="M200" i="3"/>
  <c r="O200" i="3"/>
  <c r="N200" i="3"/>
  <c r="P200" i="3"/>
  <c r="O201" i="3"/>
  <c r="P201" i="3"/>
  <c r="M203" i="3"/>
  <c r="O203" i="3"/>
  <c r="N203" i="3"/>
  <c r="P203" i="3"/>
  <c r="M204" i="3"/>
  <c r="O204" i="3"/>
  <c r="N204" i="3"/>
  <c r="P204" i="3"/>
  <c r="O205" i="3"/>
  <c r="P205" i="3"/>
  <c r="M207" i="3"/>
  <c r="O207" i="3"/>
  <c r="N207" i="3"/>
  <c r="P207" i="3"/>
  <c r="M208" i="3"/>
  <c r="O208" i="3"/>
  <c r="N208" i="3"/>
  <c r="P208" i="3"/>
  <c r="O209" i="3"/>
  <c r="P209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7" i="3"/>
  <c r="H87" i="3"/>
  <c r="G88" i="3"/>
  <c r="H88" i="3"/>
  <c r="G89" i="3"/>
  <c r="H89" i="3"/>
  <c r="G91" i="3"/>
  <c r="H91" i="3"/>
  <c r="G92" i="3"/>
  <c r="H92" i="3"/>
  <c r="G93" i="3"/>
  <c r="H93" i="3"/>
  <c r="G95" i="3"/>
  <c r="H95" i="3"/>
  <c r="G96" i="3"/>
  <c r="H96" i="3"/>
  <c r="G97" i="3"/>
  <c r="H97" i="3"/>
  <c r="G99" i="3"/>
  <c r="H99" i="3"/>
  <c r="G100" i="3"/>
  <c r="H100" i="3"/>
  <c r="G101" i="3"/>
  <c r="H101" i="3"/>
  <c r="G103" i="3"/>
  <c r="H103" i="3"/>
  <c r="G104" i="3"/>
  <c r="H104" i="3"/>
  <c r="G105" i="3"/>
  <c r="H105" i="3"/>
  <c r="G107" i="3"/>
  <c r="H107" i="3"/>
  <c r="G108" i="3"/>
  <c r="H108" i="3"/>
  <c r="G109" i="3"/>
  <c r="H109" i="3"/>
  <c r="G111" i="3"/>
  <c r="H111" i="3"/>
  <c r="G112" i="3"/>
  <c r="H112" i="3"/>
  <c r="G113" i="3"/>
  <c r="H113" i="3"/>
  <c r="G115" i="3"/>
  <c r="H115" i="3"/>
  <c r="G116" i="3"/>
  <c r="H116" i="3"/>
  <c r="G117" i="3"/>
  <c r="H117" i="3"/>
  <c r="G119" i="3"/>
  <c r="H119" i="3"/>
  <c r="G120" i="3"/>
  <c r="H120" i="3"/>
  <c r="G121" i="3"/>
  <c r="H121" i="3"/>
  <c r="G123" i="3"/>
  <c r="H123" i="3"/>
  <c r="G124" i="3"/>
  <c r="H124" i="3"/>
  <c r="G125" i="3"/>
  <c r="H125" i="3"/>
  <c r="G127" i="3"/>
  <c r="H127" i="3"/>
  <c r="G128" i="3"/>
  <c r="H128" i="3"/>
  <c r="G129" i="3"/>
  <c r="H129" i="3"/>
  <c r="G131" i="3"/>
  <c r="H131" i="3"/>
  <c r="G132" i="3"/>
  <c r="H132" i="3"/>
  <c r="G133" i="3"/>
  <c r="H133" i="3"/>
  <c r="G135" i="3"/>
  <c r="H135" i="3"/>
  <c r="G136" i="3"/>
  <c r="H136" i="3"/>
  <c r="G137" i="3"/>
  <c r="H137" i="3"/>
  <c r="G139" i="3"/>
  <c r="H139" i="3"/>
  <c r="G140" i="3"/>
  <c r="H140" i="3"/>
  <c r="G141" i="3"/>
  <c r="H141" i="3"/>
  <c r="G143" i="3"/>
  <c r="H143" i="3"/>
  <c r="G144" i="3"/>
  <c r="H144" i="3"/>
  <c r="G145" i="3"/>
  <c r="H145" i="3"/>
  <c r="G147" i="3"/>
  <c r="H147" i="3"/>
  <c r="G148" i="3"/>
  <c r="H148" i="3"/>
  <c r="G149" i="3"/>
  <c r="H149" i="3"/>
  <c r="G151" i="3"/>
  <c r="H151" i="3"/>
  <c r="G152" i="3"/>
  <c r="H152" i="3"/>
  <c r="G153" i="3"/>
  <c r="H153" i="3"/>
  <c r="G155" i="3"/>
  <c r="H155" i="3"/>
  <c r="G156" i="3"/>
  <c r="H156" i="3"/>
  <c r="G157" i="3"/>
  <c r="H157" i="3"/>
  <c r="G159" i="3"/>
  <c r="H159" i="3"/>
  <c r="G160" i="3"/>
  <c r="H160" i="3"/>
  <c r="G161" i="3"/>
  <c r="H161" i="3"/>
  <c r="G163" i="3"/>
  <c r="H163" i="3"/>
  <c r="G164" i="3"/>
  <c r="H164" i="3"/>
  <c r="G165" i="3"/>
  <c r="H165" i="3"/>
  <c r="G167" i="3"/>
  <c r="H167" i="3"/>
  <c r="G168" i="3"/>
  <c r="H168" i="3"/>
  <c r="G169" i="3"/>
  <c r="H169" i="3"/>
  <c r="G171" i="3"/>
  <c r="H171" i="3"/>
  <c r="G172" i="3"/>
  <c r="H172" i="3"/>
  <c r="G173" i="3"/>
  <c r="H173" i="3"/>
  <c r="G175" i="3"/>
  <c r="H175" i="3"/>
  <c r="G176" i="3"/>
  <c r="H176" i="3"/>
  <c r="G177" i="3"/>
  <c r="H177" i="3"/>
  <c r="G179" i="3"/>
  <c r="H179" i="3"/>
  <c r="G180" i="3"/>
  <c r="H180" i="3"/>
  <c r="G181" i="3"/>
  <c r="H181" i="3"/>
  <c r="G183" i="3"/>
  <c r="H183" i="3"/>
  <c r="G184" i="3"/>
  <c r="H184" i="3"/>
  <c r="G185" i="3"/>
  <c r="H185" i="3"/>
  <c r="G187" i="3"/>
  <c r="H187" i="3"/>
  <c r="G188" i="3"/>
  <c r="H188" i="3"/>
  <c r="G189" i="3"/>
  <c r="H189" i="3"/>
  <c r="G191" i="3"/>
  <c r="H191" i="3"/>
  <c r="G192" i="3"/>
  <c r="H192" i="3"/>
  <c r="G193" i="3"/>
  <c r="H193" i="3"/>
  <c r="G195" i="3"/>
  <c r="H195" i="3"/>
  <c r="G196" i="3"/>
  <c r="H196" i="3"/>
  <c r="G197" i="3"/>
  <c r="H197" i="3"/>
  <c r="G199" i="3"/>
  <c r="H199" i="3"/>
  <c r="G200" i="3"/>
  <c r="H200" i="3"/>
  <c r="G201" i="3"/>
  <c r="H201" i="3"/>
  <c r="G203" i="3"/>
  <c r="H203" i="3"/>
  <c r="G204" i="3"/>
  <c r="H204" i="3"/>
  <c r="G205" i="3"/>
  <c r="H205" i="3"/>
  <c r="G207" i="3"/>
  <c r="H207" i="3"/>
  <c r="G208" i="3"/>
  <c r="H208" i="3"/>
  <c r="G209" i="3"/>
  <c r="H209" i="3"/>
  <c r="F6" i="3"/>
  <c r="H6" i="3"/>
  <c r="G6" i="3"/>
  <c r="K7" i="3"/>
  <c r="L7" i="3"/>
  <c r="K8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7" i="3"/>
  <c r="L87" i="3"/>
  <c r="K88" i="3"/>
  <c r="L88" i="3"/>
  <c r="K89" i="3"/>
  <c r="L89" i="3"/>
  <c r="K91" i="3"/>
  <c r="L91" i="3"/>
  <c r="K92" i="3"/>
  <c r="L92" i="3"/>
  <c r="K93" i="3"/>
  <c r="L93" i="3"/>
  <c r="K95" i="3"/>
  <c r="L95" i="3"/>
  <c r="K96" i="3"/>
  <c r="L96" i="3"/>
  <c r="K97" i="3"/>
  <c r="L97" i="3"/>
  <c r="K99" i="3"/>
  <c r="L99" i="3"/>
  <c r="K100" i="3"/>
  <c r="L100" i="3"/>
  <c r="K101" i="3"/>
  <c r="L101" i="3"/>
  <c r="K103" i="3"/>
  <c r="L103" i="3"/>
  <c r="K104" i="3"/>
  <c r="L104" i="3"/>
  <c r="K105" i="3"/>
  <c r="L105" i="3"/>
  <c r="K107" i="3"/>
  <c r="L107" i="3"/>
  <c r="K108" i="3"/>
  <c r="L108" i="3"/>
  <c r="K109" i="3"/>
  <c r="L109" i="3"/>
  <c r="K111" i="3"/>
  <c r="L111" i="3"/>
  <c r="K112" i="3"/>
  <c r="L112" i="3"/>
  <c r="K113" i="3"/>
  <c r="L113" i="3"/>
  <c r="K115" i="3"/>
  <c r="L115" i="3"/>
  <c r="K116" i="3"/>
  <c r="L116" i="3"/>
  <c r="K117" i="3"/>
  <c r="L117" i="3"/>
  <c r="K119" i="3"/>
  <c r="L119" i="3"/>
  <c r="K120" i="3"/>
  <c r="L120" i="3"/>
  <c r="K121" i="3"/>
  <c r="L121" i="3"/>
  <c r="K123" i="3"/>
  <c r="L123" i="3"/>
  <c r="K124" i="3"/>
  <c r="L124" i="3"/>
  <c r="K125" i="3"/>
  <c r="L125" i="3"/>
  <c r="K127" i="3"/>
  <c r="L127" i="3"/>
  <c r="K128" i="3"/>
  <c r="L128" i="3"/>
  <c r="K129" i="3"/>
  <c r="L129" i="3"/>
  <c r="K131" i="3"/>
  <c r="L131" i="3"/>
  <c r="K132" i="3"/>
  <c r="L132" i="3"/>
  <c r="K133" i="3"/>
  <c r="L133" i="3"/>
  <c r="K135" i="3"/>
  <c r="L135" i="3"/>
  <c r="K136" i="3"/>
  <c r="L136" i="3"/>
  <c r="K137" i="3"/>
  <c r="L137" i="3"/>
  <c r="K139" i="3"/>
  <c r="L139" i="3"/>
  <c r="K140" i="3"/>
  <c r="L140" i="3"/>
  <c r="K143" i="3"/>
  <c r="L143" i="3"/>
  <c r="K144" i="3"/>
  <c r="L144" i="3"/>
  <c r="K145" i="3"/>
  <c r="L145" i="3"/>
  <c r="K147" i="3"/>
  <c r="L147" i="3"/>
  <c r="K148" i="3"/>
  <c r="L148" i="3"/>
  <c r="K149" i="3"/>
  <c r="L149" i="3"/>
  <c r="K151" i="3"/>
  <c r="L151" i="3"/>
  <c r="K152" i="3"/>
  <c r="L152" i="3"/>
  <c r="K153" i="3"/>
  <c r="L153" i="3"/>
  <c r="K155" i="3"/>
  <c r="L155" i="3"/>
  <c r="K156" i="3"/>
  <c r="L156" i="3"/>
  <c r="K157" i="3"/>
  <c r="L157" i="3"/>
  <c r="K159" i="3"/>
  <c r="L159" i="3"/>
  <c r="K160" i="3"/>
  <c r="L160" i="3"/>
  <c r="K161" i="3"/>
  <c r="L161" i="3"/>
  <c r="K163" i="3"/>
  <c r="L163" i="3"/>
  <c r="K164" i="3"/>
  <c r="L164" i="3"/>
  <c r="K165" i="3"/>
  <c r="L165" i="3"/>
  <c r="K167" i="3"/>
  <c r="L167" i="3"/>
  <c r="K168" i="3"/>
  <c r="L168" i="3"/>
  <c r="K169" i="3"/>
  <c r="L169" i="3"/>
  <c r="K171" i="3"/>
  <c r="L171" i="3"/>
  <c r="K172" i="3"/>
  <c r="L172" i="3"/>
  <c r="K173" i="3"/>
  <c r="L173" i="3"/>
  <c r="K175" i="3"/>
  <c r="L175" i="3"/>
  <c r="K176" i="3"/>
  <c r="L176" i="3"/>
  <c r="K177" i="3"/>
  <c r="L177" i="3"/>
  <c r="K179" i="3"/>
  <c r="L179" i="3"/>
  <c r="K180" i="3"/>
  <c r="L180" i="3"/>
  <c r="K181" i="3"/>
  <c r="L181" i="3"/>
  <c r="K183" i="3"/>
  <c r="L183" i="3"/>
  <c r="K184" i="3"/>
  <c r="L184" i="3"/>
  <c r="K185" i="3"/>
  <c r="L185" i="3"/>
  <c r="K187" i="3"/>
  <c r="L187" i="3"/>
  <c r="K188" i="3"/>
  <c r="L188" i="3"/>
  <c r="K189" i="3"/>
  <c r="L189" i="3"/>
  <c r="K191" i="3"/>
  <c r="L191" i="3"/>
  <c r="K192" i="3"/>
  <c r="L192" i="3"/>
  <c r="K193" i="3"/>
  <c r="L193" i="3"/>
  <c r="K195" i="3"/>
  <c r="L195" i="3"/>
  <c r="K196" i="3"/>
  <c r="L196" i="3"/>
  <c r="K197" i="3"/>
  <c r="L197" i="3"/>
  <c r="K199" i="3"/>
  <c r="L199" i="3"/>
  <c r="K200" i="3"/>
  <c r="L200" i="3"/>
  <c r="K201" i="3"/>
  <c r="L201" i="3"/>
  <c r="K203" i="3"/>
  <c r="L203" i="3"/>
  <c r="K204" i="3"/>
  <c r="L204" i="3"/>
  <c r="K205" i="3"/>
  <c r="L205" i="3"/>
  <c r="K207" i="3"/>
  <c r="L207" i="3"/>
  <c r="K208" i="3"/>
  <c r="L208" i="3"/>
  <c r="K209" i="3"/>
  <c r="L209" i="3"/>
  <c r="K3" i="3"/>
  <c r="L3" i="3"/>
  <c r="K4" i="3"/>
  <c r="L4" i="3"/>
  <c r="K6" i="3"/>
  <c r="J6" i="3"/>
  <c r="L6" i="3"/>
  <c r="K2" i="3"/>
  <c r="J2" i="3"/>
  <c r="L2" i="3"/>
  <c r="G3" i="3"/>
  <c r="H3" i="3"/>
  <c r="G4" i="3"/>
  <c r="H4" i="3"/>
  <c r="G5" i="3"/>
  <c r="H5" i="3"/>
  <c r="J68" i="10"/>
  <c r="H68" i="10"/>
  <c r="O40" i="10"/>
  <c r="O39" i="10"/>
  <c r="O41" i="10"/>
  <c r="O42" i="10"/>
  <c r="O43" i="10"/>
  <c r="O44" i="10"/>
  <c r="O45" i="10"/>
  <c r="O46" i="10"/>
  <c r="O47" i="10"/>
  <c r="O48" i="10"/>
  <c r="O34" i="10"/>
  <c r="O38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O5" i="10"/>
  <c r="O74" i="10"/>
  <c r="O73" i="10"/>
  <c r="O72" i="10"/>
  <c r="O71" i="10"/>
  <c r="O70" i="10"/>
  <c r="O69" i="10"/>
  <c r="M68" i="10"/>
  <c r="O68" i="10"/>
  <c r="O67" i="10"/>
  <c r="O66" i="10"/>
  <c r="O65" i="10"/>
  <c r="O64" i="10"/>
  <c r="O63" i="10"/>
  <c r="M62" i="10"/>
  <c r="O62" i="10"/>
  <c r="O61" i="10"/>
  <c r="O60" i="10"/>
  <c r="M59" i="10"/>
  <c r="O59" i="10"/>
  <c r="O58" i="10"/>
  <c r="O57" i="10"/>
  <c r="O56" i="10"/>
  <c r="O55" i="10"/>
  <c r="O54" i="10"/>
  <c r="O53" i="10"/>
  <c r="O52" i="10"/>
  <c r="O50" i="10"/>
  <c r="O49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50" i="10"/>
  <c r="V49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49" i="10"/>
  <c r="J50" i="10"/>
  <c r="H50" i="10"/>
  <c r="L50" i="10"/>
  <c r="J51" i="10"/>
  <c r="H51" i="10"/>
  <c r="L51" i="10"/>
  <c r="J52" i="10"/>
  <c r="H52" i="10"/>
  <c r="L52" i="10"/>
  <c r="J53" i="10"/>
  <c r="H53" i="10"/>
  <c r="L53" i="10"/>
  <c r="J54" i="10"/>
  <c r="H54" i="10"/>
  <c r="L54" i="10"/>
  <c r="J55" i="10"/>
  <c r="H55" i="10"/>
  <c r="L55" i="10"/>
  <c r="J56" i="10"/>
  <c r="H56" i="10"/>
  <c r="L56" i="10"/>
  <c r="J57" i="10"/>
  <c r="H57" i="10"/>
  <c r="L57" i="10"/>
  <c r="J58" i="10"/>
  <c r="H58" i="10"/>
  <c r="L58" i="10"/>
  <c r="J59" i="10"/>
  <c r="H59" i="10"/>
  <c r="L59" i="10"/>
  <c r="J60" i="10"/>
  <c r="H60" i="10"/>
  <c r="L60" i="10"/>
  <c r="J61" i="10"/>
  <c r="H61" i="10"/>
  <c r="L61" i="10"/>
  <c r="J62" i="10"/>
  <c r="H62" i="10"/>
  <c r="L62" i="10"/>
  <c r="J63" i="10"/>
  <c r="H63" i="10"/>
  <c r="L63" i="10"/>
  <c r="J64" i="10"/>
  <c r="H64" i="10"/>
  <c r="L64" i="10"/>
  <c r="J65" i="10"/>
  <c r="H65" i="10"/>
  <c r="L65" i="10"/>
  <c r="J66" i="10"/>
  <c r="H66" i="10"/>
  <c r="L66" i="10"/>
  <c r="J67" i="10"/>
  <c r="H67" i="10"/>
  <c r="L67" i="10"/>
  <c r="L68" i="10"/>
  <c r="J69" i="10"/>
  <c r="H69" i="10"/>
  <c r="L69" i="10"/>
  <c r="J70" i="10"/>
  <c r="H70" i="10"/>
  <c r="L70" i="10"/>
  <c r="J71" i="10"/>
  <c r="H71" i="10"/>
  <c r="L71" i="10"/>
  <c r="J72" i="10"/>
  <c r="H72" i="10"/>
  <c r="L72" i="10"/>
  <c r="J73" i="10"/>
  <c r="H73" i="10"/>
  <c r="L73" i="10"/>
  <c r="J74" i="10"/>
  <c r="H74" i="10"/>
  <c r="L74" i="10"/>
  <c r="J49" i="10"/>
  <c r="H49" i="10"/>
  <c r="L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49" i="10"/>
  <c r="U10" i="9"/>
  <c r="R10" i="9"/>
  <c r="I10" i="9"/>
  <c r="G10" i="9"/>
  <c r="K10" i="9"/>
  <c r="J10" i="9"/>
  <c r="Q10" i="9"/>
  <c r="N10" i="9"/>
  <c r="O10" i="9"/>
  <c r="G30" i="4"/>
  <c r="AI30" i="4"/>
  <c r="V48" i="10"/>
  <c r="V47" i="10"/>
  <c r="V46" i="10"/>
  <c r="V45" i="10"/>
  <c r="V44" i="10"/>
  <c r="V43" i="10"/>
  <c r="V42" i="10"/>
  <c r="V41" i="10"/>
  <c r="S41" i="10"/>
  <c r="S42" i="10"/>
  <c r="S43" i="10"/>
  <c r="S44" i="10"/>
  <c r="S45" i="10"/>
  <c r="S46" i="10"/>
  <c r="S47" i="10"/>
  <c r="S48" i="10"/>
  <c r="R48" i="10"/>
  <c r="R47" i="10"/>
  <c r="R46" i="10"/>
  <c r="R45" i="10"/>
  <c r="R44" i="10"/>
  <c r="R43" i="10"/>
  <c r="R42" i="10"/>
  <c r="R41" i="10"/>
  <c r="K41" i="10"/>
  <c r="K42" i="10"/>
  <c r="K43" i="10"/>
  <c r="K44" i="10"/>
  <c r="K45" i="10"/>
  <c r="K46" i="10"/>
  <c r="K47" i="10"/>
  <c r="K48" i="10"/>
  <c r="J41" i="10"/>
  <c r="J42" i="10"/>
  <c r="J43" i="10"/>
  <c r="J44" i="10"/>
  <c r="J45" i="10"/>
  <c r="J46" i="10"/>
  <c r="J47" i="10"/>
  <c r="J48" i="10"/>
  <c r="H41" i="10"/>
  <c r="L41" i="10"/>
  <c r="H42" i="10"/>
  <c r="L42" i="10"/>
  <c r="H43" i="10"/>
  <c r="L43" i="10"/>
  <c r="H44" i="10"/>
  <c r="L44" i="10"/>
  <c r="H45" i="10"/>
  <c r="L45" i="10"/>
  <c r="H46" i="10"/>
  <c r="L46" i="10"/>
  <c r="H47" i="10"/>
  <c r="L47" i="10"/>
  <c r="H48" i="10"/>
  <c r="L48" i="10"/>
  <c r="R9" i="9"/>
  <c r="U9" i="9"/>
  <c r="Q9" i="9"/>
  <c r="N9" i="9"/>
  <c r="O9" i="9"/>
  <c r="I9" i="9"/>
  <c r="G9" i="9"/>
  <c r="K9" i="9"/>
  <c r="J9" i="9"/>
  <c r="C29" i="11"/>
  <c r="C30" i="11"/>
  <c r="E30" i="11"/>
  <c r="C31" i="11"/>
  <c r="C32" i="11"/>
  <c r="C33" i="11"/>
  <c r="C34" i="11"/>
  <c r="E34" i="11"/>
  <c r="C35" i="11"/>
  <c r="C36" i="11"/>
  <c r="C37" i="11"/>
  <c r="C38" i="11"/>
  <c r="E38" i="11"/>
  <c r="C40" i="11"/>
  <c r="C41" i="11"/>
  <c r="C42" i="11"/>
  <c r="F42" i="11"/>
  <c r="C43" i="11"/>
  <c r="E43" i="11"/>
  <c r="C44" i="11"/>
  <c r="E44" i="11"/>
  <c r="C45" i="11"/>
  <c r="C46" i="11"/>
  <c r="F46" i="11"/>
  <c r="E46" i="11"/>
  <c r="C47" i="11"/>
  <c r="C48" i="11"/>
  <c r="E48" i="11"/>
  <c r="C49" i="11"/>
  <c r="C50" i="11"/>
  <c r="E50" i="11"/>
  <c r="C51" i="11"/>
  <c r="C52" i="11"/>
  <c r="C53" i="11"/>
  <c r="C54" i="11"/>
  <c r="E54" i="11"/>
  <c r="C28" i="11"/>
  <c r="H42" i="4"/>
  <c r="K42" i="4"/>
  <c r="K23" i="4"/>
  <c r="K25" i="4"/>
  <c r="H46" i="4"/>
  <c r="K46" i="4"/>
  <c r="H47" i="4"/>
  <c r="H48" i="4"/>
  <c r="J48" i="4"/>
  <c r="K48" i="4"/>
  <c r="H49" i="4"/>
  <c r="H43" i="4"/>
  <c r="K43" i="4"/>
  <c r="H44" i="4"/>
  <c r="K44" i="4"/>
  <c r="H45" i="4"/>
  <c r="K45" i="4"/>
  <c r="H41" i="4"/>
  <c r="J36" i="4"/>
  <c r="J31" i="4"/>
  <c r="J32" i="4"/>
  <c r="K28" i="4"/>
  <c r="J25" i="4"/>
  <c r="J21" i="4"/>
  <c r="J16" i="4"/>
  <c r="J12" i="4"/>
  <c r="K2" i="4"/>
  <c r="J7" i="4"/>
  <c r="H50" i="4"/>
  <c r="K50" i="4"/>
  <c r="H51" i="4"/>
  <c r="K51" i="4"/>
  <c r="H52" i="4"/>
  <c r="K52" i="4"/>
  <c r="H53" i="4"/>
  <c r="K53" i="4"/>
  <c r="M32" i="10"/>
  <c r="O32" i="10"/>
  <c r="O35" i="10"/>
  <c r="O36" i="10"/>
  <c r="O37" i="10"/>
  <c r="V33" i="10"/>
  <c r="V34" i="10"/>
  <c r="V35" i="10"/>
  <c r="V36" i="10"/>
  <c r="V37" i="10"/>
  <c r="V38" i="10"/>
  <c r="V39" i="10"/>
  <c r="V40" i="10"/>
  <c r="S33" i="10"/>
  <c r="S34" i="10"/>
  <c r="S35" i="10"/>
  <c r="S36" i="10"/>
  <c r="S37" i="10"/>
  <c r="S38" i="10"/>
  <c r="S39" i="10"/>
  <c r="S40" i="10"/>
  <c r="R34" i="10"/>
  <c r="R35" i="10"/>
  <c r="R36" i="10"/>
  <c r="R37" i="10"/>
  <c r="R38" i="10"/>
  <c r="R39" i="10"/>
  <c r="R40" i="10"/>
  <c r="R33" i="10"/>
  <c r="J33" i="10"/>
  <c r="H33" i="10"/>
  <c r="L33" i="10"/>
  <c r="J34" i="10"/>
  <c r="H34" i="10"/>
  <c r="L34" i="10"/>
  <c r="J35" i="10"/>
  <c r="H35" i="10"/>
  <c r="L35" i="10"/>
  <c r="J36" i="10"/>
  <c r="H36" i="10"/>
  <c r="L36" i="10"/>
  <c r="J37" i="10"/>
  <c r="H37" i="10"/>
  <c r="L37" i="10"/>
  <c r="J38" i="10"/>
  <c r="H38" i="10"/>
  <c r="L38" i="10"/>
  <c r="J39" i="10"/>
  <c r="H39" i="10"/>
  <c r="L39" i="10"/>
  <c r="J40" i="10"/>
  <c r="H40" i="10"/>
  <c r="L40" i="10"/>
  <c r="K33" i="10"/>
  <c r="K34" i="10"/>
  <c r="K35" i="10"/>
  <c r="K36" i="10"/>
  <c r="K37" i="10"/>
  <c r="K38" i="10"/>
  <c r="K39" i="10"/>
  <c r="K40" i="10"/>
  <c r="O33" i="10"/>
  <c r="J32" i="10"/>
  <c r="H32" i="10"/>
  <c r="L32" i="10"/>
  <c r="K32" i="10"/>
  <c r="R32" i="10"/>
  <c r="S32" i="10"/>
  <c r="V32" i="10"/>
  <c r="I8" i="9"/>
  <c r="G8" i="9"/>
  <c r="K8" i="9"/>
  <c r="J8" i="9"/>
  <c r="Q8" i="9"/>
  <c r="R8" i="9"/>
  <c r="U8" i="9"/>
  <c r="N8" i="9"/>
  <c r="O8" i="9"/>
  <c r="R31" i="10"/>
  <c r="K31" i="10"/>
  <c r="J31" i="10"/>
  <c r="H31" i="10"/>
  <c r="L31" i="10"/>
  <c r="S31" i="10"/>
  <c r="V31" i="10"/>
  <c r="O31" i="10"/>
  <c r="V30" i="10"/>
  <c r="S30" i="10"/>
  <c r="R30" i="10"/>
  <c r="O30" i="10"/>
  <c r="K30" i="10"/>
  <c r="J30" i="10"/>
  <c r="H30" i="10"/>
  <c r="L30" i="10"/>
  <c r="K29" i="10"/>
  <c r="J29" i="10"/>
  <c r="H29" i="10"/>
  <c r="L29" i="10"/>
  <c r="S29" i="10"/>
  <c r="V29" i="10"/>
  <c r="R29" i="10"/>
  <c r="O29" i="10"/>
  <c r="O28" i="10"/>
  <c r="K28" i="10"/>
  <c r="J28" i="10"/>
  <c r="H28" i="10"/>
  <c r="L28" i="10"/>
  <c r="S28" i="10"/>
  <c r="R28" i="10"/>
  <c r="V28" i="10"/>
  <c r="V27" i="10"/>
  <c r="S27" i="10"/>
  <c r="R27" i="10"/>
  <c r="P27" i="10"/>
  <c r="O27" i="10"/>
  <c r="K27" i="10"/>
  <c r="J27" i="10"/>
  <c r="H27" i="10"/>
  <c r="L27" i="10"/>
  <c r="J26" i="10"/>
  <c r="R7" i="9"/>
  <c r="U7" i="9"/>
  <c r="I7" i="9"/>
  <c r="G7" i="9"/>
  <c r="K7" i="9"/>
  <c r="J7" i="9"/>
  <c r="Q7" i="9"/>
  <c r="N7" i="9"/>
  <c r="O7" i="9"/>
  <c r="S26" i="10"/>
  <c r="V26" i="10"/>
  <c r="H26" i="10"/>
  <c r="L26" i="10"/>
  <c r="K26" i="10"/>
  <c r="R26" i="10"/>
  <c r="O26" i="10"/>
  <c r="P26" i="10"/>
  <c r="V25" i="10"/>
  <c r="S25" i="10"/>
  <c r="J25" i="10"/>
  <c r="H25" i="10"/>
  <c r="L25" i="10"/>
  <c r="K25" i="10"/>
  <c r="R25" i="10"/>
  <c r="O25" i="10"/>
  <c r="P25" i="10"/>
  <c r="S24" i="10"/>
  <c r="V24" i="10"/>
  <c r="R24" i="10"/>
  <c r="J24" i="10"/>
  <c r="H24" i="10"/>
  <c r="L24" i="10"/>
  <c r="K24" i="10"/>
  <c r="O24" i="10"/>
  <c r="P24" i="10"/>
  <c r="V23" i="10"/>
  <c r="S23" i="10"/>
  <c r="R23" i="10"/>
  <c r="J23" i="10"/>
  <c r="H23" i="10"/>
  <c r="L23" i="10"/>
  <c r="K23" i="10"/>
  <c r="O23" i="10"/>
  <c r="P23" i="10"/>
  <c r="S22" i="10"/>
  <c r="V22" i="10"/>
  <c r="R22" i="10"/>
  <c r="J22" i="10"/>
  <c r="H22" i="10"/>
  <c r="L22" i="10"/>
  <c r="K22" i="10"/>
  <c r="O22" i="10"/>
  <c r="P22" i="10"/>
  <c r="R6" i="9"/>
  <c r="U6" i="9"/>
  <c r="Q6" i="9"/>
  <c r="I6" i="9"/>
  <c r="G6" i="9"/>
  <c r="K6" i="9"/>
  <c r="J6" i="9"/>
  <c r="O6" i="9"/>
  <c r="N6" i="9"/>
  <c r="U4" i="9"/>
  <c r="U5" i="9"/>
  <c r="V21" i="10"/>
  <c r="V20" i="10"/>
  <c r="V19" i="10"/>
  <c r="V18" i="10"/>
  <c r="V17" i="10"/>
  <c r="S17" i="10"/>
  <c r="S18" i="10"/>
  <c r="S19" i="10"/>
  <c r="S20" i="10"/>
  <c r="S21" i="10"/>
  <c r="R21" i="10"/>
  <c r="R20" i="10"/>
  <c r="R19" i="10"/>
  <c r="R18" i="10"/>
  <c r="R17" i="10"/>
  <c r="O21" i="10"/>
  <c r="P21" i="10"/>
  <c r="O20" i="10"/>
  <c r="P20" i="10"/>
  <c r="O19" i="10"/>
  <c r="P19" i="10"/>
  <c r="O18" i="10"/>
  <c r="P18" i="10"/>
  <c r="O17" i="10"/>
  <c r="P17" i="10"/>
  <c r="J21" i="10"/>
  <c r="H21" i="10"/>
  <c r="L21" i="10"/>
  <c r="K21" i="10"/>
  <c r="J20" i="10"/>
  <c r="H20" i="10"/>
  <c r="L20" i="10"/>
  <c r="K20" i="10"/>
  <c r="J19" i="10"/>
  <c r="H19" i="10"/>
  <c r="L19" i="10"/>
  <c r="K19" i="10"/>
  <c r="J18" i="10"/>
  <c r="H18" i="10"/>
  <c r="L18" i="10"/>
  <c r="K18" i="10"/>
  <c r="J17" i="10"/>
  <c r="H17" i="10"/>
  <c r="L17" i="10"/>
  <c r="K17" i="10"/>
  <c r="R5" i="9"/>
  <c r="Q5" i="9"/>
  <c r="O5" i="9"/>
  <c r="N5" i="9"/>
  <c r="J5" i="9"/>
  <c r="I5" i="9"/>
  <c r="G5" i="9"/>
  <c r="K5" i="9"/>
  <c r="C17" i="11"/>
  <c r="F17" i="1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2" i="10"/>
  <c r="R3" i="9"/>
  <c r="R4" i="9"/>
  <c r="R2" i="9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2" i="10"/>
  <c r="Q3" i="9"/>
  <c r="Q4" i="9"/>
  <c r="Q2" i="9"/>
  <c r="V12" i="10"/>
  <c r="V13" i="10"/>
  <c r="V14" i="10"/>
  <c r="V15" i="10"/>
  <c r="V16" i="10"/>
  <c r="P12" i="10"/>
  <c r="P13" i="10"/>
  <c r="P14" i="10"/>
  <c r="P15" i="10"/>
  <c r="P16" i="10"/>
  <c r="O12" i="10"/>
  <c r="O13" i="10"/>
  <c r="O14" i="10"/>
  <c r="O15" i="10"/>
  <c r="O16" i="10"/>
  <c r="J12" i="10"/>
  <c r="H12" i="10"/>
  <c r="L12" i="10"/>
  <c r="J13" i="10"/>
  <c r="H13" i="10"/>
  <c r="L13" i="10"/>
  <c r="J14" i="10"/>
  <c r="H14" i="10"/>
  <c r="L14" i="10"/>
  <c r="J15" i="10"/>
  <c r="H15" i="10"/>
  <c r="L15" i="10"/>
  <c r="J16" i="10"/>
  <c r="H16" i="10"/>
  <c r="L16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2" i="10"/>
  <c r="J3" i="10"/>
  <c r="H3" i="10"/>
  <c r="L3" i="10"/>
  <c r="J4" i="10"/>
  <c r="H4" i="10"/>
  <c r="L4" i="10"/>
  <c r="J5" i="10"/>
  <c r="H5" i="10"/>
  <c r="L5" i="10"/>
  <c r="J6" i="10"/>
  <c r="H6" i="10"/>
  <c r="L6" i="10"/>
  <c r="J7" i="10"/>
  <c r="H7" i="10"/>
  <c r="L7" i="10"/>
  <c r="J8" i="10"/>
  <c r="H8" i="10"/>
  <c r="L8" i="10"/>
  <c r="J9" i="10"/>
  <c r="H9" i="10"/>
  <c r="L9" i="10"/>
  <c r="J10" i="10"/>
  <c r="H10" i="10"/>
  <c r="L10" i="10"/>
  <c r="J11" i="10"/>
  <c r="H11" i="10"/>
  <c r="L11" i="10"/>
  <c r="J2" i="10"/>
  <c r="H2" i="10"/>
  <c r="L2" i="10"/>
  <c r="J3" i="9"/>
  <c r="J4" i="9"/>
  <c r="J2" i="9"/>
  <c r="I3" i="9"/>
  <c r="G3" i="9"/>
  <c r="K3" i="9"/>
  <c r="I4" i="9"/>
  <c r="G4" i="9"/>
  <c r="K4" i="9"/>
  <c r="I2" i="9"/>
  <c r="G2" i="9"/>
  <c r="K2" i="9"/>
  <c r="N4" i="9"/>
  <c r="O4" i="9"/>
  <c r="E55" i="11"/>
  <c r="F55" i="11"/>
  <c r="E4" i="11"/>
  <c r="F4" i="11"/>
  <c r="E5" i="11"/>
  <c r="F5" i="11"/>
  <c r="E6" i="11"/>
  <c r="F6" i="11"/>
  <c r="E7" i="11"/>
  <c r="F7" i="11"/>
  <c r="E8" i="11"/>
  <c r="F8" i="11"/>
  <c r="E9" i="11"/>
  <c r="F9" i="11"/>
  <c r="E10" i="11"/>
  <c r="F10" i="11"/>
  <c r="E11" i="11"/>
  <c r="F11" i="11"/>
  <c r="E12" i="11"/>
  <c r="F12" i="11"/>
  <c r="E13" i="11"/>
  <c r="F13" i="11"/>
  <c r="E14" i="11"/>
  <c r="F14" i="11"/>
  <c r="E15" i="11"/>
  <c r="F15" i="11"/>
  <c r="E16" i="11"/>
  <c r="F16" i="11"/>
  <c r="E18" i="11"/>
  <c r="F18" i="11"/>
  <c r="E19" i="11"/>
  <c r="F19" i="11"/>
  <c r="E20" i="11"/>
  <c r="F20" i="11"/>
  <c r="E21" i="11"/>
  <c r="F21" i="11"/>
  <c r="E22" i="11"/>
  <c r="F22" i="11"/>
  <c r="E23" i="11"/>
  <c r="F23" i="11"/>
  <c r="E24" i="11"/>
  <c r="F24" i="11"/>
  <c r="E25" i="11"/>
  <c r="F25" i="11"/>
  <c r="E26" i="11"/>
  <c r="F26" i="11"/>
  <c r="E27" i="11"/>
  <c r="F27" i="11"/>
  <c r="E28" i="11"/>
  <c r="F28" i="11"/>
  <c r="E29" i="11"/>
  <c r="F29" i="11"/>
  <c r="E31" i="11"/>
  <c r="F31" i="11"/>
  <c r="E32" i="11"/>
  <c r="F32" i="11"/>
  <c r="E33" i="11"/>
  <c r="F33" i="11"/>
  <c r="E35" i="11"/>
  <c r="F35" i="11"/>
  <c r="E36" i="11"/>
  <c r="F36" i="11"/>
  <c r="E37" i="11"/>
  <c r="F37" i="11"/>
  <c r="E39" i="11"/>
  <c r="F39" i="11"/>
  <c r="E40" i="11"/>
  <c r="F40" i="11"/>
  <c r="E41" i="11"/>
  <c r="F41" i="11"/>
  <c r="F43" i="11"/>
  <c r="F44" i="11"/>
  <c r="E45" i="11"/>
  <c r="F45" i="11"/>
  <c r="E47" i="11"/>
  <c r="F47" i="11"/>
  <c r="F48" i="11"/>
  <c r="E49" i="11"/>
  <c r="F49" i="11"/>
  <c r="E51" i="11"/>
  <c r="F51" i="11"/>
  <c r="E52" i="11"/>
  <c r="F52" i="11"/>
  <c r="E53" i="11"/>
  <c r="F53" i="11"/>
  <c r="F3" i="11"/>
  <c r="E3" i="11"/>
  <c r="H210" i="6"/>
  <c r="I210" i="6"/>
  <c r="J210" i="6"/>
  <c r="F210" i="6"/>
  <c r="K2" i="6"/>
  <c r="L2" i="6"/>
  <c r="M2" i="6"/>
  <c r="T54" i="4"/>
  <c r="W54" i="4"/>
  <c r="U54" i="4"/>
  <c r="W53" i="4"/>
  <c r="V53" i="4"/>
  <c r="W52" i="4"/>
  <c r="V52" i="4"/>
  <c r="W51" i="4"/>
  <c r="V51" i="4"/>
  <c r="W50" i="4"/>
  <c r="V50" i="4"/>
  <c r="W49" i="4"/>
  <c r="V49" i="4"/>
  <c r="W48" i="4"/>
  <c r="V48" i="4"/>
  <c r="W47" i="4"/>
  <c r="V47" i="4"/>
  <c r="W46" i="4"/>
  <c r="V46" i="4"/>
  <c r="W45" i="4"/>
  <c r="V45" i="4"/>
  <c r="W44" i="4"/>
  <c r="V44" i="4"/>
  <c r="W43" i="4"/>
  <c r="V43" i="4"/>
  <c r="W42" i="4"/>
  <c r="V42" i="4"/>
  <c r="W41" i="4"/>
  <c r="V41" i="4"/>
  <c r="W40" i="4"/>
  <c r="V40" i="4"/>
  <c r="W39" i="4"/>
  <c r="V39" i="4"/>
  <c r="W38" i="4"/>
  <c r="V38" i="4"/>
  <c r="W37" i="4"/>
  <c r="V37" i="4"/>
  <c r="W36" i="4"/>
  <c r="V36" i="4"/>
  <c r="W35" i="4"/>
  <c r="V35" i="4"/>
  <c r="W34" i="4"/>
  <c r="V34" i="4"/>
  <c r="W33" i="4"/>
  <c r="V33" i="4"/>
  <c r="W32" i="4"/>
  <c r="V32" i="4"/>
  <c r="W31" i="4"/>
  <c r="V31" i="4"/>
  <c r="W30" i="4"/>
  <c r="V30" i="4"/>
  <c r="W29" i="4"/>
  <c r="V29" i="4"/>
  <c r="W28" i="4"/>
  <c r="W27" i="4"/>
  <c r="V27" i="4"/>
  <c r="W26" i="4"/>
  <c r="V26" i="4"/>
  <c r="W25" i="4"/>
  <c r="V25" i="4"/>
  <c r="W24" i="4"/>
  <c r="V24" i="4"/>
  <c r="W23" i="4"/>
  <c r="V23" i="4"/>
  <c r="W22" i="4"/>
  <c r="V22" i="4"/>
  <c r="W21" i="4"/>
  <c r="V21" i="4"/>
  <c r="W20" i="4"/>
  <c r="V20" i="4"/>
  <c r="W19" i="4"/>
  <c r="V19" i="4"/>
  <c r="V18" i="4"/>
  <c r="W17" i="4"/>
  <c r="V17" i="4"/>
  <c r="W16" i="4"/>
  <c r="V16" i="4"/>
  <c r="W15" i="4"/>
  <c r="V15" i="4"/>
  <c r="W14" i="4"/>
  <c r="V14" i="4"/>
  <c r="W13" i="4"/>
  <c r="V13" i="4"/>
  <c r="W12" i="4"/>
  <c r="V12" i="4"/>
  <c r="W11" i="4"/>
  <c r="V11" i="4"/>
  <c r="V10" i="4"/>
  <c r="V9" i="4"/>
  <c r="W8" i="4"/>
  <c r="V8" i="4"/>
  <c r="W7" i="4"/>
  <c r="V7" i="4"/>
  <c r="W6" i="4"/>
  <c r="V6" i="4"/>
  <c r="W5" i="4"/>
  <c r="V5" i="4"/>
  <c r="W4" i="4"/>
  <c r="V4" i="4"/>
  <c r="W3" i="4"/>
  <c r="V3" i="4"/>
  <c r="W2" i="4"/>
  <c r="P54" i="4"/>
  <c r="Q54" i="4"/>
  <c r="S49" i="4"/>
  <c r="S53" i="4"/>
  <c r="R53" i="4"/>
  <c r="S52" i="4"/>
  <c r="R52" i="4"/>
  <c r="S51" i="4"/>
  <c r="R51" i="4"/>
  <c r="S50" i="4"/>
  <c r="R50" i="4"/>
  <c r="R49" i="4"/>
  <c r="S48" i="4"/>
  <c r="R48" i="4"/>
  <c r="S47" i="4"/>
  <c r="R47" i="4"/>
  <c r="S46" i="4"/>
  <c r="R46" i="4"/>
  <c r="S45" i="4"/>
  <c r="R45" i="4"/>
  <c r="S44" i="4"/>
  <c r="R44" i="4"/>
  <c r="S43" i="4"/>
  <c r="R43" i="4"/>
  <c r="S42" i="4"/>
  <c r="R42" i="4"/>
  <c r="S41" i="4"/>
  <c r="R41" i="4"/>
  <c r="S40" i="4"/>
  <c r="R40" i="4"/>
  <c r="S39" i="4"/>
  <c r="R39" i="4"/>
  <c r="S38" i="4"/>
  <c r="R38" i="4"/>
  <c r="S37" i="4"/>
  <c r="R37" i="4"/>
  <c r="S36" i="4"/>
  <c r="R36" i="4"/>
  <c r="S35" i="4"/>
  <c r="R35" i="4"/>
  <c r="S34" i="4"/>
  <c r="R34" i="4"/>
  <c r="S33" i="4"/>
  <c r="R33" i="4"/>
  <c r="S32" i="4"/>
  <c r="R32" i="4"/>
  <c r="S31" i="4"/>
  <c r="R31" i="4"/>
  <c r="S30" i="4"/>
  <c r="R30" i="4"/>
  <c r="S29" i="4"/>
  <c r="R29" i="4"/>
  <c r="S28" i="4"/>
  <c r="S27" i="4"/>
  <c r="R27" i="4"/>
  <c r="S26" i="4"/>
  <c r="R26" i="4"/>
  <c r="S25" i="4"/>
  <c r="R25" i="4"/>
  <c r="S24" i="4"/>
  <c r="R24" i="4"/>
  <c r="S23" i="4"/>
  <c r="R23" i="4"/>
  <c r="S22" i="4"/>
  <c r="R22" i="4"/>
  <c r="S21" i="4"/>
  <c r="R21" i="4"/>
  <c r="S20" i="4"/>
  <c r="R20" i="4"/>
  <c r="S19" i="4"/>
  <c r="R19" i="4"/>
  <c r="S18" i="4"/>
  <c r="R18" i="4"/>
  <c r="S17" i="4"/>
  <c r="R17" i="4"/>
  <c r="S16" i="4"/>
  <c r="R16" i="4"/>
  <c r="S15" i="4"/>
  <c r="R15" i="4"/>
  <c r="S14" i="4"/>
  <c r="R14" i="4"/>
  <c r="S13" i="4"/>
  <c r="R13" i="4"/>
  <c r="S12" i="4"/>
  <c r="R12" i="4"/>
  <c r="S11" i="4"/>
  <c r="R11" i="4"/>
  <c r="S10" i="4"/>
  <c r="R10" i="4"/>
  <c r="S9" i="4"/>
  <c r="R9" i="4"/>
  <c r="S8" i="4"/>
  <c r="R8" i="4"/>
  <c r="S7" i="4"/>
  <c r="R7" i="4"/>
  <c r="S6" i="4"/>
  <c r="R6" i="4"/>
  <c r="S5" i="4"/>
  <c r="R5" i="4"/>
  <c r="S4" i="4"/>
  <c r="R4" i="4"/>
  <c r="S3" i="4"/>
  <c r="R3" i="4"/>
  <c r="S2" i="4"/>
  <c r="Z210" i="6"/>
  <c r="AA210" i="6"/>
  <c r="AD8" i="1"/>
  <c r="AC8" i="1"/>
  <c r="AE8" i="1"/>
  <c r="Q210" i="6"/>
  <c r="N8" i="1"/>
  <c r="R210" i="6"/>
  <c r="O8" i="1"/>
  <c r="P8" i="1"/>
  <c r="U210" i="6"/>
  <c r="T2" i="6"/>
  <c r="U2" i="6"/>
  <c r="V2" i="6"/>
  <c r="S210" i="6"/>
  <c r="N210" i="6"/>
  <c r="K8" i="1"/>
  <c r="O210" i="6"/>
  <c r="L8" i="1"/>
  <c r="M8" i="1"/>
  <c r="G2" i="6"/>
  <c r="P2" i="6"/>
  <c r="S2" i="6"/>
  <c r="Y2" i="6"/>
  <c r="AC2" i="6"/>
  <c r="AD2" i="6"/>
  <c r="AE2" i="6"/>
  <c r="D54" i="4"/>
  <c r="B6" i="1"/>
  <c r="E54" i="4"/>
  <c r="C6" i="1"/>
  <c r="L54" i="4"/>
  <c r="O54" i="4"/>
  <c r="M54" i="4"/>
  <c r="F6" i="1"/>
  <c r="I6" i="1"/>
  <c r="AJ54" i="4"/>
  <c r="AM54" i="4"/>
  <c r="AK54" i="4"/>
  <c r="AS54" i="4"/>
  <c r="AF54" i="4"/>
  <c r="K6" i="1"/>
  <c r="AG54" i="4"/>
  <c r="AO54" i="4"/>
  <c r="I211" i="3"/>
  <c r="H323" i="5"/>
  <c r="I323" i="5"/>
  <c r="J323" i="5"/>
  <c r="F7" i="1"/>
  <c r="U211" i="3"/>
  <c r="N4" i="1"/>
  <c r="U212" i="3"/>
  <c r="N5" i="1"/>
  <c r="V212" i="3"/>
  <c r="O5" i="1"/>
  <c r="O6" i="1"/>
  <c r="X323" i="5"/>
  <c r="AG323" i="5"/>
  <c r="AJ323" i="5"/>
  <c r="AD7" i="1"/>
  <c r="AG212" i="3"/>
  <c r="Z5" i="1"/>
  <c r="AB5" i="1"/>
  <c r="AA5" i="1"/>
  <c r="AI323" i="5"/>
  <c r="AC7" i="1"/>
  <c r="AE7" i="1"/>
  <c r="AH6" i="1"/>
  <c r="AE6" i="1"/>
  <c r="AB6" i="1"/>
  <c r="E211" i="3"/>
  <c r="B4" i="1"/>
  <c r="F211" i="3"/>
  <c r="C4" i="1"/>
  <c r="E212" i="3"/>
  <c r="B5" i="1"/>
  <c r="D5" i="1"/>
  <c r="F323" i="5"/>
  <c r="O323" i="5"/>
  <c r="C8" i="1"/>
  <c r="F212" i="3"/>
  <c r="C5" i="1"/>
  <c r="U323" i="5"/>
  <c r="L7" i="1"/>
  <c r="L9" i="1"/>
  <c r="O7" i="1"/>
  <c r="O9" i="1"/>
  <c r="R9" i="1"/>
  <c r="Q211" i="3"/>
  <c r="K4" i="1"/>
  <c r="R211" i="3"/>
  <c r="L4" i="1"/>
  <c r="Q212" i="3"/>
  <c r="K5" i="1"/>
  <c r="M5" i="1"/>
  <c r="R8" i="1"/>
  <c r="AM323" i="5"/>
  <c r="AD323" i="5"/>
  <c r="AC323" i="5"/>
  <c r="L323" i="5"/>
  <c r="AG2" i="3"/>
  <c r="AJ2" i="3"/>
  <c r="AM3" i="3"/>
  <c r="AI4" i="3"/>
  <c r="AI3" i="3"/>
  <c r="Z3" i="3"/>
  <c r="AB3" i="3"/>
  <c r="U2" i="3"/>
  <c r="Q2" i="3"/>
  <c r="AE4" i="3"/>
  <c r="AD3" i="3"/>
  <c r="AF3" i="3"/>
  <c r="W4" i="3"/>
  <c r="W3" i="3"/>
  <c r="S4" i="3"/>
  <c r="S3" i="3"/>
  <c r="AB3" i="4"/>
  <c r="AC3" i="4"/>
  <c r="AE3" i="4"/>
  <c r="AB4" i="4"/>
  <c r="AC4" i="4"/>
  <c r="AB5" i="4"/>
  <c r="AD5" i="4"/>
  <c r="AC5" i="4"/>
  <c r="AE5" i="4"/>
  <c r="AB6" i="4"/>
  <c r="AC6" i="4"/>
  <c r="AB7" i="4"/>
  <c r="AC7" i="4"/>
  <c r="AB8" i="4"/>
  <c r="AC8" i="4"/>
  <c r="AB9" i="4"/>
  <c r="AC9" i="4"/>
  <c r="AB10" i="4"/>
  <c r="AC10" i="4"/>
  <c r="AB11" i="4"/>
  <c r="AD11" i="4"/>
  <c r="AC11" i="4"/>
  <c r="AE11" i="4"/>
  <c r="AB12" i="4"/>
  <c r="AC12" i="4"/>
  <c r="AB13" i="4"/>
  <c r="AB14" i="4"/>
  <c r="AD14" i="4"/>
  <c r="AC13" i="4"/>
  <c r="AC14" i="4"/>
  <c r="AE14" i="4"/>
  <c r="AB15" i="4"/>
  <c r="AD15" i="4"/>
  <c r="AC15" i="4"/>
  <c r="AB16" i="4"/>
  <c r="AC16" i="4"/>
  <c r="AB17" i="4"/>
  <c r="AC17" i="4"/>
  <c r="AB18" i="4"/>
  <c r="AC18" i="4"/>
  <c r="AB19" i="4"/>
  <c r="AD19" i="4"/>
  <c r="AC19" i="4"/>
  <c r="AE19" i="4"/>
  <c r="AB20" i="4"/>
  <c r="AC20" i="4"/>
  <c r="AB21" i="4"/>
  <c r="AC21" i="4"/>
  <c r="AE21" i="4"/>
  <c r="AB22" i="4"/>
  <c r="AC22" i="4"/>
  <c r="AE22" i="4"/>
  <c r="AB23" i="4"/>
  <c r="AC23" i="4"/>
  <c r="AB24" i="4"/>
  <c r="AC24" i="4"/>
  <c r="AB25" i="4"/>
  <c r="AD25" i="4"/>
  <c r="AC25" i="4"/>
  <c r="AE25" i="4"/>
  <c r="AB26" i="4"/>
  <c r="AC26" i="4"/>
  <c r="AB27" i="4"/>
  <c r="AC27" i="4"/>
  <c r="AB28" i="4"/>
  <c r="AC28" i="4"/>
  <c r="AB29" i="4"/>
  <c r="AD29" i="4"/>
  <c r="AC29" i="4"/>
  <c r="AB30" i="4"/>
  <c r="AC30" i="4"/>
  <c r="AB31" i="4"/>
  <c r="AC31" i="4"/>
  <c r="AB32" i="4"/>
  <c r="AC32" i="4"/>
  <c r="AB33" i="4"/>
  <c r="AD33" i="4"/>
  <c r="AC33" i="4"/>
  <c r="AE33" i="4"/>
  <c r="AB34" i="4"/>
  <c r="AC34" i="4"/>
  <c r="AB35" i="4"/>
  <c r="AC35" i="4"/>
  <c r="AB36" i="4"/>
  <c r="AC36" i="4"/>
  <c r="AB37" i="4"/>
  <c r="AD37" i="4"/>
  <c r="AC37" i="4"/>
  <c r="AB38" i="4"/>
  <c r="AC38" i="4"/>
  <c r="AB39" i="4"/>
  <c r="AD39" i="4"/>
  <c r="AC39" i="4"/>
  <c r="AB40" i="4"/>
  <c r="AC40" i="4"/>
  <c r="AB41" i="4"/>
  <c r="AD41" i="4"/>
  <c r="AC41" i="4"/>
  <c r="AB42" i="4"/>
  <c r="AC42" i="4"/>
  <c r="AE42" i="4"/>
  <c r="AB43" i="4"/>
  <c r="AC43" i="4"/>
  <c r="AE43" i="4"/>
  <c r="AB44" i="4"/>
  <c r="AC44" i="4"/>
  <c r="AB45" i="4"/>
  <c r="AE45" i="4"/>
  <c r="AC45" i="4"/>
  <c r="AB46" i="4"/>
  <c r="AE46" i="4"/>
  <c r="AC46" i="4"/>
  <c r="AB47" i="4"/>
  <c r="AE47" i="4"/>
  <c r="AC47" i="4"/>
  <c r="AB48" i="4"/>
  <c r="AC48" i="4"/>
  <c r="AE48" i="4"/>
  <c r="AB49" i="4"/>
  <c r="AC49" i="4"/>
  <c r="AB50" i="4"/>
  <c r="AD50" i="4"/>
  <c r="AB51" i="4"/>
  <c r="AB52" i="4"/>
  <c r="AD52" i="4"/>
  <c r="AC51" i="4"/>
  <c r="AC52" i="4"/>
  <c r="AB53" i="4"/>
  <c r="AC53" i="4"/>
  <c r="AC2" i="4"/>
  <c r="AB2" i="4"/>
  <c r="AD34" i="4"/>
  <c r="AD26" i="4"/>
  <c r="AD22" i="4"/>
  <c r="AD18" i="4"/>
  <c r="AE17" i="4"/>
  <c r="AE15" i="4"/>
  <c r="AD10" i="4"/>
  <c r="AE7" i="4"/>
  <c r="R8" i="5"/>
  <c r="S8" i="5"/>
  <c r="M8" i="5"/>
  <c r="V8" i="10"/>
  <c r="V9" i="10"/>
  <c r="V10" i="10"/>
  <c r="V11" i="10"/>
  <c r="V7" i="10"/>
  <c r="O11" i="10"/>
  <c r="P11" i="10"/>
  <c r="O10" i="10"/>
  <c r="P10" i="10"/>
  <c r="O9" i="10"/>
  <c r="P9" i="10"/>
  <c r="O8" i="10"/>
  <c r="P8" i="10"/>
  <c r="O7" i="10"/>
  <c r="P7" i="10"/>
  <c r="V3" i="10"/>
  <c r="V4" i="10"/>
  <c r="V5" i="10"/>
  <c r="V6" i="10"/>
  <c r="V2" i="10"/>
  <c r="P3" i="10"/>
  <c r="P4" i="10"/>
  <c r="P5" i="10"/>
  <c r="P6" i="10"/>
  <c r="P2" i="10"/>
  <c r="O3" i="10"/>
  <c r="O4" i="10"/>
  <c r="O6" i="10"/>
  <c r="O2" i="10"/>
  <c r="U2" i="9"/>
  <c r="O2" i="9"/>
  <c r="N2" i="9"/>
  <c r="U3" i="9"/>
  <c r="O3" i="9"/>
  <c r="N3" i="9"/>
  <c r="J50" i="4"/>
  <c r="K49" i="4"/>
  <c r="K41" i="4"/>
  <c r="K40" i="4"/>
  <c r="K36" i="4"/>
  <c r="K35" i="4"/>
  <c r="K33" i="4"/>
  <c r="J33" i="4"/>
  <c r="K31" i="4"/>
  <c r="K27" i="4"/>
  <c r="K21" i="4"/>
  <c r="K19" i="4"/>
  <c r="J17" i="4"/>
  <c r="K16" i="4"/>
  <c r="J15" i="4"/>
  <c r="J10" i="4"/>
  <c r="J9" i="4"/>
  <c r="K7" i="4"/>
  <c r="J6" i="4"/>
  <c r="K5" i="4"/>
  <c r="J5" i="4"/>
  <c r="K3" i="4"/>
  <c r="J3" i="4"/>
  <c r="V2" i="3"/>
  <c r="R2" i="3"/>
  <c r="AO2" i="4"/>
  <c r="AO3" i="4"/>
  <c r="AO4" i="4"/>
  <c r="AO5" i="4"/>
  <c r="AO6" i="4"/>
  <c r="AO7" i="4"/>
  <c r="AO8" i="4"/>
  <c r="AO9" i="4"/>
  <c r="AO10" i="4"/>
  <c r="AO11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22" i="4"/>
  <c r="AO23" i="4"/>
  <c r="AO24" i="4"/>
  <c r="AO25" i="4"/>
  <c r="AO45" i="4"/>
  <c r="AO46" i="4"/>
  <c r="AO47" i="4"/>
  <c r="AO48" i="4"/>
  <c r="AO49" i="4"/>
  <c r="AO50" i="4"/>
  <c r="AO51" i="4"/>
  <c r="AO52" i="4"/>
  <c r="AO53" i="4"/>
  <c r="AO13" i="4"/>
  <c r="AO14" i="4"/>
  <c r="AO15" i="4"/>
  <c r="AO16" i="4"/>
  <c r="AO17" i="4"/>
  <c r="AO18" i="4"/>
  <c r="AO19" i="4"/>
  <c r="AO20" i="4"/>
  <c r="AO21" i="4"/>
  <c r="AO12" i="4"/>
  <c r="AP3" i="3"/>
  <c r="AR3" i="3"/>
  <c r="AP4" i="3"/>
  <c r="F2" i="3"/>
  <c r="AD2" i="3"/>
  <c r="AD4" i="3"/>
  <c r="V6" i="3"/>
  <c r="R6" i="3"/>
  <c r="Z6" i="3"/>
  <c r="Z4" i="3"/>
  <c r="O8" i="5"/>
  <c r="P8" i="5"/>
  <c r="P2" i="5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Y3" i="4"/>
  <c r="Y2" i="4"/>
  <c r="AA8" i="5"/>
  <c r="AB8" i="5"/>
  <c r="Z2" i="5"/>
  <c r="AA2" i="5"/>
  <c r="AB2" i="5"/>
  <c r="AE8" i="5"/>
  <c r="AE2" i="5"/>
  <c r="AM8" i="5"/>
  <c r="AN8" i="5"/>
  <c r="AL2" i="5"/>
  <c r="AM2" i="5"/>
  <c r="AN2" i="5"/>
  <c r="AR53" i="4"/>
  <c r="AS53" i="4"/>
  <c r="AR52" i="4"/>
  <c r="AR51" i="4"/>
  <c r="AT52" i="4"/>
  <c r="AS52" i="4"/>
  <c r="AS51" i="4"/>
  <c r="AU51" i="4"/>
  <c r="AR50" i="4"/>
  <c r="AR49" i="4"/>
  <c r="AT50" i="4"/>
  <c r="AS50" i="4"/>
  <c r="AS49" i="4"/>
  <c r="AU49" i="4"/>
  <c r="AR48" i="4"/>
  <c r="AS48" i="4"/>
  <c r="AR47" i="4"/>
  <c r="AS47" i="4"/>
  <c r="AR46" i="4"/>
  <c r="AS46" i="4"/>
  <c r="AR45" i="4"/>
  <c r="AU45" i="4"/>
  <c r="AS45" i="4"/>
  <c r="AR44" i="4"/>
  <c r="AS44" i="4"/>
  <c r="AR43" i="4"/>
  <c r="AT44" i="4"/>
  <c r="AS43" i="4"/>
  <c r="AR42" i="4"/>
  <c r="AS42" i="4"/>
  <c r="AU42" i="4"/>
  <c r="AR41" i="4"/>
  <c r="AS41" i="4"/>
  <c r="AR40" i="4"/>
  <c r="AS40" i="4"/>
  <c r="AU40" i="4"/>
  <c r="AR39" i="4"/>
  <c r="AS39" i="4"/>
  <c r="AR38" i="4"/>
  <c r="AS38" i="4"/>
  <c r="AU38" i="4"/>
  <c r="AR37" i="4"/>
  <c r="AS37" i="4"/>
  <c r="AR36" i="4"/>
  <c r="AS36" i="4"/>
  <c r="AR35" i="4"/>
  <c r="AS35" i="4"/>
  <c r="AU35" i="4"/>
  <c r="AR34" i="4"/>
  <c r="AS34" i="4"/>
  <c r="AR33" i="4"/>
  <c r="AT34" i="4"/>
  <c r="AS33" i="4"/>
  <c r="AR32" i="4"/>
  <c r="AS32" i="4"/>
  <c r="AR31" i="4"/>
  <c r="AS31" i="4"/>
  <c r="AR30" i="4"/>
  <c r="AS30" i="4"/>
  <c r="AR29" i="4"/>
  <c r="AS29" i="4"/>
  <c r="AR28" i="4"/>
  <c r="AS28" i="4"/>
  <c r="AR27" i="4"/>
  <c r="AS27" i="4"/>
  <c r="AR26" i="4"/>
  <c r="AS26" i="4"/>
  <c r="AR25" i="4"/>
  <c r="AS25" i="4"/>
  <c r="AR24" i="4"/>
  <c r="AS24" i="4"/>
  <c r="AR23" i="4"/>
  <c r="AS23" i="4"/>
  <c r="AR22" i="4"/>
  <c r="AS22" i="4"/>
  <c r="AU22" i="4"/>
  <c r="AR21" i="4"/>
  <c r="AS21" i="4"/>
  <c r="AU21" i="4"/>
  <c r="AR20" i="4"/>
  <c r="AS20" i="4"/>
  <c r="AU20" i="4"/>
  <c r="AR19" i="4"/>
  <c r="AS19" i="4"/>
  <c r="AR18" i="4"/>
  <c r="AS18" i="4"/>
  <c r="AU18" i="4"/>
  <c r="AR17" i="4"/>
  <c r="AS17" i="4"/>
  <c r="AR16" i="4"/>
  <c r="AR15" i="4"/>
  <c r="AT16" i="4"/>
  <c r="AS16" i="4"/>
  <c r="AS15" i="4"/>
  <c r="AU15" i="4"/>
  <c r="AR14" i="4"/>
  <c r="AR13" i="4"/>
  <c r="AT14" i="4"/>
  <c r="AS14" i="4"/>
  <c r="AS13" i="4"/>
  <c r="AU13" i="4"/>
  <c r="AR12" i="4"/>
  <c r="AS12" i="4"/>
  <c r="AR11" i="4"/>
  <c r="AS11" i="4"/>
  <c r="AR10" i="4"/>
  <c r="AS10" i="4"/>
  <c r="AR9" i="4"/>
  <c r="AS9" i="4"/>
  <c r="AR8" i="4"/>
  <c r="AS8" i="4"/>
  <c r="AR7" i="4"/>
  <c r="AS7" i="4"/>
  <c r="AR6" i="4"/>
  <c r="AS6" i="4"/>
  <c r="AU6" i="4"/>
  <c r="AR5" i="4"/>
  <c r="AS5" i="4"/>
  <c r="AU5" i="4"/>
  <c r="AR4" i="4"/>
  <c r="AS4" i="4"/>
  <c r="AU4" i="4"/>
  <c r="AR3" i="4"/>
  <c r="AT4" i="4"/>
  <c r="AS3" i="4"/>
  <c r="AR2" i="4"/>
  <c r="AS2" i="4"/>
  <c r="AU2" i="4"/>
  <c r="AN53" i="4"/>
  <c r="AQ53" i="4"/>
  <c r="AN52" i="4"/>
  <c r="AQ52" i="4"/>
  <c r="AN51" i="4"/>
  <c r="AN50" i="4"/>
  <c r="AQ50" i="4"/>
  <c r="AN49" i="4"/>
  <c r="AQ49" i="4"/>
  <c r="AN48" i="4"/>
  <c r="AQ48" i="4"/>
  <c r="AQ47" i="4"/>
  <c r="AN46" i="4"/>
  <c r="AQ46" i="4"/>
  <c r="AN45" i="4"/>
  <c r="AQ45" i="4"/>
  <c r="AN44" i="4"/>
  <c r="AQ44" i="4"/>
  <c r="AN43" i="4"/>
  <c r="AN42" i="4"/>
  <c r="AQ42" i="4"/>
  <c r="AN41" i="4"/>
  <c r="AQ41" i="4"/>
  <c r="AN40" i="4"/>
  <c r="AN39" i="4"/>
  <c r="AN38" i="4"/>
  <c r="AQ38" i="4"/>
  <c r="AN37" i="4"/>
  <c r="AQ37" i="4"/>
  <c r="AN36" i="4"/>
  <c r="AN35" i="4"/>
  <c r="AN34" i="4"/>
  <c r="AQ34" i="4"/>
  <c r="AN33" i="4"/>
  <c r="AQ33" i="4"/>
  <c r="AN32" i="4"/>
  <c r="AN31" i="4"/>
  <c r="AN30" i="4"/>
  <c r="AQ30" i="4"/>
  <c r="AN29" i="4"/>
  <c r="AQ29" i="4"/>
  <c r="AN28" i="4"/>
  <c r="AN27" i="4"/>
  <c r="AN26" i="4"/>
  <c r="AQ26" i="4"/>
  <c r="AN25" i="4"/>
  <c r="AQ25" i="4"/>
  <c r="AN24" i="4"/>
  <c r="AN23" i="4"/>
  <c r="AQ23" i="4"/>
  <c r="AN22" i="4"/>
  <c r="AQ22" i="4"/>
  <c r="AN21" i="4"/>
  <c r="AQ21" i="4"/>
  <c r="AN20" i="4"/>
  <c r="AN19" i="4"/>
  <c r="AQ19" i="4"/>
  <c r="AN18" i="4"/>
  <c r="AN17" i="4"/>
  <c r="AP18" i="4"/>
  <c r="AQ17" i="4"/>
  <c r="AN16" i="4"/>
  <c r="AN15" i="4"/>
  <c r="AQ15" i="4"/>
  <c r="AN14" i="4"/>
  <c r="AP15" i="4"/>
  <c r="AN13" i="4"/>
  <c r="AQ13" i="4"/>
  <c r="AN12" i="4"/>
  <c r="AN11" i="4"/>
  <c r="AQ11" i="4"/>
  <c r="AN10" i="4"/>
  <c r="AQ10" i="4"/>
  <c r="AN9" i="4"/>
  <c r="AN8" i="4"/>
  <c r="AN7" i="4"/>
  <c r="AQ7" i="4"/>
  <c r="AN6" i="4"/>
  <c r="AQ6" i="4"/>
  <c r="AN5" i="4"/>
  <c r="AN4" i="4"/>
  <c r="AN3" i="4"/>
  <c r="AQ3" i="4"/>
  <c r="AN2" i="4"/>
  <c r="AQ2" i="4"/>
  <c r="X53" i="4"/>
  <c r="AA53" i="4"/>
  <c r="X52" i="4"/>
  <c r="Z53" i="4"/>
  <c r="X51" i="4"/>
  <c r="X50" i="4"/>
  <c r="AA50" i="4"/>
  <c r="X49" i="4"/>
  <c r="Z50" i="4"/>
  <c r="X48" i="4"/>
  <c r="AA48" i="4"/>
  <c r="X47" i="4"/>
  <c r="Z48" i="4"/>
  <c r="X46" i="4"/>
  <c r="AA46" i="4"/>
  <c r="X45" i="4"/>
  <c r="Z45" i="4"/>
  <c r="X44" i="4"/>
  <c r="AA44" i="4"/>
  <c r="X43" i="4"/>
  <c r="Z44" i="4"/>
  <c r="X42" i="4"/>
  <c r="AA42" i="4"/>
  <c r="X41" i="4"/>
  <c r="X40" i="4"/>
  <c r="X39" i="4"/>
  <c r="X38" i="4"/>
  <c r="AA38" i="4"/>
  <c r="X37" i="4"/>
  <c r="X36" i="4"/>
  <c r="X35" i="4"/>
  <c r="X34" i="4"/>
  <c r="AA34" i="4"/>
  <c r="X33" i="4"/>
  <c r="X32" i="4"/>
  <c r="X31" i="4"/>
  <c r="X30" i="4"/>
  <c r="AA30" i="4"/>
  <c r="X29" i="4"/>
  <c r="X28" i="4"/>
  <c r="X27" i="4"/>
  <c r="X26" i="4"/>
  <c r="AA26" i="4"/>
  <c r="X25" i="4"/>
  <c r="X24" i="4"/>
  <c r="X23" i="4"/>
  <c r="X22" i="4"/>
  <c r="AA22" i="4"/>
  <c r="X21" i="4"/>
  <c r="X20" i="4"/>
  <c r="AA20" i="4"/>
  <c r="X19" i="4"/>
  <c r="X18" i="4"/>
  <c r="AA18" i="4"/>
  <c r="X17" i="4"/>
  <c r="X16" i="4"/>
  <c r="X15" i="4"/>
  <c r="X14" i="4"/>
  <c r="AA14" i="4"/>
  <c r="X13" i="4"/>
  <c r="X12" i="4"/>
  <c r="X11" i="4"/>
  <c r="X10" i="4"/>
  <c r="AA10" i="4"/>
  <c r="X9" i="4"/>
  <c r="X8" i="4"/>
  <c r="X7" i="4"/>
  <c r="X6" i="4"/>
  <c r="AA6" i="4"/>
  <c r="X5" i="4"/>
  <c r="X4" i="4"/>
  <c r="X3" i="4"/>
  <c r="X2" i="4"/>
  <c r="AA2" i="4"/>
  <c r="AF4" i="3"/>
  <c r="AB4" i="3"/>
  <c r="C42" i="6"/>
  <c r="C46" i="6"/>
  <c r="C50" i="6"/>
  <c r="C54" i="6"/>
  <c r="C58" i="6"/>
  <c r="C62" i="6"/>
  <c r="C66" i="6"/>
  <c r="C70" i="6"/>
  <c r="C74" i="6"/>
  <c r="C78" i="6"/>
  <c r="C82" i="6"/>
  <c r="C86" i="6"/>
  <c r="C90" i="6"/>
  <c r="C94" i="6"/>
  <c r="C98" i="6"/>
  <c r="C102" i="6"/>
  <c r="C106" i="6"/>
  <c r="C110" i="6"/>
  <c r="C114" i="6"/>
  <c r="C118" i="6"/>
  <c r="C122" i="6"/>
  <c r="C126" i="6"/>
  <c r="C130" i="6"/>
  <c r="C134" i="6"/>
  <c r="C138" i="6"/>
  <c r="C142" i="6"/>
  <c r="C146" i="6"/>
  <c r="C150" i="6"/>
  <c r="C154" i="6"/>
  <c r="C158" i="6"/>
  <c r="C162" i="6"/>
  <c r="C166" i="6"/>
  <c r="C170" i="6"/>
  <c r="C174" i="6"/>
  <c r="C178" i="6"/>
  <c r="C182" i="6"/>
  <c r="C186" i="6"/>
  <c r="C190" i="6"/>
  <c r="C194" i="6"/>
  <c r="C198" i="6"/>
  <c r="C202" i="6"/>
  <c r="C206" i="6"/>
  <c r="C6" i="6"/>
  <c r="C10" i="6"/>
  <c r="C14" i="6"/>
  <c r="C18" i="6"/>
  <c r="C22" i="6"/>
  <c r="C26" i="6"/>
  <c r="C30" i="6"/>
  <c r="C34" i="6"/>
  <c r="E10" i="8"/>
  <c r="E11" i="8"/>
  <c r="E12" i="8"/>
  <c r="E13" i="8"/>
  <c r="E14" i="8"/>
  <c r="E15" i="8"/>
  <c r="E3" i="8"/>
  <c r="E4" i="8"/>
  <c r="E5" i="8"/>
  <c r="E6" i="8"/>
  <c r="E7" i="8"/>
  <c r="E8" i="8"/>
  <c r="E9" i="8"/>
  <c r="D16" i="8"/>
  <c r="E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AP53" i="4"/>
  <c r="AP52" i="4"/>
  <c r="AP51" i="4"/>
  <c r="AP50" i="4"/>
  <c r="AP49" i="4"/>
  <c r="AP48" i="4"/>
  <c r="AP41" i="4"/>
  <c r="AP37" i="4"/>
  <c r="AP35" i="4"/>
  <c r="AP33" i="4"/>
  <c r="AP26" i="4"/>
  <c r="AP17" i="4"/>
  <c r="AP13" i="4"/>
  <c r="AP11" i="4"/>
  <c r="AP9" i="4"/>
  <c r="AP6" i="4"/>
  <c r="AP5" i="4"/>
  <c r="C62" i="5"/>
  <c r="C68" i="5"/>
  <c r="C74" i="5"/>
  <c r="C80" i="5"/>
  <c r="C86" i="5"/>
  <c r="C92" i="5"/>
  <c r="C98" i="5"/>
  <c r="C104" i="5"/>
  <c r="C110" i="5"/>
  <c r="C116" i="5"/>
  <c r="C122" i="5"/>
  <c r="C128" i="5"/>
  <c r="C134" i="5"/>
  <c r="C140" i="5"/>
  <c r="C146" i="5"/>
  <c r="C152" i="5"/>
  <c r="C158" i="5"/>
  <c r="C164" i="5"/>
  <c r="C170" i="5"/>
  <c r="C176" i="5"/>
  <c r="C182" i="5"/>
  <c r="C188" i="5"/>
  <c r="C194" i="5"/>
  <c r="C200" i="5"/>
  <c r="C206" i="5"/>
  <c r="C212" i="5"/>
  <c r="C218" i="5"/>
  <c r="C224" i="5"/>
  <c r="C230" i="5"/>
  <c r="C236" i="5"/>
  <c r="C242" i="5"/>
  <c r="C248" i="5"/>
  <c r="C254" i="5"/>
  <c r="C260" i="5"/>
  <c r="C266" i="5"/>
  <c r="C272" i="5"/>
  <c r="C278" i="5"/>
  <c r="C287" i="5"/>
  <c r="C299" i="5"/>
  <c r="C305" i="5"/>
  <c r="C311" i="5"/>
  <c r="C317" i="5"/>
  <c r="C8" i="5"/>
  <c r="C14" i="5"/>
  <c r="C20" i="5"/>
  <c r="C26" i="5"/>
  <c r="C32" i="5"/>
  <c r="C38" i="5"/>
  <c r="C44" i="5"/>
  <c r="C50" i="5"/>
  <c r="AT51" i="4"/>
  <c r="AT49" i="4"/>
  <c r="AT48" i="4"/>
  <c r="AT47" i="4"/>
  <c r="AT35" i="4"/>
  <c r="AT32" i="4"/>
  <c r="AT31" i="4"/>
  <c r="AT30" i="4"/>
  <c r="AT29" i="4"/>
  <c r="AT28" i="4"/>
  <c r="AT27" i="4"/>
  <c r="AT24" i="4"/>
  <c r="AT23" i="4"/>
  <c r="AT22" i="4"/>
  <c r="AT21" i="4"/>
  <c r="AT15" i="4"/>
  <c r="AT13" i="4"/>
  <c r="AT12" i="4"/>
  <c r="AT11" i="4"/>
  <c r="AT10" i="4"/>
  <c r="AT8" i="4"/>
  <c r="AT7" i="4"/>
  <c r="AT6" i="4"/>
  <c r="AT5" i="4"/>
  <c r="C6" i="3"/>
  <c r="C10" i="3"/>
  <c r="C14" i="3"/>
  <c r="C18" i="3"/>
  <c r="C22" i="3"/>
  <c r="C26" i="3"/>
  <c r="C30" i="3"/>
  <c r="C34" i="3"/>
  <c r="AB2" i="6"/>
  <c r="J2" i="6"/>
  <c r="AK8" i="5"/>
  <c r="AH8" i="5"/>
  <c r="Y8" i="5"/>
  <c r="V8" i="5"/>
  <c r="J8" i="5"/>
  <c r="G8" i="5"/>
  <c r="AK2" i="5"/>
  <c r="AH2" i="5"/>
  <c r="Y2" i="5"/>
  <c r="V2" i="5"/>
  <c r="J2" i="5"/>
  <c r="G2" i="5"/>
  <c r="L55" i="4"/>
  <c r="AM53" i="4"/>
  <c r="AL53" i="4"/>
  <c r="AI53" i="4"/>
  <c r="AH53" i="4"/>
  <c r="O53" i="4"/>
  <c r="N53" i="4"/>
  <c r="G53" i="4"/>
  <c r="F53" i="4"/>
  <c r="AM52" i="4"/>
  <c r="AL52" i="4"/>
  <c r="AI52" i="4"/>
  <c r="AH52" i="4"/>
  <c r="O52" i="4"/>
  <c r="N52" i="4"/>
  <c r="G52" i="4"/>
  <c r="F52" i="4"/>
  <c r="AM51" i="4"/>
  <c r="AL51" i="4"/>
  <c r="AI51" i="4"/>
  <c r="AH51" i="4"/>
  <c r="O51" i="4"/>
  <c r="N51" i="4"/>
  <c r="G51" i="4"/>
  <c r="F51" i="4"/>
  <c r="AM50" i="4"/>
  <c r="AL50" i="4"/>
  <c r="AI50" i="4"/>
  <c r="AH50" i="4"/>
  <c r="O50" i="4"/>
  <c r="N50" i="4"/>
  <c r="G50" i="4"/>
  <c r="F50" i="4"/>
  <c r="AM49" i="4"/>
  <c r="AL49" i="4"/>
  <c r="AI49" i="4"/>
  <c r="AH49" i="4"/>
  <c r="O49" i="4"/>
  <c r="N49" i="4"/>
  <c r="G49" i="4"/>
  <c r="F49" i="4"/>
  <c r="AM48" i="4"/>
  <c r="AL48" i="4"/>
  <c r="AI48" i="4"/>
  <c r="AH48" i="4"/>
  <c r="O48" i="4"/>
  <c r="N48" i="4"/>
  <c r="G48" i="4"/>
  <c r="F48" i="4"/>
  <c r="AM47" i="4"/>
  <c r="AL47" i="4"/>
  <c r="AI47" i="4"/>
  <c r="AH47" i="4"/>
  <c r="O47" i="4"/>
  <c r="N47" i="4"/>
  <c r="G47" i="4"/>
  <c r="F47" i="4"/>
  <c r="AM46" i="4"/>
  <c r="AL46" i="4"/>
  <c r="AI46" i="4"/>
  <c r="AH46" i="4"/>
  <c r="O46" i="4"/>
  <c r="N46" i="4"/>
  <c r="G46" i="4"/>
  <c r="F46" i="4"/>
  <c r="AM45" i="4"/>
  <c r="AL45" i="4"/>
  <c r="AI45" i="4"/>
  <c r="AH45" i="4"/>
  <c r="O45" i="4"/>
  <c r="N45" i="4"/>
  <c r="G45" i="4"/>
  <c r="F45" i="4"/>
  <c r="AM44" i="4"/>
  <c r="AL44" i="4"/>
  <c r="AI44" i="4"/>
  <c r="AH44" i="4"/>
  <c r="O44" i="4"/>
  <c r="N44" i="4"/>
  <c r="G44" i="4"/>
  <c r="F44" i="4"/>
  <c r="AM43" i="4"/>
  <c r="AL43" i="4"/>
  <c r="AI43" i="4"/>
  <c r="AH43" i="4"/>
  <c r="O43" i="4"/>
  <c r="N43" i="4"/>
  <c r="G43" i="4"/>
  <c r="F43" i="4"/>
  <c r="AM42" i="4"/>
  <c r="AL42" i="4"/>
  <c r="AI42" i="4"/>
  <c r="AH42" i="4"/>
  <c r="O42" i="4"/>
  <c r="N42" i="4"/>
  <c r="G42" i="4"/>
  <c r="F42" i="4"/>
  <c r="AM41" i="4"/>
  <c r="AL41" i="4"/>
  <c r="AI41" i="4"/>
  <c r="AH41" i="4"/>
  <c r="O41" i="4"/>
  <c r="N41" i="4"/>
  <c r="G41" i="4"/>
  <c r="F41" i="4"/>
  <c r="AM40" i="4"/>
  <c r="AL40" i="4"/>
  <c r="AI40" i="4"/>
  <c r="AH40" i="4"/>
  <c r="O40" i="4"/>
  <c r="N40" i="4"/>
  <c r="G40" i="4"/>
  <c r="F40" i="4"/>
  <c r="AM39" i="4"/>
  <c r="AL39" i="4"/>
  <c r="AI39" i="4"/>
  <c r="AH39" i="4"/>
  <c r="Z39" i="4"/>
  <c r="O39" i="4"/>
  <c r="N39" i="4"/>
  <c r="G39" i="4"/>
  <c r="F39" i="4"/>
  <c r="AM38" i="4"/>
  <c r="AL38" i="4"/>
  <c r="AI38" i="4"/>
  <c r="AH38" i="4"/>
  <c r="O38" i="4"/>
  <c r="N38" i="4"/>
  <c r="G38" i="4"/>
  <c r="F38" i="4"/>
  <c r="AM37" i="4"/>
  <c r="AL37" i="4"/>
  <c r="AI37" i="4"/>
  <c r="AH37" i="4"/>
  <c r="O37" i="4"/>
  <c r="N37" i="4"/>
  <c r="G37" i="4"/>
  <c r="F37" i="4"/>
  <c r="AM36" i="4"/>
  <c r="AL36" i="4"/>
  <c r="AI36" i="4"/>
  <c r="AH36" i="4"/>
  <c r="O36" i="4"/>
  <c r="N36" i="4"/>
  <c r="G36" i="4"/>
  <c r="F36" i="4"/>
  <c r="AM35" i="4"/>
  <c r="AL35" i="4"/>
  <c r="AI35" i="4"/>
  <c r="AH35" i="4"/>
  <c r="O35" i="4"/>
  <c r="N35" i="4"/>
  <c r="G35" i="4"/>
  <c r="F35" i="4"/>
  <c r="AM34" i="4"/>
  <c r="AL34" i="4"/>
  <c r="AI34" i="4"/>
  <c r="AH34" i="4"/>
  <c r="O34" i="4"/>
  <c r="N34" i="4"/>
  <c r="G34" i="4"/>
  <c r="F34" i="4"/>
  <c r="AM33" i="4"/>
  <c r="AL33" i="4"/>
  <c r="AI33" i="4"/>
  <c r="AH33" i="4"/>
  <c r="O33" i="4"/>
  <c r="N33" i="4"/>
  <c r="G33" i="4"/>
  <c r="F33" i="4"/>
  <c r="AM32" i="4"/>
  <c r="AL32" i="4"/>
  <c r="AI32" i="4"/>
  <c r="AH32" i="4"/>
  <c r="O32" i="4"/>
  <c r="N32" i="4"/>
  <c r="G32" i="4"/>
  <c r="F32" i="4"/>
  <c r="AM31" i="4"/>
  <c r="AL31" i="4"/>
  <c r="AI31" i="4"/>
  <c r="AH31" i="4"/>
  <c r="Z31" i="4"/>
  <c r="O31" i="4"/>
  <c r="N31" i="4"/>
  <c r="G31" i="4"/>
  <c r="F31" i="4"/>
  <c r="AM30" i="4"/>
  <c r="AL30" i="4"/>
  <c r="AH30" i="4"/>
  <c r="Z30" i="4"/>
  <c r="O30" i="4"/>
  <c r="N30" i="4"/>
  <c r="F30" i="4"/>
  <c r="AM29" i="4"/>
  <c r="AL29" i="4"/>
  <c r="AI29" i="4"/>
  <c r="AH29" i="4"/>
  <c r="O29" i="4"/>
  <c r="N29" i="4"/>
  <c r="G29" i="4"/>
  <c r="F29" i="4"/>
  <c r="AM28" i="4"/>
  <c r="AL28" i="4"/>
  <c r="AI28" i="4"/>
  <c r="AH28" i="4"/>
  <c r="O28" i="4"/>
  <c r="G28" i="4"/>
  <c r="F28" i="4"/>
  <c r="AM27" i="4"/>
  <c r="AL27" i="4"/>
  <c r="AI27" i="4"/>
  <c r="AH27" i="4"/>
  <c r="O27" i="4"/>
  <c r="N27" i="4"/>
  <c r="G27" i="4"/>
  <c r="F27" i="4"/>
  <c r="AM26" i="4"/>
  <c r="AL26" i="4"/>
  <c r="AI26" i="4"/>
  <c r="AH26" i="4"/>
  <c r="Z26" i="4"/>
  <c r="O26" i="4"/>
  <c r="N26" i="4"/>
  <c r="G26" i="4"/>
  <c r="F26" i="4"/>
  <c r="AM25" i="4"/>
  <c r="AL25" i="4"/>
  <c r="AI25" i="4"/>
  <c r="AH25" i="4"/>
  <c r="Z25" i="4"/>
  <c r="O25" i="4"/>
  <c r="N25" i="4"/>
  <c r="G25" i="4"/>
  <c r="F25" i="4"/>
  <c r="AM24" i="4"/>
  <c r="AL24" i="4"/>
  <c r="AI24" i="4"/>
  <c r="AH24" i="4"/>
  <c r="O24" i="4"/>
  <c r="N24" i="4"/>
  <c r="G24" i="4"/>
  <c r="F24" i="4"/>
  <c r="AM23" i="4"/>
  <c r="AL23" i="4"/>
  <c r="AI23" i="4"/>
  <c r="AH23" i="4"/>
  <c r="O23" i="4"/>
  <c r="N23" i="4"/>
  <c r="G23" i="4"/>
  <c r="F23" i="4"/>
  <c r="AM22" i="4"/>
  <c r="AL22" i="4"/>
  <c r="AI22" i="4"/>
  <c r="AH22" i="4"/>
  <c r="O22" i="4"/>
  <c r="N22" i="4"/>
  <c r="G22" i="4"/>
  <c r="F22" i="4"/>
  <c r="AM21" i="4"/>
  <c r="AL21" i="4"/>
  <c r="AI21" i="4"/>
  <c r="AH21" i="4"/>
  <c r="Z21" i="4"/>
  <c r="O21" i="4"/>
  <c r="N21" i="4"/>
  <c r="G21" i="4"/>
  <c r="F21" i="4"/>
  <c r="AM20" i="4"/>
  <c r="AL20" i="4"/>
  <c r="AI20" i="4"/>
  <c r="AH20" i="4"/>
  <c r="O20" i="4"/>
  <c r="N20" i="4"/>
  <c r="G20" i="4"/>
  <c r="F20" i="4"/>
  <c r="AM19" i="4"/>
  <c r="AL19" i="4"/>
  <c r="AI19" i="4"/>
  <c r="AH19" i="4"/>
  <c r="O19" i="4"/>
  <c r="N19" i="4"/>
  <c r="G19" i="4"/>
  <c r="F19" i="4"/>
  <c r="AM18" i="4"/>
  <c r="AL18" i="4"/>
  <c r="AI18" i="4"/>
  <c r="AH18" i="4"/>
  <c r="O18" i="4"/>
  <c r="N18" i="4"/>
  <c r="G18" i="4"/>
  <c r="F18" i="4"/>
  <c r="AM17" i="4"/>
  <c r="AL17" i="4"/>
  <c r="AI17" i="4"/>
  <c r="AH17" i="4"/>
  <c r="O17" i="4"/>
  <c r="N17" i="4"/>
  <c r="G17" i="4"/>
  <c r="F17" i="4"/>
  <c r="AM16" i="4"/>
  <c r="AL16" i="4"/>
  <c r="AI16" i="4"/>
  <c r="AH16" i="4"/>
  <c r="O16" i="4"/>
  <c r="N16" i="4"/>
  <c r="G16" i="4"/>
  <c r="F16" i="4"/>
  <c r="AM15" i="4"/>
  <c r="AL15" i="4"/>
  <c r="AI15" i="4"/>
  <c r="AH15" i="4"/>
  <c r="O15" i="4"/>
  <c r="N15" i="4"/>
  <c r="G15" i="4"/>
  <c r="F15" i="4"/>
  <c r="AM14" i="4"/>
  <c r="AL14" i="4"/>
  <c r="AI14" i="4"/>
  <c r="AH14" i="4"/>
  <c r="O14" i="4"/>
  <c r="N14" i="4"/>
  <c r="G14" i="4"/>
  <c r="F14" i="4"/>
  <c r="AM13" i="4"/>
  <c r="AL13" i="4"/>
  <c r="AI13" i="4"/>
  <c r="AH13" i="4"/>
  <c r="O13" i="4"/>
  <c r="N13" i="4"/>
  <c r="G13" i="4"/>
  <c r="F13" i="4"/>
  <c r="AM12" i="4"/>
  <c r="AL12" i="4"/>
  <c r="AI12" i="4"/>
  <c r="AH12" i="4"/>
  <c r="O12" i="4"/>
  <c r="N12" i="4"/>
  <c r="G12" i="4"/>
  <c r="F12" i="4"/>
  <c r="AM11" i="4"/>
  <c r="AL11" i="4"/>
  <c r="AI11" i="4"/>
  <c r="AH11" i="4"/>
  <c r="Z11" i="4"/>
  <c r="O11" i="4"/>
  <c r="N11" i="4"/>
  <c r="G11" i="4"/>
  <c r="F11" i="4"/>
  <c r="AM10" i="4"/>
  <c r="AL10" i="4"/>
  <c r="AI10" i="4"/>
  <c r="AH10" i="4"/>
  <c r="O10" i="4"/>
  <c r="N10" i="4"/>
  <c r="G10" i="4"/>
  <c r="F10" i="4"/>
  <c r="AM9" i="4"/>
  <c r="AL9" i="4"/>
  <c r="AI9" i="4"/>
  <c r="AH9" i="4"/>
  <c r="O9" i="4"/>
  <c r="N9" i="4"/>
  <c r="G9" i="4"/>
  <c r="F9" i="4"/>
  <c r="AM8" i="4"/>
  <c r="AL8" i="4"/>
  <c r="AI8" i="4"/>
  <c r="AH8" i="4"/>
  <c r="O8" i="4"/>
  <c r="N8" i="4"/>
  <c r="G8" i="4"/>
  <c r="F8" i="4"/>
  <c r="AM7" i="4"/>
  <c r="AL7" i="4"/>
  <c r="AI7" i="4"/>
  <c r="AH7" i="4"/>
  <c r="O7" i="4"/>
  <c r="N7" i="4"/>
  <c r="G7" i="4"/>
  <c r="F7" i="4"/>
  <c r="AM6" i="4"/>
  <c r="AL6" i="4"/>
  <c r="AI6" i="4"/>
  <c r="AH6" i="4"/>
  <c r="O6" i="4"/>
  <c r="N6" i="4"/>
  <c r="G6" i="4"/>
  <c r="F6" i="4"/>
  <c r="AM5" i="4"/>
  <c r="AL5" i="4"/>
  <c r="AI5" i="4"/>
  <c r="AH5" i="4"/>
  <c r="O5" i="4"/>
  <c r="N5" i="4"/>
  <c r="G5" i="4"/>
  <c r="F5" i="4"/>
  <c r="AM4" i="4"/>
  <c r="AL4" i="4"/>
  <c r="AI4" i="4"/>
  <c r="AH4" i="4"/>
  <c r="O4" i="4"/>
  <c r="N4" i="4"/>
  <c r="G4" i="4"/>
  <c r="F4" i="4"/>
  <c r="AM3" i="4"/>
  <c r="AL3" i="4"/>
  <c r="AI3" i="4"/>
  <c r="AH3" i="4"/>
  <c r="Z3" i="4"/>
  <c r="O3" i="4"/>
  <c r="N3" i="4"/>
  <c r="G3" i="4"/>
  <c r="F3" i="4"/>
  <c r="AM2" i="4"/>
  <c r="AI2" i="4"/>
  <c r="O2" i="4"/>
  <c r="G2" i="4"/>
  <c r="C8" i="3"/>
  <c r="C12" i="3"/>
  <c r="C16" i="3"/>
  <c r="C20" i="3"/>
  <c r="C24" i="3"/>
  <c r="C28" i="3"/>
  <c r="C32" i="3"/>
  <c r="C36" i="3"/>
  <c r="C44" i="3"/>
  <c r="C48" i="3"/>
  <c r="C52" i="3"/>
  <c r="C56" i="3"/>
  <c r="C60" i="3"/>
  <c r="C64" i="3"/>
  <c r="C68" i="3"/>
  <c r="C72" i="3"/>
  <c r="C76" i="3"/>
  <c r="C80" i="3"/>
  <c r="C84" i="3"/>
  <c r="C88" i="3"/>
  <c r="C92" i="3"/>
  <c r="C96" i="3"/>
  <c r="C100" i="3"/>
  <c r="C104" i="3"/>
  <c r="C108" i="3"/>
  <c r="C112" i="3"/>
  <c r="C116" i="3"/>
  <c r="C120" i="3"/>
  <c r="C124" i="3"/>
  <c r="C128" i="3"/>
  <c r="C132" i="3"/>
  <c r="C136" i="3"/>
  <c r="C140" i="3"/>
  <c r="C144" i="3"/>
  <c r="C148" i="3"/>
  <c r="C152" i="3"/>
  <c r="C156" i="3"/>
  <c r="C160" i="3"/>
  <c r="C164" i="3"/>
  <c r="C168" i="3"/>
  <c r="C172" i="3"/>
  <c r="C176" i="3"/>
  <c r="C180" i="3"/>
  <c r="C184" i="3"/>
  <c r="C188" i="3"/>
  <c r="C192" i="3"/>
  <c r="C196" i="3"/>
  <c r="C200" i="3"/>
  <c r="C204" i="3"/>
  <c r="C208" i="3"/>
  <c r="C7" i="3"/>
  <c r="C11" i="3"/>
  <c r="C15" i="3"/>
  <c r="C19" i="3"/>
  <c r="C23" i="3"/>
  <c r="C27" i="3"/>
  <c r="C31" i="3"/>
  <c r="C35" i="3"/>
  <c r="C43" i="3"/>
  <c r="C47" i="3"/>
  <c r="C51" i="3"/>
  <c r="C55" i="3"/>
  <c r="C59" i="3"/>
  <c r="C63" i="3"/>
  <c r="C67" i="3"/>
  <c r="C71" i="3"/>
  <c r="C75" i="3"/>
  <c r="C79" i="3"/>
  <c r="C83" i="3"/>
  <c r="C87" i="3"/>
  <c r="C91" i="3"/>
  <c r="C95" i="3"/>
  <c r="C99" i="3"/>
  <c r="C103" i="3"/>
  <c r="C107" i="3"/>
  <c r="C111" i="3"/>
  <c r="C115" i="3"/>
  <c r="C119" i="3"/>
  <c r="C123" i="3"/>
  <c r="C127" i="3"/>
  <c r="C131" i="3"/>
  <c r="C135" i="3"/>
  <c r="C139" i="3"/>
  <c r="C143" i="3"/>
  <c r="C147" i="3"/>
  <c r="C151" i="3"/>
  <c r="C155" i="3"/>
  <c r="C159" i="3"/>
  <c r="C163" i="3"/>
  <c r="C167" i="3"/>
  <c r="C171" i="3"/>
  <c r="C175" i="3"/>
  <c r="C179" i="3"/>
  <c r="C183" i="3"/>
  <c r="C187" i="3"/>
  <c r="C191" i="3"/>
  <c r="C195" i="3"/>
  <c r="C199" i="3"/>
  <c r="C203" i="3"/>
  <c r="C207" i="3"/>
  <c r="C42" i="3"/>
  <c r="C46" i="3"/>
  <c r="C50" i="3"/>
  <c r="C54" i="3"/>
  <c r="C58" i="3"/>
  <c r="C62" i="3"/>
  <c r="C66" i="3"/>
  <c r="C70" i="3"/>
  <c r="C74" i="3"/>
  <c r="C78" i="3"/>
  <c r="C82" i="3"/>
  <c r="C86" i="3"/>
  <c r="C90" i="3"/>
  <c r="C94" i="3"/>
  <c r="C98" i="3"/>
  <c r="C102" i="3"/>
  <c r="C106" i="3"/>
  <c r="C110" i="3"/>
  <c r="C114" i="3"/>
  <c r="C118" i="3"/>
  <c r="C122" i="3"/>
  <c r="C126" i="3"/>
  <c r="C130" i="3"/>
  <c r="C134" i="3"/>
  <c r="C138" i="3"/>
  <c r="C142" i="3"/>
  <c r="C146" i="3"/>
  <c r="C150" i="3"/>
  <c r="C154" i="3"/>
  <c r="C158" i="3"/>
  <c r="C162" i="3"/>
  <c r="C166" i="3"/>
  <c r="C170" i="3"/>
  <c r="C174" i="3"/>
  <c r="C178" i="3"/>
  <c r="C182" i="3"/>
  <c r="C186" i="3"/>
  <c r="C190" i="3"/>
  <c r="C194" i="3"/>
  <c r="C198" i="3"/>
  <c r="C202" i="3"/>
  <c r="C206" i="3"/>
  <c r="X6" i="3"/>
  <c r="W6" i="3"/>
  <c r="T6" i="3"/>
  <c r="S6" i="3"/>
  <c r="AN4" i="3"/>
  <c r="AJ4" i="3"/>
  <c r="X4" i="3"/>
  <c r="T4" i="3"/>
  <c r="N4" i="3"/>
  <c r="P4" i="3"/>
  <c r="AN3" i="3"/>
  <c r="AJ3" i="3"/>
  <c r="X3" i="3"/>
  <c r="T3" i="3"/>
  <c r="N3" i="3"/>
  <c r="P3" i="3"/>
  <c r="X2" i="3"/>
  <c r="T2" i="3"/>
  <c r="N2" i="3"/>
  <c r="H2" i="3"/>
  <c r="AB210" i="6"/>
  <c r="P210" i="6"/>
  <c r="AE323" i="5"/>
  <c r="AD21" i="4"/>
  <c r="Z20" i="4"/>
  <c r="AC50" i="4"/>
  <c r="AD4" i="1"/>
  <c r="L6" i="1"/>
  <c r="X8" i="1"/>
  <c r="M2" i="5"/>
  <c r="X5" i="1"/>
  <c r="AD48" i="4"/>
  <c r="AM4" i="3"/>
  <c r="AD3" i="4"/>
  <c r="R212" i="3"/>
  <c r="L5" i="1"/>
  <c r="AK211" i="3"/>
  <c r="AC4" i="1"/>
  <c r="AA7" i="1"/>
  <c r="AG7" i="1"/>
  <c r="AA4" i="1"/>
  <c r="R6" i="1"/>
  <c r="R323" i="5"/>
  <c r="V211" i="3"/>
  <c r="O4" i="1"/>
  <c r="J211" i="3"/>
  <c r="F4" i="1"/>
  <c r="AG211" i="3"/>
  <c r="S2" i="5"/>
  <c r="AN2" i="3"/>
  <c r="U7" i="1"/>
  <c r="AO2" i="3"/>
  <c r="AG4" i="1"/>
  <c r="W2" i="3"/>
  <c r="F210" i="3"/>
  <c r="AP19" i="4"/>
  <c r="Z6" i="4"/>
  <c r="Z14" i="4"/>
  <c r="Z22" i="4"/>
  <c r="Z27" i="4"/>
  <c r="Z34" i="4"/>
  <c r="AT3" i="4"/>
  <c r="AT36" i="4"/>
  <c r="AP7" i="4"/>
  <c r="AP27" i="4"/>
  <c r="AU7" i="4"/>
  <c r="AU26" i="4"/>
  <c r="AU28" i="4"/>
  <c r="AU30" i="4"/>
  <c r="AU32" i="4"/>
  <c r="AU34" i="4"/>
  <c r="K6" i="4"/>
  <c r="K15" i="4"/>
  <c r="J24" i="4"/>
  <c r="J53" i="4"/>
  <c r="AE40" i="4"/>
  <c r="AE38" i="4"/>
  <c r="AE34" i="4"/>
  <c r="Y54" i="4"/>
  <c r="E17" i="11"/>
  <c r="U6" i="1"/>
  <c r="AT19" i="4"/>
  <c r="Z7" i="4"/>
  <c r="Z15" i="4"/>
  <c r="Z23" i="4"/>
  <c r="Z35" i="4"/>
  <c r="Z51" i="4"/>
  <c r="AT18" i="4"/>
  <c r="AT33" i="4"/>
  <c r="AT39" i="4"/>
  <c r="AP3" i="4"/>
  <c r="AP14" i="4"/>
  <c r="AP22" i="4"/>
  <c r="AP38" i="4"/>
  <c r="AU33" i="4"/>
  <c r="J11" i="4"/>
  <c r="J20" i="4"/>
  <c r="K24" i="4"/>
  <c r="AE52" i="4"/>
  <c r="K11" i="4"/>
  <c r="K20" i="4"/>
  <c r="Z19" i="4"/>
  <c r="Z10" i="4"/>
  <c r="Z18" i="4"/>
  <c r="Z38" i="4"/>
  <c r="AT20" i="4"/>
  <c r="AP10" i="4"/>
  <c r="AP23" i="4"/>
  <c r="AP34" i="4"/>
  <c r="AP39" i="4"/>
  <c r="AA5" i="4"/>
  <c r="AA9" i="4"/>
  <c r="AA13" i="4"/>
  <c r="AA17" i="4"/>
  <c r="AA21" i="4"/>
  <c r="AA25" i="4"/>
  <c r="AA29" i="4"/>
  <c r="AA33" i="4"/>
  <c r="AA37" i="4"/>
  <c r="AA49" i="4"/>
  <c r="AU10" i="4"/>
  <c r="AU12" i="4"/>
  <c r="AU14" i="4"/>
  <c r="AU23" i="4"/>
  <c r="AU46" i="4"/>
  <c r="AU48" i="4"/>
  <c r="AU50" i="4"/>
  <c r="AE13" i="4"/>
  <c r="AE10" i="4"/>
  <c r="AT38" i="4"/>
  <c r="AU37" i="4"/>
  <c r="AT37" i="4"/>
  <c r="AE6" i="4"/>
  <c r="AD6" i="4"/>
  <c r="X6" i="1"/>
  <c r="J40" i="4"/>
  <c r="K39" i="4"/>
  <c r="J39" i="4"/>
  <c r="J49" i="4"/>
  <c r="AQ43" i="4"/>
  <c r="AP44" i="4"/>
  <c r="AP43" i="4"/>
  <c r="AT9" i="4"/>
  <c r="AU9" i="4"/>
  <c r="K34" i="4"/>
  <c r="AE18" i="4"/>
  <c r="AD9" i="4"/>
  <c r="AE9" i="4"/>
  <c r="AD7" i="4"/>
  <c r="F50" i="11"/>
  <c r="F34" i="11"/>
  <c r="K8" i="4"/>
  <c r="J8" i="4"/>
  <c r="K4" i="4"/>
  <c r="J4" i="4"/>
  <c r="J14" i="4"/>
  <c r="K13" i="4"/>
  <c r="J13" i="4"/>
  <c r="K17" i="4"/>
  <c r="J19" i="4"/>
  <c r="J18" i="4"/>
  <c r="J23" i="4"/>
  <c r="K22" i="4"/>
  <c r="J22" i="4"/>
  <c r="J27" i="4"/>
  <c r="K26" i="4"/>
  <c r="J26" i="4"/>
  <c r="J34" i="4"/>
  <c r="J35" i="4"/>
  <c r="AT26" i="4"/>
  <c r="AU25" i="4"/>
  <c r="AT25" i="4"/>
  <c r="AA4" i="4"/>
  <c r="Z5" i="4"/>
  <c r="Z4" i="4"/>
  <c r="AA8" i="4"/>
  <c r="Z9" i="4"/>
  <c r="Z8" i="4"/>
  <c r="AA12" i="4"/>
  <c r="Z13" i="4"/>
  <c r="Z12" i="4"/>
  <c r="AA16" i="4"/>
  <c r="Z17" i="4"/>
  <c r="Z16" i="4"/>
  <c r="AA24" i="4"/>
  <c r="Z24" i="4"/>
  <c r="AA28" i="4"/>
  <c r="Z29" i="4"/>
  <c r="Z28" i="4"/>
  <c r="AA32" i="4"/>
  <c r="Z33" i="4"/>
  <c r="Z32" i="4"/>
  <c r="AA36" i="4"/>
  <c r="Z37" i="4"/>
  <c r="Z36" i="4"/>
  <c r="AA40" i="4"/>
  <c r="Z41" i="4"/>
  <c r="Z40" i="4"/>
  <c r="AA52" i="4"/>
  <c r="AQ4" i="4"/>
  <c r="AP4" i="4"/>
  <c r="AQ8" i="4"/>
  <c r="AP8" i="4"/>
  <c r="AQ12" i="4"/>
  <c r="AP12" i="4"/>
  <c r="AQ16" i="4"/>
  <c r="AP16" i="4"/>
  <c r="AQ20" i="4"/>
  <c r="AP20" i="4"/>
  <c r="AP21" i="4"/>
  <c r="AQ24" i="4"/>
  <c r="AP25" i="4"/>
  <c r="AP24" i="4"/>
  <c r="AQ28" i="4"/>
  <c r="AP29" i="4"/>
  <c r="AP28" i="4"/>
  <c r="AQ32" i="4"/>
  <c r="AP32" i="4"/>
  <c r="AQ36" i="4"/>
  <c r="AP36" i="4"/>
  <c r="AQ40" i="4"/>
  <c r="AP40" i="4"/>
  <c r="AT17" i="4"/>
  <c r="AU17" i="4"/>
  <c r="AU53" i="4"/>
  <c r="AT53" i="4"/>
  <c r="K32" i="4"/>
  <c r="F54" i="11"/>
  <c r="F38" i="11"/>
  <c r="AQ5" i="4"/>
  <c r="AQ9" i="4"/>
  <c r="AU3" i="4"/>
  <c r="AU8" i="4"/>
  <c r="AU11" i="4"/>
  <c r="AU16" i="4"/>
  <c r="AU19" i="4"/>
  <c r="AU24" i="4"/>
  <c r="AU27" i="4"/>
  <c r="AU29" i="4"/>
  <c r="AU31" i="4"/>
  <c r="AU36" i="4"/>
  <c r="AU39" i="4"/>
  <c r="AU44" i="4"/>
  <c r="AU47" i="4"/>
  <c r="AU52" i="4"/>
  <c r="AE49" i="4"/>
  <c r="K29" i="4"/>
  <c r="AQ14" i="4"/>
  <c r="AQ18" i="4"/>
  <c r="AQ51" i="4"/>
  <c r="AA3" i="4"/>
  <c r="AA7" i="4"/>
  <c r="AA11" i="4"/>
  <c r="AA15" i="4"/>
  <c r="AA19" i="4"/>
  <c r="AA23" i="4"/>
  <c r="AA27" i="4"/>
  <c r="AA31" i="4"/>
  <c r="AA35" i="4"/>
  <c r="AA39" i="4"/>
  <c r="AA51" i="4"/>
  <c r="AQ27" i="4"/>
  <c r="AQ31" i="4"/>
  <c r="AQ35" i="4"/>
  <c r="AQ39" i="4"/>
  <c r="AE2" i="4"/>
  <c r="AE30" i="4"/>
  <c r="AE26" i="4"/>
  <c r="O2" i="3"/>
  <c r="AE3" i="3"/>
  <c r="AA3" i="3"/>
  <c r="J30" i="4"/>
  <c r="K30" i="4"/>
  <c r="AP30" i="4"/>
  <c r="AP31" i="4"/>
  <c r="AQ4" i="3"/>
  <c r="AR4" i="3"/>
  <c r="AI6" i="3"/>
  <c r="AJ6" i="3"/>
  <c r="AD6" i="3"/>
  <c r="AF6" i="3"/>
  <c r="N6" i="3"/>
  <c r="P6" i="3"/>
  <c r="O4" i="3"/>
  <c r="AQ3" i="3"/>
  <c r="AP2" i="3"/>
  <c r="AR2" i="3"/>
  <c r="AP6" i="3"/>
  <c r="O3" i="3"/>
  <c r="Y2" i="3"/>
  <c r="AA2" i="3"/>
  <c r="AI2" i="3"/>
  <c r="J29" i="4"/>
  <c r="N6" i="1"/>
  <c r="P6" i="1"/>
  <c r="AD30" i="4"/>
  <c r="AE29" i="4"/>
  <c r="F30" i="11"/>
  <c r="C3" i="1"/>
  <c r="X4" i="1"/>
  <c r="I4" i="1"/>
  <c r="U4" i="1"/>
  <c r="O3" i="1"/>
  <c r="R4" i="1"/>
  <c r="R5" i="1"/>
  <c r="L3" i="1"/>
  <c r="Z2" i="3"/>
  <c r="AB2" i="3"/>
  <c r="V210" i="3"/>
  <c r="AE12" i="4"/>
  <c r="AD12" i="4"/>
  <c r="AD13" i="4"/>
  <c r="AC2" i="3"/>
  <c r="G2" i="3"/>
  <c r="R210" i="3"/>
  <c r="AD35" i="4"/>
  <c r="AD36" i="4"/>
  <c r="AE35" i="4"/>
  <c r="AD31" i="4"/>
  <c r="AD32" i="4"/>
  <c r="AE31" i="4"/>
  <c r="AD27" i="4"/>
  <c r="AD28" i="4"/>
  <c r="AE27" i="4"/>
  <c r="AD23" i="4"/>
  <c r="AD24" i="4"/>
  <c r="AE23" i="4"/>
  <c r="AD53" i="4"/>
  <c r="AE53" i="4"/>
  <c r="AE16" i="4"/>
  <c r="AD16" i="4"/>
  <c r="L210" i="6"/>
  <c r="F8" i="1"/>
  <c r="AE36" i="4"/>
  <c r="AE32" i="4"/>
  <c r="AE28" i="4"/>
  <c r="AE24" i="4"/>
  <c r="AE20" i="4"/>
  <c r="AD20" i="4"/>
  <c r="AD17" i="4"/>
  <c r="AE4" i="4"/>
  <c r="AD4" i="4"/>
  <c r="AA4" i="3"/>
  <c r="X210" i="6"/>
  <c r="AE8" i="4"/>
  <c r="AD8" i="4"/>
  <c r="J212" i="3"/>
  <c r="F5" i="1"/>
  <c r="F3" i="1"/>
  <c r="AE51" i="4"/>
  <c r="S2" i="3"/>
  <c r="AK212" i="3"/>
  <c r="AC5" i="1"/>
  <c r="AD5" i="1"/>
  <c r="I212" i="3"/>
  <c r="E5" i="1"/>
  <c r="W9" i="4"/>
  <c r="W10" i="4"/>
  <c r="W18" i="4"/>
  <c r="AD3" i="1"/>
  <c r="AD9" i="1"/>
  <c r="K12" i="4"/>
  <c r="O6" i="3"/>
  <c r="P2" i="3"/>
  <c r="AQ2" i="3"/>
  <c r="AB6" i="3"/>
  <c r="AA6" i="3"/>
  <c r="F9" i="1"/>
  <c r="U3" i="1"/>
  <c r="K18" i="4"/>
  <c r="AN6" i="3"/>
  <c r="AM6" i="3"/>
  <c r="AA8" i="1"/>
  <c r="AD210" i="6"/>
  <c r="U8" i="1"/>
  <c r="I8" i="1"/>
  <c r="K14" i="4"/>
  <c r="K10" i="4"/>
  <c r="U5" i="1"/>
  <c r="I5" i="1"/>
  <c r="AF2" i="3"/>
  <c r="AE6" i="3"/>
  <c r="AE2" i="3"/>
  <c r="R3" i="1"/>
  <c r="I3" i="1"/>
  <c r="X3" i="1"/>
  <c r="K9" i="4"/>
  <c r="I54" i="4"/>
  <c r="AG5" i="1"/>
  <c r="AA3" i="1"/>
  <c r="J210" i="3"/>
  <c r="AG8" i="1"/>
  <c r="AA9" i="1"/>
  <c r="AG3" i="1"/>
  <c r="AR6" i="3"/>
  <c r="AQ6" i="3"/>
  <c r="U9" i="1"/>
  <c r="AC54" i="4"/>
  <c r="AG9" i="1"/>
  <c r="BB42" i="12"/>
  <c r="BB43" i="12"/>
  <c r="Z138" i="15"/>
  <c r="AB36" i="15"/>
  <c r="BC43" i="12"/>
  <c r="BB44" i="12"/>
  <c r="E10" i="14"/>
  <c r="J43" i="12"/>
  <c r="W43" i="12"/>
  <c r="AM43" i="12"/>
  <c r="V43" i="12"/>
  <c r="AL43" i="12"/>
  <c r="B73" i="15"/>
  <c r="Z248" i="5"/>
  <c r="AB248" i="5"/>
  <c r="R30" i="15"/>
  <c r="U121" i="15"/>
  <c r="AG162" i="15"/>
  <c r="X70" i="15"/>
  <c r="AD81" i="15"/>
  <c r="G122" i="15"/>
  <c r="AG82" i="15"/>
  <c r="I71" i="15"/>
  <c r="F81" i="15"/>
  <c r="I121" i="15"/>
  <c r="I31" i="15"/>
  <c r="I69" i="15"/>
  <c r="X84" i="15"/>
  <c r="O68" i="15"/>
  <c r="AG6" i="15"/>
  <c r="AA55" i="15"/>
  <c r="AA66" i="15"/>
  <c r="AD55" i="15"/>
  <c r="U30" i="15"/>
  <c r="R84" i="15"/>
  <c r="U134" i="15"/>
  <c r="C133" i="15"/>
  <c r="AG148" i="15"/>
  <c r="U160" i="15"/>
  <c r="U162" i="15"/>
  <c r="I135" i="15"/>
  <c r="I43" i="15"/>
  <c r="I57" i="15"/>
  <c r="I160" i="15"/>
  <c r="F68" i="15"/>
  <c r="I136" i="15"/>
  <c r="F146" i="15"/>
  <c r="O3" i="15"/>
  <c r="R19" i="15"/>
  <c r="R18" i="15"/>
  <c r="AD16" i="15"/>
  <c r="AA42" i="15"/>
  <c r="AD68" i="15"/>
  <c r="AA120" i="15"/>
  <c r="U58" i="15"/>
  <c r="C120" i="15"/>
  <c r="C3" i="15"/>
  <c r="X3" i="15"/>
  <c r="I30" i="15"/>
  <c r="C42" i="15"/>
  <c r="I83" i="15"/>
  <c r="F3" i="15"/>
  <c r="U3" i="15"/>
  <c r="F55" i="15"/>
  <c r="U55" i="15"/>
  <c r="I82" i="15"/>
  <c r="R6" i="15"/>
  <c r="AD29" i="15"/>
  <c r="L159" i="15"/>
  <c r="X6" i="15"/>
  <c r="U56" i="15"/>
  <c r="O29" i="15"/>
  <c r="X148" i="15"/>
  <c r="AA16" i="15"/>
  <c r="AG45" i="15"/>
  <c r="AA81" i="15"/>
  <c r="AG159" i="15"/>
  <c r="AE161" i="15"/>
  <c r="O16" i="15"/>
  <c r="R58" i="15"/>
  <c r="U70" i="15"/>
  <c r="U82" i="15"/>
  <c r="X83" i="15"/>
  <c r="I147" i="15"/>
  <c r="U5" i="15"/>
  <c r="L29" i="15"/>
  <c r="L53" i="15"/>
  <c r="R71" i="15"/>
  <c r="O120" i="15"/>
  <c r="AA68" i="15"/>
  <c r="AG68" i="15"/>
  <c r="U4" i="15"/>
  <c r="X121" i="15"/>
  <c r="I149" i="15"/>
  <c r="C146" i="15"/>
  <c r="I146" i="15"/>
  <c r="I56" i="15"/>
  <c r="F16" i="15"/>
  <c r="U16" i="15"/>
  <c r="F42" i="15"/>
  <c r="U69" i="15"/>
  <c r="L68" i="15"/>
  <c r="L133" i="15"/>
  <c r="O133" i="15"/>
  <c r="AD3" i="15"/>
  <c r="AA133" i="15"/>
  <c r="AD133" i="15"/>
  <c r="AA146" i="15"/>
  <c r="C159" i="15"/>
  <c r="I161" i="15"/>
  <c r="R57" i="15"/>
  <c r="AG31" i="15"/>
  <c r="AA29" i="15"/>
  <c r="AG42" i="15"/>
  <c r="X45" i="15"/>
  <c r="I45" i="15"/>
  <c r="X69" i="15"/>
  <c r="O42" i="15"/>
  <c r="X43" i="15"/>
  <c r="X162" i="15"/>
  <c r="I6" i="15"/>
  <c r="X19" i="15"/>
  <c r="O27" i="15"/>
  <c r="C81" i="15"/>
  <c r="X81" i="15"/>
  <c r="D30" i="15"/>
  <c r="I17" i="15"/>
  <c r="X30" i="15"/>
  <c r="X31" i="15"/>
  <c r="C29" i="15"/>
  <c r="I44" i="15"/>
  <c r="X44" i="15"/>
  <c r="X58" i="15"/>
  <c r="U81" i="15"/>
  <c r="I84" i="15"/>
  <c r="C16" i="15"/>
  <c r="I32" i="15"/>
  <c r="R43" i="15"/>
  <c r="L16" i="15"/>
  <c r="L120" i="15"/>
  <c r="L146" i="15"/>
  <c r="M134" i="15"/>
  <c r="AE122" i="15"/>
  <c r="K139" i="15"/>
  <c r="M139" i="15"/>
  <c r="AD44" i="4"/>
  <c r="AU43" i="4"/>
  <c r="G54" i="4"/>
  <c r="X166" i="3"/>
  <c r="AB168" i="3"/>
  <c r="AE168" i="3"/>
  <c r="W170" i="3"/>
  <c r="AE170" i="3"/>
  <c r="AF166" i="3"/>
  <c r="AA172" i="3"/>
  <c r="Y166" i="3"/>
  <c r="AA170" i="3"/>
  <c r="AA171" i="3"/>
  <c r="T166" i="3"/>
  <c r="AB166" i="3"/>
  <c r="AF168" i="3"/>
  <c r="AO166" i="3"/>
  <c r="AM170" i="3"/>
  <c r="K170" i="3"/>
  <c r="AR168" i="3"/>
  <c r="AQ168" i="3"/>
  <c r="AI166" i="3"/>
  <c r="AI170" i="3"/>
  <c r="AQ170" i="3"/>
  <c r="AR166" i="3"/>
  <c r="AR167" i="3"/>
  <c r="AQ167" i="3"/>
  <c r="AJ166" i="3"/>
  <c r="O170" i="3"/>
  <c r="P166" i="3"/>
  <c r="L166" i="3"/>
  <c r="AE171" i="3"/>
  <c r="AE167" i="3"/>
  <c r="W135" i="15"/>
  <c r="I12" i="14"/>
  <c r="AB247" i="5"/>
  <c r="Y242" i="5"/>
  <c r="G242" i="5"/>
  <c r="N242" i="5"/>
  <c r="Q242" i="5"/>
  <c r="S242" i="5"/>
  <c r="X139" i="15"/>
  <c r="Z242" i="5"/>
  <c r="P242" i="5"/>
  <c r="AA242" i="5"/>
  <c r="AB242" i="5"/>
  <c r="C86" i="15"/>
  <c r="C92" i="15"/>
  <c r="C7" i="1"/>
  <c r="I74" i="15"/>
  <c r="X74" i="15"/>
  <c r="AA323" i="5"/>
  <c r="X48" i="15"/>
  <c r="X61" i="15"/>
  <c r="I87" i="15"/>
  <c r="I139" i="15"/>
  <c r="X7" i="1"/>
  <c r="I61" i="15"/>
  <c r="I22" i="15"/>
  <c r="Q46" i="15"/>
  <c r="S46" i="15"/>
  <c r="P137" i="15"/>
  <c r="AP42" i="4"/>
  <c r="Q137" i="15"/>
  <c r="S137" i="15"/>
  <c r="AT42" i="4"/>
  <c r="AD43" i="4"/>
  <c r="AT43" i="4"/>
  <c r="W166" i="3"/>
  <c r="M161" i="15"/>
  <c r="M162" i="3"/>
  <c r="AC162" i="3"/>
  <c r="AF162" i="3"/>
  <c r="AC212" i="3"/>
  <c r="P163" i="3"/>
  <c r="AF163" i="3"/>
  <c r="AE166" i="3"/>
  <c r="P164" i="3"/>
  <c r="K166" i="3"/>
  <c r="AR164" i="3"/>
  <c r="AQ164" i="3"/>
  <c r="AO162" i="3"/>
  <c r="AR162" i="3"/>
  <c r="AB162" i="3"/>
  <c r="AA166" i="3"/>
  <c r="AA167" i="3"/>
  <c r="T162" i="3"/>
  <c r="S166" i="3"/>
  <c r="AM166" i="3"/>
  <c r="AR163" i="3"/>
  <c r="AN162" i="3"/>
  <c r="P162" i="3"/>
  <c r="O166" i="3"/>
  <c r="L162" i="3"/>
  <c r="AE129" i="15"/>
  <c r="AC128" i="15"/>
  <c r="AE128" i="15"/>
  <c r="AC11" i="15"/>
  <c r="AE11" i="15"/>
  <c r="AE25" i="15"/>
  <c r="AC50" i="15"/>
  <c r="AF77" i="15"/>
  <c r="AH77" i="15"/>
  <c r="AC12" i="14"/>
  <c r="AE168" i="15"/>
  <c r="AF25" i="15"/>
  <c r="AH25" i="15"/>
  <c r="AF63" i="15"/>
  <c r="AH63" i="15"/>
  <c r="AF64" i="15"/>
  <c r="AH64" i="15"/>
  <c r="AF154" i="15"/>
  <c r="AH154" i="15"/>
  <c r="AE64" i="15"/>
  <c r="AF167" i="15"/>
  <c r="AH167" i="15"/>
  <c r="AB167" i="15"/>
  <c r="AF11" i="15"/>
  <c r="AH11" i="15"/>
  <c r="AB11" i="15"/>
  <c r="Z24" i="15"/>
  <c r="Z76" i="15"/>
  <c r="Z89" i="15"/>
  <c r="AB12" i="15"/>
  <c r="AF12" i="15"/>
  <c r="AH12" i="15"/>
  <c r="AB25" i="15"/>
  <c r="AB64" i="15"/>
  <c r="AB77" i="15"/>
  <c r="AB90" i="15"/>
  <c r="AB154" i="15"/>
  <c r="W210" i="6"/>
  <c r="AC158" i="6"/>
  <c r="AE158" i="6"/>
  <c r="AB63" i="15"/>
  <c r="Z129" i="15"/>
  <c r="W89" i="15"/>
  <c r="Y89" i="15"/>
  <c r="Q89" i="15"/>
  <c r="S89" i="15"/>
  <c r="P89" i="15"/>
  <c r="N128" i="15"/>
  <c r="P128" i="15"/>
  <c r="P129" i="15"/>
  <c r="Q11" i="15"/>
  <c r="S11" i="15"/>
  <c r="W11" i="15"/>
  <c r="Y11" i="15"/>
  <c r="Q25" i="15"/>
  <c r="S25" i="15"/>
  <c r="P37" i="15"/>
  <c r="T37" i="15"/>
  <c r="V37" i="15"/>
  <c r="W51" i="15"/>
  <c r="Y51" i="15"/>
  <c r="P64" i="15"/>
  <c r="Q76" i="15"/>
  <c r="S76" i="15"/>
  <c r="W76" i="15"/>
  <c r="Y76" i="15"/>
  <c r="P90" i="15"/>
  <c r="T90" i="15"/>
  <c r="V90" i="15"/>
  <c r="P142" i="15"/>
  <c r="Q168" i="15"/>
  <c r="S168" i="15"/>
  <c r="N12" i="14"/>
  <c r="N50" i="15"/>
  <c r="N63" i="15"/>
  <c r="P63" i="15"/>
  <c r="N154" i="15"/>
  <c r="N167" i="15"/>
  <c r="Q167" i="15"/>
  <c r="S167" i="15"/>
  <c r="T51" i="15"/>
  <c r="V51" i="15"/>
  <c r="W64" i="15"/>
  <c r="Y64" i="15"/>
  <c r="Q155" i="15"/>
  <c r="S155" i="15"/>
  <c r="P25" i="15"/>
  <c r="T24" i="15"/>
  <c r="V24" i="15"/>
  <c r="Q90" i="15"/>
  <c r="S90" i="15"/>
  <c r="W90" i="15"/>
  <c r="Y90" i="15"/>
  <c r="P141" i="15"/>
  <c r="W25" i="15"/>
  <c r="Y25" i="15"/>
  <c r="T168" i="15"/>
  <c r="V168" i="15"/>
  <c r="Q141" i="15"/>
  <c r="S141" i="15"/>
  <c r="Q37" i="15"/>
  <c r="S37" i="15"/>
  <c r="M37" i="15"/>
  <c r="Q63" i="15"/>
  <c r="S63" i="15"/>
  <c r="M63" i="15"/>
  <c r="M154" i="15"/>
  <c r="M167" i="15"/>
  <c r="K129" i="15"/>
  <c r="Q8" i="1"/>
  <c r="S8" i="1"/>
  <c r="M141" i="15"/>
  <c r="T11" i="15"/>
  <c r="V11" i="15"/>
  <c r="H11" i="15"/>
  <c r="J11" i="15"/>
  <c r="G11" i="15"/>
  <c r="T76" i="15"/>
  <c r="V76" i="15"/>
  <c r="H76" i="15"/>
  <c r="J76" i="15"/>
  <c r="G76" i="15"/>
  <c r="T89" i="15"/>
  <c r="V89" i="15"/>
  <c r="G89" i="15"/>
  <c r="T141" i="15"/>
  <c r="V141" i="15"/>
  <c r="G141" i="15"/>
  <c r="G128" i="15"/>
  <c r="E8" i="1"/>
  <c r="H37" i="15"/>
  <c r="J37" i="15"/>
  <c r="H154" i="15"/>
  <c r="J154" i="15"/>
  <c r="G24" i="15"/>
  <c r="G50" i="15"/>
  <c r="G63" i="15"/>
  <c r="G90" i="15"/>
  <c r="H89" i="15"/>
  <c r="J89" i="15"/>
  <c r="G129" i="15"/>
  <c r="G142" i="15"/>
  <c r="H141" i="15"/>
  <c r="J141" i="15"/>
  <c r="H168" i="15"/>
  <c r="J168" i="15"/>
  <c r="T129" i="15"/>
  <c r="V129" i="15"/>
  <c r="W167" i="15"/>
  <c r="Y167" i="15"/>
  <c r="H167" i="15"/>
  <c r="J167" i="15"/>
  <c r="D167" i="15"/>
  <c r="W50" i="15"/>
  <c r="Y50" i="15"/>
  <c r="W63" i="15"/>
  <c r="Y63" i="15"/>
  <c r="D89" i="15"/>
  <c r="D141" i="15"/>
  <c r="D154" i="15"/>
  <c r="B129" i="15"/>
  <c r="T158" i="6"/>
  <c r="V158" i="6"/>
  <c r="W24" i="15"/>
  <c r="Y24" i="15"/>
  <c r="D37" i="15"/>
  <c r="D50" i="15"/>
  <c r="D63" i="15"/>
  <c r="E210" i="6"/>
  <c r="G158" i="6"/>
  <c r="D24" i="15"/>
  <c r="D38" i="15"/>
  <c r="D51" i="15"/>
  <c r="D64" i="15"/>
  <c r="X158" i="3"/>
  <c r="W162" i="3"/>
  <c r="M57" i="15"/>
  <c r="D135" i="15"/>
  <c r="M82" i="15"/>
  <c r="AA164" i="3"/>
  <c r="AB160" i="3"/>
  <c r="AF160" i="3"/>
  <c r="AE164" i="3"/>
  <c r="G162" i="3"/>
  <c r="AC158" i="3"/>
  <c r="P58" i="15"/>
  <c r="AA162" i="3"/>
  <c r="AA158" i="3"/>
  <c r="AB158" i="3"/>
  <c r="AA163" i="3"/>
  <c r="AB159" i="3"/>
  <c r="S158" i="3"/>
  <c r="T158" i="3"/>
  <c r="S162" i="3"/>
  <c r="AE163" i="3"/>
  <c r="AF159" i="3"/>
  <c r="AE158" i="3"/>
  <c r="AF158" i="3"/>
  <c r="D31" i="15"/>
  <c r="D69" i="15"/>
  <c r="D17" i="15"/>
  <c r="Y236" i="5"/>
  <c r="N126" i="15"/>
  <c r="V236" i="5"/>
  <c r="Q236" i="5"/>
  <c r="S236" i="5"/>
  <c r="M236" i="5"/>
  <c r="B126" i="15"/>
  <c r="N236" i="5"/>
  <c r="P236" i="5"/>
  <c r="Z236" i="5"/>
  <c r="AB236" i="5"/>
  <c r="G236" i="5"/>
  <c r="D74" i="15"/>
  <c r="AT40" i="4"/>
  <c r="Q85" i="15"/>
  <c r="S85" i="15"/>
  <c r="M163" i="15"/>
  <c r="M12" i="14"/>
  <c r="D7" i="14"/>
  <c r="M46" i="15"/>
  <c r="E42" i="11"/>
  <c r="D85" i="15"/>
  <c r="AT41" i="4"/>
  <c r="D124" i="15"/>
  <c r="AU41" i="4"/>
  <c r="AD42" i="4"/>
  <c r="AE44" i="4"/>
  <c r="J43" i="4"/>
  <c r="J42" i="4"/>
  <c r="AD40" i="4"/>
  <c r="AE39" i="4"/>
  <c r="G111" i="15"/>
  <c r="T111" i="15"/>
  <c r="V111" i="15"/>
  <c r="H111" i="15"/>
  <c r="J111" i="15"/>
  <c r="AE37" i="4"/>
  <c r="J37" i="4"/>
  <c r="J38" i="4"/>
  <c r="AD38" i="4"/>
  <c r="K37" i="4"/>
  <c r="Z49" i="4"/>
  <c r="AD49" i="4"/>
  <c r="Z47" i="4"/>
  <c r="Z52" i="4"/>
  <c r="J51" i="4"/>
  <c r="J52" i="4"/>
  <c r="E163" i="15"/>
  <c r="AD51" i="4"/>
  <c r="AE50" i="4"/>
  <c r="J44" i="4"/>
  <c r="J45" i="4"/>
  <c r="AA43" i="4"/>
  <c r="G7" i="15"/>
  <c r="Z42" i="4"/>
  <c r="T46" i="15"/>
  <c r="V46" i="15"/>
  <c r="Z43" i="4"/>
  <c r="G72" i="15"/>
  <c r="S54" i="4"/>
  <c r="J41" i="4"/>
  <c r="AA41" i="4"/>
  <c r="AE41" i="4"/>
  <c r="E124" i="15"/>
  <c r="G124" i="15"/>
  <c r="P160" i="3"/>
  <c r="O164" i="3"/>
  <c r="M158" i="3"/>
  <c r="O162" i="3"/>
  <c r="AQ160" i="3"/>
  <c r="AJ158" i="3"/>
  <c r="AR160" i="3"/>
  <c r="AO158" i="3"/>
  <c r="AR158" i="3"/>
  <c r="L158" i="3"/>
  <c r="K162" i="3"/>
  <c r="AM162" i="3"/>
  <c r="AE136" i="15"/>
  <c r="AM158" i="3"/>
  <c r="AN158" i="3"/>
  <c r="O163" i="3"/>
  <c r="P159" i="3"/>
  <c r="AQ159" i="3"/>
  <c r="AQ163" i="3"/>
  <c r="AB6" i="15"/>
  <c r="AB84" i="15"/>
  <c r="AB148" i="15"/>
  <c r="F11" i="14"/>
  <c r="AF165" i="15"/>
  <c r="AH165" i="15"/>
  <c r="AE165" i="15"/>
  <c r="AB22" i="15"/>
  <c r="AB35" i="15"/>
  <c r="AB74" i="15"/>
  <c r="AB139" i="15"/>
  <c r="Y224" i="5"/>
  <c r="M224" i="5"/>
  <c r="E126" i="15"/>
  <c r="G126" i="15"/>
  <c r="R68" i="15"/>
  <c r="AG55" i="15"/>
  <c r="X146" i="15"/>
  <c r="AG120" i="15"/>
  <c r="AG146" i="15"/>
  <c r="R133" i="15"/>
  <c r="O40" i="15"/>
  <c r="R29" i="15"/>
  <c r="AG3" i="15"/>
  <c r="AG81" i="15"/>
  <c r="U120" i="15"/>
  <c r="R42" i="15"/>
  <c r="O53" i="15"/>
  <c r="AG29" i="15"/>
  <c r="R120" i="15"/>
  <c r="X29" i="15"/>
  <c r="X68" i="15"/>
  <c r="R55" i="15"/>
  <c r="I16" i="15"/>
  <c r="I81" i="15"/>
  <c r="C9" i="1"/>
  <c r="I7" i="1"/>
  <c r="AE162" i="3"/>
  <c r="AQ166" i="3"/>
  <c r="AF50" i="15"/>
  <c r="AH50" i="15"/>
  <c r="AE50" i="15"/>
  <c r="AC210" i="6"/>
  <c r="AE210" i="6"/>
  <c r="Y210" i="6"/>
  <c r="Z8" i="1"/>
  <c r="AF89" i="15"/>
  <c r="AH89" i="15"/>
  <c r="AB89" i="15"/>
  <c r="AF129" i="15"/>
  <c r="AH129" i="15"/>
  <c r="AB129" i="15"/>
  <c r="Z128" i="15"/>
  <c r="AF76" i="15"/>
  <c r="AH76" i="15"/>
  <c r="AB76" i="15"/>
  <c r="AF24" i="15"/>
  <c r="AH24" i="15"/>
  <c r="AB24" i="15"/>
  <c r="T154" i="15"/>
  <c r="V154" i="15"/>
  <c r="P154" i="15"/>
  <c r="W154" i="15"/>
  <c r="Y154" i="15"/>
  <c r="T128" i="15"/>
  <c r="V128" i="15"/>
  <c r="P50" i="15"/>
  <c r="Q50" i="15"/>
  <c r="S50" i="15"/>
  <c r="T63" i="15"/>
  <c r="V63" i="15"/>
  <c r="T50" i="15"/>
  <c r="V50" i="15"/>
  <c r="Q154" i="15"/>
  <c r="S154" i="15"/>
  <c r="T167" i="15"/>
  <c r="V167" i="15"/>
  <c r="P167" i="15"/>
  <c r="K128" i="15"/>
  <c r="Q129" i="15"/>
  <c r="S129" i="15"/>
  <c r="M129" i="15"/>
  <c r="G8" i="1"/>
  <c r="T8" i="1"/>
  <c r="V8" i="1"/>
  <c r="B8" i="1"/>
  <c r="K210" i="6"/>
  <c r="M210" i="6"/>
  <c r="G210" i="6"/>
  <c r="T210" i="6"/>
  <c r="V210" i="6"/>
  <c r="B128" i="15"/>
  <c r="W129" i="15"/>
  <c r="Y129" i="15"/>
  <c r="H129" i="15"/>
  <c r="J129" i="15"/>
  <c r="D129" i="15"/>
  <c r="O158" i="3"/>
  <c r="AQ162" i="3"/>
  <c r="P158" i="3"/>
  <c r="AQ158" i="3"/>
  <c r="I9" i="1"/>
  <c r="X9" i="1"/>
  <c r="AF8" i="1"/>
  <c r="AH8" i="1"/>
  <c r="AB8" i="1"/>
  <c r="AF128" i="15"/>
  <c r="AH128" i="15"/>
  <c r="AB128" i="15"/>
  <c r="Q128" i="15"/>
  <c r="S128" i="15"/>
  <c r="M128" i="15"/>
  <c r="W128" i="15"/>
  <c r="Y128" i="15"/>
  <c r="D128" i="15"/>
  <c r="H128" i="15"/>
  <c r="J128" i="15"/>
  <c r="D8" i="1"/>
  <c r="H8" i="1"/>
  <c r="J8" i="1"/>
  <c r="W8" i="1"/>
  <c r="Y8" i="1"/>
  <c r="AB12" i="14"/>
  <c r="C11" i="14"/>
  <c r="L11" i="14"/>
  <c r="AA11" i="14"/>
  <c r="AB11" i="14"/>
  <c r="X9" i="14"/>
  <c r="G12" i="14"/>
  <c r="AG62" i="15"/>
  <c r="D36" i="15"/>
  <c r="I127" i="15"/>
  <c r="M49" i="15"/>
  <c r="L27" i="15"/>
  <c r="B125" i="15"/>
  <c r="C47" i="15"/>
  <c r="X47" i="15"/>
  <c r="AF114" i="15"/>
  <c r="BB30" i="12"/>
  <c r="BB34" i="12"/>
  <c r="R10" i="15"/>
  <c r="AE153" i="15"/>
  <c r="BC17" i="12"/>
  <c r="BB4" i="12"/>
  <c r="BB8" i="12"/>
  <c r="BB10" i="12"/>
  <c r="BB14" i="12"/>
  <c r="BB18" i="12"/>
  <c r="BB22" i="12"/>
  <c r="BB26" i="12"/>
  <c r="D114" i="15"/>
  <c r="AD144" i="15"/>
  <c r="BB5" i="12"/>
  <c r="BC9" i="12"/>
  <c r="BB11" i="12"/>
  <c r="BB15" i="12"/>
  <c r="BB19" i="12"/>
  <c r="BB28" i="12"/>
  <c r="W153" i="15"/>
  <c r="W75" i="15"/>
  <c r="X166" i="15"/>
  <c r="M62" i="15"/>
  <c r="AG153" i="15"/>
  <c r="AA40" i="15"/>
  <c r="R8" i="15"/>
  <c r="R140" i="15"/>
  <c r="S140" i="15"/>
  <c r="R166" i="15"/>
  <c r="AB49" i="15"/>
  <c r="D10" i="15"/>
  <c r="I49" i="15"/>
  <c r="X88" i="15"/>
  <c r="P49" i="15"/>
  <c r="AD157" i="15"/>
  <c r="O14" i="15"/>
  <c r="P112" i="15"/>
  <c r="R88" i="15"/>
  <c r="AG23" i="15"/>
  <c r="P88" i="15"/>
  <c r="N73" i="15"/>
  <c r="P139" i="15"/>
  <c r="Z272" i="5"/>
  <c r="AB272" i="5"/>
  <c r="AG47" i="15"/>
  <c r="P138" i="15"/>
  <c r="R153" i="15"/>
  <c r="AB23" i="15"/>
  <c r="AA151" i="15"/>
  <c r="R62" i="15"/>
  <c r="C60" i="15"/>
  <c r="X60" i="15"/>
  <c r="L60" i="15"/>
  <c r="Q153" i="15"/>
  <c r="S153" i="15"/>
  <c r="C138" i="15"/>
  <c r="X138" i="15"/>
  <c r="U101" i="15"/>
  <c r="AF101" i="15"/>
  <c r="X153" i="15"/>
  <c r="Y153" i="15"/>
  <c r="M10" i="15"/>
  <c r="AB138" i="15"/>
  <c r="P114" i="15"/>
  <c r="D62" i="15"/>
  <c r="T101" i="15"/>
  <c r="G101" i="15"/>
  <c r="C53" i="15"/>
  <c r="X53" i="15"/>
  <c r="X86" i="15"/>
  <c r="B105" i="15"/>
  <c r="N99" i="15"/>
  <c r="N105" i="15"/>
  <c r="Q105" i="15"/>
  <c r="Q101" i="15"/>
  <c r="P101" i="15"/>
  <c r="F140" i="15"/>
  <c r="Q43" i="12"/>
  <c r="S43" i="12"/>
  <c r="F153" i="15"/>
  <c r="I153" i="15"/>
  <c r="Q47" i="12"/>
  <c r="AD73" i="15"/>
  <c r="AG73" i="15"/>
  <c r="AG75" i="15"/>
  <c r="V27" i="12"/>
  <c r="AL27" i="12"/>
  <c r="BB27" i="12"/>
  <c r="V44" i="12"/>
  <c r="W45" i="12"/>
  <c r="V49" i="12"/>
  <c r="V50" i="12"/>
  <c r="AL52" i="12"/>
  <c r="AL51" i="12"/>
  <c r="W53" i="12"/>
  <c r="O54" i="12"/>
  <c r="G54" i="12"/>
  <c r="J36" i="12"/>
  <c r="R4" i="12"/>
  <c r="R11" i="12"/>
  <c r="S14" i="12"/>
  <c r="R18" i="12"/>
  <c r="R25" i="12"/>
  <c r="R46" i="12"/>
  <c r="S47" i="12"/>
  <c r="P42" i="12"/>
  <c r="K42" i="12"/>
  <c r="S37" i="12"/>
  <c r="S35" i="12"/>
  <c r="Q31" i="12"/>
  <c r="S29" i="12"/>
  <c r="R29" i="12"/>
  <c r="R24" i="12"/>
  <c r="S17" i="12"/>
  <c r="S15" i="12"/>
  <c r="S13" i="12"/>
  <c r="R13" i="12"/>
  <c r="S11" i="12"/>
  <c r="S9" i="12"/>
  <c r="S7" i="12"/>
  <c r="S5" i="12"/>
  <c r="R5" i="12"/>
  <c r="S3" i="12"/>
  <c r="F114" i="15"/>
  <c r="I114" i="15"/>
  <c r="AC112" i="15"/>
  <c r="AC118" i="15"/>
  <c r="AF118" i="15"/>
  <c r="AE114" i="15"/>
  <c r="R23" i="15"/>
  <c r="Q20" i="12"/>
  <c r="S20" i="12"/>
  <c r="F62" i="15"/>
  <c r="G62" i="15"/>
  <c r="F88" i="15"/>
  <c r="F86" i="15"/>
  <c r="F92" i="15"/>
  <c r="Q27" i="12"/>
  <c r="S27" i="12"/>
  <c r="W41" i="12"/>
  <c r="AL46" i="12"/>
  <c r="V53" i="12"/>
  <c r="BA54" i="12"/>
  <c r="K31" i="12"/>
  <c r="J37" i="12"/>
  <c r="S8" i="12"/>
  <c r="R19" i="12"/>
  <c r="R26" i="12"/>
  <c r="R33" i="12"/>
  <c r="S40" i="12"/>
  <c r="R48" i="12"/>
  <c r="S31" i="12"/>
  <c r="U99" i="15"/>
  <c r="AE101" i="15"/>
  <c r="Q114" i="15"/>
  <c r="E114" i="15"/>
  <c r="P34" i="12"/>
  <c r="K34" i="12"/>
  <c r="F21" i="15"/>
  <c r="F27" i="15"/>
  <c r="U27" i="15"/>
  <c r="U23" i="15"/>
  <c r="F47" i="15"/>
  <c r="U49" i="15"/>
  <c r="AM46" i="12"/>
  <c r="V48" i="12"/>
  <c r="AL47" i="12"/>
  <c r="BB53" i="12"/>
  <c r="BB52" i="12"/>
  <c r="I54" i="12"/>
  <c r="R27" i="12"/>
  <c r="R41" i="12"/>
  <c r="S48" i="12"/>
  <c r="R52" i="12"/>
  <c r="R44" i="12"/>
  <c r="P36" i="12"/>
  <c r="S21" i="12"/>
  <c r="R21" i="12"/>
  <c r="P32" i="12"/>
  <c r="K32" i="12"/>
  <c r="K29" i="12"/>
  <c r="K49" i="12"/>
  <c r="E166" i="15"/>
  <c r="H166" i="15"/>
  <c r="K51" i="12"/>
  <c r="X23" i="15"/>
  <c r="F10" i="15"/>
  <c r="I10" i="15"/>
  <c r="F36" i="15"/>
  <c r="F75" i="15"/>
  <c r="I75" i="15"/>
  <c r="F166" i="15"/>
  <c r="Q51" i="12"/>
  <c r="S51" i="12"/>
  <c r="AQ54" i="12"/>
  <c r="K43" i="12"/>
  <c r="S39" i="12"/>
  <c r="S19" i="12"/>
  <c r="I23" i="15"/>
  <c r="D127" i="15"/>
  <c r="C125" i="15"/>
  <c r="I125" i="15"/>
  <c r="D140" i="15"/>
  <c r="C164" i="15"/>
  <c r="C170" i="15"/>
  <c r="X170" i="15"/>
  <c r="X36" i="15"/>
  <c r="C34" i="15"/>
  <c r="X127" i="15"/>
  <c r="E23" i="15"/>
  <c r="G23" i="15"/>
  <c r="E49" i="15"/>
  <c r="T49" i="15"/>
  <c r="V49" i="15"/>
  <c r="E88" i="15"/>
  <c r="T88" i="15"/>
  <c r="E153" i="15"/>
  <c r="T153" i="15"/>
  <c r="K47" i="12"/>
  <c r="K53" i="12"/>
  <c r="M114" i="15"/>
  <c r="AG114" i="15"/>
  <c r="AH114" i="15"/>
  <c r="M101" i="15"/>
  <c r="E8" i="15"/>
  <c r="W114" i="15"/>
  <c r="H101" i="15"/>
  <c r="M88" i="15"/>
  <c r="R86" i="15"/>
  <c r="M166" i="15"/>
  <c r="AG138" i="15"/>
  <c r="AB166" i="15"/>
  <c r="P153" i="15"/>
  <c r="K47" i="15"/>
  <c r="M47" i="15"/>
  <c r="R127" i="15"/>
  <c r="Z8" i="15"/>
  <c r="AB8" i="15"/>
  <c r="AD21" i="15"/>
  <c r="AD27" i="15"/>
  <c r="AG36" i="15"/>
  <c r="AG60" i="15"/>
  <c r="U86" i="15"/>
  <c r="O105" i="15"/>
  <c r="U105" i="15"/>
  <c r="AG127" i="15"/>
  <c r="AA125" i="15"/>
  <c r="I86" i="15"/>
  <c r="C14" i="15"/>
  <c r="X14" i="15"/>
  <c r="AG144" i="15"/>
  <c r="Q112" i="15"/>
  <c r="N118" i="15"/>
  <c r="AG166" i="15"/>
  <c r="C73" i="15"/>
  <c r="X75" i="15"/>
  <c r="Y75" i="15"/>
  <c r="C151" i="15"/>
  <c r="C157" i="15"/>
  <c r="R75" i="15"/>
  <c r="O73" i="15"/>
  <c r="P166" i="15"/>
  <c r="Q166" i="15"/>
  <c r="AD8" i="15"/>
  <c r="AD14" i="15"/>
  <c r="AG14" i="15"/>
  <c r="AG10" i="15"/>
  <c r="AA86" i="15"/>
  <c r="AG86" i="15"/>
  <c r="AG88" i="15"/>
  <c r="B118" i="15"/>
  <c r="W112" i="15"/>
  <c r="R101" i="15"/>
  <c r="L99" i="15"/>
  <c r="AB101" i="15"/>
  <c r="AG101" i="15"/>
  <c r="AH101" i="15"/>
  <c r="AA99" i="15"/>
  <c r="C112" i="15"/>
  <c r="X114" i="15"/>
  <c r="Y114" i="15"/>
  <c r="I101" i="15"/>
  <c r="X101" i="15"/>
  <c r="F60" i="15"/>
  <c r="X8" i="15"/>
  <c r="R27" i="15"/>
  <c r="AB114" i="15"/>
  <c r="AE118" i="15"/>
  <c r="O118" i="15"/>
  <c r="H127" i="15"/>
  <c r="J127" i="15"/>
  <c r="T127" i="15"/>
  <c r="V127" i="15"/>
  <c r="G127" i="15"/>
  <c r="R36" i="15"/>
  <c r="R151" i="15"/>
  <c r="AG34" i="15"/>
  <c r="AD79" i="15"/>
  <c r="AG140" i="15"/>
  <c r="R53" i="15"/>
  <c r="C99" i="15"/>
  <c r="R114" i="15"/>
  <c r="L112" i="15"/>
  <c r="L118" i="15"/>
  <c r="M118" i="15"/>
  <c r="AA112" i="15"/>
  <c r="AB112" i="15"/>
  <c r="X10" i="15"/>
  <c r="L40" i="15"/>
  <c r="R40" i="15"/>
  <c r="R34" i="15"/>
  <c r="R47" i="15"/>
  <c r="B21" i="15"/>
  <c r="D75" i="15"/>
  <c r="R21" i="15"/>
  <c r="M75" i="15"/>
  <c r="AE10" i="15"/>
  <c r="Z47" i="15"/>
  <c r="AB47" i="15"/>
  <c r="AB75" i="15"/>
  <c r="AE88" i="15"/>
  <c r="AE166" i="15"/>
  <c r="AD40" i="15"/>
  <c r="AD66" i="15"/>
  <c r="AG66" i="15"/>
  <c r="I10" i="14"/>
  <c r="W101" i="15"/>
  <c r="E99" i="15"/>
  <c r="AC99" i="15"/>
  <c r="F131" i="15"/>
  <c r="C21" i="15"/>
  <c r="C27" i="15"/>
  <c r="B60" i="15"/>
  <c r="P10" i="15"/>
  <c r="S23" i="15"/>
  <c r="O125" i="15"/>
  <c r="L138" i="15"/>
  <c r="L144" i="15"/>
  <c r="R144" i="15"/>
  <c r="AD131" i="15"/>
  <c r="AD170" i="15"/>
  <c r="AG170" i="15"/>
  <c r="AA27" i="15"/>
  <c r="AE164" i="15"/>
  <c r="P99" i="15"/>
  <c r="D101" i="15"/>
  <c r="M36" i="15"/>
  <c r="K86" i="15"/>
  <c r="M86" i="15"/>
  <c r="L73" i="15"/>
  <c r="L79" i="15"/>
  <c r="O92" i="15"/>
  <c r="X92" i="15"/>
  <c r="O157" i="15"/>
  <c r="L164" i="15"/>
  <c r="R164" i="15"/>
  <c r="N164" i="15"/>
  <c r="P164" i="15"/>
  <c r="AB10" i="15"/>
  <c r="AD53" i="15"/>
  <c r="AG53" i="15"/>
  <c r="AB153" i="15"/>
  <c r="AE140" i="15"/>
  <c r="D61" i="15"/>
  <c r="AE22" i="15"/>
  <c r="AC34" i="15"/>
  <c r="AE34" i="15"/>
  <c r="AF35" i="15"/>
  <c r="AH35" i="15"/>
  <c r="AE126" i="15"/>
  <c r="Z86" i="15"/>
  <c r="AF323" i="5"/>
  <c r="AL323" i="5"/>
  <c r="AN323" i="5"/>
  <c r="AL272" i="5"/>
  <c r="AN272" i="5"/>
  <c r="AB48" i="15"/>
  <c r="Z9" i="14"/>
  <c r="AF9" i="14"/>
  <c r="AF9" i="15"/>
  <c r="AH9" i="15"/>
  <c r="AB61" i="15"/>
  <c r="Z21" i="15"/>
  <c r="AB21" i="15"/>
  <c r="N9" i="14"/>
  <c r="P9" i="14"/>
  <c r="W323" i="5"/>
  <c r="N7" i="1"/>
  <c r="Q74" i="15"/>
  <c r="S74" i="15"/>
  <c r="M74" i="15"/>
  <c r="K152" i="15"/>
  <c r="M152" i="15"/>
  <c r="K9" i="14"/>
  <c r="K8" i="14"/>
  <c r="M8" i="14"/>
  <c r="Q126" i="15"/>
  <c r="S126" i="15"/>
  <c r="K8" i="15"/>
  <c r="M8" i="15"/>
  <c r="T323" i="5"/>
  <c r="K7" i="1"/>
  <c r="M7" i="1"/>
  <c r="W35" i="15"/>
  <c r="Y35" i="15"/>
  <c r="P165" i="15"/>
  <c r="Q165" i="15"/>
  <c r="S165" i="15"/>
  <c r="R7" i="1"/>
  <c r="R139" i="15"/>
  <c r="M165" i="15"/>
  <c r="L157" i="15"/>
  <c r="M48" i="15"/>
  <c r="M87" i="15"/>
  <c r="H61" i="15"/>
  <c r="J61" i="15"/>
  <c r="G74" i="15"/>
  <c r="H87" i="15"/>
  <c r="J87" i="15"/>
  <c r="G9" i="15"/>
  <c r="E152" i="15"/>
  <c r="G152" i="15"/>
  <c r="E9" i="14"/>
  <c r="M272" i="5"/>
  <c r="T165" i="15"/>
  <c r="V165" i="15"/>
  <c r="W74" i="15"/>
  <c r="Y74" i="15"/>
  <c r="Y272" i="5"/>
  <c r="N152" i="15"/>
  <c r="T87" i="15"/>
  <c r="V87" i="15"/>
  <c r="T22" i="15"/>
  <c r="V22" i="15"/>
  <c r="Q22" i="15"/>
  <c r="S22" i="15"/>
  <c r="Q87" i="15"/>
  <c r="S87" i="15"/>
  <c r="E7" i="1"/>
  <c r="Q272" i="5"/>
  <c r="S272" i="5"/>
  <c r="AC47" i="15"/>
  <c r="AE47" i="15"/>
  <c r="AC125" i="15"/>
  <c r="AE125" i="15"/>
  <c r="AK323" i="5"/>
  <c r="AC60" i="15"/>
  <c r="AE60" i="15"/>
  <c r="Z125" i="15"/>
  <c r="B47" i="15"/>
  <c r="D47" i="15"/>
  <c r="B152" i="15"/>
  <c r="W48" i="15"/>
  <c r="Y48" i="15"/>
  <c r="H22" i="15"/>
  <c r="J22" i="15"/>
  <c r="D126" i="15"/>
  <c r="W87" i="15"/>
  <c r="Y87" i="15"/>
  <c r="B9" i="14"/>
  <c r="G272" i="5"/>
  <c r="H48" i="15"/>
  <c r="J48" i="15"/>
  <c r="AF166" i="15"/>
  <c r="AE127" i="15"/>
  <c r="BB47" i="12"/>
  <c r="AE49" i="15"/>
  <c r="BC47" i="12"/>
  <c r="T166" i="15"/>
  <c r="W140" i="15"/>
  <c r="Y140" i="15"/>
  <c r="T62" i="15"/>
  <c r="W166" i="15"/>
  <c r="Q127" i="15"/>
  <c r="S127" i="15"/>
  <c r="M140" i="15"/>
  <c r="K34" i="15"/>
  <c r="M34" i="15"/>
  <c r="Q36" i="15"/>
  <c r="Q88" i="15"/>
  <c r="S88" i="15"/>
  <c r="V47" i="12"/>
  <c r="AJ54" i="12"/>
  <c r="AM54" i="12"/>
  <c r="AZ54" i="12"/>
  <c r="BC54" i="12"/>
  <c r="T54" i="12"/>
  <c r="W54" i="12"/>
  <c r="E34" i="15"/>
  <c r="R47" i="12"/>
  <c r="H10" i="15"/>
  <c r="T75" i="15"/>
  <c r="E7" i="14"/>
  <c r="G7" i="14"/>
  <c r="E6" i="1"/>
  <c r="G6" i="1"/>
  <c r="Q20" i="15"/>
  <c r="S20" i="15"/>
  <c r="T6" i="1"/>
  <c r="V6" i="1"/>
  <c r="W59" i="15"/>
  <c r="Y59" i="15"/>
  <c r="T85" i="15"/>
  <c r="V85" i="15"/>
  <c r="Q124" i="15"/>
  <c r="S124" i="15"/>
  <c r="W163" i="15"/>
  <c r="Y163" i="15"/>
  <c r="AA47" i="4"/>
  <c r="W7" i="15"/>
  <c r="Y7" i="15"/>
  <c r="AA188" i="3"/>
  <c r="AF182" i="3"/>
  <c r="AE186" i="3"/>
  <c r="P184" i="3"/>
  <c r="H182" i="3"/>
  <c r="G186" i="3"/>
  <c r="W31" i="15"/>
  <c r="AB182" i="3"/>
  <c r="AA186" i="3"/>
  <c r="S182" i="3"/>
  <c r="S186" i="3"/>
  <c r="W161" i="15"/>
  <c r="Y161" i="15"/>
  <c r="B81" i="15"/>
  <c r="D81" i="15"/>
  <c r="AF122" i="15"/>
  <c r="AH122" i="15"/>
  <c r="M182" i="3"/>
  <c r="AR183" i="3"/>
  <c r="AI186" i="3"/>
  <c r="AF162" i="15"/>
  <c r="AH162" i="15"/>
  <c r="AI182" i="3"/>
  <c r="AO182" i="3"/>
  <c r="AF71" i="15"/>
  <c r="AH71" i="15"/>
  <c r="P183" i="3"/>
  <c r="O183" i="3"/>
  <c r="AB13" i="14"/>
  <c r="R7" i="14"/>
  <c r="W4" i="14"/>
  <c r="W13" i="14"/>
  <c r="G10" i="14"/>
  <c r="D10" i="14"/>
  <c r="U13" i="14"/>
  <c r="AA3" i="14"/>
  <c r="D13" i="14"/>
  <c r="T12" i="14"/>
  <c r="C3" i="14"/>
  <c r="R6" i="14"/>
  <c r="AA8" i="14"/>
  <c r="E11" i="14"/>
  <c r="G11" i="14"/>
  <c r="AE13" i="14"/>
  <c r="G4" i="14"/>
  <c r="F3" i="14"/>
  <c r="I3" i="14"/>
  <c r="AG6" i="14"/>
  <c r="Q75" i="15"/>
  <c r="T10" i="15"/>
  <c r="W10" i="15"/>
  <c r="Q49" i="15"/>
  <c r="S49" i="15"/>
  <c r="W88" i="15"/>
  <c r="Y88" i="15"/>
  <c r="N8" i="15"/>
  <c r="P8" i="15"/>
  <c r="P75" i="15"/>
  <c r="T36" i="15"/>
  <c r="Q10" i="14"/>
  <c r="P10" i="14"/>
  <c r="N86" i="15"/>
  <c r="P86" i="15"/>
  <c r="N21" i="15"/>
  <c r="P21" i="15"/>
  <c r="P126" i="15"/>
  <c r="Y323" i="5"/>
  <c r="W22" i="15"/>
  <c r="Y22" i="15"/>
  <c r="K138" i="15"/>
  <c r="M35" i="15"/>
  <c r="Q35" i="15"/>
  <c r="S35" i="15"/>
  <c r="K60" i="15"/>
  <c r="M153" i="15"/>
  <c r="Q62" i="15"/>
  <c r="S62" i="15"/>
  <c r="D49" i="15"/>
  <c r="B8" i="15"/>
  <c r="W49" i="15"/>
  <c r="Y49" i="15"/>
  <c r="B86" i="15"/>
  <c r="E60" i="15"/>
  <c r="H75" i="15"/>
  <c r="H36" i="15"/>
  <c r="H62" i="15"/>
  <c r="AF88" i="15"/>
  <c r="AF10" i="15"/>
  <c r="AC8" i="15"/>
  <c r="BB46" i="12"/>
  <c r="AF62" i="15"/>
  <c r="AH62" i="15"/>
  <c r="AF140" i="15"/>
  <c r="AF75" i="15"/>
  <c r="AH75" i="15"/>
  <c r="Z60" i="15"/>
  <c r="AB60" i="15"/>
  <c r="BC46" i="12"/>
  <c r="AB62" i="15"/>
  <c r="AB88" i="15"/>
  <c r="K47" i="4"/>
  <c r="G33" i="15"/>
  <c r="T72" i="15"/>
  <c r="V72" i="15"/>
  <c r="H124" i="15"/>
  <c r="J124" i="15"/>
  <c r="T124" i="15"/>
  <c r="V124" i="15"/>
  <c r="H72" i="15"/>
  <c r="J72" i="15"/>
  <c r="E150" i="15"/>
  <c r="G150" i="15"/>
  <c r="J47" i="4"/>
  <c r="AD47" i="4"/>
  <c r="H85" i="15"/>
  <c r="J85" i="15"/>
  <c r="H7" i="15"/>
  <c r="J7" i="15"/>
  <c r="T59" i="15"/>
  <c r="V59" i="15"/>
  <c r="P59" i="15"/>
  <c r="W20" i="15"/>
  <c r="Y20" i="15"/>
  <c r="T33" i="15"/>
  <c r="V33" i="15"/>
  <c r="Q33" i="15"/>
  <c r="S33" i="15"/>
  <c r="W124" i="15"/>
  <c r="Y124" i="15"/>
  <c r="AP47" i="4"/>
  <c r="W150" i="15"/>
  <c r="Y150" i="15"/>
  <c r="H59" i="15"/>
  <c r="J59" i="15"/>
  <c r="H46" i="15"/>
  <c r="J46" i="15"/>
  <c r="D150" i="15"/>
  <c r="D59" i="15"/>
  <c r="Y70" i="15"/>
  <c r="X56" i="15"/>
  <c r="C55" i="15"/>
  <c r="F159" i="15"/>
  <c r="M32" i="15"/>
  <c r="R44" i="15"/>
  <c r="R159" i="15"/>
  <c r="I3" i="15"/>
  <c r="U146" i="15"/>
  <c r="X42" i="15"/>
  <c r="T5" i="15"/>
  <c r="V5" i="15"/>
  <c r="L3" i="15"/>
  <c r="R4" i="15"/>
  <c r="R16" i="15"/>
  <c r="I68" i="15"/>
  <c r="R146" i="15"/>
  <c r="X159" i="15"/>
  <c r="AG133" i="15"/>
  <c r="X133" i="15"/>
  <c r="AG16" i="15"/>
  <c r="U68" i="15"/>
  <c r="Y135" i="15"/>
  <c r="AA79" i="15"/>
  <c r="X4" i="15"/>
  <c r="I4" i="15"/>
  <c r="U31" i="15"/>
  <c r="F29" i="15"/>
  <c r="G83" i="15"/>
  <c r="X16" i="15"/>
  <c r="I159" i="15"/>
  <c r="U42" i="15"/>
  <c r="I42" i="15"/>
  <c r="X120" i="15"/>
  <c r="I120" i="15"/>
  <c r="Y31" i="15"/>
  <c r="X122" i="15"/>
  <c r="D148" i="15"/>
  <c r="I123" i="15"/>
  <c r="U19" i="15"/>
  <c r="I19" i="15"/>
  <c r="U135" i="15"/>
  <c r="F133" i="15"/>
  <c r="I133" i="15"/>
  <c r="G136" i="15"/>
  <c r="G147" i="15"/>
  <c r="P71" i="15"/>
  <c r="M135" i="15"/>
  <c r="P149" i="15"/>
  <c r="M160" i="15"/>
  <c r="AG4" i="15"/>
  <c r="AB19" i="15"/>
  <c r="AE44" i="15"/>
  <c r="AE82" i="15"/>
  <c r="AE84" i="15"/>
  <c r="AE121" i="15"/>
  <c r="AE160" i="15"/>
  <c r="P43" i="15"/>
  <c r="P135" i="15"/>
  <c r="P147" i="15"/>
  <c r="P160" i="15"/>
  <c r="AE4" i="15"/>
  <c r="AE5" i="15"/>
  <c r="AB82" i="15"/>
  <c r="AE134" i="15"/>
  <c r="AE162" i="15"/>
  <c r="R160" i="15"/>
  <c r="D6" i="15"/>
  <c r="D44" i="15"/>
  <c r="D58" i="15"/>
  <c r="V121" i="15"/>
  <c r="G135" i="15"/>
  <c r="M6" i="15"/>
  <c r="W17" i="15"/>
  <c r="Y17" i="15"/>
  <c r="M30" i="15"/>
  <c r="P31" i="15"/>
  <c r="P44" i="15"/>
  <c r="P57" i="15"/>
  <c r="M122" i="15"/>
  <c r="P136" i="15"/>
  <c r="M149" i="15"/>
  <c r="P148" i="15"/>
  <c r="P161" i="15"/>
  <c r="AE43" i="15"/>
  <c r="AB56" i="15"/>
  <c r="AE83" i="15"/>
  <c r="AB121" i="15"/>
  <c r="T134" i="15"/>
  <c r="V134" i="15"/>
  <c r="X178" i="3"/>
  <c r="U210" i="3"/>
  <c r="AE183" i="3"/>
  <c r="T31" i="15"/>
  <c r="V31" i="15"/>
  <c r="Q58" i="15"/>
  <c r="S58" i="15"/>
  <c r="W162" i="15"/>
  <c r="Y162" i="15"/>
  <c r="Y212" i="3"/>
  <c r="AA184" i="3"/>
  <c r="S178" i="3"/>
  <c r="AA180" i="3"/>
  <c r="Q32" i="15"/>
  <c r="S32" i="15"/>
  <c r="Y178" i="3"/>
  <c r="AA182" i="3"/>
  <c r="Q162" i="15"/>
  <c r="S162" i="15"/>
  <c r="Q122" i="15"/>
  <c r="S122" i="15"/>
  <c r="Q5" i="15"/>
  <c r="S5" i="15"/>
  <c r="Q210" i="3"/>
  <c r="T178" i="3"/>
  <c r="K55" i="15"/>
  <c r="M55" i="15"/>
  <c r="Q43" i="15"/>
  <c r="S43" i="15"/>
  <c r="M58" i="15"/>
  <c r="D70" i="15"/>
  <c r="B146" i="15"/>
  <c r="D146" i="15"/>
  <c r="W32" i="15"/>
  <c r="Y32" i="15"/>
  <c r="W121" i="15"/>
  <c r="Y121" i="15"/>
  <c r="D84" i="15"/>
  <c r="H162" i="15"/>
  <c r="J162" i="15"/>
  <c r="B29" i="15"/>
  <c r="D29" i="15"/>
  <c r="D162" i="15"/>
  <c r="AF179" i="3"/>
  <c r="P179" i="3"/>
  <c r="B68" i="15"/>
  <c r="W84" i="15"/>
  <c r="Y84" i="15"/>
  <c r="B3" i="14"/>
  <c r="D3" i="14"/>
  <c r="G182" i="3"/>
  <c r="AE184" i="3"/>
  <c r="AC178" i="3"/>
  <c r="W4" i="15"/>
  <c r="Y4" i="15"/>
  <c r="H45" i="15"/>
  <c r="J45" i="15"/>
  <c r="H69" i="15"/>
  <c r="J69" i="15"/>
  <c r="H161" i="15"/>
  <c r="J161" i="15"/>
  <c r="AQ183" i="3"/>
  <c r="G161" i="15"/>
  <c r="AF82" i="15"/>
  <c r="AH82" i="15"/>
  <c r="AF134" i="15"/>
  <c r="AH134" i="15"/>
  <c r="AK210" i="3"/>
  <c r="AF123" i="15"/>
  <c r="AH123" i="15"/>
  <c r="AF149" i="15"/>
  <c r="AH149" i="15"/>
  <c r="AF18" i="15"/>
  <c r="AH18" i="15"/>
  <c r="AQ184" i="3"/>
  <c r="G69" i="15"/>
  <c r="H136" i="15"/>
  <c r="J136" i="15"/>
  <c r="M212" i="3"/>
  <c r="T161" i="15"/>
  <c r="V161" i="15"/>
  <c r="O184" i="3"/>
  <c r="O180" i="3"/>
  <c r="H4" i="14"/>
  <c r="G45" i="15"/>
  <c r="L178" i="3"/>
  <c r="M178" i="3"/>
  <c r="O182" i="3"/>
  <c r="H83" i="15"/>
  <c r="J83" i="15"/>
  <c r="I210" i="3"/>
  <c r="AN178" i="3"/>
  <c r="AM178" i="3"/>
  <c r="AE5" i="14"/>
  <c r="AF32" i="15"/>
  <c r="AH32" i="15"/>
  <c r="AF69" i="15"/>
  <c r="AH69" i="15"/>
  <c r="AO178" i="3"/>
  <c r="AG210" i="3"/>
  <c r="Z159" i="15"/>
  <c r="T19" i="15"/>
  <c r="V19" i="15"/>
  <c r="T69" i="15"/>
  <c r="V69" i="15"/>
  <c r="U6" i="14"/>
  <c r="I6" i="14"/>
  <c r="I9" i="14"/>
  <c r="I4" i="14"/>
  <c r="M7" i="14"/>
  <c r="X6" i="14"/>
  <c r="D6" i="14"/>
  <c r="Z8" i="14"/>
  <c r="AB4" i="14"/>
  <c r="P13" i="14"/>
  <c r="M10" i="14"/>
  <c r="AE12" i="14"/>
  <c r="H10" i="14"/>
  <c r="J10" i="14"/>
  <c r="U7" i="14"/>
  <c r="L3" i="14"/>
  <c r="L14" i="14"/>
  <c r="Y7" i="14"/>
  <c r="R10" i="14"/>
  <c r="R5" i="14"/>
  <c r="AG9" i="14"/>
  <c r="AF10" i="14"/>
  <c r="B11" i="14"/>
  <c r="D11" i="14"/>
  <c r="Q13" i="14"/>
  <c r="U12" i="14"/>
  <c r="AB5" i="14"/>
  <c r="AD8" i="14"/>
  <c r="AD11" i="14"/>
  <c r="P7" i="14"/>
  <c r="T13" i="14"/>
  <c r="V13" i="14"/>
  <c r="Q6" i="14"/>
  <c r="O8" i="14"/>
  <c r="R8" i="14"/>
  <c r="O3" i="14"/>
  <c r="X3" i="14"/>
  <c r="AC8" i="14"/>
  <c r="AD3" i="14"/>
  <c r="P12" i="14"/>
  <c r="H12" i="14"/>
  <c r="J12" i="14"/>
  <c r="X5" i="14"/>
  <c r="AG5" i="14"/>
  <c r="T10" i="14"/>
  <c r="U10" i="14"/>
  <c r="U5" i="14"/>
  <c r="M6" i="14"/>
  <c r="P5" i="14"/>
  <c r="W10" i="14"/>
  <c r="I5" i="14"/>
  <c r="X10" i="14"/>
  <c r="X13" i="14"/>
  <c r="AC11" i="14"/>
  <c r="AF11" i="14"/>
  <c r="W6" i="14"/>
  <c r="AE10" i="14"/>
  <c r="R13" i="14"/>
  <c r="K11" i="14"/>
  <c r="M11" i="14"/>
  <c r="U4" i="14"/>
  <c r="X12" i="14"/>
  <c r="D4" i="14"/>
  <c r="I11" i="14"/>
  <c r="W12" i="14"/>
  <c r="D12" i="14"/>
  <c r="AG10" i="14"/>
  <c r="AG12" i="14"/>
  <c r="AF12" i="14"/>
  <c r="AE9" i="14"/>
  <c r="R12" i="14"/>
  <c r="O11" i="14"/>
  <c r="X4" i="14"/>
  <c r="Y4" i="14"/>
  <c r="AG13" i="14"/>
  <c r="AH13" i="14"/>
  <c r="AG4" i="14"/>
  <c r="G13" i="14"/>
  <c r="H13" i="14"/>
  <c r="J13" i="14"/>
  <c r="F8" i="14"/>
  <c r="M4" i="14"/>
  <c r="N11" i="14"/>
  <c r="P6" i="14"/>
  <c r="C8" i="14"/>
  <c r="C14" i="14"/>
  <c r="Q12" i="14"/>
  <c r="U9" i="14"/>
  <c r="R9" i="14"/>
  <c r="M13" i="14"/>
  <c r="I7" i="14"/>
  <c r="AE4" i="14"/>
  <c r="P7" i="1"/>
  <c r="Q7" i="1"/>
  <c r="S7" i="1"/>
  <c r="Q48" i="15"/>
  <c r="S48" i="15"/>
  <c r="N47" i="15"/>
  <c r="P47" i="15"/>
  <c r="P9" i="15"/>
  <c r="N125" i="15"/>
  <c r="Q9" i="15"/>
  <c r="S9" i="15"/>
  <c r="W61" i="15"/>
  <c r="Y61" i="15"/>
  <c r="W126" i="15"/>
  <c r="Y126" i="15"/>
  <c r="P48" i="15"/>
  <c r="T9" i="15"/>
  <c r="V9" i="15"/>
  <c r="T61" i="15"/>
  <c r="V61" i="15"/>
  <c r="Q61" i="15"/>
  <c r="S61" i="15"/>
  <c r="Q139" i="15"/>
  <c r="S139" i="15"/>
  <c r="T7" i="1"/>
  <c r="V7" i="1"/>
  <c r="K164" i="15"/>
  <c r="M260" i="5"/>
  <c r="K323" i="5"/>
  <c r="M323" i="5"/>
  <c r="E139" i="15"/>
  <c r="G139" i="15"/>
  <c r="T126" i="15"/>
  <c r="V126" i="15"/>
  <c r="H74" i="15"/>
  <c r="J74" i="15"/>
  <c r="E73" i="15"/>
  <c r="E125" i="15"/>
  <c r="H165" i="15"/>
  <c r="J165" i="15"/>
  <c r="W9" i="15"/>
  <c r="Y9" i="15"/>
  <c r="E323" i="5"/>
  <c r="N323" i="5"/>
  <c r="P323" i="5"/>
  <c r="D9" i="15"/>
  <c r="W62" i="15"/>
  <c r="Y62" i="15"/>
  <c r="W36" i="15"/>
  <c r="Y36" i="15"/>
  <c r="W127" i="15"/>
  <c r="N34" i="15"/>
  <c r="N60" i="15"/>
  <c r="W73" i="15"/>
  <c r="AM45" i="12"/>
  <c r="P62" i="15"/>
  <c r="W23" i="15"/>
  <c r="Y23" i="15"/>
  <c r="P23" i="15"/>
  <c r="P36" i="15"/>
  <c r="K21" i="15"/>
  <c r="M23" i="15"/>
  <c r="Q10" i="15"/>
  <c r="S10" i="15"/>
  <c r="K125" i="15"/>
  <c r="M127" i="15"/>
  <c r="D153" i="15"/>
  <c r="T163" i="15"/>
  <c r="V163" i="15"/>
  <c r="Q72" i="15"/>
  <c r="S72" i="15"/>
  <c r="W72" i="15"/>
  <c r="Y72" i="15"/>
  <c r="AT46" i="4"/>
  <c r="AP46" i="4"/>
  <c r="W6" i="1"/>
  <c r="Y6" i="1"/>
  <c r="Q7" i="15"/>
  <c r="S7" i="15"/>
  <c r="AR54" i="4"/>
  <c r="AU54" i="4"/>
  <c r="P150" i="15"/>
  <c r="W46" i="15"/>
  <c r="Y46" i="15"/>
  <c r="T7" i="15"/>
  <c r="V7" i="15"/>
  <c r="W33" i="15"/>
  <c r="Y33" i="15"/>
  <c r="AP45" i="4"/>
  <c r="P7" i="15"/>
  <c r="T20" i="15"/>
  <c r="V20" i="15"/>
  <c r="Q163" i="15"/>
  <c r="S163" i="15"/>
  <c r="M6" i="1"/>
  <c r="Q6" i="1"/>
  <c r="S6" i="1"/>
  <c r="AI54" i="4"/>
  <c r="Q7" i="14"/>
  <c r="AN54" i="4"/>
  <c r="AQ54" i="4"/>
  <c r="M20" i="15"/>
  <c r="D6" i="1"/>
  <c r="X54" i="4"/>
  <c r="AA54" i="4"/>
  <c r="AB54" i="4"/>
  <c r="AE54" i="4"/>
  <c r="W137" i="15"/>
  <c r="Y137" i="15"/>
  <c r="AT45" i="4"/>
  <c r="AD46" i="4"/>
  <c r="D7" i="15"/>
  <c r="T18" i="15"/>
  <c r="V18" i="15"/>
  <c r="Q148" i="15"/>
  <c r="S148" i="15"/>
  <c r="W83" i="15"/>
  <c r="Y83" i="15"/>
  <c r="Q56" i="15"/>
  <c r="S56" i="15"/>
  <c r="W56" i="15"/>
  <c r="Y56" i="15"/>
  <c r="Q83" i="15"/>
  <c r="S83" i="15"/>
  <c r="N81" i="15"/>
  <c r="P81" i="15"/>
  <c r="Q121" i="15"/>
  <c r="S121" i="15"/>
  <c r="T83" i="15"/>
  <c r="V83" i="15"/>
  <c r="W148" i="15"/>
  <c r="Y148" i="15"/>
  <c r="W174" i="3"/>
  <c r="P5" i="1"/>
  <c r="W5" i="1"/>
  <c r="Y5" i="1"/>
  <c r="Q5" i="1"/>
  <c r="S5" i="1"/>
  <c r="X174" i="3"/>
  <c r="W18" i="15"/>
  <c r="Y18" i="15"/>
  <c r="T45" i="15"/>
  <c r="V45" i="15"/>
  <c r="P4" i="15"/>
  <c r="W136" i="15"/>
  <c r="Y136" i="15"/>
  <c r="P19" i="15"/>
  <c r="T136" i="15"/>
  <c r="V136" i="15"/>
  <c r="W69" i="15"/>
  <c r="Y69" i="15"/>
  <c r="N133" i="15"/>
  <c r="N16" i="15"/>
  <c r="P84" i="15"/>
  <c r="Q123" i="15"/>
  <c r="S123" i="15"/>
  <c r="N120" i="15"/>
  <c r="P120" i="15"/>
  <c r="N29" i="15"/>
  <c r="W45" i="15"/>
  <c r="Y45" i="15"/>
  <c r="T4" i="14"/>
  <c r="Y174" i="3"/>
  <c r="AB174" i="3"/>
  <c r="Q45" i="15"/>
  <c r="S45" i="15"/>
  <c r="Q69" i="15"/>
  <c r="S69" i="15"/>
  <c r="N3" i="1"/>
  <c r="P4" i="1"/>
  <c r="P16" i="15"/>
  <c r="Q5" i="14"/>
  <c r="T122" i="15"/>
  <c r="V122" i="15"/>
  <c r="Q71" i="15"/>
  <c r="S71" i="15"/>
  <c r="Q44" i="15"/>
  <c r="S44" i="15"/>
  <c r="N159" i="15"/>
  <c r="N42" i="15"/>
  <c r="N68" i="15"/>
  <c r="Q57" i="15"/>
  <c r="S57" i="15"/>
  <c r="P122" i="15"/>
  <c r="W122" i="15"/>
  <c r="Y122" i="15"/>
  <c r="T5" i="14"/>
  <c r="N3" i="14"/>
  <c r="P4" i="14"/>
  <c r="N55" i="15"/>
  <c r="Q70" i="15"/>
  <c r="S70" i="15"/>
  <c r="Q135" i="15"/>
  <c r="S135" i="15"/>
  <c r="P17" i="15"/>
  <c r="Y211" i="3"/>
  <c r="W44" i="15"/>
  <c r="Y44" i="15"/>
  <c r="W178" i="3"/>
  <c r="W30" i="15"/>
  <c r="Y30" i="15"/>
  <c r="W123" i="15"/>
  <c r="Y123" i="15"/>
  <c r="W160" i="15"/>
  <c r="Y160" i="15"/>
  <c r="T149" i="15"/>
  <c r="V149" i="15"/>
  <c r="Q4" i="1"/>
  <c r="S4" i="1"/>
  <c r="N3" i="15"/>
  <c r="W71" i="15"/>
  <c r="Y71" i="15"/>
  <c r="W57" i="15"/>
  <c r="Y57" i="15"/>
  <c r="W149" i="15"/>
  <c r="Y149" i="15"/>
  <c r="Q134" i="15"/>
  <c r="S134" i="15"/>
  <c r="Q147" i="15"/>
  <c r="S147" i="15"/>
  <c r="N146" i="15"/>
  <c r="T147" i="15"/>
  <c r="V147" i="15"/>
  <c r="T160" i="15"/>
  <c r="V160" i="15"/>
  <c r="Q6" i="15"/>
  <c r="S6" i="15"/>
  <c r="Q18" i="15"/>
  <c r="S18" i="15"/>
  <c r="K29" i="15"/>
  <c r="M123" i="15"/>
  <c r="K3" i="15"/>
  <c r="M3" i="15"/>
  <c r="Q17" i="15"/>
  <c r="S17" i="15"/>
  <c r="K146" i="15"/>
  <c r="M146" i="15"/>
  <c r="K159" i="15"/>
  <c r="K120" i="15"/>
  <c r="Q120" i="15"/>
  <c r="S120" i="15"/>
  <c r="Q160" i="15"/>
  <c r="S160" i="15"/>
  <c r="Q30" i="15"/>
  <c r="S30" i="15"/>
  <c r="Q136" i="15"/>
  <c r="S136" i="15"/>
  <c r="Q4" i="15"/>
  <c r="S4" i="15"/>
  <c r="AB176" i="3"/>
  <c r="M5" i="14"/>
  <c r="M4" i="15"/>
  <c r="K42" i="15"/>
  <c r="Q149" i="15"/>
  <c r="S149" i="15"/>
  <c r="M18" i="15"/>
  <c r="K133" i="15"/>
  <c r="Q4" i="14"/>
  <c r="S4" i="14"/>
  <c r="K3" i="14"/>
  <c r="S174" i="3"/>
  <c r="AA178" i="3"/>
  <c r="K81" i="15"/>
  <c r="M4" i="1"/>
  <c r="AA179" i="3"/>
  <c r="AB175" i="3"/>
  <c r="Q161" i="15"/>
  <c r="S161" i="15"/>
  <c r="K3" i="1"/>
  <c r="Q19" i="15"/>
  <c r="S19" i="15"/>
  <c r="Q84" i="15"/>
  <c r="S84" i="15"/>
  <c r="K16" i="15"/>
  <c r="Q82" i="15"/>
  <c r="S82" i="15"/>
  <c r="K68" i="15"/>
  <c r="M45" i="15"/>
  <c r="H5" i="14"/>
  <c r="D122" i="15"/>
  <c r="W82" i="15"/>
  <c r="Y82" i="15"/>
  <c r="W58" i="15"/>
  <c r="Y58" i="15"/>
  <c r="B133" i="15"/>
  <c r="E210" i="3"/>
  <c r="AC210" i="3"/>
  <c r="D123" i="15"/>
  <c r="AC174" i="3"/>
  <c r="W147" i="15"/>
  <c r="Y147" i="15"/>
  <c r="G174" i="3"/>
  <c r="D68" i="15"/>
  <c r="W19" i="15"/>
  <c r="Y19" i="15"/>
  <c r="D149" i="15"/>
  <c r="AE180" i="3"/>
  <c r="AF176" i="3"/>
  <c r="D5" i="14"/>
  <c r="H147" i="15"/>
  <c r="J147" i="15"/>
  <c r="W134" i="15"/>
  <c r="Y134" i="15"/>
  <c r="B159" i="15"/>
  <c r="W5" i="15"/>
  <c r="Y5" i="15"/>
  <c r="W6" i="15"/>
  <c r="Y6" i="15"/>
  <c r="D160" i="15"/>
  <c r="O176" i="3"/>
  <c r="H5" i="15"/>
  <c r="J5" i="15"/>
  <c r="W81" i="15"/>
  <c r="Y81" i="15"/>
  <c r="W5" i="14"/>
  <c r="B42" i="15"/>
  <c r="D42" i="15"/>
  <c r="B55" i="15"/>
  <c r="D55" i="15"/>
  <c r="AF174" i="3"/>
  <c r="B3" i="1"/>
  <c r="W4" i="1"/>
  <c r="Y4" i="1"/>
  <c r="D4" i="1"/>
  <c r="M211" i="3"/>
  <c r="H122" i="15"/>
  <c r="J122" i="15"/>
  <c r="B16" i="15"/>
  <c r="W43" i="15"/>
  <c r="Y43" i="15"/>
  <c r="D18" i="15"/>
  <c r="B120" i="15"/>
  <c r="B131" i="15"/>
  <c r="D57" i="15"/>
  <c r="H44" i="15"/>
  <c r="J44" i="15"/>
  <c r="H57" i="15"/>
  <c r="J57" i="15"/>
  <c r="H71" i="15"/>
  <c r="J71" i="15"/>
  <c r="H134" i="15"/>
  <c r="J134" i="15"/>
  <c r="H19" i="15"/>
  <c r="J19" i="15"/>
  <c r="H32" i="15"/>
  <c r="J32" i="15"/>
  <c r="H82" i="15"/>
  <c r="J82" i="15"/>
  <c r="B3" i="15"/>
  <c r="AC211" i="3"/>
  <c r="BB45" i="12"/>
  <c r="AF36" i="15"/>
  <c r="AH36" i="15"/>
  <c r="AF49" i="15"/>
  <c r="AH49" i="15"/>
  <c r="AE36" i="15"/>
  <c r="AF23" i="15"/>
  <c r="AC151" i="15"/>
  <c r="AE151" i="15"/>
  <c r="AF153" i="15"/>
  <c r="BC45" i="12"/>
  <c r="AC21" i="15"/>
  <c r="AB34" i="15"/>
  <c r="AB10" i="14"/>
  <c r="AB127" i="15"/>
  <c r="AF127" i="15"/>
  <c r="Z164" i="15"/>
  <c r="AB164" i="15"/>
  <c r="AB140" i="15"/>
  <c r="E140" i="15"/>
  <c r="V45" i="12"/>
  <c r="J45" i="12"/>
  <c r="R45" i="12"/>
  <c r="H54" i="12"/>
  <c r="K54" i="12"/>
  <c r="AE139" i="15"/>
  <c r="AC138" i="15"/>
  <c r="AF139" i="15"/>
  <c r="AH139" i="15"/>
  <c r="AF74" i="15"/>
  <c r="AH74" i="15"/>
  <c r="AC73" i="15"/>
  <c r="AF48" i="15"/>
  <c r="AH48" i="15"/>
  <c r="AF152" i="15"/>
  <c r="AH152" i="15"/>
  <c r="AF87" i="15"/>
  <c r="AH87" i="15"/>
  <c r="AC86" i="15"/>
  <c r="AB152" i="15"/>
  <c r="Z151" i="15"/>
  <c r="Q260" i="5"/>
  <c r="S260" i="5"/>
  <c r="T48" i="15"/>
  <c r="V48" i="15"/>
  <c r="G7" i="1"/>
  <c r="H126" i="15"/>
  <c r="J126" i="15"/>
  <c r="G48" i="15"/>
  <c r="T35" i="15"/>
  <c r="V35" i="15"/>
  <c r="D165" i="15"/>
  <c r="D87" i="15"/>
  <c r="B164" i="15"/>
  <c r="H9" i="15"/>
  <c r="J9" i="15"/>
  <c r="H35" i="15"/>
  <c r="J35" i="15"/>
  <c r="B34" i="15"/>
  <c r="N260" i="5"/>
  <c r="P260" i="5"/>
  <c r="D125" i="15"/>
  <c r="W165" i="15"/>
  <c r="Y165" i="15"/>
  <c r="D22" i="15"/>
  <c r="D35" i="15"/>
  <c r="B139" i="15"/>
  <c r="AA45" i="4"/>
  <c r="H163" i="15"/>
  <c r="J163" i="15"/>
  <c r="G85" i="15"/>
  <c r="AD45" i="4"/>
  <c r="G163" i="15"/>
  <c r="J46" i="4"/>
  <c r="G20" i="15"/>
  <c r="H54" i="4"/>
  <c r="K54" i="4"/>
  <c r="E137" i="15"/>
  <c r="H20" i="15"/>
  <c r="J20" i="15"/>
  <c r="Z46" i="4"/>
  <c r="AF56" i="15"/>
  <c r="AH56" i="15"/>
  <c r="AC68" i="15"/>
  <c r="AE68" i="15"/>
  <c r="Z133" i="15"/>
  <c r="Z144" i="15"/>
  <c r="AF136" i="15"/>
  <c r="AH136" i="15"/>
  <c r="Z146" i="15"/>
  <c r="AF148" i="15"/>
  <c r="AH148" i="15"/>
  <c r="AB161" i="15"/>
  <c r="AF31" i="15"/>
  <c r="AH31" i="15"/>
  <c r="G19" i="15"/>
  <c r="K178" i="3"/>
  <c r="E4" i="1"/>
  <c r="T4" i="1"/>
  <c r="V4" i="1"/>
  <c r="T82" i="15"/>
  <c r="V82" i="15"/>
  <c r="P174" i="3"/>
  <c r="G160" i="15"/>
  <c r="T58" i="15"/>
  <c r="V58" i="15"/>
  <c r="H121" i="15"/>
  <c r="J121" i="15"/>
  <c r="T135" i="15"/>
  <c r="V135" i="15"/>
  <c r="G32" i="15"/>
  <c r="O178" i="3"/>
  <c r="AF57" i="15"/>
  <c r="AH57" i="15"/>
  <c r="AF45" i="15"/>
  <c r="AH45" i="15"/>
  <c r="AC29" i="15"/>
  <c r="AE29" i="15"/>
  <c r="AC133" i="15"/>
  <c r="AC81" i="15"/>
  <c r="AE81" i="15"/>
  <c r="AC42" i="15"/>
  <c r="AC53" i="15"/>
  <c r="AC16" i="15"/>
  <c r="AE16" i="15"/>
  <c r="AB57" i="15"/>
  <c r="AB32" i="15"/>
  <c r="Z29" i="15"/>
  <c r="AF5" i="1"/>
  <c r="AH5" i="1"/>
  <c r="AE5" i="1"/>
  <c r="AC3" i="14"/>
  <c r="AF4" i="14"/>
  <c r="AF43" i="15"/>
  <c r="AH43" i="15"/>
  <c r="AO212" i="3"/>
  <c r="AE17" i="15"/>
  <c r="AE148" i="15"/>
  <c r="AC120" i="15"/>
  <c r="AE135" i="15"/>
  <c r="AF160" i="15"/>
  <c r="AH160" i="15"/>
  <c r="AC55" i="15"/>
  <c r="AB30" i="15"/>
  <c r="AF121" i="15"/>
  <c r="AH121" i="15"/>
  <c r="Z3" i="15"/>
  <c r="Z120" i="15"/>
  <c r="AF19" i="15"/>
  <c r="AH19" i="15"/>
  <c r="AR176" i="3"/>
  <c r="AF6" i="14"/>
  <c r="AF30" i="15"/>
  <c r="AH30" i="15"/>
  <c r="AQ180" i="3"/>
  <c r="AF5" i="14"/>
  <c r="AF161" i="15"/>
  <c r="AH161" i="15"/>
  <c r="AF147" i="15"/>
  <c r="AH147" i="15"/>
  <c r="AF17" i="15"/>
  <c r="AH17" i="15"/>
  <c r="G5" i="1"/>
  <c r="H5" i="1"/>
  <c r="J5" i="1"/>
  <c r="T5" i="1"/>
  <c r="V5" i="1"/>
  <c r="G121" i="15"/>
  <c r="H58" i="15"/>
  <c r="J58" i="15"/>
  <c r="T32" i="15"/>
  <c r="V32" i="15"/>
  <c r="T71" i="15"/>
  <c r="V71" i="15"/>
  <c r="T44" i="15"/>
  <c r="V44" i="15"/>
  <c r="H160" i="15"/>
  <c r="J160" i="15"/>
  <c r="G82" i="15"/>
  <c r="H135" i="15"/>
  <c r="J135" i="15"/>
  <c r="P176" i="3"/>
  <c r="H149" i="15"/>
  <c r="J149" i="15"/>
  <c r="T57" i="15"/>
  <c r="V57" i="15"/>
  <c r="G71" i="15"/>
  <c r="G44" i="15"/>
  <c r="G57" i="15"/>
  <c r="E133" i="15"/>
  <c r="G133" i="15"/>
  <c r="H31" i="15"/>
  <c r="J31" i="15"/>
  <c r="G149" i="15"/>
  <c r="AE4" i="1"/>
  <c r="AC3" i="1"/>
  <c r="AE55" i="15"/>
  <c r="AC3" i="15"/>
  <c r="AE6" i="14"/>
  <c r="AM174" i="3"/>
  <c r="AF5" i="15"/>
  <c r="AH5" i="15"/>
  <c r="AF6" i="15"/>
  <c r="AH6" i="15"/>
  <c r="AC159" i="15"/>
  <c r="AC146" i="15"/>
  <c r="AQ179" i="3"/>
  <c r="AN174" i="3"/>
  <c r="AF4" i="15"/>
  <c r="AH4" i="15"/>
  <c r="Z4" i="1"/>
  <c r="AO211" i="3"/>
  <c r="AB70" i="15"/>
  <c r="Z68" i="15"/>
  <c r="AF70" i="15"/>
  <c r="AH70" i="15"/>
  <c r="Z81" i="15"/>
  <c r="AF83" i="15"/>
  <c r="AH83" i="15"/>
  <c r="AB83" i="15"/>
  <c r="AB135" i="15"/>
  <c r="AF135" i="15"/>
  <c r="AH135" i="15"/>
  <c r="AO174" i="3"/>
  <c r="AJ174" i="3"/>
  <c r="AI178" i="3"/>
  <c r="AI174" i="3"/>
  <c r="Z3" i="14"/>
  <c r="AB6" i="14"/>
  <c r="AB18" i="15"/>
  <c r="Z16" i="15"/>
  <c r="AB44" i="15"/>
  <c r="AF44" i="15"/>
  <c r="AH44" i="15"/>
  <c r="Z42" i="15"/>
  <c r="AF58" i="15"/>
  <c r="AH58" i="15"/>
  <c r="AB58" i="15"/>
  <c r="Z55" i="15"/>
  <c r="H4" i="15"/>
  <c r="J4" i="15"/>
  <c r="T4" i="15"/>
  <c r="V4" i="15"/>
  <c r="G4" i="15"/>
  <c r="G30" i="15"/>
  <c r="E29" i="15"/>
  <c r="H30" i="15"/>
  <c r="J30" i="15"/>
  <c r="H70" i="15"/>
  <c r="J70" i="15"/>
  <c r="T70" i="15"/>
  <c r="V70" i="15"/>
  <c r="E68" i="15"/>
  <c r="G162" i="15"/>
  <c r="T162" i="15"/>
  <c r="V162" i="15"/>
  <c r="E159" i="15"/>
  <c r="G6" i="15"/>
  <c r="H6" i="15"/>
  <c r="J6" i="15"/>
  <c r="T6" i="15"/>
  <c r="V6" i="15"/>
  <c r="G17" i="15"/>
  <c r="T17" i="15"/>
  <c r="V17" i="15"/>
  <c r="G43" i="15"/>
  <c r="H43" i="15"/>
  <c r="J43" i="15"/>
  <c r="E42" i="15"/>
  <c r="T56" i="15"/>
  <c r="V56" i="15"/>
  <c r="G56" i="15"/>
  <c r="H56" i="15"/>
  <c r="J56" i="15"/>
  <c r="E55" i="15"/>
  <c r="E81" i="15"/>
  <c r="T84" i="15"/>
  <c r="V84" i="15"/>
  <c r="G84" i="15"/>
  <c r="H84" i="15"/>
  <c r="J84" i="15"/>
  <c r="T123" i="15"/>
  <c r="V123" i="15"/>
  <c r="E120" i="15"/>
  <c r="H123" i="15"/>
  <c r="J123" i="15"/>
  <c r="E146" i="15"/>
  <c r="G148" i="15"/>
  <c r="H148" i="15"/>
  <c r="J148" i="15"/>
  <c r="T148" i="15"/>
  <c r="V148" i="15"/>
  <c r="H6" i="14"/>
  <c r="E3" i="14"/>
  <c r="T43" i="15"/>
  <c r="V43" i="15"/>
  <c r="T30" i="15"/>
  <c r="V30" i="15"/>
  <c r="E16" i="15"/>
  <c r="H4" i="1"/>
  <c r="J4" i="1"/>
  <c r="G4" i="1"/>
  <c r="E3" i="15"/>
  <c r="T6" i="14"/>
  <c r="V6" i="14"/>
  <c r="H17" i="15"/>
  <c r="J17" i="15"/>
  <c r="G5" i="15"/>
  <c r="G6" i="14"/>
  <c r="G123" i="15"/>
  <c r="G70" i="15"/>
  <c r="G31" i="15"/>
  <c r="G5" i="14"/>
  <c r="G18" i="15"/>
  <c r="O179" i="3"/>
  <c r="H18" i="15"/>
  <c r="J18" i="15"/>
  <c r="AB9" i="14"/>
  <c r="AG11" i="14"/>
  <c r="T11" i="14"/>
  <c r="Y13" i="14"/>
  <c r="S7" i="14"/>
  <c r="T3" i="14"/>
  <c r="AH6" i="14"/>
  <c r="M9" i="14"/>
  <c r="T7" i="14"/>
  <c r="V7" i="14"/>
  <c r="AG3" i="14"/>
  <c r="N92" i="15"/>
  <c r="AH88" i="15"/>
  <c r="I47" i="15"/>
  <c r="E86" i="15"/>
  <c r="AH127" i="15"/>
  <c r="P92" i="15"/>
  <c r="S114" i="15"/>
  <c r="G166" i="15"/>
  <c r="E47" i="15"/>
  <c r="AE21" i="15"/>
  <c r="AH23" i="15"/>
  <c r="AH10" i="15"/>
  <c r="M60" i="15"/>
  <c r="Y166" i="15"/>
  <c r="S101" i="15"/>
  <c r="I88" i="15"/>
  <c r="G88" i="15"/>
  <c r="U88" i="15"/>
  <c r="V88" i="15"/>
  <c r="AF47" i="15"/>
  <c r="AH47" i="15"/>
  <c r="W60" i="15"/>
  <c r="Y60" i="15"/>
  <c r="S75" i="15"/>
  <c r="G49" i="15"/>
  <c r="R138" i="15"/>
  <c r="H23" i="15"/>
  <c r="J23" i="15"/>
  <c r="AG8" i="15"/>
  <c r="U47" i="15"/>
  <c r="I62" i="15"/>
  <c r="J62" i="15"/>
  <c r="V101" i="15"/>
  <c r="AE53" i="15"/>
  <c r="AF112" i="15"/>
  <c r="Q99" i="15"/>
  <c r="U62" i="15"/>
  <c r="V62" i="15"/>
  <c r="G47" i="15"/>
  <c r="AG79" i="15"/>
  <c r="AG40" i="15"/>
  <c r="W105" i="15"/>
  <c r="H153" i="15"/>
  <c r="T23" i="15"/>
  <c r="V23" i="15"/>
  <c r="C144" i="15"/>
  <c r="X144" i="15"/>
  <c r="AE112" i="15"/>
  <c r="AH153" i="15"/>
  <c r="Y127" i="15"/>
  <c r="E164" i="15"/>
  <c r="H164" i="15"/>
  <c r="Y10" i="15"/>
  <c r="AB125" i="15"/>
  <c r="D60" i="15"/>
  <c r="S166" i="15"/>
  <c r="X164" i="15"/>
  <c r="M138" i="15"/>
  <c r="P73" i="15"/>
  <c r="AF34" i="15"/>
  <c r="AH34" i="15"/>
  <c r="R73" i="15"/>
  <c r="M112" i="15"/>
  <c r="D21" i="15"/>
  <c r="Q73" i="15"/>
  <c r="Q8" i="15"/>
  <c r="S8" i="15"/>
  <c r="W9" i="14"/>
  <c r="Y9" i="14"/>
  <c r="N8" i="14"/>
  <c r="P8" i="14"/>
  <c r="T9" i="14"/>
  <c r="V9" i="14"/>
  <c r="B27" i="15"/>
  <c r="D27" i="15"/>
  <c r="G60" i="15"/>
  <c r="H49" i="15"/>
  <c r="J49" i="15"/>
  <c r="J10" i="15"/>
  <c r="P105" i="15"/>
  <c r="U92" i="15"/>
  <c r="M73" i="15"/>
  <c r="J75" i="15"/>
  <c r="R60" i="15"/>
  <c r="L66" i="15"/>
  <c r="R66" i="15"/>
  <c r="AG151" i="15"/>
  <c r="AA157" i="15"/>
  <c r="AG157" i="15"/>
  <c r="J153" i="15"/>
  <c r="W99" i="15"/>
  <c r="W86" i="15"/>
  <c r="Y86" i="15"/>
  <c r="F8" i="15"/>
  <c r="U10" i="15"/>
  <c r="V10" i="15"/>
  <c r="G10" i="15"/>
  <c r="E112" i="15"/>
  <c r="T114" i="15"/>
  <c r="H114" i="15"/>
  <c r="J114" i="15"/>
  <c r="G114" i="15"/>
  <c r="AG21" i="15"/>
  <c r="X34" i="15"/>
  <c r="F164" i="15"/>
  <c r="U164" i="15"/>
  <c r="I166" i="15"/>
  <c r="J166" i="15"/>
  <c r="U166" i="15"/>
  <c r="V166" i="15"/>
  <c r="S36" i="12"/>
  <c r="R36" i="12"/>
  <c r="R43" i="12"/>
  <c r="R42" i="12"/>
  <c r="S42" i="12"/>
  <c r="F151" i="15"/>
  <c r="U153" i="15"/>
  <c r="V153" i="15"/>
  <c r="F53" i="15"/>
  <c r="H88" i="15"/>
  <c r="H8" i="15"/>
  <c r="E21" i="15"/>
  <c r="G21" i="15"/>
  <c r="S36" i="15"/>
  <c r="AH166" i="15"/>
  <c r="R157" i="15"/>
  <c r="G153" i="15"/>
  <c r="AG27" i="15"/>
  <c r="J101" i="15"/>
  <c r="U75" i="15"/>
  <c r="V75" i="15"/>
  <c r="F73" i="15"/>
  <c r="F79" i="15"/>
  <c r="G75" i="15"/>
  <c r="R32" i="12"/>
  <c r="S32" i="12"/>
  <c r="U114" i="15"/>
  <c r="F112" i="15"/>
  <c r="R37" i="12"/>
  <c r="C131" i="15"/>
  <c r="I131" i="15"/>
  <c r="G73" i="15"/>
  <c r="I164" i="15"/>
  <c r="F34" i="15"/>
  <c r="U34" i="15"/>
  <c r="U36" i="15"/>
  <c r="V36" i="15"/>
  <c r="I36" i="15"/>
  <c r="J36" i="15"/>
  <c r="G36" i="15"/>
  <c r="S34" i="12"/>
  <c r="R34" i="12"/>
  <c r="R35" i="12"/>
  <c r="C40" i="15"/>
  <c r="X40" i="15"/>
  <c r="U21" i="15"/>
  <c r="F138" i="15"/>
  <c r="F144" i="15"/>
  <c r="U144" i="15"/>
  <c r="U140" i="15"/>
  <c r="I140" i="15"/>
  <c r="X27" i="15"/>
  <c r="I27" i="15"/>
  <c r="X157" i="15"/>
  <c r="U125" i="15"/>
  <c r="X125" i="15"/>
  <c r="R125" i="15"/>
  <c r="C118" i="15"/>
  <c r="D118" i="15"/>
  <c r="I112" i="15"/>
  <c r="X112" i="15"/>
  <c r="Y112" i="15"/>
  <c r="M99" i="15"/>
  <c r="L105" i="15"/>
  <c r="M105" i="15"/>
  <c r="R99" i="15"/>
  <c r="P125" i="15"/>
  <c r="AB86" i="15"/>
  <c r="Y101" i="15"/>
  <c r="AA92" i="15"/>
  <c r="AG92" i="15"/>
  <c r="R92" i="15"/>
  <c r="U60" i="15"/>
  <c r="F66" i="15"/>
  <c r="U66" i="15"/>
  <c r="I60" i="15"/>
  <c r="AA105" i="15"/>
  <c r="AB99" i="15"/>
  <c r="AG99" i="15"/>
  <c r="W118" i="15"/>
  <c r="O79" i="15"/>
  <c r="P118" i="15"/>
  <c r="Q118" i="15"/>
  <c r="M164" i="15"/>
  <c r="AH140" i="15"/>
  <c r="Q86" i="15"/>
  <c r="S86" i="15"/>
  <c r="X21" i="15"/>
  <c r="I21" i="15"/>
  <c r="X99" i="15"/>
  <c r="Y99" i="15"/>
  <c r="C105" i="15"/>
  <c r="D99" i="15"/>
  <c r="I99" i="15"/>
  <c r="C79" i="15"/>
  <c r="X73" i="15"/>
  <c r="Y73" i="15"/>
  <c r="AG125" i="15"/>
  <c r="AA131" i="15"/>
  <c r="AG131" i="15"/>
  <c r="D73" i="15"/>
  <c r="I92" i="15"/>
  <c r="G99" i="15"/>
  <c r="T99" i="15"/>
  <c r="V99" i="15"/>
  <c r="H99" i="15"/>
  <c r="E105" i="15"/>
  <c r="R112" i="15"/>
  <c r="S112" i="15"/>
  <c r="AC66" i="15"/>
  <c r="AE66" i="15"/>
  <c r="AC144" i="15"/>
  <c r="AE144" i="15"/>
  <c r="AF60" i="15"/>
  <c r="AH60" i="15"/>
  <c r="L170" i="15"/>
  <c r="R170" i="15"/>
  <c r="R79" i="15"/>
  <c r="AE99" i="15"/>
  <c r="AF99" i="15"/>
  <c r="AC105" i="15"/>
  <c r="AA118" i="15"/>
  <c r="AG112" i="15"/>
  <c r="R118" i="15"/>
  <c r="O131" i="15"/>
  <c r="U131" i="15"/>
  <c r="D112" i="15"/>
  <c r="X151" i="15"/>
  <c r="I151" i="15"/>
  <c r="B92" i="15"/>
  <c r="D92" i="15"/>
  <c r="Z323" i="5"/>
  <c r="AB323" i="5"/>
  <c r="D86" i="15"/>
  <c r="AF125" i="15"/>
  <c r="Z7" i="1"/>
  <c r="AH323" i="5"/>
  <c r="T125" i="15"/>
  <c r="V125" i="15"/>
  <c r="T8" i="15"/>
  <c r="K151" i="15"/>
  <c r="K157" i="15"/>
  <c r="V323" i="5"/>
  <c r="Q9" i="14"/>
  <c r="S9" i="14"/>
  <c r="Q138" i="15"/>
  <c r="B8" i="14"/>
  <c r="W8" i="15"/>
  <c r="Y8" i="15"/>
  <c r="E151" i="15"/>
  <c r="G151" i="15"/>
  <c r="Q323" i="5"/>
  <c r="S323" i="5"/>
  <c r="E8" i="14"/>
  <c r="E14" i="14"/>
  <c r="G9" i="14"/>
  <c r="T164" i="15"/>
  <c r="V164" i="15"/>
  <c r="H152" i="15"/>
  <c r="J152" i="15"/>
  <c r="H47" i="15"/>
  <c r="J47" i="15"/>
  <c r="P152" i="15"/>
  <c r="N151" i="15"/>
  <c r="N157" i="15"/>
  <c r="P157" i="15"/>
  <c r="Q152" i="15"/>
  <c r="S152" i="15"/>
  <c r="T152" i="15"/>
  <c r="V152" i="15"/>
  <c r="W152" i="15"/>
  <c r="Y152" i="15"/>
  <c r="K170" i="15"/>
  <c r="W21" i="15"/>
  <c r="Y21" i="15"/>
  <c r="N27" i="15"/>
  <c r="P27" i="15"/>
  <c r="K40" i="15"/>
  <c r="M40" i="15"/>
  <c r="Z157" i="15"/>
  <c r="D9" i="14"/>
  <c r="H9" i="14"/>
  <c r="J9" i="14"/>
  <c r="D8" i="15"/>
  <c r="D152" i="15"/>
  <c r="B151" i="15"/>
  <c r="D151" i="15"/>
  <c r="AF164" i="15"/>
  <c r="AH164" i="15"/>
  <c r="H60" i="15"/>
  <c r="J60" i="15"/>
  <c r="H6" i="1"/>
  <c r="J6" i="1"/>
  <c r="H7" i="14"/>
  <c r="Q29" i="15"/>
  <c r="S29" i="15"/>
  <c r="M29" i="15"/>
  <c r="Q81" i="15"/>
  <c r="S81" i="15"/>
  <c r="N131" i="15"/>
  <c r="W68" i="15"/>
  <c r="Y68" i="15"/>
  <c r="M120" i="15"/>
  <c r="Q55" i="15"/>
  <c r="S55" i="15"/>
  <c r="B79" i="15"/>
  <c r="W29" i="15"/>
  <c r="Y29" i="15"/>
  <c r="B66" i="15"/>
  <c r="W146" i="15"/>
  <c r="Y146" i="15"/>
  <c r="M159" i="15"/>
  <c r="AF159" i="15"/>
  <c r="AH159" i="15"/>
  <c r="O186" i="3"/>
  <c r="P182" i="3"/>
  <c r="AC40" i="15"/>
  <c r="AE40" i="15"/>
  <c r="AC79" i="15"/>
  <c r="AE79" i="15"/>
  <c r="AR182" i="3"/>
  <c r="AQ186" i="3"/>
  <c r="AB133" i="15"/>
  <c r="E3" i="1"/>
  <c r="AE3" i="14"/>
  <c r="AA14" i="14"/>
  <c r="AG8" i="14"/>
  <c r="S13" i="14"/>
  <c r="S5" i="14"/>
  <c r="Y6" i="14"/>
  <c r="S6" i="14"/>
  <c r="J6" i="14"/>
  <c r="R3" i="14"/>
  <c r="AE8" i="14"/>
  <c r="V12" i="14"/>
  <c r="J4" i="14"/>
  <c r="S10" i="14"/>
  <c r="W125" i="15"/>
  <c r="Q47" i="15"/>
  <c r="S47" i="15"/>
  <c r="W47" i="15"/>
  <c r="Y47" i="15"/>
  <c r="K66" i="15"/>
  <c r="M66" i="15"/>
  <c r="Q164" i="15"/>
  <c r="S164" i="15"/>
  <c r="B14" i="15"/>
  <c r="D14" i="15"/>
  <c r="AE8" i="15"/>
  <c r="AF8" i="15"/>
  <c r="AH8" i="15"/>
  <c r="AH10" i="14"/>
  <c r="Z170" i="15"/>
  <c r="AB170" i="15"/>
  <c r="T150" i="15"/>
  <c r="V150" i="15"/>
  <c r="H150" i="15"/>
  <c r="J150" i="15"/>
  <c r="U29" i="15"/>
  <c r="X55" i="15"/>
  <c r="C66" i="15"/>
  <c r="I55" i="15"/>
  <c r="U133" i="15"/>
  <c r="I29" i="15"/>
  <c r="F170" i="15"/>
  <c r="U159" i="15"/>
  <c r="L14" i="15"/>
  <c r="R14" i="15"/>
  <c r="R3" i="15"/>
  <c r="Y210" i="3"/>
  <c r="AE178" i="3"/>
  <c r="K131" i="15"/>
  <c r="K14" i="15"/>
  <c r="AB178" i="3"/>
  <c r="P178" i="3"/>
  <c r="AF178" i="3"/>
  <c r="AE182" i="3"/>
  <c r="AE133" i="15"/>
  <c r="AF133" i="15"/>
  <c r="AH133" i="15"/>
  <c r="AF29" i="15"/>
  <c r="AH29" i="15"/>
  <c r="AO210" i="3"/>
  <c r="Z40" i="15"/>
  <c r="AB159" i="15"/>
  <c r="AQ182" i="3"/>
  <c r="AR178" i="3"/>
  <c r="AF8" i="14"/>
  <c r="AB8" i="14"/>
  <c r="AH5" i="14"/>
  <c r="AH9" i="14"/>
  <c r="U3" i="14"/>
  <c r="V3" i="14"/>
  <c r="AC14" i="14"/>
  <c r="J5" i="14"/>
  <c r="V5" i="14"/>
  <c r="AD14" i="14"/>
  <c r="V10" i="14"/>
  <c r="O14" i="14"/>
  <c r="R14" i="14"/>
  <c r="H11" i="14"/>
  <c r="J11" i="14"/>
  <c r="Y5" i="14"/>
  <c r="V4" i="14"/>
  <c r="AH12" i="14"/>
  <c r="AE11" i="14"/>
  <c r="AH11" i="14"/>
  <c r="Y12" i="14"/>
  <c r="Y10" i="14"/>
  <c r="W11" i="14"/>
  <c r="S12" i="14"/>
  <c r="AH4" i="14"/>
  <c r="K14" i="14"/>
  <c r="M14" i="14"/>
  <c r="U8" i="14"/>
  <c r="F14" i="14"/>
  <c r="J7" i="14"/>
  <c r="X11" i="14"/>
  <c r="R11" i="14"/>
  <c r="X8" i="14"/>
  <c r="I8" i="14"/>
  <c r="U11" i="14"/>
  <c r="V11" i="14"/>
  <c r="P11" i="14"/>
  <c r="Q11" i="14"/>
  <c r="G125" i="15"/>
  <c r="H125" i="15"/>
  <c r="J125" i="15"/>
  <c r="T73" i="15"/>
  <c r="H73" i="15"/>
  <c r="T139" i="15"/>
  <c r="V139" i="15"/>
  <c r="G323" i="5"/>
  <c r="B7" i="1"/>
  <c r="P60" i="15"/>
  <c r="Q60" i="15"/>
  <c r="S60" i="15"/>
  <c r="T60" i="15"/>
  <c r="T34" i="15"/>
  <c r="P34" i="15"/>
  <c r="Q34" i="15"/>
  <c r="S34" i="15"/>
  <c r="M21" i="15"/>
  <c r="Q21" i="15"/>
  <c r="S21" i="15"/>
  <c r="Q125" i="15"/>
  <c r="S125" i="15"/>
  <c r="M125" i="15"/>
  <c r="M151" i="15"/>
  <c r="P133" i="15"/>
  <c r="N144" i="15"/>
  <c r="P144" i="15"/>
  <c r="Q3" i="15"/>
  <c r="S3" i="15"/>
  <c r="AA174" i="3"/>
  <c r="T133" i="15"/>
  <c r="V133" i="15"/>
  <c r="P29" i="15"/>
  <c r="N40" i="15"/>
  <c r="P3" i="14"/>
  <c r="AE174" i="3"/>
  <c r="N79" i="15"/>
  <c r="P68" i="15"/>
  <c r="W3" i="14"/>
  <c r="Y3" i="14"/>
  <c r="N66" i="15"/>
  <c r="P55" i="15"/>
  <c r="N53" i="15"/>
  <c r="P53" i="15"/>
  <c r="P42" i="15"/>
  <c r="P3" i="15"/>
  <c r="N14" i="15"/>
  <c r="P14" i="15"/>
  <c r="W55" i="15"/>
  <c r="Y55" i="15"/>
  <c r="Q42" i="15"/>
  <c r="S42" i="15"/>
  <c r="P146" i="15"/>
  <c r="P159" i="15"/>
  <c r="N170" i="15"/>
  <c r="P170" i="15"/>
  <c r="N9" i="1"/>
  <c r="P9" i="1"/>
  <c r="P3" i="1"/>
  <c r="M81" i="15"/>
  <c r="K92" i="15"/>
  <c r="Q92" i="15"/>
  <c r="Q146" i="15"/>
  <c r="S146" i="15"/>
  <c r="Q159" i="15"/>
  <c r="S159" i="15"/>
  <c r="Q133" i="15"/>
  <c r="S133" i="15"/>
  <c r="K144" i="15"/>
  <c r="M133" i="15"/>
  <c r="Q3" i="14"/>
  <c r="M3" i="14"/>
  <c r="K53" i="15"/>
  <c r="M42" i="15"/>
  <c r="Q68" i="15"/>
  <c r="S68" i="15"/>
  <c r="M68" i="15"/>
  <c r="K79" i="15"/>
  <c r="M3" i="1"/>
  <c r="Q3" i="1"/>
  <c r="S3" i="1"/>
  <c r="K9" i="1"/>
  <c r="K27" i="15"/>
  <c r="Q16" i="15"/>
  <c r="S16" i="15"/>
  <c r="M16" i="15"/>
  <c r="W42" i="15"/>
  <c r="Y42" i="15"/>
  <c r="D133" i="15"/>
  <c r="W133" i="15"/>
  <c r="Y133" i="15"/>
  <c r="M210" i="3"/>
  <c r="B53" i="15"/>
  <c r="D53" i="15"/>
  <c r="W159" i="15"/>
  <c r="Y159" i="15"/>
  <c r="D159" i="15"/>
  <c r="D3" i="15"/>
  <c r="W3" i="15"/>
  <c r="Y3" i="15"/>
  <c r="W16" i="15"/>
  <c r="Y16" i="15"/>
  <c r="D16" i="15"/>
  <c r="D3" i="1"/>
  <c r="W3" i="1"/>
  <c r="Y3" i="1"/>
  <c r="D120" i="15"/>
  <c r="W120" i="15"/>
  <c r="Y120" i="15"/>
  <c r="AC27" i="15"/>
  <c r="AE27" i="15"/>
  <c r="AC92" i="15"/>
  <c r="AE92" i="15"/>
  <c r="AF21" i="15"/>
  <c r="H140" i="15"/>
  <c r="J140" i="15"/>
  <c r="G140" i="15"/>
  <c r="T140" i="15"/>
  <c r="V140" i="15"/>
  <c r="T47" i="15"/>
  <c r="V47" i="15"/>
  <c r="E138" i="15"/>
  <c r="T86" i="15"/>
  <c r="V86" i="15"/>
  <c r="G86" i="15"/>
  <c r="H86" i="15"/>
  <c r="J86" i="15"/>
  <c r="AF86" i="15"/>
  <c r="AH86" i="15"/>
  <c r="AE86" i="15"/>
  <c r="AF73" i="15"/>
  <c r="AH73" i="15"/>
  <c r="AE73" i="15"/>
  <c r="AE138" i="15"/>
  <c r="AF138" i="15"/>
  <c r="AH138" i="15"/>
  <c r="AB151" i="15"/>
  <c r="AF151" i="15"/>
  <c r="B170" i="15"/>
  <c r="D164" i="15"/>
  <c r="W164" i="15"/>
  <c r="W139" i="15"/>
  <c r="Y139" i="15"/>
  <c r="D139" i="15"/>
  <c r="H139" i="15"/>
  <c r="J139" i="15"/>
  <c r="B138" i="15"/>
  <c r="B40" i="15"/>
  <c r="H34" i="15"/>
  <c r="W34" i="15"/>
  <c r="Y34" i="15"/>
  <c r="D34" i="15"/>
  <c r="D66" i="15"/>
  <c r="D131" i="15"/>
  <c r="H137" i="15"/>
  <c r="J137" i="15"/>
  <c r="G137" i="15"/>
  <c r="T137" i="15"/>
  <c r="V137" i="15"/>
  <c r="AB146" i="15"/>
  <c r="AE42" i="15"/>
  <c r="AB29" i="15"/>
  <c r="AC131" i="15"/>
  <c r="AE131" i="15"/>
  <c r="AE120" i="15"/>
  <c r="AB120" i="15"/>
  <c r="AF120" i="15"/>
  <c r="AH120" i="15"/>
  <c r="Z131" i="15"/>
  <c r="AB3" i="15"/>
  <c r="Z14" i="15"/>
  <c r="AB14" i="15"/>
  <c r="H133" i="15"/>
  <c r="J133" i="15"/>
  <c r="AE146" i="15"/>
  <c r="AC157" i="15"/>
  <c r="AF146" i="15"/>
  <c r="AH146" i="15"/>
  <c r="AF3" i="15"/>
  <c r="AH3" i="15"/>
  <c r="AC14" i="15"/>
  <c r="AE3" i="15"/>
  <c r="AE159" i="15"/>
  <c r="AC170" i="15"/>
  <c r="AE170" i="15"/>
  <c r="AE3" i="1"/>
  <c r="AC9" i="1"/>
  <c r="AE9" i="1"/>
  <c r="Z14" i="14"/>
  <c r="AF3" i="14"/>
  <c r="AH3" i="14"/>
  <c r="AB3" i="14"/>
  <c r="Z66" i="15"/>
  <c r="AB55" i="15"/>
  <c r="AF55" i="15"/>
  <c r="AH55" i="15"/>
  <c r="AF16" i="15"/>
  <c r="AH16" i="15"/>
  <c r="Z27" i="15"/>
  <c r="AB16" i="15"/>
  <c r="Z92" i="15"/>
  <c r="AF81" i="15"/>
  <c r="AH81" i="15"/>
  <c r="AB81" i="15"/>
  <c r="AB42" i="15"/>
  <c r="Z53" i="15"/>
  <c r="AF42" i="15"/>
  <c r="AH42" i="15"/>
  <c r="AB4" i="1"/>
  <c r="AF4" i="1"/>
  <c r="AH4" i="1"/>
  <c r="Z3" i="1"/>
  <c r="AQ178" i="3"/>
  <c r="AR174" i="3"/>
  <c r="AQ174" i="3"/>
  <c r="AB144" i="15"/>
  <c r="AF68" i="15"/>
  <c r="AH68" i="15"/>
  <c r="Z79" i="15"/>
  <c r="AB68" i="15"/>
  <c r="T146" i="15"/>
  <c r="V146" i="15"/>
  <c r="H146" i="15"/>
  <c r="J146" i="15"/>
  <c r="G146" i="15"/>
  <c r="H55" i="15"/>
  <c r="J55" i="15"/>
  <c r="G55" i="15"/>
  <c r="T55" i="15"/>
  <c r="V55" i="15"/>
  <c r="E66" i="15"/>
  <c r="E53" i="15"/>
  <c r="H42" i="15"/>
  <c r="J42" i="15"/>
  <c r="G42" i="15"/>
  <c r="T42" i="15"/>
  <c r="V42" i="15"/>
  <c r="E170" i="15"/>
  <c r="H159" i="15"/>
  <c r="J159" i="15"/>
  <c r="G159" i="15"/>
  <c r="T159" i="15"/>
  <c r="V159" i="15"/>
  <c r="E9" i="1"/>
  <c r="T3" i="1"/>
  <c r="V3" i="1"/>
  <c r="H3" i="1"/>
  <c r="J3" i="1"/>
  <c r="G3" i="1"/>
  <c r="G3" i="15"/>
  <c r="H3" i="15"/>
  <c r="J3" i="15"/>
  <c r="E14" i="15"/>
  <c r="T3" i="15"/>
  <c r="V3" i="15"/>
  <c r="T16" i="15"/>
  <c r="V16" i="15"/>
  <c r="G16" i="15"/>
  <c r="H16" i="15"/>
  <c r="J16" i="15"/>
  <c r="G120" i="15"/>
  <c r="H120" i="15"/>
  <c r="J120" i="15"/>
  <c r="T120" i="15"/>
  <c r="V120" i="15"/>
  <c r="E131" i="15"/>
  <c r="H3" i="14"/>
  <c r="J3" i="14"/>
  <c r="G3" i="14"/>
  <c r="H81" i="15"/>
  <c r="J81" i="15"/>
  <c r="T81" i="15"/>
  <c r="V81" i="15"/>
  <c r="E92" i="15"/>
  <c r="G81" i="15"/>
  <c r="H68" i="15"/>
  <c r="J68" i="15"/>
  <c r="T68" i="15"/>
  <c r="V68" i="15"/>
  <c r="E79" i="15"/>
  <c r="G68" i="15"/>
  <c r="E40" i="15"/>
  <c r="H29" i="15"/>
  <c r="J29" i="15"/>
  <c r="T29" i="15"/>
  <c r="V29" i="15"/>
  <c r="G29" i="15"/>
  <c r="Q8" i="14"/>
  <c r="S8" i="14"/>
  <c r="J164" i="15"/>
  <c r="AH112" i="15"/>
  <c r="J99" i="15"/>
  <c r="I73" i="15"/>
  <c r="G138" i="15"/>
  <c r="N14" i="14"/>
  <c r="V34" i="15"/>
  <c r="F40" i="15"/>
  <c r="Y125" i="15"/>
  <c r="W8" i="14"/>
  <c r="S99" i="15"/>
  <c r="J88" i="15"/>
  <c r="E27" i="15"/>
  <c r="AH151" i="15"/>
  <c r="AH21" i="15"/>
  <c r="S92" i="15"/>
  <c r="V60" i="15"/>
  <c r="H21" i="15"/>
  <c r="AB157" i="15"/>
  <c r="T21" i="15"/>
  <c r="V21" i="15"/>
  <c r="S138" i="15"/>
  <c r="J73" i="15"/>
  <c r="U79" i="15"/>
  <c r="S73" i="15"/>
  <c r="AF144" i="15"/>
  <c r="AH144" i="15"/>
  <c r="U73" i="15"/>
  <c r="Y164" i="15"/>
  <c r="W92" i="15"/>
  <c r="Y92" i="15"/>
  <c r="D8" i="14"/>
  <c r="J21" i="15"/>
  <c r="AH125" i="15"/>
  <c r="AH99" i="15"/>
  <c r="AG14" i="14"/>
  <c r="D79" i="15"/>
  <c r="P131" i="15"/>
  <c r="G34" i="15"/>
  <c r="Q151" i="15"/>
  <c r="S151" i="15"/>
  <c r="R105" i="15"/>
  <c r="S105" i="15"/>
  <c r="I144" i="15"/>
  <c r="U151" i="15"/>
  <c r="F157" i="15"/>
  <c r="G164" i="15"/>
  <c r="G112" i="15"/>
  <c r="E118" i="15"/>
  <c r="H112" i="15"/>
  <c r="J112" i="15"/>
  <c r="T112" i="15"/>
  <c r="I138" i="15"/>
  <c r="U138" i="15"/>
  <c r="F118" i="15"/>
  <c r="U118" i="15"/>
  <c r="U112" i="15"/>
  <c r="I53" i="15"/>
  <c r="U53" i="15"/>
  <c r="I34" i="15"/>
  <c r="J34" i="15"/>
  <c r="V114" i="15"/>
  <c r="U8" i="15"/>
  <c r="V8" i="15"/>
  <c r="F14" i="15"/>
  <c r="I8" i="15"/>
  <c r="J8" i="15"/>
  <c r="G8" i="15"/>
  <c r="V73" i="15"/>
  <c r="M170" i="15"/>
  <c r="S118" i="15"/>
  <c r="AG118" i="15"/>
  <c r="AH118" i="15"/>
  <c r="AB118" i="15"/>
  <c r="X79" i="15"/>
  <c r="I79" i="15"/>
  <c r="I105" i="15"/>
  <c r="X105" i="15"/>
  <c r="Y105" i="15"/>
  <c r="D105" i="15"/>
  <c r="AG105" i="15"/>
  <c r="AB105" i="15"/>
  <c r="R131" i="15"/>
  <c r="X131" i="15"/>
  <c r="AE105" i="15"/>
  <c r="AF105" i="15"/>
  <c r="T105" i="15"/>
  <c r="V105" i="15"/>
  <c r="G105" i="15"/>
  <c r="H105" i="15"/>
  <c r="J105" i="15"/>
  <c r="X118" i="15"/>
  <c r="Y118" i="15"/>
  <c r="W66" i="15"/>
  <c r="AF40" i="15"/>
  <c r="AH40" i="15"/>
  <c r="AB7" i="1"/>
  <c r="AF7" i="1"/>
  <c r="AH7" i="1"/>
  <c r="W27" i="15"/>
  <c r="Y27" i="15"/>
  <c r="M14" i="15"/>
  <c r="H8" i="14"/>
  <c r="T8" i="14"/>
  <c r="V8" i="14"/>
  <c r="G8" i="14"/>
  <c r="E157" i="15"/>
  <c r="B14" i="14"/>
  <c r="D14" i="14"/>
  <c r="T138" i="15"/>
  <c r="V138" i="15"/>
  <c r="E144" i="15"/>
  <c r="G144" i="15"/>
  <c r="W151" i="15"/>
  <c r="Y151" i="15"/>
  <c r="P151" i="15"/>
  <c r="T151" i="15"/>
  <c r="V151" i="15"/>
  <c r="H151" i="15"/>
  <c r="J151" i="15"/>
  <c r="B157" i="15"/>
  <c r="D157" i="15"/>
  <c r="J8" i="14"/>
  <c r="Q131" i="15"/>
  <c r="W131" i="15"/>
  <c r="Y131" i="15"/>
  <c r="M92" i="15"/>
  <c r="M131" i="15"/>
  <c r="AF170" i="15"/>
  <c r="AH170" i="15"/>
  <c r="AB40" i="15"/>
  <c r="AH8" i="14"/>
  <c r="S3" i="14"/>
  <c r="U14" i="14"/>
  <c r="Q170" i="15"/>
  <c r="S170" i="15"/>
  <c r="X66" i="15"/>
  <c r="I66" i="15"/>
  <c r="U170" i="15"/>
  <c r="I170" i="15"/>
  <c r="U40" i="15"/>
  <c r="I40" i="15"/>
  <c r="P14" i="14"/>
  <c r="X14" i="14"/>
  <c r="AE14" i="14"/>
  <c r="Y8" i="14"/>
  <c r="S11" i="14"/>
  <c r="Y11" i="14"/>
  <c r="I14" i="14"/>
  <c r="Q14" i="14"/>
  <c r="S14" i="14"/>
  <c r="D7" i="1"/>
  <c r="W7" i="1"/>
  <c r="Y7" i="1"/>
  <c r="B9" i="1"/>
  <c r="D9" i="1"/>
  <c r="H7" i="1"/>
  <c r="J7" i="1"/>
  <c r="W53" i="15"/>
  <c r="Y53" i="15"/>
  <c r="P40" i="15"/>
  <c r="Q40" i="15"/>
  <c r="S40" i="15"/>
  <c r="P79" i="15"/>
  <c r="W79" i="15"/>
  <c r="Y79" i="15"/>
  <c r="W14" i="15"/>
  <c r="Y14" i="15"/>
  <c r="P66" i="15"/>
  <c r="Q66" i="15"/>
  <c r="S66" i="15"/>
  <c r="Q14" i="15"/>
  <c r="S14" i="15"/>
  <c r="M157" i="15"/>
  <c r="Q157" i="15"/>
  <c r="S157" i="15"/>
  <c r="M144" i="15"/>
  <c r="Q144" i="15"/>
  <c r="S144" i="15"/>
  <c r="Q53" i="15"/>
  <c r="S53" i="15"/>
  <c r="M53" i="15"/>
  <c r="Q27" i="15"/>
  <c r="S27" i="15"/>
  <c r="M27" i="15"/>
  <c r="M9" i="1"/>
  <c r="Q9" i="1"/>
  <c r="S9" i="1"/>
  <c r="Q79" i="15"/>
  <c r="S79" i="15"/>
  <c r="M79" i="15"/>
  <c r="W138" i="15"/>
  <c r="Y138" i="15"/>
  <c r="H138" i="15"/>
  <c r="B144" i="15"/>
  <c r="D138" i="15"/>
  <c r="D170" i="15"/>
  <c r="W170" i="15"/>
  <c r="Y170" i="15"/>
  <c r="D40" i="15"/>
  <c r="W40" i="15"/>
  <c r="Y40" i="15"/>
  <c r="AB131" i="15"/>
  <c r="AF131" i="15"/>
  <c r="AH131" i="15"/>
  <c r="AE157" i="15"/>
  <c r="AF157" i="15"/>
  <c r="AH157" i="15"/>
  <c r="AE14" i="15"/>
  <c r="AF14" i="15"/>
  <c r="AH14" i="15"/>
  <c r="AB3" i="1"/>
  <c r="Z9" i="1"/>
  <c r="AF3" i="1"/>
  <c r="AH3" i="1"/>
  <c r="AB53" i="15"/>
  <c r="AF53" i="15"/>
  <c r="AH53" i="15"/>
  <c r="AF27" i="15"/>
  <c r="AH27" i="15"/>
  <c r="AB27" i="15"/>
  <c r="AB66" i="15"/>
  <c r="AF66" i="15"/>
  <c r="AH66" i="15"/>
  <c r="AB79" i="15"/>
  <c r="AF79" i="15"/>
  <c r="AH79" i="15"/>
  <c r="AB92" i="15"/>
  <c r="AF92" i="15"/>
  <c r="AH92" i="15"/>
  <c r="AB14" i="14"/>
  <c r="AF14" i="14"/>
  <c r="AH14" i="14"/>
  <c r="T131" i="15"/>
  <c r="V131" i="15"/>
  <c r="G131" i="15"/>
  <c r="H131" i="15"/>
  <c r="J131" i="15"/>
  <c r="H66" i="15"/>
  <c r="G66" i="15"/>
  <c r="T66" i="15"/>
  <c r="V66" i="15"/>
  <c r="G79" i="15"/>
  <c r="T79" i="15"/>
  <c r="H79" i="15"/>
  <c r="G92" i="15"/>
  <c r="T92" i="15"/>
  <c r="V92" i="15"/>
  <c r="H92" i="15"/>
  <c r="J92" i="15"/>
  <c r="T27" i="15"/>
  <c r="V27" i="15"/>
  <c r="G27" i="15"/>
  <c r="H27" i="15"/>
  <c r="J27" i="15"/>
  <c r="T14" i="15"/>
  <c r="H14" i="15"/>
  <c r="G14" i="15"/>
  <c r="G40" i="15"/>
  <c r="H40" i="15"/>
  <c r="T40" i="15"/>
  <c r="G14" i="14"/>
  <c r="T14" i="14"/>
  <c r="T9" i="1"/>
  <c r="V9" i="1"/>
  <c r="G9" i="1"/>
  <c r="T170" i="15"/>
  <c r="H170" i="15"/>
  <c r="G170" i="15"/>
  <c r="H53" i="15"/>
  <c r="G53" i="15"/>
  <c r="T53" i="15"/>
  <c r="V53" i="15"/>
  <c r="G157" i="15"/>
  <c r="J40" i="15"/>
  <c r="J66" i="15"/>
  <c r="J170" i="15"/>
  <c r="S131" i="15"/>
  <c r="V79" i="15"/>
  <c r="J53" i="15"/>
  <c r="T144" i="15"/>
  <c r="V144" i="15"/>
  <c r="H144" i="15"/>
  <c r="J144" i="15"/>
  <c r="V40" i="15"/>
  <c r="I118" i="15"/>
  <c r="J138" i="15"/>
  <c r="V170" i="15"/>
  <c r="W157" i="15"/>
  <c r="Y157" i="15"/>
  <c r="V112" i="15"/>
  <c r="U157" i="15"/>
  <c r="I157" i="15"/>
  <c r="Y66" i="15"/>
  <c r="G118" i="15"/>
  <c r="H118" i="15"/>
  <c r="T118" i="15"/>
  <c r="V118" i="15"/>
  <c r="U14" i="15"/>
  <c r="V14" i="15"/>
  <c r="I14" i="15"/>
  <c r="J14" i="15"/>
  <c r="J79" i="15"/>
  <c r="AH105" i="15"/>
  <c r="H157" i="15"/>
  <c r="T157" i="15"/>
  <c r="V157" i="15"/>
  <c r="H14" i="14"/>
  <c r="J14" i="14"/>
  <c r="W14" i="14"/>
  <c r="Y14" i="14"/>
  <c r="V14" i="14"/>
  <c r="H9" i="1"/>
  <c r="J9" i="1"/>
  <c r="W9" i="1"/>
  <c r="Y9" i="1"/>
  <c r="D144" i="15"/>
  <c r="W144" i="15"/>
  <c r="Y144" i="15"/>
  <c r="AF9" i="1"/>
  <c r="AH9" i="1"/>
  <c r="AB9" i="1"/>
  <c r="J118" i="15"/>
  <c r="J157" i="15"/>
</calcChain>
</file>

<file path=xl/sharedStrings.xml><?xml version="1.0" encoding="utf-8"?>
<sst xmlns="http://schemas.openxmlformats.org/spreadsheetml/2006/main" count="2965" uniqueCount="326">
  <si>
    <t>BeautyBOUTIQUE 2016 YTD Overview</t>
  </si>
  <si>
    <t>Revenue</t>
  </si>
  <si>
    <t>Spend</t>
  </si>
  <si>
    <t>ROAS</t>
  </si>
  <si>
    <t>Visits</t>
  </si>
  <si>
    <t>Orders</t>
  </si>
  <si>
    <t>AOV</t>
  </si>
  <si>
    <t>Clicks</t>
  </si>
  <si>
    <t>Impressions</t>
  </si>
  <si>
    <t>CTR</t>
  </si>
  <si>
    <t>PAID SEARCH TOTAL</t>
  </si>
  <si>
    <t>Brand YTD</t>
  </si>
  <si>
    <t>Non-Brand YTD</t>
  </si>
  <si>
    <t>AFFILIATE TOTAL</t>
  </si>
  <si>
    <t>SOCIAL TOTAL</t>
  </si>
  <si>
    <t>DISPLAY TOTAL</t>
  </si>
  <si>
    <t>Paid Marketing Total</t>
  </si>
  <si>
    <t>P1</t>
  </si>
  <si>
    <t>P2</t>
  </si>
  <si>
    <t>Period</t>
  </si>
  <si>
    <t>FW</t>
  </si>
  <si>
    <t>Week of</t>
  </si>
  <si>
    <t>Channel</t>
  </si>
  <si>
    <t>WoW</t>
  </si>
  <si>
    <t>YoY</t>
  </si>
  <si>
    <t>Imp</t>
  </si>
  <si>
    <t>Notes</t>
  </si>
  <si>
    <t>WK1</t>
  </si>
  <si>
    <t>Total</t>
  </si>
  <si>
    <t>Brand</t>
  </si>
  <si>
    <t>Non-Brand</t>
  </si>
  <si>
    <t>WK2</t>
  </si>
  <si>
    <t>WK3</t>
  </si>
  <si>
    <t>WK4</t>
  </si>
  <si>
    <t>WK5</t>
  </si>
  <si>
    <t>WK6</t>
  </si>
  <si>
    <t>WK7</t>
  </si>
  <si>
    <t>WK8</t>
  </si>
  <si>
    <t>P3</t>
  </si>
  <si>
    <t>WK9</t>
  </si>
  <si>
    <t>WK10</t>
  </si>
  <si>
    <t>WK11</t>
  </si>
  <si>
    <t>WK12</t>
  </si>
  <si>
    <t>P4</t>
  </si>
  <si>
    <t>WK13</t>
  </si>
  <si>
    <t>WK14</t>
  </si>
  <si>
    <t>WK15</t>
  </si>
  <si>
    <t>WK16</t>
  </si>
  <si>
    <t>P5</t>
  </si>
  <si>
    <t>WK17</t>
  </si>
  <si>
    <t>WK18</t>
  </si>
  <si>
    <t>WK19</t>
  </si>
  <si>
    <t>WK20</t>
  </si>
  <si>
    <t>P6</t>
  </si>
  <si>
    <t>WK21</t>
  </si>
  <si>
    <t>WK22</t>
  </si>
  <si>
    <t>WK23</t>
  </si>
  <si>
    <t>WK24</t>
  </si>
  <si>
    <t>P7</t>
  </si>
  <si>
    <t>WK25</t>
  </si>
  <si>
    <t>WK26</t>
  </si>
  <si>
    <t>WK27</t>
  </si>
  <si>
    <t>WK28</t>
  </si>
  <si>
    <t>P8</t>
  </si>
  <si>
    <t>WK29</t>
  </si>
  <si>
    <t>WK30</t>
  </si>
  <si>
    <t>WK31</t>
  </si>
  <si>
    <t>WK32</t>
  </si>
  <si>
    <t>P9</t>
  </si>
  <si>
    <t>WK33</t>
  </si>
  <si>
    <t>WK34</t>
  </si>
  <si>
    <t>WK35</t>
  </si>
  <si>
    <t>WK36</t>
  </si>
  <si>
    <t>P10</t>
  </si>
  <si>
    <t>WK37</t>
  </si>
  <si>
    <t>WK38</t>
  </si>
  <si>
    <t>WK39</t>
  </si>
  <si>
    <t>WK40</t>
  </si>
  <si>
    <t>P11</t>
  </si>
  <si>
    <t>WK41</t>
  </si>
  <si>
    <t>WK42</t>
  </si>
  <si>
    <t>WK43</t>
  </si>
  <si>
    <t>WK44</t>
  </si>
  <si>
    <t>P12</t>
  </si>
  <si>
    <t>WK45</t>
  </si>
  <si>
    <t>WK46</t>
  </si>
  <si>
    <t>WK47</t>
  </si>
  <si>
    <t>WK48</t>
  </si>
  <si>
    <t>P13</t>
  </si>
  <si>
    <t>WK49</t>
  </si>
  <si>
    <t>WK50</t>
  </si>
  <si>
    <t>WK51</t>
  </si>
  <si>
    <t>WK52</t>
  </si>
  <si>
    <t>YTD</t>
  </si>
  <si>
    <t>TOTAL</t>
  </si>
  <si>
    <t>Media Spend</t>
  </si>
  <si>
    <t>Linkshare Fee</t>
  </si>
  <si>
    <t>Reach</t>
  </si>
  <si>
    <t>LY Rev</t>
  </si>
  <si>
    <t>LY Spend</t>
  </si>
  <si>
    <t>LY ROAS</t>
  </si>
  <si>
    <t>LY Visits</t>
  </si>
  <si>
    <t>LY Orders</t>
  </si>
  <si>
    <t>LY AOV</t>
  </si>
  <si>
    <t>LY Clicks</t>
  </si>
  <si>
    <t>LY Imp</t>
  </si>
  <si>
    <t>LY CTR</t>
  </si>
  <si>
    <t>LY Reach</t>
  </si>
  <si>
    <t>YTD Paid Marketing Total</t>
  </si>
  <si>
    <t>CR</t>
  </si>
  <si>
    <t>LY CR</t>
  </si>
  <si>
    <t>Budget</t>
  </si>
  <si>
    <t>Actual</t>
  </si>
  <si>
    <t>Remaining</t>
  </si>
  <si>
    <t>% Remaining</t>
  </si>
  <si>
    <t>Beauty Boutique Spend Tracker (CAD $)</t>
  </si>
  <si>
    <t>LY Media Spend</t>
  </si>
  <si>
    <t>LY Revenue</t>
  </si>
  <si>
    <t>LY Impressions</t>
  </si>
  <si>
    <t>Total Spend</t>
  </si>
  <si>
    <t>LY Total Spend</t>
  </si>
  <si>
    <t>Commission</t>
  </si>
  <si>
    <t>LY Commission</t>
  </si>
  <si>
    <t>Decreased commissions</t>
  </si>
  <si>
    <t>18.5K Derm FB Campaign</t>
  </si>
  <si>
    <t>Start Date</t>
  </si>
  <si>
    <t>End Date</t>
  </si>
  <si>
    <t>CPC</t>
  </si>
  <si>
    <t>Campaign</t>
  </si>
  <si>
    <t>20x on $50</t>
  </si>
  <si>
    <t>Valentine's Day Gift Sets</t>
  </si>
  <si>
    <t>18.5K on $75</t>
  </si>
  <si>
    <t>Audience</t>
  </si>
  <si>
    <t>Competitors/ Brands</t>
  </si>
  <si>
    <t>Lookalike (CA, 4%) - BB Visitors (30 Days)</t>
  </si>
  <si>
    <t>Interests</t>
  </si>
  <si>
    <t>Visitor + Non-Purchaser (60 Days)</t>
  </si>
  <si>
    <t>Visitors (30 Days)</t>
  </si>
  <si>
    <t>BB Customer Emails</t>
  </si>
  <si>
    <t>Lookalike (CA, 1%) – BB Email Subs (Jan 16, 2017)</t>
  </si>
  <si>
    <t>BB Email Subs (Jan 16, 2017)</t>
  </si>
  <si>
    <t>Lookalike (CA, 5%) – BB Customer Emails</t>
  </si>
  <si>
    <t>Derm Products, Budget split 50/50 between desktop and mobile</t>
  </si>
  <si>
    <t>20x on $50 V-Day</t>
  </si>
  <si>
    <t>Total Spend (inc fees)</t>
  </si>
  <si>
    <t>ROAS (exc. Fees)</t>
  </si>
  <si>
    <t>ROAS (inc fees)</t>
  </si>
  <si>
    <t>LY ROAS (inc fees)</t>
  </si>
  <si>
    <t>Free Shipping, No Minimum, 18.5K on $75</t>
  </si>
  <si>
    <t>CPA</t>
  </si>
  <si>
    <t>LY CPA</t>
  </si>
  <si>
    <t>LY Imp.</t>
  </si>
  <si>
    <t>LS Fee</t>
  </si>
  <si>
    <t>LY LS Fee</t>
  </si>
  <si>
    <t>ROAS (excl. fees)</t>
  </si>
  <si>
    <t>LY ROAS (excl. fees)</t>
  </si>
  <si>
    <t>ROAS (incl. Fees)</t>
  </si>
  <si>
    <t>Free Priority Shipping</t>
  </si>
  <si>
    <t>Redemption Plus</t>
  </si>
  <si>
    <t>Redemption event plus</t>
  </si>
  <si>
    <t>Omniture</t>
  </si>
  <si>
    <t>Linkshare</t>
  </si>
  <si>
    <t>% Variance</t>
  </si>
  <si>
    <t>$ Variance</t>
  </si>
  <si>
    <t>Beauty Boutique Omniture vs. Linkshare Revenue (CAD $)</t>
  </si>
  <si>
    <t>Week</t>
  </si>
  <si>
    <t>In-store offer</t>
  </si>
  <si>
    <t>in-store offer</t>
  </si>
  <si>
    <t>Awareness campaign</t>
  </si>
  <si>
    <t>In-Store offer + 20x on $50</t>
  </si>
  <si>
    <t>in-store offer + 20x on $50</t>
  </si>
  <si>
    <t>Awareness</t>
  </si>
  <si>
    <t>2x Standard ads, 1x carousel ad, 1x slideshow ads, 2x video ads</t>
  </si>
  <si>
    <t>ROAS (EX Fees)</t>
  </si>
  <si>
    <t>ROAS (INC Fees)</t>
  </si>
  <si>
    <t>Media</t>
  </si>
  <si>
    <t>Fees</t>
  </si>
  <si>
    <t>Lookalike (CA, 10%) – BB Customer Emails</t>
  </si>
  <si>
    <t>BB Broad Target - W24-54 - Canada</t>
  </si>
  <si>
    <t>Lookalike (CA, 10%) – People Who Like SDM</t>
  </si>
  <si>
    <t>2x Standard ads, 1x carousel ad, 1x slideshow ads, 2x video ads. Turned off in first week due to poor performance</t>
  </si>
  <si>
    <t>CPM</t>
  </si>
  <si>
    <t>In-Store offer + 20x on $75 (week long)</t>
  </si>
  <si>
    <t>in-store offer + 20x on $75 (week long)</t>
  </si>
  <si>
    <t>In-Store offer + 20x on $75 (1 day)</t>
  </si>
  <si>
    <t>in-store offer + 20x on $75 (1 day)</t>
  </si>
  <si>
    <t>In-Store Offer</t>
  </si>
  <si>
    <t>Email Acquisition</t>
  </si>
  <si>
    <t>4x Standard ads. Test 2 copy versions and 2 creative versions. Turned off early due to affiliate leak</t>
  </si>
  <si>
    <t>Lookalike (CA, 8%) - BB Visitors (30 Days)</t>
  </si>
  <si>
    <t>Lookalike (CA, 5%) - Visitor + Non-Purchaser (60 Days)</t>
  </si>
  <si>
    <t>20x on $75</t>
  </si>
  <si>
    <t>20x on $75 (week long)</t>
  </si>
  <si>
    <t>Redemption Event</t>
  </si>
  <si>
    <t>BB Visitor + Non Purchaser (60 Days)</t>
  </si>
  <si>
    <t>Lookalike (CA, 4%, BB Visitors (30 Days)</t>
  </si>
  <si>
    <t>Lookalike (CA, 2%) People who like SDM</t>
  </si>
  <si>
    <t>Lookalike (CA, 1%) BB.ca Customer Emails</t>
  </si>
  <si>
    <t>WK 17</t>
  </si>
  <si>
    <t xml:space="preserve">BB.ca Customer Emails </t>
  </si>
  <si>
    <t xml:space="preserve">Redemption event </t>
  </si>
  <si>
    <t>Redemption event + Free shipping (Mother's Day)</t>
  </si>
  <si>
    <t xml:space="preserve">P5 </t>
  </si>
  <si>
    <t>Free Shipping (Mother's Day)</t>
  </si>
  <si>
    <t>WK 18</t>
  </si>
  <si>
    <t>BB.ca Vistors (30 Days)</t>
  </si>
  <si>
    <t>BB.ca (Competitors &amp; Brands)</t>
  </si>
  <si>
    <t>Lookalike (CA, 1%) - BB Vistor + Non Purchaser (60 Days)</t>
  </si>
  <si>
    <t xml:space="preserve">Lookalike (CA, 1%) - BB.ca Email Subs (Mar 30, 2017 </t>
  </si>
  <si>
    <t xml:space="preserve">2x Standard ads, 1x carousel ad  </t>
  </si>
  <si>
    <t xml:space="preserve"> BB.ca Email Subs (Mar 30, 2017)</t>
  </si>
  <si>
    <t xml:space="preserve">2x Standard ads, 1 Carousel </t>
  </si>
  <si>
    <t>Redemption Event + Free Shipping</t>
  </si>
  <si>
    <t xml:space="preserve">20x on $75 (1 Day) + 20x on $50 </t>
  </si>
  <si>
    <t>Mobile Monday</t>
  </si>
  <si>
    <t>WK 23</t>
  </si>
  <si>
    <t xml:space="preserve">P6 </t>
  </si>
  <si>
    <t>[Bluecore] Lookalike Group</t>
  </si>
  <si>
    <t>Top 200K Beauty Customers via SDM</t>
  </si>
  <si>
    <t xml:space="preserve">[Bluecore] Likelihood to Convert - Medium </t>
  </si>
  <si>
    <t>[Bluecore] Likelihood to Convert - High</t>
  </si>
  <si>
    <t xml:space="preserve">[Bluecore] [DG] Predicted CLV - 75th-90th Percentile </t>
  </si>
  <si>
    <t>[Bluecore] [DG] Predicted CLV - Top 10%</t>
  </si>
  <si>
    <t xml:space="preserve">[Bluecore] [DG] Life-Cycle - Repeat Buyer </t>
  </si>
  <si>
    <t xml:space="preserve">[Bluecore] [DG] Life-Cycle - Active Buyer </t>
  </si>
  <si>
    <t>[Bluecore] [DG] Life-Cycle - At-Risk-Buyer</t>
  </si>
  <si>
    <t>-</t>
  </si>
  <si>
    <t>Redemption Event (Spend your PLUS points)</t>
  </si>
  <si>
    <t>Shopping Campaigns</t>
  </si>
  <si>
    <t xml:space="preserve">Redemption Event  </t>
  </si>
  <si>
    <t>20x on $50 + Gift Card Offer</t>
  </si>
  <si>
    <t xml:space="preserve">P7 </t>
  </si>
  <si>
    <t>WK 25</t>
  </si>
  <si>
    <t xml:space="preserve">Email Acquisition </t>
  </si>
  <si>
    <t>Lookalike (CA, 1%) [Bluecore Purchasers]</t>
  </si>
  <si>
    <t>Lookalike CA (1%) Likelihood to Convert - High</t>
  </si>
  <si>
    <t>Lookalike (CA, 1%) [Bluecore] Life-Cycle - Repeat Buyer</t>
  </si>
  <si>
    <t xml:space="preserve">Lookalike (CA, 1%) [Bluecore] Likelihood to Convert - Medium </t>
  </si>
  <si>
    <t>Lookalike (CA, 1%) [Bluecore] Predicted CLV - Top 10%</t>
  </si>
  <si>
    <t>Lookalike (CA, 1%) Life-Cycle At Risk Buyer</t>
  </si>
  <si>
    <t>Lookalike (CA, 1%) Life-Cycle Active Buyer</t>
  </si>
  <si>
    <t xml:space="preserve">Lead Gen Redemption Event </t>
  </si>
  <si>
    <t>Lead Gen/Redemption Event</t>
  </si>
  <si>
    <t>Redemption Event (Online Exclusive)</t>
  </si>
  <si>
    <t xml:space="preserve">Redemption Event </t>
  </si>
  <si>
    <t>Free Shipping on Every Order</t>
  </si>
  <si>
    <t xml:space="preserve">P8 </t>
  </si>
  <si>
    <t xml:space="preserve">2x Standard Ads, 1x Slideshow, 1x Collections Ad, 1x Carousel </t>
  </si>
  <si>
    <t xml:space="preserve">BB.ca Interests </t>
  </si>
  <si>
    <t>BB.ca Competitors/Brands</t>
  </si>
  <si>
    <t xml:space="preserve">[Bluecore][DG] Likelihood to Convert - Medium </t>
  </si>
  <si>
    <t>Interests Skincare (Mobile Only)</t>
  </si>
  <si>
    <t>Interests Makeup (Mobile Only)</t>
  </si>
  <si>
    <t>Competitors/Brands Makeup (Mobile Only)</t>
  </si>
  <si>
    <t>Lookalike Collection (Mobile Only)</t>
  </si>
  <si>
    <t>Lookalike (CA, 1%) - [Bluecore] [DG] Viewed Product - Makeup (Mobile Only)</t>
  </si>
  <si>
    <t>BB.ca Interests (Mobile Only)</t>
  </si>
  <si>
    <t>Competitor/Brands - Skin Care (Mobile Only)</t>
  </si>
  <si>
    <t>BB.ca Competitors/Brands (Mobile Only)</t>
  </si>
  <si>
    <t>Top 200K Beauty Customers via SDM (Mobile Only)</t>
  </si>
  <si>
    <t>[Bluecore][DG] Likelihood to Convert - Medium (Mobile Only)</t>
  </si>
  <si>
    <t>[Bluecore][DG] Likelihood to Convert - High</t>
  </si>
  <si>
    <t>[Bluecore] [DG] Viewed Product - Makeup (Mobile Only)</t>
  </si>
  <si>
    <t>[Bluecore][DG] Likelihood to Convert - High (Mobile Only)</t>
  </si>
  <si>
    <t>[Bluecore] [DG] Predicted CLV - Top 10% (Mobile Only)</t>
  </si>
  <si>
    <t>Interests - Beauty Tools (Mobile Only)</t>
  </si>
  <si>
    <t>Competitor/Brands - Beauty Tools (Mobile Only)</t>
  </si>
  <si>
    <t>Lookalike (CA, 1%) - [Bluecore] [DG] Viewed Product - Skin Care (Mobile Only)</t>
  </si>
  <si>
    <t>[Bluecore] [DG] Viewed Product - Skin Care (Mobile Only)</t>
  </si>
  <si>
    <t>[Bluecore] [DG] Predicted CLV - 30th -75th Percentile (Mobile Only)</t>
  </si>
  <si>
    <t xml:space="preserve">Lookalike Collection </t>
  </si>
  <si>
    <t xml:space="preserve"> [Bluecore] [DG] Predicted CLV - 30th -75th Percentile </t>
  </si>
  <si>
    <t xml:space="preserve"> Top 200K Beauty Customers via SDM</t>
  </si>
  <si>
    <t xml:space="preserve">Visits </t>
  </si>
  <si>
    <t>Residual</t>
  </si>
  <si>
    <t>P3 Awareness</t>
  </si>
  <si>
    <t>Free Shipping</t>
  </si>
  <si>
    <t>Spend (ex Fees)</t>
  </si>
  <si>
    <t>LY Spend (ex Fees)</t>
  </si>
  <si>
    <t>Spend (inc Fees)</t>
  </si>
  <si>
    <t>LY Spend (inc Fees)</t>
  </si>
  <si>
    <t>ROAS (inc Fees)</t>
  </si>
  <si>
    <t>LY ROAS (inc Fees)</t>
  </si>
  <si>
    <t>ROAS (ex Fees)</t>
  </si>
  <si>
    <t>LY ROAS (ex Fees)</t>
  </si>
  <si>
    <t>Promos</t>
  </si>
  <si>
    <t>Remarketing</t>
  </si>
  <si>
    <t>beautyBOUTIQUE.ca 2017 by Week</t>
  </si>
  <si>
    <t>[Bluecore] Life-Cycle - Active Buyer</t>
  </si>
  <si>
    <t>[Bluecore] Predicted CLV - Top 10%</t>
  </si>
  <si>
    <t>[Bluecore] Viewed Product - Makeup (60 Days) - Collection</t>
  </si>
  <si>
    <t>[Bluecore] Viewed Product - Skincare (60 Days) - Collection</t>
  </si>
  <si>
    <t>Competitors/Brands - Makeup - Collection</t>
  </si>
  <si>
    <t>Competitors/Brands - Skincare - Collection</t>
  </si>
  <si>
    <t>Interests - Makeup - Collection</t>
  </si>
  <si>
    <t>Interests - Skincare - Collection</t>
  </si>
  <si>
    <t>Lookalike (CA, 1%) - [Bluecore] Viewed Product - Makeup (60 days) - Collection</t>
  </si>
  <si>
    <t>Lookalike (CA, 1%) - [Bluecore] Viewed Product - Skincare (60 days) - Collection</t>
  </si>
  <si>
    <t>Lookalike Group</t>
  </si>
  <si>
    <t>Top 200k Beauty Customers via SDM</t>
  </si>
  <si>
    <t>Email Acquistion</t>
  </si>
  <si>
    <t>Ebates Oct Media ($10,000, $2,000/week)</t>
  </si>
  <si>
    <t>Ebates Nov Media ($68,450, $17,112.5/week)</t>
  </si>
  <si>
    <t>Ebates Dec Media ($20,000, $5,000/week)</t>
  </si>
  <si>
    <t>Competitors/Brands - Makeup</t>
  </si>
  <si>
    <t>CompetitorsBrands - Skincare</t>
  </si>
  <si>
    <t>Interests - Makeup</t>
  </si>
  <si>
    <t>Interests - Skincare</t>
  </si>
  <si>
    <t>Lookalike - Group</t>
  </si>
  <si>
    <t>20x on 75 week long?</t>
  </si>
  <si>
    <t>Standard and Carousel Holiday Value Prop Women</t>
  </si>
  <si>
    <t>Standard Holiday Value Prop Men</t>
  </si>
  <si>
    <t>Canvas Holiday Value Prop Women</t>
  </si>
  <si>
    <t>LW CPC</t>
  </si>
  <si>
    <t>Carousel Black Friday Week</t>
  </si>
  <si>
    <t>Standard, Video and Carousel Holiday Value Prop Women</t>
  </si>
  <si>
    <t>IG Carousel Black Friday Week</t>
  </si>
  <si>
    <t>Collection Black Friday Week</t>
  </si>
  <si>
    <t>Collection Black Friday Weekend</t>
  </si>
  <si>
    <t>Carousel Black Friday Weekend</t>
  </si>
  <si>
    <t>Collection Cyber Monday</t>
  </si>
  <si>
    <t>Carousel Cyber Monday</t>
  </si>
  <si>
    <t>IG Carousel Black Friday Weekend</t>
  </si>
  <si>
    <t>IG Carousel Cyber Monday</t>
  </si>
  <si>
    <t>Free Shipping Standard</t>
  </si>
  <si>
    <t>Collection Free Shipping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</si>
</sst>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6" formatCode="&quot;$&quot;#,##0_);[Red]\(&quot;$&quot;#,##0\)"/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&quot;$&quot;* #,##0_-;\-&quot;$&quot;* #,##0_-;_-&quot;$&quot;* &quot;-&quot;??_-;_-@"/>
    <numFmt numFmtId="167" formatCode="_-&quot;$&quot;* #,##0.00_-;\-&quot;$&quot;* #,##0.00_-;_-&quot;$&quot;* &quot;-&quot;??_-;_-@"/>
    <numFmt numFmtId="168" formatCode="_-* #,##0_-;\-* #,##0_-;_-* &quot;-&quot;??_-;_-@"/>
    <numFmt numFmtId="169" formatCode="0.0%"/>
    <numFmt numFmtId="170" formatCode="_-&quot;$&quot;* #,##0_-;\-&quot;$&quot;* #,##0_-;_-&quot;$&quot;* &quot;-&quot;??_-;_-@_-"/>
    <numFmt numFmtId="171" formatCode="_-* #,##0_-;\-* #,##0_-;_-* &quot;-&quot;??_-;_-@_-"/>
    <numFmt numFmtId="172" formatCode="0.000%"/>
    <numFmt numFmtId="173" formatCode="&quot;$&quot;#,##0"/>
    <numFmt numFmtId="174" formatCode="&quot;$&quot;#,##0.00"/>
    <numFmt numFmtId="175" formatCode="_(&quot;$&quot;* #,##0.0000_);_(&quot;$&quot;* \(#,##0.0000\);_(&quot;$&quot;* &quot;-&quot;??_);_(@_)"/>
  </numFmts>
  <fonts count="46" x14ac:knownFonts="1">
    <font>
      <sz val="12"/>
      <color rgb="FF000000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rgb="FF000000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i/>
      <sz val="14"/>
      <color rgb="FF000000"/>
      <name val="Calibri"/>
      <family val="2"/>
    </font>
    <font>
      <i/>
      <sz val="14"/>
      <color rgb="FF000000"/>
      <name val="Calibri"/>
      <family val="2"/>
    </font>
    <font>
      <b/>
      <sz val="14"/>
      <color rgb="FF0000FF"/>
      <name val="Calibri"/>
      <family val="2"/>
    </font>
    <font>
      <b/>
      <sz val="12"/>
      <color rgb="FF000000"/>
      <name val="Calibri"/>
      <family val="2"/>
    </font>
    <font>
      <b/>
      <sz val="12"/>
      <color rgb="FF0000FF"/>
      <name val="Calibri"/>
      <family val="2"/>
    </font>
    <font>
      <b/>
      <sz val="12"/>
      <name val="Calibri"/>
      <family val="2"/>
    </font>
    <font>
      <b/>
      <sz val="13"/>
      <color rgb="FF000000"/>
      <name val="Calibri"/>
      <family val="2"/>
    </font>
    <font>
      <i/>
      <sz val="12"/>
      <color rgb="FF000000"/>
      <name val="Calibri"/>
      <family val="2"/>
    </font>
    <font>
      <i/>
      <sz val="12"/>
      <name val="Calibri"/>
      <family val="2"/>
    </font>
    <font>
      <u/>
      <sz val="12"/>
      <color theme="10"/>
      <name val="Calibri"/>
      <family val="2"/>
    </font>
    <font>
      <u/>
      <sz val="12"/>
      <color theme="11"/>
      <name val="Calibri"/>
      <family val="2"/>
    </font>
    <font>
      <sz val="12"/>
      <color rgb="FF000000"/>
      <name val="Calibri"/>
      <family val="2"/>
    </font>
    <font>
      <b/>
      <sz val="18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b/>
      <sz val="14"/>
      <name val="Calibri"/>
      <family val="2"/>
    </font>
    <font>
      <b/>
      <sz val="14"/>
      <color rgb="FF0432FF"/>
      <name val="Calibri"/>
      <family val="2"/>
    </font>
    <font>
      <sz val="11"/>
      <color rgb="FF000000"/>
      <name val="Helvetica"/>
    </font>
    <font>
      <sz val="11"/>
      <color rgb="FF000000"/>
      <name val="Arial"/>
      <family val="2"/>
    </font>
    <font>
      <b/>
      <sz val="11"/>
      <color rgb="FF00B050"/>
      <name val="Arial"/>
      <family val="2"/>
    </font>
    <font>
      <sz val="12"/>
      <name val="Calibri"/>
      <family val="2"/>
    </font>
    <font>
      <sz val="12"/>
      <color theme="1"/>
      <name val="Calibri"/>
    </font>
    <font>
      <sz val="10"/>
      <name val="Arial"/>
      <family val="2"/>
    </font>
    <font>
      <i/>
      <sz val="13"/>
      <color rgb="FF000000"/>
      <name val="Calibri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i/>
      <sz val="16"/>
      <color theme="1"/>
      <name val="Calibri"/>
      <family val="2"/>
      <scheme val="minor"/>
    </font>
    <font>
      <sz val="12"/>
      <color rgb="FFFF0000"/>
      <name val="Calibri"/>
      <family val="2"/>
    </font>
    <font>
      <sz val="12"/>
      <color theme="1"/>
      <name val="Calibri"/>
      <family val="2"/>
    </font>
    <font>
      <sz val="13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DBE5F1"/>
        <bgColor rgb="FFDBE5F1"/>
      </patternFill>
    </fill>
    <fill>
      <patternFill patternType="solid">
        <fgColor rgb="FFF2F2F2"/>
        <bgColor rgb="FFF2F2F2"/>
      </patternFill>
    </fill>
    <fill>
      <patternFill patternType="solid">
        <fgColor rgb="FFDCE6F1"/>
        <bgColor rgb="FFDCE6F1"/>
      </patternFill>
    </fill>
    <fill>
      <patternFill patternType="solid">
        <fgColor rgb="FFD8D8D8"/>
        <bgColor rgb="FFD8D8D8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rgb="FFFFBFCB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0" tint="-0.34998626667073579"/>
        <bgColor rgb="FFDBE5F1"/>
      </patternFill>
    </fill>
    <fill>
      <patternFill patternType="solid">
        <fgColor theme="4" tint="0.79998168889431442"/>
        <bgColor rgb="FFDBE5F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rgb="FF000000"/>
      </left>
      <right/>
      <top/>
      <bottom style="medium">
        <color auto="1"/>
      </bottom>
      <diagonal/>
    </border>
    <border>
      <left style="medium">
        <color rgb="FF000000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</borders>
  <cellStyleXfs count="418">
    <xf numFmtId="0" fontId="0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9" fontId="18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165" fontId="18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58">
    <xf numFmtId="0" fontId="0" fillId="0" borderId="0" xfId="0" applyFont="1" applyAlignment="1"/>
    <xf numFmtId="0" fontId="5" fillId="0" borderId="1" xfId="0" applyFont="1" applyBorder="1" applyAlignment="1">
      <alignment horizontal="center"/>
    </xf>
    <xf numFmtId="0" fontId="5" fillId="0" borderId="0" xfId="0" applyFont="1"/>
    <xf numFmtId="166" fontId="6" fillId="0" borderId="0" xfId="0" applyNumberFormat="1" applyFont="1"/>
    <xf numFmtId="167" fontId="6" fillId="0" borderId="0" xfId="0" applyNumberFormat="1" applyFont="1"/>
    <xf numFmtId="168" fontId="6" fillId="0" borderId="0" xfId="0" applyNumberFormat="1" applyFont="1"/>
    <xf numFmtId="169" fontId="6" fillId="0" borderId="0" xfId="0" applyNumberFormat="1" applyFont="1"/>
    <xf numFmtId="0" fontId="7" fillId="3" borderId="2" xfId="0" applyFont="1" applyFill="1" applyBorder="1" applyAlignment="1">
      <alignment horizontal="right"/>
    </xf>
    <xf numFmtId="166" fontId="6" fillId="3" borderId="2" xfId="0" applyNumberFormat="1" applyFont="1" applyFill="1" applyBorder="1"/>
    <xf numFmtId="167" fontId="8" fillId="3" borderId="2" xfId="0" applyNumberFormat="1" applyFont="1" applyFill="1" applyBorder="1"/>
    <xf numFmtId="168" fontId="6" fillId="3" borderId="2" xfId="0" applyNumberFormat="1" applyFont="1" applyFill="1" applyBorder="1"/>
    <xf numFmtId="166" fontId="8" fillId="3" borderId="2" xfId="0" applyNumberFormat="1" applyFont="1" applyFill="1" applyBorder="1"/>
    <xf numFmtId="169" fontId="8" fillId="3" borderId="2" xfId="0" applyNumberFormat="1" applyFont="1" applyFill="1" applyBorder="1"/>
    <xf numFmtId="0" fontId="5" fillId="0" borderId="1" xfId="0" applyFont="1" applyBorder="1"/>
    <xf numFmtId="166" fontId="6" fillId="0" borderId="1" xfId="0" applyNumberFormat="1" applyFont="1" applyBorder="1"/>
    <xf numFmtId="167" fontId="6" fillId="0" borderId="1" xfId="0" applyNumberFormat="1" applyFont="1" applyBorder="1"/>
    <xf numFmtId="168" fontId="6" fillId="0" borderId="1" xfId="0" applyNumberFormat="1" applyFont="1" applyBorder="1"/>
    <xf numFmtId="169" fontId="6" fillId="0" borderId="1" xfId="0" applyNumberFormat="1" applyFont="1" applyBorder="1"/>
    <xf numFmtId="0" fontId="9" fillId="0" borderId="0" xfId="0" applyFont="1"/>
    <xf numFmtId="166" fontId="9" fillId="0" borderId="0" xfId="0" applyNumberFormat="1" applyFont="1" applyAlignment="1">
      <alignment horizontal="center"/>
    </xf>
    <xf numFmtId="167" fontId="9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0" fontId="0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9" fontId="11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2" borderId="0" xfId="0" applyFont="1" applyFill="1" applyBorder="1" applyAlignment="1">
      <alignment horizontal="left"/>
    </xf>
    <xf numFmtId="16" fontId="13" fillId="2" borderId="0" xfId="0" applyNumberFormat="1" applyFont="1" applyFill="1" applyBorder="1" applyAlignment="1">
      <alignment horizontal="left"/>
    </xf>
    <xf numFmtId="0" fontId="13" fillId="2" borderId="0" xfId="0" applyFont="1" applyFill="1" applyBorder="1"/>
    <xf numFmtId="166" fontId="10" fillId="2" borderId="0" xfId="0" applyNumberFormat="1" applyFont="1" applyFill="1" applyBorder="1"/>
    <xf numFmtId="9" fontId="10" fillId="2" borderId="0" xfId="0" applyNumberFormat="1" applyFont="1" applyFill="1" applyBorder="1"/>
    <xf numFmtId="167" fontId="10" fillId="2" borderId="0" xfId="0" applyNumberFormat="1" applyFont="1" applyFill="1" applyBorder="1"/>
    <xf numFmtId="168" fontId="10" fillId="2" borderId="0" xfId="0" applyNumberFormat="1" applyFont="1" applyFill="1" applyBorder="1"/>
    <xf numFmtId="0" fontId="0" fillId="0" borderId="0" xfId="0" applyFont="1"/>
    <xf numFmtId="0" fontId="14" fillId="0" borderId="0" xfId="0" applyFont="1" applyAlignment="1">
      <alignment horizontal="right"/>
    </xf>
    <xf numFmtId="16" fontId="14" fillId="0" borderId="0" xfId="0" applyNumberFormat="1" applyFont="1" applyAlignment="1">
      <alignment horizontal="right"/>
    </xf>
    <xf numFmtId="166" fontId="0" fillId="0" borderId="0" xfId="0" applyNumberFormat="1" applyFont="1"/>
    <xf numFmtId="9" fontId="0" fillId="0" borderId="0" xfId="0" applyNumberFormat="1" applyFont="1"/>
    <xf numFmtId="167" fontId="0" fillId="0" borderId="0" xfId="0" applyNumberFormat="1" applyFont="1"/>
    <xf numFmtId="168" fontId="0" fillId="0" borderId="0" xfId="0" applyNumberFormat="1" applyFont="1"/>
    <xf numFmtId="166" fontId="0" fillId="0" borderId="0" xfId="0" applyNumberFormat="1" applyFont="1" applyAlignment="1"/>
    <xf numFmtId="0" fontId="0" fillId="0" borderId="0" xfId="0" applyFont="1" applyAlignment="1">
      <alignment horizontal="center"/>
    </xf>
    <xf numFmtId="16" fontId="0" fillId="0" borderId="0" xfId="0" applyNumberFormat="1" applyFont="1"/>
    <xf numFmtId="16" fontId="0" fillId="0" borderId="0" xfId="0" applyNumberFormat="1" applyFont="1" applyAlignment="1">
      <alignment horizontal="center"/>
    </xf>
    <xf numFmtId="168" fontId="10" fillId="0" borderId="0" xfId="0" applyNumberFormat="1" applyFont="1" applyAlignment="1">
      <alignment horizontal="center"/>
    </xf>
    <xf numFmtId="168" fontId="10" fillId="0" borderId="0" xfId="0" applyNumberFormat="1" applyFont="1" applyAlignment="1">
      <alignment horizontal="center"/>
    </xf>
    <xf numFmtId="0" fontId="13" fillId="2" borderId="0" xfId="0" applyFont="1" applyFill="1" applyBorder="1" applyAlignment="1">
      <alignment horizontal="center"/>
    </xf>
    <xf numFmtId="16" fontId="13" fillId="2" borderId="0" xfId="0" applyNumberFormat="1" applyFont="1" applyFill="1" applyBorder="1" applyAlignment="1">
      <alignment horizontal="center"/>
    </xf>
    <xf numFmtId="166" fontId="0" fillId="2" borderId="0" xfId="0" applyNumberFormat="1" applyFont="1" applyFill="1" applyBorder="1"/>
    <xf numFmtId="9" fontId="0" fillId="2" borderId="0" xfId="0" applyNumberFormat="1" applyFont="1" applyFill="1" applyBorder="1"/>
    <xf numFmtId="167" fontId="0" fillId="2" borderId="0" xfId="0" applyNumberFormat="1" applyFont="1" applyFill="1" applyBorder="1"/>
    <xf numFmtId="168" fontId="0" fillId="2" borderId="0" xfId="0" applyNumberFormat="1" applyFont="1" applyFill="1" applyBorder="1"/>
    <xf numFmtId="166" fontId="0" fillId="2" borderId="0" xfId="0" applyNumberFormat="1" applyFont="1" applyFill="1" applyBorder="1" applyAlignment="1"/>
    <xf numFmtId="168" fontId="0" fillId="2" borderId="0" xfId="0" applyNumberFormat="1" applyFont="1" applyFill="1" applyBorder="1" applyAlignment="1"/>
    <xf numFmtId="166" fontId="0" fillId="4" borderId="0" xfId="0" applyNumberFormat="1" applyFont="1" applyFill="1" applyBorder="1"/>
    <xf numFmtId="168" fontId="0" fillId="4" borderId="0" xfId="0" applyNumberFormat="1" applyFont="1" applyFill="1" applyBorder="1"/>
    <xf numFmtId="0" fontId="13" fillId="2" borderId="1" xfId="0" applyFont="1" applyFill="1" applyBorder="1" applyAlignment="1">
      <alignment horizontal="center"/>
    </xf>
    <xf numFmtId="16" fontId="13" fillId="2" borderId="1" xfId="0" applyNumberFormat="1" applyFont="1" applyFill="1" applyBorder="1" applyAlignment="1">
      <alignment horizontal="center"/>
    </xf>
    <xf numFmtId="166" fontId="0" fillId="2" borderId="1" xfId="0" applyNumberFormat="1" applyFont="1" applyFill="1" applyBorder="1"/>
    <xf numFmtId="9" fontId="0" fillId="2" borderId="1" xfId="0" applyNumberFormat="1" applyFont="1" applyFill="1" applyBorder="1"/>
    <xf numFmtId="167" fontId="0" fillId="2" borderId="1" xfId="0" applyNumberFormat="1" applyFont="1" applyFill="1" applyBorder="1"/>
    <xf numFmtId="168" fontId="0" fillId="2" borderId="1" xfId="0" applyNumberFormat="1" applyFont="1" applyFill="1" applyBorder="1"/>
    <xf numFmtId="168" fontId="0" fillId="4" borderId="1" xfId="0" applyNumberFormat="1" applyFont="1" applyFill="1" applyBorder="1"/>
    <xf numFmtId="0" fontId="11" fillId="0" borderId="0" xfId="0" applyFont="1" applyAlignment="1">
      <alignment horizontal="center"/>
    </xf>
    <xf numFmtId="0" fontId="0" fillId="2" borderId="0" xfId="0" applyFont="1" applyFill="1" applyBorder="1"/>
    <xf numFmtId="0" fontId="0" fillId="0" borderId="0" xfId="0" applyFont="1" applyBorder="1"/>
    <xf numFmtId="0" fontId="13" fillId="2" borderId="4" xfId="0" applyFont="1" applyFill="1" applyBorder="1" applyAlignment="1">
      <alignment horizontal="center"/>
    </xf>
    <xf numFmtId="16" fontId="13" fillId="2" borderId="4" xfId="0" applyNumberFormat="1" applyFont="1" applyFill="1" applyBorder="1" applyAlignment="1">
      <alignment horizontal="center"/>
    </xf>
    <xf numFmtId="166" fontId="0" fillId="2" borderId="4" xfId="0" applyNumberFormat="1" applyFont="1" applyFill="1" applyBorder="1" applyAlignment="1"/>
    <xf numFmtId="166" fontId="0" fillId="2" borderId="4" xfId="0" applyNumberFormat="1" applyFont="1" applyFill="1" applyBorder="1"/>
    <xf numFmtId="9" fontId="0" fillId="2" borderId="4" xfId="0" applyNumberFormat="1" applyFont="1" applyFill="1" applyBorder="1"/>
    <xf numFmtId="167" fontId="0" fillId="2" borderId="4" xfId="0" applyNumberFormat="1" applyFont="1" applyFill="1" applyBorder="1"/>
    <xf numFmtId="168" fontId="0" fillId="2" borderId="4" xfId="0" applyNumberFormat="1" applyFont="1" applyFill="1" applyBorder="1" applyAlignment="1"/>
    <xf numFmtId="168" fontId="0" fillId="2" borderId="4" xfId="0" applyNumberFormat="1" applyFont="1" applyFill="1" applyBorder="1"/>
    <xf numFmtId="0" fontId="0" fillId="0" borderId="4" xfId="0" applyFont="1" applyBorder="1"/>
    <xf numFmtId="166" fontId="0" fillId="4" borderId="4" xfId="0" applyNumberFormat="1" applyFont="1" applyFill="1" applyBorder="1"/>
    <xf numFmtId="168" fontId="0" fillId="4" borderId="4" xfId="0" applyNumberFormat="1" applyFont="1" applyFill="1" applyBorder="1"/>
    <xf numFmtId="0" fontId="0" fillId="0" borderId="4" xfId="0" applyFont="1" applyBorder="1" applyAlignment="1"/>
    <xf numFmtId="0" fontId="0" fillId="0" borderId="0" xfId="0" applyFont="1" applyBorder="1" applyAlignment="1"/>
    <xf numFmtId="10" fontId="0" fillId="2" borderId="0" xfId="26" applyNumberFormat="1" applyFont="1" applyFill="1" applyBorder="1"/>
    <xf numFmtId="10" fontId="0" fillId="2" borderId="4" xfId="26" applyNumberFormat="1" applyFont="1" applyFill="1" applyBorder="1"/>
    <xf numFmtId="10" fontId="0" fillId="0" borderId="0" xfId="26" applyNumberFormat="1" applyFont="1"/>
    <xf numFmtId="10" fontId="0" fillId="0" borderId="0" xfId="26" applyNumberFormat="1" applyFont="1" applyAlignment="1"/>
    <xf numFmtId="0" fontId="0" fillId="0" borderId="0" xfId="0" applyFont="1" applyFill="1" applyBorder="1"/>
    <xf numFmtId="10" fontId="10" fillId="2" borderId="0" xfId="26" applyNumberFormat="1" applyFont="1" applyFill="1" applyBorder="1"/>
    <xf numFmtId="10" fontId="10" fillId="2" borderId="0" xfId="0" applyNumberFormat="1" applyFont="1" applyFill="1" applyBorder="1"/>
    <xf numFmtId="10" fontId="0" fillId="2" borderId="0" xfId="0" applyNumberFormat="1" applyFont="1" applyFill="1" applyBorder="1"/>
    <xf numFmtId="9" fontId="6" fillId="0" borderId="0" xfId="26" applyFont="1"/>
    <xf numFmtId="9" fontId="0" fillId="0" borderId="0" xfId="26" applyFont="1" applyAlignment="1"/>
    <xf numFmtId="9" fontId="9" fillId="0" borderId="0" xfId="26" applyNumberFormat="1" applyFont="1" applyAlignment="1">
      <alignment horizontal="center"/>
    </xf>
    <xf numFmtId="9" fontId="6" fillId="0" borderId="0" xfId="26" applyNumberFormat="1" applyFont="1"/>
    <xf numFmtId="9" fontId="6" fillId="3" borderId="2" xfId="26" applyNumberFormat="1" applyFont="1" applyFill="1" applyBorder="1"/>
    <xf numFmtId="9" fontId="6" fillId="0" borderId="1" xfId="26" applyNumberFormat="1" applyFont="1" applyBorder="1"/>
    <xf numFmtId="0" fontId="0" fillId="0" borderId="0" xfId="0" applyFont="1" applyFill="1" applyBorder="1" applyAlignment="1"/>
    <xf numFmtId="170" fontId="10" fillId="2" borderId="0" xfId="9" applyNumberFormat="1" applyFont="1" applyFill="1" applyBorder="1"/>
    <xf numFmtId="170" fontId="0" fillId="0" borderId="0" xfId="9" applyNumberFormat="1" applyFont="1" applyAlignment="1"/>
    <xf numFmtId="169" fontId="0" fillId="2" borderId="0" xfId="0" applyNumberFormat="1" applyFont="1" applyFill="1" applyBorder="1"/>
    <xf numFmtId="169" fontId="0" fillId="2" borderId="4" xfId="0" applyNumberFormat="1" applyFont="1" applyFill="1" applyBorder="1"/>
    <xf numFmtId="169" fontId="0" fillId="2" borderId="1" xfId="0" applyNumberFormat="1" applyFont="1" applyFill="1" applyBorder="1"/>
    <xf numFmtId="9" fontId="11" fillId="0" borderId="0" xfId="26" applyFont="1" applyAlignment="1">
      <alignment horizontal="center"/>
    </xf>
    <xf numFmtId="9" fontId="0" fillId="2" borderId="0" xfId="26" applyFont="1" applyFill="1" applyBorder="1"/>
    <xf numFmtId="9" fontId="0" fillId="2" borderId="4" xfId="26" applyFont="1" applyFill="1" applyBorder="1"/>
    <xf numFmtId="9" fontId="0" fillId="0" borderId="0" xfId="26" applyFont="1"/>
    <xf numFmtId="0" fontId="0" fillId="0" borderId="5" xfId="0" applyFont="1" applyBorder="1"/>
    <xf numFmtId="166" fontId="0" fillId="2" borderId="5" xfId="0" applyNumberFormat="1" applyFont="1" applyFill="1" applyBorder="1"/>
    <xf numFmtId="0" fontId="0" fillId="0" borderId="5" xfId="0" applyFont="1" applyBorder="1" applyAlignment="1"/>
    <xf numFmtId="166" fontId="0" fillId="0" borderId="0" xfId="0" applyNumberFormat="1" applyFont="1" applyBorder="1"/>
    <xf numFmtId="9" fontId="0" fillId="0" borderId="0" xfId="0" applyNumberFormat="1" applyFont="1" applyBorder="1"/>
    <xf numFmtId="167" fontId="0" fillId="0" borderId="0" xfId="0" applyNumberFormat="1" applyFont="1" applyBorder="1"/>
    <xf numFmtId="168" fontId="0" fillId="0" borderId="0" xfId="0" applyNumberFormat="1" applyFont="1" applyBorder="1"/>
    <xf numFmtId="10" fontId="0" fillId="0" borderId="0" xfId="0" applyNumberFormat="1" applyFont="1" applyBorder="1"/>
    <xf numFmtId="170" fontId="0" fillId="0" borderId="0" xfId="9" applyNumberFormat="1" applyFont="1" applyBorder="1"/>
    <xf numFmtId="166" fontId="10" fillId="2" borderId="5" xfId="0" applyNumberFormat="1" applyFont="1" applyFill="1" applyBorder="1"/>
    <xf numFmtId="9" fontId="10" fillId="2" borderId="5" xfId="0" applyNumberFormat="1" applyFont="1" applyFill="1" applyBorder="1"/>
    <xf numFmtId="167" fontId="10" fillId="2" borderId="5" xfId="0" applyNumberFormat="1" applyFont="1" applyFill="1" applyBorder="1"/>
    <xf numFmtId="168" fontId="10" fillId="2" borderId="5" xfId="0" applyNumberFormat="1" applyFont="1" applyFill="1" applyBorder="1"/>
    <xf numFmtId="10" fontId="10" fillId="2" borderId="5" xfId="0" applyNumberFormat="1" applyFont="1" applyFill="1" applyBorder="1"/>
    <xf numFmtId="170" fontId="10" fillId="2" borderId="5" xfId="9" applyNumberFormat="1" applyFont="1" applyFill="1" applyBorder="1"/>
    <xf numFmtId="171" fontId="20" fillId="0" borderId="0" xfId="391" applyNumberFormat="1" applyFont="1" applyFill="1" applyBorder="1"/>
    <xf numFmtId="0" fontId="21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70" fontId="20" fillId="0" borderId="0" xfId="9" applyNumberFormat="1" applyFont="1" applyFill="1" applyBorder="1" applyAlignment="1">
      <alignment horizontal="center"/>
    </xf>
    <xf numFmtId="170" fontId="22" fillId="0" borderId="0" xfId="9" applyNumberFormat="1" applyFont="1" applyFill="1" applyBorder="1" applyAlignment="1">
      <alignment horizontal="center"/>
    </xf>
    <xf numFmtId="9" fontId="20" fillId="0" borderId="0" xfId="26" applyFont="1" applyFill="1" applyBorder="1" applyAlignment="1">
      <alignment horizontal="center"/>
    </xf>
    <xf numFmtId="171" fontId="20" fillId="0" borderId="0" xfId="391" applyNumberFormat="1" applyFont="1" applyFill="1" applyBorder="1" applyAlignment="1">
      <alignment horizontal="center"/>
    </xf>
    <xf numFmtId="170" fontId="20" fillId="0" borderId="0" xfId="9" applyNumberFormat="1" applyFont="1" applyFill="1" applyBorder="1"/>
    <xf numFmtId="170" fontId="22" fillId="0" borderId="0" xfId="9" applyNumberFormat="1" applyFont="1" applyFill="1" applyBorder="1"/>
    <xf numFmtId="170" fontId="20" fillId="0" borderId="0" xfId="9" applyNumberFormat="1" applyFont="1" applyFill="1" applyBorder="1" applyAlignment="1">
      <alignment vertical="center"/>
    </xf>
    <xf numFmtId="0" fontId="21" fillId="8" borderId="0" xfId="0" applyFont="1" applyFill="1" applyBorder="1" applyAlignment="1">
      <alignment horizontal="center"/>
    </xf>
    <xf numFmtId="170" fontId="20" fillId="8" borderId="0" xfId="9" applyNumberFormat="1" applyFont="1" applyFill="1" applyBorder="1"/>
    <xf numFmtId="170" fontId="22" fillId="8" borderId="0" xfId="9" applyNumberFormat="1" applyFont="1" applyFill="1" applyBorder="1"/>
    <xf numFmtId="170" fontId="20" fillId="8" borderId="0" xfId="9" applyNumberFormat="1" applyFont="1" applyFill="1" applyBorder="1" applyAlignment="1">
      <alignment horizontal="center"/>
    </xf>
    <xf numFmtId="9" fontId="20" fillId="8" borderId="0" xfId="26" applyFont="1" applyFill="1" applyBorder="1" applyAlignment="1">
      <alignment horizontal="center"/>
    </xf>
    <xf numFmtId="164" fontId="20" fillId="0" borderId="0" xfId="9" applyNumberFormat="1" applyFont="1" applyFill="1" applyBorder="1"/>
    <xf numFmtId="167" fontId="0" fillId="0" borderId="0" xfId="0" applyNumberFormat="1" applyFont="1" applyAlignment="1"/>
    <xf numFmtId="170" fontId="23" fillId="6" borderId="0" xfId="9" applyNumberFormat="1" applyFont="1" applyFill="1" applyBorder="1"/>
    <xf numFmtId="171" fontId="23" fillId="6" borderId="0" xfId="391" applyNumberFormat="1" applyFont="1" applyFill="1" applyBorder="1"/>
    <xf numFmtId="171" fontId="24" fillId="9" borderId="0" xfId="0" applyNumberFormat="1" applyFont="1" applyFill="1"/>
    <xf numFmtId="0" fontId="25" fillId="0" borderId="0" xfId="0" applyFont="1" applyBorder="1"/>
    <xf numFmtId="164" fontId="10" fillId="2" borderId="0" xfId="9" applyFont="1" applyFill="1" applyBorder="1"/>
    <xf numFmtId="172" fontId="10" fillId="2" borderId="0" xfId="0" applyNumberFormat="1" applyFont="1" applyFill="1" applyBorder="1"/>
    <xf numFmtId="10" fontId="0" fillId="2" borderId="4" xfId="0" applyNumberFormat="1" applyFont="1" applyFill="1" applyBorder="1"/>
    <xf numFmtId="10" fontId="0" fillId="2" borderId="1" xfId="0" applyNumberFormat="1" applyFont="1" applyFill="1" applyBorder="1"/>
    <xf numFmtId="9" fontId="10" fillId="2" borderId="0" xfId="26" applyFont="1" applyFill="1" applyBorder="1"/>
    <xf numFmtId="9" fontId="10" fillId="10" borderId="0" xfId="0" applyNumberFormat="1" applyFont="1" applyFill="1" applyBorder="1"/>
    <xf numFmtId="0" fontId="10" fillId="0" borderId="4" xfId="0" applyFont="1" applyBorder="1" applyAlignment="1">
      <alignment horizontal="center"/>
    </xf>
    <xf numFmtId="168" fontId="10" fillId="0" borderId="4" xfId="0" applyNumberFormat="1" applyFont="1" applyBorder="1" applyAlignment="1">
      <alignment horizontal="center"/>
    </xf>
    <xf numFmtId="10" fontId="12" fillId="0" borderId="4" xfId="26" applyNumberFormat="1" applyFont="1" applyBorder="1" applyAlignment="1">
      <alignment horizontal="center"/>
    </xf>
    <xf numFmtId="16" fontId="0" fillId="0" borderId="0" xfId="0" applyNumberFormat="1" applyFont="1" applyAlignment="1"/>
    <xf numFmtId="164" fontId="0" fillId="0" borderId="0" xfId="9" applyNumberFormat="1" applyFont="1" applyAlignment="1"/>
    <xf numFmtId="171" fontId="0" fillId="0" borderId="0" xfId="391" applyNumberFormat="1" applyFont="1" applyAlignment="1"/>
    <xf numFmtId="0" fontId="10" fillId="0" borderId="7" xfId="0" applyFont="1" applyBorder="1" applyAlignment="1">
      <alignment horizontal="center"/>
    </xf>
    <xf numFmtId="16" fontId="0" fillId="0" borderId="6" xfId="0" applyNumberFormat="1" applyFont="1" applyBorder="1" applyAlignment="1"/>
    <xf numFmtId="0" fontId="0" fillId="0" borderId="6" xfId="0" applyFont="1" applyBorder="1" applyAlignment="1"/>
    <xf numFmtId="0" fontId="6" fillId="0" borderId="0" xfId="0" applyFont="1"/>
    <xf numFmtId="0" fontId="6" fillId="0" borderId="0" xfId="0" applyFont="1" applyAlignment="1"/>
    <xf numFmtId="0" fontId="26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169" fontId="6" fillId="0" borderId="0" xfId="26" applyNumberFormat="1" applyFont="1"/>
    <xf numFmtId="169" fontId="6" fillId="3" borderId="2" xfId="26" applyNumberFormat="1" applyFont="1" applyFill="1" applyBorder="1"/>
    <xf numFmtId="169" fontId="6" fillId="0" borderId="1" xfId="26" applyNumberFormat="1" applyFont="1" applyBorder="1"/>
    <xf numFmtId="169" fontId="9" fillId="0" borderId="0" xfId="26" applyNumberFormat="1" applyFont="1" applyAlignment="1">
      <alignment horizontal="center"/>
    </xf>
    <xf numFmtId="164" fontId="6" fillId="0" borderId="0" xfId="9" applyNumberFormat="1" applyFont="1"/>
    <xf numFmtId="164" fontId="6" fillId="3" borderId="2" xfId="9" applyNumberFormat="1" applyFont="1" applyFill="1" applyBorder="1"/>
    <xf numFmtId="164" fontId="6" fillId="0" borderId="1" xfId="9" applyNumberFormat="1" applyFont="1" applyBorder="1"/>
    <xf numFmtId="164" fontId="9" fillId="0" borderId="0" xfId="9" applyNumberFormat="1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0" xfId="0" applyFont="1" applyAlignment="1">
      <alignment horizontal="center"/>
    </xf>
    <xf numFmtId="16" fontId="5" fillId="0" borderId="0" xfId="0" applyNumberFormat="1" applyFont="1" applyAlignment="1">
      <alignment horizontal="center"/>
    </xf>
    <xf numFmtId="166" fontId="5" fillId="0" borderId="0" xfId="0" applyNumberFormat="1" applyFont="1"/>
    <xf numFmtId="167" fontId="5" fillId="0" borderId="0" xfId="0" applyNumberFormat="1" applyFont="1"/>
    <xf numFmtId="168" fontId="5" fillId="0" borderId="0" xfId="0" applyNumberFormat="1" applyFont="1"/>
    <xf numFmtId="10" fontId="5" fillId="0" borderId="0" xfId="26" applyNumberFormat="1" applyFont="1"/>
    <xf numFmtId="9" fontId="5" fillId="0" borderId="0" xfId="26" applyFont="1"/>
    <xf numFmtId="9" fontId="5" fillId="2" borderId="4" xfId="0" applyNumberFormat="1" applyFont="1" applyFill="1" applyBorder="1"/>
    <xf numFmtId="166" fontId="3" fillId="6" borderId="0" xfId="9" applyNumberFormat="1" applyFont="1" applyFill="1" applyBorder="1"/>
    <xf numFmtId="0" fontId="5" fillId="0" borderId="0" xfId="0" applyFont="1" applyAlignment="1"/>
    <xf numFmtId="0" fontId="10" fillId="0" borderId="0" xfId="0" applyFont="1" applyAlignment="1">
      <alignment horizontal="center" vertical="center" wrapText="1"/>
    </xf>
    <xf numFmtId="9" fontId="11" fillId="0" borderId="0" xfId="0" applyNumberFormat="1" applyFont="1" applyAlignment="1">
      <alignment horizontal="center" vertical="center" wrapText="1"/>
    </xf>
    <xf numFmtId="168" fontId="10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0" fontId="12" fillId="0" borderId="0" xfId="26" applyNumberFormat="1" applyFont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166" fontId="0" fillId="6" borderId="0" xfId="0" applyNumberFormat="1" applyFont="1" applyFill="1" applyBorder="1"/>
    <xf numFmtId="9" fontId="5" fillId="2" borderId="1" xfId="26" applyFont="1" applyFill="1" applyBorder="1"/>
    <xf numFmtId="9" fontId="5" fillId="0" borderId="0" xfId="26" applyFont="1" applyFill="1" applyBorder="1"/>
    <xf numFmtId="170" fontId="0" fillId="2" borderId="0" xfId="9" applyNumberFormat="1" applyFont="1" applyFill="1" applyBorder="1"/>
    <xf numFmtId="170" fontId="0" fillId="2" borderId="0" xfId="9" applyNumberFormat="1" applyFont="1" applyFill="1" applyBorder="1" applyAlignment="1"/>
    <xf numFmtId="170" fontId="0" fillId="2" borderId="4" xfId="9" applyNumberFormat="1" applyFont="1" applyFill="1" applyBorder="1" applyAlignment="1"/>
    <xf numFmtId="170" fontId="0" fillId="2" borderId="4" xfId="9" applyNumberFormat="1" applyFont="1" applyFill="1" applyBorder="1"/>
    <xf numFmtId="170" fontId="0" fillId="4" borderId="4" xfId="9" applyNumberFormat="1" applyFont="1" applyFill="1" applyBorder="1"/>
    <xf numFmtId="170" fontId="0" fillId="4" borderId="0" xfId="9" applyNumberFormat="1" applyFont="1" applyFill="1" applyBorder="1"/>
    <xf numFmtId="170" fontId="0" fillId="2" borderId="0" xfId="0" applyNumberFormat="1" applyFont="1" applyFill="1" applyBorder="1"/>
    <xf numFmtId="170" fontId="0" fillId="2" borderId="1" xfId="0" applyNumberFormat="1" applyFont="1" applyFill="1" applyBorder="1"/>
    <xf numFmtId="166" fontId="10" fillId="0" borderId="0" xfId="0" applyNumberFormat="1" applyFont="1" applyAlignment="1">
      <alignment horizontal="center" vertical="center" wrapText="1"/>
    </xf>
    <xf numFmtId="167" fontId="10" fillId="0" borderId="0" xfId="0" applyNumberFormat="1" applyFont="1" applyAlignment="1">
      <alignment horizontal="center" vertical="center" wrapText="1"/>
    </xf>
    <xf numFmtId="9" fontId="12" fillId="0" borderId="0" xfId="0" applyNumberFormat="1" applyFont="1" applyAlignment="1">
      <alignment horizontal="center" vertical="center" wrapText="1"/>
    </xf>
    <xf numFmtId="0" fontId="21" fillId="0" borderId="4" xfId="0" applyFont="1" applyFill="1" applyBorder="1" applyAlignment="1">
      <alignment horizontal="center"/>
    </xf>
    <xf numFmtId="170" fontId="20" fillId="0" borderId="4" xfId="9" applyNumberFormat="1" applyFont="1" applyFill="1" applyBorder="1"/>
    <xf numFmtId="170" fontId="22" fillId="0" borderId="4" xfId="9" applyNumberFormat="1" applyFont="1" applyFill="1" applyBorder="1" applyAlignment="1">
      <alignment horizontal="center"/>
    </xf>
    <xf numFmtId="170" fontId="20" fillId="0" borderId="4" xfId="9" applyNumberFormat="1" applyFont="1" applyFill="1" applyBorder="1" applyAlignment="1">
      <alignment horizontal="center"/>
    </xf>
    <xf numFmtId="9" fontId="20" fillId="0" borderId="4" xfId="26" applyFont="1" applyFill="1" applyBorder="1" applyAlignment="1">
      <alignment horizontal="center"/>
    </xf>
    <xf numFmtId="170" fontId="22" fillId="0" borderId="4" xfId="9" applyNumberFormat="1" applyFont="1" applyFill="1" applyBorder="1"/>
    <xf numFmtId="0" fontId="21" fillId="0" borderId="4" xfId="0" applyFont="1" applyFill="1" applyBorder="1" applyAlignment="1">
      <alignment horizontal="center" vertical="center"/>
    </xf>
    <xf numFmtId="3" fontId="0" fillId="0" borderId="0" xfId="0" applyNumberFormat="1" applyFont="1" applyAlignment="1"/>
    <xf numFmtId="0" fontId="25" fillId="0" borderId="0" xfId="0" applyFont="1" applyFill="1" applyBorder="1" applyAlignment="1"/>
    <xf numFmtId="3" fontId="0" fillId="0" borderId="0" xfId="9" applyNumberFormat="1" applyFont="1" applyAlignment="1"/>
    <xf numFmtId="1" fontId="0" fillId="0" borderId="0" xfId="9" applyNumberFormat="1" applyFont="1" applyAlignment="1"/>
    <xf numFmtId="0" fontId="25" fillId="0" borderId="0" xfId="0" applyFont="1" applyAlignment="1"/>
    <xf numFmtId="171" fontId="0" fillId="0" borderId="0" xfId="0" applyNumberFormat="1" applyFont="1" applyAlignment="1"/>
    <xf numFmtId="6" fontId="29" fillId="0" borderId="0" xfId="0" applyNumberFormat="1" applyFont="1" applyAlignment="1">
      <alignment horizontal="center" vertical="center" wrapText="1" readingOrder="1"/>
    </xf>
    <xf numFmtId="6" fontId="30" fillId="0" borderId="0" xfId="0" applyNumberFormat="1" applyFont="1" applyAlignment="1">
      <alignment horizontal="center" vertical="center" wrapText="1" readingOrder="1"/>
    </xf>
    <xf numFmtId="6" fontId="28" fillId="0" borderId="0" xfId="0" applyNumberFormat="1" applyFont="1" applyAlignment="1">
      <alignment horizontal="center" wrapText="1" readingOrder="1"/>
    </xf>
    <xf numFmtId="0" fontId="0" fillId="0" borderId="0" xfId="0" applyFont="1" applyAlignment="1">
      <alignment horizontal="right"/>
    </xf>
    <xf numFmtId="0" fontId="0" fillId="0" borderId="0" xfId="0" applyFont="1" applyFill="1" applyAlignment="1"/>
    <xf numFmtId="16" fontId="0" fillId="0" borderId="0" xfId="0" applyNumberFormat="1" applyFont="1" applyFill="1" applyAlignment="1"/>
    <xf numFmtId="16" fontId="0" fillId="0" borderId="6" xfId="0" applyNumberFormat="1" applyFont="1" applyFill="1" applyBorder="1" applyAlignment="1"/>
    <xf numFmtId="170" fontId="0" fillId="0" borderId="0" xfId="9" applyNumberFormat="1" applyFont="1" applyFill="1" applyAlignment="1"/>
    <xf numFmtId="164" fontId="0" fillId="0" borderId="0" xfId="9" applyNumberFormat="1" applyFont="1" applyFill="1" applyAlignment="1"/>
    <xf numFmtId="3" fontId="0" fillId="0" borderId="0" xfId="9" applyNumberFormat="1" applyFont="1" applyFill="1" applyAlignment="1"/>
    <xf numFmtId="1" fontId="0" fillId="0" borderId="0" xfId="9" applyNumberFormat="1" applyFont="1" applyFill="1" applyAlignment="1"/>
    <xf numFmtId="10" fontId="0" fillId="0" borderId="0" xfId="26" applyNumberFormat="1" applyFont="1" applyFill="1" applyAlignment="1"/>
    <xf numFmtId="171" fontId="0" fillId="0" borderId="0" xfId="0" applyNumberFormat="1" applyFont="1" applyFill="1" applyAlignment="1"/>
    <xf numFmtId="0" fontId="18" fillId="0" borderId="0" xfId="0" applyFont="1" applyFill="1" applyAlignment="1"/>
    <xf numFmtId="0" fontId="31" fillId="0" borderId="0" xfId="0" applyFont="1" applyFill="1" applyAlignment="1"/>
    <xf numFmtId="16" fontId="31" fillId="0" borderId="0" xfId="0" applyNumberFormat="1" applyFont="1" applyFill="1" applyAlignment="1"/>
    <xf numFmtId="16" fontId="31" fillId="0" borderId="6" xfId="0" applyNumberFormat="1" applyFont="1" applyFill="1" applyBorder="1" applyAlignment="1"/>
    <xf numFmtId="170" fontId="31" fillId="0" borderId="0" xfId="9" applyNumberFormat="1" applyFont="1" applyFill="1" applyAlignment="1"/>
    <xf numFmtId="164" fontId="31" fillId="0" borderId="0" xfId="9" applyNumberFormat="1" applyFont="1" applyFill="1" applyAlignment="1"/>
    <xf numFmtId="171" fontId="31" fillId="0" borderId="0" xfId="391" applyNumberFormat="1" applyFont="1" applyFill="1" applyAlignment="1"/>
    <xf numFmtId="10" fontId="31" fillId="0" borderId="0" xfId="26" applyNumberFormat="1" applyFont="1" applyFill="1" applyAlignment="1"/>
    <xf numFmtId="3" fontId="31" fillId="0" borderId="0" xfId="0" applyNumberFormat="1" applyFont="1" applyFill="1" applyAlignment="1"/>
    <xf numFmtId="171" fontId="0" fillId="0" borderId="0" xfId="391" applyNumberFormat="1" applyFont="1" applyFill="1" applyAlignment="1"/>
    <xf numFmtId="3" fontId="25" fillId="0" borderId="0" xfId="0" applyNumberFormat="1" applyFont="1" applyFill="1" applyAlignment="1"/>
    <xf numFmtId="9" fontId="10" fillId="2" borderId="4" xfId="0" applyNumberFormat="1" applyFont="1" applyFill="1" applyBorder="1"/>
    <xf numFmtId="9" fontId="0" fillId="0" borderId="4" xfId="0" applyNumberFormat="1" applyFont="1" applyBorder="1"/>
    <xf numFmtId="0" fontId="13" fillId="11" borderId="0" xfId="0" applyFont="1" applyFill="1" applyBorder="1" applyAlignment="1">
      <alignment horizontal="left"/>
    </xf>
    <xf numFmtId="16" fontId="13" fillId="11" borderId="0" xfId="0" applyNumberFormat="1" applyFont="1" applyFill="1" applyBorder="1" applyAlignment="1">
      <alignment horizontal="left"/>
    </xf>
    <xf numFmtId="0" fontId="13" fillId="11" borderId="0" xfId="0" applyFont="1" applyFill="1" applyBorder="1"/>
    <xf numFmtId="166" fontId="32" fillId="2" borderId="0" xfId="0" applyNumberFormat="1" applyFont="1" applyFill="1" applyBorder="1"/>
    <xf numFmtId="166" fontId="32" fillId="2" borderId="4" xfId="0" applyNumberFormat="1" applyFont="1" applyFill="1" applyBorder="1"/>
    <xf numFmtId="0" fontId="31" fillId="0" borderId="0" xfId="0" applyFont="1" applyAlignment="1"/>
    <xf numFmtId="16" fontId="31" fillId="0" borderId="0" xfId="0" applyNumberFormat="1" applyFont="1" applyAlignment="1"/>
    <xf numFmtId="16" fontId="31" fillId="0" borderId="6" xfId="0" applyNumberFormat="1" applyFont="1" applyBorder="1" applyAlignment="1"/>
    <xf numFmtId="170" fontId="31" fillId="0" borderId="0" xfId="9" applyNumberFormat="1" applyFont="1" applyAlignment="1"/>
    <xf numFmtId="164" fontId="31" fillId="0" borderId="0" xfId="9" applyNumberFormat="1" applyFont="1" applyAlignment="1"/>
    <xf numFmtId="0" fontId="31" fillId="0" borderId="0" xfId="0" applyFont="1" applyAlignment="1">
      <alignment horizontal="center"/>
    </xf>
    <xf numFmtId="10" fontId="31" fillId="0" borderId="0" xfId="26" applyNumberFormat="1" applyFont="1" applyAlignment="1"/>
    <xf numFmtId="3" fontId="31" fillId="0" borderId="0" xfId="0" applyNumberFormat="1" applyFont="1" applyAlignment="1"/>
    <xf numFmtId="171" fontId="31" fillId="0" borderId="0" xfId="391" applyNumberFormat="1" applyFont="1" applyAlignment="1"/>
    <xf numFmtId="0" fontId="10" fillId="0" borderId="4" xfId="0" applyFont="1" applyBorder="1" applyAlignment="1">
      <alignment horizontal="right"/>
    </xf>
    <xf numFmtId="164" fontId="0" fillId="0" borderId="0" xfId="9" applyFont="1" applyAlignment="1"/>
    <xf numFmtId="173" fontId="0" fillId="0" borderId="0" xfId="9" applyNumberFormat="1" applyFont="1" applyAlignment="1"/>
    <xf numFmtId="1" fontId="33" fillId="0" borderId="0" xfId="0" applyNumberFormat="1" applyFont="1" applyAlignment="1">
      <alignment horizontal="right" vertical="center" wrapText="1" readingOrder="1"/>
    </xf>
    <xf numFmtId="0" fontId="14" fillId="0" borderId="0" xfId="0" applyFont="1" applyBorder="1" applyAlignment="1">
      <alignment horizontal="right"/>
    </xf>
    <xf numFmtId="16" fontId="14" fillId="0" borderId="0" xfId="0" applyNumberFormat="1" applyFont="1" applyBorder="1" applyAlignment="1">
      <alignment horizontal="right"/>
    </xf>
    <xf numFmtId="166" fontId="0" fillId="0" borderId="0" xfId="0" applyNumberFormat="1" applyFont="1" applyBorder="1" applyAlignment="1"/>
    <xf numFmtId="167" fontId="0" fillId="0" borderId="0" xfId="0" applyNumberFormat="1" applyFont="1" applyBorder="1" applyAlignment="1"/>
    <xf numFmtId="168" fontId="0" fillId="0" borderId="0" xfId="0" applyNumberFormat="1" applyFont="1" applyBorder="1" applyAlignment="1"/>
    <xf numFmtId="0" fontId="15" fillId="0" borderId="0" xfId="0" applyFont="1" applyBorder="1" applyAlignment="1">
      <alignment horizontal="right"/>
    </xf>
    <xf numFmtId="172" fontId="0" fillId="0" borderId="0" xfId="0" applyNumberFormat="1" applyFont="1" applyBorder="1"/>
    <xf numFmtId="9" fontId="10" fillId="0" borderId="0" xfId="0" applyNumberFormat="1" applyFont="1" applyBorder="1"/>
    <xf numFmtId="0" fontId="18" fillId="0" borderId="0" xfId="0" applyFont="1" applyFill="1" applyBorder="1"/>
    <xf numFmtId="164" fontId="0" fillId="0" borderId="0" xfId="9" applyFont="1" applyBorder="1"/>
    <xf numFmtId="166" fontId="0" fillId="0" borderId="0" xfId="0" applyNumberFormat="1" applyFont="1" applyBorder="1" applyAlignment="1">
      <alignment horizontal="left"/>
    </xf>
    <xf numFmtId="167" fontId="0" fillId="0" borderId="0" xfId="0" applyNumberFormat="1" applyFont="1" applyBorder="1" applyAlignment="1">
      <alignment horizontal="left"/>
    </xf>
    <xf numFmtId="0" fontId="13" fillId="2" borderId="5" xfId="0" applyFont="1" applyFill="1" applyBorder="1" applyAlignment="1">
      <alignment horizontal="left"/>
    </xf>
    <xf numFmtId="16" fontId="13" fillId="2" borderId="5" xfId="0" applyNumberFormat="1" applyFont="1" applyFill="1" applyBorder="1" applyAlignment="1">
      <alignment horizontal="left"/>
    </xf>
    <xf numFmtId="0" fontId="13" fillId="2" borderId="5" xfId="0" applyFont="1" applyFill="1" applyBorder="1"/>
    <xf numFmtId="164" fontId="10" fillId="2" borderId="5" xfId="9" applyFont="1" applyFill="1" applyBorder="1"/>
    <xf numFmtId="9" fontId="10" fillId="10" borderId="5" xfId="0" applyNumberFormat="1" applyFont="1" applyFill="1" applyBorder="1"/>
    <xf numFmtId="9" fontId="10" fillId="0" borderId="5" xfId="0" applyNumberFormat="1" applyFont="1" applyBorder="1"/>
    <xf numFmtId="9" fontId="10" fillId="2" borderId="0" xfId="26" applyNumberFormat="1" applyFont="1" applyFill="1" applyBorder="1"/>
    <xf numFmtId="0" fontId="13" fillId="0" borderId="0" xfId="0" applyFont="1" applyFill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Border="1"/>
    <xf numFmtId="9" fontId="0" fillId="0" borderId="0" xfId="0" applyNumberFormat="1" applyFont="1" applyFill="1" applyBorder="1"/>
    <xf numFmtId="167" fontId="0" fillId="0" borderId="0" xfId="0" applyNumberFormat="1" applyFont="1" applyFill="1" applyBorder="1"/>
    <xf numFmtId="168" fontId="0" fillId="0" borderId="0" xfId="0" applyNumberFormat="1" applyFont="1" applyFill="1" applyBorder="1"/>
    <xf numFmtId="168" fontId="0" fillId="0" borderId="0" xfId="0" applyNumberFormat="1" applyFont="1" applyFill="1" applyBorder="1" applyAlignment="1"/>
    <xf numFmtId="10" fontId="0" fillId="0" borderId="0" xfId="26" applyNumberFormat="1" applyFont="1" applyFill="1" applyBorder="1"/>
    <xf numFmtId="0" fontId="13" fillId="0" borderId="8" xfId="0" applyFont="1" applyFill="1" applyBorder="1" applyAlignment="1">
      <alignment horizontal="center"/>
    </xf>
    <xf numFmtId="16" fontId="13" fillId="0" borderId="8" xfId="0" applyNumberFormat="1" applyFont="1" applyFill="1" applyBorder="1" applyAlignment="1">
      <alignment horizontal="center"/>
    </xf>
    <xf numFmtId="166" fontId="0" fillId="0" borderId="8" xfId="0" applyNumberFormat="1" applyFont="1" applyFill="1" applyBorder="1"/>
    <xf numFmtId="9" fontId="0" fillId="0" borderId="8" xfId="0" applyNumberFormat="1" applyFont="1" applyFill="1" applyBorder="1"/>
    <xf numFmtId="167" fontId="0" fillId="0" borderId="8" xfId="0" applyNumberFormat="1" applyFont="1" applyFill="1" applyBorder="1"/>
    <xf numFmtId="168" fontId="0" fillId="0" borderId="8" xfId="0" applyNumberFormat="1" applyFont="1" applyFill="1" applyBorder="1"/>
    <xf numFmtId="168" fontId="0" fillId="0" borderId="8" xfId="0" applyNumberFormat="1" applyFont="1" applyFill="1" applyBorder="1" applyAlignment="1"/>
    <xf numFmtId="0" fontId="0" fillId="0" borderId="8" xfId="0" applyFont="1" applyFill="1" applyBorder="1"/>
    <xf numFmtId="10" fontId="0" fillId="0" borderId="8" xfId="26" applyNumberFormat="1" applyFont="1" applyFill="1" applyBorder="1"/>
    <xf numFmtId="0" fontId="0" fillId="0" borderId="8" xfId="0" applyFont="1" applyFill="1" applyBorder="1" applyAlignment="1"/>
    <xf numFmtId="16" fontId="34" fillId="0" borderId="0" xfId="0" applyNumberFormat="1" applyFont="1" applyFill="1" applyBorder="1" applyAlignment="1">
      <alignment horizontal="right"/>
    </xf>
    <xf numFmtId="0" fontId="10" fillId="0" borderId="0" xfId="0" applyFont="1" applyBorder="1" applyAlignment="1">
      <alignment horizontal="center"/>
    </xf>
    <xf numFmtId="9" fontId="11" fillId="0" borderId="0" xfId="0" applyNumberFormat="1" applyFont="1" applyBorder="1" applyAlignment="1">
      <alignment horizontal="center"/>
    </xf>
    <xf numFmtId="9" fontId="12" fillId="0" borderId="0" xfId="0" applyNumberFormat="1" applyFont="1" applyBorder="1" applyAlignment="1">
      <alignment horizontal="center"/>
    </xf>
    <xf numFmtId="170" fontId="12" fillId="0" borderId="0" xfId="9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9" fontId="10" fillId="0" borderId="0" xfId="0" applyNumberFormat="1" applyFont="1" applyBorder="1" applyAlignment="1">
      <alignment horizontal="center"/>
    </xf>
    <xf numFmtId="170" fontId="0" fillId="0" borderId="0" xfId="9" applyNumberFormat="1" applyFont="1" applyBorder="1" applyAlignment="1"/>
    <xf numFmtId="166" fontId="5" fillId="0" borderId="8" xfId="0" applyNumberFormat="1" applyFont="1" applyBorder="1"/>
    <xf numFmtId="9" fontId="5" fillId="0" borderId="8" xfId="0" applyNumberFormat="1" applyFont="1" applyBorder="1"/>
    <xf numFmtId="167" fontId="5" fillId="0" borderId="8" xfId="0" applyNumberFormat="1" applyFont="1" applyBorder="1"/>
    <xf numFmtId="168" fontId="5" fillId="0" borderId="8" xfId="0" applyNumberFormat="1" applyFont="1" applyBorder="1"/>
    <xf numFmtId="10" fontId="5" fillId="0" borderId="8" xfId="0" applyNumberFormat="1" applyFont="1" applyBorder="1"/>
    <xf numFmtId="170" fontId="5" fillId="0" borderId="8" xfId="9" applyNumberFormat="1" applyFont="1" applyBorder="1"/>
    <xf numFmtId="0" fontId="6" fillId="0" borderId="8" xfId="0" applyFont="1" applyBorder="1"/>
    <xf numFmtId="0" fontId="6" fillId="0" borderId="8" xfId="0" applyFont="1" applyBorder="1" applyAlignment="1"/>
    <xf numFmtId="0" fontId="5" fillId="0" borderId="9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16" fontId="5" fillId="0" borderId="8" xfId="0" applyNumberFormat="1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14" fillId="0" borderId="8" xfId="0" applyFont="1" applyBorder="1" applyAlignment="1">
      <alignment horizontal="right"/>
    </xf>
    <xf numFmtId="16" fontId="14" fillId="0" borderId="8" xfId="0" applyNumberFormat="1" applyFont="1" applyBorder="1" applyAlignment="1">
      <alignment horizontal="right"/>
    </xf>
    <xf numFmtId="166" fontId="0" fillId="0" borderId="8" xfId="0" applyNumberFormat="1" applyFont="1" applyBorder="1"/>
    <xf numFmtId="9" fontId="10" fillId="2" borderId="8" xfId="0" applyNumberFormat="1" applyFont="1" applyFill="1" applyBorder="1"/>
    <xf numFmtId="167" fontId="0" fillId="0" borderId="8" xfId="0" applyNumberFormat="1" applyFont="1" applyBorder="1"/>
    <xf numFmtId="168" fontId="0" fillId="0" borderId="8" xfId="0" applyNumberFormat="1" applyFont="1" applyBorder="1"/>
    <xf numFmtId="10" fontId="0" fillId="0" borderId="8" xfId="0" applyNumberFormat="1" applyFont="1" applyBorder="1"/>
    <xf numFmtId="170" fontId="0" fillId="0" borderId="8" xfId="9" applyNumberFormat="1" applyFont="1" applyBorder="1"/>
    <xf numFmtId="9" fontId="10" fillId="10" borderId="8" xfId="0" applyNumberFormat="1" applyFont="1" applyFill="1" applyBorder="1"/>
    <xf numFmtId="9" fontId="10" fillId="0" borderId="8" xfId="0" applyNumberFormat="1" applyFont="1" applyBorder="1"/>
    <xf numFmtId="9" fontId="0" fillId="0" borderId="8" xfId="0" applyNumberFormat="1" applyFont="1" applyBorder="1"/>
    <xf numFmtId="0" fontId="0" fillId="0" borderId="8" xfId="0" applyFont="1" applyBorder="1"/>
    <xf numFmtId="0" fontId="0" fillId="0" borderId="8" xfId="0" applyFont="1" applyBorder="1" applyAlignment="1"/>
    <xf numFmtId="0" fontId="5" fillId="5" borderId="10" xfId="0" applyFont="1" applyFill="1" applyBorder="1" applyAlignment="1">
      <alignment horizontal="center"/>
    </xf>
    <xf numFmtId="16" fontId="6" fillId="5" borderId="11" xfId="0" applyNumberFormat="1" applyFont="1" applyFill="1" applyBorder="1"/>
    <xf numFmtId="0" fontId="7" fillId="5" borderId="11" xfId="0" applyFont="1" applyFill="1" applyBorder="1" applyAlignment="1">
      <alignment horizontal="right"/>
    </xf>
    <xf numFmtId="166" fontId="5" fillId="5" borderId="11" xfId="0" applyNumberFormat="1" applyFont="1" applyFill="1" applyBorder="1"/>
    <xf numFmtId="9" fontId="6" fillId="5" borderId="11" xfId="0" applyNumberFormat="1" applyFont="1" applyFill="1" applyBorder="1"/>
    <xf numFmtId="167" fontId="5" fillId="5" borderId="11" xfId="0" applyNumberFormat="1" applyFont="1" applyFill="1" applyBorder="1"/>
    <xf numFmtId="9" fontId="5" fillId="5" borderId="11" xfId="0" applyNumberFormat="1" applyFont="1" applyFill="1" applyBorder="1"/>
    <xf numFmtId="168" fontId="5" fillId="5" borderId="11" xfId="0" applyNumberFormat="1" applyFont="1" applyFill="1" applyBorder="1"/>
    <xf numFmtId="10" fontId="6" fillId="5" borderId="11" xfId="0" applyNumberFormat="1" applyFont="1" applyFill="1" applyBorder="1"/>
    <xf numFmtId="170" fontId="6" fillId="5" borderId="11" xfId="9" applyNumberFormat="1" applyFont="1" applyFill="1" applyBorder="1"/>
    <xf numFmtId="166" fontId="6" fillId="5" borderId="11" xfId="0" applyNumberFormat="1" applyFont="1" applyFill="1" applyBorder="1"/>
    <xf numFmtId="0" fontId="6" fillId="0" borderId="11" xfId="0" applyFont="1" applyBorder="1"/>
    <xf numFmtId="0" fontId="6" fillId="0" borderId="11" xfId="0" applyFont="1" applyBorder="1" applyAlignment="1"/>
    <xf numFmtId="0" fontId="6" fillId="5" borderId="11" xfId="0" applyFont="1" applyFill="1" applyBorder="1"/>
    <xf numFmtId="16" fontId="34" fillId="0" borderId="8" xfId="0" applyNumberFormat="1" applyFont="1" applyFill="1" applyBorder="1" applyAlignment="1">
      <alignment horizontal="right"/>
    </xf>
    <xf numFmtId="166" fontId="0" fillId="6" borderId="4" xfId="0" applyNumberFormat="1" applyFont="1" applyFill="1" applyBorder="1"/>
    <xf numFmtId="0" fontId="13" fillId="0" borderId="4" xfId="0" applyFont="1" applyFill="1" applyBorder="1" applyAlignment="1">
      <alignment horizontal="center"/>
    </xf>
    <xf numFmtId="16" fontId="13" fillId="0" borderId="4" xfId="0" applyNumberFormat="1" applyFont="1" applyFill="1" applyBorder="1" applyAlignment="1">
      <alignment horizontal="center"/>
    </xf>
    <xf numFmtId="16" fontId="34" fillId="0" borderId="4" xfId="0" applyNumberFormat="1" applyFont="1" applyFill="1" applyBorder="1" applyAlignment="1">
      <alignment horizontal="right"/>
    </xf>
    <xf numFmtId="166" fontId="0" fillId="0" borderId="4" xfId="0" applyNumberFormat="1" applyFont="1" applyFill="1" applyBorder="1"/>
    <xf numFmtId="9" fontId="0" fillId="0" borderId="4" xfId="0" applyNumberFormat="1" applyFont="1" applyFill="1" applyBorder="1"/>
    <xf numFmtId="167" fontId="0" fillId="0" borderId="4" xfId="0" applyNumberFormat="1" applyFont="1" applyFill="1" applyBorder="1"/>
    <xf numFmtId="168" fontId="0" fillId="0" borderId="4" xfId="0" applyNumberFormat="1" applyFont="1" applyFill="1" applyBorder="1"/>
    <xf numFmtId="168" fontId="0" fillId="0" borderId="4" xfId="0" applyNumberFormat="1" applyFont="1" applyFill="1" applyBorder="1" applyAlignment="1"/>
    <xf numFmtId="0" fontId="0" fillId="0" borderId="4" xfId="0" applyFont="1" applyFill="1" applyBorder="1"/>
    <xf numFmtId="10" fontId="0" fillId="0" borderId="4" xfId="26" applyNumberFormat="1" applyFont="1" applyFill="1" applyBorder="1"/>
    <xf numFmtId="0" fontId="0" fillId="0" borderId="4" xfId="0" applyFont="1" applyFill="1" applyBorder="1" applyAlignment="1"/>
    <xf numFmtId="0" fontId="36" fillId="0" borderId="0" xfId="414" applyFont="1" applyBorder="1"/>
    <xf numFmtId="0" fontId="37" fillId="0" borderId="4" xfId="414" applyFont="1" applyBorder="1" applyAlignment="1">
      <alignment horizontal="left"/>
    </xf>
    <xf numFmtId="170" fontId="37" fillId="0" borderId="4" xfId="415" applyNumberFormat="1" applyFont="1" applyBorder="1" applyAlignment="1">
      <alignment horizontal="center"/>
    </xf>
    <xf numFmtId="170" fontId="38" fillId="0" borderId="4" xfId="415" applyNumberFormat="1" applyFont="1" applyBorder="1" applyAlignment="1">
      <alignment horizontal="center"/>
    </xf>
    <xf numFmtId="164" fontId="37" fillId="0" borderId="4" xfId="415" applyNumberFormat="1" applyFont="1" applyBorder="1" applyAlignment="1">
      <alignment horizontal="center"/>
    </xf>
    <xf numFmtId="171" fontId="37" fillId="0" borderId="4" xfId="416" applyNumberFormat="1" applyFont="1" applyBorder="1" applyAlignment="1">
      <alignment horizontal="center"/>
    </xf>
    <xf numFmtId="170" fontId="21" fillId="0" borderId="4" xfId="415" applyNumberFormat="1" applyFont="1" applyBorder="1" applyAlignment="1">
      <alignment horizontal="center"/>
    </xf>
    <xf numFmtId="171" fontId="37" fillId="0" borderId="4" xfId="416" applyNumberFormat="1" applyFont="1" applyBorder="1" applyAlignment="1">
      <alignment horizontal="center" vertical="center"/>
    </xf>
    <xf numFmtId="169" fontId="37" fillId="0" borderId="4" xfId="417" applyNumberFormat="1" applyFont="1" applyBorder="1" applyAlignment="1">
      <alignment horizontal="center"/>
    </xf>
    <xf numFmtId="0" fontId="37" fillId="0" borderId="0" xfId="414" applyFont="1" applyBorder="1"/>
    <xf numFmtId="170" fontId="37" fillId="0" borderId="0" xfId="415" applyNumberFormat="1" applyFont="1" applyBorder="1"/>
    <xf numFmtId="9" fontId="39" fillId="0" borderId="0" xfId="417" applyFont="1" applyFill="1" applyBorder="1"/>
    <xf numFmtId="164" fontId="37" fillId="0" borderId="0" xfId="415" applyNumberFormat="1" applyFont="1" applyBorder="1"/>
    <xf numFmtId="1" fontId="37" fillId="0" borderId="0" xfId="415" applyNumberFormat="1" applyFont="1" applyBorder="1"/>
    <xf numFmtId="169" fontId="37" fillId="0" borderId="0" xfId="417" applyNumberFormat="1" applyFont="1" applyBorder="1"/>
    <xf numFmtId="0" fontId="39" fillId="12" borderId="0" xfId="414" applyFont="1" applyFill="1" applyBorder="1" applyAlignment="1">
      <alignment horizontal="right"/>
    </xf>
    <xf numFmtId="170" fontId="40" fillId="12" borderId="0" xfId="415" applyNumberFormat="1" applyFont="1" applyFill="1" applyBorder="1"/>
    <xf numFmtId="9" fontId="40" fillId="0" borderId="0" xfId="417" applyFont="1" applyFill="1" applyBorder="1"/>
    <xf numFmtId="164" fontId="40" fillId="12" borderId="0" xfId="415" applyNumberFormat="1" applyFont="1" applyFill="1" applyBorder="1"/>
    <xf numFmtId="1" fontId="40" fillId="12" borderId="0" xfId="415" applyNumberFormat="1" applyFont="1" applyFill="1" applyBorder="1"/>
    <xf numFmtId="9" fontId="40" fillId="12" borderId="0" xfId="417" applyFont="1" applyFill="1" applyBorder="1"/>
    <xf numFmtId="169" fontId="40" fillId="12" borderId="0" xfId="417" applyNumberFormat="1" applyFont="1" applyFill="1" applyBorder="1"/>
    <xf numFmtId="0" fontId="37" fillId="0" borderId="0" xfId="414" applyFont="1" applyBorder="1" applyAlignment="1">
      <alignment horizontal="left"/>
    </xf>
    <xf numFmtId="9" fontId="39" fillId="12" borderId="0" xfId="417" applyFont="1" applyFill="1" applyBorder="1"/>
    <xf numFmtId="169" fontId="39" fillId="12" borderId="0" xfId="417" applyNumberFormat="1" applyFont="1" applyFill="1" applyBorder="1"/>
    <xf numFmtId="170" fontId="39" fillId="12" borderId="0" xfId="415" applyNumberFormat="1" applyFont="1" applyFill="1" applyBorder="1"/>
    <xf numFmtId="1" fontId="37" fillId="13" borderId="0" xfId="415" applyNumberFormat="1" applyFont="1" applyFill="1" applyBorder="1"/>
    <xf numFmtId="169" fontId="39" fillId="13" borderId="0" xfId="417" applyNumberFormat="1" applyFont="1" applyFill="1" applyBorder="1"/>
    <xf numFmtId="164" fontId="36" fillId="0" borderId="0" xfId="415" applyNumberFormat="1" applyFont="1" applyBorder="1"/>
    <xf numFmtId="0" fontId="41" fillId="6" borderId="12" xfId="414" applyFont="1" applyFill="1" applyBorder="1"/>
    <xf numFmtId="170" fontId="41" fillId="6" borderId="12" xfId="415" applyNumberFormat="1" applyFont="1" applyFill="1" applyBorder="1"/>
    <xf numFmtId="9" fontId="42" fillId="6" borderId="12" xfId="417" applyFont="1" applyFill="1" applyBorder="1"/>
    <xf numFmtId="9" fontId="42" fillId="0" borderId="12" xfId="417" applyFont="1" applyFill="1" applyBorder="1"/>
    <xf numFmtId="164" fontId="41" fillId="6" borderId="12" xfId="415" applyNumberFormat="1" applyFont="1" applyFill="1" applyBorder="1"/>
    <xf numFmtId="171" fontId="41" fillId="6" borderId="12" xfId="416" applyNumberFormat="1" applyFont="1" applyFill="1" applyBorder="1"/>
    <xf numFmtId="169" fontId="41" fillId="6" borderId="12" xfId="417" applyNumberFormat="1" applyFont="1" applyFill="1" applyBorder="1"/>
    <xf numFmtId="171" fontId="41" fillId="6" borderId="12" xfId="415" applyNumberFormat="1" applyFont="1" applyFill="1" applyBorder="1"/>
    <xf numFmtId="0" fontId="36" fillId="0" borderId="12" xfId="414" applyFont="1" applyBorder="1"/>
    <xf numFmtId="170" fontId="36" fillId="0" borderId="0" xfId="415" applyNumberFormat="1" applyFont="1" applyBorder="1"/>
    <xf numFmtId="171" fontId="36" fillId="0" borderId="0" xfId="416" applyNumberFormat="1" applyFont="1" applyBorder="1"/>
    <xf numFmtId="169" fontId="36" fillId="0" borderId="0" xfId="417" applyNumberFormat="1" applyFont="1" applyBorder="1"/>
    <xf numFmtId="166" fontId="31" fillId="2" borderId="0" xfId="0" applyNumberFormat="1" applyFont="1" applyFill="1" applyBorder="1"/>
    <xf numFmtId="166" fontId="31" fillId="2" borderId="4" xfId="0" applyNumberFormat="1" applyFont="1" applyFill="1" applyBorder="1"/>
    <xf numFmtId="166" fontId="43" fillId="2" borderId="4" xfId="0" applyNumberFormat="1" applyFont="1" applyFill="1" applyBorder="1"/>
    <xf numFmtId="166" fontId="43" fillId="2" borderId="0" xfId="0" applyNumberFormat="1" applyFont="1" applyFill="1" applyBorder="1"/>
    <xf numFmtId="16" fontId="13" fillId="2" borderId="0" xfId="0" applyNumberFormat="1" applyFont="1" applyFill="1" applyBorder="1" applyAlignment="1">
      <alignment horizontal="right"/>
    </xf>
    <xf numFmtId="9" fontId="0" fillId="0" borderId="0" xfId="26" applyFont="1" applyFill="1" applyBorder="1"/>
    <xf numFmtId="9" fontId="0" fillId="0" borderId="4" xfId="26" applyFont="1" applyFill="1" applyBorder="1"/>
    <xf numFmtId="0" fontId="13" fillId="0" borderId="13" xfId="0" applyFont="1" applyFill="1" applyBorder="1" applyAlignment="1">
      <alignment horizontal="center"/>
    </xf>
    <xf numFmtId="16" fontId="13" fillId="0" borderId="13" xfId="0" applyNumberFormat="1" applyFont="1" applyFill="1" applyBorder="1" applyAlignment="1">
      <alignment horizontal="center"/>
    </xf>
    <xf numFmtId="16" fontId="34" fillId="0" borderId="13" xfId="0" applyNumberFormat="1" applyFont="1" applyFill="1" applyBorder="1" applyAlignment="1">
      <alignment horizontal="right"/>
    </xf>
    <xf numFmtId="166" fontId="0" fillId="0" borderId="13" xfId="0" applyNumberFormat="1" applyFont="1" applyFill="1" applyBorder="1"/>
    <xf numFmtId="9" fontId="0" fillId="0" borderId="13" xfId="26" applyFont="1" applyFill="1" applyBorder="1"/>
    <xf numFmtId="167" fontId="0" fillId="0" borderId="13" xfId="0" applyNumberFormat="1" applyFont="1" applyFill="1" applyBorder="1"/>
    <xf numFmtId="168" fontId="0" fillId="0" borderId="13" xfId="0" applyNumberFormat="1" applyFont="1" applyFill="1" applyBorder="1"/>
    <xf numFmtId="10" fontId="0" fillId="0" borderId="13" xfId="26" applyNumberFormat="1" applyFont="1" applyFill="1" applyBorder="1"/>
    <xf numFmtId="0" fontId="0" fillId="0" borderId="13" xfId="0" applyFont="1" applyFill="1" applyBorder="1"/>
    <xf numFmtId="0" fontId="0" fillId="0" borderId="13" xfId="0" applyFont="1" applyFill="1" applyBorder="1" applyAlignment="1"/>
    <xf numFmtId="165" fontId="37" fillId="0" borderId="0" xfId="391" applyFont="1" applyBorder="1"/>
    <xf numFmtId="165" fontId="40" fillId="12" borderId="0" xfId="391" applyFont="1" applyFill="1" applyBorder="1"/>
    <xf numFmtId="2" fontId="40" fillId="12" borderId="0" xfId="415" applyNumberFormat="1" applyFont="1" applyFill="1" applyBorder="1"/>
    <xf numFmtId="171" fontId="40" fillId="12" borderId="0" xfId="391" applyNumberFormat="1" applyFont="1" applyFill="1" applyBorder="1"/>
    <xf numFmtId="171" fontId="37" fillId="0" borderId="0" xfId="391" applyNumberFormat="1" applyFont="1" applyBorder="1"/>
    <xf numFmtId="9" fontId="36" fillId="0" borderId="0" xfId="26" applyFont="1" applyBorder="1"/>
    <xf numFmtId="0" fontId="0" fillId="0" borderId="0" xfId="0"/>
    <xf numFmtId="164" fontId="0" fillId="0" borderId="0" xfId="9" applyFont="1"/>
    <xf numFmtId="174" fontId="0" fillId="0" borderId="0" xfId="0" applyNumberFormat="1" applyFont="1" applyAlignment="1"/>
    <xf numFmtId="166" fontId="44" fillId="2" borderId="4" xfId="0" applyNumberFormat="1" applyFont="1" applyFill="1" applyBorder="1"/>
    <xf numFmtId="166" fontId="44" fillId="2" borderId="0" xfId="0" applyNumberFormat="1" applyFont="1" applyFill="1" applyBorder="1"/>
    <xf numFmtId="170" fontId="23" fillId="6" borderId="4" xfId="9" applyNumberFormat="1" applyFont="1" applyFill="1" applyBorder="1"/>
    <xf numFmtId="0" fontId="10" fillId="0" borderId="3" xfId="0" applyFont="1" applyBorder="1" applyAlignment="1">
      <alignment horizontal="center"/>
    </xf>
    <xf numFmtId="16" fontId="10" fillId="0" borderId="0" xfId="0" applyNumberFormat="1" applyFont="1" applyAlignment="1">
      <alignment horizontal="center"/>
    </xf>
    <xf numFmtId="166" fontId="10" fillId="0" borderId="0" xfId="0" applyNumberFormat="1" applyFont="1"/>
    <xf numFmtId="9" fontId="10" fillId="0" borderId="0" xfId="0" applyNumberFormat="1" applyFont="1"/>
    <xf numFmtId="9" fontId="10" fillId="2" borderId="1" xfId="0" applyNumberFormat="1" applyFont="1" applyFill="1" applyBorder="1"/>
    <xf numFmtId="167" fontId="10" fillId="0" borderId="0" xfId="0" applyNumberFormat="1" applyFont="1"/>
    <xf numFmtId="168" fontId="10" fillId="0" borderId="0" xfId="0" applyNumberFormat="1" applyFont="1"/>
    <xf numFmtId="169" fontId="10" fillId="0" borderId="0" xfId="0" applyNumberFormat="1" applyFont="1"/>
    <xf numFmtId="0" fontId="10" fillId="0" borderId="0" xfId="0" applyFont="1"/>
    <xf numFmtId="0" fontId="10" fillId="0" borderId="0" xfId="0" applyFont="1" applyAlignment="1"/>
    <xf numFmtId="171" fontId="24" fillId="9" borderId="4" xfId="0" applyNumberFormat="1" applyFont="1" applyFill="1" applyBorder="1"/>
    <xf numFmtId="171" fontId="23" fillId="6" borderId="4" xfId="391" applyNumberFormat="1" applyFont="1" applyFill="1" applyBorder="1"/>
    <xf numFmtId="16" fontId="45" fillId="0" borderId="0" xfId="0" applyNumberFormat="1" applyFont="1" applyFill="1" applyBorder="1" applyAlignment="1">
      <alignment horizontal="center"/>
    </xf>
    <xf numFmtId="44" fontId="37" fillId="0" borderId="0" xfId="415" applyNumberFormat="1" applyFont="1" applyBorder="1"/>
    <xf numFmtId="171" fontId="37" fillId="0" borderId="4" xfId="391" applyNumberFormat="1" applyFont="1" applyBorder="1" applyAlignment="1">
      <alignment horizontal="center"/>
    </xf>
    <xf numFmtId="171" fontId="37" fillId="13" borderId="0" xfId="391" applyNumberFormat="1" applyFont="1" applyFill="1" applyBorder="1"/>
    <xf numFmtId="171" fontId="41" fillId="6" borderId="12" xfId="391" applyNumberFormat="1" applyFont="1" applyFill="1" applyBorder="1"/>
    <xf numFmtId="171" fontId="36" fillId="0" borderId="0" xfId="391" applyNumberFormat="1" applyFont="1" applyBorder="1"/>
    <xf numFmtId="171" fontId="21" fillId="0" borderId="4" xfId="391" applyNumberFormat="1" applyFont="1" applyBorder="1" applyAlignment="1">
      <alignment horizontal="center"/>
    </xf>
    <xf numFmtId="9" fontId="5" fillId="2" borderId="0" xfId="26" applyFont="1" applyFill="1" applyBorder="1"/>
    <xf numFmtId="9" fontId="44" fillId="2" borderId="0" xfId="26" applyFont="1" applyFill="1" applyBorder="1"/>
    <xf numFmtId="9" fontId="44" fillId="2" borderId="4" xfId="26" applyFont="1" applyFill="1" applyBorder="1"/>
    <xf numFmtId="164" fontId="0" fillId="2" borderId="0" xfId="9" applyFont="1" applyFill="1" applyBorder="1"/>
    <xf numFmtId="164" fontId="0" fillId="2" borderId="4" xfId="9" applyFont="1" applyFill="1" applyBorder="1"/>
    <xf numFmtId="0" fontId="0" fillId="0" borderId="0" xfId="0" applyNumberFormat="1" applyFont="1" applyFill="1" applyBorder="1"/>
    <xf numFmtId="175" fontId="0" fillId="0" borderId="0" xfId="0" applyNumberFormat="1" applyFont="1" applyFill="1" applyBorder="1"/>
    <xf numFmtId="166" fontId="0" fillId="0" borderId="0" xfId="0" applyNumberFormat="1" applyFont="1" applyFill="1" applyBorder="1" applyAlignment="1"/>
    <xf numFmtId="0" fontId="4" fillId="2" borderId="0" xfId="0" applyFont="1" applyFill="1" applyBorder="1" applyAlignment="1">
      <alignment horizontal="center" vertical="center"/>
    </xf>
    <xf numFmtId="0" fontId="35" fillId="14" borderId="0" xfId="414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center" vertical="center"/>
    </xf>
  </cellXfs>
  <cellStyles count="418">
    <cellStyle name="Comma" xfId="391" builtinId="3"/>
    <cellStyle name="Comma 2" xfId="409"/>
    <cellStyle name="Comma 3" xfId="413"/>
    <cellStyle name="Comma 4" xfId="416"/>
    <cellStyle name="Currency" xfId="9" builtinId="4"/>
    <cellStyle name="Currency 2" xfId="408"/>
    <cellStyle name="Currency 3" xfId="412"/>
    <cellStyle name="Currency 4" xfId="415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Normal" xfId="0" builtinId="0"/>
    <cellStyle name="Normal 2" xfId="406"/>
    <cellStyle name="Normal 3" xfId="410"/>
    <cellStyle name="Normal 4" xfId="414"/>
    <cellStyle name="Percent" xfId="26" builtinId="5"/>
    <cellStyle name="Percent 2" xfId="407"/>
    <cellStyle name="Percent 3" xfId="411"/>
    <cellStyle name="Percent 4" xfId="417"/>
  </cellStyles>
  <dxfs count="3768"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980000"/>
      </font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980000"/>
      </font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980000"/>
      </font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ont>
        <color rgb="FF980000"/>
      </font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H1000"/>
  <sheetViews>
    <sheetView workbookViewId="0">
      <selection activeCell="B20" sqref="B20"/>
    </sheetView>
  </sheetViews>
  <sheetFormatPr defaultColWidth="13.5" defaultRowHeight="15.75" outlineLevelCol="1" x14ac:dyDescent="0.25"/>
  <cols>
    <col min="1" max="1" width="32.875" customWidth="1"/>
    <col min="2" max="2" width="14" bestFit="1" customWidth="1"/>
    <col min="3" max="3" width="13" hidden="1" customWidth="1" outlineLevel="1"/>
    <col min="4" max="4" width="8.5" bestFit="1" customWidth="1" collapsed="1"/>
    <col min="5" max="5" width="12" bestFit="1" customWidth="1"/>
    <col min="6" max="6" width="11.375" hidden="1" customWidth="1" outlineLevel="1"/>
    <col min="7" max="7" width="8.5" bestFit="1" customWidth="1" collapsed="1"/>
    <col min="8" max="8" width="9" customWidth="1"/>
    <col min="9" max="9" width="9" hidden="1" customWidth="1" outlineLevel="1"/>
    <col min="10" max="10" width="8.5" bestFit="1" customWidth="1" collapsed="1"/>
    <col min="11" max="11" width="10.625" bestFit="1" customWidth="1"/>
    <col min="12" max="12" width="10.125" hidden="1" customWidth="1" outlineLevel="1"/>
    <col min="13" max="13" width="8.5" bestFit="1" customWidth="1" collapsed="1"/>
    <col min="14" max="14" width="9.5" bestFit="1" customWidth="1"/>
    <col min="15" max="15" width="10.375" hidden="1" customWidth="1" outlineLevel="1"/>
    <col min="16" max="16" width="8.375" customWidth="1" collapsed="1"/>
    <col min="17" max="17" width="8.375" customWidth="1"/>
    <col min="18" max="18" width="8.375" hidden="1" customWidth="1" outlineLevel="1"/>
    <col min="19" max="19" width="8.375" customWidth="1" collapsed="1"/>
    <col min="20" max="20" width="10.125" bestFit="1" customWidth="1"/>
    <col min="21" max="21" width="12" hidden="1" customWidth="1" outlineLevel="1"/>
    <col min="22" max="22" width="8.5" bestFit="1" customWidth="1" collapsed="1"/>
    <col min="23" max="23" width="8.5" customWidth="1"/>
    <col min="24" max="24" width="8.125" hidden="1" customWidth="1" outlineLevel="1"/>
    <col min="25" max="25" width="8.5" bestFit="1" customWidth="1" collapsed="1"/>
    <col min="26" max="26" width="10.625" bestFit="1" customWidth="1"/>
    <col min="27" max="27" width="10.125" hidden="1" customWidth="1" outlineLevel="1"/>
    <col min="28" max="28" width="8.5" bestFit="1" customWidth="1" collapsed="1"/>
    <col min="29" max="29" width="14" bestFit="1" customWidth="1"/>
    <col min="30" max="30" width="13.125" hidden="1" customWidth="1" outlineLevel="1"/>
    <col min="31" max="31" width="8.5" bestFit="1" customWidth="1" collapsed="1"/>
    <col min="32" max="32" width="9.125" customWidth="1"/>
    <col min="33" max="33" width="10.5" hidden="1" customWidth="1" outlineLevel="1"/>
    <col min="34" max="34" width="8.5" bestFit="1" customWidth="1" collapsed="1"/>
    <col min="35" max="48" width="10.5" customWidth="1"/>
  </cols>
  <sheetData>
    <row r="1" spans="1:34" ht="26.25" x14ac:dyDescent="0.25">
      <c r="A1" s="455" t="s">
        <v>0</v>
      </c>
      <c r="B1" s="455"/>
      <c r="C1" s="455"/>
      <c r="D1" s="455"/>
      <c r="E1" s="455"/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</row>
    <row r="2" spans="1:34" ht="18.75" x14ac:dyDescent="0.3">
      <c r="A2" s="1">
        <v>2016</v>
      </c>
      <c r="B2" s="1" t="s">
        <v>1</v>
      </c>
      <c r="C2" s="1" t="s">
        <v>117</v>
      </c>
      <c r="D2" s="163" t="s">
        <v>24</v>
      </c>
      <c r="E2" s="1" t="s">
        <v>2</v>
      </c>
      <c r="F2" s="1" t="s">
        <v>99</v>
      </c>
      <c r="G2" s="163" t="s">
        <v>24</v>
      </c>
      <c r="H2" s="1" t="s">
        <v>3</v>
      </c>
      <c r="I2" s="1" t="s">
        <v>100</v>
      </c>
      <c r="J2" s="163" t="s">
        <v>24</v>
      </c>
      <c r="K2" s="1" t="s">
        <v>4</v>
      </c>
      <c r="L2" s="1" t="s">
        <v>101</v>
      </c>
      <c r="M2" s="163" t="s">
        <v>24</v>
      </c>
      <c r="N2" s="1" t="s">
        <v>5</v>
      </c>
      <c r="O2" s="1" t="s">
        <v>102</v>
      </c>
      <c r="P2" s="163" t="s">
        <v>24</v>
      </c>
      <c r="Q2" s="1" t="s">
        <v>109</v>
      </c>
      <c r="R2" s="1" t="s">
        <v>110</v>
      </c>
      <c r="S2" s="163" t="s">
        <v>24</v>
      </c>
      <c r="T2" s="162" t="s">
        <v>149</v>
      </c>
      <c r="U2" s="162" t="s">
        <v>150</v>
      </c>
      <c r="V2" s="163" t="s">
        <v>24</v>
      </c>
      <c r="W2" s="1" t="s">
        <v>6</v>
      </c>
      <c r="X2" s="1" t="s">
        <v>103</v>
      </c>
      <c r="Y2" s="163" t="s">
        <v>24</v>
      </c>
      <c r="Z2" s="1" t="s">
        <v>7</v>
      </c>
      <c r="AA2" s="1" t="s">
        <v>104</v>
      </c>
      <c r="AB2" s="163" t="s">
        <v>24</v>
      </c>
      <c r="AC2" s="1" t="s">
        <v>8</v>
      </c>
      <c r="AD2" s="1" t="s">
        <v>151</v>
      </c>
      <c r="AE2" s="163" t="s">
        <v>24</v>
      </c>
      <c r="AF2" s="1" t="s">
        <v>9</v>
      </c>
      <c r="AG2" s="1" t="s">
        <v>106</v>
      </c>
      <c r="AH2" s="163" t="s">
        <v>24</v>
      </c>
    </row>
    <row r="3" spans="1:34" ht="18.75" x14ac:dyDescent="0.3">
      <c r="A3" s="2" t="s">
        <v>10</v>
      </c>
      <c r="B3" s="3">
        <f>B4+B5</f>
        <v>832991</v>
      </c>
      <c r="C3" s="3">
        <f>C4+C5</f>
        <v>423573</v>
      </c>
      <c r="D3" s="90">
        <f>(B3-C3)/C3</f>
        <v>0.96658191150049699</v>
      </c>
      <c r="E3" s="3">
        <f>E4+E5</f>
        <v>97463.48000000001</v>
      </c>
      <c r="F3" s="3">
        <f>F4+F5</f>
        <v>166380.14999999997</v>
      </c>
      <c r="G3" s="90">
        <f>(E3-F3)/F3</f>
        <v>-0.41421209200736969</v>
      </c>
      <c r="H3" s="4">
        <f t="shared" ref="H3:I9" si="0">B3/E3</f>
        <v>8.5466987224342894</v>
      </c>
      <c r="I3" s="4">
        <f t="shared" si="0"/>
        <v>2.5458145097236664</v>
      </c>
      <c r="J3" s="90">
        <f>(H3-I3)/I3</f>
        <v>2.3571568901781399</v>
      </c>
      <c r="K3" s="5">
        <f>K4+K5</f>
        <v>372629</v>
      </c>
      <c r="L3" s="5">
        <f>L4+L5</f>
        <v>336939</v>
      </c>
      <c r="M3" s="90">
        <f>(K3-L3)/L3</f>
        <v>0.10592421773674167</v>
      </c>
      <c r="N3" s="5">
        <f>N4+N5</f>
        <v>8399</v>
      </c>
      <c r="O3" s="5">
        <f>O4+O5</f>
        <v>3700</v>
      </c>
      <c r="P3" s="90">
        <f>(N3-O3)/O3</f>
        <v>1.27</v>
      </c>
      <c r="Q3" s="164">
        <f>N3/K3</f>
        <v>2.2539845261640934E-2</v>
      </c>
      <c r="R3" s="164">
        <f>O3/L3</f>
        <v>1.0981216184531918E-2</v>
      </c>
      <c r="S3" s="90">
        <f>(Q3-R3)/R3</f>
        <v>1.0525818709762256</v>
      </c>
      <c r="T3" s="168">
        <f>E3/N3</f>
        <v>11.604176687700917</v>
      </c>
      <c r="U3" s="168">
        <f>F3/O3</f>
        <v>44.967608108108095</v>
      </c>
      <c r="V3" s="90">
        <f>(T3-U3)/U3</f>
        <v>-0.74194365286668273</v>
      </c>
      <c r="W3" s="3">
        <f t="shared" ref="W3:X9" si="1">B3/N3</f>
        <v>99.177402071675203</v>
      </c>
      <c r="X3" s="3">
        <f t="shared" si="1"/>
        <v>114.47918918918919</v>
      </c>
      <c r="Y3" s="90">
        <f>(W3-X3)/X3</f>
        <v>-0.13366435616718189</v>
      </c>
      <c r="Z3" s="5">
        <f>Z4+Z5</f>
        <v>277255</v>
      </c>
      <c r="AA3" s="5">
        <f>AA4+AA5</f>
        <v>285870.18</v>
      </c>
      <c r="AB3" s="90">
        <f>(Z3-AA3)/AA3</f>
        <v>-3.0136686519734213E-2</v>
      </c>
      <c r="AC3" s="5">
        <f>AC4+AC5</f>
        <v>1238099</v>
      </c>
      <c r="AD3" s="5">
        <f>AD4+AD5</f>
        <v>2174455</v>
      </c>
      <c r="AE3" s="90">
        <f>(AC3-AD3)/AD3</f>
        <v>-0.43061640732965273</v>
      </c>
      <c r="AF3" s="6">
        <f t="shared" ref="AF3:AG5" si="2">Z3/AC3</f>
        <v>0.22393605034815472</v>
      </c>
      <c r="AG3" s="6">
        <f t="shared" si="2"/>
        <v>0.13146750795026799</v>
      </c>
      <c r="AH3" s="90">
        <f>(AF3-AG3)/AG3</f>
        <v>0.70335662278519862</v>
      </c>
    </row>
    <row r="4" spans="1:34" ht="18.75" x14ac:dyDescent="0.3">
      <c r="A4" s="7" t="s">
        <v>11</v>
      </c>
      <c r="B4" s="8">
        <f>Search!E211</f>
        <v>813319</v>
      </c>
      <c r="C4" s="8">
        <f>Search!F211</f>
        <v>391293</v>
      </c>
      <c r="D4" s="94">
        <f t="shared" ref="D4:D9" si="3">(B4-C4)/C4</f>
        <v>1.0785421666117205</v>
      </c>
      <c r="E4" s="8">
        <f>Search!I211</f>
        <v>43359.81</v>
      </c>
      <c r="F4" s="8">
        <f>Search!J211</f>
        <v>32737.919999999998</v>
      </c>
      <c r="G4" s="94">
        <f t="shared" ref="G4:G9" si="4">(E4-F4)/F4</f>
        <v>0.32445219488593047</v>
      </c>
      <c r="H4" s="9">
        <f t="shared" si="0"/>
        <v>18.757439204645962</v>
      </c>
      <c r="I4" s="9">
        <f t="shared" si="0"/>
        <v>11.952286522784588</v>
      </c>
      <c r="J4" s="94">
        <f t="shared" ref="J4:J9" si="5">(H4-I4)/I4</f>
        <v>0.5693599018805936</v>
      </c>
      <c r="K4" s="10">
        <f>Search!Q211</f>
        <v>316745</v>
      </c>
      <c r="L4" s="10">
        <f>Search!R211</f>
        <v>204475</v>
      </c>
      <c r="M4" s="94">
        <f t="shared" ref="M4:M9" si="6">(K4-L4)/L4</f>
        <v>0.54906467783347601</v>
      </c>
      <c r="N4" s="10">
        <f>Search!U211</f>
        <v>8191</v>
      </c>
      <c r="O4" s="10">
        <f>Search!V211</f>
        <v>3297</v>
      </c>
      <c r="P4" s="94">
        <f t="shared" ref="P4:P9" si="7">(N4-O4)/O4</f>
        <v>1.4843797391568092</v>
      </c>
      <c r="Q4" s="165">
        <f t="shared" ref="Q4:R9" si="8">N4/K4</f>
        <v>2.5859918862176198E-2</v>
      </c>
      <c r="R4" s="165">
        <f t="shared" si="8"/>
        <v>1.6124220564861229E-2</v>
      </c>
      <c r="S4" s="94">
        <f t="shared" ref="S4:S9" si="9">(Q4-R4)/R4</f>
        <v>0.60379342109295675</v>
      </c>
      <c r="T4" s="169">
        <f t="shared" ref="T4:U9" si="10">E4/N4</f>
        <v>5.2935917470394331</v>
      </c>
      <c r="U4" s="169">
        <f t="shared" si="10"/>
        <v>9.9296087352138294</v>
      </c>
      <c r="V4" s="94">
        <f t="shared" ref="V4:V9" si="11">(T4-U4)/U4</f>
        <v>-0.46688818379454122</v>
      </c>
      <c r="W4" s="11">
        <f t="shared" si="1"/>
        <v>99.294225369307782</v>
      </c>
      <c r="X4" s="11">
        <f t="shared" si="1"/>
        <v>118.68152866242038</v>
      </c>
      <c r="Y4" s="94">
        <f t="shared" ref="Y4:Y9" si="12">(W4-X4)/X4</f>
        <v>-0.1633556924284161</v>
      </c>
      <c r="Z4" s="10">
        <f>Search!AG211</f>
        <v>233660</v>
      </c>
      <c r="AA4" s="10">
        <f>Search!AH211</f>
        <v>161114</v>
      </c>
      <c r="AB4" s="94">
        <f t="shared" ref="AB4:AB9" si="13">(Z4-AA4)/AA4</f>
        <v>0.45027744330101666</v>
      </c>
      <c r="AC4" s="10">
        <f>Search!AK211</f>
        <v>622001</v>
      </c>
      <c r="AD4" s="10">
        <f>Search!AL211</f>
        <v>464815</v>
      </c>
      <c r="AE4" s="94">
        <f t="shared" ref="AE4:AE9" si="14">(AC4-AD4)/AD4</f>
        <v>0.33816894893667371</v>
      </c>
      <c r="AF4" s="12">
        <f t="shared" si="2"/>
        <v>0.3756585600344694</v>
      </c>
      <c r="AG4" s="12">
        <f t="shared" si="2"/>
        <v>0.34661962286070802</v>
      </c>
      <c r="AH4" s="94">
        <f t="shared" ref="AH4:AH9" si="15">(AF4-AG4)/AG4</f>
        <v>8.3777533810977925E-2</v>
      </c>
    </row>
    <row r="5" spans="1:34" ht="18.75" x14ac:dyDescent="0.3">
      <c r="A5" s="7" t="s">
        <v>12</v>
      </c>
      <c r="B5" s="8">
        <f>Search!E212</f>
        <v>19672</v>
      </c>
      <c r="C5" s="8">
        <f>Search!F212</f>
        <v>32280</v>
      </c>
      <c r="D5" s="94">
        <f t="shared" si="3"/>
        <v>-0.39058240396530358</v>
      </c>
      <c r="E5" s="8">
        <f>Search!I212</f>
        <v>54103.670000000013</v>
      </c>
      <c r="F5" s="8">
        <f>Search!J212</f>
        <v>133642.22999999998</v>
      </c>
      <c r="G5" s="94">
        <f t="shared" si="4"/>
        <v>-0.5951603770754198</v>
      </c>
      <c r="H5" s="9">
        <f t="shared" si="0"/>
        <v>0.36359825497974529</v>
      </c>
      <c r="I5" s="9">
        <f t="shared" si="0"/>
        <v>0.24154041727678446</v>
      </c>
      <c r="J5" s="94">
        <f t="shared" si="5"/>
        <v>0.50533090519212398</v>
      </c>
      <c r="K5" s="10">
        <f>Search!Q212</f>
        <v>55884</v>
      </c>
      <c r="L5" s="10">
        <f>Search!R212</f>
        <v>132464</v>
      </c>
      <c r="M5" s="94">
        <f t="shared" si="6"/>
        <v>-0.57811933808430971</v>
      </c>
      <c r="N5" s="10">
        <f>Search!U212</f>
        <v>208</v>
      </c>
      <c r="O5" s="10">
        <f>Search!V212</f>
        <v>403</v>
      </c>
      <c r="P5" s="94">
        <f t="shared" si="7"/>
        <v>-0.4838709677419355</v>
      </c>
      <c r="Q5" s="165">
        <f t="shared" si="8"/>
        <v>3.7219955622360603E-3</v>
      </c>
      <c r="R5" s="165">
        <f t="shared" si="8"/>
        <v>3.0423360309216087E-3</v>
      </c>
      <c r="S5" s="94">
        <f t="shared" si="9"/>
        <v>0.2234005462928971</v>
      </c>
      <c r="T5" s="169">
        <f t="shared" si="10"/>
        <v>260.11379807692316</v>
      </c>
      <c r="U5" s="169">
        <f t="shared" si="10"/>
        <v>331.6184367245657</v>
      </c>
      <c r="V5" s="94">
        <f t="shared" si="11"/>
        <v>-0.21562323058362576</v>
      </c>
      <c r="W5" s="11">
        <f t="shared" si="1"/>
        <v>94.57692307692308</v>
      </c>
      <c r="X5" s="11">
        <f t="shared" si="1"/>
        <v>80.099255583126549</v>
      </c>
      <c r="Y5" s="94">
        <f t="shared" si="12"/>
        <v>0.18074659231722434</v>
      </c>
      <c r="Z5" s="10">
        <f>Search!AG212</f>
        <v>43595</v>
      </c>
      <c r="AA5" s="10">
        <f>Search!AH212</f>
        <v>124756.18</v>
      </c>
      <c r="AB5" s="94">
        <f t="shared" si="13"/>
        <v>-0.65055839317940001</v>
      </c>
      <c r="AC5" s="10">
        <f>Search!AK212</f>
        <v>616098</v>
      </c>
      <c r="AD5" s="10">
        <f>Search!AL212</f>
        <v>1709640</v>
      </c>
      <c r="AE5" s="94">
        <f t="shared" si="14"/>
        <v>-0.63963290517301885</v>
      </c>
      <c r="AF5" s="12">
        <f t="shared" si="2"/>
        <v>7.0759846647773572E-2</v>
      </c>
      <c r="AG5" s="12">
        <f t="shared" si="2"/>
        <v>7.2972192976299102E-2</v>
      </c>
      <c r="AH5" s="94">
        <f t="shared" si="15"/>
        <v>-3.0317662636836006E-2</v>
      </c>
    </row>
    <row r="6" spans="1:34" ht="18.75" x14ac:dyDescent="0.3">
      <c r="A6" s="2" t="s">
        <v>13</v>
      </c>
      <c r="B6" s="3">
        <f>Affiliate!D54</f>
        <v>1889178</v>
      </c>
      <c r="C6" s="3">
        <f>Affiliate!E54</f>
        <v>1163764</v>
      </c>
      <c r="D6" s="93">
        <f t="shared" si="3"/>
        <v>0.62333428427069404</v>
      </c>
      <c r="E6" s="3">
        <f>Affiliate!L54</f>
        <v>117630.68999999997</v>
      </c>
      <c r="F6" s="3">
        <f>Affiliate!M54</f>
        <v>137801.43000000002</v>
      </c>
      <c r="G6" s="93">
        <f t="shared" si="4"/>
        <v>-0.14637540408688099</v>
      </c>
      <c r="H6" s="4">
        <f t="shared" si="0"/>
        <v>16.060247542541834</v>
      </c>
      <c r="I6" s="4">
        <f t="shared" si="0"/>
        <v>8.4452244073229128</v>
      </c>
      <c r="J6" s="93">
        <f t="shared" si="5"/>
        <v>0.90169577123562061</v>
      </c>
      <c r="K6" s="5">
        <f>Affiliate!AF54</f>
        <v>188204</v>
      </c>
      <c r="L6" s="5">
        <f>Affiliate!AG54</f>
        <v>170409</v>
      </c>
      <c r="M6" s="93">
        <f t="shared" si="6"/>
        <v>0.10442523575632742</v>
      </c>
      <c r="N6" s="5">
        <f>Affiliate!AJ54</f>
        <v>15931</v>
      </c>
      <c r="O6" s="5">
        <f>Affiliate!AK54</f>
        <v>9392</v>
      </c>
      <c r="P6" s="93">
        <f t="shared" si="7"/>
        <v>0.69623083475298131</v>
      </c>
      <c r="Q6" s="164">
        <f t="shared" si="8"/>
        <v>8.4647510148562199E-2</v>
      </c>
      <c r="R6" s="164">
        <f t="shared" si="8"/>
        <v>5.5114459917023163E-2</v>
      </c>
      <c r="S6" s="93">
        <f t="shared" si="9"/>
        <v>0.53584939915953311</v>
      </c>
      <c r="T6" s="168">
        <f t="shared" si="10"/>
        <v>7.3837605925553937</v>
      </c>
      <c r="U6" s="168">
        <f t="shared" si="10"/>
        <v>14.672213586030667</v>
      </c>
      <c r="V6" s="93">
        <f t="shared" si="11"/>
        <v>-0.49675210565463473</v>
      </c>
      <c r="W6" s="3">
        <f t="shared" si="1"/>
        <v>118.585022911305</v>
      </c>
      <c r="X6" s="3">
        <f t="shared" si="1"/>
        <v>123.91013628620102</v>
      </c>
      <c r="Y6" s="93">
        <f t="shared" si="12"/>
        <v>-4.2975607440188406E-2</v>
      </c>
      <c r="Z6" s="5">
        <v>0</v>
      </c>
      <c r="AA6" s="5">
        <v>0</v>
      </c>
      <c r="AB6" s="93" t="e">
        <f t="shared" si="13"/>
        <v>#DIV/0!</v>
      </c>
      <c r="AC6" s="5">
        <v>0</v>
      </c>
      <c r="AD6" s="5">
        <v>0</v>
      </c>
      <c r="AE6" s="93" t="e">
        <f t="shared" si="14"/>
        <v>#DIV/0!</v>
      </c>
      <c r="AF6" s="6"/>
      <c r="AG6" s="6"/>
      <c r="AH6" s="93" t="e">
        <f t="shared" si="15"/>
        <v>#DIV/0!</v>
      </c>
    </row>
    <row r="7" spans="1:34" ht="18.75" x14ac:dyDescent="0.3">
      <c r="A7" s="2" t="s">
        <v>14</v>
      </c>
      <c r="B7" s="3">
        <f>'Social - Promos'!E323</f>
        <v>29110</v>
      </c>
      <c r="C7" s="3">
        <f>'Social - Promos'!F323</f>
        <v>35232</v>
      </c>
      <c r="D7" s="93">
        <f t="shared" si="3"/>
        <v>-0.17376248864668484</v>
      </c>
      <c r="E7" s="3">
        <f>'Social - Promos'!H323</f>
        <v>181887.82000000004</v>
      </c>
      <c r="F7" s="3">
        <f>'Social - Promos'!I323</f>
        <v>377212.75999999989</v>
      </c>
      <c r="G7" s="93">
        <f t="shared" si="4"/>
        <v>-0.51781106238293717</v>
      </c>
      <c r="H7" s="4">
        <f t="shared" si="0"/>
        <v>0.16004370166182647</v>
      </c>
      <c r="I7" s="4">
        <f t="shared" si="0"/>
        <v>9.3400870108423711E-2</v>
      </c>
      <c r="J7" s="93">
        <f t="shared" si="5"/>
        <v>0.71351403339220409</v>
      </c>
      <c r="K7" s="5">
        <f>'Social - Promos'!T323</f>
        <v>151350</v>
      </c>
      <c r="L7" s="5">
        <f>'Social - Promos'!U323</f>
        <v>325884</v>
      </c>
      <c r="M7" s="93">
        <f t="shared" si="6"/>
        <v>-0.5355709393526531</v>
      </c>
      <c r="N7" s="5">
        <f>'Social - Promos'!W323</f>
        <v>256</v>
      </c>
      <c r="O7" s="5">
        <f>'Social - Promos'!X323</f>
        <v>385</v>
      </c>
      <c r="P7" s="93">
        <f t="shared" si="7"/>
        <v>-0.33506493506493507</v>
      </c>
      <c r="Q7" s="164">
        <f t="shared" si="8"/>
        <v>1.6914436736042285E-3</v>
      </c>
      <c r="R7" s="164">
        <f t="shared" si="8"/>
        <v>1.1814019712535749E-3</v>
      </c>
      <c r="S7" s="93">
        <f t="shared" si="9"/>
        <v>0.4317257925424427</v>
      </c>
      <c r="T7" s="168">
        <f t="shared" si="10"/>
        <v>710.49929687500014</v>
      </c>
      <c r="U7" s="168">
        <f t="shared" si="10"/>
        <v>979.77340259740231</v>
      </c>
      <c r="V7" s="93">
        <f t="shared" si="11"/>
        <v>-0.27483304303683914</v>
      </c>
      <c r="W7" s="3">
        <f t="shared" si="1"/>
        <v>113.7109375</v>
      </c>
      <c r="X7" s="3">
        <f t="shared" si="1"/>
        <v>91.511688311688317</v>
      </c>
      <c r="Y7" s="93">
        <f t="shared" si="12"/>
        <v>0.24258375730869655</v>
      </c>
      <c r="Z7" s="5">
        <f>'Social - Promos'!AF323</f>
        <v>301368</v>
      </c>
      <c r="AA7" s="5">
        <f>'Social - Promos'!AG323</f>
        <v>446553</v>
      </c>
      <c r="AB7" s="93">
        <f t="shared" si="13"/>
        <v>-0.3251237814996204</v>
      </c>
      <c r="AC7" s="5">
        <f>'Social - Promos'!AI323</f>
        <v>42391112</v>
      </c>
      <c r="AD7" s="5">
        <f>'Social - Promos'!AJ323</f>
        <v>54985848</v>
      </c>
      <c r="AE7" s="93">
        <f t="shared" si="14"/>
        <v>-0.22905413771194363</v>
      </c>
      <c r="AF7" s="6">
        <f t="shared" ref="AF7:AG9" si="16">Z7/AC7</f>
        <v>7.1092261038115728E-3</v>
      </c>
      <c r="AG7" s="6">
        <f t="shared" si="16"/>
        <v>8.1212351221717997E-3</v>
      </c>
      <c r="AH7" s="93">
        <f t="shared" si="15"/>
        <v>-0.12461269783919186</v>
      </c>
    </row>
    <row r="8" spans="1:34" ht="18.75" x14ac:dyDescent="0.3">
      <c r="A8" s="13" t="s">
        <v>15</v>
      </c>
      <c r="B8" s="14">
        <f>'Display - Promos'!E210</f>
        <v>0</v>
      </c>
      <c r="C8" s="14">
        <f>'Display - Promos'!F210</f>
        <v>360</v>
      </c>
      <c r="D8" s="95">
        <f t="shared" si="3"/>
        <v>-1</v>
      </c>
      <c r="E8" s="14">
        <f>'Display - Promos'!H210</f>
        <v>0</v>
      </c>
      <c r="F8" s="14">
        <f>'Display - Promos'!I210</f>
        <v>19521.940000000002</v>
      </c>
      <c r="G8" s="95">
        <f t="shared" si="4"/>
        <v>-1</v>
      </c>
      <c r="H8" s="15" t="e">
        <f t="shared" si="0"/>
        <v>#DIV/0!</v>
      </c>
      <c r="I8" s="15">
        <f t="shared" si="0"/>
        <v>1.8440790208350193E-2</v>
      </c>
      <c r="J8" s="95" t="e">
        <f t="shared" si="5"/>
        <v>#DIV/0!</v>
      </c>
      <c r="K8" s="16">
        <f>'Display - Promos'!N210</f>
        <v>12434</v>
      </c>
      <c r="L8" s="16">
        <f>'Display - Promos'!O210</f>
        <v>8224</v>
      </c>
      <c r="M8" s="95">
        <f t="shared" si="6"/>
        <v>0.51191634241245132</v>
      </c>
      <c r="N8" s="16">
        <f>'Display - Promos'!Q210</f>
        <v>0</v>
      </c>
      <c r="O8" s="16">
        <f>'Display - Promos'!R210</f>
        <v>2</v>
      </c>
      <c r="P8" s="95">
        <f t="shared" si="7"/>
        <v>-1</v>
      </c>
      <c r="Q8" s="166">
        <f t="shared" si="8"/>
        <v>0</v>
      </c>
      <c r="R8" s="166">
        <f t="shared" si="8"/>
        <v>2.4319066147859923E-4</v>
      </c>
      <c r="S8" s="95">
        <f t="shared" si="9"/>
        <v>-1</v>
      </c>
      <c r="T8" s="170" t="e">
        <f t="shared" si="10"/>
        <v>#DIV/0!</v>
      </c>
      <c r="U8" s="170">
        <f t="shared" si="10"/>
        <v>9760.9700000000012</v>
      </c>
      <c r="V8" s="95" t="e">
        <f t="shared" si="11"/>
        <v>#DIV/0!</v>
      </c>
      <c r="W8" s="14" t="e">
        <f t="shared" si="1"/>
        <v>#DIV/0!</v>
      </c>
      <c r="X8" s="14">
        <f t="shared" si="1"/>
        <v>180</v>
      </c>
      <c r="Y8" s="95" t="e">
        <f t="shared" si="12"/>
        <v>#DIV/0!</v>
      </c>
      <c r="Z8" s="16">
        <f>'Display - Promos'!W210</f>
        <v>0</v>
      </c>
      <c r="AA8" s="16">
        <f>'Display - Promos'!X210</f>
        <v>20236</v>
      </c>
      <c r="AB8" s="95">
        <f t="shared" si="13"/>
        <v>-1</v>
      </c>
      <c r="AC8" s="16">
        <f>'Display - Promos'!Z210</f>
        <v>0</v>
      </c>
      <c r="AD8" s="16">
        <f>'Display - Promos'!AA210</f>
        <v>4950412</v>
      </c>
      <c r="AE8" s="95">
        <f t="shared" si="14"/>
        <v>-1</v>
      </c>
      <c r="AF8" s="17" t="e">
        <f t="shared" si="16"/>
        <v>#DIV/0!</v>
      </c>
      <c r="AG8" s="17">
        <f t="shared" si="16"/>
        <v>4.0877405759359017E-3</v>
      </c>
      <c r="AH8" s="95" t="e">
        <f t="shared" si="15"/>
        <v>#DIV/0!</v>
      </c>
    </row>
    <row r="9" spans="1:34" ht="18.75" x14ac:dyDescent="0.3">
      <c r="A9" s="18" t="s">
        <v>108</v>
      </c>
      <c r="B9" s="19">
        <f>SUM(B3,B6:B8)</f>
        <v>2751279</v>
      </c>
      <c r="C9" s="19">
        <f>SUM(C3,C6:C8)</f>
        <v>1622929</v>
      </c>
      <c r="D9" s="92">
        <f t="shared" si="3"/>
        <v>0.69525530691730819</v>
      </c>
      <c r="E9" s="19">
        <f>SUM(E3,E6:E8)</f>
        <v>396981.99</v>
      </c>
      <c r="F9" s="19">
        <f>SUM(F3,F6:F8)</f>
        <v>700916.2799999998</v>
      </c>
      <c r="G9" s="92">
        <f t="shared" si="4"/>
        <v>-0.43362424111478748</v>
      </c>
      <c r="H9" s="20">
        <f t="shared" si="0"/>
        <v>6.9304882067823783</v>
      </c>
      <c r="I9" s="20">
        <f t="shared" si="0"/>
        <v>2.3154391562998087</v>
      </c>
      <c r="J9" s="92">
        <f t="shared" si="5"/>
        <v>1.9931636026479127</v>
      </c>
      <c r="K9" s="21">
        <f>SUM(K3,K6:K8)</f>
        <v>724617</v>
      </c>
      <c r="L9" s="21">
        <f>SUM(L3,L6:L8)</f>
        <v>841456</v>
      </c>
      <c r="M9" s="92">
        <f t="shared" si="6"/>
        <v>-0.13885336844707269</v>
      </c>
      <c r="N9" s="21">
        <f>SUM(N3,N6:N8)</f>
        <v>24586</v>
      </c>
      <c r="O9" s="21">
        <f>SUM(O3,O6:O8)</f>
        <v>13479</v>
      </c>
      <c r="P9" s="92">
        <f t="shared" si="7"/>
        <v>0.82402255360189924</v>
      </c>
      <c r="Q9" s="167">
        <f t="shared" si="8"/>
        <v>3.3929648352163971E-2</v>
      </c>
      <c r="R9" s="167">
        <f t="shared" si="8"/>
        <v>1.6018662889087487E-2</v>
      </c>
      <c r="S9" s="92">
        <f t="shared" si="9"/>
        <v>1.118132367669596</v>
      </c>
      <c r="T9" s="171">
        <f t="shared" si="10"/>
        <v>16.146668429187343</v>
      </c>
      <c r="U9" s="171">
        <f t="shared" si="10"/>
        <v>52.000614288893821</v>
      </c>
      <c r="V9" s="92">
        <f t="shared" si="11"/>
        <v>-0.689490813714562</v>
      </c>
      <c r="W9" s="19">
        <f t="shared" si="1"/>
        <v>111.90429512730823</v>
      </c>
      <c r="X9" s="19">
        <f t="shared" si="1"/>
        <v>120.40425847614809</v>
      </c>
      <c r="Y9" s="92">
        <f t="shared" si="12"/>
        <v>-7.0595205322606477E-2</v>
      </c>
      <c r="Z9" s="21">
        <f>SUM(Z3,Z6:Z8)</f>
        <v>578623</v>
      </c>
      <c r="AA9" s="21">
        <f>SUM(AA3,AA6:AA8)</f>
        <v>752659.17999999993</v>
      </c>
      <c r="AB9" s="92">
        <f t="shared" si="13"/>
        <v>-0.231228402741331</v>
      </c>
      <c r="AC9" s="21">
        <f>SUM(AC3,AC6:AC8)</f>
        <v>43629211</v>
      </c>
      <c r="AD9" s="21">
        <f>SUM(AD3,AD6:AD8)</f>
        <v>62110715</v>
      </c>
      <c r="AE9" s="92">
        <f t="shared" si="14"/>
        <v>-0.29755741823290877</v>
      </c>
      <c r="AF9" s="22">
        <f t="shared" si="16"/>
        <v>1.3262284298471498E-2</v>
      </c>
      <c r="AG9" s="22">
        <f t="shared" si="16"/>
        <v>1.2118024724075386E-2</v>
      </c>
      <c r="AH9" s="92">
        <f t="shared" si="15"/>
        <v>9.4426245238034862E-2</v>
      </c>
    </row>
    <row r="10" spans="1:34" x14ac:dyDescent="0.25">
      <c r="A10" s="23"/>
      <c r="B10" s="23"/>
      <c r="C10" s="36"/>
      <c r="D10" s="36"/>
      <c r="E10" s="23"/>
      <c r="F10" s="36"/>
      <c r="G10" s="36"/>
      <c r="H10" s="23"/>
      <c r="I10" s="36"/>
      <c r="J10" s="36"/>
      <c r="K10" s="23"/>
      <c r="L10" s="36"/>
      <c r="M10" s="36"/>
      <c r="N10" s="23"/>
      <c r="O10" s="36"/>
      <c r="P10" s="36"/>
      <c r="Q10" s="36"/>
      <c r="R10" s="36"/>
      <c r="S10" s="36"/>
      <c r="T10" s="36"/>
      <c r="U10" s="36"/>
      <c r="V10" s="36"/>
      <c r="W10" s="23"/>
      <c r="X10" s="36"/>
      <c r="Y10" s="36"/>
      <c r="Z10" s="23"/>
      <c r="AA10" s="36"/>
      <c r="AB10" s="36"/>
      <c r="AC10" s="23"/>
      <c r="AD10" s="36"/>
      <c r="AE10" s="36"/>
      <c r="AF10" s="23"/>
    </row>
    <row r="11" spans="1:34" x14ac:dyDescent="0.25">
      <c r="A11" s="23"/>
      <c r="B11" s="23"/>
      <c r="C11" s="36"/>
      <c r="D11" s="36"/>
      <c r="E11" s="23"/>
      <c r="F11" s="36"/>
      <c r="G11" s="36"/>
      <c r="H11" s="23"/>
      <c r="I11" s="36"/>
      <c r="J11" s="36"/>
      <c r="K11" s="23"/>
      <c r="L11" s="36"/>
      <c r="M11" s="36"/>
      <c r="N11" s="23"/>
      <c r="O11" s="36"/>
      <c r="P11" s="36"/>
      <c r="Q11" s="36"/>
      <c r="R11" s="36"/>
      <c r="S11" s="36"/>
      <c r="T11" s="36"/>
      <c r="U11" s="36"/>
      <c r="V11" s="36"/>
      <c r="W11" s="23"/>
      <c r="X11" s="36"/>
      <c r="Y11" s="36"/>
      <c r="Z11" s="23"/>
      <c r="AA11" s="36"/>
      <c r="AB11" s="36"/>
      <c r="AC11" s="23"/>
      <c r="AD11" s="36"/>
      <c r="AE11" s="36"/>
      <c r="AF11" s="23"/>
    </row>
    <row r="12" spans="1:34" x14ac:dyDescent="0.25">
      <c r="A12" s="23"/>
      <c r="B12" s="23"/>
      <c r="C12" s="36"/>
      <c r="D12" s="36"/>
      <c r="E12" s="23"/>
      <c r="F12" s="36"/>
      <c r="G12" s="36"/>
      <c r="H12" s="23"/>
      <c r="I12" s="36"/>
      <c r="J12" s="36"/>
      <c r="K12" s="23"/>
      <c r="L12" s="36"/>
      <c r="M12" s="36"/>
      <c r="N12" s="23"/>
      <c r="O12" s="36"/>
      <c r="P12" s="36"/>
      <c r="Q12" s="36"/>
      <c r="R12" s="36"/>
      <c r="S12" s="36"/>
      <c r="T12" s="36"/>
      <c r="U12" s="36"/>
      <c r="V12" s="36"/>
      <c r="W12" s="23"/>
      <c r="X12" s="36"/>
      <c r="Y12" s="36"/>
      <c r="Z12" s="23"/>
      <c r="AA12" s="36"/>
      <c r="AB12" s="36"/>
      <c r="AC12" s="23"/>
      <c r="AD12" s="36"/>
      <c r="AE12" s="36"/>
      <c r="AF12" s="23"/>
    </row>
    <row r="13" spans="1:34" x14ac:dyDescent="0.25">
      <c r="A13" s="23"/>
      <c r="B13" s="23"/>
      <c r="C13" s="36"/>
      <c r="D13" s="36"/>
      <c r="E13" s="23"/>
      <c r="F13" s="36"/>
      <c r="G13" s="36"/>
      <c r="H13" s="23"/>
      <c r="I13" s="36"/>
      <c r="J13" s="36"/>
      <c r="K13" s="23"/>
      <c r="L13" s="36"/>
      <c r="M13" s="36"/>
      <c r="N13" s="23"/>
      <c r="O13" s="36"/>
      <c r="P13" s="36"/>
      <c r="Q13" s="36"/>
      <c r="R13" s="36"/>
      <c r="S13" s="36"/>
      <c r="T13" s="36"/>
      <c r="U13" s="36"/>
      <c r="V13" s="36"/>
      <c r="W13" s="23"/>
      <c r="X13" s="36"/>
      <c r="Y13" s="36"/>
      <c r="Z13" s="23"/>
      <c r="AA13" s="36"/>
      <c r="AB13" s="36"/>
      <c r="AC13" s="23"/>
      <c r="AD13" s="36"/>
      <c r="AE13" s="36"/>
      <c r="AF13" s="23"/>
    </row>
    <row r="14" spans="1:34" x14ac:dyDescent="0.25">
      <c r="A14" s="23"/>
      <c r="B14" s="23"/>
      <c r="C14" s="36"/>
      <c r="D14" s="36"/>
      <c r="E14" s="23"/>
      <c r="F14" s="36"/>
      <c r="G14" s="36"/>
      <c r="H14" s="23"/>
      <c r="I14" s="36"/>
      <c r="J14" s="36"/>
      <c r="K14" s="23"/>
      <c r="L14" s="36"/>
      <c r="M14" s="36"/>
      <c r="N14" s="23"/>
      <c r="O14" s="36"/>
      <c r="P14" s="36"/>
      <c r="Q14" s="36"/>
      <c r="R14" s="36"/>
      <c r="S14" s="36"/>
      <c r="T14" s="36"/>
      <c r="U14" s="36"/>
      <c r="V14" s="36"/>
      <c r="W14" s="23"/>
      <c r="X14" s="36"/>
      <c r="Y14" s="36"/>
      <c r="Z14" s="23"/>
      <c r="AA14" s="36"/>
      <c r="AB14" s="36"/>
      <c r="AC14" s="23"/>
      <c r="AD14" s="36"/>
      <c r="AE14" s="36"/>
      <c r="AF14" s="23"/>
    </row>
    <row r="15" spans="1:34" x14ac:dyDescent="0.25">
      <c r="A15" s="23"/>
      <c r="B15" s="23"/>
      <c r="C15" s="36"/>
      <c r="D15" s="36"/>
      <c r="E15" s="23"/>
      <c r="F15" s="36"/>
      <c r="G15" s="36"/>
      <c r="H15" s="23"/>
      <c r="I15" s="36"/>
      <c r="J15" s="36"/>
      <c r="K15" s="23"/>
      <c r="L15" s="36"/>
      <c r="M15" s="36"/>
      <c r="N15" s="23"/>
      <c r="O15" s="36"/>
      <c r="P15" s="36"/>
      <c r="Q15" s="36"/>
      <c r="R15" s="36"/>
      <c r="S15" s="36"/>
      <c r="T15" s="36"/>
      <c r="U15" s="36"/>
      <c r="V15" s="36"/>
      <c r="W15" s="23"/>
      <c r="X15" s="36"/>
      <c r="Y15" s="36"/>
      <c r="Z15" s="23"/>
      <c r="AA15" s="36"/>
      <c r="AB15" s="36"/>
      <c r="AC15" s="23"/>
      <c r="AD15" s="36"/>
      <c r="AE15" s="36"/>
      <c r="AF15" s="23"/>
    </row>
    <row r="16" spans="1:34" x14ac:dyDescent="0.25">
      <c r="A16" s="23"/>
      <c r="B16" s="23"/>
      <c r="C16" s="36"/>
      <c r="D16" s="36"/>
      <c r="E16" s="23"/>
      <c r="F16" s="36"/>
      <c r="G16" s="36"/>
      <c r="H16" s="23"/>
      <c r="I16" s="36"/>
      <c r="J16" s="36"/>
      <c r="K16" s="23"/>
      <c r="L16" s="36"/>
      <c r="M16" s="36"/>
      <c r="N16" s="23"/>
      <c r="O16" s="36"/>
      <c r="P16" s="36"/>
      <c r="Q16" s="36"/>
      <c r="R16" s="36"/>
      <c r="S16" s="36"/>
      <c r="T16" s="36"/>
      <c r="U16" s="36"/>
      <c r="V16" s="36"/>
      <c r="W16" s="23"/>
      <c r="X16" s="36"/>
      <c r="Y16" s="36"/>
      <c r="Z16" s="23"/>
      <c r="AA16" s="36"/>
      <c r="AB16" s="36"/>
      <c r="AC16" s="23"/>
      <c r="AD16" s="36"/>
      <c r="AE16" s="36"/>
      <c r="AF16" s="23"/>
    </row>
    <row r="17" spans="1:32" x14ac:dyDescent="0.25">
      <c r="A17" s="23"/>
      <c r="B17" s="23"/>
      <c r="C17" s="36"/>
      <c r="D17" s="36"/>
      <c r="E17" s="23"/>
      <c r="F17" s="36"/>
      <c r="G17" s="36"/>
      <c r="H17" s="23"/>
      <c r="I17" s="36"/>
      <c r="J17" s="36"/>
      <c r="K17" s="23"/>
      <c r="L17" s="36"/>
      <c r="M17" s="36"/>
      <c r="N17" s="23"/>
      <c r="O17" s="36"/>
      <c r="P17" s="36"/>
      <c r="Q17" s="36"/>
      <c r="R17" s="36"/>
      <c r="S17" s="36"/>
      <c r="T17" s="36"/>
      <c r="U17" s="36"/>
      <c r="V17" s="36"/>
      <c r="W17" s="23"/>
      <c r="X17" s="36"/>
      <c r="Y17" s="36"/>
      <c r="Z17" s="23"/>
      <c r="AA17" s="36"/>
      <c r="AB17" s="36"/>
      <c r="AC17" s="23"/>
      <c r="AD17" s="36"/>
      <c r="AE17" s="36"/>
      <c r="AF17" s="23"/>
    </row>
    <row r="18" spans="1:32" x14ac:dyDescent="0.25">
      <c r="A18" s="23"/>
      <c r="B18" s="23"/>
      <c r="C18" s="36"/>
      <c r="D18" s="36"/>
      <c r="E18" s="23"/>
      <c r="F18" s="36"/>
      <c r="G18" s="36"/>
      <c r="H18" s="23"/>
      <c r="I18" s="36"/>
      <c r="J18" s="36"/>
      <c r="K18" s="23"/>
      <c r="L18" s="36"/>
      <c r="M18" s="36"/>
      <c r="N18" s="23"/>
      <c r="O18" s="36"/>
      <c r="P18" s="36"/>
      <c r="Q18" s="36"/>
      <c r="R18" s="36"/>
      <c r="S18" s="36"/>
      <c r="T18" s="36"/>
      <c r="U18" s="36"/>
      <c r="V18" s="36"/>
      <c r="W18" s="23"/>
      <c r="X18" s="36"/>
      <c r="Y18" s="36"/>
      <c r="Z18" s="23"/>
      <c r="AA18" s="36"/>
      <c r="AB18" s="36"/>
      <c r="AC18" s="23"/>
      <c r="AD18" s="36"/>
      <c r="AE18" s="36"/>
      <c r="AF18" s="23"/>
    </row>
    <row r="19" spans="1:32" x14ac:dyDescent="0.25">
      <c r="A19" s="23"/>
      <c r="B19" s="23"/>
      <c r="C19" s="36"/>
      <c r="D19" s="36"/>
      <c r="E19" s="23"/>
      <c r="F19" s="36"/>
      <c r="G19" s="36"/>
      <c r="H19" s="23"/>
      <c r="I19" s="36"/>
      <c r="J19" s="36"/>
      <c r="K19" s="23"/>
      <c r="L19" s="36"/>
      <c r="M19" s="36"/>
      <c r="N19" s="23"/>
      <c r="O19" s="36"/>
      <c r="P19" s="36"/>
      <c r="Q19" s="36"/>
      <c r="R19" s="36"/>
      <c r="S19" s="36"/>
      <c r="T19" s="36"/>
      <c r="U19" s="36"/>
      <c r="V19" s="36"/>
      <c r="W19" s="23"/>
      <c r="X19" s="36"/>
      <c r="Y19" s="36"/>
      <c r="Z19" s="23"/>
      <c r="AA19" s="36"/>
      <c r="AB19" s="36"/>
      <c r="AC19" s="23"/>
      <c r="AD19" s="36"/>
      <c r="AE19" s="36"/>
      <c r="AF19" s="23"/>
    </row>
    <row r="20" spans="1:32" x14ac:dyDescent="0.25">
      <c r="A20" s="23"/>
      <c r="B20" s="23"/>
      <c r="C20" s="36"/>
      <c r="D20" s="36"/>
      <c r="E20" s="23"/>
      <c r="F20" s="36"/>
      <c r="G20" s="36"/>
      <c r="H20" s="23"/>
      <c r="I20" s="36"/>
      <c r="J20" s="36"/>
      <c r="K20" s="23"/>
      <c r="L20" s="36"/>
      <c r="M20" s="36"/>
      <c r="N20" s="23"/>
      <c r="O20" s="36"/>
      <c r="P20" s="36"/>
      <c r="Q20" s="36"/>
      <c r="R20" s="36"/>
      <c r="S20" s="36"/>
      <c r="T20" s="36"/>
      <c r="U20" s="36"/>
      <c r="V20" s="36"/>
      <c r="W20" s="23"/>
      <c r="X20" s="36"/>
      <c r="Y20" s="36"/>
      <c r="Z20" s="23"/>
      <c r="AA20" s="36"/>
      <c r="AB20" s="36"/>
      <c r="AC20" s="23"/>
      <c r="AD20" s="36"/>
      <c r="AE20" s="36"/>
      <c r="AF20" s="23"/>
    </row>
    <row r="21" spans="1:32" x14ac:dyDescent="0.25">
      <c r="A21" s="23"/>
      <c r="B21" s="23"/>
      <c r="C21" s="36"/>
      <c r="D21" s="36"/>
      <c r="E21" s="23"/>
      <c r="F21" s="36"/>
      <c r="G21" s="36"/>
      <c r="H21" s="23"/>
      <c r="I21" s="36"/>
      <c r="J21" s="36"/>
      <c r="K21" s="23"/>
      <c r="L21" s="36"/>
      <c r="M21" s="36"/>
      <c r="N21" s="23"/>
      <c r="O21" s="36"/>
      <c r="P21" s="36"/>
      <c r="Q21" s="36"/>
      <c r="R21" s="36"/>
      <c r="S21" s="36"/>
      <c r="T21" s="36"/>
      <c r="U21" s="36"/>
      <c r="V21" s="36"/>
      <c r="W21" s="23"/>
      <c r="X21" s="36"/>
      <c r="Y21" s="36"/>
      <c r="Z21" s="23"/>
      <c r="AA21" s="36"/>
      <c r="AB21" s="36"/>
      <c r="AC21" s="23"/>
      <c r="AD21" s="36"/>
      <c r="AE21" s="36"/>
      <c r="AF21" s="23"/>
    </row>
    <row r="22" spans="1:32" x14ac:dyDescent="0.25">
      <c r="A22" s="23"/>
      <c r="B22" s="23"/>
      <c r="C22" s="36"/>
      <c r="D22" s="36"/>
      <c r="E22" s="23"/>
      <c r="F22" s="36"/>
      <c r="G22" s="36"/>
      <c r="H22" s="23"/>
      <c r="I22" s="36"/>
      <c r="J22" s="36"/>
      <c r="K22" s="23"/>
      <c r="L22" s="36"/>
      <c r="M22" s="36"/>
      <c r="N22" s="23"/>
      <c r="O22" s="36"/>
      <c r="P22" s="36"/>
      <c r="Q22" s="36"/>
      <c r="R22" s="36"/>
      <c r="S22" s="36"/>
      <c r="T22" s="36"/>
      <c r="U22" s="36"/>
      <c r="V22" s="36"/>
      <c r="W22" s="23"/>
      <c r="X22" s="36"/>
      <c r="Y22" s="36"/>
      <c r="Z22" s="23"/>
      <c r="AA22" s="36"/>
      <c r="AB22" s="36"/>
      <c r="AC22" s="23"/>
      <c r="AD22" s="36"/>
      <c r="AE22" s="36"/>
      <c r="AF22" s="23"/>
    </row>
    <row r="23" spans="1:32" x14ac:dyDescent="0.25">
      <c r="A23" s="23"/>
      <c r="B23" s="23"/>
      <c r="C23" s="36"/>
      <c r="D23" s="36"/>
      <c r="E23" s="23"/>
      <c r="F23" s="36"/>
      <c r="G23" s="36"/>
      <c r="H23" s="23"/>
      <c r="I23" s="36"/>
      <c r="J23" s="36"/>
      <c r="K23" s="23"/>
      <c r="L23" s="36"/>
      <c r="M23" s="36"/>
      <c r="N23" s="23"/>
      <c r="O23" s="36"/>
      <c r="P23" s="36"/>
      <c r="Q23" s="36"/>
      <c r="R23" s="36"/>
      <c r="S23" s="36"/>
      <c r="T23" s="36"/>
      <c r="U23" s="36"/>
      <c r="V23" s="36"/>
      <c r="W23" s="23"/>
      <c r="X23" s="36"/>
      <c r="Y23" s="36"/>
      <c r="Z23" s="23"/>
      <c r="AA23" s="36"/>
      <c r="AB23" s="36"/>
      <c r="AC23" s="23"/>
      <c r="AD23" s="36"/>
      <c r="AE23" s="36"/>
      <c r="AF23" s="23"/>
    </row>
    <row r="24" spans="1:32" x14ac:dyDescent="0.25">
      <c r="A24" s="23"/>
      <c r="B24" s="23"/>
      <c r="C24" s="36"/>
      <c r="D24" s="36"/>
      <c r="E24" s="23"/>
      <c r="F24" s="36"/>
      <c r="G24" s="36"/>
      <c r="H24" s="23"/>
      <c r="I24" s="36"/>
      <c r="J24" s="36"/>
      <c r="K24" s="23"/>
      <c r="L24" s="36"/>
      <c r="M24" s="36"/>
      <c r="N24" s="23"/>
      <c r="O24" s="36"/>
      <c r="P24" s="36"/>
      <c r="Q24" s="36"/>
      <c r="R24" s="36"/>
      <c r="S24" s="36"/>
      <c r="T24" s="36"/>
      <c r="U24" s="36"/>
      <c r="V24" s="36"/>
      <c r="W24" s="23"/>
      <c r="X24" s="36"/>
      <c r="Y24" s="36"/>
      <c r="Z24" s="23"/>
      <c r="AA24" s="36"/>
      <c r="AB24" s="36"/>
      <c r="AC24" s="23"/>
      <c r="AD24" s="36"/>
      <c r="AE24" s="36"/>
      <c r="AF24" s="23"/>
    </row>
    <row r="25" spans="1:32" x14ac:dyDescent="0.25">
      <c r="A25" s="23"/>
      <c r="B25" s="23"/>
      <c r="C25" s="36"/>
      <c r="D25" s="36"/>
      <c r="E25" s="23"/>
      <c r="F25" s="36"/>
      <c r="G25" s="36"/>
      <c r="H25" s="23"/>
      <c r="I25" s="36"/>
      <c r="J25" s="36"/>
      <c r="K25" s="23"/>
      <c r="L25" s="36"/>
      <c r="M25" s="36"/>
      <c r="N25" s="23"/>
      <c r="O25" s="36"/>
      <c r="P25" s="36"/>
      <c r="Q25" s="36"/>
      <c r="R25" s="36"/>
      <c r="S25" s="36"/>
      <c r="T25" s="36"/>
      <c r="U25" s="36"/>
      <c r="V25" s="36"/>
      <c r="W25" s="23"/>
      <c r="X25" s="36"/>
      <c r="Y25" s="36"/>
      <c r="Z25" s="23"/>
      <c r="AA25" s="36"/>
      <c r="AB25" s="36"/>
      <c r="AC25" s="23"/>
      <c r="AD25" s="36"/>
      <c r="AE25" s="36"/>
      <c r="AF25" s="23"/>
    </row>
    <row r="26" spans="1:32" x14ac:dyDescent="0.25">
      <c r="A26" s="23"/>
      <c r="B26" s="23"/>
      <c r="C26" s="36"/>
      <c r="D26" s="36"/>
      <c r="E26" s="23"/>
      <c r="F26" s="36"/>
      <c r="G26" s="36"/>
      <c r="H26" s="23"/>
      <c r="I26" s="36"/>
      <c r="J26" s="36"/>
      <c r="K26" s="23"/>
      <c r="L26" s="36"/>
      <c r="M26" s="36"/>
      <c r="N26" s="23"/>
      <c r="O26" s="36"/>
      <c r="P26" s="36"/>
      <c r="Q26" s="36"/>
      <c r="R26" s="36"/>
      <c r="S26" s="36"/>
      <c r="T26" s="36"/>
      <c r="U26" s="36"/>
      <c r="V26" s="36"/>
      <c r="W26" s="23"/>
      <c r="X26" s="36"/>
      <c r="Y26" s="36"/>
      <c r="Z26" s="23"/>
      <c r="AA26" s="36"/>
      <c r="AB26" s="36"/>
      <c r="AC26" s="23"/>
      <c r="AD26" s="36"/>
      <c r="AE26" s="36"/>
      <c r="AF26" s="23"/>
    </row>
    <row r="27" spans="1:32" x14ac:dyDescent="0.25">
      <c r="A27" s="23"/>
      <c r="B27" s="23"/>
      <c r="C27" s="36"/>
      <c r="D27" s="36"/>
      <c r="E27" s="23"/>
      <c r="F27" s="36"/>
      <c r="G27" s="36"/>
      <c r="H27" s="23"/>
      <c r="I27" s="36"/>
      <c r="J27" s="36"/>
      <c r="K27" s="23"/>
      <c r="L27" s="36"/>
      <c r="M27" s="36"/>
      <c r="N27" s="23"/>
      <c r="O27" s="36"/>
      <c r="P27" s="36"/>
      <c r="Q27" s="36"/>
      <c r="R27" s="36"/>
      <c r="S27" s="36"/>
      <c r="T27" s="36"/>
      <c r="U27" s="36"/>
      <c r="V27" s="36"/>
      <c r="W27" s="23"/>
      <c r="X27" s="36"/>
      <c r="Y27" s="36"/>
      <c r="Z27" s="23"/>
      <c r="AA27" s="36"/>
      <c r="AB27" s="36"/>
      <c r="AC27" s="23"/>
      <c r="AD27" s="36"/>
      <c r="AE27" s="36"/>
      <c r="AF27" s="23"/>
    </row>
    <row r="28" spans="1:32" x14ac:dyDescent="0.25">
      <c r="A28" s="23"/>
      <c r="B28" s="23"/>
      <c r="C28" s="36"/>
      <c r="D28" s="36"/>
      <c r="E28" s="23"/>
      <c r="F28" s="36"/>
      <c r="G28" s="36"/>
      <c r="H28" s="23"/>
      <c r="I28" s="36"/>
      <c r="J28" s="36"/>
      <c r="K28" s="23"/>
      <c r="L28" s="36"/>
      <c r="M28" s="36"/>
      <c r="N28" s="23"/>
      <c r="O28" s="36"/>
      <c r="P28" s="36"/>
      <c r="Q28" s="36"/>
      <c r="R28" s="36"/>
      <c r="S28" s="36"/>
      <c r="T28" s="36"/>
      <c r="U28" s="36"/>
      <c r="V28" s="36"/>
      <c r="W28" s="23"/>
      <c r="X28" s="36"/>
      <c r="Y28" s="36"/>
      <c r="Z28" s="23"/>
      <c r="AA28" s="36"/>
      <c r="AB28" s="36"/>
      <c r="AC28" s="23"/>
      <c r="AD28" s="36"/>
      <c r="AE28" s="36"/>
      <c r="AF28" s="23"/>
    </row>
    <row r="29" spans="1:32" x14ac:dyDescent="0.25">
      <c r="A29" s="23"/>
      <c r="B29" s="23"/>
      <c r="C29" s="36"/>
      <c r="D29" s="36"/>
      <c r="E29" s="23"/>
      <c r="F29" s="36"/>
      <c r="G29" s="36"/>
      <c r="H29" s="23"/>
      <c r="I29" s="36"/>
      <c r="J29" s="36"/>
      <c r="K29" s="23"/>
      <c r="L29" s="36"/>
      <c r="M29" s="36"/>
      <c r="N29" s="23"/>
      <c r="O29" s="36"/>
      <c r="P29" s="36"/>
      <c r="Q29" s="36"/>
      <c r="R29" s="36"/>
      <c r="S29" s="36"/>
      <c r="T29" s="36"/>
      <c r="U29" s="36"/>
      <c r="V29" s="36"/>
      <c r="W29" s="23"/>
      <c r="X29" s="36"/>
      <c r="Y29" s="36"/>
      <c r="Z29" s="23"/>
      <c r="AA29" s="36"/>
      <c r="AB29" s="36"/>
      <c r="AC29" s="23"/>
      <c r="AD29" s="36"/>
      <c r="AE29" s="36"/>
      <c r="AF29" s="23"/>
    </row>
    <row r="30" spans="1:32" x14ac:dyDescent="0.25">
      <c r="A30" s="23"/>
      <c r="B30" s="23"/>
      <c r="C30" s="36"/>
      <c r="D30" s="36"/>
      <c r="E30" s="23"/>
      <c r="F30" s="36"/>
      <c r="G30" s="36"/>
      <c r="H30" s="23"/>
      <c r="I30" s="36"/>
      <c r="J30" s="36"/>
      <c r="K30" s="23"/>
      <c r="L30" s="36"/>
      <c r="M30" s="36"/>
      <c r="N30" s="23"/>
      <c r="O30" s="36"/>
      <c r="P30" s="36"/>
      <c r="Q30" s="36"/>
      <c r="R30" s="36"/>
      <c r="S30" s="36"/>
      <c r="T30" s="36"/>
      <c r="U30" s="36"/>
      <c r="V30" s="36"/>
      <c r="W30" s="23"/>
      <c r="X30" s="36"/>
      <c r="Y30" s="36"/>
      <c r="Z30" s="23"/>
      <c r="AA30" s="36"/>
      <c r="AB30" s="36"/>
      <c r="AC30" s="23"/>
      <c r="AD30" s="36"/>
      <c r="AE30" s="36"/>
      <c r="AF30" s="23"/>
    </row>
    <row r="31" spans="1:32" x14ac:dyDescent="0.25">
      <c r="A31" s="23"/>
      <c r="B31" s="23"/>
      <c r="C31" s="36"/>
      <c r="D31" s="36"/>
      <c r="E31" s="23"/>
      <c r="F31" s="36"/>
      <c r="G31" s="36"/>
      <c r="H31" s="23"/>
      <c r="I31" s="36"/>
      <c r="J31" s="36"/>
      <c r="K31" s="23"/>
      <c r="L31" s="36"/>
      <c r="M31" s="36"/>
      <c r="N31" s="23"/>
      <c r="O31" s="36"/>
      <c r="P31" s="36"/>
      <c r="Q31" s="36"/>
      <c r="R31" s="36"/>
      <c r="S31" s="36"/>
      <c r="T31" s="36"/>
      <c r="U31" s="36"/>
      <c r="V31" s="36"/>
      <c r="W31" s="23"/>
      <c r="X31" s="36"/>
      <c r="Y31" s="36"/>
      <c r="Z31" s="23"/>
      <c r="AA31" s="36"/>
      <c r="AB31" s="36"/>
      <c r="AC31" s="23"/>
      <c r="AD31" s="36"/>
      <c r="AE31" s="36"/>
      <c r="AF31" s="23"/>
    </row>
    <row r="32" spans="1:32" x14ac:dyDescent="0.25">
      <c r="A32" s="23"/>
      <c r="B32" s="23"/>
      <c r="C32" s="36"/>
      <c r="D32" s="36"/>
      <c r="E32" s="23"/>
      <c r="F32" s="36"/>
      <c r="G32" s="36"/>
      <c r="H32" s="23"/>
      <c r="I32" s="36"/>
      <c r="J32" s="36"/>
      <c r="K32" s="23"/>
      <c r="L32" s="36"/>
      <c r="M32" s="36"/>
      <c r="N32" s="23"/>
      <c r="O32" s="36"/>
      <c r="P32" s="36"/>
      <c r="Q32" s="36"/>
      <c r="R32" s="36"/>
      <c r="S32" s="36"/>
      <c r="T32" s="36"/>
      <c r="U32" s="36"/>
      <c r="V32" s="36"/>
      <c r="W32" s="23"/>
      <c r="X32" s="36"/>
      <c r="Y32" s="36"/>
      <c r="Z32" s="23"/>
      <c r="AA32" s="36"/>
      <c r="AB32" s="36"/>
      <c r="AC32" s="23"/>
      <c r="AD32" s="36"/>
      <c r="AE32" s="36"/>
      <c r="AF32" s="23"/>
    </row>
    <row r="33" spans="1:32" x14ac:dyDescent="0.25">
      <c r="A33" s="23"/>
      <c r="B33" s="23"/>
      <c r="C33" s="36"/>
      <c r="D33" s="36"/>
      <c r="E33" s="23"/>
      <c r="F33" s="36"/>
      <c r="G33" s="36"/>
      <c r="H33" s="23"/>
      <c r="I33" s="36"/>
      <c r="J33" s="36"/>
      <c r="K33" s="23"/>
      <c r="L33" s="36"/>
      <c r="M33" s="36"/>
      <c r="N33" s="23"/>
      <c r="O33" s="36"/>
      <c r="P33" s="36"/>
      <c r="Q33" s="36"/>
      <c r="R33" s="36"/>
      <c r="S33" s="36"/>
      <c r="T33" s="36"/>
      <c r="U33" s="36"/>
      <c r="V33" s="36"/>
      <c r="W33" s="23"/>
      <c r="X33" s="36"/>
      <c r="Y33" s="36"/>
      <c r="Z33" s="23"/>
      <c r="AA33" s="36"/>
      <c r="AB33" s="36"/>
      <c r="AC33" s="23"/>
      <c r="AD33" s="36"/>
      <c r="AE33" s="36"/>
      <c r="AF33" s="23"/>
    </row>
    <row r="34" spans="1:32" x14ac:dyDescent="0.25">
      <c r="A34" s="23"/>
      <c r="B34" s="23"/>
      <c r="C34" s="36"/>
      <c r="D34" s="36"/>
      <c r="E34" s="23"/>
      <c r="F34" s="36"/>
      <c r="G34" s="36"/>
      <c r="H34" s="23"/>
      <c r="I34" s="36"/>
      <c r="J34" s="36"/>
      <c r="K34" s="23"/>
      <c r="L34" s="36"/>
      <c r="M34" s="36"/>
      <c r="N34" s="23"/>
      <c r="O34" s="36"/>
      <c r="P34" s="36"/>
      <c r="Q34" s="36"/>
      <c r="R34" s="36"/>
      <c r="S34" s="36"/>
      <c r="T34" s="36"/>
      <c r="U34" s="36"/>
      <c r="V34" s="36"/>
      <c r="W34" s="23"/>
      <c r="X34" s="36"/>
      <c r="Y34" s="36"/>
      <c r="Z34" s="23"/>
      <c r="AA34" s="36"/>
      <c r="AB34" s="36"/>
      <c r="AC34" s="23"/>
      <c r="AD34" s="36"/>
      <c r="AE34" s="36"/>
      <c r="AF34" s="23"/>
    </row>
    <row r="35" spans="1:32" x14ac:dyDescent="0.25">
      <c r="A35" s="23"/>
      <c r="B35" s="23"/>
      <c r="C35" s="36"/>
      <c r="D35" s="36"/>
      <c r="E35" s="23"/>
      <c r="F35" s="36"/>
      <c r="G35" s="36"/>
      <c r="H35" s="23"/>
      <c r="I35" s="36"/>
      <c r="J35" s="36"/>
      <c r="K35" s="23"/>
      <c r="L35" s="36"/>
      <c r="M35" s="36"/>
      <c r="N35" s="23"/>
      <c r="O35" s="36"/>
      <c r="P35" s="36"/>
      <c r="Q35" s="36"/>
      <c r="R35" s="36"/>
      <c r="S35" s="36"/>
      <c r="T35" s="36"/>
      <c r="U35" s="36"/>
      <c r="V35" s="36"/>
      <c r="W35" s="23"/>
      <c r="X35" s="36"/>
      <c r="Y35" s="36"/>
      <c r="Z35" s="23"/>
      <c r="AA35" s="36"/>
      <c r="AB35" s="36"/>
      <c r="AC35" s="23"/>
      <c r="AD35" s="36"/>
      <c r="AE35" s="36"/>
      <c r="AF35" s="23"/>
    </row>
    <row r="36" spans="1:32" x14ac:dyDescent="0.25">
      <c r="A36" s="23"/>
      <c r="B36" s="23"/>
      <c r="C36" s="36"/>
      <c r="D36" s="36"/>
      <c r="E36" s="23"/>
      <c r="F36" s="36"/>
      <c r="G36" s="36"/>
      <c r="H36" s="23"/>
      <c r="I36" s="36"/>
      <c r="J36" s="36"/>
      <c r="K36" s="23"/>
      <c r="L36" s="36"/>
      <c r="M36" s="36"/>
      <c r="N36" s="23"/>
      <c r="O36" s="36"/>
      <c r="P36" s="36"/>
      <c r="Q36" s="36"/>
      <c r="R36" s="36"/>
      <c r="S36" s="36"/>
      <c r="T36" s="36"/>
      <c r="U36" s="36"/>
      <c r="V36" s="36"/>
      <c r="W36" s="23"/>
      <c r="X36" s="36"/>
      <c r="Y36" s="36"/>
      <c r="Z36" s="23"/>
      <c r="AA36" s="36"/>
      <c r="AB36" s="36"/>
      <c r="AC36" s="23"/>
      <c r="AD36" s="36"/>
      <c r="AE36" s="36"/>
      <c r="AF36" s="23"/>
    </row>
    <row r="37" spans="1:32" x14ac:dyDescent="0.25">
      <c r="A37" s="23"/>
      <c r="B37" s="23"/>
      <c r="C37" s="36"/>
      <c r="D37" s="36"/>
      <c r="E37" s="23"/>
      <c r="F37" s="36"/>
      <c r="G37" s="36"/>
      <c r="H37" s="23"/>
      <c r="I37" s="36"/>
      <c r="J37" s="36"/>
      <c r="K37" s="23"/>
      <c r="L37" s="36"/>
      <c r="M37" s="36"/>
      <c r="N37" s="23"/>
      <c r="O37" s="36"/>
      <c r="P37" s="36"/>
      <c r="Q37" s="36"/>
      <c r="R37" s="36"/>
      <c r="S37" s="36"/>
      <c r="T37" s="36"/>
      <c r="U37" s="36"/>
      <c r="V37" s="36"/>
      <c r="W37" s="23"/>
      <c r="X37" s="36"/>
      <c r="Y37" s="36"/>
      <c r="Z37" s="23"/>
      <c r="AA37" s="36"/>
      <c r="AB37" s="36"/>
      <c r="AC37" s="23"/>
      <c r="AD37" s="36"/>
      <c r="AE37" s="36"/>
      <c r="AF37" s="23"/>
    </row>
    <row r="38" spans="1:32" x14ac:dyDescent="0.25">
      <c r="A38" s="23"/>
      <c r="B38" s="23"/>
      <c r="C38" s="36"/>
      <c r="D38" s="36"/>
      <c r="E38" s="23"/>
      <c r="F38" s="36"/>
      <c r="G38" s="36"/>
      <c r="H38" s="23"/>
      <c r="I38" s="36"/>
      <c r="J38" s="36"/>
      <c r="K38" s="23"/>
      <c r="L38" s="36"/>
      <c r="M38" s="36"/>
      <c r="N38" s="23"/>
      <c r="O38" s="36"/>
      <c r="P38" s="36"/>
      <c r="Q38" s="36"/>
      <c r="R38" s="36"/>
      <c r="S38" s="36"/>
      <c r="T38" s="36"/>
      <c r="U38" s="36"/>
      <c r="V38" s="36"/>
      <c r="W38" s="23"/>
      <c r="X38" s="36"/>
      <c r="Y38" s="36"/>
      <c r="Z38" s="23"/>
      <c r="AA38" s="36"/>
      <c r="AB38" s="36"/>
      <c r="AC38" s="23"/>
      <c r="AD38" s="36"/>
      <c r="AE38" s="36"/>
      <c r="AF38" s="23"/>
    </row>
    <row r="39" spans="1:32" x14ac:dyDescent="0.25">
      <c r="A39" s="23"/>
      <c r="B39" s="23"/>
      <c r="C39" s="36"/>
      <c r="D39" s="36"/>
      <c r="E39" s="23"/>
      <c r="F39" s="36"/>
      <c r="G39" s="36"/>
      <c r="H39" s="23"/>
      <c r="I39" s="36"/>
      <c r="J39" s="36"/>
      <c r="K39" s="23"/>
      <c r="L39" s="36"/>
      <c r="M39" s="36"/>
      <c r="N39" s="23"/>
      <c r="O39" s="36"/>
      <c r="P39" s="36"/>
      <c r="Q39" s="36"/>
      <c r="R39" s="36"/>
      <c r="S39" s="36"/>
      <c r="T39" s="36"/>
      <c r="U39" s="36"/>
      <c r="V39" s="36"/>
      <c r="W39" s="23"/>
      <c r="X39" s="36"/>
      <c r="Y39" s="36"/>
      <c r="Z39" s="23"/>
      <c r="AA39" s="36"/>
      <c r="AB39" s="36"/>
      <c r="AC39" s="23"/>
      <c r="AD39" s="36"/>
      <c r="AE39" s="36"/>
      <c r="AF39" s="23"/>
    </row>
    <row r="40" spans="1:32" x14ac:dyDescent="0.25">
      <c r="A40" s="23"/>
      <c r="B40" s="23"/>
      <c r="C40" s="36"/>
      <c r="D40" s="36"/>
      <c r="E40" s="23"/>
      <c r="F40" s="36"/>
      <c r="G40" s="36"/>
      <c r="H40" s="23"/>
      <c r="I40" s="36"/>
      <c r="J40" s="36"/>
      <c r="K40" s="23"/>
      <c r="L40" s="36"/>
      <c r="M40" s="36"/>
      <c r="N40" s="23"/>
      <c r="O40" s="36"/>
      <c r="P40" s="36"/>
      <c r="Q40" s="36"/>
      <c r="R40" s="36"/>
      <c r="S40" s="36"/>
      <c r="T40" s="36"/>
      <c r="U40" s="36"/>
      <c r="V40" s="36"/>
      <c r="W40" s="23"/>
      <c r="X40" s="36"/>
      <c r="Y40" s="36"/>
      <c r="Z40" s="23"/>
      <c r="AA40" s="36"/>
      <c r="AB40" s="36"/>
      <c r="AC40" s="23"/>
      <c r="AD40" s="36"/>
      <c r="AE40" s="36"/>
      <c r="AF40" s="23"/>
    </row>
    <row r="41" spans="1:32" x14ac:dyDescent="0.25">
      <c r="A41" s="23"/>
      <c r="B41" s="23"/>
      <c r="C41" s="36"/>
      <c r="D41" s="36"/>
      <c r="E41" s="23"/>
      <c r="F41" s="36"/>
      <c r="G41" s="36"/>
      <c r="H41" s="23"/>
      <c r="I41" s="36"/>
      <c r="J41" s="36"/>
      <c r="K41" s="23"/>
      <c r="L41" s="36"/>
      <c r="M41" s="36"/>
      <c r="N41" s="23"/>
      <c r="O41" s="36"/>
      <c r="P41" s="36"/>
      <c r="Q41" s="36"/>
      <c r="R41" s="36"/>
      <c r="S41" s="36"/>
      <c r="T41" s="36"/>
      <c r="U41" s="36"/>
      <c r="V41" s="36"/>
      <c r="W41" s="23"/>
      <c r="X41" s="36"/>
      <c r="Y41" s="36"/>
      <c r="Z41" s="23"/>
      <c r="AA41" s="36"/>
      <c r="AB41" s="36"/>
      <c r="AC41" s="23"/>
      <c r="AD41" s="36"/>
      <c r="AE41" s="36"/>
      <c r="AF41" s="23"/>
    </row>
    <row r="42" spans="1:32" x14ac:dyDescent="0.25">
      <c r="A42" s="23"/>
      <c r="B42" s="23"/>
      <c r="C42" s="36"/>
      <c r="D42" s="36"/>
      <c r="E42" s="23"/>
      <c r="F42" s="36"/>
      <c r="G42" s="36"/>
      <c r="H42" s="23"/>
      <c r="I42" s="36"/>
      <c r="J42" s="36"/>
      <c r="K42" s="23"/>
      <c r="L42" s="36"/>
      <c r="M42" s="36"/>
      <c r="N42" s="23"/>
      <c r="O42" s="36"/>
      <c r="P42" s="36"/>
      <c r="Q42" s="36"/>
      <c r="R42" s="36"/>
      <c r="S42" s="36"/>
      <c r="T42" s="36"/>
      <c r="U42" s="36"/>
      <c r="V42" s="36"/>
      <c r="W42" s="23"/>
      <c r="X42" s="36"/>
      <c r="Y42" s="36"/>
      <c r="Z42" s="23"/>
      <c r="AA42" s="36"/>
      <c r="AB42" s="36"/>
      <c r="AC42" s="23"/>
      <c r="AD42" s="36"/>
      <c r="AE42" s="36"/>
      <c r="AF42" s="23"/>
    </row>
    <row r="43" spans="1:32" x14ac:dyDescent="0.25">
      <c r="A43" s="23"/>
      <c r="B43" s="23"/>
      <c r="C43" s="36"/>
      <c r="D43" s="36"/>
      <c r="E43" s="23"/>
      <c r="F43" s="36"/>
      <c r="G43" s="36"/>
      <c r="H43" s="23"/>
      <c r="I43" s="36"/>
      <c r="J43" s="36"/>
      <c r="K43" s="23"/>
      <c r="L43" s="36"/>
      <c r="M43" s="36"/>
      <c r="N43" s="23"/>
      <c r="O43" s="36"/>
      <c r="P43" s="36"/>
      <c r="Q43" s="36"/>
      <c r="R43" s="36"/>
      <c r="S43" s="36"/>
      <c r="T43" s="36"/>
      <c r="U43" s="36"/>
      <c r="V43" s="36"/>
      <c r="W43" s="23"/>
      <c r="X43" s="36"/>
      <c r="Y43" s="36"/>
      <c r="Z43" s="23"/>
      <c r="AA43" s="36"/>
      <c r="AB43" s="36"/>
      <c r="AC43" s="23"/>
      <c r="AD43" s="36"/>
      <c r="AE43" s="36"/>
      <c r="AF43" s="23"/>
    </row>
    <row r="44" spans="1:32" x14ac:dyDescent="0.25">
      <c r="A44" s="23"/>
      <c r="B44" s="23"/>
      <c r="C44" s="36"/>
      <c r="D44" s="36"/>
      <c r="E44" s="23"/>
      <c r="F44" s="36"/>
      <c r="G44" s="36"/>
      <c r="H44" s="23"/>
      <c r="I44" s="36"/>
      <c r="J44" s="36"/>
      <c r="K44" s="23"/>
      <c r="L44" s="36"/>
      <c r="M44" s="36"/>
      <c r="N44" s="23"/>
      <c r="O44" s="36"/>
      <c r="P44" s="36"/>
      <c r="Q44" s="36"/>
      <c r="R44" s="36"/>
      <c r="S44" s="36"/>
      <c r="T44" s="36"/>
      <c r="U44" s="36"/>
      <c r="V44" s="36"/>
      <c r="W44" s="23"/>
      <c r="X44" s="36"/>
      <c r="Y44" s="36"/>
      <c r="Z44" s="23"/>
      <c r="AA44" s="36"/>
      <c r="AB44" s="36"/>
      <c r="AC44" s="23"/>
      <c r="AD44" s="36"/>
      <c r="AE44" s="36"/>
      <c r="AF44" s="23"/>
    </row>
    <row r="45" spans="1:32" x14ac:dyDescent="0.25">
      <c r="A45" s="23"/>
      <c r="B45" s="23"/>
      <c r="C45" s="36"/>
      <c r="D45" s="36"/>
      <c r="E45" s="23"/>
      <c r="F45" s="36"/>
      <c r="G45" s="36"/>
      <c r="H45" s="23"/>
      <c r="I45" s="36"/>
      <c r="J45" s="36"/>
      <c r="K45" s="23"/>
      <c r="L45" s="36"/>
      <c r="M45" s="36"/>
      <c r="N45" s="23"/>
      <c r="O45" s="36"/>
      <c r="P45" s="36"/>
      <c r="Q45" s="36"/>
      <c r="R45" s="36"/>
      <c r="S45" s="36"/>
      <c r="T45" s="36"/>
      <c r="U45" s="36"/>
      <c r="V45" s="36"/>
      <c r="W45" s="23"/>
      <c r="X45" s="36"/>
      <c r="Y45" s="36"/>
      <c r="Z45" s="23"/>
      <c r="AA45" s="36"/>
      <c r="AB45" s="36"/>
      <c r="AC45" s="23"/>
      <c r="AD45" s="36"/>
      <c r="AE45" s="36"/>
      <c r="AF45" s="23"/>
    </row>
    <row r="46" spans="1:32" x14ac:dyDescent="0.25">
      <c r="A46" s="23"/>
      <c r="B46" s="23"/>
      <c r="C46" s="36"/>
      <c r="D46" s="36"/>
      <c r="E46" s="23"/>
      <c r="F46" s="36"/>
      <c r="G46" s="36"/>
      <c r="H46" s="23"/>
      <c r="I46" s="36"/>
      <c r="J46" s="36"/>
      <c r="K46" s="23"/>
      <c r="L46" s="36"/>
      <c r="M46" s="36"/>
      <c r="N46" s="23"/>
      <c r="O46" s="36"/>
      <c r="P46" s="36"/>
      <c r="Q46" s="36"/>
      <c r="R46" s="36"/>
      <c r="S46" s="36"/>
      <c r="T46" s="36"/>
      <c r="U46" s="36"/>
      <c r="V46" s="36"/>
      <c r="W46" s="23"/>
      <c r="X46" s="36"/>
      <c r="Y46" s="36"/>
      <c r="Z46" s="23"/>
      <c r="AA46" s="36"/>
      <c r="AB46" s="36"/>
      <c r="AC46" s="23"/>
      <c r="AD46" s="36"/>
      <c r="AE46" s="36"/>
      <c r="AF46" s="23"/>
    </row>
    <row r="47" spans="1:32" x14ac:dyDescent="0.25">
      <c r="A47" s="23"/>
      <c r="B47" s="23"/>
      <c r="C47" s="36"/>
      <c r="D47" s="36"/>
      <c r="E47" s="23"/>
      <c r="F47" s="36"/>
      <c r="G47" s="36"/>
      <c r="H47" s="23"/>
      <c r="I47" s="36"/>
      <c r="J47" s="36"/>
      <c r="K47" s="23"/>
      <c r="L47" s="36"/>
      <c r="M47" s="36"/>
      <c r="N47" s="23"/>
      <c r="O47" s="36"/>
      <c r="P47" s="36"/>
      <c r="Q47" s="36"/>
      <c r="R47" s="36"/>
      <c r="S47" s="36"/>
      <c r="T47" s="36"/>
      <c r="U47" s="36"/>
      <c r="V47" s="36"/>
      <c r="W47" s="23"/>
      <c r="X47" s="36"/>
      <c r="Y47" s="36"/>
      <c r="Z47" s="23"/>
      <c r="AA47" s="36"/>
      <c r="AB47" s="36"/>
      <c r="AC47" s="23"/>
      <c r="AD47" s="36"/>
      <c r="AE47" s="36"/>
      <c r="AF47" s="23"/>
    </row>
    <row r="48" spans="1:32" x14ac:dyDescent="0.25">
      <c r="A48" s="23"/>
      <c r="B48" s="23"/>
      <c r="C48" s="36"/>
      <c r="D48" s="36"/>
      <c r="E48" s="23"/>
      <c r="F48" s="36"/>
      <c r="G48" s="36"/>
      <c r="H48" s="23"/>
      <c r="I48" s="36"/>
      <c r="J48" s="36"/>
      <c r="K48" s="23"/>
      <c r="L48" s="36"/>
      <c r="M48" s="36"/>
      <c r="N48" s="23"/>
      <c r="O48" s="36"/>
      <c r="P48" s="36"/>
      <c r="Q48" s="36"/>
      <c r="R48" s="36"/>
      <c r="S48" s="36"/>
      <c r="T48" s="36"/>
      <c r="U48" s="36"/>
      <c r="V48" s="36"/>
      <c r="W48" s="23"/>
      <c r="X48" s="36"/>
      <c r="Y48" s="36"/>
      <c r="Z48" s="23"/>
      <c r="AA48" s="36"/>
      <c r="AB48" s="36"/>
      <c r="AC48" s="23"/>
      <c r="AD48" s="36"/>
      <c r="AE48" s="36"/>
      <c r="AF48" s="23"/>
    </row>
    <row r="49" spans="1:32" x14ac:dyDescent="0.25">
      <c r="A49" s="23"/>
      <c r="B49" s="23"/>
      <c r="C49" s="36"/>
      <c r="D49" s="36"/>
      <c r="E49" s="23"/>
      <c r="F49" s="36"/>
      <c r="G49" s="36"/>
      <c r="H49" s="23"/>
      <c r="I49" s="36"/>
      <c r="J49" s="36"/>
      <c r="K49" s="23"/>
      <c r="L49" s="36"/>
      <c r="M49" s="36"/>
      <c r="N49" s="23"/>
      <c r="O49" s="36"/>
      <c r="P49" s="36"/>
      <c r="Q49" s="36"/>
      <c r="R49" s="36"/>
      <c r="S49" s="36"/>
      <c r="T49" s="36"/>
      <c r="U49" s="36"/>
      <c r="V49" s="36"/>
      <c r="W49" s="23"/>
      <c r="X49" s="36"/>
      <c r="Y49" s="36"/>
      <c r="Z49" s="23"/>
      <c r="AA49" s="36"/>
      <c r="AB49" s="36"/>
      <c r="AC49" s="23"/>
      <c r="AD49" s="36"/>
      <c r="AE49" s="36"/>
      <c r="AF49" s="23"/>
    </row>
    <row r="50" spans="1:32" x14ac:dyDescent="0.25">
      <c r="A50" s="23"/>
      <c r="B50" s="23"/>
      <c r="C50" s="36"/>
      <c r="D50" s="36"/>
      <c r="E50" s="23"/>
      <c r="F50" s="36"/>
      <c r="G50" s="36"/>
      <c r="H50" s="23"/>
      <c r="I50" s="36"/>
      <c r="J50" s="36"/>
      <c r="K50" s="23"/>
      <c r="L50" s="36"/>
      <c r="M50" s="36"/>
      <c r="N50" s="23"/>
      <c r="O50" s="36"/>
      <c r="P50" s="36"/>
      <c r="Q50" s="36"/>
      <c r="R50" s="36"/>
      <c r="S50" s="36"/>
      <c r="T50" s="36"/>
      <c r="U50" s="36"/>
      <c r="V50" s="36"/>
      <c r="W50" s="23"/>
      <c r="X50" s="36"/>
      <c r="Y50" s="36"/>
      <c r="Z50" s="23"/>
      <c r="AA50" s="36"/>
      <c r="AB50" s="36"/>
      <c r="AC50" s="23"/>
      <c r="AD50" s="36"/>
      <c r="AE50" s="36"/>
      <c r="AF50" s="23"/>
    </row>
    <row r="51" spans="1:32" x14ac:dyDescent="0.25">
      <c r="A51" s="23"/>
      <c r="B51" s="23"/>
      <c r="C51" s="36"/>
      <c r="D51" s="36"/>
      <c r="E51" s="23"/>
      <c r="F51" s="36"/>
      <c r="G51" s="36"/>
      <c r="H51" s="23"/>
      <c r="I51" s="36"/>
      <c r="J51" s="36"/>
      <c r="K51" s="23"/>
      <c r="L51" s="36"/>
      <c r="M51" s="36"/>
      <c r="N51" s="23"/>
      <c r="O51" s="36"/>
      <c r="P51" s="36"/>
      <c r="Q51" s="36"/>
      <c r="R51" s="36"/>
      <c r="S51" s="36"/>
      <c r="T51" s="36"/>
      <c r="U51" s="36"/>
      <c r="V51" s="36"/>
      <c r="W51" s="23"/>
      <c r="X51" s="36"/>
      <c r="Y51" s="36"/>
      <c r="Z51" s="23"/>
      <c r="AA51" s="36"/>
      <c r="AB51" s="36"/>
      <c r="AC51" s="23"/>
      <c r="AD51" s="36"/>
      <c r="AE51" s="36"/>
      <c r="AF51" s="23"/>
    </row>
    <row r="52" spans="1:32" x14ac:dyDescent="0.25">
      <c r="A52" s="23"/>
      <c r="B52" s="23"/>
      <c r="C52" s="36"/>
      <c r="D52" s="36"/>
      <c r="E52" s="23"/>
      <c r="F52" s="36"/>
      <c r="G52" s="36"/>
      <c r="H52" s="23"/>
      <c r="I52" s="36"/>
      <c r="J52" s="36"/>
      <c r="K52" s="23"/>
      <c r="L52" s="36"/>
      <c r="M52" s="36"/>
      <c r="N52" s="23"/>
      <c r="O52" s="36"/>
      <c r="P52" s="36"/>
      <c r="Q52" s="36"/>
      <c r="R52" s="36"/>
      <c r="S52" s="36"/>
      <c r="T52" s="36"/>
      <c r="U52" s="36"/>
      <c r="V52" s="36"/>
      <c r="W52" s="23"/>
      <c r="X52" s="36"/>
      <c r="Y52" s="36"/>
      <c r="Z52" s="23"/>
      <c r="AA52" s="36"/>
      <c r="AB52" s="36"/>
      <c r="AC52" s="23"/>
      <c r="AD52" s="36"/>
      <c r="AE52" s="36"/>
      <c r="AF52" s="23"/>
    </row>
    <row r="53" spans="1:32" x14ac:dyDescent="0.25">
      <c r="A53" s="23"/>
      <c r="B53" s="23"/>
      <c r="C53" s="36"/>
      <c r="D53" s="36"/>
      <c r="E53" s="23"/>
      <c r="F53" s="36"/>
      <c r="G53" s="36"/>
      <c r="H53" s="23"/>
      <c r="I53" s="36"/>
      <c r="J53" s="36"/>
      <c r="K53" s="23"/>
      <c r="L53" s="36"/>
      <c r="M53" s="36"/>
      <c r="N53" s="23"/>
      <c r="O53" s="36"/>
      <c r="P53" s="36"/>
      <c r="Q53" s="36"/>
      <c r="R53" s="36"/>
      <c r="S53" s="36"/>
      <c r="T53" s="36"/>
      <c r="U53" s="36"/>
      <c r="V53" s="36"/>
      <c r="W53" s="23"/>
      <c r="X53" s="36"/>
      <c r="Y53" s="36"/>
      <c r="Z53" s="23"/>
      <c r="AA53" s="36"/>
      <c r="AB53" s="36"/>
      <c r="AC53" s="23"/>
      <c r="AD53" s="36"/>
      <c r="AE53" s="36"/>
      <c r="AF53" s="23"/>
    </row>
    <row r="54" spans="1:32" x14ac:dyDescent="0.25">
      <c r="A54" s="23"/>
      <c r="B54" s="23"/>
      <c r="C54" s="36"/>
      <c r="D54" s="36"/>
      <c r="E54" s="23"/>
      <c r="F54" s="36"/>
      <c r="G54" s="36"/>
      <c r="H54" s="23"/>
      <c r="I54" s="36"/>
      <c r="J54" s="36"/>
      <c r="K54" s="23"/>
      <c r="L54" s="36"/>
      <c r="M54" s="36"/>
      <c r="N54" s="23"/>
      <c r="O54" s="36"/>
      <c r="P54" s="36"/>
      <c r="Q54" s="36"/>
      <c r="R54" s="36"/>
      <c r="S54" s="36"/>
      <c r="T54" s="36"/>
      <c r="U54" s="36"/>
      <c r="V54" s="36"/>
      <c r="W54" s="23"/>
      <c r="X54" s="36"/>
      <c r="Y54" s="36"/>
      <c r="Z54" s="23"/>
      <c r="AA54" s="36"/>
      <c r="AB54" s="36"/>
      <c r="AC54" s="23"/>
      <c r="AD54" s="36"/>
      <c r="AE54" s="36"/>
      <c r="AF54" s="23"/>
    </row>
    <row r="55" spans="1:32" x14ac:dyDescent="0.25">
      <c r="A55" s="23"/>
      <c r="B55" s="23"/>
      <c r="C55" s="36"/>
      <c r="D55" s="36"/>
      <c r="E55" s="23"/>
      <c r="F55" s="36"/>
      <c r="G55" s="36"/>
      <c r="H55" s="23"/>
      <c r="I55" s="36"/>
      <c r="J55" s="36"/>
      <c r="K55" s="23"/>
      <c r="L55" s="36"/>
      <c r="M55" s="36"/>
      <c r="N55" s="23"/>
      <c r="O55" s="36"/>
      <c r="P55" s="36"/>
      <c r="Q55" s="36"/>
      <c r="R55" s="36"/>
      <c r="S55" s="36"/>
      <c r="T55" s="36"/>
      <c r="U55" s="36"/>
      <c r="V55" s="36"/>
      <c r="W55" s="23"/>
      <c r="X55" s="36"/>
      <c r="Y55" s="36"/>
      <c r="Z55" s="23"/>
      <c r="AA55" s="36"/>
      <c r="AB55" s="36"/>
      <c r="AC55" s="23"/>
      <c r="AD55" s="36"/>
      <c r="AE55" s="36"/>
      <c r="AF55" s="23"/>
    </row>
    <row r="56" spans="1:32" x14ac:dyDescent="0.25">
      <c r="A56" s="23"/>
      <c r="B56" s="23"/>
      <c r="C56" s="36"/>
      <c r="D56" s="36"/>
      <c r="E56" s="23"/>
      <c r="F56" s="36"/>
      <c r="G56" s="36"/>
      <c r="H56" s="23"/>
      <c r="I56" s="36"/>
      <c r="J56" s="36"/>
      <c r="K56" s="23"/>
      <c r="L56" s="36"/>
      <c r="M56" s="36"/>
      <c r="N56" s="23"/>
      <c r="O56" s="36"/>
      <c r="P56" s="36"/>
      <c r="Q56" s="36"/>
      <c r="R56" s="36"/>
      <c r="S56" s="36"/>
      <c r="T56" s="36"/>
      <c r="U56" s="36"/>
      <c r="V56" s="36"/>
      <c r="W56" s="23"/>
      <c r="X56" s="36"/>
      <c r="Y56" s="36"/>
      <c r="Z56" s="23"/>
      <c r="AA56" s="36"/>
      <c r="AB56" s="36"/>
      <c r="AC56" s="23"/>
      <c r="AD56" s="36"/>
      <c r="AE56" s="36"/>
      <c r="AF56" s="23"/>
    </row>
    <row r="57" spans="1:32" x14ac:dyDescent="0.25">
      <c r="A57" s="23"/>
      <c r="B57" s="23"/>
      <c r="C57" s="36"/>
      <c r="D57" s="36"/>
      <c r="E57" s="23"/>
      <c r="F57" s="36"/>
      <c r="G57" s="36"/>
      <c r="H57" s="23"/>
      <c r="I57" s="36"/>
      <c r="J57" s="36"/>
      <c r="K57" s="23"/>
      <c r="L57" s="36"/>
      <c r="M57" s="36"/>
      <c r="N57" s="23"/>
      <c r="O57" s="36"/>
      <c r="P57" s="36"/>
      <c r="Q57" s="36"/>
      <c r="R57" s="36"/>
      <c r="S57" s="36"/>
      <c r="T57" s="36"/>
      <c r="U57" s="36"/>
      <c r="V57" s="36"/>
      <c r="W57" s="23"/>
      <c r="X57" s="36"/>
      <c r="Y57" s="36"/>
      <c r="Z57" s="23"/>
      <c r="AA57" s="36"/>
      <c r="AB57" s="36"/>
      <c r="AC57" s="23"/>
      <c r="AD57" s="36"/>
      <c r="AE57" s="36"/>
      <c r="AF57" s="23"/>
    </row>
    <row r="58" spans="1:32" x14ac:dyDescent="0.25">
      <c r="A58" s="23"/>
      <c r="B58" s="23"/>
      <c r="C58" s="36"/>
      <c r="D58" s="36"/>
      <c r="E58" s="23"/>
      <c r="F58" s="36"/>
      <c r="G58" s="36"/>
      <c r="H58" s="23"/>
      <c r="I58" s="36"/>
      <c r="J58" s="36"/>
      <c r="K58" s="23"/>
      <c r="L58" s="36"/>
      <c r="M58" s="36"/>
      <c r="N58" s="23"/>
      <c r="O58" s="36"/>
      <c r="P58" s="36"/>
      <c r="Q58" s="36"/>
      <c r="R58" s="36"/>
      <c r="S58" s="36"/>
      <c r="T58" s="36"/>
      <c r="U58" s="36"/>
      <c r="V58" s="36"/>
      <c r="W58" s="23"/>
      <c r="X58" s="36"/>
      <c r="Y58" s="36"/>
      <c r="Z58" s="23"/>
      <c r="AA58" s="36"/>
      <c r="AB58" s="36"/>
      <c r="AC58" s="23"/>
      <c r="AD58" s="36"/>
      <c r="AE58" s="36"/>
      <c r="AF58" s="23"/>
    </row>
    <row r="59" spans="1:32" x14ac:dyDescent="0.25">
      <c r="A59" s="23"/>
      <c r="B59" s="23"/>
      <c r="C59" s="36"/>
      <c r="D59" s="36"/>
      <c r="E59" s="23"/>
      <c r="F59" s="36"/>
      <c r="G59" s="36"/>
      <c r="H59" s="23"/>
      <c r="I59" s="36"/>
      <c r="J59" s="36"/>
      <c r="K59" s="23"/>
      <c r="L59" s="36"/>
      <c r="M59" s="36"/>
      <c r="N59" s="23"/>
      <c r="O59" s="36"/>
      <c r="P59" s="36"/>
      <c r="Q59" s="36"/>
      <c r="R59" s="36"/>
      <c r="S59" s="36"/>
      <c r="T59" s="36"/>
      <c r="U59" s="36"/>
      <c r="V59" s="36"/>
      <c r="W59" s="23"/>
      <c r="X59" s="36"/>
      <c r="Y59" s="36"/>
      <c r="Z59" s="23"/>
      <c r="AA59" s="36"/>
      <c r="AB59" s="36"/>
      <c r="AC59" s="23"/>
      <c r="AD59" s="36"/>
      <c r="AE59" s="36"/>
      <c r="AF59" s="23"/>
    </row>
    <row r="60" spans="1:32" x14ac:dyDescent="0.25">
      <c r="A60" s="23"/>
      <c r="B60" s="23"/>
      <c r="C60" s="36"/>
      <c r="D60" s="36"/>
      <c r="E60" s="23"/>
      <c r="F60" s="36"/>
      <c r="G60" s="36"/>
      <c r="H60" s="23"/>
      <c r="I60" s="36"/>
      <c r="J60" s="36"/>
      <c r="K60" s="23"/>
      <c r="L60" s="36"/>
      <c r="M60" s="36"/>
      <c r="N60" s="23"/>
      <c r="O60" s="36"/>
      <c r="P60" s="36"/>
      <c r="Q60" s="36"/>
      <c r="R60" s="36"/>
      <c r="S60" s="36"/>
      <c r="T60" s="36"/>
      <c r="U60" s="36"/>
      <c r="V60" s="36"/>
      <c r="W60" s="23"/>
      <c r="X60" s="36"/>
      <c r="Y60" s="36"/>
      <c r="Z60" s="23"/>
      <c r="AA60" s="36"/>
      <c r="AB60" s="36"/>
      <c r="AC60" s="23"/>
      <c r="AD60" s="36"/>
      <c r="AE60" s="36"/>
      <c r="AF60" s="23"/>
    </row>
    <row r="61" spans="1:32" x14ac:dyDescent="0.25">
      <c r="A61" s="23"/>
      <c r="B61" s="23"/>
      <c r="C61" s="36"/>
      <c r="D61" s="36"/>
      <c r="E61" s="23"/>
      <c r="F61" s="36"/>
      <c r="G61" s="36"/>
      <c r="H61" s="23"/>
      <c r="I61" s="36"/>
      <c r="J61" s="36"/>
      <c r="K61" s="23"/>
      <c r="L61" s="36"/>
      <c r="M61" s="36"/>
      <c r="N61" s="23"/>
      <c r="O61" s="36"/>
      <c r="P61" s="36"/>
      <c r="Q61" s="36"/>
      <c r="R61" s="36"/>
      <c r="S61" s="36"/>
      <c r="T61" s="36"/>
      <c r="U61" s="36"/>
      <c r="V61" s="36"/>
      <c r="W61" s="23"/>
      <c r="X61" s="36"/>
      <c r="Y61" s="36"/>
      <c r="Z61" s="23"/>
      <c r="AA61" s="36"/>
      <c r="AB61" s="36"/>
      <c r="AC61" s="23"/>
      <c r="AD61" s="36"/>
      <c r="AE61" s="36"/>
      <c r="AF61" s="23"/>
    </row>
    <row r="62" spans="1:32" x14ac:dyDescent="0.25">
      <c r="A62" s="23"/>
      <c r="B62" s="23"/>
      <c r="C62" s="36"/>
      <c r="D62" s="36"/>
      <c r="E62" s="23"/>
      <c r="F62" s="36"/>
      <c r="G62" s="36"/>
      <c r="H62" s="23"/>
      <c r="I62" s="36"/>
      <c r="J62" s="36"/>
      <c r="K62" s="23"/>
      <c r="L62" s="36"/>
      <c r="M62" s="36"/>
      <c r="N62" s="23"/>
      <c r="O62" s="36"/>
      <c r="P62" s="36"/>
      <c r="Q62" s="36"/>
      <c r="R62" s="36"/>
      <c r="S62" s="36"/>
      <c r="T62" s="36"/>
      <c r="U62" s="36"/>
      <c r="V62" s="36"/>
      <c r="W62" s="23"/>
      <c r="X62" s="36"/>
      <c r="Y62" s="36"/>
      <c r="Z62" s="23"/>
      <c r="AA62" s="36"/>
      <c r="AB62" s="36"/>
      <c r="AC62" s="23"/>
      <c r="AD62" s="36"/>
      <c r="AE62" s="36"/>
      <c r="AF62" s="23"/>
    </row>
    <row r="63" spans="1:32" x14ac:dyDescent="0.25">
      <c r="A63" s="23"/>
      <c r="B63" s="23"/>
      <c r="C63" s="36"/>
      <c r="D63" s="36"/>
      <c r="E63" s="23"/>
      <c r="F63" s="36"/>
      <c r="G63" s="36"/>
      <c r="H63" s="23"/>
      <c r="I63" s="36"/>
      <c r="J63" s="36"/>
      <c r="K63" s="23"/>
      <c r="L63" s="36"/>
      <c r="M63" s="36"/>
      <c r="N63" s="23"/>
      <c r="O63" s="36"/>
      <c r="P63" s="36"/>
      <c r="Q63" s="36"/>
      <c r="R63" s="36"/>
      <c r="S63" s="36"/>
      <c r="T63" s="36"/>
      <c r="U63" s="36"/>
      <c r="V63" s="36"/>
      <c r="W63" s="23"/>
      <c r="X63" s="36"/>
      <c r="Y63" s="36"/>
      <c r="Z63" s="23"/>
      <c r="AA63" s="36"/>
      <c r="AB63" s="36"/>
      <c r="AC63" s="23"/>
      <c r="AD63" s="36"/>
      <c r="AE63" s="36"/>
      <c r="AF63" s="23"/>
    </row>
    <row r="64" spans="1:32" x14ac:dyDescent="0.25">
      <c r="A64" s="23"/>
      <c r="B64" s="23"/>
      <c r="C64" s="36"/>
      <c r="D64" s="36"/>
      <c r="E64" s="23"/>
      <c r="F64" s="36"/>
      <c r="G64" s="36"/>
      <c r="H64" s="23"/>
      <c r="I64" s="36"/>
      <c r="J64" s="36"/>
      <c r="K64" s="23"/>
      <c r="L64" s="36"/>
      <c r="M64" s="36"/>
      <c r="N64" s="23"/>
      <c r="O64" s="36"/>
      <c r="P64" s="36"/>
      <c r="Q64" s="36"/>
      <c r="R64" s="36"/>
      <c r="S64" s="36"/>
      <c r="T64" s="36"/>
      <c r="U64" s="36"/>
      <c r="V64" s="36"/>
      <c r="W64" s="23"/>
      <c r="X64" s="36"/>
      <c r="Y64" s="36"/>
      <c r="Z64" s="23"/>
      <c r="AA64" s="36"/>
      <c r="AB64" s="36"/>
      <c r="AC64" s="23"/>
      <c r="AD64" s="36"/>
      <c r="AE64" s="36"/>
      <c r="AF64" s="23"/>
    </row>
    <row r="65" spans="1:32" x14ac:dyDescent="0.25">
      <c r="A65" s="23"/>
      <c r="B65" s="23"/>
      <c r="C65" s="36"/>
      <c r="D65" s="36"/>
      <c r="E65" s="23"/>
      <c r="F65" s="36"/>
      <c r="G65" s="36"/>
      <c r="H65" s="23"/>
      <c r="I65" s="36"/>
      <c r="J65" s="36"/>
      <c r="K65" s="23"/>
      <c r="L65" s="36"/>
      <c r="M65" s="36"/>
      <c r="N65" s="23"/>
      <c r="O65" s="36"/>
      <c r="P65" s="36"/>
      <c r="Q65" s="36"/>
      <c r="R65" s="36"/>
      <c r="S65" s="36"/>
      <c r="T65" s="36"/>
      <c r="U65" s="36"/>
      <c r="V65" s="36"/>
      <c r="W65" s="23"/>
      <c r="X65" s="36"/>
      <c r="Y65" s="36"/>
      <c r="Z65" s="23"/>
      <c r="AA65" s="36"/>
      <c r="AB65" s="36"/>
      <c r="AC65" s="23"/>
      <c r="AD65" s="36"/>
      <c r="AE65" s="36"/>
      <c r="AF65" s="23"/>
    </row>
    <row r="66" spans="1:32" x14ac:dyDescent="0.25">
      <c r="A66" s="23"/>
      <c r="B66" s="23"/>
      <c r="C66" s="36"/>
      <c r="D66" s="36"/>
      <c r="E66" s="23"/>
      <c r="F66" s="36"/>
      <c r="G66" s="36"/>
      <c r="H66" s="23"/>
      <c r="I66" s="36"/>
      <c r="J66" s="36"/>
      <c r="K66" s="23"/>
      <c r="L66" s="36"/>
      <c r="M66" s="36"/>
      <c r="N66" s="23"/>
      <c r="O66" s="36"/>
      <c r="P66" s="36"/>
      <c r="Q66" s="36"/>
      <c r="R66" s="36"/>
      <c r="S66" s="36"/>
      <c r="T66" s="36"/>
      <c r="U66" s="36"/>
      <c r="V66" s="36"/>
      <c r="W66" s="23"/>
      <c r="X66" s="36"/>
      <c r="Y66" s="36"/>
      <c r="Z66" s="23"/>
      <c r="AA66" s="36"/>
      <c r="AB66" s="36"/>
      <c r="AC66" s="23"/>
      <c r="AD66" s="36"/>
      <c r="AE66" s="36"/>
      <c r="AF66" s="23"/>
    </row>
    <row r="67" spans="1:32" x14ac:dyDescent="0.25">
      <c r="A67" s="23"/>
      <c r="B67" s="23"/>
      <c r="C67" s="36"/>
      <c r="D67" s="36"/>
      <c r="E67" s="23"/>
      <c r="F67" s="36"/>
      <c r="G67" s="36"/>
      <c r="H67" s="23"/>
      <c r="I67" s="36"/>
      <c r="J67" s="36"/>
      <c r="K67" s="23"/>
      <c r="L67" s="36"/>
      <c r="M67" s="36"/>
      <c r="N67" s="23"/>
      <c r="O67" s="36"/>
      <c r="P67" s="36"/>
      <c r="Q67" s="36"/>
      <c r="R67" s="36"/>
      <c r="S67" s="36"/>
      <c r="T67" s="36"/>
      <c r="U67" s="36"/>
      <c r="V67" s="36"/>
      <c r="W67" s="23"/>
      <c r="X67" s="36"/>
      <c r="Y67" s="36"/>
      <c r="Z67" s="23"/>
      <c r="AA67" s="36"/>
      <c r="AB67" s="36"/>
      <c r="AC67" s="23"/>
      <c r="AD67" s="36"/>
      <c r="AE67" s="36"/>
      <c r="AF67" s="23"/>
    </row>
    <row r="68" spans="1:32" x14ac:dyDescent="0.25">
      <c r="A68" s="23"/>
      <c r="B68" s="23"/>
      <c r="C68" s="36"/>
      <c r="D68" s="36"/>
      <c r="E68" s="23"/>
      <c r="F68" s="36"/>
      <c r="G68" s="36"/>
      <c r="H68" s="23"/>
      <c r="I68" s="36"/>
      <c r="J68" s="36"/>
      <c r="K68" s="23"/>
      <c r="L68" s="36"/>
      <c r="M68" s="36"/>
      <c r="N68" s="23"/>
      <c r="O68" s="36"/>
      <c r="P68" s="36"/>
      <c r="Q68" s="36"/>
      <c r="R68" s="36"/>
      <c r="S68" s="36"/>
      <c r="T68" s="36"/>
      <c r="U68" s="36"/>
      <c r="V68" s="36"/>
      <c r="W68" s="23"/>
      <c r="X68" s="36"/>
      <c r="Y68" s="36"/>
      <c r="Z68" s="23"/>
      <c r="AA68" s="36"/>
      <c r="AB68" s="36"/>
      <c r="AC68" s="23"/>
      <c r="AD68" s="36"/>
      <c r="AE68" s="36"/>
      <c r="AF68" s="23"/>
    </row>
    <row r="69" spans="1:32" x14ac:dyDescent="0.25">
      <c r="A69" s="23"/>
      <c r="B69" s="23"/>
      <c r="C69" s="36"/>
      <c r="D69" s="36"/>
      <c r="E69" s="23"/>
      <c r="F69" s="36"/>
      <c r="G69" s="36"/>
      <c r="H69" s="23"/>
      <c r="I69" s="36"/>
      <c r="J69" s="36"/>
      <c r="K69" s="23"/>
      <c r="L69" s="36"/>
      <c r="M69" s="36"/>
      <c r="N69" s="23"/>
      <c r="O69" s="36"/>
      <c r="P69" s="36"/>
      <c r="Q69" s="36"/>
      <c r="R69" s="36"/>
      <c r="S69" s="36"/>
      <c r="T69" s="36"/>
      <c r="U69" s="36"/>
      <c r="V69" s="36"/>
      <c r="W69" s="23"/>
      <c r="X69" s="36"/>
      <c r="Y69" s="36"/>
      <c r="Z69" s="23"/>
      <c r="AA69" s="36"/>
      <c r="AB69" s="36"/>
      <c r="AC69" s="23"/>
      <c r="AD69" s="36"/>
      <c r="AE69" s="36"/>
      <c r="AF69" s="23"/>
    </row>
    <row r="70" spans="1:32" x14ac:dyDescent="0.25">
      <c r="A70" s="23"/>
      <c r="B70" s="23"/>
      <c r="C70" s="36"/>
      <c r="D70" s="36"/>
      <c r="E70" s="23"/>
      <c r="F70" s="36"/>
      <c r="G70" s="36"/>
      <c r="H70" s="23"/>
      <c r="I70" s="36"/>
      <c r="J70" s="36"/>
      <c r="K70" s="23"/>
      <c r="L70" s="36"/>
      <c r="M70" s="36"/>
      <c r="N70" s="23"/>
      <c r="O70" s="36"/>
      <c r="P70" s="36"/>
      <c r="Q70" s="36"/>
      <c r="R70" s="36"/>
      <c r="S70" s="36"/>
      <c r="T70" s="36"/>
      <c r="U70" s="36"/>
      <c r="V70" s="36"/>
      <c r="W70" s="23"/>
      <c r="X70" s="36"/>
      <c r="Y70" s="36"/>
      <c r="Z70" s="23"/>
      <c r="AA70" s="36"/>
      <c r="AB70" s="36"/>
      <c r="AC70" s="23"/>
      <c r="AD70" s="36"/>
      <c r="AE70" s="36"/>
      <c r="AF70" s="23"/>
    </row>
    <row r="71" spans="1:32" x14ac:dyDescent="0.25">
      <c r="A71" s="23"/>
      <c r="B71" s="23"/>
      <c r="C71" s="36"/>
      <c r="D71" s="36"/>
      <c r="E71" s="23"/>
      <c r="F71" s="36"/>
      <c r="G71" s="36"/>
      <c r="H71" s="23"/>
      <c r="I71" s="36"/>
      <c r="J71" s="36"/>
      <c r="K71" s="23"/>
      <c r="L71" s="36"/>
      <c r="M71" s="36"/>
      <c r="N71" s="23"/>
      <c r="O71" s="36"/>
      <c r="P71" s="36"/>
      <c r="Q71" s="36"/>
      <c r="R71" s="36"/>
      <c r="S71" s="36"/>
      <c r="T71" s="36"/>
      <c r="U71" s="36"/>
      <c r="V71" s="36"/>
      <c r="W71" s="23"/>
      <c r="X71" s="36"/>
      <c r="Y71" s="36"/>
      <c r="Z71" s="23"/>
      <c r="AA71" s="36"/>
      <c r="AB71" s="36"/>
      <c r="AC71" s="23"/>
      <c r="AD71" s="36"/>
      <c r="AE71" s="36"/>
      <c r="AF71" s="23"/>
    </row>
    <row r="72" spans="1:32" x14ac:dyDescent="0.25">
      <c r="A72" s="23"/>
      <c r="B72" s="23"/>
      <c r="C72" s="36"/>
      <c r="D72" s="36"/>
      <c r="E72" s="23"/>
      <c r="F72" s="36"/>
      <c r="G72" s="36"/>
      <c r="H72" s="23"/>
      <c r="I72" s="36"/>
      <c r="J72" s="36"/>
      <c r="K72" s="23"/>
      <c r="L72" s="36"/>
      <c r="M72" s="36"/>
      <c r="N72" s="23"/>
      <c r="O72" s="36"/>
      <c r="P72" s="36"/>
      <c r="Q72" s="36"/>
      <c r="R72" s="36"/>
      <c r="S72" s="36"/>
      <c r="T72" s="36"/>
      <c r="U72" s="36"/>
      <c r="V72" s="36"/>
      <c r="W72" s="23"/>
      <c r="X72" s="36"/>
      <c r="Y72" s="36"/>
      <c r="Z72" s="23"/>
      <c r="AA72" s="36"/>
      <c r="AB72" s="36"/>
      <c r="AC72" s="23"/>
      <c r="AD72" s="36"/>
      <c r="AE72" s="36"/>
      <c r="AF72" s="23"/>
    </row>
    <row r="73" spans="1:32" x14ac:dyDescent="0.25">
      <c r="A73" s="23"/>
      <c r="B73" s="23"/>
      <c r="C73" s="36"/>
      <c r="D73" s="36"/>
      <c r="E73" s="23"/>
      <c r="F73" s="36"/>
      <c r="G73" s="36"/>
      <c r="H73" s="23"/>
      <c r="I73" s="36"/>
      <c r="J73" s="36"/>
      <c r="K73" s="23"/>
      <c r="L73" s="36"/>
      <c r="M73" s="36"/>
      <c r="N73" s="23"/>
      <c r="O73" s="36"/>
      <c r="P73" s="36"/>
      <c r="Q73" s="36"/>
      <c r="R73" s="36"/>
      <c r="S73" s="36"/>
      <c r="T73" s="36"/>
      <c r="U73" s="36"/>
      <c r="V73" s="36"/>
      <c r="W73" s="23"/>
      <c r="X73" s="36"/>
      <c r="Y73" s="36"/>
      <c r="Z73" s="23"/>
      <c r="AA73" s="36"/>
      <c r="AB73" s="36"/>
      <c r="AC73" s="23"/>
      <c r="AD73" s="36"/>
      <c r="AE73" s="36"/>
      <c r="AF73" s="23"/>
    </row>
    <row r="74" spans="1:32" x14ac:dyDescent="0.25">
      <c r="A74" s="23"/>
      <c r="B74" s="23"/>
      <c r="C74" s="36"/>
      <c r="D74" s="36"/>
      <c r="E74" s="23"/>
      <c r="F74" s="36"/>
      <c r="G74" s="36"/>
      <c r="H74" s="23"/>
      <c r="I74" s="36"/>
      <c r="J74" s="36"/>
      <c r="K74" s="23"/>
      <c r="L74" s="36"/>
      <c r="M74" s="36"/>
      <c r="N74" s="23"/>
      <c r="O74" s="36"/>
      <c r="P74" s="36"/>
      <c r="Q74" s="36"/>
      <c r="R74" s="36"/>
      <c r="S74" s="36"/>
      <c r="T74" s="36"/>
      <c r="U74" s="36"/>
      <c r="V74" s="36"/>
      <c r="W74" s="23"/>
      <c r="X74" s="36"/>
      <c r="Y74" s="36"/>
      <c r="Z74" s="23"/>
      <c r="AA74" s="36"/>
      <c r="AB74" s="36"/>
      <c r="AC74" s="23"/>
      <c r="AD74" s="36"/>
      <c r="AE74" s="36"/>
      <c r="AF74" s="23"/>
    </row>
    <row r="75" spans="1:32" x14ac:dyDescent="0.25">
      <c r="A75" s="23"/>
      <c r="B75" s="23"/>
      <c r="C75" s="36"/>
      <c r="D75" s="36"/>
      <c r="E75" s="23"/>
      <c r="F75" s="36"/>
      <c r="G75" s="36"/>
      <c r="H75" s="23"/>
      <c r="I75" s="36"/>
      <c r="J75" s="36"/>
      <c r="K75" s="23"/>
      <c r="L75" s="36"/>
      <c r="M75" s="36"/>
      <c r="N75" s="23"/>
      <c r="O75" s="36"/>
      <c r="P75" s="36"/>
      <c r="Q75" s="36"/>
      <c r="R75" s="36"/>
      <c r="S75" s="36"/>
      <c r="T75" s="36"/>
      <c r="U75" s="36"/>
      <c r="V75" s="36"/>
      <c r="W75" s="23"/>
      <c r="X75" s="36"/>
      <c r="Y75" s="36"/>
      <c r="Z75" s="23"/>
      <c r="AA75" s="36"/>
      <c r="AB75" s="36"/>
      <c r="AC75" s="23"/>
      <c r="AD75" s="36"/>
      <c r="AE75" s="36"/>
      <c r="AF75" s="23"/>
    </row>
    <row r="76" spans="1:32" x14ac:dyDescent="0.25">
      <c r="A76" s="23"/>
      <c r="B76" s="23"/>
      <c r="C76" s="36"/>
      <c r="D76" s="36"/>
      <c r="E76" s="23"/>
      <c r="F76" s="36"/>
      <c r="G76" s="36"/>
      <c r="H76" s="23"/>
      <c r="I76" s="36"/>
      <c r="J76" s="36"/>
      <c r="K76" s="23"/>
      <c r="L76" s="36"/>
      <c r="M76" s="36"/>
      <c r="N76" s="23"/>
      <c r="O76" s="36"/>
      <c r="P76" s="36"/>
      <c r="Q76" s="36"/>
      <c r="R76" s="36"/>
      <c r="S76" s="36"/>
      <c r="T76" s="36"/>
      <c r="U76" s="36"/>
      <c r="V76" s="36"/>
      <c r="W76" s="23"/>
      <c r="X76" s="36"/>
      <c r="Y76" s="36"/>
      <c r="Z76" s="23"/>
      <c r="AA76" s="36"/>
      <c r="AB76" s="36"/>
      <c r="AC76" s="23"/>
      <c r="AD76" s="36"/>
      <c r="AE76" s="36"/>
      <c r="AF76" s="23"/>
    </row>
    <row r="77" spans="1:32" x14ac:dyDescent="0.25">
      <c r="A77" s="23"/>
      <c r="B77" s="23"/>
      <c r="C77" s="36"/>
      <c r="D77" s="36"/>
      <c r="E77" s="23"/>
      <c r="F77" s="36"/>
      <c r="G77" s="36"/>
      <c r="H77" s="23"/>
      <c r="I77" s="36"/>
      <c r="J77" s="36"/>
      <c r="K77" s="23"/>
      <c r="L77" s="36"/>
      <c r="M77" s="36"/>
      <c r="N77" s="23"/>
      <c r="O77" s="36"/>
      <c r="P77" s="36"/>
      <c r="Q77" s="36"/>
      <c r="R77" s="36"/>
      <c r="S77" s="36"/>
      <c r="T77" s="36"/>
      <c r="U77" s="36"/>
      <c r="V77" s="36"/>
      <c r="W77" s="23"/>
      <c r="X77" s="36"/>
      <c r="Y77" s="36"/>
      <c r="Z77" s="23"/>
      <c r="AA77" s="36"/>
      <c r="AB77" s="36"/>
      <c r="AC77" s="23"/>
      <c r="AD77" s="36"/>
      <c r="AE77" s="36"/>
      <c r="AF77" s="23"/>
    </row>
    <row r="78" spans="1:32" x14ac:dyDescent="0.25">
      <c r="A78" s="23"/>
      <c r="B78" s="23"/>
      <c r="C78" s="36"/>
      <c r="D78" s="36"/>
      <c r="E78" s="23"/>
      <c r="F78" s="36"/>
      <c r="G78" s="36"/>
      <c r="H78" s="23"/>
      <c r="I78" s="36"/>
      <c r="J78" s="36"/>
      <c r="K78" s="23"/>
      <c r="L78" s="36"/>
      <c r="M78" s="36"/>
      <c r="N78" s="23"/>
      <c r="O78" s="36"/>
      <c r="P78" s="36"/>
      <c r="Q78" s="36"/>
      <c r="R78" s="36"/>
      <c r="S78" s="36"/>
      <c r="T78" s="36"/>
      <c r="U78" s="36"/>
      <c r="V78" s="36"/>
      <c r="W78" s="23"/>
      <c r="X78" s="36"/>
      <c r="Y78" s="36"/>
      <c r="Z78" s="23"/>
      <c r="AA78" s="36"/>
      <c r="AB78" s="36"/>
      <c r="AC78" s="23"/>
      <c r="AD78" s="36"/>
      <c r="AE78" s="36"/>
      <c r="AF78" s="23"/>
    </row>
    <row r="79" spans="1:32" x14ac:dyDescent="0.25">
      <c r="A79" s="23"/>
      <c r="B79" s="23"/>
      <c r="C79" s="36"/>
      <c r="D79" s="36"/>
      <c r="E79" s="23"/>
      <c r="F79" s="36"/>
      <c r="G79" s="36"/>
      <c r="H79" s="23"/>
      <c r="I79" s="36"/>
      <c r="J79" s="36"/>
      <c r="K79" s="23"/>
      <c r="L79" s="36"/>
      <c r="M79" s="36"/>
      <c r="N79" s="23"/>
      <c r="O79" s="36"/>
      <c r="P79" s="36"/>
      <c r="Q79" s="36"/>
      <c r="R79" s="36"/>
      <c r="S79" s="36"/>
      <c r="T79" s="36"/>
      <c r="U79" s="36"/>
      <c r="V79" s="36"/>
      <c r="W79" s="23"/>
      <c r="X79" s="36"/>
      <c r="Y79" s="36"/>
      <c r="Z79" s="23"/>
      <c r="AA79" s="36"/>
      <c r="AB79" s="36"/>
      <c r="AC79" s="23"/>
      <c r="AD79" s="36"/>
      <c r="AE79" s="36"/>
      <c r="AF79" s="23"/>
    </row>
    <row r="80" spans="1:32" x14ac:dyDescent="0.25">
      <c r="A80" s="23"/>
      <c r="B80" s="23"/>
      <c r="C80" s="36"/>
      <c r="D80" s="36"/>
      <c r="E80" s="23"/>
      <c r="F80" s="36"/>
      <c r="G80" s="36"/>
      <c r="H80" s="23"/>
      <c r="I80" s="36"/>
      <c r="J80" s="36"/>
      <c r="K80" s="23"/>
      <c r="L80" s="36"/>
      <c r="M80" s="36"/>
      <c r="N80" s="23"/>
      <c r="O80" s="36"/>
      <c r="P80" s="36"/>
      <c r="Q80" s="36"/>
      <c r="R80" s="36"/>
      <c r="S80" s="36"/>
      <c r="T80" s="36"/>
      <c r="U80" s="36"/>
      <c r="V80" s="36"/>
      <c r="W80" s="23"/>
      <c r="X80" s="36"/>
      <c r="Y80" s="36"/>
      <c r="Z80" s="23"/>
      <c r="AA80" s="36"/>
      <c r="AB80" s="36"/>
      <c r="AC80" s="23"/>
      <c r="AD80" s="36"/>
      <c r="AE80" s="36"/>
      <c r="AF80" s="23"/>
    </row>
    <row r="81" spans="1:32" x14ac:dyDescent="0.25">
      <c r="A81" s="23"/>
      <c r="B81" s="23"/>
      <c r="C81" s="36"/>
      <c r="D81" s="36"/>
      <c r="E81" s="23"/>
      <c r="F81" s="36"/>
      <c r="G81" s="36"/>
      <c r="H81" s="23"/>
      <c r="I81" s="36"/>
      <c r="J81" s="36"/>
      <c r="K81" s="23"/>
      <c r="L81" s="36"/>
      <c r="M81" s="36"/>
      <c r="N81" s="23"/>
      <c r="O81" s="36"/>
      <c r="P81" s="36"/>
      <c r="Q81" s="36"/>
      <c r="R81" s="36"/>
      <c r="S81" s="36"/>
      <c r="T81" s="36"/>
      <c r="U81" s="36"/>
      <c r="V81" s="36"/>
      <c r="W81" s="23"/>
      <c r="X81" s="36"/>
      <c r="Y81" s="36"/>
      <c r="Z81" s="23"/>
      <c r="AA81" s="36"/>
      <c r="AB81" s="36"/>
      <c r="AC81" s="23"/>
      <c r="AD81" s="36"/>
      <c r="AE81" s="36"/>
      <c r="AF81" s="23"/>
    </row>
    <row r="82" spans="1:32" x14ac:dyDescent="0.25">
      <c r="A82" s="23"/>
      <c r="B82" s="23"/>
      <c r="C82" s="36"/>
      <c r="D82" s="36"/>
      <c r="E82" s="23"/>
      <c r="F82" s="36"/>
      <c r="G82" s="36"/>
      <c r="H82" s="23"/>
      <c r="I82" s="36"/>
      <c r="J82" s="36"/>
      <c r="K82" s="23"/>
      <c r="L82" s="36"/>
      <c r="M82" s="36"/>
      <c r="N82" s="23"/>
      <c r="O82" s="36"/>
      <c r="P82" s="36"/>
      <c r="Q82" s="36"/>
      <c r="R82" s="36"/>
      <c r="S82" s="36"/>
      <c r="T82" s="36"/>
      <c r="U82" s="36"/>
      <c r="V82" s="36"/>
      <c r="W82" s="23"/>
      <c r="X82" s="36"/>
      <c r="Y82" s="36"/>
      <c r="Z82" s="23"/>
      <c r="AA82" s="36"/>
      <c r="AB82" s="36"/>
      <c r="AC82" s="23"/>
      <c r="AD82" s="36"/>
      <c r="AE82" s="36"/>
      <c r="AF82" s="23"/>
    </row>
    <row r="83" spans="1:32" x14ac:dyDescent="0.25">
      <c r="A83" s="23"/>
      <c r="B83" s="23"/>
      <c r="C83" s="36"/>
      <c r="D83" s="36"/>
      <c r="E83" s="23"/>
      <c r="F83" s="36"/>
      <c r="G83" s="36"/>
      <c r="H83" s="23"/>
      <c r="I83" s="36"/>
      <c r="J83" s="36"/>
      <c r="K83" s="23"/>
      <c r="L83" s="36"/>
      <c r="M83" s="36"/>
      <c r="N83" s="23"/>
      <c r="O83" s="36"/>
      <c r="P83" s="36"/>
      <c r="Q83" s="36"/>
      <c r="R83" s="36"/>
      <c r="S83" s="36"/>
      <c r="T83" s="36"/>
      <c r="U83" s="36"/>
      <c r="V83" s="36"/>
      <c r="W83" s="23"/>
      <c r="X83" s="36"/>
      <c r="Y83" s="36"/>
      <c r="Z83" s="23"/>
      <c r="AA83" s="36"/>
      <c r="AB83" s="36"/>
      <c r="AC83" s="23"/>
      <c r="AD83" s="36"/>
      <c r="AE83" s="36"/>
      <c r="AF83" s="23"/>
    </row>
    <row r="84" spans="1:32" x14ac:dyDescent="0.25">
      <c r="A84" s="23"/>
      <c r="B84" s="23"/>
      <c r="C84" s="36"/>
      <c r="D84" s="36"/>
      <c r="E84" s="23"/>
      <c r="F84" s="36"/>
      <c r="G84" s="36"/>
      <c r="H84" s="23"/>
      <c r="I84" s="36"/>
      <c r="J84" s="36"/>
      <c r="K84" s="23"/>
      <c r="L84" s="36"/>
      <c r="M84" s="36"/>
      <c r="N84" s="23"/>
      <c r="O84" s="36"/>
      <c r="P84" s="36"/>
      <c r="Q84" s="36"/>
      <c r="R84" s="36"/>
      <c r="S84" s="36"/>
      <c r="T84" s="36"/>
      <c r="U84" s="36"/>
      <c r="V84" s="36"/>
      <c r="W84" s="23"/>
      <c r="X84" s="36"/>
      <c r="Y84" s="36"/>
      <c r="Z84" s="23"/>
      <c r="AA84" s="36"/>
      <c r="AB84" s="36"/>
      <c r="AC84" s="23"/>
      <c r="AD84" s="36"/>
      <c r="AE84" s="36"/>
      <c r="AF84" s="23"/>
    </row>
    <row r="85" spans="1:32" x14ac:dyDescent="0.25">
      <c r="A85" s="23"/>
      <c r="B85" s="23"/>
      <c r="C85" s="36"/>
      <c r="D85" s="36"/>
      <c r="E85" s="23"/>
      <c r="F85" s="36"/>
      <c r="G85" s="36"/>
      <c r="H85" s="23"/>
      <c r="I85" s="36"/>
      <c r="J85" s="36"/>
      <c r="K85" s="23"/>
      <c r="L85" s="36"/>
      <c r="M85" s="36"/>
      <c r="N85" s="23"/>
      <c r="O85" s="36"/>
      <c r="P85" s="36"/>
      <c r="Q85" s="36"/>
      <c r="R85" s="36"/>
      <c r="S85" s="36"/>
      <c r="T85" s="36"/>
      <c r="U85" s="36"/>
      <c r="V85" s="36"/>
      <c r="W85" s="23"/>
      <c r="X85" s="36"/>
      <c r="Y85" s="36"/>
      <c r="Z85" s="23"/>
      <c r="AA85" s="36"/>
      <c r="AB85" s="36"/>
      <c r="AC85" s="23"/>
      <c r="AD85" s="36"/>
      <c r="AE85" s="36"/>
      <c r="AF85" s="23"/>
    </row>
    <row r="86" spans="1:32" x14ac:dyDescent="0.25">
      <c r="A86" s="23"/>
      <c r="B86" s="23"/>
      <c r="C86" s="36"/>
      <c r="D86" s="36"/>
      <c r="E86" s="23"/>
      <c r="F86" s="36"/>
      <c r="G86" s="36"/>
      <c r="H86" s="23"/>
      <c r="I86" s="36"/>
      <c r="J86" s="36"/>
      <c r="K86" s="23"/>
      <c r="L86" s="36"/>
      <c r="M86" s="36"/>
      <c r="N86" s="23"/>
      <c r="O86" s="36"/>
      <c r="P86" s="36"/>
      <c r="Q86" s="36"/>
      <c r="R86" s="36"/>
      <c r="S86" s="36"/>
      <c r="T86" s="36"/>
      <c r="U86" s="36"/>
      <c r="V86" s="36"/>
      <c r="W86" s="23"/>
      <c r="X86" s="36"/>
      <c r="Y86" s="36"/>
      <c r="Z86" s="23"/>
      <c r="AA86" s="36"/>
      <c r="AB86" s="36"/>
      <c r="AC86" s="23"/>
      <c r="AD86" s="36"/>
      <c r="AE86" s="36"/>
      <c r="AF86" s="23"/>
    </row>
    <row r="87" spans="1:32" x14ac:dyDescent="0.25">
      <c r="A87" s="23"/>
      <c r="B87" s="23"/>
      <c r="C87" s="36"/>
      <c r="D87" s="36"/>
      <c r="E87" s="23"/>
      <c r="F87" s="36"/>
      <c r="G87" s="36"/>
      <c r="H87" s="23"/>
      <c r="I87" s="36"/>
      <c r="J87" s="36"/>
      <c r="K87" s="23"/>
      <c r="L87" s="36"/>
      <c r="M87" s="36"/>
      <c r="N87" s="23"/>
      <c r="O87" s="36"/>
      <c r="P87" s="36"/>
      <c r="Q87" s="36"/>
      <c r="R87" s="36"/>
      <c r="S87" s="36"/>
      <c r="T87" s="36"/>
      <c r="U87" s="36"/>
      <c r="V87" s="36"/>
      <c r="W87" s="23"/>
      <c r="X87" s="36"/>
      <c r="Y87" s="36"/>
      <c r="Z87" s="23"/>
      <c r="AA87" s="36"/>
      <c r="AB87" s="36"/>
      <c r="AC87" s="23"/>
      <c r="AD87" s="36"/>
      <c r="AE87" s="36"/>
      <c r="AF87" s="23"/>
    </row>
    <row r="88" spans="1:32" x14ac:dyDescent="0.25">
      <c r="A88" s="23"/>
      <c r="B88" s="23"/>
      <c r="C88" s="36"/>
      <c r="D88" s="36"/>
      <c r="E88" s="23"/>
      <c r="F88" s="36"/>
      <c r="G88" s="36"/>
      <c r="H88" s="23"/>
      <c r="I88" s="36"/>
      <c r="J88" s="36"/>
      <c r="K88" s="23"/>
      <c r="L88" s="36"/>
      <c r="M88" s="36"/>
      <c r="N88" s="23"/>
      <c r="O88" s="36"/>
      <c r="P88" s="36"/>
      <c r="Q88" s="36"/>
      <c r="R88" s="36"/>
      <c r="S88" s="36"/>
      <c r="T88" s="36"/>
      <c r="U88" s="36"/>
      <c r="V88" s="36"/>
      <c r="W88" s="23"/>
      <c r="X88" s="36"/>
      <c r="Y88" s="36"/>
      <c r="Z88" s="23"/>
      <c r="AA88" s="36"/>
      <c r="AB88" s="36"/>
      <c r="AC88" s="23"/>
      <c r="AD88" s="36"/>
      <c r="AE88" s="36"/>
      <c r="AF88" s="23"/>
    </row>
    <row r="89" spans="1:32" x14ac:dyDescent="0.25">
      <c r="A89" s="23"/>
      <c r="B89" s="23"/>
      <c r="C89" s="36"/>
      <c r="D89" s="36"/>
      <c r="E89" s="23"/>
      <c r="F89" s="36"/>
      <c r="G89" s="36"/>
      <c r="H89" s="23"/>
      <c r="I89" s="36"/>
      <c r="J89" s="36"/>
      <c r="K89" s="23"/>
      <c r="L89" s="36"/>
      <c r="M89" s="36"/>
      <c r="N89" s="23"/>
      <c r="O89" s="36"/>
      <c r="P89" s="36"/>
      <c r="Q89" s="36"/>
      <c r="R89" s="36"/>
      <c r="S89" s="36"/>
      <c r="T89" s="36"/>
      <c r="U89" s="36"/>
      <c r="V89" s="36"/>
      <c r="W89" s="23"/>
      <c r="X89" s="36"/>
      <c r="Y89" s="36"/>
      <c r="Z89" s="23"/>
      <c r="AA89" s="36"/>
      <c r="AB89" s="36"/>
      <c r="AC89" s="23"/>
      <c r="AD89" s="36"/>
      <c r="AE89" s="36"/>
      <c r="AF89" s="23"/>
    </row>
    <row r="90" spans="1:32" x14ac:dyDescent="0.25">
      <c r="A90" s="23"/>
      <c r="B90" s="23"/>
      <c r="C90" s="36"/>
      <c r="D90" s="36"/>
      <c r="E90" s="23"/>
      <c r="F90" s="36"/>
      <c r="G90" s="36"/>
      <c r="H90" s="23"/>
      <c r="I90" s="36"/>
      <c r="J90" s="36"/>
      <c r="K90" s="23"/>
      <c r="L90" s="36"/>
      <c r="M90" s="36"/>
      <c r="N90" s="23"/>
      <c r="O90" s="36"/>
      <c r="P90" s="36"/>
      <c r="Q90" s="36"/>
      <c r="R90" s="36"/>
      <c r="S90" s="36"/>
      <c r="T90" s="36"/>
      <c r="U90" s="36"/>
      <c r="V90" s="36"/>
      <c r="W90" s="23"/>
      <c r="X90" s="36"/>
      <c r="Y90" s="36"/>
      <c r="Z90" s="23"/>
      <c r="AA90" s="36"/>
      <c r="AB90" s="36"/>
      <c r="AC90" s="23"/>
      <c r="AD90" s="36"/>
      <c r="AE90" s="36"/>
      <c r="AF90" s="23"/>
    </row>
    <row r="91" spans="1:32" x14ac:dyDescent="0.25">
      <c r="A91" s="23"/>
      <c r="B91" s="23"/>
      <c r="C91" s="36"/>
      <c r="D91" s="36"/>
      <c r="E91" s="23"/>
      <c r="F91" s="36"/>
      <c r="G91" s="36"/>
      <c r="H91" s="23"/>
      <c r="I91" s="36"/>
      <c r="J91" s="36"/>
      <c r="K91" s="23"/>
      <c r="L91" s="36"/>
      <c r="M91" s="36"/>
      <c r="N91" s="23"/>
      <c r="O91" s="36"/>
      <c r="P91" s="36"/>
      <c r="Q91" s="36"/>
      <c r="R91" s="36"/>
      <c r="S91" s="36"/>
      <c r="T91" s="36"/>
      <c r="U91" s="36"/>
      <c r="V91" s="36"/>
      <c r="W91" s="23"/>
      <c r="X91" s="36"/>
      <c r="Y91" s="36"/>
      <c r="Z91" s="23"/>
      <c r="AA91" s="36"/>
      <c r="AB91" s="36"/>
      <c r="AC91" s="23"/>
      <c r="AD91" s="36"/>
      <c r="AE91" s="36"/>
      <c r="AF91" s="23"/>
    </row>
    <row r="92" spans="1:32" x14ac:dyDescent="0.25">
      <c r="A92" s="23"/>
      <c r="B92" s="23"/>
      <c r="C92" s="36"/>
      <c r="D92" s="36"/>
      <c r="E92" s="23"/>
      <c r="F92" s="36"/>
      <c r="G92" s="36"/>
      <c r="H92" s="23"/>
      <c r="I92" s="36"/>
      <c r="J92" s="36"/>
      <c r="K92" s="23"/>
      <c r="L92" s="36"/>
      <c r="M92" s="36"/>
      <c r="N92" s="23"/>
      <c r="O92" s="36"/>
      <c r="P92" s="36"/>
      <c r="Q92" s="36"/>
      <c r="R92" s="36"/>
      <c r="S92" s="36"/>
      <c r="T92" s="36"/>
      <c r="U92" s="36"/>
      <c r="V92" s="36"/>
      <c r="W92" s="23"/>
      <c r="X92" s="36"/>
      <c r="Y92" s="36"/>
      <c r="Z92" s="23"/>
      <c r="AA92" s="36"/>
      <c r="AB92" s="36"/>
      <c r="AC92" s="23"/>
      <c r="AD92" s="36"/>
      <c r="AE92" s="36"/>
      <c r="AF92" s="23"/>
    </row>
    <row r="93" spans="1:32" x14ac:dyDescent="0.25">
      <c r="A93" s="23"/>
      <c r="B93" s="23"/>
      <c r="C93" s="36"/>
      <c r="D93" s="36"/>
      <c r="E93" s="23"/>
      <c r="F93" s="36"/>
      <c r="G93" s="36"/>
      <c r="H93" s="23"/>
      <c r="I93" s="36"/>
      <c r="J93" s="36"/>
      <c r="K93" s="23"/>
      <c r="L93" s="36"/>
      <c r="M93" s="36"/>
      <c r="N93" s="23"/>
      <c r="O93" s="36"/>
      <c r="P93" s="36"/>
      <c r="Q93" s="36"/>
      <c r="R93" s="36"/>
      <c r="S93" s="36"/>
      <c r="T93" s="36"/>
      <c r="U93" s="36"/>
      <c r="V93" s="36"/>
      <c r="W93" s="23"/>
      <c r="X93" s="36"/>
      <c r="Y93" s="36"/>
      <c r="Z93" s="23"/>
      <c r="AA93" s="36"/>
      <c r="AB93" s="36"/>
      <c r="AC93" s="23"/>
      <c r="AD93" s="36"/>
      <c r="AE93" s="36"/>
      <c r="AF93" s="23"/>
    </row>
    <row r="94" spans="1:32" x14ac:dyDescent="0.25">
      <c r="A94" s="23"/>
      <c r="B94" s="23"/>
      <c r="C94" s="36"/>
      <c r="D94" s="36"/>
      <c r="E94" s="23"/>
      <c r="F94" s="36"/>
      <c r="G94" s="36"/>
      <c r="H94" s="23"/>
      <c r="I94" s="36"/>
      <c r="J94" s="36"/>
      <c r="K94" s="23"/>
      <c r="L94" s="36"/>
      <c r="M94" s="36"/>
      <c r="N94" s="23"/>
      <c r="O94" s="36"/>
      <c r="P94" s="36"/>
      <c r="Q94" s="36"/>
      <c r="R94" s="36"/>
      <c r="S94" s="36"/>
      <c r="T94" s="36"/>
      <c r="U94" s="36"/>
      <c r="V94" s="36"/>
      <c r="W94" s="23"/>
      <c r="X94" s="36"/>
      <c r="Y94" s="36"/>
      <c r="Z94" s="23"/>
      <c r="AA94" s="36"/>
      <c r="AB94" s="36"/>
      <c r="AC94" s="23"/>
      <c r="AD94" s="36"/>
      <c r="AE94" s="36"/>
      <c r="AF94" s="23"/>
    </row>
    <row r="95" spans="1:32" x14ac:dyDescent="0.25">
      <c r="A95" s="23"/>
      <c r="B95" s="23"/>
      <c r="C95" s="36"/>
      <c r="D95" s="36"/>
      <c r="E95" s="23"/>
      <c r="F95" s="36"/>
      <c r="G95" s="36"/>
      <c r="H95" s="23"/>
      <c r="I95" s="36"/>
      <c r="J95" s="36"/>
      <c r="K95" s="23"/>
      <c r="L95" s="36"/>
      <c r="M95" s="36"/>
      <c r="N95" s="23"/>
      <c r="O95" s="36"/>
      <c r="P95" s="36"/>
      <c r="Q95" s="36"/>
      <c r="R95" s="36"/>
      <c r="S95" s="36"/>
      <c r="T95" s="36"/>
      <c r="U95" s="36"/>
      <c r="V95" s="36"/>
      <c r="W95" s="23"/>
      <c r="X95" s="36"/>
      <c r="Y95" s="36"/>
      <c r="Z95" s="23"/>
      <c r="AA95" s="36"/>
      <c r="AB95" s="36"/>
      <c r="AC95" s="23"/>
      <c r="AD95" s="36"/>
      <c r="AE95" s="36"/>
      <c r="AF95" s="23"/>
    </row>
    <row r="96" spans="1:32" x14ac:dyDescent="0.25">
      <c r="A96" s="23"/>
      <c r="B96" s="23"/>
      <c r="C96" s="36"/>
      <c r="D96" s="36"/>
      <c r="E96" s="23"/>
      <c r="F96" s="36"/>
      <c r="G96" s="36"/>
      <c r="H96" s="23"/>
      <c r="I96" s="36"/>
      <c r="J96" s="36"/>
      <c r="K96" s="23"/>
      <c r="L96" s="36"/>
      <c r="M96" s="36"/>
      <c r="N96" s="23"/>
      <c r="O96" s="36"/>
      <c r="P96" s="36"/>
      <c r="Q96" s="36"/>
      <c r="R96" s="36"/>
      <c r="S96" s="36"/>
      <c r="T96" s="36"/>
      <c r="U96" s="36"/>
      <c r="V96" s="36"/>
      <c r="W96" s="23"/>
      <c r="X96" s="36"/>
      <c r="Y96" s="36"/>
      <c r="Z96" s="23"/>
      <c r="AA96" s="36"/>
      <c r="AB96" s="36"/>
      <c r="AC96" s="23"/>
      <c r="AD96" s="36"/>
      <c r="AE96" s="36"/>
      <c r="AF96" s="23"/>
    </row>
    <row r="97" spans="1:32" x14ac:dyDescent="0.25">
      <c r="A97" s="23"/>
      <c r="B97" s="23"/>
      <c r="C97" s="36"/>
      <c r="D97" s="36"/>
      <c r="E97" s="23"/>
      <c r="F97" s="36"/>
      <c r="G97" s="36"/>
      <c r="H97" s="23"/>
      <c r="I97" s="36"/>
      <c r="J97" s="36"/>
      <c r="K97" s="23"/>
      <c r="L97" s="36"/>
      <c r="M97" s="36"/>
      <c r="N97" s="23"/>
      <c r="O97" s="36"/>
      <c r="P97" s="36"/>
      <c r="Q97" s="36"/>
      <c r="R97" s="36"/>
      <c r="S97" s="36"/>
      <c r="T97" s="36"/>
      <c r="U97" s="36"/>
      <c r="V97" s="36"/>
      <c r="W97" s="23"/>
      <c r="X97" s="36"/>
      <c r="Y97" s="36"/>
      <c r="Z97" s="23"/>
      <c r="AA97" s="36"/>
      <c r="AB97" s="36"/>
      <c r="AC97" s="23"/>
      <c r="AD97" s="36"/>
      <c r="AE97" s="36"/>
      <c r="AF97" s="23"/>
    </row>
    <row r="98" spans="1:32" x14ac:dyDescent="0.25">
      <c r="A98" s="23"/>
      <c r="B98" s="23"/>
      <c r="C98" s="36"/>
      <c r="D98" s="36"/>
      <c r="E98" s="23"/>
      <c r="F98" s="36"/>
      <c r="G98" s="36"/>
      <c r="H98" s="23"/>
      <c r="I98" s="36"/>
      <c r="J98" s="36"/>
      <c r="K98" s="23"/>
      <c r="L98" s="36"/>
      <c r="M98" s="36"/>
      <c r="N98" s="23"/>
      <c r="O98" s="36"/>
      <c r="P98" s="36"/>
      <c r="Q98" s="36"/>
      <c r="R98" s="36"/>
      <c r="S98" s="36"/>
      <c r="T98" s="36"/>
      <c r="U98" s="36"/>
      <c r="V98" s="36"/>
      <c r="W98" s="23"/>
      <c r="X98" s="36"/>
      <c r="Y98" s="36"/>
      <c r="Z98" s="23"/>
      <c r="AA98" s="36"/>
      <c r="AB98" s="36"/>
      <c r="AC98" s="23"/>
      <c r="AD98" s="36"/>
      <c r="AE98" s="36"/>
      <c r="AF98" s="23"/>
    </row>
    <row r="99" spans="1:32" x14ac:dyDescent="0.25">
      <c r="A99" s="23"/>
      <c r="B99" s="23"/>
      <c r="C99" s="36"/>
      <c r="D99" s="36"/>
      <c r="E99" s="23"/>
      <c r="F99" s="36"/>
      <c r="G99" s="36"/>
      <c r="H99" s="23"/>
      <c r="I99" s="36"/>
      <c r="J99" s="36"/>
      <c r="K99" s="23"/>
      <c r="L99" s="36"/>
      <c r="M99" s="36"/>
      <c r="N99" s="23"/>
      <c r="O99" s="36"/>
      <c r="P99" s="36"/>
      <c r="Q99" s="36"/>
      <c r="R99" s="36"/>
      <c r="S99" s="36"/>
      <c r="T99" s="36"/>
      <c r="U99" s="36"/>
      <c r="V99" s="36"/>
      <c r="W99" s="23"/>
      <c r="X99" s="36"/>
      <c r="Y99" s="36"/>
      <c r="Z99" s="23"/>
      <c r="AA99" s="36"/>
      <c r="AB99" s="36"/>
      <c r="AC99" s="23"/>
      <c r="AD99" s="36"/>
      <c r="AE99" s="36"/>
      <c r="AF99" s="23"/>
    </row>
    <row r="100" spans="1:32" x14ac:dyDescent="0.25">
      <c r="A100" s="23"/>
      <c r="B100" s="23"/>
      <c r="C100" s="36"/>
      <c r="D100" s="36"/>
      <c r="E100" s="23"/>
      <c r="F100" s="36"/>
      <c r="G100" s="36"/>
      <c r="H100" s="23"/>
      <c r="I100" s="36"/>
      <c r="J100" s="36"/>
      <c r="K100" s="23"/>
      <c r="L100" s="36"/>
      <c r="M100" s="36"/>
      <c r="N100" s="23"/>
      <c r="O100" s="36"/>
      <c r="P100" s="36"/>
      <c r="Q100" s="36"/>
      <c r="R100" s="36"/>
      <c r="S100" s="36"/>
      <c r="T100" s="36"/>
      <c r="U100" s="36"/>
      <c r="V100" s="36"/>
      <c r="W100" s="23"/>
      <c r="X100" s="36"/>
      <c r="Y100" s="36"/>
      <c r="Z100" s="23"/>
      <c r="AA100" s="36"/>
      <c r="AB100" s="36"/>
      <c r="AC100" s="23"/>
      <c r="AD100" s="36"/>
      <c r="AE100" s="36"/>
      <c r="AF100" s="23"/>
    </row>
    <row r="101" spans="1:32" x14ac:dyDescent="0.25">
      <c r="A101" s="23"/>
      <c r="B101" s="23"/>
      <c r="C101" s="36"/>
      <c r="D101" s="36"/>
      <c r="E101" s="23"/>
      <c r="F101" s="36"/>
      <c r="G101" s="36"/>
      <c r="H101" s="23"/>
      <c r="I101" s="36"/>
      <c r="J101" s="36"/>
      <c r="K101" s="23"/>
      <c r="L101" s="36"/>
      <c r="M101" s="36"/>
      <c r="N101" s="23"/>
      <c r="O101" s="36"/>
      <c r="P101" s="36"/>
      <c r="Q101" s="36"/>
      <c r="R101" s="36"/>
      <c r="S101" s="36"/>
      <c r="T101" s="36"/>
      <c r="U101" s="36"/>
      <c r="V101" s="36"/>
      <c r="W101" s="23"/>
      <c r="X101" s="36"/>
      <c r="Y101" s="36"/>
      <c r="Z101" s="23"/>
      <c r="AA101" s="36"/>
      <c r="AB101" s="36"/>
      <c r="AC101" s="23"/>
      <c r="AD101" s="36"/>
      <c r="AE101" s="36"/>
      <c r="AF101" s="23"/>
    </row>
    <row r="102" spans="1:32" x14ac:dyDescent="0.25">
      <c r="A102" s="23"/>
      <c r="B102" s="23"/>
      <c r="C102" s="36"/>
      <c r="D102" s="36"/>
      <c r="E102" s="23"/>
      <c r="F102" s="36"/>
      <c r="G102" s="36"/>
      <c r="H102" s="23"/>
      <c r="I102" s="36"/>
      <c r="J102" s="36"/>
      <c r="K102" s="23"/>
      <c r="L102" s="36"/>
      <c r="M102" s="36"/>
      <c r="N102" s="23"/>
      <c r="O102" s="36"/>
      <c r="P102" s="36"/>
      <c r="Q102" s="36"/>
      <c r="R102" s="36"/>
      <c r="S102" s="36"/>
      <c r="T102" s="36"/>
      <c r="U102" s="36"/>
      <c r="V102" s="36"/>
      <c r="W102" s="23"/>
      <c r="X102" s="36"/>
      <c r="Y102" s="36"/>
      <c r="Z102" s="23"/>
      <c r="AA102" s="36"/>
      <c r="AB102" s="36"/>
      <c r="AC102" s="23"/>
      <c r="AD102" s="36"/>
      <c r="AE102" s="36"/>
      <c r="AF102" s="23"/>
    </row>
    <row r="103" spans="1:32" x14ac:dyDescent="0.25">
      <c r="A103" s="23"/>
      <c r="B103" s="23"/>
      <c r="C103" s="36"/>
      <c r="D103" s="36"/>
      <c r="E103" s="23"/>
      <c r="F103" s="36"/>
      <c r="G103" s="36"/>
      <c r="H103" s="23"/>
      <c r="I103" s="36"/>
      <c r="J103" s="36"/>
      <c r="K103" s="23"/>
      <c r="L103" s="36"/>
      <c r="M103" s="36"/>
      <c r="N103" s="23"/>
      <c r="O103" s="36"/>
      <c r="P103" s="36"/>
      <c r="Q103" s="36"/>
      <c r="R103" s="36"/>
      <c r="S103" s="36"/>
      <c r="T103" s="36"/>
      <c r="U103" s="36"/>
      <c r="V103" s="36"/>
      <c r="W103" s="23"/>
      <c r="X103" s="36"/>
      <c r="Y103" s="36"/>
      <c r="Z103" s="23"/>
      <c r="AA103" s="36"/>
      <c r="AB103" s="36"/>
      <c r="AC103" s="23"/>
      <c r="AD103" s="36"/>
      <c r="AE103" s="36"/>
      <c r="AF103" s="23"/>
    </row>
    <row r="104" spans="1:32" x14ac:dyDescent="0.25">
      <c r="A104" s="23"/>
      <c r="B104" s="23"/>
      <c r="C104" s="36"/>
      <c r="D104" s="36"/>
      <c r="E104" s="23"/>
      <c r="F104" s="36"/>
      <c r="G104" s="36"/>
      <c r="H104" s="23"/>
      <c r="I104" s="36"/>
      <c r="J104" s="36"/>
      <c r="K104" s="23"/>
      <c r="L104" s="36"/>
      <c r="M104" s="36"/>
      <c r="N104" s="23"/>
      <c r="O104" s="36"/>
      <c r="P104" s="36"/>
      <c r="Q104" s="36"/>
      <c r="R104" s="36"/>
      <c r="S104" s="36"/>
      <c r="T104" s="36"/>
      <c r="U104" s="36"/>
      <c r="V104" s="36"/>
      <c r="W104" s="23"/>
      <c r="X104" s="36"/>
      <c r="Y104" s="36"/>
      <c r="Z104" s="23"/>
      <c r="AA104" s="36"/>
      <c r="AB104" s="36"/>
      <c r="AC104" s="23"/>
      <c r="AD104" s="36"/>
      <c r="AE104" s="36"/>
      <c r="AF104" s="23"/>
    </row>
    <row r="105" spans="1:32" x14ac:dyDescent="0.25">
      <c r="A105" s="23"/>
      <c r="B105" s="23"/>
      <c r="C105" s="36"/>
      <c r="D105" s="36"/>
      <c r="E105" s="23"/>
      <c r="F105" s="36"/>
      <c r="G105" s="36"/>
      <c r="H105" s="23"/>
      <c r="I105" s="36"/>
      <c r="J105" s="36"/>
      <c r="K105" s="23"/>
      <c r="L105" s="36"/>
      <c r="M105" s="36"/>
      <c r="N105" s="23"/>
      <c r="O105" s="36"/>
      <c r="P105" s="36"/>
      <c r="Q105" s="36"/>
      <c r="R105" s="36"/>
      <c r="S105" s="36"/>
      <c r="T105" s="36"/>
      <c r="U105" s="36"/>
      <c r="V105" s="36"/>
      <c r="W105" s="23"/>
      <c r="X105" s="36"/>
      <c r="Y105" s="36"/>
      <c r="Z105" s="23"/>
      <c r="AA105" s="36"/>
      <c r="AB105" s="36"/>
      <c r="AC105" s="23"/>
      <c r="AD105" s="36"/>
      <c r="AE105" s="36"/>
      <c r="AF105" s="23"/>
    </row>
    <row r="106" spans="1:32" x14ac:dyDescent="0.25">
      <c r="A106" s="23"/>
      <c r="B106" s="23"/>
      <c r="C106" s="36"/>
      <c r="D106" s="36"/>
      <c r="E106" s="23"/>
      <c r="F106" s="36"/>
      <c r="G106" s="36"/>
      <c r="H106" s="23"/>
      <c r="I106" s="36"/>
      <c r="J106" s="36"/>
      <c r="K106" s="23"/>
      <c r="L106" s="36"/>
      <c r="M106" s="36"/>
      <c r="N106" s="23"/>
      <c r="O106" s="36"/>
      <c r="P106" s="36"/>
      <c r="Q106" s="36"/>
      <c r="R106" s="36"/>
      <c r="S106" s="36"/>
      <c r="T106" s="36"/>
      <c r="U106" s="36"/>
      <c r="V106" s="36"/>
      <c r="W106" s="23"/>
      <c r="X106" s="36"/>
      <c r="Y106" s="36"/>
      <c r="Z106" s="23"/>
      <c r="AA106" s="36"/>
      <c r="AB106" s="36"/>
      <c r="AC106" s="23"/>
      <c r="AD106" s="36"/>
      <c r="AE106" s="36"/>
      <c r="AF106" s="23"/>
    </row>
    <row r="107" spans="1:32" x14ac:dyDescent="0.25">
      <c r="A107" s="23"/>
      <c r="B107" s="23"/>
      <c r="C107" s="36"/>
      <c r="D107" s="36"/>
      <c r="E107" s="23"/>
      <c r="F107" s="36"/>
      <c r="G107" s="36"/>
      <c r="H107" s="23"/>
      <c r="I107" s="36"/>
      <c r="J107" s="36"/>
      <c r="K107" s="23"/>
      <c r="L107" s="36"/>
      <c r="M107" s="36"/>
      <c r="N107" s="23"/>
      <c r="O107" s="36"/>
      <c r="P107" s="36"/>
      <c r="Q107" s="36"/>
      <c r="R107" s="36"/>
      <c r="S107" s="36"/>
      <c r="T107" s="36"/>
      <c r="U107" s="36"/>
      <c r="V107" s="36"/>
      <c r="W107" s="23"/>
      <c r="X107" s="36"/>
      <c r="Y107" s="36"/>
      <c r="Z107" s="23"/>
      <c r="AA107" s="36"/>
      <c r="AB107" s="36"/>
      <c r="AC107" s="23"/>
      <c r="AD107" s="36"/>
      <c r="AE107" s="36"/>
      <c r="AF107" s="23"/>
    </row>
    <row r="108" spans="1:32" x14ac:dyDescent="0.25">
      <c r="A108" s="23"/>
      <c r="B108" s="23"/>
      <c r="C108" s="36"/>
      <c r="D108" s="36"/>
      <c r="E108" s="23"/>
      <c r="F108" s="36"/>
      <c r="G108" s="36"/>
      <c r="H108" s="23"/>
      <c r="I108" s="36"/>
      <c r="J108" s="36"/>
      <c r="K108" s="23"/>
      <c r="L108" s="36"/>
      <c r="M108" s="36"/>
      <c r="N108" s="23"/>
      <c r="O108" s="36"/>
      <c r="P108" s="36"/>
      <c r="Q108" s="36"/>
      <c r="R108" s="36"/>
      <c r="S108" s="36"/>
      <c r="T108" s="36"/>
      <c r="U108" s="36"/>
      <c r="V108" s="36"/>
      <c r="W108" s="23"/>
      <c r="X108" s="36"/>
      <c r="Y108" s="36"/>
      <c r="Z108" s="23"/>
      <c r="AA108" s="36"/>
      <c r="AB108" s="36"/>
      <c r="AC108" s="23"/>
      <c r="AD108" s="36"/>
      <c r="AE108" s="36"/>
      <c r="AF108" s="23"/>
    </row>
    <row r="109" spans="1:32" x14ac:dyDescent="0.25">
      <c r="A109" s="23"/>
      <c r="B109" s="23"/>
      <c r="C109" s="36"/>
      <c r="D109" s="36"/>
      <c r="E109" s="23"/>
      <c r="F109" s="36"/>
      <c r="G109" s="36"/>
      <c r="H109" s="23"/>
      <c r="I109" s="36"/>
      <c r="J109" s="36"/>
      <c r="K109" s="23"/>
      <c r="L109" s="36"/>
      <c r="M109" s="36"/>
      <c r="N109" s="23"/>
      <c r="O109" s="36"/>
      <c r="P109" s="36"/>
      <c r="Q109" s="36"/>
      <c r="R109" s="36"/>
      <c r="S109" s="36"/>
      <c r="T109" s="36"/>
      <c r="U109" s="36"/>
      <c r="V109" s="36"/>
      <c r="W109" s="23"/>
      <c r="X109" s="36"/>
      <c r="Y109" s="36"/>
      <c r="Z109" s="23"/>
      <c r="AA109" s="36"/>
      <c r="AB109" s="36"/>
      <c r="AC109" s="23"/>
      <c r="AD109" s="36"/>
      <c r="AE109" s="36"/>
      <c r="AF109" s="23"/>
    </row>
    <row r="110" spans="1:32" x14ac:dyDescent="0.25">
      <c r="A110" s="23"/>
      <c r="B110" s="23"/>
      <c r="C110" s="36"/>
      <c r="D110" s="36"/>
      <c r="E110" s="23"/>
      <c r="F110" s="36"/>
      <c r="G110" s="36"/>
      <c r="H110" s="23"/>
      <c r="I110" s="36"/>
      <c r="J110" s="36"/>
      <c r="K110" s="23"/>
      <c r="L110" s="36"/>
      <c r="M110" s="36"/>
      <c r="N110" s="23"/>
      <c r="O110" s="36"/>
      <c r="P110" s="36"/>
      <c r="Q110" s="36"/>
      <c r="R110" s="36"/>
      <c r="S110" s="36"/>
      <c r="T110" s="36"/>
      <c r="U110" s="36"/>
      <c r="V110" s="36"/>
      <c r="W110" s="23"/>
      <c r="X110" s="36"/>
      <c r="Y110" s="36"/>
      <c r="Z110" s="23"/>
      <c r="AA110" s="36"/>
      <c r="AB110" s="36"/>
      <c r="AC110" s="23"/>
      <c r="AD110" s="36"/>
      <c r="AE110" s="36"/>
      <c r="AF110" s="23"/>
    </row>
    <row r="111" spans="1:32" x14ac:dyDescent="0.25">
      <c r="A111" s="23"/>
      <c r="B111" s="23"/>
      <c r="C111" s="36"/>
      <c r="D111" s="36"/>
      <c r="E111" s="23"/>
      <c r="F111" s="36"/>
      <c r="G111" s="36"/>
      <c r="H111" s="23"/>
      <c r="I111" s="36"/>
      <c r="J111" s="36"/>
      <c r="K111" s="23"/>
      <c r="L111" s="36"/>
      <c r="M111" s="36"/>
      <c r="N111" s="23"/>
      <c r="O111" s="36"/>
      <c r="P111" s="36"/>
      <c r="Q111" s="36"/>
      <c r="R111" s="36"/>
      <c r="S111" s="36"/>
      <c r="T111" s="36"/>
      <c r="U111" s="36"/>
      <c r="V111" s="36"/>
      <c r="W111" s="23"/>
      <c r="X111" s="36"/>
      <c r="Y111" s="36"/>
      <c r="Z111" s="23"/>
      <c r="AA111" s="36"/>
      <c r="AB111" s="36"/>
      <c r="AC111" s="23"/>
      <c r="AD111" s="36"/>
      <c r="AE111" s="36"/>
      <c r="AF111" s="23"/>
    </row>
    <row r="112" spans="1:32" x14ac:dyDescent="0.25">
      <c r="A112" s="23"/>
      <c r="B112" s="23"/>
      <c r="C112" s="36"/>
      <c r="D112" s="36"/>
      <c r="E112" s="23"/>
      <c r="F112" s="36"/>
      <c r="G112" s="36"/>
      <c r="H112" s="23"/>
      <c r="I112" s="36"/>
      <c r="J112" s="36"/>
      <c r="K112" s="23"/>
      <c r="L112" s="36"/>
      <c r="M112" s="36"/>
      <c r="N112" s="23"/>
      <c r="O112" s="36"/>
      <c r="P112" s="36"/>
      <c r="Q112" s="36"/>
      <c r="R112" s="36"/>
      <c r="S112" s="36"/>
      <c r="T112" s="36"/>
      <c r="U112" s="36"/>
      <c r="V112" s="36"/>
      <c r="W112" s="23"/>
      <c r="X112" s="36"/>
      <c r="Y112" s="36"/>
      <c r="Z112" s="23"/>
      <c r="AA112" s="36"/>
      <c r="AB112" s="36"/>
      <c r="AC112" s="23"/>
      <c r="AD112" s="36"/>
      <c r="AE112" s="36"/>
      <c r="AF112" s="23"/>
    </row>
    <row r="113" spans="1:32" x14ac:dyDescent="0.25">
      <c r="A113" s="23"/>
      <c r="B113" s="23"/>
      <c r="C113" s="36"/>
      <c r="D113" s="36"/>
      <c r="E113" s="23"/>
      <c r="F113" s="36"/>
      <c r="G113" s="36"/>
      <c r="H113" s="23"/>
      <c r="I113" s="36"/>
      <c r="J113" s="36"/>
      <c r="K113" s="23"/>
      <c r="L113" s="36"/>
      <c r="M113" s="36"/>
      <c r="N113" s="23"/>
      <c r="O113" s="36"/>
      <c r="P113" s="36"/>
      <c r="Q113" s="36"/>
      <c r="R113" s="36"/>
      <c r="S113" s="36"/>
      <c r="T113" s="36"/>
      <c r="U113" s="36"/>
      <c r="V113" s="36"/>
      <c r="W113" s="23"/>
      <c r="X113" s="36"/>
      <c r="Y113" s="36"/>
      <c r="Z113" s="23"/>
      <c r="AA113" s="36"/>
      <c r="AB113" s="36"/>
      <c r="AC113" s="23"/>
      <c r="AD113" s="36"/>
      <c r="AE113" s="36"/>
      <c r="AF113" s="23"/>
    </row>
    <row r="114" spans="1:32" x14ac:dyDescent="0.25">
      <c r="A114" s="23"/>
      <c r="B114" s="23"/>
      <c r="C114" s="36"/>
      <c r="D114" s="36"/>
      <c r="E114" s="23"/>
      <c r="F114" s="36"/>
      <c r="G114" s="36"/>
      <c r="H114" s="23"/>
      <c r="I114" s="36"/>
      <c r="J114" s="36"/>
      <c r="K114" s="23"/>
      <c r="L114" s="36"/>
      <c r="M114" s="36"/>
      <c r="N114" s="23"/>
      <c r="O114" s="36"/>
      <c r="P114" s="36"/>
      <c r="Q114" s="36"/>
      <c r="R114" s="36"/>
      <c r="S114" s="36"/>
      <c r="T114" s="36"/>
      <c r="U114" s="36"/>
      <c r="V114" s="36"/>
      <c r="W114" s="23"/>
      <c r="X114" s="36"/>
      <c r="Y114" s="36"/>
      <c r="Z114" s="23"/>
      <c r="AA114" s="36"/>
      <c r="AB114" s="36"/>
      <c r="AC114" s="23"/>
      <c r="AD114" s="36"/>
      <c r="AE114" s="36"/>
      <c r="AF114" s="23"/>
    </row>
    <row r="115" spans="1:32" x14ac:dyDescent="0.25">
      <c r="A115" s="23"/>
      <c r="B115" s="23"/>
      <c r="C115" s="36"/>
      <c r="D115" s="36"/>
      <c r="E115" s="23"/>
      <c r="F115" s="36"/>
      <c r="G115" s="36"/>
      <c r="H115" s="23"/>
      <c r="I115" s="36"/>
      <c r="J115" s="36"/>
      <c r="K115" s="23"/>
      <c r="L115" s="36"/>
      <c r="M115" s="36"/>
      <c r="N115" s="23"/>
      <c r="O115" s="36"/>
      <c r="P115" s="36"/>
      <c r="Q115" s="36"/>
      <c r="R115" s="36"/>
      <c r="S115" s="36"/>
      <c r="T115" s="36"/>
      <c r="U115" s="36"/>
      <c r="V115" s="36"/>
      <c r="W115" s="23"/>
      <c r="X115" s="36"/>
      <c r="Y115" s="36"/>
      <c r="Z115" s="23"/>
      <c r="AA115" s="36"/>
      <c r="AB115" s="36"/>
      <c r="AC115" s="23"/>
      <c r="AD115" s="36"/>
      <c r="AE115" s="36"/>
      <c r="AF115" s="23"/>
    </row>
    <row r="116" spans="1:32" x14ac:dyDescent="0.25">
      <c r="A116" s="23"/>
      <c r="B116" s="23"/>
      <c r="C116" s="36"/>
      <c r="D116" s="36"/>
      <c r="E116" s="23"/>
      <c r="F116" s="36"/>
      <c r="G116" s="36"/>
      <c r="H116" s="23"/>
      <c r="I116" s="36"/>
      <c r="J116" s="36"/>
      <c r="K116" s="23"/>
      <c r="L116" s="36"/>
      <c r="M116" s="36"/>
      <c r="N116" s="23"/>
      <c r="O116" s="36"/>
      <c r="P116" s="36"/>
      <c r="Q116" s="36"/>
      <c r="R116" s="36"/>
      <c r="S116" s="36"/>
      <c r="T116" s="36"/>
      <c r="U116" s="36"/>
      <c r="V116" s="36"/>
      <c r="W116" s="23"/>
      <c r="X116" s="36"/>
      <c r="Y116" s="36"/>
      <c r="Z116" s="23"/>
      <c r="AA116" s="36"/>
      <c r="AB116" s="36"/>
      <c r="AC116" s="23"/>
      <c r="AD116" s="36"/>
      <c r="AE116" s="36"/>
      <c r="AF116" s="23"/>
    </row>
    <row r="117" spans="1:32" x14ac:dyDescent="0.25">
      <c r="A117" s="23"/>
      <c r="B117" s="23"/>
      <c r="C117" s="36"/>
      <c r="D117" s="36"/>
      <c r="E117" s="23"/>
      <c r="F117" s="36"/>
      <c r="G117" s="36"/>
      <c r="H117" s="23"/>
      <c r="I117" s="36"/>
      <c r="J117" s="36"/>
      <c r="K117" s="23"/>
      <c r="L117" s="36"/>
      <c r="M117" s="36"/>
      <c r="N117" s="23"/>
      <c r="O117" s="36"/>
      <c r="P117" s="36"/>
      <c r="Q117" s="36"/>
      <c r="R117" s="36"/>
      <c r="S117" s="36"/>
      <c r="T117" s="36"/>
      <c r="U117" s="36"/>
      <c r="V117" s="36"/>
      <c r="W117" s="23"/>
      <c r="X117" s="36"/>
      <c r="Y117" s="36"/>
      <c r="Z117" s="23"/>
      <c r="AA117" s="36"/>
      <c r="AB117" s="36"/>
      <c r="AC117" s="23"/>
      <c r="AD117" s="36"/>
      <c r="AE117" s="36"/>
      <c r="AF117" s="23"/>
    </row>
    <row r="118" spans="1:32" x14ac:dyDescent="0.25">
      <c r="A118" s="23"/>
      <c r="B118" s="23"/>
      <c r="C118" s="36"/>
      <c r="D118" s="36"/>
      <c r="E118" s="23"/>
      <c r="F118" s="36"/>
      <c r="G118" s="36"/>
      <c r="H118" s="23"/>
      <c r="I118" s="36"/>
      <c r="J118" s="36"/>
      <c r="K118" s="23"/>
      <c r="L118" s="36"/>
      <c r="M118" s="36"/>
      <c r="N118" s="23"/>
      <c r="O118" s="36"/>
      <c r="P118" s="36"/>
      <c r="Q118" s="36"/>
      <c r="R118" s="36"/>
      <c r="S118" s="36"/>
      <c r="T118" s="36"/>
      <c r="U118" s="36"/>
      <c r="V118" s="36"/>
      <c r="W118" s="23"/>
      <c r="X118" s="36"/>
      <c r="Y118" s="36"/>
      <c r="Z118" s="23"/>
      <c r="AA118" s="36"/>
      <c r="AB118" s="36"/>
      <c r="AC118" s="23"/>
      <c r="AD118" s="36"/>
      <c r="AE118" s="36"/>
      <c r="AF118" s="23"/>
    </row>
    <row r="119" spans="1:32" x14ac:dyDescent="0.25">
      <c r="A119" s="23"/>
      <c r="B119" s="23"/>
      <c r="C119" s="36"/>
      <c r="D119" s="36"/>
      <c r="E119" s="23"/>
      <c r="F119" s="36"/>
      <c r="G119" s="36"/>
      <c r="H119" s="23"/>
      <c r="I119" s="36"/>
      <c r="J119" s="36"/>
      <c r="K119" s="23"/>
      <c r="L119" s="36"/>
      <c r="M119" s="36"/>
      <c r="N119" s="23"/>
      <c r="O119" s="36"/>
      <c r="P119" s="36"/>
      <c r="Q119" s="36"/>
      <c r="R119" s="36"/>
      <c r="S119" s="36"/>
      <c r="T119" s="36"/>
      <c r="U119" s="36"/>
      <c r="V119" s="36"/>
      <c r="W119" s="23"/>
      <c r="X119" s="36"/>
      <c r="Y119" s="36"/>
      <c r="Z119" s="23"/>
      <c r="AA119" s="36"/>
      <c r="AB119" s="36"/>
      <c r="AC119" s="23"/>
      <c r="AD119" s="36"/>
      <c r="AE119" s="36"/>
      <c r="AF119" s="23"/>
    </row>
    <row r="120" spans="1:32" x14ac:dyDescent="0.25">
      <c r="A120" s="23"/>
      <c r="B120" s="23"/>
      <c r="C120" s="36"/>
      <c r="D120" s="36"/>
      <c r="E120" s="23"/>
      <c r="F120" s="36"/>
      <c r="G120" s="36"/>
      <c r="H120" s="23"/>
      <c r="I120" s="36"/>
      <c r="J120" s="36"/>
      <c r="K120" s="23"/>
      <c r="L120" s="36"/>
      <c r="M120" s="36"/>
      <c r="N120" s="23"/>
      <c r="O120" s="36"/>
      <c r="P120" s="36"/>
      <c r="Q120" s="36"/>
      <c r="R120" s="36"/>
      <c r="S120" s="36"/>
      <c r="T120" s="36"/>
      <c r="U120" s="36"/>
      <c r="V120" s="36"/>
      <c r="W120" s="23"/>
      <c r="X120" s="36"/>
      <c r="Y120" s="36"/>
      <c r="Z120" s="23"/>
      <c r="AA120" s="36"/>
      <c r="AB120" s="36"/>
      <c r="AC120" s="23"/>
      <c r="AD120" s="36"/>
      <c r="AE120" s="36"/>
      <c r="AF120" s="23"/>
    </row>
    <row r="121" spans="1:32" x14ac:dyDescent="0.25">
      <c r="A121" s="23"/>
      <c r="B121" s="23"/>
      <c r="C121" s="36"/>
      <c r="D121" s="36"/>
      <c r="E121" s="23"/>
      <c r="F121" s="36"/>
      <c r="G121" s="36"/>
      <c r="H121" s="23"/>
      <c r="I121" s="36"/>
      <c r="J121" s="36"/>
      <c r="K121" s="23"/>
      <c r="L121" s="36"/>
      <c r="M121" s="36"/>
      <c r="N121" s="23"/>
      <c r="O121" s="36"/>
      <c r="P121" s="36"/>
      <c r="Q121" s="36"/>
      <c r="R121" s="36"/>
      <c r="S121" s="36"/>
      <c r="T121" s="36"/>
      <c r="U121" s="36"/>
      <c r="V121" s="36"/>
      <c r="W121" s="23"/>
      <c r="X121" s="36"/>
      <c r="Y121" s="36"/>
      <c r="Z121" s="23"/>
      <c r="AA121" s="36"/>
      <c r="AB121" s="36"/>
      <c r="AC121" s="23"/>
      <c r="AD121" s="36"/>
      <c r="AE121" s="36"/>
      <c r="AF121" s="23"/>
    </row>
    <row r="122" spans="1:32" x14ac:dyDescent="0.25">
      <c r="A122" s="23"/>
      <c r="B122" s="23"/>
      <c r="C122" s="36"/>
      <c r="D122" s="36"/>
      <c r="E122" s="23"/>
      <c r="F122" s="36"/>
      <c r="G122" s="36"/>
      <c r="H122" s="23"/>
      <c r="I122" s="36"/>
      <c r="J122" s="36"/>
      <c r="K122" s="23"/>
      <c r="L122" s="36"/>
      <c r="M122" s="36"/>
      <c r="N122" s="23"/>
      <c r="O122" s="36"/>
      <c r="P122" s="36"/>
      <c r="Q122" s="36"/>
      <c r="R122" s="36"/>
      <c r="S122" s="36"/>
      <c r="T122" s="36"/>
      <c r="U122" s="36"/>
      <c r="V122" s="36"/>
      <c r="W122" s="23"/>
      <c r="X122" s="36"/>
      <c r="Y122" s="36"/>
      <c r="Z122" s="23"/>
      <c r="AA122" s="36"/>
      <c r="AB122" s="36"/>
      <c r="AC122" s="23"/>
      <c r="AD122" s="36"/>
      <c r="AE122" s="36"/>
      <c r="AF122" s="23"/>
    </row>
    <row r="123" spans="1:32" x14ac:dyDescent="0.25">
      <c r="A123" s="23"/>
      <c r="B123" s="23"/>
      <c r="C123" s="36"/>
      <c r="D123" s="36"/>
      <c r="E123" s="23"/>
      <c r="F123" s="36"/>
      <c r="G123" s="36"/>
      <c r="H123" s="23"/>
      <c r="I123" s="36"/>
      <c r="J123" s="36"/>
      <c r="K123" s="23"/>
      <c r="L123" s="36"/>
      <c r="M123" s="36"/>
      <c r="N123" s="23"/>
      <c r="O123" s="36"/>
      <c r="P123" s="36"/>
      <c r="Q123" s="36"/>
      <c r="R123" s="36"/>
      <c r="S123" s="36"/>
      <c r="T123" s="36"/>
      <c r="U123" s="36"/>
      <c r="V123" s="36"/>
      <c r="W123" s="23"/>
      <c r="X123" s="36"/>
      <c r="Y123" s="36"/>
      <c r="Z123" s="23"/>
      <c r="AA123" s="36"/>
      <c r="AB123" s="36"/>
      <c r="AC123" s="23"/>
      <c r="AD123" s="36"/>
      <c r="AE123" s="36"/>
      <c r="AF123" s="23"/>
    </row>
    <row r="124" spans="1:32" x14ac:dyDescent="0.25">
      <c r="A124" s="23"/>
      <c r="B124" s="23"/>
      <c r="C124" s="36"/>
      <c r="D124" s="36"/>
      <c r="E124" s="23"/>
      <c r="F124" s="36"/>
      <c r="G124" s="36"/>
      <c r="H124" s="23"/>
      <c r="I124" s="36"/>
      <c r="J124" s="36"/>
      <c r="K124" s="23"/>
      <c r="L124" s="36"/>
      <c r="M124" s="36"/>
      <c r="N124" s="23"/>
      <c r="O124" s="36"/>
      <c r="P124" s="36"/>
      <c r="Q124" s="36"/>
      <c r="R124" s="36"/>
      <c r="S124" s="36"/>
      <c r="T124" s="36"/>
      <c r="U124" s="36"/>
      <c r="V124" s="36"/>
      <c r="W124" s="23"/>
      <c r="X124" s="36"/>
      <c r="Y124" s="36"/>
      <c r="Z124" s="23"/>
      <c r="AA124" s="36"/>
      <c r="AB124" s="36"/>
      <c r="AC124" s="23"/>
      <c r="AD124" s="36"/>
      <c r="AE124" s="36"/>
      <c r="AF124" s="23"/>
    </row>
    <row r="125" spans="1:32" x14ac:dyDescent="0.25">
      <c r="A125" s="23"/>
      <c r="B125" s="23"/>
      <c r="C125" s="36"/>
      <c r="D125" s="36"/>
      <c r="E125" s="23"/>
      <c r="F125" s="36"/>
      <c r="G125" s="36"/>
      <c r="H125" s="23"/>
      <c r="I125" s="36"/>
      <c r="J125" s="36"/>
      <c r="K125" s="23"/>
      <c r="L125" s="36"/>
      <c r="M125" s="36"/>
      <c r="N125" s="23"/>
      <c r="O125" s="36"/>
      <c r="P125" s="36"/>
      <c r="Q125" s="36"/>
      <c r="R125" s="36"/>
      <c r="S125" s="36"/>
      <c r="T125" s="36"/>
      <c r="U125" s="36"/>
      <c r="V125" s="36"/>
      <c r="W125" s="23"/>
      <c r="X125" s="36"/>
      <c r="Y125" s="36"/>
      <c r="Z125" s="23"/>
      <c r="AA125" s="36"/>
      <c r="AB125" s="36"/>
      <c r="AC125" s="23"/>
      <c r="AD125" s="36"/>
      <c r="AE125" s="36"/>
      <c r="AF125" s="23"/>
    </row>
    <row r="126" spans="1:32" x14ac:dyDescent="0.25">
      <c r="A126" s="23"/>
      <c r="B126" s="23"/>
      <c r="C126" s="36"/>
      <c r="D126" s="36"/>
      <c r="E126" s="23"/>
      <c r="F126" s="36"/>
      <c r="G126" s="36"/>
      <c r="H126" s="23"/>
      <c r="I126" s="36"/>
      <c r="J126" s="36"/>
      <c r="K126" s="23"/>
      <c r="L126" s="36"/>
      <c r="M126" s="36"/>
      <c r="N126" s="23"/>
      <c r="O126" s="36"/>
      <c r="P126" s="36"/>
      <c r="Q126" s="36"/>
      <c r="R126" s="36"/>
      <c r="S126" s="36"/>
      <c r="T126" s="36"/>
      <c r="U126" s="36"/>
      <c r="V126" s="36"/>
      <c r="W126" s="23"/>
      <c r="X126" s="36"/>
      <c r="Y126" s="36"/>
      <c r="Z126" s="23"/>
      <c r="AA126" s="36"/>
      <c r="AB126" s="36"/>
      <c r="AC126" s="23"/>
      <c r="AD126" s="36"/>
      <c r="AE126" s="36"/>
      <c r="AF126" s="23"/>
    </row>
    <row r="127" spans="1:32" x14ac:dyDescent="0.25">
      <c r="A127" s="23"/>
      <c r="B127" s="23"/>
      <c r="C127" s="36"/>
      <c r="D127" s="36"/>
      <c r="E127" s="23"/>
      <c r="F127" s="36"/>
      <c r="G127" s="36"/>
      <c r="H127" s="23"/>
      <c r="I127" s="36"/>
      <c r="J127" s="36"/>
      <c r="K127" s="23"/>
      <c r="L127" s="36"/>
      <c r="M127" s="36"/>
      <c r="N127" s="23"/>
      <c r="O127" s="36"/>
      <c r="P127" s="36"/>
      <c r="Q127" s="36"/>
      <c r="R127" s="36"/>
      <c r="S127" s="36"/>
      <c r="T127" s="36"/>
      <c r="U127" s="36"/>
      <c r="V127" s="36"/>
      <c r="W127" s="23"/>
      <c r="X127" s="36"/>
      <c r="Y127" s="36"/>
      <c r="Z127" s="23"/>
      <c r="AA127" s="36"/>
      <c r="AB127" s="36"/>
      <c r="AC127" s="23"/>
      <c r="AD127" s="36"/>
      <c r="AE127" s="36"/>
      <c r="AF127" s="23"/>
    </row>
    <row r="128" spans="1:32" x14ac:dyDescent="0.25">
      <c r="A128" s="23"/>
      <c r="B128" s="23"/>
      <c r="C128" s="36"/>
      <c r="D128" s="36"/>
      <c r="E128" s="23"/>
      <c r="F128" s="36"/>
      <c r="G128" s="36"/>
      <c r="H128" s="23"/>
      <c r="I128" s="36"/>
      <c r="J128" s="36"/>
      <c r="K128" s="23"/>
      <c r="L128" s="36"/>
      <c r="M128" s="36"/>
      <c r="N128" s="23"/>
      <c r="O128" s="36"/>
      <c r="P128" s="36"/>
      <c r="Q128" s="36"/>
      <c r="R128" s="36"/>
      <c r="S128" s="36"/>
      <c r="T128" s="36"/>
      <c r="U128" s="36"/>
      <c r="V128" s="36"/>
      <c r="W128" s="23"/>
      <c r="X128" s="36"/>
      <c r="Y128" s="36"/>
      <c r="Z128" s="23"/>
      <c r="AA128" s="36"/>
      <c r="AB128" s="36"/>
      <c r="AC128" s="23"/>
      <c r="AD128" s="36"/>
      <c r="AE128" s="36"/>
      <c r="AF128" s="23"/>
    </row>
    <row r="129" spans="1:32" x14ac:dyDescent="0.25">
      <c r="A129" s="23"/>
      <c r="B129" s="23"/>
      <c r="C129" s="36"/>
      <c r="D129" s="36"/>
      <c r="E129" s="23"/>
      <c r="F129" s="36"/>
      <c r="G129" s="36"/>
      <c r="H129" s="23"/>
      <c r="I129" s="36"/>
      <c r="J129" s="36"/>
      <c r="K129" s="23"/>
      <c r="L129" s="36"/>
      <c r="M129" s="36"/>
      <c r="N129" s="23"/>
      <c r="O129" s="36"/>
      <c r="P129" s="36"/>
      <c r="Q129" s="36"/>
      <c r="R129" s="36"/>
      <c r="S129" s="36"/>
      <c r="T129" s="36"/>
      <c r="U129" s="36"/>
      <c r="V129" s="36"/>
      <c r="W129" s="23"/>
      <c r="X129" s="36"/>
      <c r="Y129" s="36"/>
      <c r="Z129" s="23"/>
      <c r="AA129" s="36"/>
      <c r="AB129" s="36"/>
      <c r="AC129" s="23"/>
      <c r="AD129" s="36"/>
      <c r="AE129" s="36"/>
      <c r="AF129" s="23"/>
    </row>
    <row r="130" spans="1:32" x14ac:dyDescent="0.25">
      <c r="A130" s="23"/>
      <c r="B130" s="23"/>
      <c r="C130" s="36"/>
      <c r="D130" s="36"/>
      <c r="E130" s="23"/>
      <c r="F130" s="36"/>
      <c r="G130" s="36"/>
      <c r="H130" s="23"/>
      <c r="I130" s="36"/>
      <c r="J130" s="36"/>
      <c r="K130" s="23"/>
      <c r="L130" s="36"/>
      <c r="M130" s="36"/>
      <c r="N130" s="23"/>
      <c r="O130" s="36"/>
      <c r="P130" s="36"/>
      <c r="Q130" s="36"/>
      <c r="R130" s="36"/>
      <c r="S130" s="36"/>
      <c r="T130" s="36"/>
      <c r="U130" s="36"/>
      <c r="V130" s="36"/>
      <c r="W130" s="23"/>
      <c r="X130" s="36"/>
      <c r="Y130" s="36"/>
      <c r="Z130" s="23"/>
      <c r="AA130" s="36"/>
      <c r="AB130" s="36"/>
      <c r="AC130" s="23"/>
      <c r="AD130" s="36"/>
      <c r="AE130" s="36"/>
      <c r="AF130" s="23"/>
    </row>
    <row r="131" spans="1:32" x14ac:dyDescent="0.25">
      <c r="A131" s="23"/>
      <c r="B131" s="23"/>
      <c r="C131" s="36"/>
      <c r="D131" s="36"/>
      <c r="E131" s="23"/>
      <c r="F131" s="36"/>
      <c r="G131" s="36"/>
      <c r="H131" s="23"/>
      <c r="I131" s="36"/>
      <c r="J131" s="36"/>
      <c r="K131" s="23"/>
      <c r="L131" s="36"/>
      <c r="M131" s="36"/>
      <c r="N131" s="23"/>
      <c r="O131" s="36"/>
      <c r="P131" s="36"/>
      <c r="Q131" s="36"/>
      <c r="R131" s="36"/>
      <c r="S131" s="36"/>
      <c r="T131" s="36"/>
      <c r="U131" s="36"/>
      <c r="V131" s="36"/>
      <c r="W131" s="23"/>
      <c r="X131" s="36"/>
      <c r="Y131" s="36"/>
      <c r="Z131" s="23"/>
      <c r="AA131" s="36"/>
      <c r="AB131" s="36"/>
      <c r="AC131" s="23"/>
      <c r="AD131" s="36"/>
      <c r="AE131" s="36"/>
      <c r="AF131" s="23"/>
    </row>
    <row r="132" spans="1:32" x14ac:dyDescent="0.25">
      <c r="A132" s="23"/>
      <c r="B132" s="23"/>
      <c r="C132" s="36"/>
      <c r="D132" s="36"/>
      <c r="E132" s="23"/>
      <c r="F132" s="36"/>
      <c r="G132" s="36"/>
      <c r="H132" s="23"/>
      <c r="I132" s="36"/>
      <c r="J132" s="36"/>
      <c r="K132" s="23"/>
      <c r="L132" s="36"/>
      <c r="M132" s="36"/>
      <c r="N132" s="23"/>
      <c r="O132" s="36"/>
      <c r="P132" s="36"/>
      <c r="Q132" s="36"/>
      <c r="R132" s="36"/>
      <c r="S132" s="36"/>
      <c r="T132" s="36"/>
      <c r="U132" s="36"/>
      <c r="V132" s="36"/>
      <c r="W132" s="23"/>
      <c r="X132" s="36"/>
      <c r="Y132" s="36"/>
      <c r="Z132" s="23"/>
      <c r="AA132" s="36"/>
      <c r="AB132" s="36"/>
      <c r="AC132" s="23"/>
      <c r="AD132" s="36"/>
      <c r="AE132" s="36"/>
      <c r="AF132" s="23"/>
    </row>
    <row r="133" spans="1:32" x14ac:dyDescent="0.25">
      <c r="A133" s="23"/>
      <c r="B133" s="23"/>
      <c r="C133" s="36"/>
      <c r="D133" s="36"/>
      <c r="E133" s="23"/>
      <c r="F133" s="36"/>
      <c r="G133" s="36"/>
      <c r="H133" s="23"/>
      <c r="I133" s="36"/>
      <c r="J133" s="36"/>
      <c r="K133" s="23"/>
      <c r="L133" s="36"/>
      <c r="M133" s="36"/>
      <c r="N133" s="23"/>
      <c r="O133" s="36"/>
      <c r="P133" s="36"/>
      <c r="Q133" s="36"/>
      <c r="R133" s="36"/>
      <c r="S133" s="36"/>
      <c r="T133" s="36"/>
      <c r="U133" s="36"/>
      <c r="V133" s="36"/>
      <c r="W133" s="23"/>
      <c r="X133" s="36"/>
      <c r="Y133" s="36"/>
      <c r="Z133" s="23"/>
      <c r="AA133" s="36"/>
      <c r="AB133" s="36"/>
      <c r="AC133" s="23"/>
      <c r="AD133" s="36"/>
      <c r="AE133" s="36"/>
      <c r="AF133" s="23"/>
    </row>
    <row r="134" spans="1:32" x14ac:dyDescent="0.25">
      <c r="A134" s="23"/>
      <c r="B134" s="23"/>
      <c r="C134" s="36"/>
      <c r="D134" s="36"/>
      <c r="E134" s="23"/>
      <c r="F134" s="36"/>
      <c r="G134" s="36"/>
      <c r="H134" s="23"/>
      <c r="I134" s="36"/>
      <c r="J134" s="36"/>
      <c r="K134" s="23"/>
      <c r="L134" s="36"/>
      <c r="M134" s="36"/>
      <c r="N134" s="23"/>
      <c r="O134" s="36"/>
      <c r="P134" s="36"/>
      <c r="Q134" s="36"/>
      <c r="R134" s="36"/>
      <c r="S134" s="36"/>
      <c r="T134" s="36"/>
      <c r="U134" s="36"/>
      <c r="V134" s="36"/>
      <c r="W134" s="23"/>
      <c r="X134" s="36"/>
      <c r="Y134" s="36"/>
      <c r="Z134" s="23"/>
      <c r="AA134" s="36"/>
      <c r="AB134" s="36"/>
      <c r="AC134" s="23"/>
      <c r="AD134" s="36"/>
      <c r="AE134" s="36"/>
      <c r="AF134" s="23"/>
    </row>
    <row r="135" spans="1:32" x14ac:dyDescent="0.25">
      <c r="A135" s="23"/>
      <c r="B135" s="23"/>
      <c r="C135" s="36"/>
      <c r="D135" s="36"/>
      <c r="E135" s="23"/>
      <c r="F135" s="36"/>
      <c r="G135" s="36"/>
      <c r="H135" s="23"/>
      <c r="I135" s="36"/>
      <c r="J135" s="36"/>
      <c r="K135" s="23"/>
      <c r="L135" s="36"/>
      <c r="M135" s="36"/>
      <c r="N135" s="23"/>
      <c r="O135" s="36"/>
      <c r="P135" s="36"/>
      <c r="Q135" s="36"/>
      <c r="R135" s="36"/>
      <c r="S135" s="36"/>
      <c r="T135" s="36"/>
      <c r="U135" s="36"/>
      <c r="V135" s="36"/>
      <c r="W135" s="23"/>
      <c r="X135" s="36"/>
      <c r="Y135" s="36"/>
      <c r="Z135" s="23"/>
      <c r="AA135" s="36"/>
      <c r="AB135" s="36"/>
      <c r="AC135" s="23"/>
      <c r="AD135" s="36"/>
      <c r="AE135" s="36"/>
      <c r="AF135" s="23"/>
    </row>
    <row r="136" spans="1:32" x14ac:dyDescent="0.25">
      <c r="A136" s="23"/>
      <c r="B136" s="23"/>
      <c r="C136" s="36"/>
      <c r="D136" s="36"/>
      <c r="E136" s="23"/>
      <c r="F136" s="36"/>
      <c r="G136" s="36"/>
      <c r="H136" s="23"/>
      <c r="I136" s="36"/>
      <c r="J136" s="36"/>
      <c r="K136" s="23"/>
      <c r="L136" s="36"/>
      <c r="M136" s="36"/>
      <c r="N136" s="23"/>
      <c r="O136" s="36"/>
      <c r="P136" s="36"/>
      <c r="Q136" s="36"/>
      <c r="R136" s="36"/>
      <c r="S136" s="36"/>
      <c r="T136" s="36"/>
      <c r="U136" s="36"/>
      <c r="V136" s="36"/>
      <c r="W136" s="23"/>
      <c r="X136" s="36"/>
      <c r="Y136" s="36"/>
      <c r="Z136" s="23"/>
      <c r="AA136" s="36"/>
      <c r="AB136" s="36"/>
      <c r="AC136" s="23"/>
      <c r="AD136" s="36"/>
      <c r="AE136" s="36"/>
      <c r="AF136" s="23"/>
    </row>
    <row r="137" spans="1:32" x14ac:dyDescent="0.25">
      <c r="A137" s="23"/>
      <c r="B137" s="23"/>
      <c r="C137" s="36"/>
      <c r="D137" s="36"/>
      <c r="E137" s="23"/>
      <c r="F137" s="36"/>
      <c r="G137" s="36"/>
      <c r="H137" s="23"/>
      <c r="I137" s="36"/>
      <c r="J137" s="36"/>
      <c r="K137" s="23"/>
      <c r="L137" s="36"/>
      <c r="M137" s="36"/>
      <c r="N137" s="23"/>
      <c r="O137" s="36"/>
      <c r="P137" s="36"/>
      <c r="Q137" s="36"/>
      <c r="R137" s="36"/>
      <c r="S137" s="36"/>
      <c r="T137" s="36"/>
      <c r="U137" s="36"/>
      <c r="V137" s="36"/>
      <c r="W137" s="23"/>
      <c r="X137" s="36"/>
      <c r="Y137" s="36"/>
      <c r="Z137" s="23"/>
      <c r="AA137" s="36"/>
      <c r="AB137" s="36"/>
      <c r="AC137" s="23"/>
      <c r="AD137" s="36"/>
      <c r="AE137" s="36"/>
      <c r="AF137" s="23"/>
    </row>
    <row r="138" spans="1:32" x14ac:dyDescent="0.25">
      <c r="A138" s="23"/>
      <c r="B138" s="23"/>
      <c r="C138" s="36"/>
      <c r="D138" s="36"/>
      <c r="E138" s="23"/>
      <c r="F138" s="36"/>
      <c r="G138" s="36"/>
      <c r="H138" s="23"/>
      <c r="I138" s="36"/>
      <c r="J138" s="36"/>
      <c r="K138" s="23"/>
      <c r="L138" s="36"/>
      <c r="M138" s="36"/>
      <c r="N138" s="23"/>
      <c r="O138" s="36"/>
      <c r="P138" s="36"/>
      <c r="Q138" s="36"/>
      <c r="R138" s="36"/>
      <c r="S138" s="36"/>
      <c r="T138" s="36"/>
      <c r="U138" s="36"/>
      <c r="V138" s="36"/>
      <c r="W138" s="23"/>
      <c r="X138" s="36"/>
      <c r="Y138" s="36"/>
      <c r="Z138" s="23"/>
      <c r="AA138" s="36"/>
      <c r="AB138" s="36"/>
      <c r="AC138" s="23"/>
      <c r="AD138" s="36"/>
      <c r="AE138" s="36"/>
      <c r="AF138" s="23"/>
    </row>
    <row r="139" spans="1:32" x14ac:dyDescent="0.25">
      <c r="A139" s="23"/>
      <c r="B139" s="23"/>
      <c r="C139" s="36"/>
      <c r="D139" s="36"/>
      <c r="E139" s="23"/>
      <c r="F139" s="36"/>
      <c r="G139" s="36"/>
      <c r="H139" s="23"/>
      <c r="I139" s="36"/>
      <c r="J139" s="36"/>
      <c r="K139" s="23"/>
      <c r="L139" s="36"/>
      <c r="M139" s="36"/>
      <c r="N139" s="23"/>
      <c r="O139" s="36"/>
      <c r="P139" s="36"/>
      <c r="Q139" s="36"/>
      <c r="R139" s="36"/>
      <c r="S139" s="36"/>
      <c r="T139" s="36"/>
      <c r="U139" s="36"/>
      <c r="V139" s="36"/>
      <c r="W139" s="23"/>
      <c r="X139" s="36"/>
      <c r="Y139" s="36"/>
      <c r="Z139" s="23"/>
      <c r="AA139" s="36"/>
      <c r="AB139" s="36"/>
      <c r="AC139" s="23"/>
      <c r="AD139" s="36"/>
      <c r="AE139" s="36"/>
      <c r="AF139" s="23"/>
    </row>
    <row r="140" spans="1:32" x14ac:dyDescent="0.25">
      <c r="A140" s="23"/>
      <c r="B140" s="23"/>
      <c r="C140" s="36"/>
      <c r="D140" s="36"/>
      <c r="E140" s="23"/>
      <c r="F140" s="36"/>
      <c r="G140" s="36"/>
      <c r="H140" s="23"/>
      <c r="I140" s="36"/>
      <c r="J140" s="36"/>
      <c r="K140" s="23"/>
      <c r="L140" s="36"/>
      <c r="M140" s="36"/>
      <c r="N140" s="23"/>
      <c r="O140" s="36"/>
      <c r="P140" s="36"/>
      <c r="Q140" s="36"/>
      <c r="R140" s="36"/>
      <c r="S140" s="36"/>
      <c r="T140" s="36"/>
      <c r="U140" s="36"/>
      <c r="V140" s="36"/>
      <c r="W140" s="23"/>
      <c r="X140" s="36"/>
      <c r="Y140" s="36"/>
      <c r="Z140" s="23"/>
      <c r="AA140" s="36"/>
      <c r="AB140" s="36"/>
      <c r="AC140" s="23"/>
      <c r="AD140" s="36"/>
      <c r="AE140" s="36"/>
      <c r="AF140" s="23"/>
    </row>
    <row r="141" spans="1:32" x14ac:dyDescent="0.25">
      <c r="A141" s="23"/>
      <c r="B141" s="23"/>
      <c r="C141" s="36"/>
      <c r="D141" s="36"/>
      <c r="E141" s="23"/>
      <c r="F141" s="36"/>
      <c r="G141" s="36"/>
      <c r="H141" s="23"/>
      <c r="I141" s="36"/>
      <c r="J141" s="36"/>
      <c r="K141" s="23"/>
      <c r="L141" s="36"/>
      <c r="M141" s="36"/>
      <c r="N141" s="23"/>
      <c r="O141" s="36"/>
      <c r="P141" s="36"/>
      <c r="Q141" s="36"/>
      <c r="R141" s="36"/>
      <c r="S141" s="36"/>
      <c r="T141" s="36"/>
      <c r="U141" s="36"/>
      <c r="V141" s="36"/>
      <c r="W141" s="23"/>
      <c r="X141" s="36"/>
      <c r="Y141" s="36"/>
      <c r="Z141" s="23"/>
      <c r="AA141" s="36"/>
      <c r="AB141" s="36"/>
      <c r="AC141" s="23"/>
      <c r="AD141" s="36"/>
      <c r="AE141" s="36"/>
      <c r="AF141" s="23"/>
    </row>
    <row r="142" spans="1:32" x14ac:dyDescent="0.25">
      <c r="A142" s="23"/>
      <c r="B142" s="23"/>
      <c r="C142" s="36"/>
      <c r="D142" s="36"/>
      <c r="E142" s="23"/>
      <c r="F142" s="36"/>
      <c r="G142" s="36"/>
      <c r="H142" s="23"/>
      <c r="I142" s="36"/>
      <c r="J142" s="36"/>
      <c r="K142" s="23"/>
      <c r="L142" s="36"/>
      <c r="M142" s="36"/>
      <c r="N142" s="23"/>
      <c r="O142" s="36"/>
      <c r="P142" s="36"/>
      <c r="Q142" s="36"/>
      <c r="R142" s="36"/>
      <c r="S142" s="36"/>
      <c r="T142" s="36"/>
      <c r="U142" s="36"/>
      <c r="V142" s="36"/>
      <c r="W142" s="23"/>
      <c r="X142" s="36"/>
      <c r="Y142" s="36"/>
      <c r="Z142" s="23"/>
      <c r="AA142" s="36"/>
      <c r="AB142" s="36"/>
      <c r="AC142" s="23"/>
      <c r="AD142" s="36"/>
      <c r="AE142" s="36"/>
      <c r="AF142" s="23"/>
    </row>
    <row r="143" spans="1:32" x14ac:dyDescent="0.25">
      <c r="A143" s="23"/>
      <c r="B143" s="23"/>
      <c r="C143" s="36"/>
      <c r="D143" s="36"/>
      <c r="E143" s="23"/>
      <c r="F143" s="36"/>
      <c r="G143" s="36"/>
      <c r="H143" s="23"/>
      <c r="I143" s="36"/>
      <c r="J143" s="36"/>
      <c r="K143" s="23"/>
      <c r="L143" s="36"/>
      <c r="M143" s="36"/>
      <c r="N143" s="23"/>
      <c r="O143" s="36"/>
      <c r="P143" s="36"/>
      <c r="Q143" s="36"/>
      <c r="R143" s="36"/>
      <c r="S143" s="36"/>
      <c r="T143" s="36"/>
      <c r="U143" s="36"/>
      <c r="V143" s="36"/>
      <c r="W143" s="23"/>
      <c r="X143" s="36"/>
      <c r="Y143" s="36"/>
      <c r="Z143" s="23"/>
      <c r="AA143" s="36"/>
      <c r="AB143" s="36"/>
      <c r="AC143" s="23"/>
      <c r="AD143" s="36"/>
      <c r="AE143" s="36"/>
      <c r="AF143" s="23"/>
    </row>
    <row r="144" spans="1:32" x14ac:dyDescent="0.25">
      <c r="A144" s="23"/>
      <c r="B144" s="23"/>
      <c r="C144" s="36"/>
      <c r="D144" s="36"/>
      <c r="E144" s="23"/>
      <c r="F144" s="36"/>
      <c r="G144" s="36"/>
      <c r="H144" s="23"/>
      <c r="I144" s="36"/>
      <c r="J144" s="36"/>
      <c r="K144" s="23"/>
      <c r="L144" s="36"/>
      <c r="M144" s="36"/>
      <c r="N144" s="23"/>
      <c r="O144" s="36"/>
      <c r="P144" s="36"/>
      <c r="Q144" s="36"/>
      <c r="R144" s="36"/>
      <c r="S144" s="36"/>
      <c r="T144" s="36"/>
      <c r="U144" s="36"/>
      <c r="V144" s="36"/>
      <c r="W144" s="23"/>
      <c r="X144" s="36"/>
      <c r="Y144" s="36"/>
      <c r="Z144" s="23"/>
      <c r="AA144" s="36"/>
      <c r="AB144" s="36"/>
      <c r="AC144" s="23"/>
      <c r="AD144" s="36"/>
      <c r="AE144" s="36"/>
      <c r="AF144" s="23"/>
    </row>
    <row r="145" spans="1:32" x14ac:dyDescent="0.25">
      <c r="A145" s="23"/>
      <c r="B145" s="23"/>
      <c r="C145" s="36"/>
      <c r="D145" s="36"/>
      <c r="E145" s="23"/>
      <c r="F145" s="36"/>
      <c r="G145" s="36"/>
      <c r="H145" s="23"/>
      <c r="I145" s="36"/>
      <c r="J145" s="36"/>
      <c r="K145" s="23"/>
      <c r="L145" s="36"/>
      <c r="M145" s="36"/>
      <c r="N145" s="23"/>
      <c r="O145" s="36"/>
      <c r="P145" s="36"/>
      <c r="Q145" s="36"/>
      <c r="R145" s="36"/>
      <c r="S145" s="36"/>
      <c r="T145" s="36"/>
      <c r="U145" s="36"/>
      <c r="V145" s="36"/>
      <c r="W145" s="23"/>
      <c r="X145" s="36"/>
      <c r="Y145" s="36"/>
      <c r="Z145" s="23"/>
      <c r="AA145" s="36"/>
      <c r="AB145" s="36"/>
      <c r="AC145" s="23"/>
      <c r="AD145" s="36"/>
      <c r="AE145" s="36"/>
      <c r="AF145" s="23"/>
    </row>
    <row r="146" spans="1:32" x14ac:dyDescent="0.25">
      <c r="A146" s="23"/>
      <c r="B146" s="23"/>
      <c r="C146" s="36"/>
      <c r="D146" s="36"/>
      <c r="E146" s="23"/>
      <c r="F146" s="36"/>
      <c r="G146" s="36"/>
      <c r="H146" s="23"/>
      <c r="I146" s="36"/>
      <c r="J146" s="36"/>
      <c r="K146" s="23"/>
      <c r="L146" s="36"/>
      <c r="M146" s="36"/>
      <c r="N146" s="23"/>
      <c r="O146" s="36"/>
      <c r="P146" s="36"/>
      <c r="Q146" s="36"/>
      <c r="R146" s="36"/>
      <c r="S146" s="36"/>
      <c r="T146" s="36"/>
      <c r="U146" s="36"/>
      <c r="V146" s="36"/>
      <c r="W146" s="23"/>
      <c r="X146" s="36"/>
      <c r="Y146" s="36"/>
      <c r="Z146" s="23"/>
      <c r="AA146" s="36"/>
      <c r="AB146" s="36"/>
      <c r="AC146" s="23"/>
      <c r="AD146" s="36"/>
      <c r="AE146" s="36"/>
      <c r="AF146" s="23"/>
    </row>
    <row r="147" spans="1:32" x14ac:dyDescent="0.25">
      <c r="A147" s="23"/>
      <c r="B147" s="23"/>
      <c r="C147" s="36"/>
      <c r="D147" s="36"/>
      <c r="E147" s="23"/>
      <c r="F147" s="36"/>
      <c r="G147" s="36"/>
      <c r="H147" s="23"/>
      <c r="I147" s="36"/>
      <c r="J147" s="36"/>
      <c r="K147" s="23"/>
      <c r="L147" s="36"/>
      <c r="M147" s="36"/>
      <c r="N147" s="23"/>
      <c r="O147" s="36"/>
      <c r="P147" s="36"/>
      <c r="Q147" s="36"/>
      <c r="R147" s="36"/>
      <c r="S147" s="36"/>
      <c r="T147" s="36"/>
      <c r="U147" s="36"/>
      <c r="V147" s="36"/>
      <c r="W147" s="23"/>
      <c r="X147" s="36"/>
      <c r="Y147" s="36"/>
      <c r="Z147" s="23"/>
      <c r="AA147" s="36"/>
      <c r="AB147" s="36"/>
      <c r="AC147" s="23"/>
      <c r="AD147" s="36"/>
      <c r="AE147" s="36"/>
      <c r="AF147" s="23"/>
    </row>
    <row r="148" spans="1:32" x14ac:dyDescent="0.25">
      <c r="A148" s="23"/>
      <c r="B148" s="23"/>
      <c r="C148" s="36"/>
      <c r="D148" s="36"/>
      <c r="E148" s="23"/>
      <c r="F148" s="36"/>
      <c r="G148" s="36"/>
      <c r="H148" s="23"/>
      <c r="I148" s="36"/>
      <c r="J148" s="36"/>
      <c r="K148" s="23"/>
      <c r="L148" s="36"/>
      <c r="M148" s="36"/>
      <c r="N148" s="23"/>
      <c r="O148" s="36"/>
      <c r="P148" s="36"/>
      <c r="Q148" s="36"/>
      <c r="R148" s="36"/>
      <c r="S148" s="36"/>
      <c r="T148" s="36"/>
      <c r="U148" s="36"/>
      <c r="V148" s="36"/>
      <c r="W148" s="23"/>
      <c r="X148" s="36"/>
      <c r="Y148" s="36"/>
      <c r="Z148" s="23"/>
      <c r="AA148" s="36"/>
      <c r="AB148" s="36"/>
      <c r="AC148" s="23"/>
      <c r="AD148" s="36"/>
      <c r="AE148" s="36"/>
      <c r="AF148" s="23"/>
    </row>
    <row r="149" spans="1:32" x14ac:dyDescent="0.25">
      <c r="A149" s="23"/>
      <c r="B149" s="23"/>
      <c r="C149" s="36"/>
      <c r="D149" s="36"/>
      <c r="E149" s="23"/>
      <c r="F149" s="36"/>
      <c r="G149" s="36"/>
      <c r="H149" s="23"/>
      <c r="I149" s="36"/>
      <c r="J149" s="36"/>
      <c r="K149" s="23"/>
      <c r="L149" s="36"/>
      <c r="M149" s="36"/>
      <c r="N149" s="23"/>
      <c r="O149" s="36"/>
      <c r="P149" s="36"/>
      <c r="Q149" s="36"/>
      <c r="R149" s="36"/>
      <c r="S149" s="36"/>
      <c r="T149" s="36"/>
      <c r="U149" s="36"/>
      <c r="V149" s="36"/>
      <c r="W149" s="23"/>
      <c r="X149" s="36"/>
      <c r="Y149" s="36"/>
      <c r="Z149" s="23"/>
      <c r="AA149" s="36"/>
      <c r="AB149" s="36"/>
      <c r="AC149" s="23"/>
      <c r="AD149" s="36"/>
      <c r="AE149" s="36"/>
      <c r="AF149" s="23"/>
    </row>
    <row r="150" spans="1:32" x14ac:dyDescent="0.25">
      <c r="A150" s="23"/>
      <c r="B150" s="23"/>
      <c r="C150" s="36"/>
      <c r="D150" s="36"/>
      <c r="E150" s="23"/>
      <c r="F150" s="36"/>
      <c r="G150" s="36"/>
      <c r="H150" s="23"/>
      <c r="I150" s="36"/>
      <c r="J150" s="36"/>
      <c r="K150" s="23"/>
      <c r="L150" s="36"/>
      <c r="M150" s="36"/>
      <c r="N150" s="23"/>
      <c r="O150" s="36"/>
      <c r="P150" s="36"/>
      <c r="Q150" s="36"/>
      <c r="R150" s="36"/>
      <c r="S150" s="36"/>
      <c r="T150" s="36"/>
      <c r="U150" s="36"/>
      <c r="V150" s="36"/>
      <c r="W150" s="23"/>
      <c r="X150" s="36"/>
      <c r="Y150" s="36"/>
      <c r="Z150" s="23"/>
      <c r="AA150" s="36"/>
      <c r="AB150" s="36"/>
      <c r="AC150" s="23"/>
      <c r="AD150" s="36"/>
      <c r="AE150" s="36"/>
      <c r="AF150" s="23"/>
    </row>
    <row r="151" spans="1:32" x14ac:dyDescent="0.25">
      <c r="A151" s="23"/>
      <c r="B151" s="23"/>
      <c r="C151" s="36"/>
      <c r="D151" s="36"/>
      <c r="E151" s="23"/>
      <c r="F151" s="36"/>
      <c r="G151" s="36"/>
      <c r="H151" s="23"/>
      <c r="I151" s="36"/>
      <c r="J151" s="36"/>
      <c r="K151" s="23"/>
      <c r="L151" s="36"/>
      <c r="M151" s="36"/>
      <c r="N151" s="23"/>
      <c r="O151" s="36"/>
      <c r="P151" s="36"/>
      <c r="Q151" s="36"/>
      <c r="R151" s="36"/>
      <c r="S151" s="36"/>
      <c r="T151" s="36"/>
      <c r="U151" s="36"/>
      <c r="V151" s="36"/>
      <c r="W151" s="23"/>
      <c r="X151" s="36"/>
      <c r="Y151" s="36"/>
      <c r="Z151" s="23"/>
      <c r="AA151" s="36"/>
      <c r="AB151" s="36"/>
      <c r="AC151" s="23"/>
      <c r="AD151" s="36"/>
      <c r="AE151" s="36"/>
      <c r="AF151" s="23"/>
    </row>
    <row r="152" spans="1:32" x14ac:dyDescent="0.25">
      <c r="A152" s="23"/>
      <c r="B152" s="23"/>
      <c r="C152" s="36"/>
      <c r="D152" s="36"/>
      <c r="E152" s="23"/>
      <c r="F152" s="36"/>
      <c r="G152" s="36"/>
      <c r="H152" s="23"/>
      <c r="I152" s="36"/>
      <c r="J152" s="36"/>
      <c r="K152" s="23"/>
      <c r="L152" s="36"/>
      <c r="M152" s="36"/>
      <c r="N152" s="23"/>
      <c r="O152" s="36"/>
      <c r="P152" s="36"/>
      <c r="Q152" s="36"/>
      <c r="R152" s="36"/>
      <c r="S152" s="36"/>
      <c r="T152" s="36"/>
      <c r="U152" s="36"/>
      <c r="V152" s="36"/>
      <c r="W152" s="23"/>
      <c r="X152" s="36"/>
      <c r="Y152" s="36"/>
      <c r="Z152" s="23"/>
      <c r="AA152" s="36"/>
      <c r="AB152" s="36"/>
      <c r="AC152" s="23"/>
      <c r="AD152" s="36"/>
      <c r="AE152" s="36"/>
      <c r="AF152" s="23"/>
    </row>
    <row r="153" spans="1:32" x14ac:dyDescent="0.25">
      <c r="A153" s="23"/>
      <c r="B153" s="23"/>
      <c r="C153" s="36"/>
      <c r="D153" s="36"/>
      <c r="E153" s="23"/>
      <c r="F153" s="36"/>
      <c r="G153" s="36"/>
      <c r="H153" s="23"/>
      <c r="I153" s="36"/>
      <c r="J153" s="36"/>
      <c r="K153" s="23"/>
      <c r="L153" s="36"/>
      <c r="M153" s="36"/>
      <c r="N153" s="23"/>
      <c r="O153" s="36"/>
      <c r="P153" s="36"/>
      <c r="Q153" s="36"/>
      <c r="R153" s="36"/>
      <c r="S153" s="36"/>
      <c r="T153" s="36"/>
      <c r="U153" s="36"/>
      <c r="V153" s="36"/>
      <c r="W153" s="23"/>
      <c r="X153" s="36"/>
      <c r="Y153" s="36"/>
      <c r="Z153" s="23"/>
      <c r="AA153" s="36"/>
      <c r="AB153" s="36"/>
      <c r="AC153" s="23"/>
      <c r="AD153" s="36"/>
      <c r="AE153" s="36"/>
      <c r="AF153" s="23"/>
    </row>
    <row r="154" spans="1:32" x14ac:dyDescent="0.25">
      <c r="A154" s="23"/>
      <c r="B154" s="23"/>
      <c r="C154" s="36"/>
      <c r="D154" s="36"/>
      <c r="E154" s="23"/>
      <c r="F154" s="36"/>
      <c r="G154" s="36"/>
      <c r="H154" s="23"/>
      <c r="I154" s="36"/>
      <c r="J154" s="36"/>
      <c r="K154" s="23"/>
      <c r="L154" s="36"/>
      <c r="M154" s="36"/>
      <c r="N154" s="23"/>
      <c r="O154" s="36"/>
      <c r="P154" s="36"/>
      <c r="Q154" s="36"/>
      <c r="R154" s="36"/>
      <c r="S154" s="36"/>
      <c r="T154" s="36"/>
      <c r="U154" s="36"/>
      <c r="V154" s="36"/>
      <c r="W154" s="23"/>
      <c r="X154" s="36"/>
      <c r="Y154" s="36"/>
      <c r="Z154" s="23"/>
      <c r="AA154" s="36"/>
      <c r="AB154" s="36"/>
      <c r="AC154" s="23"/>
      <c r="AD154" s="36"/>
      <c r="AE154" s="36"/>
      <c r="AF154" s="23"/>
    </row>
    <row r="155" spans="1:32" x14ac:dyDescent="0.25">
      <c r="A155" s="23"/>
      <c r="B155" s="23"/>
      <c r="C155" s="36"/>
      <c r="D155" s="36"/>
      <c r="E155" s="23"/>
      <c r="F155" s="36"/>
      <c r="G155" s="36"/>
      <c r="H155" s="23"/>
      <c r="I155" s="36"/>
      <c r="J155" s="36"/>
      <c r="K155" s="23"/>
      <c r="L155" s="36"/>
      <c r="M155" s="36"/>
      <c r="N155" s="23"/>
      <c r="O155" s="36"/>
      <c r="P155" s="36"/>
      <c r="Q155" s="36"/>
      <c r="R155" s="36"/>
      <c r="S155" s="36"/>
      <c r="T155" s="36"/>
      <c r="U155" s="36"/>
      <c r="V155" s="36"/>
      <c r="W155" s="23"/>
      <c r="X155" s="36"/>
      <c r="Y155" s="36"/>
      <c r="Z155" s="23"/>
      <c r="AA155" s="36"/>
      <c r="AB155" s="36"/>
      <c r="AC155" s="23"/>
      <c r="AD155" s="36"/>
      <c r="AE155" s="36"/>
      <c r="AF155" s="23"/>
    </row>
    <row r="156" spans="1:32" x14ac:dyDescent="0.25">
      <c r="A156" s="23"/>
      <c r="B156" s="23"/>
      <c r="C156" s="36"/>
      <c r="D156" s="36"/>
      <c r="E156" s="23"/>
      <c r="F156" s="36"/>
      <c r="G156" s="36"/>
      <c r="H156" s="23"/>
      <c r="I156" s="36"/>
      <c r="J156" s="36"/>
      <c r="K156" s="23"/>
      <c r="L156" s="36"/>
      <c r="M156" s="36"/>
      <c r="N156" s="23"/>
      <c r="O156" s="36"/>
      <c r="P156" s="36"/>
      <c r="Q156" s="36"/>
      <c r="R156" s="36"/>
      <c r="S156" s="36"/>
      <c r="T156" s="36"/>
      <c r="U156" s="36"/>
      <c r="V156" s="36"/>
      <c r="W156" s="23"/>
      <c r="X156" s="36"/>
      <c r="Y156" s="36"/>
      <c r="Z156" s="23"/>
      <c r="AA156" s="36"/>
      <c r="AB156" s="36"/>
      <c r="AC156" s="23"/>
      <c r="AD156" s="36"/>
      <c r="AE156" s="36"/>
      <c r="AF156" s="23"/>
    </row>
    <row r="157" spans="1:32" x14ac:dyDescent="0.25">
      <c r="A157" s="23"/>
      <c r="B157" s="23"/>
      <c r="C157" s="36"/>
      <c r="D157" s="36"/>
      <c r="E157" s="23"/>
      <c r="F157" s="36"/>
      <c r="G157" s="36"/>
      <c r="H157" s="23"/>
      <c r="I157" s="36"/>
      <c r="J157" s="36"/>
      <c r="K157" s="23"/>
      <c r="L157" s="36"/>
      <c r="M157" s="36"/>
      <c r="N157" s="23"/>
      <c r="O157" s="36"/>
      <c r="P157" s="36"/>
      <c r="Q157" s="36"/>
      <c r="R157" s="36"/>
      <c r="S157" s="36"/>
      <c r="T157" s="36"/>
      <c r="U157" s="36"/>
      <c r="V157" s="36"/>
      <c r="W157" s="23"/>
      <c r="X157" s="36"/>
      <c r="Y157" s="36"/>
      <c r="Z157" s="23"/>
      <c r="AA157" s="36"/>
      <c r="AB157" s="36"/>
      <c r="AC157" s="23"/>
      <c r="AD157" s="36"/>
      <c r="AE157" s="36"/>
      <c r="AF157" s="23"/>
    </row>
    <row r="158" spans="1:32" x14ac:dyDescent="0.25">
      <c r="A158" s="23"/>
      <c r="B158" s="23"/>
      <c r="C158" s="36"/>
      <c r="D158" s="36"/>
      <c r="E158" s="23"/>
      <c r="F158" s="36"/>
      <c r="G158" s="36"/>
      <c r="H158" s="23"/>
      <c r="I158" s="36"/>
      <c r="J158" s="36"/>
      <c r="K158" s="23"/>
      <c r="L158" s="36"/>
      <c r="M158" s="36"/>
      <c r="N158" s="23"/>
      <c r="O158" s="36"/>
      <c r="P158" s="36"/>
      <c r="Q158" s="36"/>
      <c r="R158" s="36"/>
      <c r="S158" s="36"/>
      <c r="T158" s="36"/>
      <c r="U158" s="36"/>
      <c r="V158" s="36"/>
      <c r="W158" s="23"/>
      <c r="X158" s="36"/>
      <c r="Y158" s="36"/>
      <c r="Z158" s="23"/>
      <c r="AA158" s="36"/>
      <c r="AB158" s="36"/>
      <c r="AC158" s="23"/>
      <c r="AD158" s="36"/>
      <c r="AE158" s="36"/>
      <c r="AF158" s="23"/>
    </row>
    <row r="159" spans="1:32" x14ac:dyDescent="0.25">
      <c r="A159" s="23"/>
      <c r="B159" s="23"/>
      <c r="C159" s="36"/>
      <c r="D159" s="36"/>
      <c r="E159" s="23"/>
      <c r="F159" s="36"/>
      <c r="G159" s="36"/>
      <c r="H159" s="23"/>
      <c r="I159" s="36"/>
      <c r="J159" s="36"/>
      <c r="K159" s="23"/>
      <c r="L159" s="36"/>
      <c r="M159" s="36"/>
      <c r="N159" s="23"/>
      <c r="O159" s="36"/>
      <c r="P159" s="36"/>
      <c r="Q159" s="36"/>
      <c r="R159" s="36"/>
      <c r="S159" s="36"/>
      <c r="T159" s="36"/>
      <c r="U159" s="36"/>
      <c r="V159" s="36"/>
      <c r="W159" s="23"/>
      <c r="X159" s="36"/>
      <c r="Y159" s="36"/>
      <c r="Z159" s="23"/>
      <c r="AA159" s="36"/>
      <c r="AB159" s="36"/>
      <c r="AC159" s="23"/>
      <c r="AD159" s="36"/>
      <c r="AE159" s="36"/>
      <c r="AF159" s="23"/>
    </row>
    <row r="160" spans="1:32" x14ac:dyDescent="0.25">
      <c r="A160" s="23"/>
      <c r="B160" s="23"/>
      <c r="C160" s="36"/>
      <c r="D160" s="36"/>
      <c r="E160" s="23"/>
      <c r="F160" s="36"/>
      <c r="G160" s="36"/>
      <c r="H160" s="23"/>
      <c r="I160" s="36"/>
      <c r="J160" s="36"/>
      <c r="K160" s="23"/>
      <c r="L160" s="36"/>
      <c r="M160" s="36"/>
      <c r="N160" s="23"/>
      <c r="O160" s="36"/>
      <c r="P160" s="36"/>
      <c r="Q160" s="36"/>
      <c r="R160" s="36"/>
      <c r="S160" s="36"/>
      <c r="T160" s="36"/>
      <c r="U160" s="36"/>
      <c r="V160" s="36"/>
      <c r="W160" s="23"/>
      <c r="X160" s="36"/>
      <c r="Y160" s="36"/>
      <c r="Z160" s="23"/>
      <c r="AA160" s="36"/>
      <c r="AB160" s="36"/>
      <c r="AC160" s="23"/>
      <c r="AD160" s="36"/>
      <c r="AE160" s="36"/>
      <c r="AF160" s="23"/>
    </row>
    <row r="161" spans="1:32" x14ac:dyDescent="0.25">
      <c r="A161" s="23"/>
      <c r="B161" s="23"/>
      <c r="C161" s="36"/>
      <c r="D161" s="36"/>
      <c r="E161" s="23"/>
      <c r="F161" s="36"/>
      <c r="G161" s="36"/>
      <c r="H161" s="23"/>
      <c r="I161" s="36"/>
      <c r="J161" s="36"/>
      <c r="K161" s="23"/>
      <c r="L161" s="36"/>
      <c r="M161" s="36"/>
      <c r="N161" s="23"/>
      <c r="O161" s="36"/>
      <c r="P161" s="36"/>
      <c r="Q161" s="36"/>
      <c r="R161" s="36"/>
      <c r="S161" s="36"/>
      <c r="T161" s="36"/>
      <c r="U161" s="36"/>
      <c r="V161" s="36"/>
      <c r="W161" s="23"/>
      <c r="X161" s="36"/>
      <c r="Y161" s="36"/>
      <c r="Z161" s="23"/>
      <c r="AA161" s="36"/>
      <c r="AB161" s="36"/>
      <c r="AC161" s="23"/>
      <c r="AD161" s="36"/>
      <c r="AE161" s="36"/>
      <c r="AF161" s="23"/>
    </row>
    <row r="162" spans="1:32" x14ac:dyDescent="0.25">
      <c r="A162" s="23"/>
      <c r="B162" s="23"/>
      <c r="C162" s="36"/>
      <c r="D162" s="36"/>
      <c r="E162" s="23"/>
      <c r="F162" s="36"/>
      <c r="G162" s="36"/>
      <c r="H162" s="23"/>
      <c r="I162" s="36"/>
      <c r="J162" s="36"/>
      <c r="K162" s="23"/>
      <c r="L162" s="36"/>
      <c r="M162" s="36"/>
      <c r="N162" s="23"/>
      <c r="O162" s="36"/>
      <c r="P162" s="36"/>
      <c r="Q162" s="36"/>
      <c r="R162" s="36"/>
      <c r="S162" s="36"/>
      <c r="T162" s="36"/>
      <c r="U162" s="36"/>
      <c r="V162" s="36"/>
      <c r="W162" s="23"/>
      <c r="X162" s="36"/>
      <c r="Y162" s="36"/>
      <c r="Z162" s="23"/>
      <c r="AA162" s="36"/>
      <c r="AB162" s="36"/>
      <c r="AC162" s="23"/>
      <c r="AD162" s="36"/>
      <c r="AE162" s="36"/>
      <c r="AF162" s="23"/>
    </row>
    <row r="163" spans="1:32" x14ac:dyDescent="0.25">
      <c r="A163" s="23"/>
      <c r="B163" s="23"/>
      <c r="C163" s="36"/>
      <c r="D163" s="36"/>
      <c r="E163" s="23"/>
      <c r="F163" s="36"/>
      <c r="G163" s="36"/>
      <c r="H163" s="23"/>
      <c r="I163" s="36"/>
      <c r="J163" s="36"/>
      <c r="K163" s="23"/>
      <c r="L163" s="36"/>
      <c r="M163" s="36"/>
      <c r="N163" s="23"/>
      <c r="O163" s="36"/>
      <c r="P163" s="36"/>
      <c r="Q163" s="36"/>
      <c r="R163" s="36"/>
      <c r="S163" s="36"/>
      <c r="T163" s="36"/>
      <c r="U163" s="36"/>
      <c r="V163" s="36"/>
      <c r="W163" s="23"/>
      <c r="X163" s="36"/>
      <c r="Y163" s="36"/>
      <c r="Z163" s="23"/>
      <c r="AA163" s="36"/>
      <c r="AB163" s="36"/>
      <c r="AC163" s="23"/>
      <c r="AD163" s="36"/>
      <c r="AE163" s="36"/>
      <c r="AF163" s="23"/>
    </row>
    <row r="164" spans="1:32" x14ac:dyDescent="0.25">
      <c r="A164" s="23"/>
      <c r="B164" s="23"/>
      <c r="C164" s="36"/>
      <c r="D164" s="36"/>
      <c r="E164" s="23"/>
      <c r="F164" s="36"/>
      <c r="G164" s="36"/>
      <c r="H164" s="23"/>
      <c r="I164" s="36"/>
      <c r="J164" s="36"/>
      <c r="K164" s="23"/>
      <c r="L164" s="36"/>
      <c r="M164" s="36"/>
      <c r="N164" s="23"/>
      <c r="O164" s="36"/>
      <c r="P164" s="36"/>
      <c r="Q164" s="36"/>
      <c r="R164" s="36"/>
      <c r="S164" s="36"/>
      <c r="T164" s="36"/>
      <c r="U164" s="36"/>
      <c r="V164" s="36"/>
      <c r="W164" s="23"/>
      <c r="X164" s="36"/>
      <c r="Y164" s="36"/>
      <c r="Z164" s="23"/>
      <c r="AA164" s="36"/>
      <c r="AB164" s="36"/>
      <c r="AC164" s="23"/>
      <c r="AD164" s="36"/>
      <c r="AE164" s="36"/>
      <c r="AF164" s="23"/>
    </row>
    <row r="165" spans="1:32" x14ac:dyDescent="0.25">
      <c r="A165" s="23"/>
      <c r="B165" s="23"/>
      <c r="C165" s="36"/>
      <c r="D165" s="36"/>
      <c r="E165" s="23"/>
      <c r="F165" s="36"/>
      <c r="G165" s="36"/>
      <c r="H165" s="23"/>
      <c r="I165" s="36"/>
      <c r="J165" s="36"/>
      <c r="K165" s="23"/>
      <c r="L165" s="36"/>
      <c r="M165" s="36"/>
      <c r="N165" s="23"/>
      <c r="O165" s="36"/>
      <c r="P165" s="36"/>
      <c r="Q165" s="36"/>
      <c r="R165" s="36"/>
      <c r="S165" s="36"/>
      <c r="T165" s="36"/>
      <c r="U165" s="36"/>
      <c r="V165" s="36"/>
      <c r="W165" s="23"/>
      <c r="X165" s="36"/>
      <c r="Y165" s="36"/>
      <c r="Z165" s="23"/>
      <c r="AA165" s="36"/>
      <c r="AB165" s="36"/>
      <c r="AC165" s="23"/>
      <c r="AD165" s="36"/>
      <c r="AE165" s="36"/>
      <c r="AF165" s="23"/>
    </row>
    <row r="166" spans="1:32" x14ac:dyDescent="0.25">
      <c r="A166" s="23"/>
      <c r="B166" s="23"/>
      <c r="C166" s="36"/>
      <c r="D166" s="36"/>
      <c r="E166" s="23"/>
      <c r="F166" s="36"/>
      <c r="G166" s="36"/>
      <c r="H166" s="23"/>
      <c r="I166" s="36"/>
      <c r="J166" s="36"/>
      <c r="K166" s="23"/>
      <c r="L166" s="36"/>
      <c r="M166" s="36"/>
      <c r="N166" s="23"/>
      <c r="O166" s="36"/>
      <c r="P166" s="36"/>
      <c r="Q166" s="36"/>
      <c r="R166" s="36"/>
      <c r="S166" s="36"/>
      <c r="T166" s="36"/>
      <c r="U166" s="36"/>
      <c r="V166" s="36"/>
      <c r="W166" s="23"/>
      <c r="X166" s="36"/>
      <c r="Y166" s="36"/>
      <c r="Z166" s="23"/>
      <c r="AA166" s="36"/>
      <c r="AB166" s="36"/>
      <c r="AC166" s="23"/>
      <c r="AD166" s="36"/>
      <c r="AE166" s="36"/>
      <c r="AF166" s="23"/>
    </row>
    <row r="167" spans="1:32" x14ac:dyDescent="0.25">
      <c r="A167" s="23"/>
      <c r="B167" s="23"/>
      <c r="C167" s="36"/>
      <c r="D167" s="36"/>
      <c r="E167" s="23"/>
      <c r="F167" s="36"/>
      <c r="G167" s="36"/>
      <c r="H167" s="23"/>
      <c r="I167" s="36"/>
      <c r="J167" s="36"/>
      <c r="K167" s="23"/>
      <c r="L167" s="36"/>
      <c r="M167" s="36"/>
      <c r="N167" s="23"/>
      <c r="O167" s="36"/>
      <c r="P167" s="36"/>
      <c r="Q167" s="36"/>
      <c r="R167" s="36"/>
      <c r="S167" s="36"/>
      <c r="T167" s="36"/>
      <c r="U167" s="36"/>
      <c r="V167" s="36"/>
      <c r="W167" s="23"/>
      <c r="X167" s="36"/>
      <c r="Y167" s="36"/>
      <c r="Z167" s="23"/>
      <c r="AA167" s="36"/>
      <c r="AB167" s="36"/>
      <c r="AC167" s="23"/>
      <c r="AD167" s="36"/>
      <c r="AE167" s="36"/>
      <c r="AF167" s="23"/>
    </row>
    <row r="168" spans="1:32" x14ac:dyDescent="0.25">
      <c r="A168" s="23"/>
      <c r="B168" s="23"/>
      <c r="C168" s="36"/>
      <c r="D168" s="36"/>
      <c r="E168" s="23"/>
      <c r="F168" s="36"/>
      <c r="G168" s="36"/>
      <c r="H168" s="23"/>
      <c r="I168" s="36"/>
      <c r="J168" s="36"/>
      <c r="K168" s="23"/>
      <c r="L168" s="36"/>
      <c r="M168" s="36"/>
      <c r="N168" s="23"/>
      <c r="O168" s="36"/>
      <c r="P168" s="36"/>
      <c r="Q168" s="36"/>
      <c r="R168" s="36"/>
      <c r="S168" s="36"/>
      <c r="T168" s="36"/>
      <c r="U168" s="36"/>
      <c r="V168" s="36"/>
      <c r="W168" s="23"/>
      <c r="X168" s="36"/>
      <c r="Y168" s="36"/>
      <c r="Z168" s="23"/>
      <c r="AA168" s="36"/>
      <c r="AB168" s="36"/>
      <c r="AC168" s="23"/>
      <c r="AD168" s="36"/>
      <c r="AE168" s="36"/>
      <c r="AF168" s="23"/>
    </row>
    <row r="169" spans="1:32" x14ac:dyDescent="0.25">
      <c r="A169" s="23"/>
      <c r="B169" s="23"/>
      <c r="C169" s="36"/>
      <c r="D169" s="36"/>
      <c r="E169" s="23"/>
      <c r="F169" s="36"/>
      <c r="G169" s="36"/>
      <c r="H169" s="23"/>
      <c r="I169" s="36"/>
      <c r="J169" s="36"/>
      <c r="K169" s="23"/>
      <c r="L169" s="36"/>
      <c r="M169" s="36"/>
      <c r="N169" s="23"/>
      <c r="O169" s="36"/>
      <c r="P169" s="36"/>
      <c r="Q169" s="36"/>
      <c r="R169" s="36"/>
      <c r="S169" s="36"/>
      <c r="T169" s="36"/>
      <c r="U169" s="36"/>
      <c r="V169" s="36"/>
      <c r="W169" s="23"/>
      <c r="X169" s="36"/>
      <c r="Y169" s="36"/>
      <c r="Z169" s="23"/>
      <c r="AA169" s="36"/>
      <c r="AB169" s="36"/>
      <c r="AC169" s="23"/>
      <c r="AD169" s="36"/>
      <c r="AE169" s="36"/>
      <c r="AF169" s="23"/>
    </row>
    <row r="170" spans="1:32" x14ac:dyDescent="0.25">
      <c r="A170" s="23"/>
      <c r="B170" s="23"/>
      <c r="C170" s="36"/>
      <c r="D170" s="36"/>
      <c r="E170" s="23"/>
      <c r="F170" s="36"/>
      <c r="G170" s="36"/>
      <c r="H170" s="23"/>
      <c r="I170" s="36"/>
      <c r="J170" s="36"/>
      <c r="K170" s="23"/>
      <c r="L170" s="36"/>
      <c r="M170" s="36"/>
      <c r="N170" s="23"/>
      <c r="O170" s="36"/>
      <c r="P170" s="36"/>
      <c r="Q170" s="36"/>
      <c r="R170" s="36"/>
      <c r="S170" s="36"/>
      <c r="T170" s="36"/>
      <c r="U170" s="36"/>
      <c r="V170" s="36"/>
      <c r="W170" s="23"/>
      <c r="X170" s="36"/>
      <c r="Y170" s="36"/>
      <c r="Z170" s="23"/>
      <c r="AA170" s="36"/>
      <c r="AB170" s="36"/>
      <c r="AC170" s="23"/>
      <c r="AD170" s="36"/>
      <c r="AE170" s="36"/>
      <c r="AF170" s="23"/>
    </row>
    <row r="171" spans="1:32" x14ac:dyDescent="0.25">
      <c r="A171" s="23"/>
      <c r="B171" s="23"/>
      <c r="C171" s="36"/>
      <c r="D171" s="36"/>
      <c r="E171" s="23"/>
      <c r="F171" s="36"/>
      <c r="G171" s="36"/>
      <c r="H171" s="23"/>
      <c r="I171" s="36"/>
      <c r="J171" s="36"/>
      <c r="K171" s="23"/>
      <c r="L171" s="36"/>
      <c r="M171" s="36"/>
      <c r="N171" s="23"/>
      <c r="O171" s="36"/>
      <c r="P171" s="36"/>
      <c r="Q171" s="36"/>
      <c r="R171" s="36"/>
      <c r="S171" s="36"/>
      <c r="T171" s="36"/>
      <c r="U171" s="36"/>
      <c r="V171" s="36"/>
      <c r="W171" s="23"/>
      <c r="X171" s="36"/>
      <c r="Y171" s="36"/>
      <c r="Z171" s="23"/>
      <c r="AA171" s="36"/>
      <c r="AB171" s="36"/>
      <c r="AC171" s="23"/>
      <c r="AD171" s="36"/>
      <c r="AE171" s="36"/>
      <c r="AF171" s="23"/>
    </row>
    <row r="172" spans="1:32" x14ac:dyDescent="0.25">
      <c r="A172" s="23"/>
      <c r="B172" s="23"/>
      <c r="C172" s="36"/>
      <c r="D172" s="36"/>
      <c r="E172" s="23"/>
      <c r="F172" s="36"/>
      <c r="G172" s="36"/>
      <c r="H172" s="23"/>
      <c r="I172" s="36"/>
      <c r="J172" s="36"/>
      <c r="K172" s="23"/>
      <c r="L172" s="36"/>
      <c r="M172" s="36"/>
      <c r="N172" s="23"/>
      <c r="O172" s="36"/>
      <c r="P172" s="36"/>
      <c r="Q172" s="36"/>
      <c r="R172" s="36"/>
      <c r="S172" s="36"/>
      <c r="T172" s="36"/>
      <c r="U172" s="36"/>
      <c r="V172" s="36"/>
      <c r="W172" s="23"/>
      <c r="X172" s="36"/>
      <c r="Y172" s="36"/>
      <c r="Z172" s="23"/>
      <c r="AA172" s="36"/>
      <c r="AB172" s="36"/>
      <c r="AC172" s="23"/>
      <c r="AD172" s="36"/>
      <c r="AE172" s="36"/>
      <c r="AF172" s="23"/>
    </row>
    <row r="173" spans="1:32" x14ac:dyDescent="0.25">
      <c r="A173" s="23"/>
      <c r="B173" s="23"/>
      <c r="C173" s="36"/>
      <c r="D173" s="36"/>
      <c r="E173" s="23"/>
      <c r="F173" s="36"/>
      <c r="G173" s="36"/>
      <c r="H173" s="23"/>
      <c r="I173" s="36"/>
      <c r="J173" s="36"/>
      <c r="K173" s="23"/>
      <c r="L173" s="36"/>
      <c r="M173" s="36"/>
      <c r="N173" s="23"/>
      <c r="O173" s="36"/>
      <c r="P173" s="36"/>
      <c r="Q173" s="36"/>
      <c r="R173" s="36"/>
      <c r="S173" s="36"/>
      <c r="T173" s="36"/>
      <c r="U173" s="36"/>
      <c r="V173" s="36"/>
      <c r="W173" s="23"/>
      <c r="X173" s="36"/>
      <c r="Y173" s="36"/>
      <c r="Z173" s="23"/>
      <c r="AA173" s="36"/>
      <c r="AB173" s="36"/>
      <c r="AC173" s="23"/>
      <c r="AD173" s="36"/>
      <c r="AE173" s="36"/>
      <c r="AF173" s="23"/>
    </row>
    <row r="174" spans="1:32" x14ac:dyDescent="0.25">
      <c r="A174" s="23"/>
      <c r="B174" s="23"/>
      <c r="C174" s="36"/>
      <c r="D174" s="36"/>
      <c r="E174" s="23"/>
      <c r="F174" s="36"/>
      <c r="G174" s="36"/>
      <c r="H174" s="23"/>
      <c r="I174" s="36"/>
      <c r="J174" s="36"/>
      <c r="K174" s="23"/>
      <c r="L174" s="36"/>
      <c r="M174" s="36"/>
      <c r="N174" s="23"/>
      <c r="O174" s="36"/>
      <c r="P174" s="36"/>
      <c r="Q174" s="36"/>
      <c r="R174" s="36"/>
      <c r="S174" s="36"/>
      <c r="T174" s="36"/>
      <c r="U174" s="36"/>
      <c r="V174" s="36"/>
      <c r="W174" s="23"/>
      <c r="X174" s="36"/>
      <c r="Y174" s="36"/>
      <c r="Z174" s="23"/>
      <c r="AA174" s="36"/>
      <c r="AB174" s="36"/>
      <c r="AC174" s="23"/>
      <c r="AD174" s="36"/>
      <c r="AE174" s="36"/>
      <c r="AF174" s="23"/>
    </row>
    <row r="175" spans="1:32" x14ac:dyDescent="0.25">
      <c r="A175" s="23"/>
      <c r="B175" s="23"/>
      <c r="C175" s="36"/>
      <c r="D175" s="36"/>
      <c r="E175" s="23"/>
      <c r="F175" s="36"/>
      <c r="G175" s="36"/>
      <c r="H175" s="23"/>
      <c r="I175" s="36"/>
      <c r="J175" s="36"/>
      <c r="K175" s="23"/>
      <c r="L175" s="36"/>
      <c r="M175" s="36"/>
      <c r="N175" s="23"/>
      <c r="O175" s="36"/>
      <c r="P175" s="36"/>
      <c r="Q175" s="36"/>
      <c r="R175" s="36"/>
      <c r="S175" s="36"/>
      <c r="T175" s="36"/>
      <c r="U175" s="36"/>
      <c r="V175" s="36"/>
      <c r="W175" s="23"/>
      <c r="X175" s="36"/>
      <c r="Y175" s="36"/>
      <c r="Z175" s="23"/>
      <c r="AA175" s="36"/>
      <c r="AB175" s="36"/>
      <c r="AC175" s="23"/>
      <c r="AD175" s="36"/>
      <c r="AE175" s="36"/>
      <c r="AF175" s="23"/>
    </row>
    <row r="176" spans="1:32" x14ac:dyDescent="0.25">
      <c r="A176" s="23"/>
      <c r="B176" s="23"/>
      <c r="C176" s="36"/>
      <c r="D176" s="36"/>
      <c r="E176" s="23"/>
      <c r="F176" s="36"/>
      <c r="G176" s="36"/>
      <c r="H176" s="23"/>
      <c r="I176" s="36"/>
      <c r="J176" s="36"/>
      <c r="K176" s="23"/>
      <c r="L176" s="36"/>
      <c r="M176" s="36"/>
      <c r="N176" s="23"/>
      <c r="O176" s="36"/>
      <c r="P176" s="36"/>
      <c r="Q176" s="36"/>
      <c r="R176" s="36"/>
      <c r="S176" s="36"/>
      <c r="T176" s="36"/>
      <c r="U176" s="36"/>
      <c r="V176" s="36"/>
      <c r="W176" s="23"/>
      <c r="X176" s="36"/>
      <c r="Y176" s="36"/>
      <c r="Z176" s="23"/>
      <c r="AA176" s="36"/>
      <c r="AB176" s="36"/>
      <c r="AC176" s="23"/>
      <c r="AD176" s="36"/>
      <c r="AE176" s="36"/>
      <c r="AF176" s="23"/>
    </row>
    <row r="177" spans="1:32" x14ac:dyDescent="0.25">
      <c r="A177" s="23"/>
      <c r="B177" s="23"/>
      <c r="C177" s="36"/>
      <c r="D177" s="36"/>
      <c r="E177" s="23"/>
      <c r="F177" s="36"/>
      <c r="G177" s="36"/>
      <c r="H177" s="23"/>
      <c r="I177" s="36"/>
      <c r="J177" s="36"/>
      <c r="K177" s="23"/>
      <c r="L177" s="36"/>
      <c r="M177" s="36"/>
      <c r="N177" s="23"/>
      <c r="O177" s="36"/>
      <c r="P177" s="36"/>
      <c r="Q177" s="36"/>
      <c r="R177" s="36"/>
      <c r="S177" s="36"/>
      <c r="T177" s="36"/>
      <c r="U177" s="36"/>
      <c r="V177" s="36"/>
      <c r="W177" s="23"/>
      <c r="X177" s="36"/>
      <c r="Y177" s="36"/>
      <c r="Z177" s="23"/>
      <c r="AA177" s="36"/>
      <c r="AB177" s="36"/>
      <c r="AC177" s="23"/>
      <c r="AD177" s="36"/>
      <c r="AE177" s="36"/>
      <c r="AF177" s="23"/>
    </row>
    <row r="178" spans="1:32" x14ac:dyDescent="0.25">
      <c r="A178" s="23"/>
      <c r="B178" s="23"/>
      <c r="C178" s="36"/>
      <c r="D178" s="36"/>
      <c r="E178" s="23"/>
      <c r="F178" s="36"/>
      <c r="G178" s="36"/>
      <c r="H178" s="23"/>
      <c r="I178" s="36"/>
      <c r="J178" s="36"/>
      <c r="K178" s="23"/>
      <c r="L178" s="36"/>
      <c r="M178" s="36"/>
      <c r="N178" s="23"/>
      <c r="O178" s="36"/>
      <c r="P178" s="36"/>
      <c r="Q178" s="36"/>
      <c r="R178" s="36"/>
      <c r="S178" s="36"/>
      <c r="T178" s="36"/>
      <c r="U178" s="36"/>
      <c r="V178" s="36"/>
      <c r="W178" s="23"/>
      <c r="X178" s="36"/>
      <c r="Y178" s="36"/>
      <c r="Z178" s="23"/>
      <c r="AA178" s="36"/>
      <c r="AB178" s="36"/>
      <c r="AC178" s="23"/>
      <c r="AD178" s="36"/>
      <c r="AE178" s="36"/>
      <c r="AF178" s="23"/>
    </row>
    <row r="179" spans="1:32" x14ac:dyDescent="0.25">
      <c r="A179" s="23"/>
      <c r="B179" s="23"/>
      <c r="C179" s="36"/>
      <c r="D179" s="36"/>
      <c r="E179" s="23"/>
      <c r="F179" s="36"/>
      <c r="G179" s="36"/>
      <c r="H179" s="23"/>
      <c r="I179" s="36"/>
      <c r="J179" s="36"/>
      <c r="K179" s="23"/>
      <c r="L179" s="36"/>
      <c r="M179" s="36"/>
      <c r="N179" s="23"/>
      <c r="O179" s="36"/>
      <c r="P179" s="36"/>
      <c r="Q179" s="36"/>
      <c r="R179" s="36"/>
      <c r="S179" s="36"/>
      <c r="T179" s="36"/>
      <c r="U179" s="36"/>
      <c r="V179" s="36"/>
      <c r="W179" s="23"/>
      <c r="X179" s="36"/>
      <c r="Y179" s="36"/>
      <c r="Z179" s="23"/>
      <c r="AA179" s="36"/>
      <c r="AB179" s="36"/>
      <c r="AC179" s="23"/>
      <c r="AD179" s="36"/>
      <c r="AE179" s="36"/>
      <c r="AF179" s="23"/>
    </row>
    <row r="180" spans="1:32" x14ac:dyDescent="0.25">
      <c r="A180" s="23"/>
      <c r="B180" s="23"/>
      <c r="C180" s="36"/>
      <c r="D180" s="36"/>
      <c r="E180" s="23"/>
      <c r="F180" s="36"/>
      <c r="G180" s="36"/>
      <c r="H180" s="23"/>
      <c r="I180" s="36"/>
      <c r="J180" s="36"/>
      <c r="K180" s="23"/>
      <c r="L180" s="36"/>
      <c r="M180" s="36"/>
      <c r="N180" s="23"/>
      <c r="O180" s="36"/>
      <c r="P180" s="36"/>
      <c r="Q180" s="36"/>
      <c r="R180" s="36"/>
      <c r="S180" s="36"/>
      <c r="T180" s="36"/>
      <c r="U180" s="36"/>
      <c r="V180" s="36"/>
      <c r="W180" s="23"/>
      <c r="X180" s="36"/>
      <c r="Y180" s="36"/>
      <c r="Z180" s="23"/>
      <c r="AA180" s="36"/>
      <c r="AB180" s="36"/>
      <c r="AC180" s="23"/>
      <c r="AD180" s="36"/>
      <c r="AE180" s="36"/>
      <c r="AF180" s="23"/>
    </row>
    <row r="181" spans="1:32" x14ac:dyDescent="0.25">
      <c r="A181" s="23"/>
      <c r="B181" s="23"/>
      <c r="C181" s="36"/>
      <c r="D181" s="36"/>
      <c r="E181" s="23"/>
      <c r="F181" s="36"/>
      <c r="G181" s="36"/>
      <c r="H181" s="23"/>
      <c r="I181" s="36"/>
      <c r="J181" s="36"/>
      <c r="K181" s="23"/>
      <c r="L181" s="36"/>
      <c r="M181" s="36"/>
      <c r="N181" s="23"/>
      <c r="O181" s="36"/>
      <c r="P181" s="36"/>
      <c r="Q181" s="36"/>
      <c r="R181" s="36"/>
      <c r="S181" s="36"/>
      <c r="T181" s="36"/>
      <c r="U181" s="36"/>
      <c r="V181" s="36"/>
      <c r="W181" s="23"/>
      <c r="X181" s="36"/>
      <c r="Y181" s="36"/>
      <c r="Z181" s="23"/>
      <c r="AA181" s="36"/>
      <c r="AB181" s="36"/>
      <c r="AC181" s="23"/>
      <c r="AD181" s="36"/>
      <c r="AE181" s="36"/>
      <c r="AF181" s="23"/>
    </row>
    <row r="182" spans="1:32" x14ac:dyDescent="0.25">
      <c r="A182" s="23"/>
      <c r="B182" s="23"/>
      <c r="C182" s="36"/>
      <c r="D182" s="36"/>
      <c r="E182" s="23"/>
      <c r="F182" s="36"/>
      <c r="G182" s="36"/>
      <c r="H182" s="23"/>
      <c r="I182" s="36"/>
      <c r="J182" s="36"/>
      <c r="K182" s="23"/>
      <c r="L182" s="36"/>
      <c r="M182" s="36"/>
      <c r="N182" s="23"/>
      <c r="O182" s="36"/>
      <c r="P182" s="36"/>
      <c r="Q182" s="36"/>
      <c r="R182" s="36"/>
      <c r="S182" s="36"/>
      <c r="T182" s="36"/>
      <c r="U182" s="36"/>
      <c r="V182" s="36"/>
      <c r="W182" s="23"/>
      <c r="X182" s="36"/>
      <c r="Y182" s="36"/>
      <c r="Z182" s="23"/>
      <c r="AA182" s="36"/>
      <c r="AB182" s="36"/>
      <c r="AC182" s="23"/>
      <c r="AD182" s="36"/>
      <c r="AE182" s="36"/>
      <c r="AF182" s="23"/>
    </row>
    <row r="183" spans="1:32" x14ac:dyDescent="0.25">
      <c r="A183" s="23"/>
      <c r="B183" s="23"/>
      <c r="C183" s="36"/>
      <c r="D183" s="36"/>
      <c r="E183" s="23"/>
      <c r="F183" s="36"/>
      <c r="G183" s="36"/>
      <c r="H183" s="23"/>
      <c r="I183" s="36"/>
      <c r="J183" s="36"/>
      <c r="K183" s="23"/>
      <c r="L183" s="36"/>
      <c r="M183" s="36"/>
      <c r="N183" s="23"/>
      <c r="O183" s="36"/>
      <c r="P183" s="36"/>
      <c r="Q183" s="36"/>
      <c r="R183" s="36"/>
      <c r="S183" s="36"/>
      <c r="T183" s="36"/>
      <c r="U183" s="36"/>
      <c r="V183" s="36"/>
      <c r="W183" s="23"/>
      <c r="X183" s="36"/>
      <c r="Y183" s="36"/>
      <c r="Z183" s="23"/>
      <c r="AA183" s="36"/>
      <c r="AB183" s="36"/>
      <c r="AC183" s="23"/>
      <c r="AD183" s="36"/>
      <c r="AE183" s="36"/>
      <c r="AF183" s="23"/>
    </row>
    <row r="184" spans="1:32" x14ac:dyDescent="0.25">
      <c r="A184" s="23"/>
      <c r="B184" s="23"/>
      <c r="C184" s="36"/>
      <c r="D184" s="36"/>
      <c r="E184" s="23"/>
      <c r="F184" s="36"/>
      <c r="G184" s="36"/>
      <c r="H184" s="23"/>
      <c r="I184" s="36"/>
      <c r="J184" s="36"/>
      <c r="K184" s="23"/>
      <c r="L184" s="36"/>
      <c r="M184" s="36"/>
      <c r="N184" s="23"/>
      <c r="O184" s="36"/>
      <c r="P184" s="36"/>
      <c r="Q184" s="36"/>
      <c r="R184" s="36"/>
      <c r="S184" s="36"/>
      <c r="T184" s="36"/>
      <c r="U184" s="36"/>
      <c r="V184" s="36"/>
      <c r="W184" s="23"/>
      <c r="X184" s="36"/>
      <c r="Y184" s="36"/>
      <c r="Z184" s="23"/>
      <c r="AA184" s="36"/>
      <c r="AB184" s="36"/>
      <c r="AC184" s="23"/>
      <c r="AD184" s="36"/>
      <c r="AE184" s="36"/>
      <c r="AF184" s="23"/>
    </row>
    <row r="185" spans="1:32" x14ac:dyDescent="0.25">
      <c r="A185" s="23"/>
      <c r="B185" s="23"/>
      <c r="C185" s="36"/>
      <c r="D185" s="36"/>
      <c r="E185" s="23"/>
      <c r="F185" s="36"/>
      <c r="G185" s="36"/>
      <c r="H185" s="23"/>
      <c r="I185" s="36"/>
      <c r="J185" s="36"/>
      <c r="K185" s="23"/>
      <c r="L185" s="36"/>
      <c r="M185" s="36"/>
      <c r="N185" s="23"/>
      <c r="O185" s="36"/>
      <c r="P185" s="36"/>
      <c r="Q185" s="36"/>
      <c r="R185" s="36"/>
      <c r="S185" s="36"/>
      <c r="T185" s="36"/>
      <c r="U185" s="36"/>
      <c r="V185" s="36"/>
      <c r="W185" s="23"/>
      <c r="X185" s="36"/>
      <c r="Y185" s="36"/>
      <c r="Z185" s="23"/>
      <c r="AA185" s="36"/>
      <c r="AB185" s="36"/>
      <c r="AC185" s="23"/>
      <c r="AD185" s="36"/>
      <c r="AE185" s="36"/>
      <c r="AF185" s="23"/>
    </row>
    <row r="186" spans="1:32" x14ac:dyDescent="0.25">
      <c r="A186" s="23"/>
      <c r="B186" s="23"/>
      <c r="C186" s="36"/>
      <c r="D186" s="36"/>
      <c r="E186" s="23"/>
      <c r="F186" s="36"/>
      <c r="G186" s="36"/>
      <c r="H186" s="23"/>
      <c r="I186" s="36"/>
      <c r="J186" s="36"/>
      <c r="K186" s="23"/>
      <c r="L186" s="36"/>
      <c r="M186" s="36"/>
      <c r="N186" s="23"/>
      <c r="O186" s="36"/>
      <c r="P186" s="36"/>
      <c r="Q186" s="36"/>
      <c r="R186" s="36"/>
      <c r="S186" s="36"/>
      <c r="T186" s="36"/>
      <c r="U186" s="36"/>
      <c r="V186" s="36"/>
      <c r="W186" s="23"/>
      <c r="X186" s="36"/>
      <c r="Y186" s="36"/>
      <c r="Z186" s="23"/>
      <c r="AA186" s="36"/>
      <c r="AB186" s="36"/>
      <c r="AC186" s="23"/>
      <c r="AD186" s="36"/>
      <c r="AE186" s="36"/>
      <c r="AF186" s="23"/>
    </row>
    <row r="187" spans="1:32" x14ac:dyDescent="0.25">
      <c r="A187" s="23"/>
      <c r="B187" s="23"/>
      <c r="C187" s="36"/>
      <c r="D187" s="36"/>
      <c r="E187" s="23"/>
      <c r="F187" s="36"/>
      <c r="G187" s="36"/>
      <c r="H187" s="23"/>
      <c r="I187" s="36"/>
      <c r="J187" s="36"/>
      <c r="K187" s="23"/>
      <c r="L187" s="36"/>
      <c r="M187" s="36"/>
      <c r="N187" s="23"/>
      <c r="O187" s="36"/>
      <c r="P187" s="36"/>
      <c r="Q187" s="36"/>
      <c r="R187" s="36"/>
      <c r="S187" s="36"/>
      <c r="T187" s="36"/>
      <c r="U187" s="36"/>
      <c r="V187" s="36"/>
      <c r="W187" s="23"/>
      <c r="X187" s="36"/>
      <c r="Y187" s="36"/>
      <c r="Z187" s="23"/>
      <c r="AA187" s="36"/>
      <c r="AB187" s="36"/>
      <c r="AC187" s="23"/>
      <c r="AD187" s="36"/>
      <c r="AE187" s="36"/>
      <c r="AF187" s="23"/>
    </row>
    <row r="188" spans="1:32" x14ac:dyDescent="0.25">
      <c r="A188" s="23"/>
      <c r="B188" s="23"/>
      <c r="C188" s="36"/>
      <c r="D188" s="36"/>
      <c r="E188" s="23"/>
      <c r="F188" s="36"/>
      <c r="G188" s="36"/>
      <c r="H188" s="23"/>
      <c r="I188" s="36"/>
      <c r="J188" s="36"/>
      <c r="K188" s="23"/>
      <c r="L188" s="36"/>
      <c r="M188" s="36"/>
      <c r="N188" s="23"/>
      <c r="O188" s="36"/>
      <c r="P188" s="36"/>
      <c r="Q188" s="36"/>
      <c r="R188" s="36"/>
      <c r="S188" s="36"/>
      <c r="T188" s="36"/>
      <c r="U188" s="36"/>
      <c r="V188" s="36"/>
      <c r="W188" s="23"/>
      <c r="X188" s="36"/>
      <c r="Y188" s="36"/>
      <c r="Z188" s="23"/>
      <c r="AA188" s="36"/>
      <c r="AB188" s="36"/>
      <c r="AC188" s="23"/>
      <c r="AD188" s="36"/>
      <c r="AE188" s="36"/>
      <c r="AF188" s="23"/>
    </row>
    <row r="189" spans="1:32" x14ac:dyDescent="0.25">
      <c r="A189" s="23"/>
      <c r="B189" s="23"/>
      <c r="C189" s="36"/>
      <c r="D189" s="36"/>
      <c r="E189" s="23"/>
      <c r="F189" s="36"/>
      <c r="G189" s="36"/>
      <c r="H189" s="23"/>
      <c r="I189" s="36"/>
      <c r="J189" s="36"/>
      <c r="K189" s="23"/>
      <c r="L189" s="36"/>
      <c r="M189" s="36"/>
      <c r="N189" s="23"/>
      <c r="O189" s="36"/>
      <c r="P189" s="36"/>
      <c r="Q189" s="36"/>
      <c r="R189" s="36"/>
      <c r="S189" s="36"/>
      <c r="T189" s="36"/>
      <c r="U189" s="36"/>
      <c r="V189" s="36"/>
      <c r="W189" s="23"/>
      <c r="X189" s="36"/>
      <c r="Y189" s="36"/>
      <c r="Z189" s="23"/>
      <c r="AA189" s="36"/>
      <c r="AB189" s="36"/>
      <c r="AC189" s="23"/>
      <c r="AD189" s="36"/>
      <c r="AE189" s="36"/>
      <c r="AF189" s="23"/>
    </row>
    <row r="190" spans="1:32" x14ac:dyDescent="0.25">
      <c r="A190" s="23"/>
      <c r="B190" s="23"/>
      <c r="C190" s="36"/>
      <c r="D190" s="36"/>
      <c r="E190" s="23"/>
      <c r="F190" s="36"/>
      <c r="G190" s="36"/>
      <c r="H190" s="23"/>
      <c r="I190" s="36"/>
      <c r="J190" s="36"/>
      <c r="K190" s="23"/>
      <c r="L190" s="36"/>
      <c r="M190" s="36"/>
      <c r="N190" s="23"/>
      <c r="O190" s="36"/>
      <c r="P190" s="36"/>
      <c r="Q190" s="36"/>
      <c r="R190" s="36"/>
      <c r="S190" s="36"/>
      <c r="T190" s="36"/>
      <c r="U190" s="36"/>
      <c r="V190" s="36"/>
      <c r="W190" s="23"/>
      <c r="X190" s="36"/>
      <c r="Y190" s="36"/>
      <c r="Z190" s="23"/>
      <c r="AA190" s="36"/>
      <c r="AB190" s="36"/>
      <c r="AC190" s="23"/>
      <c r="AD190" s="36"/>
      <c r="AE190" s="36"/>
      <c r="AF190" s="23"/>
    </row>
    <row r="191" spans="1:32" x14ac:dyDescent="0.25">
      <c r="A191" s="23"/>
      <c r="B191" s="23"/>
      <c r="C191" s="36"/>
      <c r="D191" s="36"/>
      <c r="E191" s="23"/>
      <c r="F191" s="36"/>
      <c r="G191" s="36"/>
      <c r="H191" s="23"/>
      <c r="I191" s="36"/>
      <c r="J191" s="36"/>
      <c r="K191" s="23"/>
      <c r="L191" s="36"/>
      <c r="M191" s="36"/>
      <c r="N191" s="23"/>
      <c r="O191" s="36"/>
      <c r="P191" s="36"/>
      <c r="Q191" s="36"/>
      <c r="R191" s="36"/>
      <c r="S191" s="36"/>
      <c r="T191" s="36"/>
      <c r="U191" s="36"/>
      <c r="V191" s="36"/>
      <c r="W191" s="23"/>
      <c r="X191" s="36"/>
      <c r="Y191" s="36"/>
      <c r="Z191" s="23"/>
      <c r="AA191" s="36"/>
      <c r="AB191" s="36"/>
      <c r="AC191" s="23"/>
      <c r="AD191" s="36"/>
      <c r="AE191" s="36"/>
      <c r="AF191" s="23"/>
    </row>
    <row r="192" spans="1:32" x14ac:dyDescent="0.25">
      <c r="A192" s="23"/>
      <c r="B192" s="23"/>
      <c r="C192" s="36"/>
      <c r="D192" s="36"/>
      <c r="E192" s="23"/>
      <c r="F192" s="36"/>
      <c r="G192" s="36"/>
      <c r="H192" s="23"/>
      <c r="I192" s="36"/>
      <c r="J192" s="36"/>
      <c r="K192" s="23"/>
      <c r="L192" s="36"/>
      <c r="M192" s="36"/>
      <c r="N192" s="23"/>
      <c r="O192" s="36"/>
      <c r="P192" s="36"/>
      <c r="Q192" s="36"/>
      <c r="R192" s="36"/>
      <c r="S192" s="36"/>
      <c r="T192" s="36"/>
      <c r="U192" s="36"/>
      <c r="V192" s="36"/>
      <c r="W192" s="23"/>
      <c r="X192" s="36"/>
      <c r="Y192" s="36"/>
      <c r="Z192" s="23"/>
      <c r="AA192" s="36"/>
      <c r="AB192" s="36"/>
      <c r="AC192" s="23"/>
      <c r="AD192" s="36"/>
      <c r="AE192" s="36"/>
      <c r="AF192" s="23"/>
    </row>
    <row r="193" spans="1:32" x14ac:dyDescent="0.25">
      <c r="A193" s="23"/>
      <c r="B193" s="23"/>
      <c r="C193" s="36"/>
      <c r="D193" s="36"/>
      <c r="E193" s="23"/>
      <c r="F193" s="36"/>
      <c r="G193" s="36"/>
      <c r="H193" s="23"/>
      <c r="I193" s="36"/>
      <c r="J193" s="36"/>
      <c r="K193" s="23"/>
      <c r="L193" s="36"/>
      <c r="M193" s="36"/>
      <c r="N193" s="23"/>
      <c r="O193" s="36"/>
      <c r="P193" s="36"/>
      <c r="Q193" s="36"/>
      <c r="R193" s="36"/>
      <c r="S193" s="36"/>
      <c r="T193" s="36"/>
      <c r="U193" s="36"/>
      <c r="V193" s="36"/>
      <c r="W193" s="23"/>
      <c r="X193" s="36"/>
      <c r="Y193" s="36"/>
      <c r="Z193" s="23"/>
      <c r="AA193" s="36"/>
      <c r="AB193" s="36"/>
      <c r="AC193" s="23"/>
      <c r="AD193" s="36"/>
      <c r="AE193" s="36"/>
      <c r="AF193" s="23"/>
    </row>
    <row r="194" spans="1:32" x14ac:dyDescent="0.25">
      <c r="A194" s="23"/>
      <c r="B194" s="23"/>
      <c r="C194" s="36"/>
      <c r="D194" s="36"/>
      <c r="E194" s="23"/>
      <c r="F194" s="36"/>
      <c r="G194" s="36"/>
      <c r="H194" s="23"/>
      <c r="I194" s="36"/>
      <c r="J194" s="36"/>
      <c r="K194" s="23"/>
      <c r="L194" s="36"/>
      <c r="M194" s="36"/>
      <c r="N194" s="23"/>
      <c r="O194" s="36"/>
      <c r="P194" s="36"/>
      <c r="Q194" s="36"/>
      <c r="R194" s="36"/>
      <c r="S194" s="36"/>
      <c r="T194" s="36"/>
      <c r="U194" s="36"/>
      <c r="V194" s="36"/>
      <c r="W194" s="23"/>
      <c r="X194" s="36"/>
      <c r="Y194" s="36"/>
      <c r="Z194" s="23"/>
      <c r="AA194" s="36"/>
      <c r="AB194" s="36"/>
      <c r="AC194" s="23"/>
      <c r="AD194" s="36"/>
      <c r="AE194" s="36"/>
      <c r="AF194" s="23"/>
    </row>
    <row r="195" spans="1:32" x14ac:dyDescent="0.25">
      <c r="A195" s="23"/>
      <c r="B195" s="23"/>
      <c r="C195" s="36"/>
      <c r="D195" s="36"/>
      <c r="E195" s="23"/>
      <c r="F195" s="36"/>
      <c r="G195" s="36"/>
      <c r="H195" s="23"/>
      <c r="I195" s="36"/>
      <c r="J195" s="36"/>
      <c r="K195" s="23"/>
      <c r="L195" s="36"/>
      <c r="M195" s="36"/>
      <c r="N195" s="23"/>
      <c r="O195" s="36"/>
      <c r="P195" s="36"/>
      <c r="Q195" s="36"/>
      <c r="R195" s="36"/>
      <c r="S195" s="36"/>
      <c r="T195" s="36"/>
      <c r="U195" s="36"/>
      <c r="V195" s="36"/>
      <c r="W195" s="23"/>
      <c r="X195" s="36"/>
      <c r="Y195" s="36"/>
      <c r="Z195" s="23"/>
      <c r="AA195" s="36"/>
      <c r="AB195" s="36"/>
      <c r="AC195" s="23"/>
      <c r="AD195" s="36"/>
      <c r="AE195" s="36"/>
      <c r="AF195" s="23"/>
    </row>
    <row r="196" spans="1:32" x14ac:dyDescent="0.25">
      <c r="A196" s="23"/>
      <c r="B196" s="23"/>
      <c r="C196" s="36"/>
      <c r="D196" s="36"/>
      <c r="E196" s="23"/>
      <c r="F196" s="36"/>
      <c r="G196" s="36"/>
      <c r="H196" s="23"/>
      <c r="I196" s="36"/>
      <c r="J196" s="36"/>
      <c r="K196" s="23"/>
      <c r="L196" s="36"/>
      <c r="M196" s="36"/>
      <c r="N196" s="23"/>
      <c r="O196" s="36"/>
      <c r="P196" s="36"/>
      <c r="Q196" s="36"/>
      <c r="R196" s="36"/>
      <c r="S196" s="36"/>
      <c r="T196" s="36"/>
      <c r="U196" s="36"/>
      <c r="V196" s="36"/>
      <c r="W196" s="23"/>
      <c r="X196" s="36"/>
      <c r="Y196" s="36"/>
      <c r="Z196" s="23"/>
      <c r="AA196" s="36"/>
      <c r="AB196" s="36"/>
      <c r="AC196" s="23"/>
      <c r="AD196" s="36"/>
      <c r="AE196" s="36"/>
      <c r="AF196" s="23"/>
    </row>
    <row r="197" spans="1:32" x14ac:dyDescent="0.25">
      <c r="A197" s="23"/>
      <c r="B197" s="23"/>
      <c r="C197" s="36"/>
      <c r="D197" s="36"/>
      <c r="E197" s="23"/>
      <c r="F197" s="36"/>
      <c r="G197" s="36"/>
      <c r="H197" s="23"/>
      <c r="I197" s="36"/>
      <c r="J197" s="36"/>
      <c r="K197" s="23"/>
      <c r="L197" s="36"/>
      <c r="M197" s="36"/>
      <c r="N197" s="23"/>
      <c r="O197" s="36"/>
      <c r="P197" s="36"/>
      <c r="Q197" s="36"/>
      <c r="R197" s="36"/>
      <c r="S197" s="36"/>
      <c r="T197" s="36"/>
      <c r="U197" s="36"/>
      <c r="V197" s="36"/>
      <c r="W197" s="23"/>
      <c r="X197" s="36"/>
      <c r="Y197" s="36"/>
      <c r="Z197" s="23"/>
      <c r="AA197" s="36"/>
      <c r="AB197" s="36"/>
      <c r="AC197" s="23"/>
      <c r="AD197" s="36"/>
      <c r="AE197" s="36"/>
      <c r="AF197" s="23"/>
    </row>
    <row r="198" spans="1:32" x14ac:dyDescent="0.25">
      <c r="A198" s="23"/>
      <c r="B198" s="23"/>
      <c r="C198" s="36"/>
      <c r="D198" s="36"/>
      <c r="E198" s="23"/>
      <c r="F198" s="36"/>
      <c r="G198" s="36"/>
      <c r="H198" s="23"/>
      <c r="I198" s="36"/>
      <c r="J198" s="36"/>
      <c r="K198" s="23"/>
      <c r="L198" s="36"/>
      <c r="M198" s="36"/>
      <c r="N198" s="23"/>
      <c r="O198" s="36"/>
      <c r="P198" s="36"/>
      <c r="Q198" s="36"/>
      <c r="R198" s="36"/>
      <c r="S198" s="36"/>
      <c r="T198" s="36"/>
      <c r="U198" s="36"/>
      <c r="V198" s="36"/>
      <c r="W198" s="23"/>
      <c r="X198" s="36"/>
      <c r="Y198" s="36"/>
      <c r="Z198" s="23"/>
      <c r="AA198" s="36"/>
      <c r="AB198" s="36"/>
      <c r="AC198" s="23"/>
      <c r="AD198" s="36"/>
      <c r="AE198" s="36"/>
      <c r="AF198" s="23"/>
    </row>
    <row r="199" spans="1:32" x14ac:dyDescent="0.25">
      <c r="A199" s="23"/>
      <c r="B199" s="23"/>
      <c r="C199" s="36"/>
      <c r="D199" s="36"/>
      <c r="E199" s="23"/>
      <c r="F199" s="36"/>
      <c r="G199" s="36"/>
      <c r="H199" s="23"/>
      <c r="I199" s="36"/>
      <c r="J199" s="36"/>
      <c r="K199" s="23"/>
      <c r="L199" s="36"/>
      <c r="M199" s="36"/>
      <c r="N199" s="23"/>
      <c r="O199" s="36"/>
      <c r="P199" s="36"/>
      <c r="Q199" s="36"/>
      <c r="R199" s="36"/>
      <c r="S199" s="36"/>
      <c r="T199" s="36"/>
      <c r="U199" s="36"/>
      <c r="V199" s="36"/>
      <c r="W199" s="23"/>
      <c r="X199" s="36"/>
      <c r="Y199" s="36"/>
      <c r="Z199" s="23"/>
      <c r="AA199" s="36"/>
      <c r="AB199" s="36"/>
      <c r="AC199" s="23"/>
      <c r="AD199" s="36"/>
      <c r="AE199" s="36"/>
      <c r="AF199" s="23"/>
    </row>
    <row r="200" spans="1:32" x14ac:dyDescent="0.25">
      <c r="A200" s="23"/>
      <c r="B200" s="23"/>
      <c r="C200" s="36"/>
      <c r="D200" s="36"/>
      <c r="E200" s="23"/>
      <c r="F200" s="36"/>
      <c r="G200" s="36"/>
      <c r="H200" s="23"/>
      <c r="I200" s="36"/>
      <c r="J200" s="36"/>
      <c r="K200" s="23"/>
      <c r="L200" s="36"/>
      <c r="M200" s="36"/>
      <c r="N200" s="23"/>
      <c r="O200" s="36"/>
      <c r="P200" s="36"/>
      <c r="Q200" s="36"/>
      <c r="R200" s="36"/>
      <c r="S200" s="36"/>
      <c r="T200" s="36"/>
      <c r="U200" s="36"/>
      <c r="V200" s="36"/>
      <c r="W200" s="23"/>
      <c r="X200" s="36"/>
      <c r="Y200" s="36"/>
      <c r="Z200" s="23"/>
      <c r="AA200" s="36"/>
      <c r="AB200" s="36"/>
      <c r="AC200" s="23"/>
      <c r="AD200" s="36"/>
      <c r="AE200" s="36"/>
      <c r="AF200" s="23"/>
    </row>
    <row r="201" spans="1:32" x14ac:dyDescent="0.25">
      <c r="A201" s="23"/>
      <c r="B201" s="23"/>
      <c r="C201" s="36"/>
      <c r="D201" s="36"/>
      <c r="E201" s="23"/>
      <c r="F201" s="36"/>
      <c r="G201" s="36"/>
      <c r="H201" s="23"/>
      <c r="I201" s="36"/>
      <c r="J201" s="36"/>
      <c r="K201" s="23"/>
      <c r="L201" s="36"/>
      <c r="M201" s="36"/>
      <c r="N201" s="23"/>
      <c r="O201" s="36"/>
      <c r="P201" s="36"/>
      <c r="Q201" s="36"/>
      <c r="R201" s="36"/>
      <c r="S201" s="36"/>
      <c r="T201" s="36"/>
      <c r="U201" s="36"/>
      <c r="V201" s="36"/>
      <c r="W201" s="23"/>
      <c r="X201" s="36"/>
      <c r="Y201" s="36"/>
      <c r="Z201" s="23"/>
      <c r="AA201" s="36"/>
      <c r="AB201" s="36"/>
      <c r="AC201" s="23"/>
      <c r="AD201" s="36"/>
      <c r="AE201" s="36"/>
      <c r="AF201" s="23"/>
    </row>
    <row r="202" spans="1:32" x14ac:dyDescent="0.25">
      <c r="A202" s="23"/>
      <c r="B202" s="23"/>
      <c r="C202" s="36"/>
      <c r="D202" s="36"/>
      <c r="E202" s="23"/>
      <c r="F202" s="36"/>
      <c r="G202" s="36"/>
      <c r="H202" s="23"/>
      <c r="I202" s="36"/>
      <c r="J202" s="36"/>
      <c r="K202" s="23"/>
      <c r="L202" s="36"/>
      <c r="M202" s="36"/>
      <c r="N202" s="23"/>
      <c r="O202" s="36"/>
      <c r="P202" s="36"/>
      <c r="Q202" s="36"/>
      <c r="R202" s="36"/>
      <c r="S202" s="36"/>
      <c r="T202" s="36"/>
      <c r="U202" s="36"/>
      <c r="V202" s="36"/>
      <c r="W202" s="23"/>
      <c r="X202" s="36"/>
      <c r="Y202" s="36"/>
      <c r="Z202" s="23"/>
      <c r="AA202" s="36"/>
      <c r="AB202" s="36"/>
      <c r="AC202" s="23"/>
      <c r="AD202" s="36"/>
      <c r="AE202" s="36"/>
      <c r="AF202" s="23"/>
    </row>
    <row r="203" spans="1:32" x14ac:dyDescent="0.25">
      <c r="A203" s="23"/>
      <c r="B203" s="23"/>
      <c r="C203" s="36"/>
      <c r="D203" s="36"/>
      <c r="E203" s="23"/>
      <c r="F203" s="36"/>
      <c r="G203" s="36"/>
      <c r="H203" s="23"/>
      <c r="I203" s="36"/>
      <c r="J203" s="36"/>
      <c r="K203" s="23"/>
      <c r="L203" s="36"/>
      <c r="M203" s="36"/>
      <c r="N203" s="23"/>
      <c r="O203" s="36"/>
      <c r="P203" s="36"/>
      <c r="Q203" s="36"/>
      <c r="R203" s="36"/>
      <c r="S203" s="36"/>
      <c r="T203" s="36"/>
      <c r="U203" s="36"/>
      <c r="V203" s="36"/>
      <c r="W203" s="23"/>
      <c r="X203" s="36"/>
      <c r="Y203" s="36"/>
      <c r="Z203" s="23"/>
      <c r="AA203" s="36"/>
      <c r="AB203" s="36"/>
      <c r="AC203" s="23"/>
      <c r="AD203" s="36"/>
      <c r="AE203" s="36"/>
      <c r="AF203" s="23"/>
    </row>
    <row r="204" spans="1:32" x14ac:dyDescent="0.25">
      <c r="A204" s="23"/>
      <c r="B204" s="23"/>
      <c r="C204" s="36"/>
      <c r="D204" s="36"/>
      <c r="E204" s="23"/>
      <c r="F204" s="36"/>
      <c r="G204" s="36"/>
      <c r="H204" s="23"/>
      <c r="I204" s="36"/>
      <c r="J204" s="36"/>
      <c r="K204" s="23"/>
      <c r="L204" s="36"/>
      <c r="M204" s="36"/>
      <c r="N204" s="23"/>
      <c r="O204" s="36"/>
      <c r="P204" s="36"/>
      <c r="Q204" s="36"/>
      <c r="R204" s="36"/>
      <c r="S204" s="36"/>
      <c r="T204" s="36"/>
      <c r="U204" s="36"/>
      <c r="V204" s="36"/>
      <c r="W204" s="23"/>
      <c r="X204" s="36"/>
      <c r="Y204" s="36"/>
      <c r="Z204" s="23"/>
      <c r="AA204" s="36"/>
      <c r="AB204" s="36"/>
      <c r="AC204" s="23"/>
      <c r="AD204" s="36"/>
      <c r="AE204" s="36"/>
      <c r="AF204" s="23"/>
    </row>
    <row r="205" spans="1:32" x14ac:dyDescent="0.25">
      <c r="A205" s="23"/>
      <c r="B205" s="23"/>
      <c r="C205" s="36"/>
      <c r="D205" s="36"/>
      <c r="E205" s="23"/>
      <c r="F205" s="36"/>
      <c r="G205" s="36"/>
      <c r="H205" s="23"/>
      <c r="I205" s="36"/>
      <c r="J205" s="36"/>
      <c r="K205" s="23"/>
      <c r="L205" s="36"/>
      <c r="M205" s="36"/>
      <c r="N205" s="23"/>
      <c r="O205" s="36"/>
      <c r="P205" s="36"/>
      <c r="Q205" s="36"/>
      <c r="R205" s="36"/>
      <c r="S205" s="36"/>
      <c r="T205" s="36"/>
      <c r="U205" s="36"/>
      <c r="V205" s="36"/>
      <c r="W205" s="23"/>
      <c r="X205" s="36"/>
      <c r="Y205" s="36"/>
      <c r="Z205" s="23"/>
      <c r="AA205" s="36"/>
      <c r="AB205" s="36"/>
      <c r="AC205" s="23"/>
      <c r="AD205" s="36"/>
      <c r="AE205" s="36"/>
      <c r="AF205" s="23"/>
    </row>
    <row r="206" spans="1:32" x14ac:dyDescent="0.25">
      <c r="A206" s="23"/>
      <c r="B206" s="23"/>
      <c r="C206" s="36"/>
      <c r="D206" s="36"/>
      <c r="E206" s="23"/>
      <c r="F206" s="36"/>
      <c r="G206" s="36"/>
      <c r="H206" s="23"/>
      <c r="I206" s="36"/>
      <c r="J206" s="36"/>
      <c r="K206" s="23"/>
      <c r="L206" s="36"/>
      <c r="M206" s="36"/>
      <c r="N206" s="23"/>
      <c r="O206" s="36"/>
      <c r="P206" s="36"/>
      <c r="Q206" s="36"/>
      <c r="R206" s="36"/>
      <c r="S206" s="36"/>
      <c r="T206" s="36"/>
      <c r="U206" s="36"/>
      <c r="V206" s="36"/>
      <c r="W206" s="23"/>
      <c r="X206" s="36"/>
      <c r="Y206" s="36"/>
      <c r="Z206" s="23"/>
      <c r="AA206" s="36"/>
      <c r="AB206" s="36"/>
      <c r="AC206" s="23"/>
      <c r="AD206" s="36"/>
      <c r="AE206" s="36"/>
      <c r="AF206" s="23"/>
    </row>
    <row r="207" spans="1:32" x14ac:dyDescent="0.25">
      <c r="A207" s="23"/>
      <c r="B207" s="23"/>
      <c r="C207" s="36"/>
      <c r="D207" s="36"/>
      <c r="E207" s="23"/>
      <c r="F207" s="36"/>
      <c r="G207" s="36"/>
      <c r="H207" s="23"/>
      <c r="I207" s="36"/>
      <c r="J207" s="36"/>
      <c r="K207" s="23"/>
      <c r="L207" s="36"/>
      <c r="M207" s="36"/>
      <c r="N207" s="23"/>
      <c r="O207" s="36"/>
      <c r="P207" s="36"/>
      <c r="Q207" s="36"/>
      <c r="R207" s="36"/>
      <c r="S207" s="36"/>
      <c r="T207" s="36"/>
      <c r="U207" s="36"/>
      <c r="V207" s="36"/>
      <c r="W207" s="23"/>
      <c r="X207" s="36"/>
      <c r="Y207" s="36"/>
      <c r="Z207" s="23"/>
      <c r="AA207" s="36"/>
      <c r="AB207" s="36"/>
      <c r="AC207" s="23"/>
      <c r="AD207" s="36"/>
      <c r="AE207" s="36"/>
      <c r="AF207" s="23"/>
    </row>
    <row r="208" spans="1:32" x14ac:dyDescent="0.25">
      <c r="A208" s="23"/>
      <c r="B208" s="23"/>
      <c r="C208" s="36"/>
      <c r="D208" s="36"/>
      <c r="E208" s="23"/>
      <c r="F208" s="36"/>
      <c r="G208" s="36"/>
      <c r="H208" s="23"/>
      <c r="I208" s="36"/>
      <c r="J208" s="36"/>
      <c r="K208" s="23"/>
      <c r="L208" s="36"/>
      <c r="M208" s="36"/>
      <c r="N208" s="23"/>
      <c r="O208" s="36"/>
      <c r="P208" s="36"/>
      <c r="Q208" s="36"/>
      <c r="R208" s="36"/>
      <c r="S208" s="36"/>
      <c r="T208" s="36"/>
      <c r="U208" s="36"/>
      <c r="V208" s="36"/>
      <c r="W208" s="23"/>
      <c r="X208" s="36"/>
      <c r="Y208" s="36"/>
      <c r="Z208" s="23"/>
      <c r="AA208" s="36"/>
      <c r="AB208" s="36"/>
      <c r="AC208" s="23"/>
      <c r="AD208" s="36"/>
      <c r="AE208" s="36"/>
      <c r="AF208" s="23"/>
    </row>
    <row r="209" spans="1:32" x14ac:dyDescent="0.25">
      <c r="A209" s="23"/>
      <c r="B209" s="23"/>
      <c r="C209" s="36"/>
      <c r="D209" s="36"/>
      <c r="E209" s="23"/>
      <c r="F209" s="36"/>
      <c r="G209" s="36"/>
      <c r="H209" s="23"/>
      <c r="I209" s="36"/>
      <c r="J209" s="36"/>
      <c r="K209" s="23"/>
      <c r="L209" s="36"/>
      <c r="M209" s="36"/>
      <c r="N209" s="23"/>
      <c r="O209" s="36"/>
      <c r="P209" s="36"/>
      <c r="Q209" s="36"/>
      <c r="R209" s="36"/>
      <c r="S209" s="36"/>
      <c r="T209" s="36"/>
      <c r="U209" s="36"/>
      <c r="V209" s="36"/>
      <c r="W209" s="23"/>
      <c r="X209" s="36"/>
      <c r="Y209" s="36"/>
      <c r="Z209" s="23"/>
      <c r="AA209" s="36"/>
      <c r="AB209" s="36"/>
      <c r="AC209" s="23"/>
      <c r="AD209" s="36"/>
      <c r="AE209" s="36"/>
      <c r="AF209" s="23"/>
    </row>
    <row r="210" spans="1:32" x14ac:dyDescent="0.25">
      <c r="A210" s="23"/>
      <c r="B210" s="23"/>
      <c r="C210" s="36"/>
      <c r="D210" s="36"/>
      <c r="E210" s="23"/>
      <c r="F210" s="36"/>
      <c r="G210" s="36"/>
      <c r="H210" s="23"/>
      <c r="I210" s="36"/>
      <c r="J210" s="36"/>
      <c r="K210" s="23"/>
      <c r="L210" s="36"/>
      <c r="M210" s="36"/>
      <c r="N210" s="23"/>
      <c r="O210" s="36"/>
      <c r="P210" s="36"/>
      <c r="Q210" s="36"/>
      <c r="R210" s="36"/>
      <c r="S210" s="36"/>
      <c r="T210" s="36"/>
      <c r="U210" s="36"/>
      <c r="V210" s="36"/>
      <c r="W210" s="23"/>
      <c r="X210" s="36"/>
      <c r="Y210" s="36"/>
      <c r="Z210" s="23"/>
      <c r="AA210" s="36"/>
      <c r="AB210" s="36"/>
      <c r="AC210" s="23"/>
      <c r="AD210" s="36"/>
      <c r="AE210" s="36"/>
      <c r="AF210" s="23"/>
    </row>
    <row r="211" spans="1:32" x14ac:dyDescent="0.25">
      <c r="A211" s="23"/>
      <c r="B211" s="23"/>
      <c r="C211" s="36"/>
      <c r="D211" s="36"/>
      <c r="E211" s="23"/>
      <c r="F211" s="36"/>
      <c r="G211" s="36"/>
      <c r="H211" s="23"/>
      <c r="I211" s="36"/>
      <c r="J211" s="36"/>
      <c r="K211" s="23"/>
      <c r="L211" s="36"/>
      <c r="M211" s="36"/>
      <c r="N211" s="23"/>
      <c r="O211" s="36"/>
      <c r="P211" s="36"/>
      <c r="Q211" s="36"/>
      <c r="R211" s="36"/>
      <c r="S211" s="36"/>
      <c r="T211" s="36"/>
      <c r="U211" s="36"/>
      <c r="V211" s="36"/>
      <c r="W211" s="23"/>
      <c r="X211" s="36"/>
      <c r="Y211" s="36"/>
      <c r="Z211" s="23"/>
      <c r="AA211" s="36"/>
      <c r="AB211" s="36"/>
      <c r="AC211" s="23"/>
      <c r="AD211" s="36"/>
      <c r="AE211" s="36"/>
      <c r="AF211" s="23"/>
    </row>
    <row r="212" spans="1:32" x14ac:dyDescent="0.25">
      <c r="A212" s="23"/>
      <c r="B212" s="23"/>
      <c r="C212" s="36"/>
      <c r="D212" s="36"/>
      <c r="E212" s="23"/>
      <c r="F212" s="36"/>
      <c r="G212" s="36"/>
      <c r="H212" s="23"/>
      <c r="I212" s="36"/>
      <c r="J212" s="36"/>
      <c r="K212" s="23"/>
      <c r="L212" s="36"/>
      <c r="M212" s="36"/>
      <c r="N212" s="23"/>
      <c r="O212" s="36"/>
      <c r="P212" s="36"/>
      <c r="Q212" s="36"/>
      <c r="R212" s="36"/>
      <c r="S212" s="36"/>
      <c r="T212" s="36"/>
      <c r="U212" s="36"/>
      <c r="V212" s="36"/>
      <c r="W212" s="23"/>
      <c r="X212" s="36"/>
      <c r="Y212" s="36"/>
      <c r="Z212" s="23"/>
      <c r="AA212" s="36"/>
      <c r="AB212" s="36"/>
      <c r="AC212" s="23"/>
      <c r="AD212" s="36"/>
      <c r="AE212" s="36"/>
      <c r="AF212" s="23"/>
    </row>
    <row r="213" spans="1:32" x14ac:dyDescent="0.25">
      <c r="A213" s="23"/>
      <c r="B213" s="23"/>
      <c r="C213" s="36"/>
      <c r="D213" s="36"/>
      <c r="E213" s="23"/>
      <c r="F213" s="36"/>
      <c r="G213" s="36"/>
      <c r="H213" s="23"/>
      <c r="I213" s="36"/>
      <c r="J213" s="36"/>
      <c r="K213" s="23"/>
      <c r="L213" s="36"/>
      <c r="M213" s="36"/>
      <c r="N213" s="23"/>
      <c r="O213" s="36"/>
      <c r="P213" s="36"/>
      <c r="Q213" s="36"/>
      <c r="R213" s="36"/>
      <c r="S213" s="36"/>
      <c r="T213" s="36"/>
      <c r="U213" s="36"/>
      <c r="V213" s="36"/>
      <c r="W213" s="23"/>
      <c r="X213" s="36"/>
      <c r="Y213" s="36"/>
      <c r="Z213" s="23"/>
      <c r="AA213" s="36"/>
      <c r="AB213" s="36"/>
      <c r="AC213" s="23"/>
      <c r="AD213" s="36"/>
      <c r="AE213" s="36"/>
      <c r="AF213" s="23"/>
    </row>
    <row r="214" spans="1:32" x14ac:dyDescent="0.25">
      <c r="A214" s="23"/>
      <c r="B214" s="23"/>
      <c r="C214" s="36"/>
      <c r="D214" s="36"/>
      <c r="E214" s="23"/>
      <c r="F214" s="36"/>
      <c r="G214" s="36"/>
      <c r="H214" s="23"/>
      <c r="I214" s="36"/>
      <c r="J214" s="36"/>
      <c r="K214" s="23"/>
      <c r="L214" s="36"/>
      <c r="M214" s="36"/>
      <c r="N214" s="23"/>
      <c r="O214" s="36"/>
      <c r="P214" s="36"/>
      <c r="Q214" s="36"/>
      <c r="R214" s="36"/>
      <c r="S214" s="36"/>
      <c r="T214" s="36"/>
      <c r="U214" s="36"/>
      <c r="V214" s="36"/>
      <c r="W214" s="23"/>
      <c r="X214" s="36"/>
      <c r="Y214" s="36"/>
      <c r="Z214" s="23"/>
      <c r="AA214" s="36"/>
      <c r="AB214" s="36"/>
      <c r="AC214" s="23"/>
      <c r="AD214" s="36"/>
      <c r="AE214" s="36"/>
      <c r="AF214" s="23"/>
    </row>
    <row r="215" spans="1:32" x14ac:dyDescent="0.25">
      <c r="A215" s="23"/>
      <c r="B215" s="23"/>
      <c r="C215" s="36"/>
      <c r="D215" s="36"/>
      <c r="E215" s="23"/>
      <c r="F215" s="36"/>
      <c r="G215" s="36"/>
      <c r="H215" s="23"/>
      <c r="I215" s="36"/>
      <c r="J215" s="36"/>
      <c r="K215" s="23"/>
      <c r="L215" s="36"/>
      <c r="M215" s="36"/>
      <c r="N215" s="23"/>
      <c r="O215" s="36"/>
      <c r="P215" s="36"/>
      <c r="Q215" s="36"/>
      <c r="R215" s="36"/>
      <c r="S215" s="36"/>
      <c r="T215" s="36"/>
      <c r="U215" s="36"/>
      <c r="V215" s="36"/>
      <c r="W215" s="23"/>
      <c r="X215" s="36"/>
      <c r="Y215" s="36"/>
      <c r="Z215" s="23"/>
      <c r="AA215" s="36"/>
      <c r="AB215" s="36"/>
      <c r="AC215" s="23"/>
      <c r="AD215" s="36"/>
      <c r="AE215" s="36"/>
      <c r="AF215" s="23"/>
    </row>
    <row r="216" spans="1:32" x14ac:dyDescent="0.25">
      <c r="A216" s="23"/>
      <c r="B216" s="23"/>
      <c r="C216" s="36"/>
      <c r="D216" s="36"/>
      <c r="E216" s="23"/>
      <c r="F216" s="36"/>
      <c r="G216" s="36"/>
      <c r="H216" s="23"/>
      <c r="I216" s="36"/>
      <c r="J216" s="36"/>
      <c r="K216" s="23"/>
      <c r="L216" s="36"/>
      <c r="M216" s="36"/>
      <c r="N216" s="23"/>
      <c r="O216" s="36"/>
      <c r="P216" s="36"/>
      <c r="Q216" s="36"/>
      <c r="R216" s="36"/>
      <c r="S216" s="36"/>
      <c r="T216" s="36"/>
      <c r="U216" s="36"/>
      <c r="V216" s="36"/>
      <c r="W216" s="23"/>
      <c r="X216" s="36"/>
      <c r="Y216" s="36"/>
      <c r="Z216" s="23"/>
      <c r="AA216" s="36"/>
      <c r="AB216" s="36"/>
      <c r="AC216" s="23"/>
      <c r="AD216" s="36"/>
      <c r="AE216" s="36"/>
      <c r="AF216" s="23"/>
    </row>
    <row r="217" spans="1:32" x14ac:dyDescent="0.25">
      <c r="A217" s="23"/>
      <c r="B217" s="23"/>
      <c r="C217" s="36"/>
      <c r="D217" s="36"/>
      <c r="E217" s="23"/>
      <c r="F217" s="36"/>
      <c r="G217" s="36"/>
      <c r="H217" s="23"/>
      <c r="I217" s="36"/>
      <c r="J217" s="36"/>
      <c r="K217" s="23"/>
      <c r="L217" s="36"/>
      <c r="M217" s="36"/>
      <c r="N217" s="23"/>
      <c r="O217" s="36"/>
      <c r="P217" s="36"/>
      <c r="Q217" s="36"/>
      <c r="R217" s="36"/>
      <c r="S217" s="36"/>
      <c r="T217" s="36"/>
      <c r="U217" s="36"/>
      <c r="V217" s="36"/>
      <c r="W217" s="23"/>
      <c r="X217" s="36"/>
      <c r="Y217" s="36"/>
      <c r="Z217" s="23"/>
      <c r="AA217" s="36"/>
      <c r="AB217" s="36"/>
      <c r="AC217" s="23"/>
      <c r="AD217" s="36"/>
      <c r="AE217" s="36"/>
      <c r="AF217" s="23"/>
    </row>
    <row r="218" spans="1:32" x14ac:dyDescent="0.25">
      <c r="A218" s="23"/>
      <c r="B218" s="23"/>
      <c r="C218" s="36"/>
      <c r="D218" s="36"/>
      <c r="E218" s="23"/>
      <c r="F218" s="36"/>
      <c r="G218" s="36"/>
      <c r="H218" s="23"/>
      <c r="I218" s="36"/>
      <c r="J218" s="36"/>
      <c r="K218" s="23"/>
      <c r="L218" s="36"/>
      <c r="M218" s="36"/>
      <c r="N218" s="23"/>
      <c r="O218" s="36"/>
      <c r="P218" s="36"/>
      <c r="Q218" s="36"/>
      <c r="R218" s="36"/>
      <c r="S218" s="36"/>
      <c r="T218" s="36"/>
      <c r="U218" s="36"/>
      <c r="V218" s="36"/>
      <c r="W218" s="23"/>
      <c r="X218" s="36"/>
      <c r="Y218" s="36"/>
      <c r="Z218" s="23"/>
      <c r="AA218" s="36"/>
      <c r="AB218" s="36"/>
      <c r="AC218" s="23"/>
      <c r="AD218" s="36"/>
      <c r="AE218" s="36"/>
      <c r="AF218" s="23"/>
    </row>
    <row r="219" spans="1:32" x14ac:dyDescent="0.25">
      <c r="A219" s="23"/>
      <c r="B219" s="23"/>
      <c r="C219" s="36"/>
      <c r="D219" s="36"/>
      <c r="E219" s="23"/>
      <c r="F219" s="36"/>
      <c r="G219" s="36"/>
      <c r="H219" s="23"/>
      <c r="I219" s="36"/>
      <c r="J219" s="36"/>
      <c r="K219" s="23"/>
      <c r="L219" s="36"/>
      <c r="M219" s="36"/>
      <c r="N219" s="23"/>
      <c r="O219" s="36"/>
      <c r="P219" s="36"/>
      <c r="Q219" s="36"/>
      <c r="R219" s="36"/>
      <c r="S219" s="36"/>
      <c r="T219" s="36"/>
      <c r="U219" s="36"/>
      <c r="V219" s="36"/>
      <c r="W219" s="23"/>
      <c r="X219" s="36"/>
      <c r="Y219" s="36"/>
      <c r="Z219" s="23"/>
      <c r="AA219" s="36"/>
      <c r="AB219" s="36"/>
      <c r="AC219" s="23"/>
      <c r="AD219" s="36"/>
      <c r="AE219" s="36"/>
      <c r="AF219" s="23"/>
    </row>
    <row r="220" spans="1:32" x14ac:dyDescent="0.25">
      <c r="A220" s="23"/>
      <c r="B220" s="23"/>
      <c r="C220" s="36"/>
      <c r="D220" s="36"/>
      <c r="E220" s="23"/>
      <c r="F220" s="36"/>
      <c r="G220" s="36"/>
      <c r="H220" s="23"/>
      <c r="I220" s="36"/>
      <c r="J220" s="36"/>
      <c r="K220" s="23"/>
      <c r="L220" s="36"/>
      <c r="M220" s="36"/>
      <c r="N220" s="23"/>
      <c r="O220" s="36"/>
      <c r="P220" s="36"/>
      <c r="Q220" s="36"/>
      <c r="R220" s="36"/>
      <c r="S220" s="36"/>
      <c r="T220" s="36"/>
      <c r="U220" s="36"/>
      <c r="V220" s="36"/>
      <c r="W220" s="23"/>
      <c r="X220" s="36"/>
      <c r="Y220" s="36"/>
      <c r="Z220" s="23"/>
      <c r="AA220" s="36"/>
      <c r="AB220" s="36"/>
      <c r="AC220" s="23"/>
      <c r="AD220" s="36"/>
      <c r="AE220" s="36"/>
      <c r="AF220" s="23"/>
    </row>
    <row r="221" spans="1:32" x14ac:dyDescent="0.25">
      <c r="A221" s="23"/>
      <c r="B221" s="23"/>
      <c r="C221" s="36"/>
      <c r="D221" s="36"/>
      <c r="E221" s="23"/>
      <c r="F221" s="36"/>
      <c r="G221" s="36"/>
      <c r="H221" s="23"/>
      <c r="I221" s="36"/>
      <c r="J221" s="36"/>
      <c r="K221" s="23"/>
      <c r="L221" s="36"/>
      <c r="M221" s="36"/>
      <c r="N221" s="23"/>
      <c r="O221" s="36"/>
      <c r="P221" s="36"/>
      <c r="Q221" s="36"/>
      <c r="R221" s="36"/>
      <c r="S221" s="36"/>
      <c r="T221" s="36"/>
      <c r="U221" s="36"/>
      <c r="V221" s="36"/>
      <c r="W221" s="23"/>
      <c r="X221" s="36"/>
      <c r="Y221" s="36"/>
      <c r="Z221" s="23"/>
      <c r="AA221" s="36"/>
      <c r="AB221" s="36"/>
      <c r="AC221" s="23"/>
      <c r="AD221" s="36"/>
      <c r="AE221" s="36"/>
      <c r="AF221" s="23"/>
    </row>
    <row r="222" spans="1:32" x14ac:dyDescent="0.25">
      <c r="A222" s="23"/>
      <c r="B222" s="23"/>
      <c r="C222" s="36"/>
      <c r="D222" s="36"/>
      <c r="E222" s="23"/>
      <c r="F222" s="36"/>
      <c r="G222" s="36"/>
      <c r="H222" s="23"/>
      <c r="I222" s="36"/>
      <c r="J222" s="36"/>
      <c r="K222" s="23"/>
      <c r="L222" s="36"/>
      <c r="M222" s="36"/>
      <c r="N222" s="23"/>
      <c r="O222" s="36"/>
      <c r="P222" s="36"/>
      <c r="Q222" s="36"/>
      <c r="R222" s="36"/>
      <c r="S222" s="36"/>
      <c r="T222" s="36"/>
      <c r="U222" s="36"/>
      <c r="V222" s="36"/>
      <c r="W222" s="23"/>
      <c r="X222" s="36"/>
      <c r="Y222" s="36"/>
      <c r="Z222" s="23"/>
      <c r="AA222" s="36"/>
      <c r="AB222" s="36"/>
      <c r="AC222" s="23"/>
      <c r="AD222" s="36"/>
      <c r="AE222" s="36"/>
      <c r="AF222" s="23"/>
    </row>
    <row r="223" spans="1:32" x14ac:dyDescent="0.25">
      <c r="A223" s="23"/>
      <c r="B223" s="23"/>
      <c r="C223" s="36"/>
      <c r="D223" s="36"/>
      <c r="E223" s="23"/>
      <c r="F223" s="36"/>
      <c r="G223" s="36"/>
      <c r="H223" s="23"/>
      <c r="I223" s="36"/>
      <c r="J223" s="36"/>
      <c r="K223" s="23"/>
      <c r="L223" s="36"/>
      <c r="M223" s="36"/>
      <c r="N223" s="23"/>
      <c r="O223" s="36"/>
      <c r="P223" s="36"/>
      <c r="Q223" s="36"/>
      <c r="R223" s="36"/>
      <c r="S223" s="36"/>
      <c r="T223" s="36"/>
      <c r="U223" s="36"/>
      <c r="V223" s="36"/>
      <c r="W223" s="23"/>
      <c r="X223" s="36"/>
      <c r="Y223" s="36"/>
      <c r="Z223" s="23"/>
      <c r="AA223" s="36"/>
      <c r="AB223" s="36"/>
      <c r="AC223" s="23"/>
      <c r="AD223" s="36"/>
      <c r="AE223" s="36"/>
      <c r="AF223" s="23"/>
    </row>
    <row r="224" spans="1:32" x14ac:dyDescent="0.25">
      <c r="A224" s="23"/>
      <c r="B224" s="23"/>
      <c r="C224" s="36"/>
      <c r="D224" s="36"/>
      <c r="E224" s="23"/>
      <c r="F224" s="36"/>
      <c r="G224" s="36"/>
      <c r="H224" s="23"/>
      <c r="I224" s="36"/>
      <c r="J224" s="36"/>
      <c r="K224" s="23"/>
      <c r="L224" s="36"/>
      <c r="M224" s="36"/>
      <c r="N224" s="23"/>
      <c r="O224" s="36"/>
      <c r="P224" s="36"/>
      <c r="Q224" s="36"/>
      <c r="R224" s="36"/>
      <c r="S224" s="36"/>
      <c r="T224" s="36"/>
      <c r="U224" s="36"/>
      <c r="V224" s="36"/>
      <c r="W224" s="23"/>
      <c r="X224" s="36"/>
      <c r="Y224" s="36"/>
      <c r="Z224" s="23"/>
      <c r="AA224" s="36"/>
      <c r="AB224" s="36"/>
      <c r="AC224" s="23"/>
      <c r="AD224" s="36"/>
      <c r="AE224" s="36"/>
      <c r="AF224" s="23"/>
    </row>
    <row r="225" spans="1:32" x14ac:dyDescent="0.25">
      <c r="A225" s="23"/>
      <c r="B225" s="23"/>
      <c r="C225" s="36"/>
      <c r="D225" s="36"/>
      <c r="E225" s="23"/>
      <c r="F225" s="36"/>
      <c r="G225" s="36"/>
      <c r="H225" s="23"/>
      <c r="I225" s="36"/>
      <c r="J225" s="36"/>
      <c r="K225" s="23"/>
      <c r="L225" s="36"/>
      <c r="M225" s="36"/>
      <c r="N225" s="23"/>
      <c r="O225" s="36"/>
      <c r="P225" s="36"/>
      <c r="Q225" s="36"/>
      <c r="R225" s="36"/>
      <c r="S225" s="36"/>
      <c r="T225" s="36"/>
      <c r="U225" s="36"/>
      <c r="V225" s="36"/>
      <c r="W225" s="23"/>
      <c r="X225" s="36"/>
      <c r="Y225" s="36"/>
      <c r="Z225" s="23"/>
      <c r="AA225" s="36"/>
      <c r="AB225" s="36"/>
      <c r="AC225" s="23"/>
      <c r="AD225" s="36"/>
      <c r="AE225" s="36"/>
      <c r="AF225" s="23"/>
    </row>
    <row r="226" spans="1:32" x14ac:dyDescent="0.25">
      <c r="A226" s="23"/>
      <c r="B226" s="23"/>
      <c r="C226" s="36"/>
      <c r="D226" s="36"/>
      <c r="E226" s="23"/>
      <c r="F226" s="36"/>
      <c r="G226" s="36"/>
      <c r="H226" s="23"/>
      <c r="I226" s="36"/>
      <c r="J226" s="36"/>
      <c r="K226" s="23"/>
      <c r="L226" s="36"/>
      <c r="M226" s="36"/>
      <c r="N226" s="23"/>
      <c r="O226" s="36"/>
      <c r="P226" s="36"/>
      <c r="Q226" s="36"/>
      <c r="R226" s="36"/>
      <c r="S226" s="36"/>
      <c r="T226" s="36"/>
      <c r="U226" s="36"/>
      <c r="V226" s="36"/>
      <c r="W226" s="23"/>
      <c r="X226" s="36"/>
      <c r="Y226" s="36"/>
      <c r="Z226" s="23"/>
      <c r="AA226" s="36"/>
      <c r="AB226" s="36"/>
      <c r="AC226" s="23"/>
      <c r="AD226" s="36"/>
      <c r="AE226" s="36"/>
      <c r="AF226" s="23"/>
    </row>
    <row r="227" spans="1:32" x14ac:dyDescent="0.25">
      <c r="A227" s="23"/>
      <c r="B227" s="23"/>
      <c r="C227" s="36"/>
      <c r="D227" s="36"/>
      <c r="E227" s="23"/>
      <c r="F227" s="36"/>
      <c r="G227" s="36"/>
      <c r="H227" s="23"/>
      <c r="I227" s="36"/>
      <c r="J227" s="36"/>
      <c r="K227" s="23"/>
      <c r="L227" s="36"/>
      <c r="M227" s="36"/>
      <c r="N227" s="23"/>
      <c r="O227" s="36"/>
      <c r="P227" s="36"/>
      <c r="Q227" s="36"/>
      <c r="R227" s="36"/>
      <c r="S227" s="36"/>
      <c r="T227" s="36"/>
      <c r="U227" s="36"/>
      <c r="V227" s="36"/>
      <c r="W227" s="23"/>
      <c r="X227" s="36"/>
      <c r="Y227" s="36"/>
      <c r="Z227" s="23"/>
      <c r="AA227" s="36"/>
      <c r="AB227" s="36"/>
      <c r="AC227" s="23"/>
      <c r="AD227" s="36"/>
      <c r="AE227" s="36"/>
      <c r="AF227" s="23"/>
    </row>
    <row r="228" spans="1:32" x14ac:dyDescent="0.25">
      <c r="A228" s="23"/>
      <c r="B228" s="23"/>
      <c r="C228" s="36"/>
      <c r="D228" s="36"/>
      <c r="E228" s="23"/>
      <c r="F228" s="36"/>
      <c r="G228" s="36"/>
      <c r="H228" s="23"/>
      <c r="I228" s="36"/>
      <c r="J228" s="36"/>
      <c r="K228" s="23"/>
      <c r="L228" s="36"/>
      <c r="M228" s="36"/>
      <c r="N228" s="23"/>
      <c r="O228" s="36"/>
      <c r="P228" s="36"/>
      <c r="Q228" s="36"/>
      <c r="R228" s="36"/>
      <c r="S228" s="36"/>
      <c r="T228" s="36"/>
      <c r="U228" s="36"/>
      <c r="V228" s="36"/>
      <c r="W228" s="23"/>
      <c r="X228" s="36"/>
      <c r="Y228" s="36"/>
      <c r="Z228" s="23"/>
      <c r="AA228" s="36"/>
      <c r="AB228" s="36"/>
      <c r="AC228" s="23"/>
      <c r="AD228" s="36"/>
      <c r="AE228" s="36"/>
      <c r="AF228" s="23"/>
    </row>
    <row r="229" spans="1:32" x14ac:dyDescent="0.25">
      <c r="A229" s="23"/>
      <c r="B229" s="23"/>
      <c r="C229" s="36"/>
      <c r="D229" s="36"/>
      <c r="E229" s="23"/>
      <c r="F229" s="36"/>
      <c r="G229" s="36"/>
      <c r="H229" s="23"/>
      <c r="I229" s="36"/>
      <c r="J229" s="36"/>
      <c r="K229" s="23"/>
      <c r="L229" s="36"/>
      <c r="M229" s="36"/>
      <c r="N229" s="23"/>
      <c r="O229" s="36"/>
      <c r="P229" s="36"/>
      <c r="Q229" s="36"/>
      <c r="R229" s="36"/>
      <c r="S229" s="36"/>
      <c r="T229" s="36"/>
      <c r="U229" s="36"/>
      <c r="V229" s="36"/>
      <c r="W229" s="23"/>
      <c r="X229" s="36"/>
      <c r="Y229" s="36"/>
      <c r="Z229" s="23"/>
      <c r="AA229" s="36"/>
      <c r="AB229" s="36"/>
      <c r="AC229" s="23"/>
      <c r="AD229" s="36"/>
      <c r="AE229" s="36"/>
      <c r="AF229" s="23"/>
    </row>
    <row r="230" spans="1:32" x14ac:dyDescent="0.25">
      <c r="A230" s="23"/>
      <c r="B230" s="23"/>
      <c r="C230" s="36"/>
      <c r="D230" s="36"/>
      <c r="E230" s="23"/>
      <c r="F230" s="36"/>
      <c r="G230" s="36"/>
      <c r="H230" s="23"/>
      <c r="I230" s="36"/>
      <c r="J230" s="36"/>
      <c r="K230" s="23"/>
      <c r="L230" s="36"/>
      <c r="M230" s="36"/>
      <c r="N230" s="23"/>
      <c r="O230" s="36"/>
      <c r="P230" s="36"/>
      <c r="Q230" s="36"/>
      <c r="R230" s="36"/>
      <c r="S230" s="36"/>
      <c r="T230" s="36"/>
      <c r="U230" s="36"/>
      <c r="V230" s="36"/>
      <c r="W230" s="23"/>
      <c r="X230" s="36"/>
      <c r="Y230" s="36"/>
      <c r="Z230" s="23"/>
      <c r="AA230" s="36"/>
      <c r="AB230" s="36"/>
      <c r="AC230" s="23"/>
      <c r="AD230" s="36"/>
      <c r="AE230" s="36"/>
      <c r="AF230" s="23"/>
    </row>
    <row r="231" spans="1:32" x14ac:dyDescent="0.25">
      <c r="A231" s="23"/>
      <c r="B231" s="23"/>
      <c r="C231" s="36"/>
      <c r="D231" s="36"/>
      <c r="E231" s="23"/>
      <c r="F231" s="36"/>
      <c r="G231" s="36"/>
      <c r="H231" s="23"/>
      <c r="I231" s="36"/>
      <c r="J231" s="36"/>
      <c r="K231" s="23"/>
      <c r="L231" s="36"/>
      <c r="M231" s="36"/>
      <c r="N231" s="23"/>
      <c r="O231" s="36"/>
      <c r="P231" s="36"/>
      <c r="Q231" s="36"/>
      <c r="R231" s="36"/>
      <c r="S231" s="36"/>
      <c r="T231" s="36"/>
      <c r="U231" s="36"/>
      <c r="V231" s="36"/>
      <c r="W231" s="23"/>
      <c r="X231" s="36"/>
      <c r="Y231" s="36"/>
      <c r="Z231" s="23"/>
      <c r="AA231" s="36"/>
      <c r="AB231" s="36"/>
      <c r="AC231" s="23"/>
      <c r="AD231" s="36"/>
      <c r="AE231" s="36"/>
      <c r="AF231" s="23"/>
    </row>
    <row r="232" spans="1:32" x14ac:dyDescent="0.25">
      <c r="A232" s="23"/>
      <c r="B232" s="23"/>
      <c r="C232" s="36"/>
      <c r="D232" s="36"/>
      <c r="E232" s="23"/>
      <c r="F232" s="36"/>
      <c r="G232" s="36"/>
      <c r="H232" s="23"/>
      <c r="I232" s="36"/>
      <c r="J232" s="36"/>
      <c r="K232" s="23"/>
      <c r="L232" s="36"/>
      <c r="M232" s="36"/>
      <c r="N232" s="23"/>
      <c r="O232" s="36"/>
      <c r="P232" s="36"/>
      <c r="Q232" s="36"/>
      <c r="R232" s="36"/>
      <c r="S232" s="36"/>
      <c r="T232" s="36"/>
      <c r="U232" s="36"/>
      <c r="V232" s="36"/>
      <c r="W232" s="23"/>
      <c r="X232" s="36"/>
      <c r="Y232" s="36"/>
      <c r="Z232" s="23"/>
      <c r="AA232" s="36"/>
      <c r="AB232" s="36"/>
      <c r="AC232" s="23"/>
      <c r="AD232" s="36"/>
      <c r="AE232" s="36"/>
      <c r="AF232" s="23"/>
    </row>
    <row r="233" spans="1:32" x14ac:dyDescent="0.25">
      <c r="A233" s="23"/>
      <c r="B233" s="23"/>
      <c r="C233" s="36"/>
      <c r="D233" s="36"/>
      <c r="E233" s="23"/>
      <c r="F233" s="36"/>
      <c r="G233" s="36"/>
      <c r="H233" s="23"/>
      <c r="I233" s="36"/>
      <c r="J233" s="36"/>
      <c r="K233" s="23"/>
      <c r="L233" s="36"/>
      <c r="M233" s="36"/>
      <c r="N233" s="23"/>
      <c r="O233" s="36"/>
      <c r="P233" s="36"/>
      <c r="Q233" s="36"/>
      <c r="R233" s="36"/>
      <c r="S233" s="36"/>
      <c r="T233" s="36"/>
      <c r="U233" s="36"/>
      <c r="V233" s="36"/>
      <c r="W233" s="23"/>
      <c r="X233" s="36"/>
      <c r="Y233" s="36"/>
      <c r="Z233" s="23"/>
      <c r="AA233" s="36"/>
      <c r="AB233" s="36"/>
      <c r="AC233" s="23"/>
      <c r="AD233" s="36"/>
      <c r="AE233" s="36"/>
      <c r="AF233" s="23"/>
    </row>
    <row r="234" spans="1:32" x14ac:dyDescent="0.25">
      <c r="A234" s="23"/>
      <c r="B234" s="23"/>
      <c r="C234" s="36"/>
      <c r="D234" s="36"/>
      <c r="E234" s="23"/>
      <c r="F234" s="36"/>
      <c r="G234" s="36"/>
      <c r="H234" s="23"/>
      <c r="I234" s="36"/>
      <c r="J234" s="36"/>
      <c r="K234" s="23"/>
      <c r="L234" s="36"/>
      <c r="M234" s="36"/>
      <c r="N234" s="23"/>
      <c r="O234" s="36"/>
      <c r="P234" s="36"/>
      <c r="Q234" s="36"/>
      <c r="R234" s="36"/>
      <c r="S234" s="36"/>
      <c r="T234" s="36"/>
      <c r="U234" s="36"/>
      <c r="V234" s="36"/>
      <c r="W234" s="23"/>
      <c r="X234" s="36"/>
      <c r="Y234" s="36"/>
      <c r="Z234" s="23"/>
      <c r="AA234" s="36"/>
      <c r="AB234" s="36"/>
      <c r="AC234" s="23"/>
      <c r="AD234" s="36"/>
      <c r="AE234" s="36"/>
      <c r="AF234" s="23"/>
    </row>
    <row r="235" spans="1:32" x14ac:dyDescent="0.25">
      <c r="A235" s="23"/>
      <c r="B235" s="23"/>
      <c r="C235" s="36"/>
      <c r="D235" s="36"/>
      <c r="E235" s="23"/>
      <c r="F235" s="36"/>
      <c r="G235" s="36"/>
      <c r="H235" s="23"/>
      <c r="I235" s="36"/>
      <c r="J235" s="36"/>
      <c r="K235" s="23"/>
      <c r="L235" s="36"/>
      <c r="M235" s="36"/>
      <c r="N235" s="23"/>
      <c r="O235" s="36"/>
      <c r="P235" s="36"/>
      <c r="Q235" s="36"/>
      <c r="R235" s="36"/>
      <c r="S235" s="36"/>
      <c r="T235" s="36"/>
      <c r="U235" s="36"/>
      <c r="V235" s="36"/>
      <c r="W235" s="23"/>
      <c r="X235" s="36"/>
      <c r="Y235" s="36"/>
      <c r="Z235" s="23"/>
      <c r="AA235" s="36"/>
      <c r="AB235" s="36"/>
      <c r="AC235" s="23"/>
      <c r="AD235" s="36"/>
      <c r="AE235" s="36"/>
      <c r="AF235" s="23"/>
    </row>
    <row r="236" spans="1:32" x14ac:dyDescent="0.25">
      <c r="A236" s="23"/>
      <c r="B236" s="23"/>
      <c r="C236" s="36"/>
      <c r="D236" s="36"/>
      <c r="E236" s="23"/>
      <c r="F236" s="36"/>
      <c r="G236" s="36"/>
      <c r="H236" s="23"/>
      <c r="I236" s="36"/>
      <c r="J236" s="36"/>
      <c r="K236" s="23"/>
      <c r="L236" s="36"/>
      <c r="M236" s="36"/>
      <c r="N236" s="23"/>
      <c r="O236" s="36"/>
      <c r="P236" s="36"/>
      <c r="Q236" s="36"/>
      <c r="R236" s="36"/>
      <c r="S236" s="36"/>
      <c r="T236" s="36"/>
      <c r="U236" s="36"/>
      <c r="V236" s="36"/>
      <c r="W236" s="23"/>
      <c r="X236" s="36"/>
      <c r="Y236" s="36"/>
      <c r="Z236" s="23"/>
      <c r="AA236" s="36"/>
      <c r="AB236" s="36"/>
      <c r="AC236" s="23"/>
      <c r="AD236" s="36"/>
      <c r="AE236" s="36"/>
      <c r="AF236" s="23"/>
    </row>
    <row r="237" spans="1:32" x14ac:dyDescent="0.25">
      <c r="A237" s="23"/>
      <c r="B237" s="23"/>
      <c r="C237" s="36"/>
      <c r="D237" s="36"/>
      <c r="E237" s="23"/>
      <c r="F237" s="36"/>
      <c r="G237" s="36"/>
      <c r="H237" s="23"/>
      <c r="I237" s="36"/>
      <c r="J237" s="36"/>
      <c r="K237" s="23"/>
      <c r="L237" s="36"/>
      <c r="M237" s="36"/>
      <c r="N237" s="23"/>
      <c r="O237" s="36"/>
      <c r="P237" s="36"/>
      <c r="Q237" s="36"/>
      <c r="R237" s="36"/>
      <c r="S237" s="36"/>
      <c r="T237" s="36"/>
      <c r="U237" s="36"/>
      <c r="V237" s="36"/>
      <c r="W237" s="23"/>
      <c r="X237" s="36"/>
      <c r="Y237" s="36"/>
      <c r="Z237" s="23"/>
      <c r="AA237" s="36"/>
      <c r="AB237" s="36"/>
      <c r="AC237" s="23"/>
      <c r="AD237" s="36"/>
      <c r="AE237" s="36"/>
      <c r="AF237" s="23"/>
    </row>
    <row r="238" spans="1:32" x14ac:dyDescent="0.25">
      <c r="A238" s="23"/>
      <c r="B238" s="23"/>
      <c r="C238" s="36"/>
      <c r="D238" s="36"/>
      <c r="E238" s="23"/>
      <c r="F238" s="36"/>
      <c r="G238" s="36"/>
      <c r="H238" s="23"/>
      <c r="I238" s="36"/>
      <c r="J238" s="36"/>
      <c r="K238" s="23"/>
      <c r="L238" s="36"/>
      <c r="M238" s="36"/>
      <c r="N238" s="23"/>
      <c r="O238" s="36"/>
      <c r="P238" s="36"/>
      <c r="Q238" s="36"/>
      <c r="R238" s="36"/>
      <c r="S238" s="36"/>
      <c r="T238" s="36"/>
      <c r="U238" s="36"/>
      <c r="V238" s="36"/>
      <c r="W238" s="23"/>
      <c r="X238" s="36"/>
      <c r="Y238" s="36"/>
      <c r="Z238" s="23"/>
      <c r="AA238" s="36"/>
      <c r="AB238" s="36"/>
      <c r="AC238" s="23"/>
      <c r="AD238" s="36"/>
      <c r="AE238" s="36"/>
      <c r="AF238" s="23"/>
    </row>
    <row r="239" spans="1:32" x14ac:dyDescent="0.25">
      <c r="A239" s="23"/>
      <c r="B239" s="23"/>
      <c r="C239" s="36"/>
      <c r="D239" s="36"/>
      <c r="E239" s="23"/>
      <c r="F239" s="36"/>
      <c r="G239" s="36"/>
      <c r="H239" s="23"/>
      <c r="I239" s="36"/>
      <c r="J239" s="36"/>
      <c r="K239" s="23"/>
      <c r="L239" s="36"/>
      <c r="M239" s="36"/>
      <c r="N239" s="23"/>
      <c r="O239" s="36"/>
      <c r="P239" s="36"/>
      <c r="Q239" s="36"/>
      <c r="R239" s="36"/>
      <c r="S239" s="36"/>
      <c r="T239" s="36"/>
      <c r="U239" s="36"/>
      <c r="V239" s="36"/>
      <c r="W239" s="23"/>
      <c r="X239" s="36"/>
      <c r="Y239" s="36"/>
      <c r="Z239" s="23"/>
      <c r="AA239" s="36"/>
      <c r="AB239" s="36"/>
      <c r="AC239" s="23"/>
      <c r="AD239" s="36"/>
      <c r="AE239" s="36"/>
      <c r="AF239" s="23"/>
    </row>
    <row r="240" spans="1:32" x14ac:dyDescent="0.25">
      <c r="A240" s="23"/>
      <c r="B240" s="23"/>
      <c r="C240" s="36"/>
      <c r="D240" s="36"/>
      <c r="E240" s="23"/>
      <c r="F240" s="36"/>
      <c r="G240" s="36"/>
      <c r="H240" s="23"/>
      <c r="I240" s="36"/>
      <c r="J240" s="36"/>
      <c r="K240" s="23"/>
      <c r="L240" s="36"/>
      <c r="M240" s="36"/>
      <c r="N240" s="23"/>
      <c r="O240" s="36"/>
      <c r="P240" s="36"/>
      <c r="Q240" s="36"/>
      <c r="R240" s="36"/>
      <c r="S240" s="36"/>
      <c r="T240" s="36"/>
      <c r="U240" s="36"/>
      <c r="V240" s="36"/>
      <c r="W240" s="23"/>
      <c r="X240" s="36"/>
      <c r="Y240" s="36"/>
      <c r="Z240" s="23"/>
      <c r="AA240" s="36"/>
      <c r="AB240" s="36"/>
      <c r="AC240" s="23"/>
      <c r="AD240" s="36"/>
      <c r="AE240" s="36"/>
      <c r="AF240" s="23"/>
    </row>
    <row r="241" spans="1:32" x14ac:dyDescent="0.25">
      <c r="A241" s="23"/>
      <c r="B241" s="23"/>
      <c r="C241" s="36"/>
      <c r="D241" s="36"/>
      <c r="E241" s="23"/>
      <c r="F241" s="36"/>
      <c r="G241" s="36"/>
      <c r="H241" s="23"/>
      <c r="I241" s="36"/>
      <c r="J241" s="36"/>
      <c r="K241" s="23"/>
      <c r="L241" s="36"/>
      <c r="M241" s="36"/>
      <c r="N241" s="23"/>
      <c r="O241" s="36"/>
      <c r="P241" s="36"/>
      <c r="Q241" s="36"/>
      <c r="R241" s="36"/>
      <c r="S241" s="36"/>
      <c r="T241" s="36"/>
      <c r="U241" s="36"/>
      <c r="V241" s="36"/>
      <c r="W241" s="23"/>
      <c r="X241" s="36"/>
      <c r="Y241" s="36"/>
      <c r="Z241" s="23"/>
      <c r="AA241" s="36"/>
      <c r="AB241" s="36"/>
      <c r="AC241" s="23"/>
      <c r="AD241" s="36"/>
      <c r="AE241" s="36"/>
      <c r="AF241" s="23"/>
    </row>
    <row r="242" spans="1:32" x14ac:dyDescent="0.25">
      <c r="A242" s="23"/>
      <c r="B242" s="23"/>
      <c r="C242" s="36"/>
      <c r="D242" s="36"/>
      <c r="E242" s="23"/>
      <c r="F242" s="36"/>
      <c r="G242" s="36"/>
      <c r="H242" s="23"/>
      <c r="I242" s="36"/>
      <c r="J242" s="36"/>
      <c r="K242" s="23"/>
      <c r="L242" s="36"/>
      <c r="M242" s="36"/>
      <c r="N242" s="23"/>
      <c r="O242" s="36"/>
      <c r="P242" s="36"/>
      <c r="Q242" s="36"/>
      <c r="R242" s="36"/>
      <c r="S242" s="36"/>
      <c r="T242" s="36"/>
      <c r="U242" s="36"/>
      <c r="V242" s="36"/>
      <c r="W242" s="23"/>
      <c r="X242" s="36"/>
      <c r="Y242" s="36"/>
      <c r="Z242" s="23"/>
      <c r="AA242" s="36"/>
      <c r="AB242" s="36"/>
      <c r="AC242" s="23"/>
      <c r="AD242" s="36"/>
      <c r="AE242" s="36"/>
      <c r="AF242" s="23"/>
    </row>
    <row r="243" spans="1:32" x14ac:dyDescent="0.25">
      <c r="A243" s="23"/>
      <c r="B243" s="23"/>
      <c r="C243" s="36"/>
      <c r="D243" s="36"/>
      <c r="E243" s="23"/>
      <c r="F243" s="36"/>
      <c r="G243" s="36"/>
      <c r="H243" s="23"/>
      <c r="I243" s="36"/>
      <c r="J243" s="36"/>
      <c r="K243" s="23"/>
      <c r="L243" s="36"/>
      <c r="M243" s="36"/>
      <c r="N243" s="23"/>
      <c r="O243" s="36"/>
      <c r="P243" s="36"/>
      <c r="Q243" s="36"/>
      <c r="R243" s="36"/>
      <c r="S243" s="36"/>
      <c r="T243" s="36"/>
      <c r="U243" s="36"/>
      <c r="V243" s="36"/>
      <c r="W243" s="23"/>
      <c r="X243" s="36"/>
      <c r="Y243" s="36"/>
      <c r="Z243" s="23"/>
      <c r="AA243" s="36"/>
      <c r="AB243" s="36"/>
      <c r="AC243" s="23"/>
      <c r="AD243" s="36"/>
      <c r="AE243" s="36"/>
      <c r="AF243" s="23"/>
    </row>
    <row r="244" spans="1:32" x14ac:dyDescent="0.25">
      <c r="A244" s="23"/>
      <c r="B244" s="23"/>
      <c r="C244" s="36"/>
      <c r="D244" s="36"/>
      <c r="E244" s="23"/>
      <c r="F244" s="36"/>
      <c r="G244" s="36"/>
      <c r="H244" s="23"/>
      <c r="I244" s="36"/>
      <c r="J244" s="36"/>
      <c r="K244" s="23"/>
      <c r="L244" s="36"/>
      <c r="M244" s="36"/>
      <c r="N244" s="23"/>
      <c r="O244" s="36"/>
      <c r="P244" s="36"/>
      <c r="Q244" s="36"/>
      <c r="R244" s="36"/>
      <c r="S244" s="36"/>
      <c r="T244" s="36"/>
      <c r="U244" s="36"/>
      <c r="V244" s="36"/>
      <c r="W244" s="23"/>
      <c r="X244" s="36"/>
      <c r="Y244" s="36"/>
      <c r="Z244" s="23"/>
      <c r="AA244" s="36"/>
      <c r="AB244" s="36"/>
      <c r="AC244" s="23"/>
      <c r="AD244" s="36"/>
      <c r="AE244" s="36"/>
      <c r="AF244" s="23"/>
    </row>
    <row r="245" spans="1:32" x14ac:dyDescent="0.25">
      <c r="A245" s="23"/>
      <c r="B245" s="23"/>
      <c r="C245" s="36"/>
      <c r="D245" s="36"/>
      <c r="E245" s="23"/>
      <c r="F245" s="36"/>
      <c r="G245" s="36"/>
      <c r="H245" s="23"/>
      <c r="I245" s="36"/>
      <c r="J245" s="36"/>
      <c r="K245" s="23"/>
      <c r="L245" s="36"/>
      <c r="M245" s="36"/>
      <c r="N245" s="23"/>
      <c r="O245" s="36"/>
      <c r="P245" s="36"/>
      <c r="Q245" s="36"/>
      <c r="R245" s="36"/>
      <c r="S245" s="36"/>
      <c r="T245" s="36"/>
      <c r="U245" s="36"/>
      <c r="V245" s="36"/>
      <c r="W245" s="23"/>
      <c r="X245" s="36"/>
      <c r="Y245" s="36"/>
      <c r="Z245" s="23"/>
      <c r="AA245" s="36"/>
      <c r="AB245" s="36"/>
      <c r="AC245" s="23"/>
      <c r="AD245" s="36"/>
      <c r="AE245" s="36"/>
      <c r="AF245" s="23"/>
    </row>
    <row r="246" spans="1:32" x14ac:dyDescent="0.25">
      <c r="A246" s="23"/>
      <c r="B246" s="23"/>
      <c r="C246" s="36"/>
      <c r="D246" s="36"/>
      <c r="E246" s="23"/>
      <c r="F246" s="36"/>
      <c r="G246" s="36"/>
      <c r="H246" s="23"/>
      <c r="I246" s="36"/>
      <c r="J246" s="36"/>
      <c r="K246" s="23"/>
      <c r="L246" s="36"/>
      <c r="M246" s="36"/>
      <c r="N246" s="23"/>
      <c r="O246" s="36"/>
      <c r="P246" s="36"/>
      <c r="Q246" s="36"/>
      <c r="R246" s="36"/>
      <c r="S246" s="36"/>
      <c r="T246" s="36"/>
      <c r="U246" s="36"/>
      <c r="V246" s="36"/>
      <c r="W246" s="23"/>
      <c r="X246" s="36"/>
      <c r="Y246" s="36"/>
      <c r="Z246" s="23"/>
      <c r="AA246" s="36"/>
      <c r="AB246" s="36"/>
      <c r="AC246" s="23"/>
      <c r="AD246" s="36"/>
      <c r="AE246" s="36"/>
      <c r="AF246" s="23"/>
    </row>
    <row r="247" spans="1:32" x14ac:dyDescent="0.25">
      <c r="A247" s="23"/>
      <c r="B247" s="23"/>
      <c r="C247" s="36"/>
      <c r="D247" s="36"/>
      <c r="E247" s="23"/>
      <c r="F247" s="36"/>
      <c r="G247" s="36"/>
      <c r="H247" s="23"/>
      <c r="I247" s="36"/>
      <c r="J247" s="36"/>
      <c r="K247" s="23"/>
      <c r="L247" s="36"/>
      <c r="M247" s="36"/>
      <c r="N247" s="23"/>
      <c r="O247" s="36"/>
      <c r="P247" s="36"/>
      <c r="Q247" s="36"/>
      <c r="R247" s="36"/>
      <c r="S247" s="36"/>
      <c r="T247" s="36"/>
      <c r="U247" s="36"/>
      <c r="V247" s="36"/>
      <c r="W247" s="23"/>
      <c r="X247" s="36"/>
      <c r="Y247" s="36"/>
      <c r="Z247" s="23"/>
      <c r="AA247" s="36"/>
      <c r="AB247" s="36"/>
      <c r="AC247" s="23"/>
      <c r="AD247" s="36"/>
      <c r="AE247" s="36"/>
      <c r="AF247" s="23"/>
    </row>
    <row r="248" spans="1:32" x14ac:dyDescent="0.25">
      <c r="A248" s="23"/>
      <c r="B248" s="23"/>
      <c r="C248" s="36"/>
      <c r="D248" s="36"/>
      <c r="E248" s="23"/>
      <c r="F248" s="36"/>
      <c r="G248" s="36"/>
      <c r="H248" s="23"/>
      <c r="I248" s="36"/>
      <c r="J248" s="36"/>
      <c r="K248" s="23"/>
      <c r="L248" s="36"/>
      <c r="M248" s="36"/>
      <c r="N248" s="23"/>
      <c r="O248" s="36"/>
      <c r="P248" s="36"/>
      <c r="Q248" s="36"/>
      <c r="R248" s="36"/>
      <c r="S248" s="36"/>
      <c r="T248" s="36"/>
      <c r="U248" s="36"/>
      <c r="V248" s="36"/>
      <c r="W248" s="23"/>
      <c r="X248" s="36"/>
      <c r="Y248" s="36"/>
      <c r="Z248" s="23"/>
      <c r="AA248" s="36"/>
      <c r="AB248" s="36"/>
      <c r="AC248" s="23"/>
      <c r="AD248" s="36"/>
      <c r="AE248" s="36"/>
      <c r="AF248" s="23"/>
    </row>
    <row r="249" spans="1:32" x14ac:dyDescent="0.25">
      <c r="A249" s="23"/>
      <c r="B249" s="23"/>
      <c r="C249" s="36"/>
      <c r="D249" s="36"/>
      <c r="E249" s="23"/>
      <c r="F249" s="36"/>
      <c r="G249" s="36"/>
      <c r="H249" s="23"/>
      <c r="I249" s="36"/>
      <c r="J249" s="36"/>
      <c r="K249" s="23"/>
      <c r="L249" s="36"/>
      <c r="M249" s="36"/>
      <c r="N249" s="23"/>
      <c r="O249" s="36"/>
      <c r="P249" s="36"/>
      <c r="Q249" s="36"/>
      <c r="R249" s="36"/>
      <c r="S249" s="36"/>
      <c r="T249" s="36"/>
      <c r="U249" s="36"/>
      <c r="V249" s="36"/>
      <c r="W249" s="23"/>
      <c r="X249" s="36"/>
      <c r="Y249" s="36"/>
      <c r="Z249" s="23"/>
      <c r="AA249" s="36"/>
      <c r="AB249" s="36"/>
      <c r="AC249" s="23"/>
      <c r="AD249" s="36"/>
      <c r="AE249" s="36"/>
      <c r="AF249" s="23"/>
    </row>
    <row r="250" spans="1:32" x14ac:dyDescent="0.25">
      <c r="A250" s="23"/>
      <c r="B250" s="23"/>
      <c r="C250" s="36"/>
      <c r="D250" s="36"/>
      <c r="E250" s="23"/>
      <c r="F250" s="36"/>
      <c r="G250" s="36"/>
      <c r="H250" s="23"/>
      <c r="I250" s="36"/>
      <c r="J250" s="36"/>
      <c r="K250" s="23"/>
      <c r="L250" s="36"/>
      <c r="M250" s="36"/>
      <c r="N250" s="23"/>
      <c r="O250" s="36"/>
      <c r="P250" s="36"/>
      <c r="Q250" s="36"/>
      <c r="R250" s="36"/>
      <c r="S250" s="36"/>
      <c r="T250" s="36"/>
      <c r="U250" s="36"/>
      <c r="V250" s="36"/>
      <c r="W250" s="23"/>
      <c r="X250" s="36"/>
      <c r="Y250" s="36"/>
      <c r="Z250" s="23"/>
      <c r="AA250" s="36"/>
      <c r="AB250" s="36"/>
      <c r="AC250" s="23"/>
      <c r="AD250" s="36"/>
      <c r="AE250" s="36"/>
      <c r="AF250" s="23"/>
    </row>
    <row r="251" spans="1:32" x14ac:dyDescent="0.25">
      <c r="A251" s="23"/>
      <c r="B251" s="23"/>
      <c r="C251" s="36"/>
      <c r="D251" s="36"/>
      <c r="E251" s="23"/>
      <c r="F251" s="36"/>
      <c r="G251" s="36"/>
      <c r="H251" s="23"/>
      <c r="I251" s="36"/>
      <c r="J251" s="36"/>
      <c r="K251" s="23"/>
      <c r="L251" s="36"/>
      <c r="M251" s="36"/>
      <c r="N251" s="23"/>
      <c r="O251" s="36"/>
      <c r="P251" s="36"/>
      <c r="Q251" s="36"/>
      <c r="R251" s="36"/>
      <c r="S251" s="36"/>
      <c r="T251" s="36"/>
      <c r="U251" s="36"/>
      <c r="V251" s="36"/>
      <c r="W251" s="23"/>
      <c r="X251" s="36"/>
      <c r="Y251" s="36"/>
      <c r="Z251" s="23"/>
      <c r="AA251" s="36"/>
      <c r="AB251" s="36"/>
      <c r="AC251" s="23"/>
      <c r="AD251" s="36"/>
      <c r="AE251" s="36"/>
      <c r="AF251" s="23"/>
    </row>
    <row r="252" spans="1:32" x14ac:dyDescent="0.25">
      <c r="A252" s="23"/>
      <c r="B252" s="23"/>
      <c r="C252" s="36"/>
      <c r="D252" s="36"/>
      <c r="E252" s="23"/>
      <c r="F252" s="36"/>
      <c r="G252" s="36"/>
      <c r="H252" s="23"/>
      <c r="I252" s="36"/>
      <c r="J252" s="36"/>
      <c r="K252" s="23"/>
      <c r="L252" s="36"/>
      <c r="M252" s="36"/>
      <c r="N252" s="23"/>
      <c r="O252" s="36"/>
      <c r="P252" s="36"/>
      <c r="Q252" s="36"/>
      <c r="R252" s="36"/>
      <c r="S252" s="36"/>
      <c r="T252" s="36"/>
      <c r="U252" s="36"/>
      <c r="V252" s="36"/>
      <c r="W252" s="23"/>
      <c r="X252" s="36"/>
      <c r="Y252" s="36"/>
      <c r="Z252" s="23"/>
      <c r="AA252" s="36"/>
      <c r="AB252" s="36"/>
      <c r="AC252" s="23"/>
      <c r="AD252" s="36"/>
      <c r="AE252" s="36"/>
      <c r="AF252" s="23"/>
    </row>
    <row r="253" spans="1:32" x14ac:dyDescent="0.25">
      <c r="A253" s="23"/>
      <c r="B253" s="23"/>
      <c r="C253" s="36"/>
      <c r="D253" s="36"/>
      <c r="E253" s="23"/>
      <c r="F253" s="36"/>
      <c r="G253" s="36"/>
      <c r="H253" s="23"/>
      <c r="I253" s="36"/>
      <c r="J253" s="36"/>
      <c r="K253" s="23"/>
      <c r="L253" s="36"/>
      <c r="M253" s="36"/>
      <c r="N253" s="23"/>
      <c r="O253" s="36"/>
      <c r="P253" s="36"/>
      <c r="Q253" s="36"/>
      <c r="R253" s="36"/>
      <c r="S253" s="36"/>
      <c r="T253" s="36"/>
      <c r="U253" s="36"/>
      <c r="V253" s="36"/>
      <c r="W253" s="23"/>
      <c r="X253" s="36"/>
      <c r="Y253" s="36"/>
      <c r="Z253" s="23"/>
      <c r="AA253" s="36"/>
      <c r="AB253" s="36"/>
      <c r="AC253" s="23"/>
      <c r="AD253" s="36"/>
      <c r="AE253" s="36"/>
      <c r="AF253" s="23"/>
    </row>
    <row r="254" spans="1:32" x14ac:dyDescent="0.25">
      <c r="A254" s="23"/>
      <c r="B254" s="23"/>
      <c r="C254" s="36"/>
      <c r="D254" s="36"/>
      <c r="E254" s="23"/>
      <c r="F254" s="36"/>
      <c r="G254" s="36"/>
      <c r="H254" s="23"/>
      <c r="I254" s="36"/>
      <c r="J254" s="36"/>
      <c r="K254" s="23"/>
      <c r="L254" s="36"/>
      <c r="M254" s="36"/>
      <c r="N254" s="23"/>
      <c r="O254" s="36"/>
      <c r="P254" s="36"/>
      <c r="Q254" s="36"/>
      <c r="R254" s="36"/>
      <c r="S254" s="36"/>
      <c r="T254" s="36"/>
      <c r="U254" s="36"/>
      <c r="V254" s="36"/>
      <c r="W254" s="23"/>
      <c r="X254" s="36"/>
      <c r="Y254" s="36"/>
      <c r="Z254" s="23"/>
      <c r="AA254" s="36"/>
      <c r="AB254" s="36"/>
      <c r="AC254" s="23"/>
      <c r="AD254" s="36"/>
      <c r="AE254" s="36"/>
      <c r="AF254" s="23"/>
    </row>
    <row r="255" spans="1:32" x14ac:dyDescent="0.25">
      <c r="A255" s="23"/>
      <c r="B255" s="23"/>
      <c r="C255" s="36"/>
      <c r="D255" s="36"/>
      <c r="E255" s="23"/>
      <c r="F255" s="36"/>
      <c r="G255" s="36"/>
      <c r="H255" s="23"/>
      <c r="I255" s="36"/>
      <c r="J255" s="36"/>
      <c r="K255" s="23"/>
      <c r="L255" s="36"/>
      <c r="M255" s="36"/>
      <c r="N255" s="23"/>
      <c r="O255" s="36"/>
      <c r="P255" s="36"/>
      <c r="Q255" s="36"/>
      <c r="R255" s="36"/>
      <c r="S255" s="36"/>
      <c r="T255" s="36"/>
      <c r="U255" s="36"/>
      <c r="V255" s="36"/>
      <c r="W255" s="23"/>
      <c r="X255" s="36"/>
      <c r="Y255" s="36"/>
      <c r="Z255" s="23"/>
      <c r="AA255" s="36"/>
      <c r="AB255" s="36"/>
      <c r="AC255" s="23"/>
      <c r="AD255" s="36"/>
      <c r="AE255" s="36"/>
      <c r="AF255" s="23"/>
    </row>
    <row r="256" spans="1:32" x14ac:dyDescent="0.25">
      <c r="A256" s="23"/>
      <c r="B256" s="23"/>
      <c r="C256" s="36"/>
      <c r="D256" s="36"/>
      <c r="E256" s="23"/>
      <c r="F256" s="36"/>
      <c r="G256" s="36"/>
      <c r="H256" s="23"/>
      <c r="I256" s="36"/>
      <c r="J256" s="36"/>
      <c r="K256" s="23"/>
      <c r="L256" s="36"/>
      <c r="M256" s="36"/>
      <c r="N256" s="23"/>
      <c r="O256" s="36"/>
      <c r="P256" s="36"/>
      <c r="Q256" s="36"/>
      <c r="R256" s="36"/>
      <c r="S256" s="36"/>
      <c r="T256" s="36"/>
      <c r="U256" s="36"/>
      <c r="V256" s="36"/>
      <c r="W256" s="23"/>
      <c r="X256" s="36"/>
      <c r="Y256" s="36"/>
      <c r="Z256" s="23"/>
      <c r="AA256" s="36"/>
      <c r="AB256" s="36"/>
      <c r="AC256" s="23"/>
      <c r="AD256" s="36"/>
      <c r="AE256" s="36"/>
      <c r="AF256" s="23"/>
    </row>
    <row r="257" spans="1:32" x14ac:dyDescent="0.25">
      <c r="A257" s="23"/>
      <c r="B257" s="23"/>
      <c r="C257" s="36"/>
      <c r="D257" s="36"/>
      <c r="E257" s="23"/>
      <c r="F257" s="36"/>
      <c r="G257" s="36"/>
      <c r="H257" s="23"/>
      <c r="I257" s="36"/>
      <c r="J257" s="36"/>
      <c r="K257" s="23"/>
      <c r="L257" s="36"/>
      <c r="M257" s="36"/>
      <c r="N257" s="23"/>
      <c r="O257" s="36"/>
      <c r="P257" s="36"/>
      <c r="Q257" s="36"/>
      <c r="R257" s="36"/>
      <c r="S257" s="36"/>
      <c r="T257" s="36"/>
      <c r="U257" s="36"/>
      <c r="V257" s="36"/>
      <c r="W257" s="23"/>
      <c r="X257" s="36"/>
      <c r="Y257" s="36"/>
      <c r="Z257" s="23"/>
      <c r="AA257" s="36"/>
      <c r="AB257" s="36"/>
      <c r="AC257" s="23"/>
      <c r="AD257" s="36"/>
      <c r="AE257" s="36"/>
      <c r="AF257" s="23"/>
    </row>
    <row r="258" spans="1:32" x14ac:dyDescent="0.25">
      <c r="A258" s="23"/>
      <c r="B258" s="23"/>
      <c r="C258" s="36"/>
      <c r="D258" s="36"/>
      <c r="E258" s="23"/>
      <c r="F258" s="36"/>
      <c r="G258" s="36"/>
      <c r="H258" s="23"/>
      <c r="I258" s="36"/>
      <c r="J258" s="36"/>
      <c r="K258" s="23"/>
      <c r="L258" s="36"/>
      <c r="M258" s="36"/>
      <c r="N258" s="23"/>
      <c r="O258" s="36"/>
      <c r="P258" s="36"/>
      <c r="Q258" s="36"/>
      <c r="R258" s="36"/>
      <c r="S258" s="36"/>
      <c r="T258" s="36"/>
      <c r="U258" s="36"/>
      <c r="V258" s="36"/>
      <c r="W258" s="23"/>
      <c r="X258" s="36"/>
      <c r="Y258" s="36"/>
      <c r="Z258" s="23"/>
      <c r="AA258" s="36"/>
      <c r="AB258" s="36"/>
      <c r="AC258" s="23"/>
      <c r="AD258" s="36"/>
      <c r="AE258" s="36"/>
      <c r="AF258" s="23"/>
    </row>
    <row r="259" spans="1:32" x14ac:dyDescent="0.25">
      <c r="A259" s="23"/>
      <c r="B259" s="23"/>
      <c r="C259" s="36"/>
      <c r="D259" s="36"/>
      <c r="E259" s="23"/>
      <c r="F259" s="36"/>
      <c r="G259" s="36"/>
      <c r="H259" s="23"/>
      <c r="I259" s="36"/>
      <c r="J259" s="36"/>
      <c r="K259" s="23"/>
      <c r="L259" s="36"/>
      <c r="M259" s="36"/>
      <c r="N259" s="23"/>
      <c r="O259" s="36"/>
      <c r="P259" s="36"/>
      <c r="Q259" s="36"/>
      <c r="R259" s="36"/>
      <c r="S259" s="36"/>
      <c r="T259" s="36"/>
      <c r="U259" s="36"/>
      <c r="V259" s="36"/>
      <c r="W259" s="23"/>
      <c r="X259" s="36"/>
      <c r="Y259" s="36"/>
      <c r="Z259" s="23"/>
      <c r="AA259" s="36"/>
      <c r="AB259" s="36"/>
      <c r="AC259" s="23"/>
      <c r="AD259" s="36"/>
      <c r="AE259" s="36"/>
      <c r="AF259" s="23"/>
    </row>
    <row r="260" spans="1:32" x14ac:dyDescent="0.25">
      <c r="A260" s="23"/>
      <c r="B260" s="23"/>
      <c r="C260" s="36"/>
      <c r="D260" s="36"/>
      <c r="E260" s="23"/>
      <c r="F260" s="36"/>
      <c r="G260" s="36"/>
      <c r="H260" s="23"/>
      <c r="I260" s="36"/>
      <c r="J260" s="36"/>
      <c r="K260" s="23"/>
      <c r="L260" s="36"/>
      <c r="M260" s="36"/>
      <c r="N260" s="23"/>
      <c r="O260" s="36"/>
      <c r="P260" s="36"/>
      <c r="Q260" s="36"/>
      <c r="R260" s="36"/>
      <c r="S260" s="36"/>
      <c r="T260" s="36"/>
      <c r="U260" s="36"/>
      <c r="V260" s="36"/>
      <c r="W260" s="23"/>
      <c r="X260" s="36"/>
      <c r="Y260" s="36"/>
      <c r="Z260" s="23"/>
      <c r="AA260" s="36"/>
      <c r="AB260" s="36"/>
      <c r="AC260" s="23"/>
      <c r="AD260" s="36"/>
      <c r="AE260" s="36"/>
      <c r="AF260" s="23"/>
    </row>
    <row r="261" spans="1:32" x14ac:dyDescent="0.25">
      <c r="A261" s="23"/>
      <c r="B261" s="23"/>
      <c r="C261" s="36"/>
      <c r="D261" s="36"/>
      <c r="E261" s="23"/>
      <c r="F261" s="36"/>
      <c r="G261" s="36"/>
      <c r="H261" s="23"/>
      <c r="I261" s="36"/>
      <c r="J261" s="36"/>
      <c r="K261" s="23"/>
      <c r="L261" s="36"/>
      <c r="M261" s="36"/>
      <c r="N261" s="23"/>
      <c r="O261" s="36"/>
      <c r="P261" s="36"/>
      <c r="Q261" s="36"/>
      <c r="R261" s="36"/>
      <c r="S261" s="36"/>
      <c r="T261" s="36"/>
      <c r="U261" s="36"/>
      <c r="V261" s="36"/>
      <c r="W261" s="23"/>
      <c r="X261" s="36"/>
      <c r="Y261" s="36"/>
      <c r="Z261" s="23"/>
      <c r="AA261" s="36"/>
      <c r="AB261" s="36"/>
      <c r="AC261" s="23"/>
      <c r="AD261" s="36"/>
      <c r="AE261" s="36"/>
      <c r="AF261" s="23"/>
    </row>
    <row r="262" spans="1:32" x14ac:dyDescent="0.25">
      <c r="A262" s="23"/>
      <c r="B262" s="23"/>
      <c r="C262" s="36"/>
      <c r="D262" s="36"/>
      <c r="E262" s="23"/>
      <c r="F262" s="36"/>
      <c r="G262" s="36"/>
      <c r="H262" s="23"/>
      <c r="I262" s="36"/>
      <c r="J262" s="36"/>
      <c r="K262" s="23"/>
      <c r="L262" s="36"/>
      <c r="M262" s="36"/>
      <c r="N262" s="23"/>
      <c r="O262" s="36"/>
      <c r="P262" s="36"/>
      <c r="Q262" s="36"/>
      <c r="R262" s="36"/>
      <c r="S262" s="36"/>
      <c r="T262" s="36"/>
      <c r="U262" s="36"/>
      <c r="V262" s="36"/>
      <c r="W262" s="23"/>
      <c r="X262" s="36"/>
      <c r="Y262" s="36"/>
      <c r="Z262" s="23"/>
      <c r="AA262" s="36"/>
      <c r="AB262" s="36"/>
      <c r="AC262" s="23"/>
      <c r="AD262" s="36"/>
      <c r="AE262" s="36"/>
      <c r="AF262" s="23"/>
    </row>
    <row r="263" spans="1:32" x14ac:dyDescent="0.25">
      <c r="A263" s="23"/>
      <c r="B263" s="23"/>
      <c r="C263" s="36"/>
      <c r="D263" s="36"/>
      <c r="E263" s="23"/>
      <c r="F263" s="36"/>
      <c r="G263" s="36"/>
      <c r="H263" s="23"/>
      <c r="I263" s="36"/>
      <c r="J263" s="36"/>
      <c r="K263" s="23"/>
      <c r="L263" s="36"/>
      <c r="M263" s="36"/>
      <c r="N263" s="23"/>
      <c r="O263" s="36"/>
      <c r="P263" s="36"/>
      <c r="Q263" s="36"/>
      <c r="R263" s="36"/>
      <c r="S263" s="36"/>
      <c r="T263" s="36"/>
      <c r="U263" s="36"/>
      <c r="V263" s="36"/>
      <c r="W263" s="23"/>
      <c r="X263" s="36"/>
      <c r="Y263" s="36"/>
      <c r="Z263" s="23"/>
      <c r="AA263" s="36"/>
      <c r="AB263" s="36"/>
      <c r="AC263" s="23"/>
      <c r="AD263" s="36"/>
      <c r="AE263" s="36"/>
      <c r="AF263" s="23"/>
    </row>
    <row r="264" spans="1:32" x14ac:dyDescent="0.25">
      <c r="A264" s="23"/>
      <c r="B264" s="23"/>
      <c r="C264" s="36"/>
      <c r="D264" s="36"/>
      <c r="E264" s="23"/>
      <c r="F264" s="36"/>
      <c r="G264" s="36"/>
      <c r="H264" s="23"/>
      <c r="I264" s="36"/>
      <c r="J264" s="36"/>
      <c r="K264" s="23"/>
      <c r="L264" s="36"/>
      <c r="M264" s="36"/>
      <c r="N264" s="23"/>
      <c r="O264" s="36"/>
      <c r="P264" s="36"/>
      <c r="Q264" s="36"/>
      <c r="R264" s="36"/>
      <c r="S264" s="36"/>
      <c r="T264" s="36"/>
      <c r="U264" s="36"/>
      <c r="V264" s="36"/>
      <c r="W264" s="23"/>
      <c r="X264" s="36"/>
      <c r="Y264" s="36"/>
      <c r="Z264" s="23"/>
      <c r="AA264" s="36"/>
      <c r="AB264" s="36"/>
      <c r="AC264" s="23"/>
      <c r="AD264" s="36"/>
      <c r="AE264" s="36"/>
      <c r="AF264" s="23"/>
    </row>
    <row r="265" spans="1:32" x14ac:dyDescent="0.25">
      <c r="A265" s="23"/>
      <c r="B265" s="23"/>
      <c r="C265" s="36"/>
      <c r="D265" s="36"/>
      <c r="E265" s="23"/>
      <c r="F265" s="36"/>
      <c r="G265" s="36"/>
      <c r="H265" s="23"/>
      <c r="I265" s="36"/>
      <c r="J265" s="36"/>
      <c r="K265" s="23"/>
      <c r="L265" s="36"/>
      <c r="M265" s="36"/>
      <c r="N265" s="23"/>
      <c r="O265" s="36"/>
      <c r="P265" s="36"/>
      <c r="Q265" s="36"/>
      <c r="R265" s="36"/>
      <c r="S265" s="36"/>
      <c r="T265" s="36"/>
      <c r="U265" s="36"/>
      <c r="V265" s="36"/>
      <c r="W265" s="23"/>
      <c r="X265" s="36"/>
      <c r="Y265" s="36"/>
      <c r="Z265" s="23"/>
      <c r="AA265" s="36"/>
      <c r="AB265" s="36"/>
      <c r="AC265" s="23"/>
      <c r="AD265" s="36"/>
      <c r="AE265" s="36"/>
      <c r="AF265" s="23"/>
    </row>
    <row r="266" spans="1:32" x14ac:dyDescent="0.25">
      <c r="A266" s="23"/>
      <c r="B266" s="23"/>
      <c r="C266" s="36"/>
      <c r="D266" s="36"/>
      <c r="E266" s="23"/>
      <c r="F266" s="36"/>
      <c r="G266" s="36"/>
      <c r="H266" s="23"/>
      <c r="I266" s="36"/>
      <c r="J266" s="36"/>
      <c r="K266" s="23"/>
      <c r="L266" s="36"/>
      <c r="M266" s="36"/>
      <c r="N266" s="23"/>
      <c r="O266" s="36"/>
      <c r="P266" s="36"/>
      <c r="Q266" s="36"/>
      <c r="R266" s="36"/>
      <c r="S266" s="36"/>
      <c r="T266" s="36"/>
      <c r="U266" s="36"/>
      <c r="V266" s="36"/>
      <c r="W266" s="23"/>
      <c r="X266" s="36"/>
      <c r="Y266" s="36"/>
      <c r="Z266" s="23"/>
      <c r="AA266" s="36"/>
      <c r="AB266" s="36"/>
      <c r="AC266" s="23"/>
      <c r="AD266" s="36"/>
      <c r="AE266" s="36"/>
      <c r="AF266" s="23"/>
    </row>
    <row r="267" spans="1:32" x14ac:dyDescent="0.25">
      <c r="A267" s="23"/>
      <c r="B267" s="23"/>
      <c r="C267" s="36"/>
      <c r="D267" s="36"/>
      <c r="E267" s="23"/>
      <c r="F267" s="36"/>
      <c r="G267" s="36"/>
      <c r="H267" s="23"/>
      <c r="I267" s="36"/>
      <c r="J267" s="36"/>
      <c r="K267" s="23"/>
      <c r="L267" s="36"/>
      <c r="M267" s="36"/>
      <c r="N267" s="23"/>
      <c r="O267" s="36"/>
      <c r="P267" s="36"/>
      <c r="Q267" s="36"/>
      <c r="R267" s="36"/>
      <c r="S267" s="36"/>
      <c r="T267" s="36"/>
      <c r="U267" s="36"/>
      <c r="V267" s="36"/>
      <c r="W267" s="23"/>
      <c r="X267" s="36"/>
      <c r="Y267" s="36"/>
      <c r="Z267" s="23"/>
      <c r="AA267" s="36"/>
      <c r="AB267" s="36"/>
      <c r="AC267" s="23"/>
      <c r="AD267" s="36"/>
      <c r="AE267" s="36"/>
      <c r="AF267" s="23"/>
    </row>
    <row r="268" spans="1:32" x14ac:dyDescent="0.25">
      <c r="A268" s="23"/>
      <c r="B268" s="23"/>
      <c r="C268" s="36"/>
      <c r="D268" s="36"/>
      <c r="E268" s="23"/>
      <c r="F268" s="36"/>
      <c r="G268" s="36"/>
      <c r="H268" s="23"/>
      <c r="I268" s="36"/>
      <c r="J268" s="36"/>
      <c r="K268" s="23"/>
      <c r="L268" s="36"/>
      <c r="M268" s="36"/>
      <c r="N268" s="23"/>
      <c r="O268" s="36"/>
      <c r="P268" s="36"/>
      <c r="Q268" s="36"/>
      <c r="R268" s="36"/>
      <c r="S268" s="36"/>
      <c r="T268" s="36"/>
      <c r="U268" s="36"/>
      <c r="V268" s="36"/>
      <c r="W268" s="23"/>
      <c r="X268" s="36"/>
      <c r="Y268" s="36"/>
      <c r="Z268" s="23"/>
      <c r="AA268" s="36"/>
      <c r="AB268" s="36"/>
      <c r="AC268" s="23"/>
      <c r="AD268" s="36"/>
      <c r="AE268" s="36"/>
      <c r="AF268" s="23"/>
    </row>
    <row r="269" spans="1:32" x14ac:dyDescent="0.25">
      <c r="A269" s="23"/>
      <c r="B269" s="23"/>
      <c r="C269" s="36"/>
      <c r="D269" s="36"/>
      <c r="E269" s="23"/>
      <c r="F269" s="36"/>
      <c r="G269" s="36"/>
      <c r="H269" s="23"/>
      <c r="I269" s="36"/>
      <c r="J269" s="36"/>
      <c r="K269" s="23"/>
      <c r="L269" s="36"/>
      <c r="M269" s="36"/>
      <c r="N269" s="23"/>
      <c r="O269" s="36"/>
      <c r="P269" s="36"/>
      <c r="Q269" s="36"/>
      <c r="R269" s="36"/>
      <c r="S269" s="36"/>
      <c r="T269" s="36"/>
      <c r="U269" s="36"/>
      <c r="V269" s="36"/>
      <c r="W269" s="23"/>
      <c r="X269" s="36"/>
      <c r="Y269" s="36"/>
      <c r="Z269" s="23"/>
      <c r="AA269" s="36"/>
      <c r="AB269" s="36"/>
      <c r="AC269" s="23"/>
      <c r="AD269" s="36"/>
      <c r="AE269" s="36"/>
      <c r="AF269" s="23"/>
    </row>
    <row r="270" spans="1:32" x14ac:dyDescent="0.25">
      <c r="A270" s="23"/>
      <c r="B270" s="23"/>
      <c r="C270" s="36"/>
      <c r="D270" s="36"/>
      <c r="E270" s="23"/>
      <c r="F270" s="36"/>
      <c r="G270" s="36"/>
      <c r="H270" s="23"/>
      <c r="I270" s="36"/>
      <c r="J270" s="36"/>
      <c r="K270" s="23"/>
      <c r="L270" s="36"/>
      <c r="M270" s="36"/>
      <c r="N270" s="23"/>
      <c r="O270" s="36"/>
      <c r="P270" s="36"/>
      <c r="Q270" s="36"/>
      <c r="R270" s="36"/>
      <c r="S270" s="36"/>
      <c r="T270" s="36"/>
      <c r="U270" s="36"/>
      <c r="V270" s="36"/>
      <c r="W270" s="23"/>
      <c r="X270" s="36"/>
      <c r="Y270" s="36"/>
      <c r="Z270" s="23"/>
      <c r="AA270" s="36"/>
      <c r="AB270" s="36"/>
      <c r="AC270" s="23"/>
      <c r="AD270" s="36"/>
      <c r="AE270" s="36"/>
      <c r="AF270" s="23"/>
    </row>
    <row r="271" spans="1:32" x14ac:dyDescent="0.25">
      <c r="A271" s="23"/>
      <c r="B271" s="23"/>
      <c r="C271" s="36"/>
      <c r="D271" s="36"/>
      <c r="E271" s="23"/>
      <c r="F271" s="36"/>
      <c r="G271" s="36"/>
      <c r="H271" s="23"/>
      <c r="I271" s="36"/>
      <c r="J271" s="36"/>
      <c r="K271" s="23"/>
      <c r="L271" s="36"/>
      <c r="M271" s="36"/>
      <c r="N271" s="23"/>
      <c r="O271" s="36"/>
      <c r="P271" s="36"/>
      <c r="Q271" s="36"/>
      <c r="R271" s="36"/>
      <c r="S271" s="36"/>
      <c r="T271" s="36"/>
      <c r="U271" s="36"/>
      <c r="V271" s="36"/>
      <c r="W271" s="23"/>
      <c r="X271" s="36"/>
      <c r="Y271" s="36"/>
      <c r="Z271" s="23"/>
      <c r="AA271" s="36"/>
      <c r="AB271" s="36"/>
      <c r="AC271" s="23"/>
      <c r="AD271" s="36"/>
      <c r="AE271" s="36"/>
      <c r="AF271" s="23"/>
    </row>
    <row r="272" spans="1:32" x14ac:dyDescent="0.25">
      <c r="A272" s="23"/>
      <c r="B272" s="23"/>
      <c r="C272" s="36"/>
      <c r="D272" s="36"/>
      <c r="E272" s="23"/>
      <c r="F272" s="36"/>
      <c r="G272" s="36"/>
      <c r="H272" s="23"/>
      <c r="I272" s="36"/>
      <c r="J272" s="36"/>
      <c r="K272" s="23"/>
      <c r="L272" s="36"/>
      <c r="M272" s="36"/>
      <c r="N272" s="23"/>
      <c r="O272" s="36"/>
      <c r="P272" s="36"/>
      <c r="Q272" s="36"/>
      <c r="R272" s="36"/>
      <c r="S272" s="36"/>
      <c r="T272" s="36"/>
      <c r="U272" s="36"/>
      <c r="V272" s="36"/>
      <c r="W272" s="23"/>
      <c r="X272" s="36"/>
      <c r="Y272" s="36"/>
      <c r="Z272" s="23"/>
      <c r="AA272" s="36"/>
      <c r="AB272" s="36"/>
      <c r="AC272" s="23"/>
      <c r="AD272" s="36"/>
      <c r="AE272" s="36"/>
      <c r="AF272" s="23"/>
    </row>
    <row r="273" spans="1:32" x14ac:dyDescent="0.25">
      <c r="A273" s="23"/>
      <c r="B273" s="23"/>
      <c r="C273" s="36"/>
      <c r="D273" s="36"/>
      <c r="E273" s="23"/>
      <c r="F273" s="36"/>
      <c r="G273" s="36"/>
      <c r="H273" s="23"/>
      <c r="I273" s="36"/>
      <c r="J273" s="36"/>
      <c r="K273" s="23"/>
      <c r="L273" s="36"/>
      <c r="M273" s="36"/>
      <c r="N273" s="23"/>
      <c r="O273" s="36"/>
      <c r="P273" s="36"/>
      <c r="Q273" s="36"/>
      <c r="R273" s="36"/>
      <c r="S273" s="36"/>
      <c r="T273" s="36"/>
      <c r="U273" s="36"/>
      <c r="V273" s="36"/>
      <c r="W273" s="23"/>
      <c r="X273" s="36"/>
      <c r="Y273" s="36"/>
      <c r="Z273" s="23"/>
      <c r="AA273" s="36"/>
      <c r="AB273" s="36"/>
      <c r="AC273" s="23"/>
      <c r="AD273" s="36"/>
      <c r="AE273" s="36"/>
      <c r="AF273" s="23"/>
    </row>
    <row r="274" spans="1:32" x14ac:dyDescent="0.25">
      <c r="A274" s="23"/>
      <c r="B274" s="23"/>
      <c r="C274" s="36"/>
      <c r="D274" s="36"/>
      <c r="E274" s="23"/>
      <c r="F274" s="36"/>
      <c r="G274" s="36"/>
      <c r="H274" s="23"/>
      <c r="I274" s="36"/>
      <c r="J274" s="36"/>
      <c r="K274" s="23"/>
      <c r="L274" s="36"/>
      <c r="M274" s="36"/>
      <c r="N274" s="23"/>
      <c r="O274" s="36"/>
      <c r="P274" s="36"/>
      <c r="Q274" s="36"/>
      <c r="R274" s="36"/>
      <c r="S274" s="36"/>
      <c r="T274" s="36"/>
      <c r="U274" s="36"/>
      <c r="V274" s="36"/>
      <c r="W274" s="23"/>
      <c r="X274" s="36"/>
      <c r="Y274" s="36"/>
      <c r="Z274" s="23"/>
      <c r="AA274" s="36"/>
      <c r="AB274" s="36"/>
      <c r="AC274" s="23"/>
      <c r="AD274" s="36"/>
      <c r="AE274" s="36"/>
      <c r="AF274" s="23"/>
    </row>
    <row r="275" spans="1:32" x14ac:dyDescent="0.25">
      <c r="A275" s="23"/>
      <c r="B275" s="23"/>
      <c r="C275" s="36"/>
      <c r="D275" s="36"/>
      <c r="E275" s="23"/>
      <c r="F275" s="36"/>
      <c r="G275" s="36"/>
      <c r="H275" s="23"/>
      <c r="I275" s="36"/>
      <c r="J275" s="36"/>
      <c r="K275" s="23"/>
      <c r="L275" s="36"/>
      <c r="M275" s="36"/>
      <c r="N275" s="23"/>
      <c r="O275" s="36"/>
      <c r="P275" s="36"/>
      <c r="Q275" s="36"/>
      <c r="R275" s="36"/>
      <c r="S275" s="36"/>
      <c r="T275" s="36"/>
      <c r="U275" s="36"/>
      <c r="V275" s="36"/>
      <c r="W275" s="23"/>
      <c r="X275" s="36"/>
      <c r="Y275" s="36"/>
      <c r="Z275" s="23"/>
      <c r="AA275" s="36"/>
      <c r="AB275" s="36"/>
      <c r="AC275" s="23"/>
      <c r="AD275" s="36"/>
      <c r="AE275" s="36"/>
      <c r="AF275" s="23"/>
    </row>
    <row r="276" spans="1:32" x14ac:dyDescent="0.25">
      <c r="A276" s="23"/>
      <c r="B276" s="23"/>
      <c r="C276" s="36"/>
      <c r="D276" s="36"/>
      <c r="E276" s="23"/>
      <c r="F276" s="36"/>
      <c r="G276" s="36"/>
      <c r="H276" s="23"/>
      <c r="I276" s="36"/>
      <c r="J276" s="36"/>
      <c r="K276" s="23"/>
      <c r="L276" s="36"/>
      <c r="M276" s="36"/>
      <c r="N276" s="23"/>
      <c r="O276" s="36"/>
      <c r="P276" s="36"/>
      <c r="Q276" s="36"/>
      <c r="R276" s="36"/>
      <c r="S276" s="36"/>
      <c r="T276" s="36"/>
      <c r="U276" s="36"/>
      <c r="V276" s="36"/>
      <c r="W276" s="23"/>
      <c r="X276" s="36"/>
      <c r="Y276" s="36"/>
      <c r="Z276" s="23"/>
      <c r="AA276" s="36"/>
      <c r="AB276" s="36"/>
      <c r="AC276" s="23"/>
      <c r="AD276" s="36"/>
      <c r="AE276" s="36"/>
      <c r="AF276" s="23"/>
    </row>
    <row r="277" spans="1:32" x14ac:dyDescent="0.25">
      <c r="A277" s="23"/>
      <c r="B277" s="23"/>
      <c r="C277" s="36"/>
      <c r="D277" s="36"/>
      <c r="E277" s="23"/>
      <c r="F277" s="36"/>
      <c r="G277" s="36"/>
      <c r="H277" s="23"/>
      <c r="I277" s="36"/>
      <c r="J277" s="36"/>
      <c r="K277" s="23"/>
      <c r="L277" s="36"/>
      <c r="M277" s="36"/>
      <c r="N277" s="23"/>
      <c r="O277" s="36"/>
      <c r="P277" s="36"/>
      <c r="Q277" s="36"/>
      <c r="R277" s="36"/>
      <c r="S277" s="36"/>
      <c r="T277" s="36"/>
      <c r="U277" s="36"/>
      <c r="V277" s="36"/>
      <c r="W277" s="23"/>
      <c r="X277" s="36"/>
      <c r="Y277" s="36"/>
      <c r="Z277" s="23"/>
      <c r="AA277" s="36"/>
      <c r="AB277" s="36"/>
      <c r="AC277" s="23"/>
      <c r="AD277" s="36"/>
      <c r="AE277" s="36"/>
      <c r="AF277" s="23"/>
    </row>
    <row r="278" spans="1:32" x14ac:dyDescent="0.25">
      <c r="A278" s="23"/>
      <c r="B278" s="23"/>
      <c r="C278" s="36"/>
      <c r="D278" s="36"/>
      <c r="E278" s="23"/>
      <c r="F278" s="36"/>
      <c r="G278" s="36"/>
      <c r="H278" s="23"/>
      <c r="I278" s="36"/>
      <c r="J278" s="36"/>
      <c r="K278" s="23"/>
      <c r="L278" s="36"/>
      <c r="M278" s="36"/>
      <c r="N278" s="23"/>
      <c r="O278" s="36"/>
      <c r="P278" s="36"/>
      <c r="Q278" s="36"/>
      <c r="R278" s="36"/>
      <c r="S278" s="36"/>
      <c r="T278" s="36"/>
      <c r="U278" s="36"/>
      <c r="V278" s="36"/>
      <c r="W278" s="23"/>
      <c r="X278" s="36"/>
      <c r="Y278" s="36"/>
      <c r="Z278" s="23"/>
      <c r="AA278" s="36"/>
      <c r="AB278" s="36"/>
      <c r="AC278" s="23"/>
      <c r="AD278" s="36"/>
      <c r="AE278" s="36"/>
      <c r="AF278" s="23"/>
    </row>
    <row r="279" spans="1:32" x14ac:dyDescent="0.25">
      <c r="A279" s="23"/>
      <c r="B279" s="23"/>
      <c r="C279" s="36"/>
      <c r="D279" s="36"/>
      <c r="E279" s="23"/>
      <c r="F279" s="36"/>
      <c r="G279" s="36"/>
      <c r="H279" s="23"/>
      <c r="I279" s="36"/>
      <c r="J279" s="36"/>
      <c r="K279" s="23"/>
      <c r="L279" s="36"/>
      <c r="M279" s="36"/>
      <c r="N279" s="23"/>
      <c r="O279" s="36"/>
      <c r="P279" s="36"/>
      <c r="Q279" s="36"/>
      <c r="R279" s="36"/>
      <c r="S279" s="36"/>
      <c r="T279" s="36"/>
      <c r="U279" s="36"/>
      <c r="V279" s="36"/>
      <c r="W279" s="23"/>
      <c r="X279" s="36"/>
      <c r="Y279" s="36"/>
      <c r="Z279" s="23"/>
      <c r="AA279" s="36"/>
      <c r="AB279" s="36"/>
      <c r="AC279" s="23"/>
      <c r="AD279" s="36"/>
      <c r="AE279" s="36"/>
      <c r="AF279" s="23"/>
    </row>
    <row r="280" spans="1:32" x14ac:dyDescent="0.25">
      <c r="A280" s="23"/>
      <c r="B280" s="23"/>
      <c r="C280" s="36"/>
      <c r="D280" s="36"/>
      <c r="E280" s="23"/>
      <c r="F280" s="36"/>
      <c r="G280" s="36"/>
      <c r="H280" s="23"/>
      <c r="I280" s="36"/>
      <c r="J280" s="36"/>
      <c r="K280" s="23"/>
      <c r="L280" s="36"/>
      <c r="M280" s="36"/>
      <c r="N280" s="23"/>
      <c r="O280" s="36"/>
      <c r="P280" s="36"/>
      <c r="Q280" s="36"/>
      <c r="R280" s="36"/>
      <c r="S280" s="36"/>
      <c r="T280" s="36"/>
      <c r="U280" s="36"/>
      <c r="V280" s="36"/>
      <c r="W280" s="23"/>
      <c r="X280" s="36"/>
      <c r="Y280" s="36"/>
      <c r="Z280" s="23"/>
      <c r="AA280" s="36"/>
      <c r="AB280" s="36"/>
      <c r="AC280" s="23"/>
      <c r="AD280" s="36"/>
      <c r="AE280" s="36"/>
      <c r="AF280" s="23"/>
    </row>
    <row r="281" spans="1:32" x14ac:dyDescent="0.25">
      <c r="A281" s="23"/>
      <c r="B281" s="23"/>
      <c r="C281" s="36"/>
      <c r="D281" s="36"/>
      <c r="E281" s="23"/>
      <c r="F281" s="36"/>
      <c r="G281" s="36"/>
      <c r="H281" s="23"/>
      <c r="I281" s="36"/>
      <c r="J281" s="36"/>
      <c r="K281" s="23"/>
      <c r="L281" s="36"/>
      <c r="M281" s="36"/>
      <c r="N281" s="23"/>
      <c r="O281" s="36"/>
      <c r="P281" s="36"/>
      <c r="Q281" s="36"/>
      <c r="R281" s="36"/>
      <c r="S281" s="36"/>
      <c r="T281" s="36"/>
      <c r="U281" s="36"/>
      <c r="V281" s="36"/>
      <c r="W281" s="23"/>
      <c r="X281" s="36"/>
      <c r="Y281" s="36"/>
      <c r="Z281" s="23"/>
      <c r="AA281" s="36"/>
      <c r="AB281" s="36"/>
      <c r="AC281" s="23"/>
      <c r="AD281" s="36"/>
      <c r="AE281" s="36"/>
      <c r="AF281" s="23"/>
    </row>
    <row r="282" spans="1:32" x14ac:dyDescent="0.25">
      <c r="A282" s="23"/>
      <c r="B282" s="23"/>
      <c r="C282" s="36"/>
      <c r="D282" s="36"/>
      <c r="E282" s="23"/>
      <c r="F282" s="36"/>
      <c r="G282" s="36"/>
      <c r="H282" s="23"/>
      <c r="I282" s="36"/>
      <c r="J282" s="36"/>
      <c r="K282" s="23"/>
      <c r="L282" s="36"/>
      <c r="M282" s="36"/>
      <c r="N282" s="23"/>
      <c r="O282" s="36"/>
      <c r="P282" s="36"/>
      <c r="Q282" s="36"/>
      <c r="R282" s="36"/>
      <c r="S282" s="36"/>
      <c r="T282" s="36"/>
      <c r="U282" s="36"/>
      <c r="V282" s="36"/>
      <c r="W282" s="23"/>
      <c r="X282" s="36"/>
      <c r="Y282" s="36"/>
      <c r="Z282" s="23"/>
      <c r="AA282" s="36"/>
      <c r="AB282" s="36"/>
      <c r="AC282" s="23"/>
      <c r="AD282" s="36"/>
      <c r="AE282" s="36"/>
      <c r="AF282" s="23"/>
    </row>
    <row r="283" spans="1:32" x14ac:dyDescent="0.25">
      <c r="A283" s="23"/>
      <c r="B283" s="23"/>
      <c r="C283" s="36"/>
      <c r="D283" s="36"/>
      <c r="E283" s="23"/>
      <c r="F283" s="36"/>
      <c r="G283" s="36"/>
      <c r="H283" s="23"/>
      <c r="I283" s="36"/>
      <c r="J283" s="36"/>
      <c r="K283" s="23"/>
      <c r="L283" s="36"/>
      <c r="M283" s="36"/>
      <c r="N283" s="23"/>
      <c r="O283" s="36"/>
      <c r="P283" s="36"/>
      <c r="Q283" s="36"/>
      <c r="R283" s="36"/>
      <c r="S283" s="36"/>
      <c r="T283" s="36"/>
      <c r="U283" s="36"/>
      <c r="V283" s="36"/>
      <c r="W283" s="23"/>
      <c r="X283" s="36"/>
      <c r="Y283" s="36"/>
      <c r="Z283" s="23"/>
      <c r="AA283" s="36"/>
      <c r="AB283" s="36"/>
      <c r="AC283" s="23"/>
      <c r="AD283" s="36"/>
      <c r="AE283" s="36"/>
      <c r="AF283" s="23"/>
    </row>
    <row r="284" spans="1:32" x14ac:dyDescent="0.25">
      <c r="A284" s="23"/>
      <c r="B284" s="23"/>
      <c r="C284" s="36"/>
      <c r="D284" s="36"/>
      <c r="E284" s="23"/>
      <c r="F284" s="36"/>
      <c r="G284" s="36"/>
      <c r="H284" s="23"/>
      <c r="I284" s="36"/>
      <c r="J284" s="36"/>
      <c r="K284" s="23"/>
      <c r="L284" s="36"/>
      <c r="M284" s="36"/>
      <c r="N284" s="23"/>
      <c r="O284" s="36"/>
      <c r="P284" s="36"/>
      <c r="Q284" s="36"/>
      <c r="R284" s="36"/>
      <c r="S284" s="36"/>
      <c r="T284" s="36"/>
      <c r="U284" s="36"/>
      <c r="V284" s="36"/>
      <c r="W284" s="23"/>
      <c r="X284" s="36"/>
      <c r="Y284" s="36"/>
      <c r="Z284" s="23"/>
      <c r="AA284" s="36"/>
      <c r="AB284" s="36"/>
      <c r="AC284" s="23"/>
      <c r="AD284" s="36"/>
      <c r="AE284" s="36"/>
      <c r="AF284" s="23"/>
    </row>
    <row r="285" spans="1:32" x14ac:dyDescent="0.25">
      <c r="A285" s="23"/>
      <c r="B285" s="23"/>
      <c r="C285" s="36"/>
      <c r="D285" s="36"/>
      <c r="E285" s="23"/>
      <c r="F285" s="36"/>
      <c r="G285" s="36"/>
      <c r="H285" s="23"/>
      <c r="I285" s="36"/>
      <c r="J285" s="36"/>
      <c r="K285" s="23"/>
      <c r="L285" s="36"/>
      <c r="M285" s="36"/>
      <c r="N285" s="23"/>
      <c r="O285" s="36"/>
      <c r="P285" s="36"/>
      <c r="Q285" s="36"/>
      <c r="R285" s="36"/>
      <c r="S285" s="36"/>
      <c r="T285" s="36"/>
      <c r="U285" s="36"/>
      <c r="V285" s="36"/>
      <c r="W285" s="23"/>
      <c r="X285" s="36"/>
      <c r="Y285" s="36"/>
      <c r="Z285" s="23"/>
      <c r="AA285" s="36"/>
      <c r="AB285" s="36"/>
      <c r="AC285" s="23"/>
      <c r="AD285" s="36"/>
      <c r="AE285" s="36"/>
      <c r="AF285" s="23"/>
    </row>
    <row r="286" spans="1:32" x14ac:dyDescent="0.25">
      <c r="A286" s="23"/>
      <c r="B286" s="23"/>
      <c r="C286" s="36"/>
      <c r="D286" s="36"/>
      <c r="E286" s="23"/>
      <c r="F286" s="36"/>
      <c r="G286" s="36"/>
      <c r="H286" s="23"/>
      <c r="I286" s="36"/>
      <c r="J286" s="36"/>
      <c r="K286" s="23"/>
      <c r="L286" s="36"/>
      <c r="M286" s="36"/>
      <c r="N286" s="23"/>
      <c r="O286" s="36"/>
      <c r="P286" s="36"/>
      <c r="Q286" s="36"/>
      <c r="R286" s="36"/>
      <c r="S286" s="36"/>
      <c r="T286" s="36"/>
      <c r="U286" s="36"/>
      <c r="V286" s="36"/>
      <c r="W286" s="23"/>
      <c r="X286" s="36"/>
      <c r="Y286" s="36"/>
      <c r="Z286" s="23"/>
      <c r="AA286" s="36"/>
      <c r="AB286" s="36"/>
      <c r="AC286" s="23"/>
      <c r="AD286" s="36"/>
      <c r="AE286" s="36"/>
      <c r="AF286" s="23"/>
    </row>
    <row r="287" spans="1:32" x14ac:dyDescent="0.25">
      <c r="A287" s="23"/>
      <c r="B287" s="23"/>
      <c r="C287" s="36"/>
      <c r="D287" s="36"/>
      <c r="E287" s="23"/>
      <c r="F287" s="36"/>
      <c r="G287" s="36"/>
      <c r="H287" s="23"/>
      <c r="I287" s="36"/>
      <c r="J287" s="36"/>
      <c r="K287" s="23"/>
      <c r="L287" s="36"/>
      <c r="M287" s="36"/>
      <c r="N287" s="23"/>
      <c r="O287" s="36"/>
      <c r="P287" s="36"/>
      <c r="Q287" s="36"/>
      <c r="R287" s="36"/>
      <c r="S287" s="36"/>
      <c r="T287" s="36"/>
      <c r="U287" s="36"/>
      <c r="V287" s="36"/>
      <c r="W287" s="23"/>
      <c r="X287" s="36"/>
      <c r="Y287" s="36"/>
      <c r="Z287" s="23"/>
      <c r="AA287" s="36"/>
      <c r="AB287" s="36"/>
      <c r="AC287" s="23"/>
      <c r="AD287" s="36"/>
      <c r="AE287" s="36"/>
      <c r="AF287" s="23"/>
    </row>
    <row r="288" spans="1:32" x14ac:dyDescent="0.25">
      <c r="A288" s="23"/>
      <c r="B288" s="23"/>
      <c r="C288" s="36"/>
      <c r="D288" s="36"/>
      <c r="E288" s="23"/>
      <c r="F288" s="36"/>
      <c r="G288" s="36"/>
      <c r="H288" s="23"/>
      <c r="I288" s="36"/>
      <c r="J288" s="36"/>
      <c r="K288" s="23"/>
      <c r="L288" s="36"/>
      <c r="M288" s="36"/>
      <c r="N288" s="23"/>
      <c r="O288" s="36"/>
      <c r="P288" s="36"/>
      <c r="Q288" s="36"/>
      <c r="R288" s="36"/>
      <c r="S288" s="36"/>
      <c r="T288" s="36"/>
      <c r="U288" s="36"/>
      <c r="V288" s="36"/>
      <c r="W288" s="23"/>
      <c r="X288" s="36"/>
      <c r="Y288" s="36"/>
      <c r="Z288" s="23"/>
      <c r="AA288" s="36"/>
      <c r="AB288" s="36"/>
      <c r="AC288" s="23"/>
      <c r="AD288" s="36"/>
      <c r="AE288" s="36"/>
      <c r="AF288" s="23"/>
    </row>
    <row r="289" spans="1:32" x14ac:dyDescent="0.25">
      <c r="A289" s="23"/>
      <c r="B289" s="23"/>
      <c r="C289" s="36"/>
      <c r="D289" s="36"/>
      <c r="E289" s="23"/>
      <c r="F289" s="36"/>
      <c r="G289" s="36"/>
      <c r="H289" s="23"/>
      <c r="I289" s="36"/>
      <c r="J289" s="36"/>
      <c r="K289" s="23"/>
      <c r="L289" s="36"/>
      <c r="M289" s="36"/>
      <c r="N289" s="23"/>
      <c r="O289" s="36"/>
      <c r="P289" s="36"/>
      <c r="Q289" s="36"/>
      <c r="R289" s="36"/>
      <c r="S289" s="36"/>
      <c r="T289" s="36"/>
      <c r="U289" s="36"/>
      <c r="V289" s="36"/>
      <c r="W289" s="23"/>
      <c r="X289" s="36"/>
      <c r="Y289" s="36"/>
      <c r="Z289" s="23"/>
      <c r="AA289" s="36"/>
      <c r="AB289" s="36"/>
      <c r="AC289" s="23"/>
      <c r="AD289" s="36"/>
      <c r="AE289" s="36"/>
      <c r="AF289" s="23"/>
    </row>
    <row r="290" spans="1:32" x14ac:dyDescent="0.25">
      <c r="A290" s="23"/>
      <c r="B290" s="23"/>
      <c r="C290" s="36"/>
      <c r="D290" s="36"/>
      <c r="E290" s="23"/>
      <c r="F290" s="36"/>
      <c r="G290" s="36"/>
      <c r="H290" s="23"/>
      <c r="I290" s="36"/>
      <c r="J290" s="36"/>
      <c r="K290" s="23"/>
      <c r="L290" s="36"/>
      <c r="M290" s="36"/>
      <c r="N290" s="23"/>
      <c r="O290" s="36"/>
      <c r="P290" s="36"/>
      <c r="Q290" s="36"/>
      <c r="R290" s="36"/>
      <c r="S290" s="36"/>
      <c r="T290" s="36"/>
      <c r="U290" s="36"/>
      <c r="V290" s="36"/>
      <c r="W290" s="23"/>
      <c r="X290" s="36"/>
      <c r="Y290" s="36"/>
      <c r="Z290" s="23"/>
      <c r="AA290" s="36"/>
      <c r="AB290" s="36"/>
      <c r="AC290" s="23"/>
      <c r="AD290" s="36"/>
      <c r="AE290" s="36"/>
      <c r="AF290" s="23"/>
    </row>
    <row r="291" spans="1:32" x14ac:dyDescent="0.25">
      <c r="A291" s="23"/>
      <c r="B291" s="23"/>
      <c r="C291" s="36"/>
      <c r="D291" s="36"/>
      <c r="E291" s="23"/>
      <c r="F291" s="36"/>
      <c r="G291" s="36"/>
      <c r="H291" s="23"/>
      <c r="I291" s="36"/>
      <c r="J291" s="36"/>
      <c r="K291" s="23"/>
      <c r="L291" s="36"/>
      <c r="M291" s="36"/>
      <c r="N291" s="23"/>
      <c r="O291" s="36"/>
      <c r="P291" s="36"/>
      <c r="Q291" s="36"/>
      <c r="R291" s="36"/>
      <c r="S291" s="36"/>
      <c r="T291" s="36"/>
      <c r="U291" s="36"/>
      <c r="V291" s="36"/>
      <c r="W291" s="23"/>
      <c r="X291" s="36"/>
      <c r="Y291" s="36"/>
      <c r="Z291" s="23"/>
      <c r="AA291" s="36"/>
      <c r="AB291" s="36"/>
      <c r="AC291" s="23"/>
      <c r="AD291" s="36"/>
      <c r="AE291" s="36"/>
      <c r="AF291" s="23"/>
    </row>
    <row r="292" spans="1:32" x14ac:dyDescent="0.25">
      <c r="A292" s="23"/>
      <c r="B292" s="23"/>
      <c r="C292" s="36"/>
      <c r="D292" s="36"/>
      <c r="E292" s="23"/>
      <c r="F292" s="36"/>
      <c r="G292" s="36"/>
      <c r="H292" s="23"/>
      <c r="I292" s="36"/>
      <c r="J292" s="36"/>
      <c r="K292" s="23"/>
      <c r="L292" s="36"/>
      <c r="M292" s="36"/>
      <c r="N292" s="23"/>
      <c r="O292" s="36"/>
      <c r="P292" s="36"/>
      <c r="Q292" s="36"/>
      <c r="R292" s="36"/>
      <c r="S292" s="36"/>
      <c r="T292" s="36"/>
      <c r="U292" s="36"/>
      <c r="V292" s="36"/>
      <c r="W292" s="23"/>
      <c r="X292" s="36"/>
      <c r="Y292" s="36"/>
      <c r="Z292" s="23"/>
      <c r="AA292" s="36"/>
      <c r="AB292" s="36"/>
      <c r="AC292" s="23"/>
      <c r="AD292" s="36"/>
      <c r="AE292" s="36"/>
      <c r="AF292" s="23"/>
    </row>
    <row r="293" spans="1:32" x14ac:dyDescent="0.25">
      <c r="A293" s="23"/>
      <c r="B293" s="23"/>
      <c r="C293" s="36"/>
      <c r="D293" s="36"/>
      <c r="E293" s="23"/>
      <c r="F293" s="36"/>
      <c r="G293" s="36"/>
      <c r="H293" s="23"/>
      <c r="I293" s="36"/>
      <c r="J293" s="36"/>
      <c r="K293" s="23"/>
      <c r="L293" s="36"/>
      <c r="M293" s="36"/>
      <c r="N293" s="23"/>
      <c r="O293" s="36"/>
      <c r="P293" s="36"/>
      <c r="Q293" s="36"/>
      <c r="R293" s="36"/>
      <c r="S293" s="36"/>
      <c r="T293" s="36"/>
      <c r="U293" s="36"/>
      <c r="V293" s="36"/>
      <c r="W293" s="23"/>
      <c r="X293" s="36"/>
      <c r="Y293" s="36"/>
      <c r="Z293" s="23"/>
      <c r="AA293" s="36"/>
      <c r="AB293" s="36"/>
      <c r="AC293" s="23"/>
      <c r="AD293" s="36"/>
      <c r="AE293" s="36"/>
      <c r="AF293" s="23"/>
    </row>
    <row r="294" spans="1:32" x14ac:dyDescent="0.25">
      <c r="A294" s="23"/>
      <c r="B294" s="23"/>
      <c r="C294" s="36"/>
      <c r="D294" s="36"/>
      <c r="E294" s="23"/>
      <c r="F294" s="36"/>
      <c r="G294" s="36"/>
      <c r="H294" s="23"/>
      <c r="I294" s="36"/>
      <c r="J294" s="36"/>
      <c r="K294" s="23"/>
      <c r="L294" s="36"/>
      <c r="M294" s="36"/>
      <c r="N294" s="23"/>
      <c r="O294" s="36"/>
      <c r="P294" s="36"/>
      <c r="Q294" s="36"/>
      <c r="R294" s="36"/>
      <c r="S294" s="36"/>
      <c r="T294" s="36"/>
      <c r="U294" s="36"/>
      <c r="V294" s="36"/>
      <c r="W294" s="23"/>
      <c r="X294" s="36"/>
      <c r="Y294" s="36"/>
      <c r="Z294" s="23"/>
      <c r="AA294" s="36"/>
      <c r="AB294" s="36"/>
      <c r="AC294" s="23"/>
      <c r="AD294" s="36"/>
      <c r="AE294" s="36"/>
      <c r="AF294" s="23"/>
    </row>
    <row r="295" spans="1:32" x14ac:dyDescent="0.25">
      <c r="A295" s="23"/>
      <c r="B295" s="23"/>
      <c r="C295" s="36"/>
      <c r="D295" s="36"/>
      <c r="E295" s="23"/>
      <c r="F295" s="36"/>
      <c r="G295" s="36"/>
      <c r="H295" s="23"/>
      <c r="I295" s="36"/>
      <c r="J295" s="36"/>
      <c r="K295" s="23"/>
      <c r="L295" s="36"/>
      <c r="M295" s="36"/>
      <c r="N295" s="23"/>
      <c r="O295" s="36"/>
      <c r="P295" s="36"/>
      <c r="Q295" s="36"/>
      <c r="R295" s="36"/>
      <c r="S295" s="36"/>
      <c r="T295" s="36"/>
      <c r="U295" s="36"/>
      <c r="V295" s="36"/>
      <c r="W295" s="23"/>
      <c r="X295" s="36"/>
      <c r="Y295" s="36"/>
      <c r="Z295" s="23"/>
      <c r="AA295" s="36"/>
      <c r="AB295" s="36"/>
      <c r="AC295" s="23"/>
      <c r="AD295" s="36"/>
      <c r="AE295" s="36"/>
      <c r="AF295" s="23"/>
    </row>
    <row r="296" spans="1:32" x14ac:dyDescent="0.25">
      <c r="A296" s="23"/>
      <c r="B296" s="23"/>
      <c r="C296" s="36"/>
      <c r="D296" s="36"/>
      <c r="E296" s="23"/>
      <c r="F296" s="36"/>
      <c r="G296" s="36"/>
      <c r="H296" s="23"/>
      <c r="I296" s="36"/>
      <c r="J296" s="36"/>
      <c r="K296" s="23"/>
      <c r="L296" s="36"/>
      <c r="M296" s="36"/>
      <c r="N296" s="23"/>
      <c r="O296" s="36"/>
      <c r="P296" s="36"/>
      <c r="Q296" s="36"/>
      <c r="R296" s="36"/>
      <c r="S296" s="36"/>
      <c r="T296" s="36"/>
      <c r="U296" s="36"/>
      <c r="V296" s="36"/>
      <c r="W296" s="23"/>
      <c r="X296" s="36"/>
      <c r="Y296" s="36"/>
      <c r="Z296" s="23"/>
      <c r="AA296" s="36"/>
      <c r="AB296" s="36"/>
      <c r="AC296" s="23"/>
      <c r="AD296" s="36"/>
      <c r="AE296" s="36"/>
      <c r="AF296" s="23"/>
    </row>
    <row r="297" spans="1:32" x14ac:dyDescent="0.25">
      <c r="A297" s="23"/>
      <c r="B297" s="23"/>
      <c r="C297" s="36"/>
      <c r="D297" s="36"/>
      <c r="E297" s="23"/>
      <c r="F297" s="36"/>
      <c r="G297" s="36"/>
      <c r="H297" s="23"/>
      <c r="I297" s="36"/>
      <c r="J297" s="36"/>
      <c r="K297" s="23"/>
      <c r="L297" s="36"/>
      <c r="M297" s="36"/>
      <c r="N297" s="23"/>
      <c r="O297" s="36"/>
      <c r="P297" s="36"/>
      <c r="Q297" s="36"/>
      <c r="R297" s="36"/>
      <c r="S297" s="36"/>
      <c r="T297" s="36"/>
      <c r="U297" s="36"/>
      <c r="V297" s="36"/>
      <c r="W297" s="23"/>
      <c r="X297" s="36"/>
      <c r="Y297" s="36"/>
      <c r="Z297" s="23"/>
      <c r="AA297" s="36"/>
      <c r="AB297" s="36"/>
      <c r="AC297" s="23"/>
      <c r="AD297" s="36"/>
      <c r="AE297" s="36"/>
      <c r="AF297" s="23"/>
    </row>
    <row r="298" spans="1:32" x14ac:dyDescent="0.25">
      <c r="A298" s="23"/>
      <c r="B298" s="23"/>
      <c r="C298" s="36"/>
      <c r="D298" s="36"/>
      <c r="E298" s="23"/>
      <c r="F298" s="36"/>
      <c r="G298" s="36"/>
      <c r="H298" s="23"/>
      <c r="I298" s="36"/>
      <c r="J298" s="36"/>
      <c r="K298" s="23"/>
      <c r="L298" s="36"/>
      <c r="M298" s="36"/>
      <c r="N298" s="23"/>
      <c r="O298" s="36"/>
      <c r="P298" s="36"/>
      <c r="Q298" s="36"/>
      <c r="R298" s="36"/>
      <c r="S298" s="36"/>
      <c r="T298" s="36"/>
      <c r="U298" s="36"/>
      <c r="V298" s="36"/>
      <c r="W298" s="23"/>
      <c r="X298" s="36"/>
      <c r="Y298" s="36"/>
      <c r="Z298" s="23"/>
      <c r="AA298" s="36"/>
      <c r="AB298" s="36"/>
      <c r="AC298" s="23"/>
      <c r="AD298" s="36"/>
      <c r="AE298" s="36"/>
      <c r="AF298" s="23"/>
    </row>
    <row r="299" spans="1:32" x14ac:dyDescent="0.25">
      <c r="A299" s="23"/>
      <c r="B299" s="23"/>
      <c r="C299" s="36"/>
      <c r="D299" s="36"/>
      <c r="E299" s="23"/>
      <c r="F299" s="36"/>
      <c r="G299" s="36"/>
      <c r="H299" s="23"/>
      <c r="I299" s="36"/>
      <c r="J299" s="36"/>
      <c r="K299" s="23"/>
      <c r="L299" s="36"/>
      <c r="M299" s="36"/>
      <c r="N299" s="23"/>
      <c r="O299" s="36"/>
      <c r="P299" s="36"/>
      <c r="Q299" s="36"/>
      <c r="R299" s="36"/>
      <c r="S299" s="36"/>
      <c r="T299" s="36"/>
      <c r="U299" s="36"/>
      <c r="V299" s="36"/>
      <c r="W299" s="23"/>
      <c r="X299" s="36"/>
      <c r="Y299" s="36"/>
      <c r="Z299" s="23"/>
      <c r="AA299" s="36"/>
      <c r="AB299" s="36"/>
      <c r="AC299" s="23"/>
      <c r="AD299" s="36"/>
      <c r="AE299" s="36"/>
      <c r="AF299" s="23"/>
    </row>
    <row r="300" spans="1:32" x14ac:dyDescent="0.25">
      <c r="A300" s="23"/>
      <c r="B300" s="23"/>
      <c r="C300" s="36"/>
      <c r="D300" s="36"/>
      <c r="E300" s="23"/>
      <c r="F300" s="36"/>
      <c r="G300" s="36"/>
      <c r="H300" s="23"/>
      <c r="I300" s="36"/>
      <c r="J300" s="36"/>
      <c r="K300" s="23"/>
      <c r="L300" s="36"/>
      <c r="M300" s="36"/>
      <c r="N300" s="23"/>
      <c r="O300" s="36"/>
      <c r="P300" s="36"/>
      <c r="Q300" s="36"/>
      <c r="R300" s="36"/>
      <c r="S300" s="36"/>
      <c r="T300" s="36"/>
      <c r="U300" s="36"/>
      <c r="V300" s="36"/>
      <c r="W300" s="23"/>
      <c r="X300" s="36"/>
      <c r="Y300" s="36"/>
      <c r="Z300" s="23"/>
      <c r="AA300" s="36"/>
      <c r="AB300" s="36"/>
      <c r="AC300" s="23"/>
      <c r="AD300" s="36"/>
      <c r="AE300" s="36"/>
      <c r="AF300" s="23"/>
    </row>
    <row r="301" spans="1:32" x14ac:dyDescent="0.25">
      <c r="A301" s="23"/>
      <c r="B301" s="23"/>
      <c r="C301" s="36"/>
      <c r="D301" s="36"/>
      <c r="E301" s="23"/>
      <c r="F301" s="36"/>
      <c r="G301" s="36"/>
      <c r="H301" s="23"/>
      <c r="I301" s="36"/>
      <c r="J301" s="36"/>
      <c r="K301" s="23"/>
      <c r="L301" s="36"/>
      <c r="M301" s="36"/>
      <c r="N301" s="23"/>
      <c r="O301" s="36"/>
      <c r="P301" s="36"/>
      <c r="Q301" s="36"/>
      <c r="R301" s="36"/>
      <c r="S301" s="36"/>
      <c r="T301" s="36"/>
      <c r="U301" s="36"/>
      <c r="V301" s="36"/>
      <c r="W301" s="23"/>
      <c r="X301" s="36"/>
      <c r="Y301" s="36"/>
      <c r="Z301" s="23"/>
      <c r="AA301" s="36"/>
      <c r="AB301" s="36"/>
      <c r="AC301" s="23"/>
      <c r="AD301" s="36"/>
      <c r="AE301" s="36"/>
      <c r="AF301" s="23"/>
    </row>
    <row r="302" spans="1:32" x14ac:dyDescent="0.25">
      <c r="A302" s="23"/>
      <c r="B302" s="23"/>
      <c r="C302" s="36"/>
      <c r="D302" s="36"/>
      <c r="E302" s="23"/>
      <c r="F302" s="36"/>
      <c r="G302" s="36"/>
      <c r="H302" s="23"/>
      <c r="I302" s="36"/>
      <c r="J302" s="36"/>
      <c r="K302" s="23"/>
      <c r="L302" s="36"/>
      <c r="M302" s="36"/>
      <c r="N302" s="23"/>
      <c r="O302" s="36"/>
      <c r="P302" s="36"/>
      <c r="Q302" s="36"/>
      <c r="R302" s="36"/>
      <c r="S302" s="36"/>
      <c r="T302" s="36"/>
      <c r="U302" s="36"/>
      <c r="V302" s="36"/>
      <c r="W302" s="23"/>
      <c r="X302" s="36"/>
      <c r="Y302" s="36"/>
      <c r="Z302" s="23"/>
      <c r="AA302" s="36"/>
      <c r="AB302" s="36"/>
      <c r="AC302" s="23"/>
      <c r="AD302" s="36"/>
      <c r="AE302" s="36"/>
      <c r="AF302" s="23"/>
    </row>
    <row r="303" spans="1:32" x14ac:dyDescent="0.25">
      <c r="A303" s="23"/>
      <c r="B303" s="23"/>
      <c r="C303" s="36"/>
      <c r="D303" s="36"/>
      <c r="E303" s="23"/>
      <c r="F303" s="36"/>
      <c r="G303" s="36"/>
      <c r="H303" s="23"/>
      <c r="I303" s="36"/>
      <c r="J303" s="36"/>
      <c r="K303" s="23"/>
      <c r="L303" s="36"/>
      <c r="M303" s="36"/>
      <c r="N303" s="23"/>
      <c r="O303" s="36"/>
      <c r="P303" s="36"/>
      <c r="Q303" s="36"/>
      <c r="R303" s="36"/>
      <c r="S303" s="36"/>
      <c r="T303" s="36"/>
      <c r="U303" s="36"/>
      <c r="V303" s="36"/>
      <c r="W303" s="23"/>
      <c r="X303" s="36"/>
      <c r="Y303" s="36"/>
      <c r="Z303" s="23"/>
      <c r="AA303" s="36"/>
      <c r="AB303" s="36"/>
      <c r="AC303" s="23"/>
      <c r="AD303" s="36"/>
      <c r="AE303" s="36"/>
      <c r="AF303" s="23"/>
    </row>
    <row r="304" spans="1:32" x14ac:dyDescent="0.25">
      <c r="A304" s="23"/>
      <c r="B304" s="23"/>
      <c r="C304" s="36"/>
      <c r="D304" s="36"/>
      <c r="E304" s="23"/>
      <c r="F304" s="36"/>
      <c r="G304" s="36"/>
      <c r="H304" s="23"/>
      <c r="I304" s="36"/>
      <c r="J304" s="36"/>
      <c r="K304" s="23"/>
      <c r="L304" s="36"/>
      <c r="M304" s="36"/>
      <c r="N304" s="23"/>
      <c r="O304" s="36"/>
      <c r="P304" s="36"/>
      <c r="Q304" s="36"/>
      <c r="R304" s="36"/>
      <c r="S304" s="36"/>
      <c r="T304" s="36"/>
      <c r="U304" s="36"/>
      <c r="V304" s="36"/>
      <c r="W304" s="23"/>
      <c r="X304" s="36"/>
      <c r="Y304" s="36"/>
      <c r="Z304" s="23"/>
      <c r="AA304" s="36"/>
      <c r="AB304" s="36"/>
      <c r="AC304" s="23"/>
      <c r="AD304" s="36"/>
      <c r="AE304" s="36"/>
      <c r="AF304" s="23"/>
    </row>
    <row r="305" spans="1:32" x14ac:dyDescent="0.25">
      <c r="A305" s="23"/>
      <c r="B305" s="23"/>
      <c r="C305" s="36"/>
      <c r="D305" s="36"/>
      <c r="E305" s="23"/>
      <c r="F305" s="36"/>
      <c r="G305" s="36"/>
      <c r="H305" s="23"/>
      <c r="I305" s="36"/>
      <c r="J305" s="36"/>
      <c r="K305" s="23"/>
      <c r="L305" s="36"/>
      <c r="M305" s="36"/>
      <c r="N305" s="23"/>
      <c r="O305" s="36"/>
      <c r="P305" s="36"/>
      <c r="Q305" s="36"/>
      <c r="R305" s="36"/>
      <c r="S305" s="36"/>
      <c r="T305" s="36"/>
      <c r="U305" s="36"/>
      <c r="V305" s="36"/>
      <c r="W305" s="23"/>
      <c r="X305" s="36"/>
      <c r="Y305" s="36"/>
      <c r="Z305" s="23"/>
      <c r="AA305" s="36"/>
      <c r="AB305" s="36"/>
      <c r="AC305" s="23"/>
      <c r="AD305" s="36"/>
      <c r="AE305" s="36"/>
      <c r="AF305" s="23"/>
    </row>
    <row r="306" spans="1:32" x14ac:dyDescent="0.25">
      <c r="A306" s="23"/>
      <c r="B306" s="23"/>
      <c r="C306" s="36"/>
      <c r="D306" s="36"/>
      <c r="E306" s="23"/>
      <c r="F306" s="36"/>
      <c r="G306" s="36"/>
      <c r="H306" s="23"/>
      <c r="I306" s="36"/>
      <c r="J306" s="36"/>
      <c r="K306" s="23"/>
      <c r="L306" s="36"/>
      <c r="M306" s="36"/>
      <c r="N306" s="23"/>
      <c r="O306" s="36"/>
      <c r="P306" s="36"/>
      <c r="Q306" s="36"/>
      <c r="R306" s="36"/>
      <c r="S306" s="36"/>
      <c r="T306" s="36"/>
      <c r="U306" s="36"/>
      <c r="V306" s="36"/>
      <c r="W306" s="23"/>
      <c r="X306" s="36"/>
      <c r="Y306" s="36"/>
      <c r="Z306" s="23"/>
      <c r="AA306" s="36"/>
      <c r="AB306" s="36"/>
      <c r="AC306" s="23"/>
      <c r="AD306" s="36"/>
      <c r="AE306" s="36"/>
      <c r="AF306" s="23"/>
    </row>
    <row r="307" spans="1:32" x14ac:dyDescent="0.25">
      <c r="A307" s="23"/>
      <c r="B307" s="23"/>
      <c r="C307" s="36"/>
      <c r="D307" s="36"/>
      <c r="E307" s="23"/>
      <c r="F307" s="36"/>
      <c r="G307" s="36"/>
      <c r="H307" s="23"/>
      <c r="I307" s="36"/>
      <c r="J307" s="36"/>
      <c r="K307" s="23"/>
      <c r="L307" s="36"/>
      <c r="M307" s="36"/>
      <c r="N307" s="23"/>
      <c r="O307" s="36"/>
      <c r="P307" s="36"/>
      <c r="Q307" s="36"/>
      <c r="R307" s="36"/>
      <c r="S307" s="36"/>
      <c r="T307" s="36"/>
      <c r="U307" s="36"/>
      <c r="V307" s="36"/>
      <c r="W307" s="23"/>
      <c r="X307" s="36"/>
      <c r="Y307" s="36"/>
      <c r="Z307" s="23"/>
      <c r="AA307" s="36"/>
      <c r="AB307" s="36"/>
      <c r="AC307" s="23"/>
      <c r="AD307" s="36"/>
      <c r="AE307" s="36"/>
      <c r="AF307" s="23"/>
    </row>
    <row r="308" spans="1:32" x14ac:dyDescent="0.25">
      <c r="A308" s="23"/>
      <c r="B308" s="23"/>
      <c r="C308" s="36"/>
      <c r="D308" s="36"/>
      <c r="E308" s="23"/>
      <c r="F308" s="36"/>
      <c r="G308" s="36"/>
      <c r="H308" s="23"/>
      <c r="I308" s="36"/>
      <c r="J308" s="36"/>
      <c r="K308" s="23"/>
      <c r="L308" s="36"/>
      <c r="M308" s="36"/>
      <c r="N308" s="23"/>
      <c r="O308" s="36"/>
      <c r="P308" s="36"/>
      <c r="Q308" s="36"/>
      <c r="R308" s="36"/>
      <c r="S308" s="36"/>
      <c r="T308" s="36"/>
      <c r="U308" s="36"/>
      <c r="V308" s="36"/>
      <c r="W308" s="23"/>
      <c r="X308" s="36"/>
      <c r="Y308" s="36"/>
      <c r="Z308" s="23"/>
      <c r="AA308" s="36"/>
      <c r="AB308" s="36"/>
      <c r="AC308" s="23"/>
      <c r="AD308" s="36"/>
      <c r="AE308" s="36"/>
      <c r="AF308" s="23"/>
    </row>
    <row r="309" spans="1:32" x14ac:dyDescent="0.25">
      <c r="A309" s="23"/>
      <c r="B309" s="23"/>
      <c r="C309" s="36"/>
      <c r="D309" s="36"/>
      <c r="E309" s="23"/>
      <c r="F309" s="36"/>
      <c r="G309" s="36"/>
      <c r="H309" s="23"/>
      <c r="I309" s="36"/>
      <c r="J309" s="36"/>
      <c r="K309" s="23"/>
      <c r="L309" s="36"/>
      <c r="M309" s="36"/>
      <c r="N309" s="23"/>
      <c r="O309" s="36"/>
      <c r="P309" s="36"/>
      <c r="Q309" s="36"/>
      <c r="R309" s="36"/>
      <c r="S309" s="36"/>
      <c r="T309" s="36"/>
      <c r="U309" s="36"/>
      <c r="V309" s="36"/>
      <c r="W309" s="23"/>
      <c r="X309" s="36"/>
      <c r="Y309" s="36"/>
      <c r="Z309" s="23"/>
      <c r="AA309" s="36"/>
      <c r="AB309" s="36"/>
      <c r="AC309" s="23"/>
      <c r="AD309" s="36"/>
      <c r="AE309" s="36"/>
      <c r="AF309" s="23"/>
    </row>
    <row r="310" spans="1:32" x14ac:dyDescent="0.25">
      <c r="A310" s="23"/>
      <c r="B310" s="23"/>
      <c r="C310" s="36"/>
      <c r="D310" s="36"/>
      <c r="E310" s="23"/>
      <c r="F310" s="36"/>
      <c r="G310" s="36"/>
      <c r="H310" s="23"/>
      <c r="I310" s="36"/>
      <c r="J310" s="36"/>
      <c r="K310" s="23"/>
      <c r="L310" s="36"/>
      <c r="M310" s="36"/>
      <c r="N310" s="23"/>
      <c r="O310" s="36"/>
      <c r="P310" s="36"/>
      <c r="Q310" s="36"/>
      <c r="R310" s="36"/>
      <c r="S310" s="36"/>
      <c r="T310" s="36"/>
      <c r="U310" s="36"/>
      <c r="V310" s="36"/>
      <c r="W310" s="23"/>
      <c r="X310" s="36"/>
      <c r="Y310" s="36"/>
      <c r="Z310" s="23"/>
      <c r="AA310" s="36"/>
      <c r="AB310" s="36"/>
      <c r="AC310" s="23"/>
      <c r="AD310" s="36"/>
      <c r="AE310" s="36"/>
      <c r="AF310" s="23"/>
    </row>
    <row r="311" spans="1:32" x14ac:dyDescent="0.25">
      <c r="A311" s="23"/>
      <c r="B311" s="23"/>
      <c r="C311" s="36"/>
      <c r="D311" s="36"/>
      <c r="E311" s="23"/>
      <c r="F311" s="36"/>
      <c r="G311" s="36"/>
      <c r="H311" s="23"/>
      <c r="I311" s="36"/>
      <c r="J311" s="36"/>
      <c r="K311" s="23"/>
      <c r="L311" s="36"/>
      <c r="M311" s="36"/>
      <c r="N311" s="23"/>
      <c r="O311" s="36"/>
      <c r="P311" s="36"/>
      <c r="Q311" s="36"/>
      <c r="R311" s="36"/>
      <c r="S311" s="36"/>
      <c r="T311" s="36"/>
      <c r="U311" s="36"/>
      <c r="V311" s="36"/>
      <c r="W311" s="23"/>
      <c r="X311" s="36"/>
      <c r="Y311" s="36"/>
      <c r="Z311" s="23"/>
      <c r="AA311" s="36"/>
      <c r="AB311" s="36"/>
      <c r="AC311" s="23"/>
      <c r="AD311" s="36"/>
      <c r="AE311" s="36"/>
      <c r="AF311" s="23"/>
    </row>
    <row r="312" spans="1:32" x14ac:dyDescent="0.25">
      <c r="A312" s="23"/>
      <c r="B312" s="23"/>
      <c r="C312" s="36"/>
      <c r="D312" s="36"/>
      <c r="E312" s="23"/>
      <c r="F312" s="36"/>
      <c r="G312" s="36"/>
      <c r="H312" s="23"/>
      <c r="I312" s="36"/>
      <c r="J312" s="36"/>
      <c r="K312" s="23"/>
      <c r="L312" s="36"/>
      <c r="M312" s="36"/>
      <c r="N312" s="23"/>
      <c r="O312" s="36"/>
      <c r="P312" s="36"/>
      <c r="Q312" s="36"/>
      <c r="R312" s="36"/>
      <c r="S312" s="36"/>
      <c r="T312" s="36"/>
      <c r="U312" s="36"/>
      <c r="V312" s="36"/>
      <c r="W312" s="23"/>
      <c r="X312" s="36"/>
      <c r="Y312" s="36"/>
      <c r="Z312" s="23"/>
      <c r="AA312" s="36"/>
      <c r="AB312" s="36"/>
      <c r="AC312" s="23"/>
      <c r="AD312" s="36"/>
      <c r="AE312" s="36"/>
      <c r="AF312" s="23"/>
    </row>
    <row r="313" spans="1:32" x14ac:dyDescent="0.25">
      <c r="A313" s="23"/>
      <c r="B313" s="23"/>
      <c r="C313" s="36"/>
      <c r="D313" s="36"/>
      <c r="E313" s="23"/>
      <c r="F313" s="36"/>
      <c r="G313" s="36"/>
      <c r="H313" s="23"/>
      <c r="I313" s="36"/>
      <c r="J313" s="36"/>
      <c r="K313" s="23"/>
      <c r="L313" s="36"/>
      <c r="M313" s="36"/>
      <c r="N313" s="23"/>
      <c r="O313" s="36"/>
      <c r="P313" s="36"/>
      <c r="Q313" s="36"/>
      <c r="R313" s="36"/>
      <c r="S313" s="36"/>
      <c r="T313" s="36"/>
      <c r="U313" s="36"/>
      <c r="V313" s="36"/>
      <c r="W313" s="23"/>
      <c r="X313" s="36"/>
      <c r="Y313" s="36"/>
      <c r="Z313" s="23"/>
      <c r="AA313" s="36"/>
      <c r="AB313" s="36"/>
      <c r="AC313" s="23"/>
      <c r="AD313" s="36"/>
      <c r="AE313" s="36"/>
      <c r="AF313" s="23"/>
    </row>
    <row r="314" spans="1:32" x14ac:dyDescent="0.25">
      <c r="A314" s="23"/>
      <c r="B314" s="23"/>
      <c r="C314" s="36"/>
      <c r="D314" s="36"/>
      <c r="E314" s="23"/>
      <c r="F314" s="36"/>
      <c r="G314" s="36"/>
      <c r="H314" s="23"/>
      <c r="I314" s="36"/>
      <c r="J314" s="36"/>
      <c r="K314" s="23"/>
      <c r="L314" s="36"/>
      <c r="M314" s="36"/>
      <c r="N314" s="23"/>
      <c r="O314" s="36"/>
      <c r="P314" s="36"/>
      <c r="Q314" s="36"/>
      <c r="R314" s="36"/>
      <c r="S314" s="36"/>
      <c r="T314" s="36"/>
      <c r="U314" s="36"/>
      <c r="V314" s="36"/>
      <c r="W314" s="23"/>
      <c r="X314" s="36"/>
      <c r="Y314" s="36"/>
      <c r="Z314" s="23"/>
      <c r="AA314" s="36"/>
      <c r="AB314" s="36"/>
      <c r="AC314" s="23"/>
      <c r="AD314" s="36"/>
      <c r="AE314" s="36"/>
      <c r="AF314" s="23"/>
    </row>
    <row r="315" spans="1:32" x14ac:dyDescent="0.25">
      <c r="A315" s="23"/>
      <c r="B315" s="23"/>
      <c r="C315" s="36"/>
      <c r="D315" s="36"/>
      <c r="E315" s="23"/>
      <c r="F315" s="36"/>
      <c r="G315" s="36"/>
      <c r="H315" s="23"/>
      <c r="I315" s="36"/>
      <c r="J315" s="36"/>
      <c r="K315" s="23"/>
      <c r="L315" s="36"/>
      <c r="M315" s="36"/>
      <c r="N315" s="23"/>
      <c r="O315" s="36"/>
      <c r="P315" s="36"/>
      <c r="Q315" s="36"/>
      <c r="R315" s="36"/>
      <c r="S315" s="36"/>
      <c r="T315" s="36"/>
      <c r="U315" s="36"/>
      <c r="V315" s="36"/>
      <c r="W315" s="23"/>
      <c r="X315" s="36"/>
      <c r="Y315" s="36"/>
      <c r="Z315" s="23"/>
      <c r="AA315" s="36"/>
      <c r="AB315" s="36"/>
      <c r="AC315" s="23"/>
      <c r="AD315" s="36"/>
      <c r="AE315" s="36"/>
      <c r="AF315" s="23"/>
    </row>
    <row r="316" spans="1:32" x14ac:dyDescent="0.25">
      <c r="A316" s="23"/>
      <c r="B316" s="23"/>
      <c r="C316" s="36"/>
      <c r="D316" s="36"/>
      <c r="E316" s="23"/>
      <c r="F316" s="36"/>
      <c r="G316" s="36"/>
      <c r="H316" s="23"/>
      <c r="I316" s="36"/>
      <c r="J316" s="36"/>
      <c r="K316" s="23"/>
      <c r="L316" s="36"/>
      <c r="M316" s="36"/>
      <c r="N316" s="23"/>
      <c r="O316" s="36"/>
      <c r="P316" s="36"/>
      <c r="Q316" s="36"/>
      <c r="R316" s="36"/>
      <c r="S316" s="36"/>
      <c r="T316" s="36"/>
      <c r="U316" s="36"/>
      <c r="V316" s="36"/>
      <c r="W316" s="23"/>
      <c r="X316" s="36"/>
      <c r="Y316" s="36"/>
      <c r="Z316" s="23"/>
      <c r="AA316" s="36"/>
      <c r="AB316" s="36"/>
      <c r="AC316" s="23"/>
      <c r="AD316" s="36"/>
      <c r="AE316" s="36"/>
      <c r="AF316" s="23"/>
    </row>
    <row r="317" spans="1:32" x14ac:dyDescent="0.25">
      <c r="A317" s="23"/>
      <c r="B317" s="23"/>
      <c r="C317" s="36"/>
      <c r="D317" s="36"/>
      <c r="E317" s="23"/>
      <c r="F317" s="36"/>
      <c r="G317" s="36"/>
      <c r="H317" s="23"/>
      <c r="I317" s="36"/>
      <c r="J317" s="36"/>
      <c r="K317" s="23"/>
      <c r="L317" s="36"/>
      <c r="M317" s="36"/>
      <c r="N317" s="23"/>
      <c r="O317" s="36"/>
      <c r="P317" s="36"/>
      <c r="Q317" s="36"/>
      <c r="R317" s="36"/>
      <c r="S317" s="36"/>
      <c r="T317" s="36"/>
      <c r="U317" s="36"/>
      <c r="V317" s="36"/>
      <c r="W317" s="23"/>
      <c r="X317" s="36"/>
      <c r="Y317" s="36"/>
      <c r="Z317" s="23"/>
      <c r="AA317" s="36"/>
      <c r="AB317" s="36"/>
      <c r="AC317" s="23"/>
      <c r="AD317" s="36"/>
      <c r="AE317" s="36"/>
      <c r="AF317" s="23"/>
    </row>
    <row r="318" spans="1:32" x14ac:dyDescent="0.25">
      <c r="A318" s="23"/>
      <c r="B318" s="23"/>
      <c r="C318" s="36"/>
      <c r="D318" s="36"/>
      <c r="E318" s="23"/>
      <c r="F318" s="36"/>
      <c r="G318" s="36"/>
      <c r="H318" s="23"/>
      <c r="I318" s="36"/>
      <c r="J318" s="36"/>
      <c r="K318" s="23"/>
      <c r="L318" s="36"/>
      <c r="M318" s="36"/>
      <c r="N318" s="23"/>
      <c r="O318" s="36"/>
      <c r="P318" s="36"/>
      <c r="Q318" s="36"/>
      <c r="R318" s="36"/>
      <c r="S318" s="36"/>
      <c r="T318" s="36"/>
      <c r="U318" s="36"/>
      <c r="V318" s="36"/>
      <c r="W318" s="23"/>
      <c r="X318" s="36"/>
      <c r="Y318" s="36"/>
      <c r="Z318" s="23"/>
      <c r="AA318" s="36"/>
      <c r="AB318" s="36"/>
      <c r="AC318" s="23"/>
      <c r="AD318" s="36"/>
      <c r="AE318" s="36"/>
      <c r="AF318" s="23"/>
    </row>
    <row r="319" spans="1:32" x14ac:dyDescent="0.25">
      <c r="A319" s="23"/>
      <c r="B319" s="23"/>
      <c r="C319" s="36"/>
      <c r="D319" s="36"/>
      <c r="E319" s="23"/>
      <c r="F319" s="36"/>
      <c r="G319" s="36"/>
      <c r="H319" s="23"/>
      <c r="I319" s="36"/>
      <c r="J319" s="36"/>
      <c r="K319" s="23"/>
      <c r="L319" s="36"/>
      <c r="M319" s="36"/>
      <c r="N319" s="23"/>
      <c r="O319" s="36"/>
      <c r="P319" s="36"/>
      <c r="Q319" s="36"/>
      <c r="R319" s="36"/>
      <c r="S319" s="36"/>
      <c r="T319" s="36"/>
      <c r="U319" s="36"/>
      <c r="V319" s="36"/>
      <c r="W319" s="23"/>
      <c r="X319" s="36"/>
      <c r="Y319" s="36"/>
      <c r="Z319" s="23"/>
      <c r="AA319" s="36"/>
      <c r="AB319" s="36"/>
      <c r="AC319" s="23"/>
      <c r="AD319" s="36"/>
      <c r="AE319" s="36"/>
      <c r="AF319" s="23"/>
    </row>
    <row r="320" spans="1:32" x14ac:dyDescent="0.25">
      <c r="A320" s="23"/>
      <c r="B320" s="23"/>
      <c r="C320" s="36"/>
      <c r="D320" s="36"/>
      <c r="E320" s="23"/>
      <c r="F320" s="36"/>
      <c r="G320" s="36"/>
      <c r="H320" s="23"/>
      <c r="I320" s="36"/>
      <c r="J320" s="36"/>
      <c r="K320" s="23"/>
      <c r="L320" s="36"/>
      <c r="M320" s="36"/>
      <c r="N320" s="23"/>
      <c r="O320" s="36"/>
      <c r="P320" s="36"/>
      <c r="Q320" s="36"/>
      <c r="R320" s="36"/>
      <c r="S320" s="36"/>
      <c r="T320" s="36"/>
      <c r="U320" s="36"/>
      <c r="V320" s="36"/>
      <c r="W320" s="23"/>
      <c r="X320" s="36"/>
      <c r="Y320" s="36"/>
      <c r="Z320" s="23"/>
      <c r="AA320" s="36"/>
      <c r="AB320" s="36"/>
      <c r="AC320" s="23"/>
      <c r="AD320" s="36"/>
      <c r="AE320" s="36"/>
      <c r="AF320" s="23"/>
    </row>
    <row r="321" spans="1:32" x14ac:dyDescent="0.25">
      <c r="A321" s="23"/>
      <c r="B321" s="23"/>
      <c r="C321" s="36"/>
      <c r="D321" s="36"/>
      <c r="E321" s="23"/>
      <c r="F321" s="36"/>
      <c r="G321" s="36"/>
      <c r="H321" s="23"/>
      <c r="I321" s="36"/>
      <c r="J321" s="36"/>
      <c r="K321" s="23"/>
      <c r="L321" s="36"/>
      <c r="M321" s="36"/>
      <c r="N321" s="23"/>
      <c r="O321" s="36"/>
      <c r="P321" s="36"/>
      <c r="Q321" s="36"/>
      <c r="R321" s="36"/>
      <c r="S321" s="36"/>
      <c r="T321" s="36"/>
      <c r="U321" s="36"/>
      <c r="V321" s="36"/>
      <c r="W321" s="23"/>
      <c r="X321" s="36"/>
      <c r="Y321" s="36"/>
      <c r="Z321" s="23"/>
      <c r="AA321" s="36"/>
      <c r="AB321" s="36"/>
      <c r="AC321" s="23"/>
      <c r="AD321" s="36"/>
      <c r="AE321" s="36"/>
      <c r="AF321" s="23"/>
    </row>
    <row r="322" spans="1:32" x14ac:dyDescent="0.25">
      <c r="A322" s="23"/>
      <c r="B322" s="23"/>
      <c r="C322" s="36"/>
      <c r="D322" s="36"/>
      <c r="E322" s="23"/>
      <c r="F322" s="36"/>
      <c r="G322" s="36"/>
      <c r="H322" s="23"/>
      <c r="I322" s="36"/>
      <c r="J322" s="36"/>
      <c r="K322" s="23"/>
      <c r="L322" s="36"/>
      <c r="M322" s="36"/>
      <c r="N322" s="23"/>
      <c r="O322" s="36"/>
      <c r="P322" s="36"/>
      <c r="Q322" s="36"/>
      <c r="R322" s="36"/>
      <c r="S322" s="36"/>
      <c r="T322" s="36"/>
      <c r="U322" s="36"/>
      <c r="V322" s="36"/>
      <c r="W322" s="23"/>
      <c r="X322" s="36"/>
      <c r="Y322" s="36"/>
      <c r="Z322" s="23"/>
      <c r="AA322" s="36"/>
      <c r="AB322" s="36"/>
      <c r="AC322" s="23"/>
      <c r="AD322" s="36"/>
      <c r="AE322" s="36"/>
      <c r="AF322" s="23"/>
    </row>
    <row r="323" spans="1:32" x14ac:dyDescent="0.25">
      <c r="A323" s="23"/>
      <c r="B323" s="23"/>
      <c r="C323" s="36"/>
      <c r="D323" s="36"/>
      <c r="E323" s="23"/>
      <c r="F323" s="36"/>
      <c r="G323" s="36"/>
      <c r="H323" s="23"/>
      <c r="I323" s="36"/>
      <c r="J323" s="36"/>
      <c r="K323" s="23"/>
      <c r="L323" s="36"/>
      <c r="M323" s="36"/>
      <c r="N323" s="23"/>
      <c r="O323" s="36"/>
      <c r="P323" s="36"/>
      <c r="Q323" s="36"/>
      <c r="R323" s="36"/>
      <c r="S323" s="36"/>
      <c r="T323" s="36"/>
      <c r="U323" s="36"/>
      <c r="V323" s="36"/>
      <c r="W323" s="23"/>
      <c r="X323" s="36"/>
      <c r="Y323" s="36"/>
      <c r="Z323" s="23"/>
      <c r="AA323" s="36"/>
      <c r="AB323" s="36"/>
      <c r="AC323" s="23"/>
      <c r="AD323" s="36"/>
      <c r="AE323" s="36"/>
      <c r="AF323" s="23"/>
    </row>
    <row r="324" spans="1:32" x14ac:dyDescent="0.25">
      <c r="A324" s="23"/>
      <c r="B324" s="23"/>
      <c r="C324" s="36"/>
      <c r="D324" s="36"/>
      <c r="E324" s="23"/>
      <c r="F324" s="36"/>
      <c r="G324" s="36"/>
      <c r="H324" s="23"/>
      <c r="I324" s="36"/>
      <c r="J324" s="36"/>
      <c r="K324" s="23"/>
      <c r="L324" s="36"/>
      <c r="M324" s="36"/>
      <c r="N324" s="23"/>
      <c r="O324" s="36"/>
      <c r="P324" s="36"/>
      <c r="Q324" s="36"/>
      <c r="R324" s="36"/>
      <c r="S324" s="36"/>
      <c r="T324" s="36"/>
      <c r="U324" s="36"/>
      <c r="V324" s="36"/>
      <c r="W324" s="23"/>
      <c r="X324" s="36"/>
      <c r="Y324" s="36"/>
      <c r="Z324" s="23"/>
      <c r="AA324" s="36"/>
      <c r="AB324" s="36"/>
      <c r="AC324" s="23"/>
      <c r="AD324" s="36"/>
      <c r="AE324" s="36"/>
      <c r="AF324" s="23"/>
    </row>
    <row r="325" spans="1:32" x14ac:dyDescent="0.25">
      <c r="A325" s="23"/>
      <c r="B325" s="23"/>
      <c r="C325" s="36"/>
      <c r="D325" s="36"/>
      <c r="E325" s="23"/>
      <c r="F325" s="36"/>
      <c r="G325" s="36"/>
      <c r="H325" s="23"/>
      <c r="I325" s="36"/>
      <c r="J325" s="36"/>
      <c r="K325" s="23"/>
      <c r="L325" s="36"/>
      <c r="M325" s="36"/>
      <c r="N325" s="23"/>
      <c r="O325" s="36"/>
      <c r="P325" s="36"/>
      <c r="Q325" s="36"/>
      <c r="R325" s="36"/>
      <c r="S325" s="36"/>
      <c r="T325" s="36"/>
      <c r="U325" s="36"/>
      <c r="V325" s="36"/>
      <c r="W325" s="23"/>
      <c r="X325" s="36"/>
      <c r="Y325" s="36"/>
      <c r="Z325" s="23"/>
      <c r="AA325" s="36"/>
      <c r="AB325" s="36"/>
      <c r="AC325" s="23"/>
      <c r="AD325" s="36"/>
      <c r="AE325" s="36"/>
      <c r="AF325" s="23"/>
    </row>
    <row r="326" spans="1:32" x14ac:dyDescent="0.25">
      <c r="A326" s="23"/>
      <c r="B326" s="23"/>
      <c r="C326" s="36"/>
      <c r="D326" s="36"/>
      <c r="E326" s="23"/>
      <c r="F326" s="36"/>
      <c r="G326" s="36"/>
      <c r="H326" s="23"/>
      <c r="I326" s="36"/>
      <c r="J326" s="36"/>
      <c r="K326" s="23"/>
      <c r="L326" s="36"/>
      <c r="M326" s="36"/>
      <c r="N326" s="23"/>
      <c r="O326" s="36"/>
      <c r="P326" s="36"/>
      <c r="Q326" s="36"/>
      <c r="R326" s="36"/>
      <c r="S326" s="36"/>
      <c r="T326" s="36"/>
      <c r="U326" s="36"/>
      <c r="V326" s="36"/>
      <c r="W326" s="23"/>
      <c r="X326" s="36"/>
      <c r="Y326" s="36"/>
      <c r="Z326" s="23"/>
      <c r="AA326" s="36"/>
      <c r="AB326" s="36"/>
      <c r="AC326" s="23"/>
      <c r="AD326" s="36"/>
      <c r="AE326" s="36"/>
      <c r="AF326" s="23"/>
    </row>
    <row r="327" spans="1:32" x14ac:dyDescent="0.25">
      <c r="A327" s="23"/>
      <c r="B327" s="23"/>
      <c r="C327" s="36"/>
      <c r="D327" s="36"/>
      <c r="E327" s="23"/>
      <c r="F327" s="36"/>
      <c r="G327" s="36"/>
      <c r="H327" s="23"/>
      <c r="I327" s="36"/>
      <c r="J327" s="36"/>
      <c r="K327" s="23"/>
      <c r="L327" s="36"/>
      <c r="M327" s="36"/>
      <c r="N327" s="23"/>
      <c r="O327" s="36"/>
      <c r="P327" s="36"/>
      <c r="Q327" s="36"/>
      <c r="R327" s="36"/>
      <c r="S327" s="36"/>
      <c r="T327" s="36"/>
      <c r="U327" s="36"/>
      <c r="V327" s="36"/>
      <c r="W327" s="23"/>
      <c r="X327" s="36"/>
      <c r="Y327" s="36"/>
      <c r="Z327" s="23"/>
      <c r="AA327" s="36"/>
      <c r="AB327" s="36"/>
      <c r="AC327" s="23"/>
      <c r="AD327" s="36"/>
      <c r="AE327" s="36"/>
      <c r="AF327" s="23"/>
    </row>
    <row r="328" spans="1:32" x14ac:dyDescent="0.25">
      <c r="A328" s="23"/>
      <c r="B328" s="23"/>
      <c r="C328" s="36"/>
      <c r="D328" s="36"/>
      <c r="E328" s="23"/>
      <c r="F328" s="36"/>
      <c r="G328" s="36"/>
      <c r="H328" s="23"/>
      <c r="I328" s="36"/>
      <c r="J328" s="36"/>
      <c r="K328" s="23"/>
      <c r="L328" s="36"/>
      <c r="M328" s="36"/>
      <c r="N328" s="23"/>
      <c r="O328" s="36"/>
      <c r="P328" s="36"/>
      <c r="Q328" s="36"/>
      <c r="R328" s="36"/>
      <c r="S328" s="36"/>
      <c r="T328" s="36"/>
      <c r="U328" s="36"/>
      <c r="V328" s="36"/>
      <c r="W328" s="23"/>
      <c r="X328" s="36"/>
      <c r="Y328" s="36"/>
      <c r="Z328" s="23"/>
      <c r="AA328" s="36"/>
      <c r="AB328" s="36"/>
      <c r="AC328" s="23"/>
      <c r="AD328" s="36"/>
      <c r="AE328" s="36"/>
      <c r="AF328" s="23"/>
    </row>
    <row r="329" spans="1:32" x14ac:dyDescent="0.25">
      <c r="A329" s="23"/>
      <c r="B329" s="23"/>
      <c r="C329" s="36"/>
      <c r="D329" s="36"/>
      <c r="E329" s="23"/>
      <c r="F329" s="36"/>
      <c r="G329" s="36"/>
      <c r="H329" s="23"/>
      <c r="I329" s="36"/>
      <c r="J329" s="36"/>
      <c r="K329" s="23"/>
      <c r="L329" s="36"/>
      <c r="M329" s="36"/>
      <c r="N329" s="23"/>
      <c r="O329" s="36"/>
      <c r="P329" s="36"/>
      <c r="Q329" s="36"/>
      <c r="R329" s="36"/>
      <c r="S329" s="36"/>
      <c r="T329" s="36"/>
      <c r="U329" s="36"/>
      <c r="V329" s="36"/>
      <c r="W329" s="23"/>
      <c r="X329" s="36"/>
      <c r="Y329" s="36"/>
      <c r="Z329" s="23"/>
      <c r="AA329" s="36"/>
      <c r="AB329" s="36"/>
      <c r="AC329" s="23"/>
      <c r="AD329" s="36"/>
      <c r="AE329" s="36"/>
      <c r="AF329" s="23"/>
    </row>
    <row r="330" spans="1:32" x14ac:dyDescent="0.25">
      <c r="A330" s="23"/>
      <c r="B330" s="23"/>
      <c r="C330" s="36"/>
      <c r="D330" s="36"/>
      <c r="E330" s="23"/>
      <c r="F330" s="36"/>
      <c r="G330" s="36"/>
      <c r="H330" s="23"/>
      <c r="I330" s="36"/>
      <c r="J330" s="36"/>
      <c r="K330" s="23"/>
      <c r="L330" s="36"/>
      <c r="M330" s="36"/>
      <c r="N330" s="23"/>
      <c r="O330" s="36"/>
      <c r="P330" s="36"/>
      <c r="Q330" s="36"/>
      <c r="R330" s="36"/>
      <c r="S330" s="36"/>
      <c r="T330" s="36"/>
      <c r="U330" s="36"/>
      <c r="V330" s="36"/>
      <c r="W330" s="23"/>
      <c r="X330" s="36"/>
      <c r="Y330" s="36"/>
      <c r="Z330" s="23"/>
      <c r="AA330" s="36"/>
      <c r="AB330" s="36"/>
      <c r="AC330" s="23"/>
      <c r="AD330" s="36"/>
      <c r="AE330" s="36"/>
      <c r="AF330" s="23"/>
    </row>
    <row r="331" spans="1:32" x14ac:dyDescent="0.25">
      <c r="A331" s="23"/>
      <c r="B331" s="23"/>
      <c r="C331" s="36"/>
      <c r="D331" s="36"/>
      <c r="E331" s="23"/>
      <c r="F331" s="36"/>
      <c r="G331" s="36"/>
      <c r="H331" s="23"/>
      <c r="I331" s="36"/>
      <c r="J331" s="36"/>
      <c r="K331" s="23"/>
      <c r="L331" s="36"/>
      <c r="M331" s="36"/>
      <c r="N331" s="23"/>
      <c r="O331" s="36"/>
      <c r="P331" s="36"/>
      <c r="Q331" s="36"/>
      <c r="R331" s="36"/>
      <c r="S331" s="36"/>
      <c r="T331" s="36"/>
      <c r="U331" s="36"/>
      <c r="V331" s="36"/>
      <c r="W331" s="23"/>
      <c r="X331" s="36"/>
      <c r="Y331" s="36"/>
      <c r="Z331" s="23"/>
      <c r="AA331" s="36"/>
      <c r="AB331" s="36"/>
      <c r="AC331" s="23"/>
      <c r="AD331" s="36"/>
      <c r="AE331" s="36"/>
      <c r="AF331" s="23"/>
    </row>
    <row r="332" spans="1:32" x14ac:dyDescent="0.25">
      <c r="A332" s="23"/>
      <c r="B332" s="23"/>
      <c r="C332" s="36"/>
      <c r="D332" s="36"/>
      <c r="E332" s="23"/>
      <c r="F332" s="36"/>
      <c r="G332" s="36"/>
      <c r="H332" s="23"/>
      <c r="I332" s="36"/>
      <c r="J332" s="36"/>
      <c r="K332" s="23"/>
      <c r="L332" s="36"/>
      <c r="M332" s="36"/>
      <c r="N332" s="23"/>
      <c r="O332" s="36"/>
      <c r="P332" s="36"/>
      <c r="Q332" s="36"/>
      <c r="R332" s="36"/>
      <c r="S332" s="36"/>
      <c r="T332" s="36"/>
      <c r="U332" s="36"/>
      <c r="V332" s="36"/>
      <c r="W332" s="23"/>
      <c r="X332" s="36"/>
      <c r="Y332" s="36"/>
      <c r="Z332" s="23"/>
      <c r="AA332" s="36"/>
      <c r="AB332" s="36"/>
      <c r="AC332" s="23"/>
      <c r="AD332" s="36"/>
      <c r="AE332" s="36"/>
      <c r="AF332" s="23"/>
    </row>
    <row r="333" spans="1:32" x14ac:dyDescent="0.25">
      <c r="A333" s="23"/>
      <c r="B333" s="23"/>
      <c r="C333" s="36"/>
      <c r="D333" s="36"/>
      <c r="E333" s="23"/>
      <c r="F333" s="36"/>
      <c r="G333" s="36"/>
      <c r="H333" s="23"/>
      <c r="I333" s="36"/>
      <c r="J333" s="36"/>
      <c r="K333" s="23"/>
      <c r="L333" s="36"/>
      <c r="M333" s="36"/>
      <c r="N333" s="23"/>
      <c r="O333" s="36"/>
      <c r="P333" s="36"/>
      <c r="Q333" s="36"/>
      <c r="R333" s="36"/>
      <c r="S333" s="36"/>
      <c r="T333" s="36"/>
      <c r="U333" s="36"/>
      <c r="V333" s="36"/>
      <c r="W333" s="23"/>
      <c r="X333" s="36"/>
      <c r="Y333" s="36"/>
      <c r="Z333" s="23"/>
      <c r="AA333" s="36"/>
      <c r="AB333" s="36"/>
      <c r="AC333" s="23"/>
      <c r="AD333" s="36"/>
      <c r="AE333" s="36"/>
      <c r="AF333" s="23"/>
    </row>
    <row r="334" spans="1:32" x14ac:dyDescent="0.25">
      <c r="A334" s="23"/>
      <c r="B334" s="23"/>
      <c r="C334" s="36"/>
      <c r="D334" s="36"/>
      <c r="E334" s="23"/>
      <c r="F334" s="36"/>
      <c r="G334" s="36"/>
      <c r="H334" s="23"/>
      <c r="I334" s="36"/>
      <c r="J334" s="36"/>
      <c r="K334" s="23"/>
      <c r="L334" s="36"/>
      <c r="M334" s="36"/>
      <c r="N334" s="23"/>
      <c r="O334" s="36"/>
      <c r="P334" s="36"/>
      <c r="Q334" s="36"/>
      <c r="R334" s="36"/>
      <c r="S334" s="36"/>
      <c r="T334" s="36"/>
      <c r="U334" s="36"/>
      <c r="V334" s="36"/>
      <c r="W334" s="23"/>
      <c r="X334" s="36"/>
      <c r="Y334" s="36"/>
      <c r="Z334" s="23"/>
      <c r="AA334" s="36"/>
      <c r="AB334" s="36"/>
      <c r="AC334" s="23"/>
      <c r="AD334" s="36"/>
      <c r="AE334" s="36"/>
      <c r="AF334" s="23"/>
    </row>
    <row r="335" spans="1:32" x14ac:dyDescent="0.25">
      <c r="A335" s="23"/>
      <c r="B335" s="23"/>
      <c r="C335" s="36"/>
      <c r="D335" s="36"/>
      <c r="E335" s="23"/>
      <c r="F335" s="36"/>
      <c r="G335" s="36"/>
      <c r="H335" s="23"/>
      <c r="I335" s="36"/>
      <c r="J335" s="36"/>
      <c r="K335" s="23"/>
      <c r="L335" s="36"/>
      <c r="M335" s="36"/>
      <c r="N335" s="23"/>
      <c r="O335" s="36"/>
      <c r="P335" s="36"/>
      <c r="Q335" s="36"/>
      <c r="R335" s="36"/>
      <c r="S335" s="36"/>
      <c r="T335" s="36"/>
      <c r="U335" s="36"/>
      <c r="V335" s="36"/>
      <c r="W335" s="23"/>
      <c r="X335" s="36"/>
      <c r="Y335" s="36"/>
      <c r="Z335" s="23"/>
      <c r="AA335" s="36"/>
      <c r="AB335" s="36"/>
      <c r="AC335" s="23"/>
      <c r="AD335" s="36"/>
      <c r="AE335" s="36"/>
      <c r="AF335" s="23"/>
    </row>
    <row r="336" spans="1:32" x14ac:dyDescent="0.25">
      <c r="A336" s="23"/>
      <c r="B336" s="23"/>
      <c r="C336" s="36"/>
      <c r="D336" s="36"/>
      <c r="E336" s="23"/>
      <c r="F336" s="36"/>
      <c r="G336" s="36"/>
      <c r="H336" s="23"/>
      <c r="I336" s="36"/>
      <c r="J336" s="36"/>
      <c r="K336" s="23"/>
      <c r="L336" s="36"/>
      <c r="M336" s="36"/>
      <c r="N336" s="23"/>
      <c r="O336" s="36"/>
      <c r="P336" s="36"/>
      <c r="Q336" s="36"/>
      <c r="R336" s="36"/>
      <c r="S336" s="36"/>
      <c r="T336" s="36"/>
      <c r="U336" s="36"/>
      <c r="V336" s="36"/>
      <c r="W336" s="23"/>
      <c r="X336" s="36"/>
      <c r="Y336" s="36"/>
      <c r="Z336" s="23"/>
      <c r="AA336" s="36"/>
      <c r="AB336" s="36"/>
      <c r="AC336" s="23"/>
      <c r="AD336" s="36"/>
      <c r="AE336" s="36"/>
      <c r="AF336" s="23"/>
    </row>
    <row r="337" spans="1:32" x14ac:dyDescent="0.25">
      <c r="A337" s="23"/>
      <c r="B337" s="23"/>
      <c r="C337" s="36"/>
      <c r="D337" s="36"/>
      <c r="E337" s="23"/>
      <c r="F337" s="36"/>
      <c r="G337" s="36"/>
      <c r="H337" s="23"/>
      <c r="I337" s="36"/>
      <c r="J337" s="36"/>
      <c r="K337" s="23"/>
      <c r="L337" s="36"/>
      <c r="M337" s="36"/>
      <c r="N337" s="23"/>
      <c r="O337" s="36"/>
      <c r="P337" s="36"/>
      <c r="Q337" s="36"/>
      <c r="R337" s="36"/>
      <c r="S337" s="36"/>
      <c r="T337" s="36"/>
      <c r="U337" s="36"/>
      <c r="V337" s="36"/>
      <c r="W337" s="23"/>
      <c r="X337" s="36"/>
      <c r="Y337" s="36"/>
      <c r="Z337" s="23"/>
      <c r="AA337" s="36"/>
      <c r="AB337" s="36"/>
      <c r="AC337" s="23"/>
      <c r="AD337" s="36"/>
      <c r="AE337" s="36"/>
      <c r="AF337" s="23"/>
    </row>
    <row r="338" spans="1:32" x14ac:dyDescent="0.25">
      <c r="A338" s="23"/>
      <c r="B338" s="23"/>
      <c r="C338" s="36"/>
      <c r="D338" s="36"/>
      <c r="E338" s="23"/>
      <c r="F338" s="36"/>
      <c r="G338" s="36"/>
      <c r="H338" s="23"/>
      <c r="I338" s="36"/>
      <c r="J338" s="36"/>
      <c r="K338" s="23"/>
      <c r="L338" s="36"/>
      <c r="M338" s="36"/>
      <c r="N338" s="23"/>
      <c r="O338" s="36"/>
      <c r="P338" s="36"/>
      <c r="Q338" s="36"/>
      <c r="R338" s="36"/>
      <c r="S338" s="36"/>
      <c r="T338" s="36"/>
      <c r="U338" s="36"/>
      <c r="V338" s="36"/>
      <c r="W338" s="23"/>
      <c r="X338" s="36"/>
      <c r="Y338" s="36"/>
      <c r="Z338" s="23"/>
      <c r="AA338" s="36"/>
      <c r="AB338" s="36"/>
      <c r="AC338" s="23"/>
      <c r="AD338" s="36"/>
      <c r="AE338" s="36"/>
      <c r="AF338" s="23"/>
    </row>
    <row r="339" spans="1:32" x14ac:dyDescent="0.25">
      <c r="A339" s="23"/>
      <c r="B339" s="23"/>
      <c r="C339" s="36"/>
      <c r="D339" s="36"/>
      <c r="E339" s="23"/>
      <c r="F339" s="36"/>
      <c r="G339" s="36"/>
      <c r="H339" s="23"/>
      <c r="I339" s="36"/>
      <c r="J339" s="36"/>
      <c r="K339" s="23"/>
      <c r="L339" s="36"/>
      <c r="M339" s="36"/>
      <c r="N339" s="23"/>
      <c r="O339" s="36"/>
      <c r="P339" s="36"/>
      <c r="Q339" s="36"/>
      <c r="R339" s="36"/>
      <c r="S339" s="36"/>
      <c r="T339" s="36"/>
      <c r="U339" s="36"/>
      <c r="V339" s="36"/>
      <c r="W339" s="23"/>
      <c r="X339" s="36"/>
      <c r="Y339" s="36"/>
      <c r="Z339" s="23"/>
      <c r="AA339" s="36"/>
      <c r="AB339" s="36"/>
      <c r="AC339" s="23"/>
      <c r="AD339" s="36"/>
      <c r="AE339" s="36"/>
      <c r="AF339" s="23"/>
    </row>
    <row r="340" spans="1:32" x14ac:dyDescent="0.25">
      <c r="A340" s="23"/>
      <c r="B340" s="23"/>
      <c r="C340" s="36"/>
      <c r="D340" s="36"/>
      <c r="E340" s="23"/>
      <c r="F340" s="36"/>
      <c r="G340" s="36"/>
      <c r="H340" s="23"/>
      <c r="I340" s="36"/>
      <c r="J340" s="36"/>
      <c r="K340" s="23"/>
      <c r="L340" s="36"/>
      <c r="M340" s="36"/>
      <c r="N340" s="23"/>
      <c r="O340" s="36"/>
      <c r="P340" s="36"/>
      <c r="Q340" s="36"/>
      <c r="R340" s="36"/>
      <c r="S340" s="36"/>
      <c r="T340" s="36"/>
      <c r="U340" s="36"/>
      <c r="V340" s="36"/>
      <c r="W340" s="23"/>
      <c r="X340" s="36"/>
      <c r="Y340" s="36"/>
      <c r="Z340" s="23"/>
      <c r="AA340" s="36"/>
      <c r="AB340" s="36"/>
      <c r="AC340" s="23"/>
      <c r="AD340" s="36"/>
      <c r="AE340" s="36"/>
      <c r="AF340" s="23"/>
    </row>
    <row r="341" spans="1:32" x14ac:dyDescent="0.25">
      <c r="A341" s="23"/>
      <c r="B341" s="23"/>
      <c r="C341" s="36"/>
      <c r="D341" s="36"/>
      <c r="E341" s="23"/>
      <c r="F341" s="36"/>
      <c r="G341" s="36"/>
      <c r="H341" s="23"/>
      <c r="I341" s="36"/>
      <c r="J341" s="36"/>
      <c r="K341" s="23"/>
      <c r="L341" s="36"/>
      <c r="M341" s="36"/>
      <c r="N341" s="23"/>
      <c r="O341" s="36"/>
      <c r="P341" s="36"/>
      <c r="Q341" s="36"/>
      <c r="R341" s="36"/>
      <c r="S341" s="36"/>
      <c r="T341" s="36"/>
      <c r="U341" s="36"/>
      <c r="V341" s="36"/>
      <c r="W341" s="23"/>
      <c r="X341" s="36"/>
      <c r="Y341" s="36"/>
      <c r="Z341" s="23"/>
      <c r="AA341" s="36"/>
      <c r="AB341" s="36"/>
      <c r="AC341" s="23"/>
      <c r="AD341" s="36"/>
      <c r="AE341" s="36"/>
      <c r="AF341" s="23"/>
    </row>
    <row r="342" spans="1:32" x14ac:dyDescent="0.25">
      <c r="A342" s="23"/>
      <c r="B342" s="23"/>
      <c r="C342" s="36"/>
      <c r="D342" s="36"/>
      <c r="E342" s="23"/>
      <c r="F342" s="36"/>
      <c r="G342" s="36"/>
      <c r="H342" s="23"/>
      <c r="I342" s="36"/>
      <c r="J342" s="36"/>
      <c r="K342" s="23"/>
      <c r="L342" s="36"/>
      <c r="M342" s="36"/>
      <c r="N342" s="23"/>
      <c r="O342" s="36"/>
      <c r="P342" s="36"/>
      <c r="Q342" s="36"/>
      <c r="R342" s="36"/>
      <c r="S342" s="36"/>
      <c r="T342" s="36"/>
      <c r="U342" s="36"/>
      <c r="V342" s="36"/>
      <c r="W342" s="23"/>
      <c r="X342" s="36"/>
      <c r="Y342" s="36"/>
      <c r="Z342" s="23"/>
      <c r="AA342" s="36"/>
      <c r="AB342" s="36"/>
      <c r="AC342" s="23"/>
      <c r="AD342" s="36"/>
      <c r="AE342" s="36"/>
      <c r="AF342" s="23"/>
    </row>
    <row r="343" spans="1:32" x14ac:dyDescent="0.25">
      <c r="A343" s="23"/>
      <c r="B343" s="23"/>
      <c r="C343" s="36"/>
      <c r="D343" s="36"/>
      <c r="E343" s="23"/>
      <c r="F343" s="36"/>
      <c r="G343" s="36"/>
      <c r="H343" s="23"/>
      <c r="I343" s="36"/>
      <c r="J343" s="36"/>
      <c r="K343" s="23"/>
      <c r="L343" s="36"/>
      <c r="M343" s="36"/>
      <c r="N343" s="23"/>
      <c r="O343" s="36"/>
      <c r="P343" s="36"/>
      <c r="Q343" s="36"/>
      <c r="R343" s="36"/>
      <c r="S343" s="36"/>
      <c r="T343" s="36"/>
      <c r="U343" s="36"/>
      <c r="V343" s="36"/>
      <c r="W343" s="23"/>
      <c r="X343" s="36"/>
      <c r="Y343" s="36"/>
      <c r="Z343" s="23"/>
      <c r="AA343" s="36"/>
      <c r="AB343" s="36"/>
      <c r="AC343" s="23"/>
      <c r="AD343" s="36"/>
      <c r="AE343" s="36"/>
      <c r="AF343" s="23"/>
    </row>
    <row r="344" spans="1:32" x14ac:dyDescent="0.25">
      <c r="A344" s="23"/>
      <c r="B344" s="23"/>
      <c r="C344" s="36"/>
      <c r="D344" s="36"/>
      <c r="E344" s="23"/>
      <c r="F344" s="36"/>
      <c r="G344" s="36"/>
      <c r="H344" s="23"/>
      <c r="I344" s="36"/>
      <c r="J344" s="36"/>
      <c r="K344" s="23"/>
      <c r="L344" s="36"/>
      <c r="M344" s="36"/>
      <c r="N344" s="23"/>
      <c r="O344" s="36"/>
      <c r="P344" s="36"/>
      <c r="Q344" s="36"/>
      <c r="R344" s="36"/>
      <c r="S344" s="36"/>
      <c r="T344" s="36"/>
      <c r="U344" s="36"/>
      <c r="V344" s="36"/>
      <c r="W344" s="23"/>
      <c r="X344" s="36"/>
      <c r="Y344" s="36"/>
      <c r="Z344" s="23"/>
      <c r="AA344" s="36"/>
      <c r="AB344" s="36"/>
      <c r="AC344" s="23"/>
      <c r="AD344" s="36"/>
      <c r="AE344" s="36"/>
      <c r="AF344" s="23"/>
    </row>
    <row r="345" spans="1:32" x14ac:dyDescent="0.25">
      <c r="A345" s="23"/>
      <c r="B345" s="23"/>
      <c r="C345" s="36"/>
      <c r="D345" s="36"/>
      <c r="E345" s="23"/>
      <c r="F345" s="36"/>
      <c r="G345" s="36"/>
      <c r="H345" s="23"/>
      <c r="I345" s="36"/>
      <c r="J345" s="36"/>
      <c r="K345" s="23"/>
      <c r="L345" s="36"/>
      <c r="M345" s="36"/>
      <c r="N345" s="23"/>
      <c r="O345" s="36"/>
      <c r="P345" s="36"/>
      <c r="Q345" s="36"/>
      <c r="R345" s="36"/>
      <c r="S345" s="36"/>
      <c r="T345" s="36"/>
      <c r="U345" s="36"/>
      <c r="V345" s="36"/>
      <c r="W345" s="23"/>
      <c r="X345" s="36"/>
      <c r="Y345" s="36"/>
      <c r="Z345" s="23"/>
      <c r="AA345" s="36"/>
      <c r="AB345" s="36"/>
      <c r="AC345" s="23"/>
      <c r="AD345" s="36"/>
      <c r="AE345" s="36"/>
      <c r="AF345" s="23"/>
    </row>
    <row r="346" spans="1:32" x14ac:dyDescent="0.25">
      <c r="A346" s="23"/>
      <c r="B346" s="23"/>
      <c r="C346" s="36"/>
      <c r="D346" s="36"/>
      <c r="E346" s="23"/>
      <c r="F346" s="36"/>
      <c r="G346" s="36"/>
      <c r="H346" s="23"/>
      <c r="I346" s="36"/>
      <c r="J346" s="36"/>
      <c r="K346" s="23"/>
      <c r="L346" s="36"/>
      <c r="M346" s="36"/>
      <c r="N346" s="23"/>
      <c r="O346" s="36"/>
      <c r="P346" s="36"/>
      <c r="Q346" s="36"/>
      <c r="R346" s="36"/>
      <c r="S346" s="36"/>
      <c r="T346" s="36"/>
      <c r="U346" s="36"/>
      <c r="V346" s="36"/>
      <c r="W346" s="23"/>
      <c r="X346" s="36"/>
      <c r="Y346" s="36"/>
      <c r="Z346" s="23"/>
      <c r="AA346" s="36"/>
      <c r="AB346" s="36"/>
      <c r="AC346" s="23"/>
      <c r="AD346" s="36"/>
      <c r="AE346" s="36"/>
      <c r="AF346" s="23"/>
    </row>
    <row r="347" spans="1:32" x14ac:dyDescent="0.25">
      <c r="A347" s="23"/>
      <c r="B347" s="23"/>
      <c r="C347" s="36"/>
      <c r="D347" s="36"/>
      <c r="E347" s="23"/>
      <c r="F347" s="36"/>
      <c r="G347" s="36"/>
      <c r="H347" s="23"/>
      <c r="I347" s="36"/>
      <c r="J347" s="36"/>
      <c r="K347" s="23"/>
      <c r="L347" s="36"/>
      <c r="M347" s="36"/>
      <c r="N347" s="23"/>
      <c r="O347" s="36"/>
      <c r="P347" s="36"/>
      <c r="Q347" s="36"/>
      <c r="R347" s="36"/>
      <c r="S347" s="36"/>
      <c r="T347" s="36"/>
      <c r="U347" s="36"/>
      <c r="V347" s="36"/>
      <c r="W347" s="23"/>
      <c r="X347" s="36"/>
      <c r="Y347" s="36"/>
      <c r="Z347" s="23"/>
      <c r="AA347" s="36"/>
      <c r="AB347" s="36"/>
      <c r="AC347" s="23"/>
      <c r="AD347" s="36"/>
      <c r="AE347" s="36"/>
      <c r="AF347" s="23"/>
    </row>
    <row r="348" spans="1:32" x14ac:dyDescent="0.25">
      <c r="A348" s="23"/>
      <c r="B348" s="23"/>
      <c r="C348" s="36"/>
      <c r="D348" s="36"/>
      <c r="E348" s="23"/>
      <c r="F348" s="36"/>
      <c r="G348" s="36"/>
      <c r="H348" s="23"/>
      <c r="I348" s="36"/>
      <c r="J348" s="36"/>
      <c r="K348" s="23"/>
      <c r="L348" s="36"/>
      <c r="M348" s="36"/>
      <c r="N348" s="23"/>
      <c r="O348" s="36"/>
      <c r="P348" s="36"/>
      <c r="Q348" s="36"/>
      <c r="R348" s="36"/>
      <c r="S348" s="36"/>
      <c r="T348" s="36"/>
      <c r="U348" s="36"/>
      <c r="V348" s="36"/>
      <c r="W348" s="23"/>
      <c r="X348" s="36"/>
      <c r="Y348" s="36"/>
      <c r="Z348" s="23"/>
      <c r="AA348" s="36"/>
      <c r="AB348" s="36"/>
      <c r="AC348" s="23"/>
      <c r="AD348" s="36"/>
      <c r="AE348" s="36"/>
      <c r="AF348" s="23"/>
    </row>
    <row r="349" spans="1:32" x14ac:dyDescent="0.25">
      <c r="A349" s="23"/>
      <c r="B349" s="23"/>
      <c r="C349" s="36"/>
      <c r="D349" s="36"/>
      <c r="E349" s="23"/>
      <c r="F349" s="36"/>
      <c r="G349" s="36"/>
      <c r="H349" s="23"/>
      <c r="I349" s="36"/>
      <c r="J349" s="36"/>
      <c r="K349" s="23"/>
      <c r="L349" s="36"/>
      <c r="M349" s="36"/>
      <c r="N349" s="23"/>
      <c r="O349" s="36"/>
      <c r="P349" s="36"/>
      <c r="Q349" s="36"/>
      <c r="R349" s="36"/>
      <c r="S349" s="36"/>
      <c r="T349" s="36"/>
      <c r="U349" s="36"/>
      <c r="V349" s="36"/>
      <c r="W349" s="23"/>
      <c r="X349" s="36"/>
      <c r="Y349" s="36"/>
      <c r="Z349" s="23"/>
      <c r="AA349" s="36"/>
      <c r="AB349" s="36"/>
      <c r="AC349" s="23"/>
      <c r="AD349" s="36"/>
      <c r="AE349" s="36"/>
      <c r="AF349" s="23"/>
    </row>
    <row r="350" spans="1:32" x14ac:dyDescent="0.25">
      <c r="A350" s="23"/>
      <c r="B350" s="23"/>
      <c r="C350" s="36"/>
      <c r="D350" s="36"/>
      <c r="E350" s="23"/>
      <c r="F350" s="36"/>
      <c r="G350" s="36"/>
      <c r="H350" s="23"/>
      <c r="I350" s="36"/>
      <c r="J350" s="36"/>
      <c r="K350" s="23"/>
      <c r="L350" s="36"/>
      <c r="M350" s="36"/>
      <c r="N350" s="23"/>
      <c r="O350" s="36"/>
      <c r="P350" s="36"/>
      <c r="Q350" s="36"/>
      <c r="R350" s="36"/>
      <c r="S350" s="36"/>
      <c r="T350" s="36"/>
      <c r="U350" s="36"/>
      <c r="V350" s="36"/>
      <c r="W350" s="23"/>
      <c r="X350" s="36"/>
      <c r="Y350" s="36"/>
      <c r="Z350" s="23"/>
      <c r="AA350" s="36"/>
      <c r="AB350" s="36"/>
      <c r="AC350" s="23"/>
      <c r="AD350" s="36"/>
      <c r="AE350" s="36"/>
      <c r="AF350" s="23"/>
    </row>
    <row r="351" spans="1:32" x14ac:dyDescent="0.25">
      <c r="A351" s="23"/>
      <c r="B351" s="23"/>
      <c r="C351" s="36"/>
      <c r="D351" s="36"/>
      <c r="E351" s="23"/>
      <c r="F351" s="36"/>
      <c r="G351" s="36"/>
      <c r="H351" s="23"/>
      <c r="I351" s="36"/>
      <c r="J351" s="36"/>
      <c r="K351" s="23"/>
      <c r="L351" s="36"/>
      <c r="M351" s="36"/>
      <c r="N351" s="23"/>
      <c r="O351" s="36"/>
      <c r="P351" s="36"/>
      <c r="Q351" s="36"/>
      <c r="R351" s="36"/>
      <c r="S351" s="36"/>
      <c r="T351" s="36"/>
      <c r="U351" s="36"/>
      <c r="V351" s="36"/>
      <c r="W351" s="23"/>
      <c r="X351" s="36"/>
      <c r="Y351" s="36"/>
      <c r="Z351" s="23"/>
      <c r="AA351" s="36"/>
      <c r="AB351" s="36"/>
      <c r="AC351" s="23"/>
      <c r="AD351" s="36"/>
      <c r="AE351" s="36"/>
      <c r="AF351" s="23"/>
    </row>
    <row r="352" spans="1:32" x14ac:dyDescent="0.25">
      <c r="A352" s="23"/>
      <c r="B352" s="23"/>
      <c r="C352" s="36"/>
      <c r="D352" s="36"/>
      <c r="E352" s="23"/>
      <c r="F352" s="36"/>
      <c r="G352" s="36"/>
      <c r="H352" s="23"/>
      <c r="I352" s="36"/>
      <c r="J352" s="36"/>
      <c r="K352" s="23"/>
      <c r="L352" s="36"/>
      <c r="M352" s="36"/>
      <c r="N352" s="23"/>
      <c r="O352" s="36"/>
      <c r="P352" s="36"/>
      <c r="Q352" s="36"/>
      <c r="R352" s="36"/>
      <c r="S352" s="36"/>
      <c r="T352" s="36"/>
      <c r="U352" s="36"/>
      <c r="V352" s="36"/>
      <c r="W352" s="23"/>
      <c r="X352" s="36"/>
      <c r="Y352" s="36"/>
      <c r="Z352" s="23"/>
      <c r="AA352" s="36"/>
      <c r="AB352" s="36"/>
      <c r="AC352" s="23"/>
      <c r="AD352" s="36"/>
      <c r="AE352" s="36"/>
      <c r="AF352" s="23"/>
    </row>
    <row r="353" spans="1:32" x14ac:dyDescent="0.25">
      <c r="A353" s="23"/>
      <c r="B353" s="23"/>
      <c r="C353" s="36"/>
      <c r="D353" s="36"/>
      <c r="E353" s="23"/>
      <c r="F353" s="36"/>
      <c r="G353" s="36"/>
      <c r="H353" s="23"/>
      <c r="I353" s="36"/>
      <c r="J353" s="36"/>
      <c r="K353" s="23"/>
      <c r="L353" s="36"/>
      <c r="M353" s="36"/>
      <c r="N353" s="23"/>
      <c r="O353" s="36"/>
      <c r="P353" s="36"/>
      <c r="Q353" s="36"/>
      <c r="R353" s="36"/>
      <c r="S353" s="36"/>
      <c r="T353" s="36"/>
      <c r="U353" s="36"/>
      <c r="V353" s="36"/>
      <c r="W353" s="23"/>
      <c r="X353" s="36"/>
      <c r="Y353" s="36"/>
      <c r="Z353" s="23"/>
      <c r="AA353" s="36"/>
      <c r="AB353" s="36"/>
      <c r="AC353" s="23"/>
      <c r="AD353" s="36"/>
      <c r="AE353" s="36"/>
      <c r="AF353" s="23"/>
    </row>
    <row r="354" spans="1:32" x14ac:dyDescent="0.25">
      <c r="A354" s="23"/>
      <c r="B354" s="23"/>
      <c r="C354" s="36"/>
      <c r="D354" s="36"/>
      <c r="E354" s="23"/>
      <c r="F354" s="36"/>
      <c r="G354" s="36"/>
      <c r="H354" s="23"/>
      <c r="I354" s="36"/>
      <c r="J354" s="36"/>
      <c r="K354" s="23"/>
      <c r="L354" s="36"/>
      <c r="M354" s="36"/>
      <c r="N354" s="23"/>
      <c r="O354" s="36"/>
      <c r="P354" s="36"/>
      <c r="Q354" s="36"/>
      <c r="R354" s="36"/>
      <c r="S354" s="36"/>
      <c r="T354" s="36"/>
      <c r="U354" s="36"/>
      <c r="V354" s="36"/>
      <c r="W354" s="23"/>
      <c r="X354" s="36"/>
      <c r="Y354" s="36"/>
      <c r="Z354" s="23"/>
      <c r="AA354" s="36"/>
      <c r="AB354" s="36"/>
      <c r="AC354" s="23"/>
      <c r="AD354" s="36"/>
      <c r="AE354" s="36"/>
      <c r="AF354" s="23"/>
    </row>
    <row r="355" spans="1:32" x14ac:dyDescent="0.25">
      <c r="A355" s="23"/>
      <c r="B355" s="23"/>
      <c r="C355" s="36"/>
      <c r="D355" s="36"/>
      <c r="E355" s="23"/>
      <c r="F355" s="36"/>
      <c r="G355" s="36"/>
      <c r="H355" s="23"/>
      <c r="I355" s="36"/>
      <c r="J355" s="36"/>
      <c r="K355" s="23"/>
      <c r="L355" s="36"/>
      <c r="M355" s="36"/>
      <c r="N355" s="23"/>
      <c r="O355" s="36"/>
      <c r="P355" s="36"/>
      <c r="Q355" s="36"/>
      <c r="R355" s="36"/>
      <c r="S355" s="36"/>
      <c r="T355" s="36"/>
      <c r="U355" s="36"/>
      <c r="V355" s="36"/>
      <c r="W355" s="23"/>
      <c r="X355" s="36"/>
      <c r="Y355" s="36"/>
      <c r="Z355" s="23"/>
      <c r="AA355" s="36"/>
      <c r="AB355" s="36"/>
      <c r="AC355" s="23"/>
      <c r="AD355" s="36"/>
      <c r="AE355" s="36"/>
      <c r="AF355" s="23"/>
    </row>
    <row r="356" spans="1:32" x14ac:dyDescent="0.25">
      <c r="A356" s="23"/>
      <c r="B356" s="23"/>
      <c r="C356" s="36"/>
      <c r="D356" s="36"/>
      <c r="E356" s="23"/>
      <c r="F356" s="36"/>
      <c r="G356" s="36"/>
      <c r="H356" s="23"/>
      <c r="I356" s="36"/>
      <c r="J356" s="36"/>
      <c r="K356" s="23"/>
      <c r="L356" s="36"/>
      <c r="M356" s="36"/>
      <c r="N356" s="23"/>
      <c r="O356" s="36"/>
      <c r="P356" s="36"/>
      <c r="Q356" s="36"/>
      <c r="R356" s="36"/>
      <c r="S356" s="36"/>
      <c r="T356" s="36"/>
      <c r="U356" s="36"/>
      <c r="V356" s="36"/>
      <c r="W356" s="23"/>
      <c r="X356" s="36"/>
      <c r="Y356" s="36"/>
      <c r="Z356" s="23"/>
      <c r="AA356" s="36"/>
      <c r="AB356" s="36"/>
      <c r="AC356" s="23"/>
      <c r="AD356" s="36"/>
      <c r="AE356" s="36"/>
      <c r="AF356" s="23"/>
    </row>
    <row r="357" spans="1:32" x14ac:dyDescent="0.25">
      <c r="A357" s="23"/>
      <c r="B357" s="23"/>
      <c r="C357" s="36"/>
      <c r="D357" s="36"/>
      <c r="E357" s="23"/>
      <c r="F357" s="36"/>
      <c r="G357" s="36"/>
      <c r="H357" s="23"/>
      <c r="I357" s="36"/>
      <c r="J357" s="36"/>
      <c r="K357" s="23"/>
      <c r="L357" s="36"/>
      <c r="M357" s="36"/>
      <c r="N357" s="23"/>
      <c r="O357" s="36"/>
      <c r="P357" s="36"/>
      <c r="Q357" s="36"/>
      <c r="R357" s="36"/>
      <c r="S357" s="36"/>
      <c r="T357" s="36"/>
      <c r="U357" s="36"/>
      <c r="V357" s="36"/>
      <c r="W357" s="23"/>
      <c r="X357" s="36"/>
      <c r="Y357" s="36"/>
      <c r="Z357" s="23"/>
      <c r="AA357" s="36"/>
      <c r="AB357" s="36"/>
      <c r="AC357" s="23"/>
      <c r="AD357" s="36"/>
      <c r="AE357" s="36"/>
      <c r="AF357" s="23"/>
    </row>
    <row r="358" spans="1:32" x14ac:dyDescent="0.25">
      <c r="A358" s="23"/>
      <c r="B358" s="23"/>
      <c r="C358" s="36"/>
      <c r="D358" s="36"/>
      <c r="E358" s="23"/>
      <c r="F358" s="36"/>
      <c r="G358" s="36"/>
      <c r="H358" s="23"/>
      <c r="I358" s="36"/>
      <c r="J358" s="36"/>
      <c r="K358" s="23"/>
      <c r="L358" s="36"/>
      <c r="M358" s="36"/>
      <c r="N358" s="23"/>
      <c r="O358" s="36"/>
      <c r="P358" s="36"/>
      <c r="Q358" s="36"/>
      <c r="R358" s="36"/>
      <c r="S358" s="36"/>
      <c r="T358" s="36"/>
      <c r="U358" s="36"/>
      <c r="V358" s="36"/>
      <c r="W358" s="23"/>
      <c r="X358" s="36"/>
      <c r="Y358" s="36"/>
      <c r="Z358" s="23"/>
      <c r="AA358" s="36"/>
      <c r="AB358" s="36"/>
      <c r="AC358" s="23"/>
      <c r="AD358" s="36"/>
      <c r="AE358" s="36"/>
      <c r="AF358" s="23"/>
    </row>
    <row r="359" spans="1:32" x14ac:dyDescent="0.25">
      <c r="A359" s="23"/>
      <c r="B359" s="23"/>
      <c r="C359" s="36"/>
      <c r="D359" s="36"/>
      <c r="E359" s="23"/>
      <c r="F359" s="36"/>
      <c r="G359" s="36"/>
      <c r="H359" s="23"/>
      <c r="I359" s="36"/>
      <c r="J359" s="36"/>
      <c r="K359" s="23"/>
      <c r="L359" s="36"/>
      <c r="M359" s="36"/>
      <c r="N359" s="23"/>
      <c r="O359" s="36"/>
      <c r="P359" s="36"/>
      <c r="Q359" s="36"/>
      <c r="R359" s="36"/>
      <c r="S359" s="36"/>
      <c r="T359" s="36"/>
      <c r="U359" s="36"/>
      <c r="V359" s="36"/>
      <c r="W359" s="23"/>
      <c r="X359" s="36"/>
      <c r="Y359" s="36"/>
      <c r="Z359" s="23"/>
      <c r="AA359" s="36"/>
      <c r="AB359" s="36"/>
      <c r="AC359" s="23"/>
      <c r="AD359" s="36"/>
      <c r="AE359" s="36"/>
      <c r="AF359" s="23"/>
    </row>
    <row r="360" spans="1:32" x14ac:dyDescent="0.25">
      <c r="A360" s="23"/>
      <c r="B360" s="23"/>
      <c r="C360" s="36"/>
      <c r="D360" s="36"/>
      <c r="E360" s="23"/>
      <c r="F360" s="36"/>
      <c r="G360" s="36"/>
      <c r="H360" s="23"/>
      <c r="I360" s="36"/>
      <c r="J360" s="36"/>
      <c r="K360" s="23"/>
      <c r="L360" s="36"/>
      <c r="M360" s="36"/>
      <c r="N360" s="23"/>
      <c r="O360" s="36"/>
      <c r="P360" s="36"/>
      <c r="Q360" s="36"/>
      <c r="R360" s="36"/>
      <c r="S360" s="36"/>
      <c r="T360" s="36"/>
      <c r="U360" s="36"/>
      <c r="V360" s="36"/>
      <c r="W360" s="23"/>
      <c r="X360" s="36"/>
      <c r="Y360" s="36"/>
      <c r="Z360" s="23"/>
      <c r="AA360" s="36"/>
      <c r="AB360" s="36"/>
      <c r="AC360" s="23"/>
      <c r="AD360" s="36"/>
      <c r="AE360" s="36"/>
      <c r="AF360" s="23"/>
    </row>
    <row r="361" spans="1:32" x14ac:dyDescent="0.25">
      <c r="A361" s="23"/>
      <c r="B361" s="23"/>
      <c r="C361" s="36"/>
      <c r="D361" s="36"/>
      <c r="E361" s="23"/>
      <c r="F361" s="36"/>
      <c r="G361" s="36"/>
      <c r="H361" s="23"/>
      <c r="I361" s="36"/>
      <c r="J361" s="36"/>
      <c r="K361" s="23"/>
      <c r="L361" s="36"/>
      <c r="M361" s="36"/>
      <c r="N361" s="23"/>
      <c r="O361" s="36"/>
      <c r="P361" s="36"/>
      <c r="Q361" s="36"/>
      <c r="R361" s="36"/>
      <c r="S361" s="36"/>
      <c r="T361" s="36"/>
      <c r="U361" s="36"/>
      <c r="V361" s="36"/>
      <c r="W361" s="23"/>
      <c r="X361" s="36"/>
      <c r="Y361" s="36"/>
      <c r="Z361" s="23"/>
      <c r="AA361" s="36"/>
      <c r="AB361" s="36"/>
      <c r="AC361" s="23"/>
      <c r="AD361" s="36"/>
      <c r="AE361" s="36"/>
      <c r="AF361" s="23"/>
    </row>
    <row r="362" spans="1:32" x14ac:dyDescent="0.25">
      <c r="A362" s="23"/>
      <c r="B362" s="23"/>
      <c r="C362" s="36"/>
      <c r="D362" s="36"/>
      <c r="E362" s="23"/>
      <c r="F362" s="36"/>
      <c r="G362" s="36"/>
      <c r="H362" s="23"/>
      <c r="I362" s="36"/>
      <c r="J362" s="36"/>
      <c r="K362" s="23"/>
      <c r="L362" s="36"/>
      <c r="M362" s="36"/>
      <c r="N362" s="23"/>
      <c r="O362" s="36"/>
      <c r="P362" s="36"/>
      <c r="Q362" s="36"/>
      <c r="R362" s="36"/>
      <c r="S362" s="36"/>
      <c r="T362" s="36"/>
      <c r="U362" s="36"/>
      <c r="V362" s="36"/>
      <c r="W362" s="23"/>
      <c r="X362" s="36"/>
      <c r="Y362" s="36"/>
      <c r="Z362" s="23"/>
      <c r="AA362" s="36"/>
      <c r="AB362" s="36"/>
      <c r="AC362" s="23"/>
      <c r="AD362" s="36"/>
      <c r="AE362" s="36"/>
      <c r="AF362" s="23"/>
    </row>
    <row r="363" spans="1:32" x14ac:dyDescent="0.25">
      <c r="A363" s="23"/>
      <c r="B363" s="23"/>
      <c r="C363" s="36"/>
      <c r="D363" s="36"/>
      <c r="E363" s="23"/>
      <c r="F363" s="36"/>
      <c r="G363" s="36"/>
      <c r="H363" s="23"/>
      <c r="I363" s="36"/>
      <c r="J363" s="36"/>
      <c r="K363" s="23"/>
      <c r="L363" s="36"/>
      <c r="M363" s="36"/>
      <c r="N363" s="23"/>
      <c r="O363" s="36"/>
      <c r="P363" s="36"/>
      <c r="Q363" s="36"/>
      <c r="R363" s="36"/>
      <c r="S363" s="36"/>
      <c r="T363" s="36"/>
      <c r="U363" s="36"/>
      <c r="V363" s="36"/>
      <c r="W363" s="23"/>
      <c r="X363" s="36"/>
      <c r="Y363" s="36"/>
      <c r="Z363" s="23"/>
      <c r="AA363" s="36"/>
      <c r="AB363" s="36"/>
      <c r="AC363" s="23"/>
      <c r="AD363" s="36"/>
      <c r="AE363" s="36"/>
      <c r="AF363" s="23"/>
    </row>
    <row r="364" spans="1:32" x14ac:dyDescent="0.25">
      <c r="A364" s="23"/>
      <c r="B364" s="23"/>
      <c r="C364" s="36"/>
      <c r="D364" s="36"/>
      <c r="E364" s="23"/>
      <c r="F364" s="36"/>
      <c r="G364" s="36"/>
      <c r="H364" s="23"/>
      <c r="I364" s="36"/>
      <c r="J364" s="36"/>
      <c r="K364" s="23"/>
      <c r="L364" s="36"/>
      <c r="M364" s="36"/>
      <c r="N364" s="23"/>
      <c r="O364" s="36"/>
      <c r="P364" s="36"/>
      <c r="Q364" s="36"/>
      <c r="R364" s="36"/>
      <c r="S364" s="36"/>
      <c r="T364" s="36"/>
      <c r="U364" s="36"/>
      <c r="V364" s="36"/>
      <c r="W364" s="23"/>
      <c r="X364" s="36"/>
      <c r="Y364" s="36"/>
      <c r="Z364" s="23"/>
      <c r="AA364" s="36"/>
      <c r="AB364" s="36"/>
      <c r="AC364" s="23"/>
      <c r="AD364" s="36"/>
      <c r="AE364" s="36"/>
      <c r="AF364" s="23"/>
    </row>
    <row r="365" spans="1:32" x14ac:dyDescent="0.25">
      <c r="A365" s="23"/>
      <c r="B365" s="23"/>
      <c r="C365" s="36"/>
      <c r="D365" s="36"/>
      <c r="E365" s="23"/>
      <c r="F365" s="36"/>
      <c r="G365" s="36"/>
      <c r="H365" s="23"/>
      <c r="I365" s="36"/>
      <c r="J365" s="36"/>
      <c r="K365" s="23"/>
      <c r="L365" s="36"/>
      <c r="M365" s="36"/>
      <c r="N365" s="23"/>
      <c r="O365" s="36"/>
      <c r="P365" s="36"/>
      <c r="Q365" s="36"/>
      <c r="R365" s="36"/>
      <c r="S365" s="36"/>
      <c r="T365" s="36"/>
      <c r="U365" s="36"/>
      <c r="V365" s="36"/>
      <c r="W365" s="23"/>
      <c r="X365" s="36"/>
      <c r="Y365" s="36"/>
      <c r="Z365" s="23"/>
      <c r="AA365" s="36"/>
      <c r="AB365" s="36"/>
      <c r="AC365" s="23"/>
      <c r="AD365" s="36"/>
      <c r="AE365" s="36"/>
      <c r="AF365" s="23"/>
    </row>
    <row r="366" spans="1:32" x14ac:dyDescent="0.25">
      <c r="A366" s="23"/>
      <c r="B366" s="23"/>
      <c r="C366" s="36"/>
      <c r="D366" s="36"/>
      <c r="E366" s="23"/>
      <c r="F366" s="36"/>
      <c r="G366" s="36"/>
      <c r="H366" s="23"/>
      <c r="I366" s="36"/>
      <c r="J366" s="36"/>
      <c r="K366" s="23"/>
      <c r="L366" s="36"/>
      <c r="M366" s="36"/>
      <c r="N366" s="23"/>
      <c r="O366" s="36"/>
      <c r="P366" s="36"/>
      <c r="Q366" s="36"/>
      <c r="R366" s="36"/>
      <c r="S366" s="36"/>
      <c r="T366" s="36"/>
      <c r="U366" s="36"/>
      <c r="V366" s="36"/>
      <c r="W366" s="23"/>
      <c r="X366" s="36"/>
      <c r="Y366" s="36"/>
      <c r="Z366" s="23"/>
      <c r="AA366" s="36"/>
      <c r="AB366" s="36"/>
      <c r="AC366" s="23"/>
      <c r="AD366" s="36"/>
      <c r="AE366" s="36"/>
      <c r="AF366" s="23"/>
    </row>
    <row r="367" spans="1:32" x14ac:dyDescent="0.25">
      <c r="A367" s="23"/>
      <c r="B367" s="23"/>
      <c r="C367" s="36"/>
      <c r="D367" s="36"/>
      <c r="E367" s="23"/>
      <c r="F367" s="36"/>
      <c r="G367" s="36"/>
      <c r="H367" s="23"/>
      <c r="I367" s="36"/>
      <c r="J367" s="36"/>
      <c r="K367" s="23"/>
      <c r="L367" s="36"/>
      <c r="M367" s="36"/>
      <c r="N367" s="23"/>
      <c r="O367" s="36"/>
      <c r="P367" s="36"/>
      <c r="Q367" s="36"/>
      <c r="R367" s="36"/>
      <c r="S367" s="36"/>
      <c r="T367" s="36"/>
      <c r="U367" s="36"/>
      <c r="V367" s="36"/>
      <c r="W367" s="23"/>
      <c r="X367" s="36"/>
      <c r="Y367" s="36"/>
      <c r="Z367" s="23"/>
      <c r="AA367" s="36"/>
      <c r="AB367" s="36"/>
      <c r="AC367" s="23"/>
      <c r="AD367" s="36"/>
      <c r="AE367" s="36"/>
      <c r="AF367" s="23"/>
    </row>
    <row r="368" spans="1:32" x14ac:dyDescent="0.25">
      <c r="A368" s="23"/>
      <c r="B368" s="23"/>
      <c r="C368" s="36"/>
      <c r="D368" s="36"/>
      <c r="E368" s="23"/>
      <c r="F368" s="36"/>
      <c r="G368" s="36"/>
      <c r="H368" s="23"/>
      <c r="I368" s="36"/>
      <c r="J368" s="36"/>
      <c r="K368" s="23"/>
      <c r="L368" s="36"/>
      <c r="M368" s="36"/>
      <c r="N368" s="23"/>
      <c r="O368" s="36"/>
      <c r="P368" s="36"/>
      <c r="Q368" s="36"/>
      <c r="R368" s="36"/>
      <c r="S368" s="36"/>
      <c r="T368" s="36"/>
      <c r="U368" s="36"/>
      <c r="V368" s="36"/>
      <c r="W368" s="23"/>
      <c r="X368" s="36"/>
      <c r="Y368" s="36"/>
      <c r="Z368" s="23"/>
      <c r="AA368" s="36"/>
      <c r="AB368" s="36"/>
      <c r="AC368" s="23"/>
      <c r="AD368" s="36"/>
      <c r="AE368" s="36"/>
      <c r="AF368" s="23"/>
    </row>
    <row r="369" spans="1:32" x14ac:dyDescent="0.25">
      <c r="A369" s="23"/>
      <c r="B369" s="23"/>
      <c r="C369" s="36"/>
      <c r="D369" s="36"/>
      <c r="E369" s="23"/>
      <c r="F369" s="36"/>
      <c r="G369" s="36"/>
      <c r="H369" s="23"/>
      <c r="I369" s="36"/>
      <c r="J369" s="36"/>
      <c r="K369" s="23"/>
      <c r="L369" s="36"/>
      <c r="M369" s="36"/>
      <c r="N369" s="23"/>
      <c r="O369" s="36"/>
      <c r="P369" s="36"/>
      <c r="Q369" s="36"/>
      <c r="R369" s="36"/>
      <c r="S369" s="36"/>
      <c r="T369" s="36"/>
      <c r="U369" s="36"/>
      <c r="V369" s="36"/>
      <c r="W369" s="23"/>
      <c r="X369" s="36"/>
      <c r="Y369" s="36"/>
      <c r="Z369" s="23"/>
      <c r="AA369" s="36"/>
      <c r="AB369" s="36"/>
      <c r="AC369" s="23"/>
      <c r="AD369" s="36"/>
      <c r="AE369" s="36"/>
      <c r="AF369" s="23"/>
    </row>
    <row r="370" spans="1:32" x14ac:dyDescent="0.25">
      <c r="A370" s="23"/>
      <c r="B370" s="23"/>
      <c r="C370" s="36"/>
      <c r="D370" s="36"/>
      <c r="E370" s="23"/>
      <c r="F370" s="36"/>
      <c r="G370" s="36"/>
      <c r="H370" s="23"/>
      <c r="I370" s="36"/>
      <c r="J370" s="36"/>
      <c r="K370" s="23"/>
      <c r="L370" s="36"/>
      <c r="M370" s="36"/>
      <c r="N370" s="23"/>
      <c r="O370" s="36"/>
      <c r="P370" s="36"/>
      <c r="Q370" s="36"/>
      <c r="R370" s="36"/>
      <c r="S370" s="36"/>
      <c r="T370" s="36"/>
      <c r="U370" s="36"/>
      <c r="V370" s="36"/>
      <c r="W370" s="23"/>
      <c r="X370" s="36"/>
      <c r="Y370" s="36"/>
      <c r="Z370" s="23"/>
      <c r="AA370" s="36"/>
      <c r="AB370" s="36"/>
      <c r="AC370" s="23"/>
      <c r="AD370" s="36"/>
      <c r="AE370" s="36"/>
      <c r="AF370" s="23"/>
    </row>
    <row r="371" spans="1:32" x14ac:dyDescent="0.25">
      <c r="A371" s="23"/>
      <c r="B371" s="23"/>
      <c r="C371" s="36"/>
      <c r="D371" s="36"/>
      <c r="E371" s="23"/>
      <c r="F371" s="36"/>
      <c r="G371" s="36"/>
      <c r="H371" s="23"/>
      <c r="I371" s="36"/>
      <c r="J371" s="36"/>
      <c r="K371" s="23"/>
      <c r="L371" s="36"/>
      <c r="M371" s="36"/>
      <c r="N371" s="23"/>
      <c r="O371" s="36"/>
      <c r="P371" s="36"/>
      <c r="Q371" s="36"/>
      <c r="R371" s="36"/>
      <c r="S371" s="36"/>
      <c r="T371" s="36"/>
      <c r="U371" s="36"/>
      <c r="V371" s="36"/>
      <c r="W371" s="23"/>
      <c r="X371" s="36"/>
      <c r="Y371" s="36"/>
      <c r="Z371" s="23"/>
      <c r="AA371" s="36"/>
      <c r="AB371" s="36"/>
      <c r="AC371" s="23"/>
      <c r="AD371" s="36"/>
      <c r="AE371" s="36"/>
      <c r="AF371" s="23"/>
    </row>
    <row r="372" spans="1:32" x14ac:dyDescent="0.25">
      <c r="A372" s="23"/>
      <c r="B372" s="23"/>
      <c r="C372" s="36"/>
      <c r="D372" s="36"/>
      <c r="E372" s="23"/>
      <c r="F372" s="36"/>
      <c r="G372" s="36"/>
      <c r="H372" s="23"/>
      <c r="I372" s="36"/>
      <c r="J372" s="36"/>
      <c r="K372" s="23"/>
      <c r="L372" s="36"/>
      <c r="M372" s="36"/>
      <c r="N372" s="23"/>
      <c r="O372" s="36"/>
      <c r="P372" s="36"/>
      <c r="Q372" s="36"/>
      <c r="R372" s="36"/>
      <c r="S372" s="36"/>
      <c r="T372" s="36"/>
      <c r="U372" s="36"/>
      <c r="V372" s="36"/>
      <c r="W372" s="23"/>
      <c r="X372" s="36"/>
      <c r="Y372" s="36"/>
      <c r="Z372" s="23"/>
      <c r="AA372" s="36"/>
      <c r="AB372" s="36"/>
      <c r="AC372" s="23"/>
      <c r="AD372" s="36"/>
      <c r="AE372" s="36"/>
      <c r="AF372" s="23"/>
    </row>
    <row r="373" spans="1:32" x14ac:dyDescent="0.25">
      <c r="A373" s="23"/>
      <c r="B373" s="23"/>
      <c r="C373" s="36"/>
      <c r="D373" s="36"/>
      <c r="E373" s="23"/>
      <c r="F373" s="36"/>
      <c r="G373" s="36"/>
      <c r="H373" s="23"/>
      <c r="I373" s="36"/>
      <c r="J373" s="36"/>
      <c r="K373" s="23"/>
      <c r="L373" s="36"/>
      <c r="M373" s="36"/>
      <c r="N373" s="23"/>
      <c r="O373" s="36"/>
      <c r="P373" s="36"/>
      <c r="Q373" s="36"/>
      <c r="R373" s="36"/>
      <c r="S373" s="36"/>
      <c r="T373" s="36"/>
      <c r="U373" s="36"/>
      <c r="V373" s="36"/>
      <c r="W373" s="23"/>
      <c r="X373" s="36"/>
      <c r="Y373" s="36"/>
      <c r="Z373" s="23"/>
      <c r="AA373" s="36"/>
      <c r="AB373" s="36"/>
      <c r="AC373" s="23"/>
      <c r="AD373" s="36"/>
      <c r="AE373" s="36"/>
      <c r="AF373" s="23"/>
    </row>
    <row r="374" spans="1:32" x14ac:dyDescent="0.25">
      <c r="A374" s="23"/>
      <c r="B374" s="23"/>
      <c r="C374" s="36"/>
      <c r="D374" s="36"/>
      <c r="E374" s="23"/>
      <c r="F374" s="36"/>
      <c r="G374" s="36"/>
      <c r="H374" s="23"/>
      <c r="I374" s="36"/>
      <c r="J374" s="36"/>
      <c r="K374" s="23"/>
      <c r="L374" s="36"/>
      <c r="M374" s="36"/>
      <c r="N374" s="23"/>
      <c r="O374" s="36"/>
      <c r="P374" s="36"/>
      <c r="Q374" s="36"/>
      <c r="R374" s="36"/>
      <c r="S374" s="36"/>
      <c r="T374" s="36"/>
      <c r="U374" s="36"/>
      <c r="V374" s="36"/>
      <c r="W374" s="23"/>
      <c r="X374" s="36"/>
      <c r="Y374" s="36"/>
      <c r="Z374" s="23"/>
      <c r="AA374" s="36"/>
      <c r="AB374" s="36"/>
      <c r="AC374" s="23"/>
      <c r="AD374" s="36"/>
      <c r="AE374" s="36"/>
      <c r="AF374" s="23"/>
    </row>
    <row r="375" spans="1:32" x14ac:dyDescent="0.25">
      <c r="A375" s="23"/>
      <c r="B375" s="23"/>
      <c r="C375" s="36"/>
      <c r="D375" s="36"/>
      <c r="E375" s="23"/>
      <c r="F375" s="36"/>
      <c r="G375" s="36"/>
      <c r="H375" s="23"/>
      <c r="I375" s="36"/>
      <c r="J375" s="36"/>
      <c r="K375" s="23"/>
      <c r="L375" s="36"/>
      <c r="M375" s="36"/>
      <c r="N375" s="23"/>
      <c r="O375" s="36"/>
      <c r="P375" s="36"/>
      <c r="Q375" s="36"/>
      <c r="R375" s="36"/>
      <c r="S375" s="36"/>
      <c r="T375" s="36"/>
      <c r="U375" s="36"/>
      <c r="V375" s="36"/>
      <c r="W375" s="23"/>
      <c r="X375" s="36"/>
      <c r="Y375" s="36"/>
      <c r="Z375" s="23"/>
      <c r="AA375" s="36"/>
      <c r="AB375" s="36"/>
      <c r="AC375" s="23"/>
      <c r="AD375" s="36"/>
      <c r="AE375" s="36"/>
      <c r="AF375" s="23"/>
    </row>
    <row r="376" spans="1:32" x14ac:dyDescent="0.25">
      <c r="A376" s="23"/>
      <c r="B376" s="23"/>
      <c r="C376" s="36"/>
      <c r="D376" s="36"/>
      <c r="E376" s="23"/>
      <c r="F376" s="36"/>
      <c r="G376" s="36"/>
      <c r="H376" s="23"/>
      <c r="I376" s="36"/>
      <c r="J376" s="36"/>
      <c r="K376" s="23"/>
      <c r="L376" s="36"/>
      <c r="M376" s="36"/>
      <c r="N376" s="23"/>
      <c r="O376" s="36"/>
      <c r="P376" s="36"/>
      <c r="Q376" s="36"/>
      <c r="R376" s="36"/>
      <c r="S376" s="36"/>
      <c r="T376" s="36"/>
      <c r="U376" s="36"/>
      <c r="V376" s="36"/>
      <c r="W376" s="23"/>
      <c r="X376" s="36"/>
      <c r="Y376" s="36"/>
      <c r="Z376" s="23"/>
      <c r="AA376" s="36"/>
      <c r="AB376" s="36"/>
      <c r="AC376" s="23"/>
      <c r="AD376" s="36"/>
      <c r="AE376" s="36"/>
      <c r="AF376" s="23"/>
    </row>
    <row r="377" spans="1:32" x14ac:dyDescent="0.25">
      <c r="A377" s="23"/>
      <c r="B377" s="23"/>
      <c r="C377" s="36"/>
      <c r="D377" s="36"/>
      <c r="E377" s="23"/>
      <c r="F377" s="36"/>
      <c r="G377" s="36"/>
      <c r="H377" s="23"/>
      <c r="I377" s="36"/>
      <c r="J377" s="36"/>
      <c r="K377" s="23"/>
      <c r="L377" s="36"/>
      <c r="M377" s="36"/>
      <c r="N377" s="23"/>
      <c r="O377" s="36"/>
      <c r="P377" s="36"/>
      <c r="Q377" s="36"/>
      <c r="R377" s="36"/>
      <c r="S377" s="36"/>
      <c r="T377" s="36"/>
      <c r="U377" s="36"/>
      <c r="V377" s="36"/>
      <c r="W377" s="23"/>
      <c r="X377" s="36"/>
      <c r="Y377" s="36"/>
      <c r="Z377" s="23"/>
      <c r="AA377" s="36"/>
      <c r="AB377" s="36"/>
      <c r="AC377" s="23"/>
      <c r="AD377" s="36"/>
      <c r="AE377" s="36"/>
      <c r="AF377" s="23"/>
    </row>
    <row r="378" spans="1:32" x14ac:dyDescent="0.25">
      <c r="A378" s="23"/>
      <c r="B378" s="23"/>
      <c r="C378" s="36"/>
      <c r="D378" s="36"/>
      <c r="E378" s="23"/>
      <c r="F378" s="36"/>
      <c r="G378" s="36"/>
      <c r="H378" s="23"/>
      <c r="I378" s="36"/>
      <c r="J378" s="36"/>
      <c r="K378" s="23"/>
      <c r="L378" s="36"/>
      <c r="M378" s="36"/>
      <c r="N378" s="23"/>
      <c r="O378" s="36"/>
      <c r="P378" s="36"/>
      <c r="Q378" s="36"/>
      <c r="R378" s="36"/>
      <c r="S378" s="36"/>
      <c r="T378" s="36"/>
      <c r="U378" s="36"/>
      <c r="V378" s="36"/>
      <c r="W378" s="23"/>
      <c r="X378" s="36"/>
      <c r="Y378" s="36"/>
      <c r="Z378" s="23"/>
      <c r="AA378" s="36"/>
      <c r="AB378" s="36"/>
      <c r="AC378" s="23"/>
      <c r="AD378" s="36"/>
      <c r="AE378" s="36"/>
      <c r="AF378" s="23"/>
    </row>
    <row r="379" spans="1:32" x14ac:dyDescent="0.25">
      <c r="A379" s="23"/>
      <c r="B379" s="23"/>
      <c r="C379" s="36"/>
      <c r="D379" s="36"/>
      <c r="E379" s="23"/>
      <c r="F379" s="36"/>
      <c r="G379" s="36"/>
      <c r="H379" s="23"/>
      <c r="I379" s="36"/>
      <c r="J379" s="36"/>
      <c r="K379" s="23"/>
      <c r="L379" s="36"/>
      <c r="M379" s="36"/>
      <c r="N379" s="23"/>
      <c r="O379" s="36"/>
      <c r="P379" s="36"/>
      <c r="Q379" s="36"/>
      <c r="R379" s="36"/>
      <c r="S379" s="36"/>
      <c r="T379" s="36"/>
      <c r="U379" s="36"/>
      <c r="V379" s="36"/>
      <c r="W379" s="23"/>
      <c r="X379" s="36"/>
      <c r="Y379" s="36"/>
      <c r="Z379" s="23"/>
      <c r="AA379" s="36"/>
      <c r="AB379" s="36"/>
      <c r="AC379" s="23"/>
      <c r="AD379" s="36"/>
      <c r="AE379" s="36"/>
      <c r="AF379" s="23"/>
    </row>
    <row r="380" spans="1:32" x14ac:dyDescent="0.25">
      <c r="A380" s="23"/>
      <c r="B380" s="23"/>
      <c r="C380" s="36"/>
      <c r="D380" s="36"/>
      <c r="E380" s="23"/>
      <c r="F380" s="36"/>
      <c r="G380" s="36"/>
      <c r="H380" s="23"/>
      <c r="I380" s="36"/>
      <c r="J380" s="36"/>
      <c r="K380" s="23"/>
      <c r="L380" s="36"/>
      <c r="M380" s="36"/>
      <c r="N380" s="23"/>
      <c r="O380" s="36"/>
      <c r="P380" s="36"/>
      <c r="Q380" s="36"/>
      <c r="R380" s="36"/>
      <c r="S380" s="36"/>
      <c r="T380" s="36"/>
      <c r="U380" s="36"/>
      <c r="V380" s="36"/>
      <c r="W380" s="23"/>
      <c r="X380" s="36"/>
      <c r="Y380" s="36"/>
      <c r="Z380" s="23"/>
      <c r="AA380" s="36"/>
      <c r="AB380" s="36"/>
      <c r="AC380" s="23"/>
      <c r="AD380" s="36"/>
      <c r="AE380" s="36"/>
      <c r="AF380" s="23"/>
    </row>
    <row r="381" spans="1:32" x14ac:dyDescent="0.25">
      <c r="A381" s="23"/>
      <c r="B381" s="23"/>
      <c r="C381" s="36"/>
      <c r="D381" s="36"/>
      <c r="E381" s="23"/>
      <c r="F381" s="36"/>
      <c r="G381" s="36"/>
      <c r="H381" s="23"/>
      <c r="I381" s="36"/>
      <c r="J381" s="36"/>
      <c r="K381" s="23"/>
      <c r="L381" s="36"/>
      <c r="M381" s="36"/>
      <c r="N381" s="23"/>
      <c r="O381" s="36"/>
      <c r="P381" s="36"/>
      <c r="Q381" s="36"/>
      <c r="R381" s="36"/>
      <c r="S381" s="36"/>
      <c r="T381" s="36"/>
      <c r="U381" s="36"/>
      <c r="V381" s="36"/>
      <c r="W381" s="23"/>
      <c r="X381" s="36"/>
      <c r="Y381" s="36"/>
      <c r="Z381" s="23"/>
      <c r="AA381" s="36"/>
      <c r="AB381" s="36"/>
      <c r="AC381" s="23"/>
      <c r="AD381" s="36"/>
      <c r="AE381" s="36"/>
      <c r="AF381" s="23"/>
    </row>
    <row r="382" spans="1:32" x14ac:dyDescent="0.25">
      <c r="A382" s="23"/>
      <c r="B382" s="23"/>
      <c r="C382" s="36"/>
      <c r="D382" s="36"/>
      <c r="E382" s="23"/>
      <c r="F382" s="36"/>
      <c r="G382" s="36"/>
      <c r="H382" s="23"/>
      <c r="I382" s="36"/>
      <c r="J382" s="36"/>
      <c r="K382" s="23"/>
      <c r="L382" s="36"/>
      <c r="M382" s="36"/>
      <c r="N382" s="23"/>
      <c r="O382" s="36"/>
      <c r="P382" s="36"/>
      <c r="Q382" s="36"/>
      <c r="R382" s="36"/>
      <c r="S382" s="36"/>
      <c r="T382" s="36"/>
      <c r="U382" s="36"/>
      <c r="V382" s="36"/>
      <c r="W382" s="23"/>
      <c r="X382" s="36"/>
      <c r="Y382" s="36"/>
      <c r="Z382" s="23"/>
      <c r="AA382" s="36"/>
      <c r="AB382" s="36"/>
      <c r="AC382" s="23"/>
      <c r="AD382" s="36"/>
      <c r="AE382" s="36"/>
      <c r="AF382" s="23"/>
    </row>
    <row r="383" spans="1:32" x14ac:dyDescent="0.25">
      <c r="A383" s="23"/>
      <c r="B383" s="23"/>
      <c r="C383" s="36"/>
      <c r="D383" s="36"/>
      <c r="E383" s="23"/>
      <c r="F383" s="36"/>
      <c r="G383" s="36"/>
      <c r="H383" s="23"/>
      <c r="I383" s="36"/>
      <c r="J383" s="36"/>
      <c r="K383" s="23"/>
      <c r="L383" s="36"/>
      <c r="M383" s="36"/>
      <c r="N383" s="23"/>
      <c r="O383" s="36"/>
      <c r="P383" s="36"/>
      <c r="Q383" s="36"/>
      <c r="R383" s="36"/>
      <c r="S383" s="36"/>
      <c r="T383" s="36"/>
      <c r="U383" s="36"/>
      <c r="V383" s="36"/>
      <c r="W383" s="23"/>
      <c r="X383" s="36"/>
      <c r="Y383" s="36"/>
      <c r="Z383" s="23"/>
      <c r="AA383" s="36"/>
      <c r="AB383" s="36"/>
      <c r="AC383" s="23"/>
      <c r="AD383" s="36"/>
      <c r="AE383" s="36"/>
      <c r="AF383" s="23"/>
    </row>
    <row r="384" spans="1:32" x14ac:dyDescent="0.25">
      <c r="A384" s="23"/>
      <c r="B384" s="23"/>
      <c r="C384" s="36"/>
      <c r="D384" s="36"/>
      <c r="E384" s="23"/>
      <c r="F384" s="36"/>
      <c r="G384" s="36"/>
      <c r="H384" s="23"/>
      <c r="I384" s="36"/>
      <c r="J384" s="36"/>
      <c r="K384" s="23"/>
      <c r="L384" s="36"/>
      <c r="M384" s="36"/>
      <c r="N384" s="23"/>
      <c r="O384" s="36"/>
      <c r="P384" s="36"/>
      <c r="Q384" s="36"/>
      <c r="R384" s="36"/>
      <c r="S384" s="36"/>
      <c r="T384" s="36"/>
      <c r="U384" s="36"/>
      <c r="V384" s="36"/>
      <c r="W384" s="23"/>
      <c r="X384" s="36"/>
      <c r="Y384" s="36"/>
      <c r="Z384" s="23"/>
      <c r="AA384" s="36"/>
      <c r="AB384" s="36"/>
      <c r="AC384" s="23"/>
      <c r="AD384" s="36"/>
      <c r="AE384" s="36"/>
      <c r="AF384" s="23"/>
    </row>
    <row r="385" spans="1:32" x14ac:dyDescent="0.25">
      <c r="A385" s="23"/>
      <c r="B385" s="23"/>
      <c r="C385" s="36"/>
      <c r="D385" s="36"/>
      <c r="E385" s="23"/>
      <c r="F385" s="36"/>
      <c r="G385" s="36"/>
      <c r="H385" s="23"/>
      <c r="I385" s="36"/>
      <c r="J385" s="36"/>
      <c r="K385" s="23"/>
      <c r="L385" s="36"/>
      <c r="M385" s="36"/>
      <c r="N385" s="23"/>
      <c r="O385" s="36"/>
      <c r="P385" s="36"/>
      <c r="Q385" s="36"/>
      <c r="R385" s="36"/>
      <c r="S385" s="36"/>
      <c r="T385" s="36"/>
      <c r="U385" s="36"/>
      <c r="V385" s="36"/>
      <c r="W385" s="23"/>
      <c r="X385" s="36"/>
      <c r="Y385" s="36"/>
      <c r="Z385" s="23"/>
      <c r="AA385" s="36"/>
      <c r="AB385" s="36"/>
      <c r="AC385" s="23"/>
      <c r="AD385" s="36"/>
      <c r="AE385" s="36"/>
      <c r="AF385" s="23"/>
    </row>
    <row r="386" spans="1:32" x14ac:dyDescent="0.25">
      <c r="A386" s="23"/>
      <c r="B386" s="23"/>
      <c r="C386" s="36"/>
      <c r="D386" s="36"/>
      <c r="E386" s="23"/>
      <c r="F386" s="36"/>
      <c r="G386" s="36"/>
      <c r="H386" s="23"/>
      <c r="I386" s="36"/>
      <c r="J386" s="36"/>
      <c r="K386" s="23"/>
      <c r="L386" s="36"/>
      <c r="M386" s="36"/>
      <c r="N386" s="23"/>
      <c r="O386" s="36"/>
      <c r="P386" s="36"/>
      <c r="Q386" s="36"/>
      <c r="R386" s="36"/>
      <c r="S386" s="36"/>
      <c r="T386" s="36"/>
      <c r="U386" s="36"/>
      <c r="V386" s="36"/>
      <c r="W386" s="23"/>
      <c r="X386" s="36"/>
      <c r="Y386" s="36"/>
      <c r="Z386" s="23"/>
      <c r="AA386" s="36"/>
      <c r="AB386" s="36"/>
      <c r="AC386" s="23"/>
      <c r="AD386" s="36"/>
      <c r="AE386" s="36"/>
      <c r="AF386" s="23"/>
    </row>
    <row r="387" spans="1:32" x14ac:dyDescent="0.25">
      <c r="A387" s="23"/>
      <c r="B387" s="23"/>
      <c r="C387" s="36"/>
      <c r="D387" s="36"/>
      <c r="E387" s="23"/>
      <c r="F387" s="36"/>
      <c r="G387" s="36"/>
      <c r="H387" s="23"/>
      <c r="I387" s="36"/>
      <c r="J387" s="36"/>
      <c r="K387" s="23"/>
      <c r="L387" s="36"/>
      <c r="M387" s="36"/>
      <c r="N387" s="23"/>
      <c r="O387" s="36"/>
      <c r="P387" s="36"/>
      <c r="Q387" s="36"/>
      <c r="R387" s="36"/>
      <c r="S387" s="36"/>
      <c r="T387" s="36"/>
      <c r="U387" s="36"/>
      <c r="V387" s="36"/>
      <c r="W387" s="23"/>
      <c r="X387" s="36"/>
      <c r="Y387" s="36"/>
      <c r="Z387" s="23"/>
      <c r="AA387" s="36"/>
      <c r="AB387" s="36"/>
      <c r="AC387" s="23"/>
      <c r="AD387" s="36"/>
      <c r="AE387" s="36"/>
      <c r="AF387" s="23"/>
    </row>
    <row r="388" spans="1:32" x14ac:dyDescent="0.25">
      <c r="A388" s="23"/>
      <c r="B388" s="23"/>
      <c r="C388" s="36"/>
      <c r="D388" s="36"/>
      <c r="E388" s="23"/>
      <c r="F388" s="36"/>
      <c r="G388" s="36"/>
      <c r="H388" s="23"/>
      <c r="I388" s="36"/>
      <c r="J388" s="36"/>
      <c r="K388" s="23"/>
      <c r="L388" s="36"/>
      <c r="M388" s="36"/>
      <c r="N388" s="23"/>
      <c r="O388" s="36"/>
      <c r="P388" s="36"/>
      <c r="Q388" s="36"/>
      <c r="R388" s="36"/>
      <c r="S388" s="36"/>
      <c r="T388" s="36"/>
      <c r="U388" s="36"/>
      <c r="V388" s="36"/>
      <c r="W388" s="23"/>
      <c r="X388" s="36"/>
      <c r="Y388" s="36"/>
      <c r="Z388" s="23"/>
      <c r="AA388" s="36"/>
      <c r="AB388" s="36"/>
      <c r="AC388" s="23"/>
      <c r="AD388" s="36"/>
      <c r="AE388" s="36"/>
      <c r="AF388" s="23"/>
    </row>
    <row r="389" spans="1:32" x14ac:dyDescent="0.25">
      <c r="A389" s="23"/>
      <c r="B389" s="23"/>
      <c r="C389" s="36"/>
      <c r="D389" s="36"/>
      <c r="E389" s="23"/>
      <c r="F389" s="36"/>
      <c r="G389" s="36"/>
      <c r="H389" s="23"/>
      <c r="I389" s="36"/>
      <c r="J389" s="36"/>
      <c r="K389" s="23"/>
      <c r="L389" s="36"/>
      <c r="M389" s="36"/>
      <c r="N389" s="23"/>
      <c r="O389" s="36"/>
      <c r="P389" s="36"/>
      <c r="Q389" s="36"/>
      <c r="R389" s="36"/>
      <c r="S389" s="36"/>
      <c r="T389" s="36"/>
      <c r="U389" s="36"/>
      <c r="V389" s="36"/>
      <c r="W389" s="23"/>
      <c r="X389" s="36"/>
      <c r="Y389" s="36"/>
      <c r="Z389" s="23"/>
      <c r="AA389" s="36"/>
      <c r="AB389" s="36"/>
      <c r="AC389" s="23"/>
      <c r="AD389" s="36"/>
      <c r="AE389" s="36"/>
      <c r="AF389" s="23"/>
    </row>
    <row r="390" spans="1:32" x14ac:dyDescent="0.25">
      <c r="A390" s="23"/>
      <c r="B390" s="23"/>
      <c r="C390" s="36"/>
      <c r="D390" s="36"/>
      <c r="E390" s="23"/>
      <c r="F390" s="36"/>
      <c r="G390" s="36"/>
      <c r="H390" s="23"/>
      <c r="I390" s="36"/>
      <c r="J390" s="36"/>
      <c r="K390" s="23"/>
      <c r="L390" s="36"/>
      <c r="M390" s="36"/>
      <c r="N390" s="23"/>
      <c r="O390" s="36"/>
      <c r="P390" s="36"/>
      <c r="Q390" s="36"/>
      <c r="R390" s="36"/>
      <c r="S390" s="36"/>
      <c r="T390" s="36"/>
      <c r="U390" s="36"/>
      <c r="V390" s="36"/>
      <c r="W390" s="23"/>
      <c r="X390" s="36"/>
      <c r="Y390" s="36"/>
      <c r="Z390" s="23"/>
      <c r="AA390" s="36"/>
      <c r="AB390" s="36"/>
      <c r="AC390" s="23"/>
      <c r="AD390" s="36"/>
      <c r="AE390" s="36"/>
      <c r="AF390" s="23"/>
    </row>
    <row r="391" spans="1:32" x14ac:dyDescent="0.25">
      <c r="A391" s="23"/>
      <c r="B391" s="23"/>
      <c r="C391" s="36"/>
      <c r="D391" s="36"/>
      <c r="E391" s="23"/>
      <c r="F391" s="36"/>
      <c r="G391" s="36"/>
      <c r="H391" s="23"/>
      <c r="I391" s="36"/>
      <c r="J391" s="36"/>
      <c r="K391" s="23"/>
      <c r="L391" s="36"/>
      <c r="M391" s="36"/>
      <c r="N391" s="23"/>
      <c r="O391" s="36"/>
      <c r="P391" s="36"/>
      <c r="Q391" s="36"/>
      <c r="R391" s="36"/>
      <c r="S391" s="36"/>
      <c r="T391" s="36"/>
      <c r="U391" s="36"/>
      <c r="V391" s="36"/>
      <c r="W391" s="23"/>
      <c r="X391" s="36"/>
      <c r="Y391" s="36"/>
      <c r="Z391" s="23"/>
      <c r="AA391" s="36"/>
      <c r="AB391" s="36"/>
      <c r="AC391" s="23"/>
      <c r="AD391" s="36"/>
      <c r="AE391" s="36"/>
      <c r="AF391" s="23"/>
    </row>
    <row r="392" spans="1:32" x14ac:dyDescent="0.25">
      <c r="A392" s="23"/>
      <c r="B392" s="23"/>
      <c r="C392" s="36"/>
      <c r="D392" s="36"/>
      <c r="E392" s="23"/>
      <c r="F392" s="36"/>
      <c r="G392" s="36"/>
      <c r="H392" s="23"/>
      <c r="I392" s="36"/>
      <c r="J392" s="36"/>
      <c r="K392" s="23"/>
      <c r="L392" s="36"/>
      <c r="M392" s="36"/>
      <c r="N392" s="23"/>
      <c r="O392" s="36"/>
      <c r="P392" s="36"/>
      <c r="Q392" s="36"/>
      <c r="R392" s="36"/>
      <c r="S392" s="36"/>
      <c r="T392" s="36"/>
      <c r="U392" s="36"/>
      <c r="V392" s="36"/>
      <c r="W392" s="23"/>
      <c r="X392" s="36"/>
      <c r="Y392" s="36"/>
      <c r="Z392" s="23"/>
      <c r="AA392" s="36"/>
      <c r="AB392" s="36"/>
      <c r="AC392" s="23"/>
      <c r="AD392" s="36"/>
      <c r="AE392" s="36"/>
      <c r="AF392" s="23"/>
    </row>
    <row r="393" spans="1:32" x14ac:dyDescent="0.25">
      <c r="A393" s="23"/>
      <c r="B393" s="23"/>
      <c r="C393" s="36"/>
      <c r="D393" s="36"/>
      <c r="E393" s="23"/>
      <c r="F393" s="36"/>
      <c r="G393" s="36"/>
      <c r="H393" s="23"/>
      <c r="I393" s="36"/>
      <c r="J393" s="36"/>
      <c r="K393" s="23"/>
      <c r="L393" s="36"/>
      <c r="M393" s="36"/>
      <c r="N393" s="23"/>
      <c r="O393" s="36"/>
      <c r="P393" s="36"/>
      <c r="Q393" s="36"/>
      <c r="R393" s="36"/>
      <c r="S393" s="36"/>
      <c r="T393" s="36"/>
      <c r="U393" s="36"/>
      <c r="V393" s="36"/>
      <c r="W393" s="23"/>
      <c r="X393" s="36"/>
      <c r="Y393" s="36"/>
      <c r="Z393" s="23"/>
      <c r="AA393" s="36"/>
      <c r="AB393" s="36"/>
      <c r="AC393" s="23"/>
      <c r="AD393" s="36"/>
      <c r="AE393" s="36"/>
      <c r="AF393" s="23"/>
    </row>
    <row r="394" spans="1:32" x14ac:dyDescent="0.25">
      <c r="A394" s="23"/>
      <c r="B394" s="23"/>
      <c r="C394" s="36"/>
      <c r="D394" s="36"/>
      <c r="E394" s="23"/>
      <c r="F394" s="36"/>
      <c r="G394" s="36"/>
      <c r="H394" s="23"/>
      <c r="I394" s="36"/>
      <c r="J394" s="36"/>
      <c r="K394" s="23"/>
      <c r="L394" s="36"/>
      <c r="M394" s="36"/>
      <c r="N394" s="23"/>
      <c r="O394" s="36"/>
      <c r="P394" s="36"/>
      <c r="Q394" s="36"/>
      <c r="R394" s="36"/>
      <c r="S394" s="36"/>
      <c r="T394" s="36"/>
      <c r="U394" s="36"/>
      <c r="V394" s="36"/>
      <c r="W394" s="23"/>
      <c r="X394" s="36"/>
      <c r="Y394" s="36"/>
      <c r="Z394" s="23"/>
      <c r="AA394" s="36"/>
      <c r="AB394" s="36"/>
      <c r="AC394" s="23"/>
      <c r="AD394" s="36"/>
      <c r="AE394" s="36"/>
      <c r="AF394" s="23"/>
    </row>
    <row r="395" spans="1:32" x14ac:dyDescent="0.25">
      <c r="A395" s="23"/>
      <c r="B395" s="23"/>
      <c r="C395" s="36"/>
      <c r="D395" s="36"/>
      <c r="E395" s="23"/>
      <c r="F395" s="36"/>
      <c r="G395" s="36"/>
      <c r="H395" s="23"/>
      <c r="I395" s="36"/>
      <c r="J395" s="36"/>
      <c r="K395" s="23"/>
      <c r="L395" s="36"/>
      <c r="M395" s="36"/>
      <c r="N395" s="23"/>
      <c r="O395" s="36"/>
      <c r="P395" s="36"/>
      <c r="Q395" s="36"/>
      <c r="R395" s="36"/>
      <c r="S395" s="36"/>
      <c r="T395" s="36"/>
      <c r="U395" s="36"/>
      <c r="V395" s="36"/>
      <c r="W395" s="23"/>
      <c r="X395" s="36"/>
      <c r="Y395" s="36"/>
      <c r="Z395" s="23"/>
      <c r="AA395" s="36"/>
      <c r="AB395" s="36"/>
      <c r="AC395" s="23"/>
      <c r="AD395" s="36"/>
      <c r="AE395" s="36"/>
      <c r="AF395" s="23"/>
    </row>
    <row r="396" spans="1:32" x14ac:dyDescent="0.25">
      <c r="A396" s="23"/>
      <c r="B396" s="23"/>
      <c r="C396" s="36"/>
      <c r="D396" s="36"/>
      <c r="E396" s="23"/>
      <c r="F396" s="36"/>
      <c r="G396" s="36"/>
      <c r="H396" s="23"/>
      <c r="I396" s="36"/>
      <c r="J396" s="36"/>
      <c r="K396" s="23"/>
      <c r="L396" s="36"/>
      <c r="M396" s="36"/>
      <c r="N396" s="23"/>
      <c r="O396" s="36"/>
      <c r="P396" s="36"/>
      <c r="Q396" s="36"/>
      <c r="R396" s="36"/>
      <c r="S396" s="36"/>
      <c r="T396" s="36"/>
      <c r="U396" s="36"/>
      <c r="V396" s="36"/>
      <c r="W396" s="23"/>
      <c r="X396" s="36"/>
      <c r="Y396" s="36"/>
      <c r="Z396" s="23"/>
      <c r="AA396" s="36"/>
      <c r="AB396" s="36"/>
      <c r="AC396" s="23"/>
      <c r="AD396" s="36"/>
      <c r="AE396" s="36"/>
      <c r="AF396" s="23"/>
    </row>
    <row r="397" spans="1:32" x14ac:dyDescent="0.25">
      <c r="A397" s="23"/>
      <c r="B397" s="23"/>
      <c r="C397" s="36"/>
      <c r="D397" s="36"/>
      <c r="E397" s="23"/>
      <c r="F397" s="36"/>
      <c r="G397" s="36"/>
      <c r="H397" s="23"/>
      <c r="I397" s="36"/>
      <c r="J397" s="36"/>
      <c r="K397" s="23"/>
      <c r="L397" s="36"/>
      <c r="M397" s="36"/>
      <c r="N397" s="23"/>
      <c r="O397" s="36"/>
      <c r="P397" s="36"/>
      <c r="Q397" s="36"/>
      <c r="R397" s="36"/>
      <c r="S397" s="36"/>
      <c r="T397" s="36"/>
      <c r="U397" s="36"/>
      <c r="V397" s="36"/>
      <c r="W397" s="23"/>
      <c r="X397" s="36"/>
      <c r="Y397" s="36"/>
      <c r="Z397" s="23"/>
      <c r="AA397" s="36"/>
      <c r="AB397" s="36"/>
      <c r="AC397" s="23"/>
      <c r="AD397" s="36"/>
      <c r="AE397" s="36"/>
      <c r="AF397" s="23"/>
    </row>
    <row r="398" spans="1:32" x14ac:dyDescent="0.25">
      <c r="A398" s="23"/>
      <c r="B398" s="23"/>
      <c r="C398" s="36"/>
      <c r="D398" s="36"/>
      <c r="E398" s="23"/>
      <c r="F398" s="36"/>
      <c r="G398" s="36"/>
      <c r="H398" s="23"/>
      <c r="I398" s="36"/>
      <c r="J398" s="36"/>
      <c r="K398" s="23"/>
      <c r="L398" s="36"/>
      <c r="M398" s="36"/>
      <c r="N398" s="23"/>
      <c r="O398" s="36"/>
      <c r="P398" s="36"/>
      <c r="Q398" s="36"/>
      <c r="R398" s="36"/>
      <c r="S398" s="36"/>
      <c r="T398" s="36"/>
      <c r="U398" s="36"/>
      <c r="V398" s="36"/>
      <c r="W398" s="23"/>
      <c r="X398" s="36"/>
      <c r="Y398" s="36"/>
      <c r="Z398" s="23"/>
      <c r="AA398" s="36"/>
      <c r="AB398" s="36"/>
      <c r="AC398" s="23"/>
      <c r="AD398" s="36"/>
      <c r="AE398" s="36"/>
      <c r="AF398" s="23"/>
    </row>
    <row r="399" spans="1:32" x14ac:dyDescent="0.25">
      <c r="A399" s="23"/>
      <c r="B399" s="23"/>
      <c r="C399" s="36"/>
      <c r="D399" s="36"/>
      <c r="E399" s="23"/>
      <c r="F399" s="36"/>
      <c r="G399" s="36"/>
      <c r="H399" s="23"/>
      <c r="I399" s="36"/>
      <c r="J399" s="36"/>
      <c r="K399" s="23"/>
      <c r="L399" s="36"/>
      <c r="M399" s="36"/>
      <c r="N399" s="23"/>
      <c r="O399" s="36"/>
      <c r="P399" s="36"/>
      <c r="Q399" s="36"/>
      <c r="R399" s="36"/>
      <c r="S399" s="36"/>
      <c r="T399" s="36"/>
      <c r="U399" s="36"/>
      <c r="V399" s="36"/>
      <c r="W399" s="23"/>
      <c r="X399" s="36"/>
      <c r="Y399" s="36"/>
      <c r="Z399" s="23"/>
      <c r="AA399" s="36"/>
      <c r="AB399" s="36"/>
      <c r="AC399" s="23"/>
      <c r="AD399" s="36"/>
      <c r="AE399" s="36"/>
      <c r="AF399" s="23"/>
    </row>
    <row r="400" spans="1:32" x14ac:dyDescent="0.25">
      <c r="A400" s="23"/>
      <c r="B400" s="23"/>
      <c r="C400" s="36"/>
      <c r="D400" s="36"/>
      <c r="E400" s="23"/>
      <c r="F400" s="36"/>
      <c r="G400" s="36"/>
      <c r="H400" s="23"/>
      <c r="I400" s="36"/>
      <c r="J400" s="36"/>
      <c r="K400" s="23"/>
      <c r="L400" s="36"/>
      <c r="M400" s="36"/>
      <c r="N400" s="23"/>
      <c r="O400" s="36"/>
      <c r="P400" s="36"/>
      <c r="Q400" s="36"/>
      <c r="R400" s="36"/>
      <c r="S400" s="36"/>
      <c r="T400" s="36"/>
      <c r="U400" s="36"/>
      <c r="V400" s="36"/>
      <c r="W400" s="23"/>
      <c r="X400" s="36"/>
      <c r="Y400" s="36"/>
      <c r="Z400" s="23"/>
      <c r="AA400" s="36"/>
      <c r="AB400" s="36"/>
      <c r="AC400" s="23"/>
      <c r="AD400" s="36"/>
      <c r="AE400" s="36"/>
      <c r="AF400" s="23"/>
    </row>
    <row r="401" spans="1:32" x14ac:dyDescent="0.25">
      <c r="A401" s="23"/>
      <c r="B401" s="23"/>
      <c r="C401" s="36"/>
      <c r="D401" s="36"/>
      <c r="E401" s="23"/>
      <c r="F401" s="36"/>
      <c r="G401" s="36"/>
      <c r="H401" s="23"/>
      <c r="I401" s="36"/>
      <c r="J401" s="36"/>
      <c r="K401" s="23"/>
      <c r="L401" s="36"/>
      <c r="M401" s="36"/>
      <c r="N401" s="23"/>
      <c r="O401" s="36"/>
      <c r="P401" s="36"/>
      <c r="Q401" s="36"/>
      <c r="R401" s="36"/>
      <c r="S401" s="36"/>
      <c r="T401" s="36"/>
      <c r="U401" s="36"/>
      <c r="V401" s="36"/>
      <c r="W401" s="23"/>
      <c r="X401" s="36"/>
      <c r="Y401" s="36"/>
      <c r="Z401" s="23"/>
      <c r="AA401" s="36"/>
      <c r="AB401" s="36"/>
      <c r="AC401" s="23"/>
      <c r="AD401" s="36"/>
      <c r="AE401" s="36"/>
      <c r="AF401" s="23"/>
    </row>
    <row r="402" spans="1:32" x14ac:dyDescent="0.25">
      <c r="A402" s="23"/>
      <c r="B402" s="23"/>
      <c r="C402" s="36"/>
      <c r="D402" s="36"/>
      <c r="E402" s="23"/>
      <c r="F402" s="36"/>
      <c r="G402" s="36"/>
      <c r="H402" s="23"/>
      <c r="I402" s="36"/>
      <c r="J402" s="36"/>
      <c r="K402" s="23"/>
      <c r="L402" s="36"/>
      <c r="M402" s="36"/>
      <c r="N402" s="23"/>
      <c r="O402" s="36"/>
      <c r="P402" s="36"/>
      <c r="Q402" s="36"/>
      <c r="R402" s="36"/>
      <c r="S402" s="36"/>
      <c r="T402" s="36"/>
      <c r="U402" s="36"/>
      <c r="V402" s="36"/>
      <c r="W402" s="23"/>
      <c r="X402" s="36"/>
      <c r="Y402" s="36"/>
      <c r="Z402" s="23"/>
      <c r="AA402" s="36"/>
      <c r="AB402" s="36"/>
      <c r="AC402" s="23"/>
      <c r="AD402" s="36"/>
      <c r="AE402" s="36"/>
      <c r="AF402" s="23"/>
    </row>
    <row r="403" spans="1:32" x14ac:dyDescent="0.25">
      <c r="A403" s="23"/>
      <c r="B403" s="23"/>
      <c r="C403" s="36"/>
      <c r="D403" s="36"/>
      <c r="E403" s="23"/>
      <c r="F403" s="36"/>
      <c r="G403" s="36"/>
      <c r="H403" s="23"/>
      <c r="I403" s="36"/>
      <c r="J403" s="36"/>
      <c r="K403" s="23"/>
      <c r="L403" s="36"/>
      <c r="M403" s="36"/>
      <c r="N403" s="23"/>
      <c r="O403" s="36"/>
      <c r="P403" s="36"/>
      <c r="Q403" s="36"/>
      <c r="R403" s="36"/>
      <c r="S403" s="36"/>
      <c r="T403" s="36"/>
      <c r="U403" s="36"/>
      <c r="V403" s="36"/>
      <c r="W403" s="23"/>
      <c r="X403" s="36"/>
      <c r="Y403" s="36"/>
      <c r="Z403" s="23"/>
      <c r="AA403" s="36"/>
      <c r="AB403" s="36"/>
      <c r="AC403" s="23"/>
      <c r="AD403" s="36"/>
      <c r="AE403" s="36"/>
      <c r="AF403" s="23"/>
    </row>
    <row r="404" spans="1:32" x14ac:dyDescent="0.25">
      <c r="A404" s="23"/>
      <c r="B404" s="23"/>
      <c r="C404" s="36"/>
      <c r="D404" s="36"/>
      <c r="E404" s="23"/>
      <c r="F404" s="36"/>
      <c r="G404" s="36"/>
      <c r="H404" s="23"/>
      <c r="I404" s="36"/>
      <c r="J404" s="36"/>
      <c r="K404" s="23"/>
      <c r="L404" s="36"/>
      <c r="M404" s="36"/>
      <c r="N404" s="23"/>
      <c r="O404" s="36"/>
      <c r="P404" s="36"/>
      <c r="Q404" s="36"/>
      <c r="R404" s="36"/>
      <c r="S404" s="36"/>
      <c r="T404" s="36"/>
      <c r="U404" s="36"/>
      <c r="V404" s="36"/>
      <c r="W404" s="23"/>
      <c r="X404" s="36"/>
      <c r="Y404" s="36"/>
      <c r="Z404" s="23"/>
      <c r="AA404" s="36"/>
      <c r="AB404" s="36"/>
      <c r="AC404" s="23"/>
      <c r="AD404" s="36"/>
      <c r="AE404" s="36"/>
      <c r="AF404" s="23"/>
    </row>
    <row r="405" spans="1:32" x14ac:dyDescent="0.25">
      <c r="A405" s="23"/>
      <c r="B405" s="23"/>
      <c r="C405" s="36"/>
      <c r="D405" s="36"/>
      <c r="E405" s="23"/>
      <c r="F405" s="36"/>
      <c r="G405" s="36"/>
      <c r="H405" s="23"/>
      <c r="I405" s="36"/>
      <c r="J405" s="36"/>
      <c r="K405" s="23"/>
      <c r="L405" s="36"/>
      <c r="M405" s="36"/>
      <c r="N405" s="23"/>
      <c r="O405" s="36"/>
      <c r="P405" s="36"/>
      <c r="Q405" s="36"/>
      <c r="R405" s="36"/>
      <c r="S405" s="36"/>
      <c r="T405" s="36"/>
      <c r="U405" s="36"/>
      <c r="V405" s="36"/>
      <c r="W405" s="23"/>
      <c r="X405" s="36"/>
      <c r="Y405" s="36"/>
      <c r="Z405" s="23"/>
      <c r="AA405" s="36"/>
      <c r="AB405" s="36"/>
      <c r="AC405" s="23"/>
      <c r="AD405" s="36"/>
      <c r="AE405" s="36"/>
      <c r="AF405" s="23"/>
    </row>
    <row r="406" spans="1:32" x14ac:dyDescent="0.25">
      <c r="A406" s="23"/>
      <c r="B406" s="23"/>
      <c r="C406" s="36"/>
      <c r="D406" s="36"/>
      <c r="E406" s="23"/>
      <c r="F406" s="36"/>
      <c r="G406" s="36"/>
      <c r="H406" s="23"/>
      <c r="I406" s="36"/>
      <c r="J406" s="36"/>
      <c r="K406" s="23"/>
      <c r="L406" s="36"/>
      <c r="M406" s="36"/>
      <c r="N406" s="23"/>
      <c r="O406" s="36"/>
      <c r="P406" s="36"/>
      <c r="Q406" s="36"/>
      <c r="R406" s="36"/>
      <c r="S406" s="36"/>
      <c r="T406" s="36"/>
      <c r="U406" s="36"/>
      <c r="V406" s="36"/>
      <c r="W406" s="23"/>
      <c r="X406" s="36"/>
      <c r="Y406" s="36"/>
      <c r="Z406" s="23"/>
      <c r="AA406" s="36"/>
      <c r="AB406" s="36"/>
      <c r="AC406" s="23"/>
      <c r="AD406" s="36"/>
      <c r="AE406" s="36"/>
      <c r="AF406" s="23"/>
    </row>
    <row r="407" spans="1:32" x14ac:dyDescent="0.25">
      <c r="A407" s="23"/>
      <c r="B407" s="23"/>
      <c r="C407" s="36"/>
      <c r="D407" s="36"/>
      <c r="E407" s="23"/>
      <c r="F407" s="36"/>
      <c r="G407" s="36"/>
      <c r="H407" s="23"/>
      <c r="I407" s="36"/>
      <c r="J407" s="36"/>
      <c r="K407" s="23"/>
      <c r="L407" s="36"/>
      <c r="M407" s="36"/>
      <c r="N407" s="23"/>
      <c r="O407" s="36"/>
      <c r="P407" s="36"/>
      <c r="Q407" s="36"/>
      <c r="R407" s="36"/>
      <c r="S407" s="36"/>
      <c r="T407" s="36"/>
      <c r="U407" s="36"/>
      <c r="V407" s="36"/>
      <c r="W407" s="23"/>
      <c r="X407" s="36"/>
      <c r="Y407" s="36"/>
      <c r="Z407" s="23"/>
      <c r="AA407" s="36"/>
      <c r="AB407" s="36"/>
      <c r="AC407" s="23"/>
      <c r="AD407" s="36"/>
      <c r="AE407" s="36"/>
      <c r="AF407" s="23"/>
    </row>
    <row r="408" spans="1:32" x14ac:dyDescent="0.25">
      <c r="A408" s="23"/>
      <c r="B408" s="23"/>
      <c r="C408" s="36"/>
      <c r="D408" s="36"/>
      <c r="E408" s="23"/>
      <c r="F408" s="36"/>
      <c r="G408" s="36"/>
      <c r="H408" s="23"/>
      <c r="I408" s="36"/>
      <c r="J408" s="36"/>
      <c r="K408" s="23"/>
      <c r="L408" s="36"/>
      <c r="M408" s="36"/>
      <c r="N408" s="23"/>
      <c r="O408" s="36"/>
      <c r="P408" s="36"/>
      <c r="Q408" s="36"/>
      <c r="R408" s="36"/>
      <c r="S408" s="36"/>
      <c r="T408" s="36"/>
      <c r="U408" s="36"/>
      <c r="V408" s="36"/>
      <c r="W408" s="23"/>
      <c r="X408" s="36"/>
      <c r="Y408" s="36"/>
      <c r="Z408" s="23"/>
      <c r="AA408" s="36"/>
      <c r="AB408" s="36"/>
      <c r="AC408" s="23"/>
      <c r="AD408" s="36"/>
      <c r="AE408" s="36"/>
      <c r="AF408" s="23"/>
    </row>
    <row r="409" spans="1:32" x14ac:dyDescent="0.25">
      <c r="A409" s="23"/>
      <c r="B409" s="23"/>
      <c r="C409" s="36"/>
      <c r="D409" s="36"/>
      <c r="E409" s="23"/>
      <c r="F409" s="36"/>
      <c r="G409" s="36"/>
      <c r="H409" s="23"/>
      <c r="I409" s="36"/>
      <c r="J409" s="36"/>
      <c r="K409" s="23"/>
      <c r="L409" s="36"/>
      <c r="M409" s="36"/>
      <c r="N409" s="23"/>
      <c r="O409" s="36"/>
      <c r="P409" s="36"/>
      <c r="Q409" s="36"/>
      <c r="R409" s="36"/>
      <c r="S409" s="36"/>
      <c r="T409" s="36"/>
      <c r="U409" s="36"/>
      <c r="V409" s="36"/>
      <c r="W409" s="23"/>
      <c r="X409" s="36"/>
      <c r="Y409" s="36"/>
      <c r="Z409" s="23"/>
      <c r="AA409" s="36"/>
      <c r="AB409" s="36"/>
      <c r="AC409" s="23"/>
      <c r="AD409" s="36"/>
      <c r="AE409" s="36"/>
      <c r="AF409" s="23"/>
    </row>
    <row r="410" spans="1:32" x14ac:dyDescent="0.25">
      <c r="A410" s="23"/>
      <c r="B410" s="23"/>
      <c r="C410" s="36"/>
      <c r="D410" s="36"/>
      <c r="E410" s="23"/>
      <c r="F410" s="36"/>
      <c r="G410" s="36"/>
      <c r="H410" s="23"/>
      <c r="I410" s="36"/>
      <c r="J410" s="36"/>
      <c r="K410" s="23"/>
      <c r="L410" s="36"/>
      <c r="M410" s="36"/>
      <c r="N410" s="23"/>
      <c r="O410" s="36"/>
      <c r="P410" s="36"/>
      <c r="Q410" s="36"/>
      <c r="R410" s="36"/>
      <c r="S410" s="36"/>
      <c r="T410" s="36"/>
      <c r="U410" s="36"/>
      <c r="V410" s="36"/>
      <c r="W410" s="23"/>
      <c r="X410" s="36"/>
      <c r="Y410" s="36"/>
      <c r="Z410" s="23"/>
      <c r="AA410" s="36"/>
      <c r="AB410" s="36"/>
      <c r="AC410" s="23"/>
      <c r="AD410" s="36"/>
      <c r="AE410" s="36"/>
      <c r="AF410" s="23"/>
    </row>
    <row r="411" spans="1:32" x14ac:dyDescent="0.25">
      <c r="A411" s="23"/>
      <c r="B411" s="23"/>
      <c r="C411" s="36"/>
      <c r="D411" s="36"/>
      <c r="E411" s="23"/>
      <c r="F411" s="36"/>
      <c r="G411" s="36"/>
      <c r="H411" s="23"/>
      <c r="I411" s="36"/>
      <c r="J411" s="36"/>
      <c r="K411" s="23"/>
      <c r="L411" s="36"/>
      <c r="M411" s="36"/>
      <c r="N411" s="23"/>
      <c r="O411" s="36"/>
      <c r="P411" s="36"/>
      <c r="Q411" s="36"/>
      <c r="R411" s="36"/>
      <c r="S411" s="36"/>
      <c r="T411" s="36"/>
      <c r="U411" s="36"/>
      <c r="V411" s="36"/>
      <c r="W411" s="23"/>
      <c r="X411" s="36"/>
      <c r="Y411" s="36"/>
      <c r="Z411" s="23"/>
      <c r="AA411" s="36"/>
      <c r="AB411" s="36"/>
      <c r="AC411" s="23"/>
      <c r="AD411" s="36"/>
      <c r="AE411" s="36"/>
      <c r="AF411" s="23"/>
    </row>
    <row r="412" spans="1:32" x14ac:dyDescent="0.25">
      <c r="A412" s="23"/>
      <c r="B412" s="23"/>
      <c r="C412" s="36"/>
      <c r="D412" s="36"/>
      <c r="E412" s="23"/>
      <c r="F412" s="36"/>
      <c r="G412" s="36"/>
      <c r="H412" s="23"/>
      <c r="I412" s="36"/>
      <c r="J412" s="36"/>
      <c r="K412" s="23"/>
      <c r="L412" s="36"/>
      <c r="M412" s="36"/>
      <c r="N412" s="23"/>
      <c r="O412" s="36"/>
      <c r="P412" s="36"/>
      <c r="Q412" s="36"/>
      <c r="R412" s="36"/>
      <c r="S412" s="36"/>
      <c r="T412" s="36"/>
      <c r="U412" s="36"/>
      <c r="V412" s="36"/>
      <c r="W412" s="23"/>
      <c r="X412" s="36"/>
      <c r="Y412" s="36"/>
      <c r="Z412" s="23"/>
      <c r="AA412" s="36"/>
      <c r="AB412" s="36"/>
      <c r="AC412" s="23"/>
      <c r="AD412" s="36"/>
      <c r="AE412" s="36"/>
      <c r="AF412" s="23"/>
    </row>
    <row r="413" spans="1:32" x14ac:dyDescent="0.25">
      <c r="A413" s="23"/>
      <c r="B413" s="23"/>
      <c r="C413" s="36"/>
      <c r="D413" s="36"/>
      <c r="E413" s="23"/>
      <c r="F413" s="36"/>
      <c r="G413" s="36"/>
      <c r="H413" s="23"/>
      <c r="I413" s="36"/>
      <c r="J413" s="36"/>
      <c r="K413" s="23"/>
      <c r="L413" s="36"/>
      <c r="M413" s="36"/>
      <c r="N413" s="23"/>
      <c r="O413" s="36"/>
      <c r="P413" s="36"/>
      <c r="Q413" s="36"/>
      <c r="R413" s="36"/>
      <c r="S413" s="36"/>
      <c r="T413" s="36"/>
      <c r="U413" s="36"/>
      <c r="V413" s="36"/>
      <c r="W413" s="23"/>
      <c r="X413" s="36"/>
      <c r="Y413" s="36"/>
      <c r="Z413" s="23"/>
      <c r="AA413" s="36"/>
      <c r="AB413" s="36"/>
      <c r="AC413" s="23"/>
      <c r="AD413" s="36"/>
      <c r="AE413" s="36"/>
      <c r="AF413" s="23"/>
    </row>
    <row r="414" spans="1:32" x14ac:dyDescent="0.25">
      <c r="A414" s="23"/>
      <c r="B414" s="23"/>
      <c r="C414" s="36"/>
      <c r="D414" s="36"/>
      <c r="E414" s="23"/>
      <c r="F414" s="36"/>
      <c r="G414" s="36"/>
      <c r="H414" s="23"/>
      <c r="I414" s="36"/>
      <c r="J414" s="36"/>
      <c r="K414" s="23"/>
      <c r="L414" s="36"/>
      <c r="M414" s="36"/>
      <c r="N414" s="23"/>
      <c r="O414" s="36"/>
      <c r="P414" s="36"/>
      <c r="Q414" s="36"/>
      <c r="R414" s="36"/>
      <c r="S414" s="36"/>
      <c r="T414" s="36"/>
      <c r="U414" s="36"/>
      <c r="V414" s="36"/>
      <c r="W414" s="23"/>
      <c r="X414" s="36"/>
      <c r="Y414" s="36"/>
      <c r="Z414" s="23"/>
      <c r="AA414" s="36"/>
      <c r="AB414" s="36"/>
      <c r="AC414" s="23"/>
      <c r="AD414" s="36"/>
      <c r="AE414" s="36"/>
      <c r="AF414" s="23"/>
    </row>
    <row r="415" spans="1:32" x14ac:dyDescent="0.25">
      <c r="A415" s="23"/>
      <c r="B415" s="23"/>
      <c r="C415" s="36"/>
      <c r="D415" s="36"/>
      <c r="E415" s="23"/>
      <c r="F415" s="36"/>
      <c r="G415" s="36"/>
      <c r="H415" s="23"/>
      <c r="I415" s="36"/>
      <c r="J415" s="36"/>
      <c r="K415" s="23"/>
      <c r="L415" s="36"/>
      <c r="M415" s="36"/>
      <c r="N415" s="23"/>
      <c r="O415" s="36"/>
      <c r="P415" s="36"/>
      <c r="Q415" s="36"/>
      <c r="R415" s="36"/>
      <c r="S415" s="36"/>
      <c r="T415" s="36"/>
      <c r="U415" s="36"/>
      <c r="V415" s="36"/>
      <c r="W415" s="23"/>
      <c r="X415" s="36"/>
      <c r="Y415" s="36"/>
      <c r="Z415" s="23"/>
      <c r="AA415" s="36"/>
      <c r="AB415" s="36"/>
      <c r="AC415" s="23"/>
      <c r="AD415" s="36"/>
      <c r="AE415" s="36"/>
      <c r="AF415" s="23"/>
    </row>
    <row r="416" spans="1:32" x14ac:dyDescent="0.25">
      <c r="A416" s="23"/>
      <c r="B416" s="23"/>
      <c r="C416" s="36"/>
      <c r="D416" s="36"/>
      <c r="E416" s="23"/>
      <c r="F416" s="36"/>
      <c r="G416" s="36"/>
      <c r="H416" s="23"/>
      <c r="I416" s="36"/>
      <c r="J416" s="36"/>
      <c r="K416" s="23"/>
      <c r="L416" s="36"/>
      <c r="M416" s="36"/>
      <c r="N416" s="23"/>
      <c r="O416" s="36"/>
      <c r="P416" s="36"/>
      <c r="Q416" s="36"/>
      <c r="R416" s="36"/>
      <c r="S416" s="36"/>
      <c r="T416" s="36"/>
      <c r="U416" s="36"/>
      <c r="V416" s="36"/>
      <c r="W416" s="23"/>
      <c r="X416" s="36"/>
      <c r="Y416" s="36"/>
      <c r="Z416" s="23"/>
      <c r="AA416" s="36"/>
      <c r="AB416" s="36"/>
      <c r="AC416" s="23"/>
      <c r="AD416" s="36"/>
      <c r="AE416" s="36"/>
      <c r="AF416" s="23"/>
    </row>
    <row r="417" spans="1:32" x14ac:dyDescent="0.25">
      <c r="A417" s="23"/>
      <c r="B417" s="23"/>
      <c r="C417" s="36"/>
      <c r="D417" s="36"/>
      <c r="E417" s="23"/>
      <c r="F417" s="36"/>
      <c r="G417" s="36"/>
      <c r="H417" s="23"/>
      <c r="I417" s="36"/>
      <c r="J417" s="36"/>
      <c r="K417" s="23"/>
      <c r="L417" s="36"/>
      <c r="M417" s="36"/>
      <c r="N417" s="23"/>
      <c r="O417" s="36"/>
      <c r="P417" s="36"/>
      <c r="Q417" s="36"/>
      <c r="R417" s="36"/>
      <c r="S417" s="36"/>
      <c r="T417" s="36"/>
      <c r="U417" s="36"/>
      <c r="V417" s="36"/>
      <c r="W417" s="23"/>
      <c r="X417" s="36"/>
      <c r="Y417" s="36"/>
      <c r="Z417" s="23"/>
      <c r="AA417" s="36"/>
      <c r="AB417" s="36"/>
      <c r="AC417" s="23"/>
      <c r="AD417" s="36"/>
      <c r="AE417" s="36"/>
      <c r="AF417" s="23"/>
    </row>
    <row r="418" spans="1:32" x14ac:dyDescent="0.25">
      <c r="A418" s="23"/>
      <c r="B418" s="23"/>
      <c r="C418" s="36"/>
      <c r="D418" s="36"/>
      <c r="E418" s="23"/>
      <c r="F418" s="36"/>
      <c r="G418" s="36"/>
      <c r="H418" s="23"/>
      <c r="I418" s="36"/>
      <c r="J418" s="36"/>
      <c r="K418" s="23"/>
      <c r="L418" s="36"/>
      <c r="M418" s="36"/>
      <c r="N418" s="23"/>
      <c r="O418" s="36"/>
      <c r="P418" s="36"/>
      <c r="Q418" s="36"/>
      <c r="R418" s="36"/>
      <c r="S418" s="36"/>
      <c r="T418" s="36"/>
      <c r="U418" s="36"/>
      <c r="V418" s="36"/>
      <c r="W418" s="23"/>
      <c r="X418" s="36"/>
      <c r="Y418" s="36"/>
      <c r="Z418" s="23"/>
      <c r="AA418" s="36"/>
      <c r="AB418" s="36"/>
      <c r="AC418" s="23"/>
      <c r="AD418" s="36"/>
      <c r="AE418" s="36"/>
      <c r="AF418" s="23"/>
    </row>
    <row r="419" spans="1:32" x14ac:dyDescent="0.25">
      <c r="A419" s="23"/>
      <c r="B419" s="23"/>
      <c r="C419" s="36"/>
      <c r="D419" s="36"/>
      <c r="E419" s="23"/>
      <c r="F419" s="36"/>
      <c r="G419" s="36"/>
      <c r="H419" s="23"/>
      <c r="I419" s="36"/>
      <c r="J419" s="36"/>
      <c r="K419" s="23"/>
      <c r="L419" s="36"/>
      <c r="M419" s="36"/>
      <c r="N419" s="23"/>
      <c r="O419" s="36"/>
      <c r="P419" s="36"/>
      <c r="Q419" s="36"/>
      <c r="R419" s="36"/>
      <c r="S419" s="36"/>
      <c r="T419" s="36"/>
      <c r="U419" s="36"/>
      <c r="V419" s="36"/>
      <c r="W419" s="23"/>
      <c r="X419" s="36"/>
      <c r="Y419" s="36"/>
      <c r="Z419" s="23"/>
      <c r="AA419" s="36"/>
      <c r="AB419" s="36"/>
      <c r="AC419" s="23"/>
      <c r="AD419" s="36"/>
      <c r="AE419" s="36"/>
      <c r="AF419" s="23"/>
    </row>
    <row r="420" spans="1:32" x14ac:dyDescent="0.25">
      <c r="A420" s="23"/>
      <c r="B420" s="23"/>
      <c r="C420" s="36"/>
      <c r="D420" s="36"/>
      <c r="E420" s="23"/>
      <c r="F420" s="36"/>
      <c r="G420" s="36"/>
      <c r="H420" s="23"/>
      <c r="I420" s="36"/>
      <c r="J420" s="36"/>
      <c r="K420" s="23"/>
      <c r="L420" s="36"/>
      <c r="M420" s="36"/>
      <c r="N420" s="23"/>
      <c r="O420" s="36"/>
      <c r="P420" s="36"/>
      <c r="Q420" s="36"/>
      <c r="R420" s="36"/>
      <c r="S420" s="36"/>
      <c r="T420" s="36"/>
      <c r="U420" s="36"/>
      <c r="V420" s="36"/>
      <c r="W420" s="23"/>
      <c r="X420" s="36"/>
      <c r="Y420" s="36"/>
      <c r="Z420" s="23"/>
      <c r="AA420" s="36"/>
      <c r="AB420" s="36"/>
      <c r="AC420" s="23"/>
      <c r="AD420" s="36"/>
      <c r="AE420" s="36"/>
      <c r="AF420" s="23"/>
    </row>
    <row r="421" spans="1:32" x14ac:dyDescent="0.25">
      <c r="A421" s="23"/>
      <c r="B421" s="23"/>
      <c r="C421" s="36"/>
      <c r="D421" s="36"/>
      <c r="E421" s="23"/>
      <c r="F421" s="36"/>
      <c r="G421" s="36"/>
      <c r="H421" s="23"/>
      <c r="I421" s="36"/>
      <c r="J421" s="36"/>
      <c r="K421" s="23"/>
      <c r="L421" s="36"/>
      <c r="M421" s="36"/>
      <c r="N421" s="23"/>
      <c r="O421" s="36"/>
      <c r="P421" s="36"/>
      <c r="Q421" s="36"/>
      <c r="R421" s="36"/>
      <c r="S421" s="36"/>
      <c r="T421" s="36"/>
      <c r="U421" s="36"/>
      <c r="V421" s="36"/>
      <c r="W421" s="23"/>
      <c r="X421" s="36"/>
      <c r="Y421" s="36"/>
      <c r="Z421" s="23"/>
      <c r="AA421" s="36"/>
      <c r="AB421" s="36"/>
      <c r="AC421" s="23"/>
      <c r="AD421" s="36"/>
      <c r="AE421" s="36"/>
      <c r="AF421" s="23"/>
    </row>
    <row r="422" spans="1:32" x14ac:dyDescent="0.25">
      <c r="A422" s="23"/>
      <c r="B422" s="23"/>
      <c r="C422" s="36"/>
      <c r="D422" s="36"/>
      <c r="E422" s="23"/>
      <c r="F422" s="36"/>
      <c r="G422" s="36"/>
      <c r="H422" s="23"/>
      <c r="I422" s="36"/>
      <c r="J422" s="36"/>
      <c r="K422" s="23"/>
      <c r="L422" s="36"/>
      <c r="M422" s="36"/>
      <c r="N422" s="23"/>
      <c r="O422" s="36"/>
      <c r="P422" s="36"/>
      <c r="Q422" s="36"/>
      <c r="R422" s="36"/>
      <c r="S422" s="36"/>
      <c r="T422" s="36"/>
      <c r="U422" s="36"/>
      <c r="V422" s="36"/>
      <c r="W422" s="23"/>
      <c r="X422" s="36"/>
      <c r="Y422" s="36"/>
      <c r="Z422" s="23"/>
      <c r="AA422" s="36"/>
      <c r="AB422" s="36"/>
      <c r="AC422" s="23"/>
      <c r="AD422" s="36"/>
      <c r="AE422" s="36"/>
      <c r="AF422" s="23"/>
    </row>
    <row r="423" spans="1:32" x14ac:dyDescent="0.25">
      <c r="A423" s="23"/>
      <c r="B423" s="23"/>
      <c r="C423" s="36"/>
      <c r="D423" s="36"/>
      <c r="E423" s="23"/>
      <c r="F423" s="36"/>
      <c r="G423" s="36"/>
      <c r="H423" s="23"/>
      <c r="I423" s="36"/>
      <c r="J423" s="36"/>
      <c r="K423" s="23"/>
      <c r="L423" s="36"/>
      <c r="M423" s="36"/>
      <c r="N423" s="23"/>
      <c r="O423" s="36"/>
      <c r="P423" s="36"/>
      <c r="Q423" s="36"/>
      <c r="R423" s="36"/>
      <c r="S423" s="36"/>
      <c r="T423" s="36"/>
      <c r="U423" s="36"/>
      <c r="V423" s="36"/>
      <c r="W423" s="23"/>
      <c r="X423" s="36"/>
      <c r="Y423" s="36"/>
      <c r="Z423" s="23"/>
      <c r="AA423" s="36"/>
      <c r="AB423" s="36"/>
      <c r="AC423" s="23"/>
      <c r="AD423" s="36"/>
      <c r="AE423" s="36"/>
      <c r="AF423" s="23"/>
    </row>
    <row r="424" spans="1:32" x14ac:dyDescent="0.25">
      <c r="A424" s="23"/>
      <c r="B424" s="23"/>
      <c r="C424" s="36"/>
      <c r="D424" s="36"/>
      <c r="E424" s="23"/>
      <c r="F424" s="36"/>
      <c r="G424" s="36"/>
      <c r="H424" s="23"/>
      <c r="I424" s="36"/>
      <c r="J424" s="36"/>
      <c r="K424" s="23"/>
      <c r="L424" s="36"/>
      <c r="M424" s="36"/>
      <c r="N424" s="23"/>
      <c r="O424" s="36"/>
      <c r="P424" s="36"/>
      <c r="Q424" s="36"/>
      <c r="R424" s="36"/>
      <c r="S424" s="36"/>
      <c r="T424" s="36"/>
      <c r="U424" s="36"/>
      <c r="V424" s="36"/>
      <c r="W424" s="23"/>
      <c r="X424" s="36"/>
      <c r="Y424" s="36"/>
      <c r="Z424" s="23"/>
      <c r="AA424" s="36"/>
      <c r="AB424" s="36"/>
      <c r="AC424" s="23"/>
      <c r="AD424" s="36"/>
      <c r="AE424" s="36"/>
      <c r="AF424" s="23"/>
    </row>
    <row r="425" spans="1:32" x14ac:dyDescent="0.25">
      <c r="A425" s="23"/>
      <c r="B425" s="23"/>
      <c r="C425" s="36"/>
      <c r="D425" s="36"/>
      <c r="E425" s="23"/>
      <c r="F425" s="36"/>
      <c r="G425" s="36"/>
      <c r="H425" s="23"/>
      <c r="I425" s="36"/>
      <c r="J425" s="36"/>
      <c r="K425" s="23"/>
      <c r="L425" s="36"/>
      <c r="M425" s="36"/>
      <c r="N425" s="23"/>
      <c r="O425" s="36"/>
      <c r="P425" s="36"/>
      <c r="Q425" s="36"/>
      <c r="R425" s="36"/>
      <c r="S425" s="36"/>
      <c r="T425" s="36"/>
      <c r="U425" s="36"/>
      <c r="V425" s="36"/>
      <c r="W425" s="23"/>
      <c r="X425" s="36"/>
      <c r="Y425" s="36"/>
      <c r="Z425" s="23"/>
      <c r="AA425" s="36"/>
      <c r="AB425" s="36"/>
      <c r="AC425" s="23"/>
      <c r="AD425" s="36"/>
      <c r="AE425" s="36"/>
      <c r="AF425" s="23"/>
    </row>
    <row r="426" spans="1:32" x14ac:dyDescent="0.25">
      <c r="A426" s="23"/>
      <c r="B426" s="23"/>
      <c r="C426" s="36"/>
      <c r="D426" s="36"/>
      <c r="E426" s="23"/>
      <c r="F426" s="36"/>
      <c r="G426" s="36"/>
      <c r="H426" s="23"/>
      <c r="I426" s="36"/>
      <c r="J426" s="36"/>
      <c r="K426" s="23"/>
      <c r="L426" s="36"/>
      <c r="M426" s="36"/>
      <c r="N426" s="23"/>
      <c r="O426" s="36"/>
      <c r="P426" s="36"/>
      <c r="Q426" s="36"/>
      <c r="R426" s="36"/>
      <c r="S426" s="36"/>
      <c r="T426" s="36"/>
      <c r="U426" s="36"/>
      <c r="V426" s="36"/>
      <c r="W426" s="23"/>
      <c r="X426" s="36"/>
      <c r="Y426" s="36"/>
      <c r="Z426" s="23"/>
      <c r="AA426" s="36"/>
      <c r="AB426" s="36"/>
      <c r="AC426" s="23"/>
      <c r="AD426" s="36"/>
      <c r="AE426" s="36"/>
      <c r="AF426" s="23"/>
    </row>
    <row r="427" spans="1:32" x14ac:dyDescent="0.25">
      <c r="A427" s="23"/>
      <c r="B427" s="23"/>
      <c r="C427" s="36"/>
      <c r="D427" s="36"/>
      <c r="E427" s="23"/>
      <c r="F427" s="36"/>
      <c r="G427" s="36"/>
      <c r="H427" s="23"/>
      <c r="I427" s="36"/>
      <c r="J427" s="36"/>
      <c r="K427" s="23"/>
      <c r="L427" s="36"/>
      <c r="M427" s="36"/>
      <c r="N427" s="23"/>
      <c r="O427" s="36"/>
      <c r="P427" s="36"/>
      <c r="Q427" s="36"/>
      <c r="R427" s="36"/>
      <c r="S427" s="36"/>
      <c r="T427" s="36"/>
      <c r="U427" s="36"/>
      <c r="V427" s="36"/>
      <c r="W427" s="23"/>
      <c r="X427" s="36"/>
      <c r="Y427" s="36"/>
      <c r="Z427" s="23"/>
      <c r="AA427" s="36"/>
      <c r="AB427" s="36"/>
      <c r="AC427" s="23"/>
      <c r="AD427" s="36"/>
      <c r="AE427" s="36"/>
      <c r="AF427" s="23"/>
    </row>
    <row r="428" spans="1:32" x14ac:dyDescent="0.25">
      <c r="A428" s="23"/>
      <c r="B428" s="23"/>
      <c r="C428" s="36"/>
      <c r="D428" s="36"/>
      <c r="E428" s="23"/>
      <c r="F428" s="36"/>
      <c r="G428" s="36"/>
      <c r="H428" s="23"/>
      <c r="I428" s="36"/>
      <c r="J428" s="36"/>
      <c r="K428" s="23"/>
      <c r="L428" s="36"/>
      <c r="M428" s="36"/>
      <c r="N428" s="23"/>
      <c r="O428" s="36"/>
      <c r="P428" s="36"/>
      <c r="Q428" s="36"/>
      <c r="R428" s="36"/>
      <c r="S428" s="36"/>
      <c r="T428" s="36"/>
      <c r="U428" s="36"/>
      <c r="V428" s="36"/>
      <c r="W428" s="23"/>
      <c r="X428" s="36"/>
      <c r="Y428" s="36"/>
      <c r="Z428" s="23"/>
      <c r="AA428" s="36"/>
      <c r="AB428" s="36"/>
      <c r="AC428" s="23"/>
      <c r="AD428" s="36"/>
      <c r="AE428" s="36"/>
      <c r="AF428" s="23"/>
    </row>
    <row r="429" spans="1:32" x14ac:dyDescent="0.25">
      <c r="A429" s="23"/>
      <c r="B429" s="23"/>
      <c r="C429" s="36"/>
      <c r="D429" s="36"/>
      <c r="E429" s="23"/>
      <c r="F429" s="36"/>
      <c r="G429" s="36"/>
      <c r="H429" s="23"/>
      <c r="I429" s="36"/>
      <c r="J429" s="36"/>
      <c r="K429" s="23"/>
      <c r="L429" s="36"/>
      <c r="M429" s="36"/>
      <c r="N429" s="23"/>
      <c r="O429" s="36"/>
      <c r="P429" s="36"/>
      <c r="Q429" s="36"/>
      <c r="R429" s="36"/>
      <c r="S429" s="36"/>
      <c r="T429" s="36"/>
      <c r="U429" s="36"/>
      <c r="V429" s="36"/>
      <c r="W429" s="23"/>
      <c r="X429" s="36"/>
      <c r="Y429" s="36"/>
      <c r="Z429" s="23"/>
      <c r="AA429" s="36"/>
      <c r="AB429" s="36"/>
      <c r="AC429" s="23"/>
      <c r="AD429" s="36"/>
      <c r="AE429" s="36"/>
      <c r="AF429" s="23"/>
    </row>
    <row r="430" spans="1:32" x14ac:dyDescent="0.25">
      <c r="A430" s="23"/>
      <c r="B430" s="23"/>
      <c r="C430" s="36"/>
      <c r="D430" s="36"/>
      <c r="E430" s="23"/>
      <c r="F430" s="36"/>
      <c r="G430" s="36"/>
      <c r="H430" s="23"/>
      <c r="I430" s="36"/>
      <c r="J430" s="36"/>
      <c r="K430" s="23"/>
      <c r="L430" s="36"/>
      <c r="M430" s="36"/>
      <c r="N430" s="23"/>
      <c r="O430" s="36"/>
      <c r="P430" s="36"/>
      <c r="Q430" s="36"/>
      <c r="R430" s="36"/>
      <c r="S430" s="36"/>
      <c r="T430" s="36"/>
      <c r="U430" s="36"/>
      <c r="V430" s="36"/>
      <c r="W430" s="23"/>
      <c r="X430" s="36"/>
      <c r="Y430" s="36"/>
      <c r="Z430" s="23"/>
      <c r="AA430" s="36"/>
      <c r="AB430" s="36"/>
      <c r="AC430" s="23"/>
      <c r="AD430" s="36"/>
      <c r="AE430" s="36"/>
      <c r="AF430" s="23"/>
    </row>
    <row r="431" spans="1:32" x14ac:dyDescent="0.25">
      <c r="A431" s="23"/>
      <c r="B431" s="23"/>
      <c r="C431" s="36"/>
      <c r="D431" s="36"/>
      <c r="E431" s="23"/>
      <c r="F431" s="36"/>
      <c r="G431" s="36"/>
      <c r="H431" s="23"/>
      <c r="I431" s="36"/>
      <c r="J431" s="36"/>
      <c r="K431" s="23"/>
      <c r="L431" s="36"/>
      <c r="M431" s="36"/>
      <c r="N431" s="23"/>
      <c r="O431" s="36"/>
      <c r="P431" s="36"/>
      <c r="Q431" s="36"/>
      <c r="R431" s="36"/>
      <c r="S431" s="36"/>
      <c r="T431" s="36"/>
      <c r="U431" s="36"/>
      <c r="V431" s="36"/>
      <c r="W431" s="23"/>
      <c r="X431" s="36"/>
      <c r="Y431" s="36"/>
      <c r="Z431" s="23"/>
      <c r="AA431" s="36"/>
      <c r="AB431" s="36"/>
      <c r="AC431" s="23"/>
      <c r="AD431" s="36"/>
      <c r="AE431" s="36"/>
      <c r="AF431" s="23"/>
    </row>
    <row r="432" spans="1:32" x14ac:dyDescent="0.25">
      <c r="A432" s="23"/>
      <c r="B432" s="23"/>
      <c r="C432" s="36"/>
      <c r="D432" s="36"/>
      <c r="E432" s="23"/>
      <c r="F432" s="36"/>
      <c r="G432" s="36"/>
      <c r="H432" s="23"/>
      <c r="I432" s="36"/>
      <c r="J432" s="36"/>
      <c r="K432" s="23"/>
      <c r="L432" s="36"/>
      <c r="M432" s="36"/>
      <c r="N432" s="23"/>
      <c r="O432" s="36"/>
      <c r="P432" s="36"/>
      <c r="Q432" s="36"/>
      <c r="R432" s="36"/>
      <c r="S432" s="36"/>
      <c r="T432" s="36"/>
      <c r="U432" s="36"/>
      <c r="V432" s="36"/>
      <c r="W432" s="23"/>
      <c r="X432" s="36"/>
      <c r="Y432" s="36"/>
      <c r="Z432" s="23"/>
      <c r="AA432" s="36"/>
      <c r="AB432" s="36"/>
      <c r="AC432" s="23"/>
      <c r="AD432" s="36"/>
      <c r="AE432" s="36"/>
      <c r="AF432" s="23"/>
    </row>
    <row r="433" spans="1:32" x14ac:dyDescent="0.25">
      <c r="A433" s="23"/>
      <c r="B433" s="23"/>
      <c r="C433" s="36"/>
      <c r="D433" s="36"/>
      <c r="E433" s="23"/>
      <c r="F433" s="36"/>
      <c r="G433" s="36"/>
      <c r="H433" s="23"/>
      <c r="I433" s="36"/>
      <c r="J433" s="36"/>
      <c r="K433" s="23"/>
      <c r="L433" s="36"/>
      <c r="M433" s="36"/>
      <c r="N433" s="23"/>
      <c r="O433" s="36"/>
      <c r="P433" s="36"/>
      <c r="Q433" s="36"/>
      <c r="R433" s="36"/>
      <c r="S433" s="36"/>
      <c r="T433" s="36"/>
      <c r="U433" s="36"/>
      <c r="V433" s="36"/>
      <c r="W433" s="23"/>
      <c r="X433" s="36"/>
      <c r="Y433" s="36"/>
      <c r="Z433" s="23"/>
      <c r="AA433" s="36"/>
      <c r="AB433" s="36"/>
      <c r="AC433" s="23"/>
      <c r="AD433" s="36"/>
      <c r="AE433" s="36"/>
      <c r="AF433" s="23"/>
    </row>
    <row r="434" spans="1:32" x14ac:dyDescent="0.25">
      <c r="A434" s="23"/>
      <c r="B434" s="23"/>
      <c r="C434" s="36"/>
      <c r="D434" s="36"/>
      <c r="E434" s="23"/>
      <c r="F434" s="36"/>
      <c r="G434" s="36"/>
      <c r="H434" s="23"/>
      <c r="I434" s="36"/>
      <c r="J434" s="36"/>
      <c r="K434" s="23"/>
      <c r="L434" s="36"/>
      <c r="M434" s="36"/>
      <c r="N434" s="23"/>
      <c r="O434" s="36"/>
      <c r="P434" s="36"/>
      <c r="Q434" s="36"/>
      <c r="R434" s="36"/>
      <c r="S434" s="36"/>
      <c r="T434" s="36"/>
      <c r="U434" s="36"/>
      <c r="V434" s="36"/>
      <c r="W434" s="23"/>
      <c r="X434" s="36"/>
      <c r="Y434" s="36"/>
      <c r="Z434" s="23"/>
      <c r="AA434" s="36"/>
      <c r="AB434" s="36"/>
      <c r="AC434" s="23"/>
      <c r="AD434" s="36"/>
      <c r="AE434" s="36"/>
      <c r="AF434" s="23"/>
    </row>
    <row r="435" spans="1:32" x14ac:dyDescent="0.25">
      <c r="A435" s="23"/>
      <c r="B435" s="23"/>
      <c r="C435" s="36"/>
      <c r="D435" s="36"/>
      <c r="E435" s="23"/>
      <c r="F435" s="36"/>
      <c r="G435" s="36"/>
      <c r="H435" s="23"/>
      <c r="I435" s="36"/>
      <c r="J435" s="36"/>
      <c r="K435" s="23"/>
      <c r="L435" s="36"/>
      <c r="M435" s="36"/>
      <c r="N435" s="23"/>
      <c r="O435" s="36"/>
      <c r="P435" s="36"/>
      <c r="Q435" s="36"/>
      <c r="R435" s="36"/>
      <c r="S435" s="36"/>
      <c r="T435" s="36"/>
      <c r="U435" s="36"/>
      <c r="V435" s="36"/>
      <c r="W435" s="23"/>
      <c r="X435" s="36"/>
      <c r="Y435" s="36"/>
      <c r="Z435" s="23"/>
      <c r="AA435" s="36"/>
      <c r="AB435" s="36"/>
      <c r="AC435" s="23"/>
      <c r="AD435" s="36"/>
      <c r="AE435" s="36"/>
      <c r="AF435" s="23"/>
    </row>
    <row r="436" spans="1:32" x14ac:dyDescent="0.25">
      <c r="A436" s="23"/>
      <c r="B436" s="23"/>
      <c r="C436" s="36"/>
      <c r="D436" s="36"/>
      <c r="E436" s="23"/>
      <c r="F436" s="36"/>
      <c r="G436" s="36"/>
      <c r="H436" s="23"/>
      <c r="I436" s="36"/>
      <c r="J436" s="36"/>
      <c r="K436" s="23"/>
      <c r="L436" s="36"/>
      <c r="M436" s="36"/>
      <c r="N436" s="23"/>
      <c r="O436" s="36"/>
      <c r="P436" s="36"/>
      <c r="Q436" s="36"/>
      <c r="R436" s="36"/>
      <c r="S436" s="36"/>
      <c r="T436" s="36"/>
      <c r="U436" s="36"/>
      <c r="V436" s="36"/>
      <c r="W436" s="23"/>
      <c r="X436" s="36"/>
      <c r="Y436" s="36"/>
      <c r="Z436" s="23"/>
      <c r="AA436" s="36"/>
      <c r="AB436" s="36"/>
      <c r="AC436" s="23"/>
      <c r="AD436" s="36"/>
      <c r="AE436" s="36"/>
      <c r="AF436" s="23"/>
    </row>
    <row r="437" spans="1:32" x14ac:dyDescent="0.25">
      <c r="A437" s="23"/>
      <c r="B437" s="23"/>
      <c r="C437" s="36"/>
      <c r="D437" s="36"/>
      <c r="E437" s="23"/>
      <c r="F437" s="36"/>
      <c r="G437" s="36"/>
      <c r="H437" s="23"/>
      <c r="I437" s="36"/>
      <c r="J437" s="36"/>
      <c r="K437" s="23"/>
      <c r="L437" s="36"/>
      <c r="M437" s="36"/>
      <c r="N437" s="23"/>
      <c r="O437" s="36"/>
      <c r="P437" s="36"/>
      <c r="Q437" s="36"/>
      <c r="R437" s="36"/>
      <c r="S437" s="36"/>
      <c r="T437" s="36"/>
      <c r="U437" s="36"/>
      <c r="V437" s="36"/>
      <c r="W437" s="23"/>
      <c r="X437" s="36"/>
      <c r="Y437" s="36"/>
      <c r="Z437" s="23"/>
      <c r="AA437" s="36"/>
      <c r="AB437" s="36"/>
      <c r="AC437" s="23"/>
      <c r="AD437" s="36"/>
      <c r="AE437" s="36"/>
      <c r="AF437" s="23"/>
    </row>
    <row r="438" spans="1:32" x14ac:dyDescent="0.25">
      <c r="A438" s="23"/>
      <c r="B438" s="23"/>
      <c r="C438" s="36"/>
      <c r="D438" s="36"/>
      <c r="E438" s="23"/>
      <c r="F438" s="36"/>
      <c r="G438" s="36"/>
      <c r="H438" s="23"/>
      <c r="I438" s="36"/>
      <c r="J438" s="36"/>
      <c r="K438" s="23"/>
      <c r="L438" s="36"/>
      <c r="M438" s="36"/>
      <c r="N438" s="23"/>
      <c r="O438" s="36"/>
      <c r="P438" s="36"/>
      <c r="Q438" s="36"/>
      <c r="R438" s="36"/>
      <c r="S438" s="36"/>
      <c r="T438" s="36"/>
      <c r="U438" s="36"/>
      <c r="V438" s="36"/>
      <c r="W438" s="23"/>
      <c r="X438" s="36"/>
      <c r="Y438" s="36"/>
      <c r="Z438" s="23"/>
      <c r="AA438" s="36"/>
      <c r="AB438" s="36"/>
      <c r="AC438" s="23"/>
      <c r="AD438" s="36"/>
      <c r="AE438" s="36"/>
      <c r="AF438" s="23"/>
    </row>
    <row r="439" spans="1:32" x14ac:dyDescent="0.25">
      <c r="A439" s="23"/>
      <c r="B439" s="23"/>
      <c r="C439" s="36"/>
      <c r="D439" s="36"/>
      <c r="E439" s="23"/>
      <c r="F439" s="36"/>
      <c r="G439" s="36"/>
      <c r="H439" s="23"/>
      <c r="I439" s="36"/>
      <c r="J439" s="36"/>
      <c r="K439" s="23"/>
      <c r="L439" s="36"/>
      <c r="M439" s="36"/>
      <c r="N439" s="23"/>
      <c r="O439" s="36"/>
      <c r="P439" s="36"/>
      <c r="Q439" s="36"/>
      <c r="R439" s="36"/>
      <c r="S439" s="36"/>
      <c r="T439" s="36"/>
      <c r="U439" s="36"/>
      <c r="V439" s="36"/>
      <c r="W439" s="23"/>
      <c r="X439" s="36"/>
      <c r="Y439" s="36"/>
      <c r="Z439" s="23"/>
      <c r="AA439" s="36"/>
      <c r="AB439" s="36"/>
      <c r="AC439" s="23"/>
      <c r="AD439" s="36"/>
      <c r="AE439" s="36"/>
      <c r="AF439" s="23"/>
    </row>
    <row r="440" spans="1:32" x14ac:dyDescent="0.25">
      <c r="A440" s="23"/>
      <c r="B440" s="23"/>
      <c r="C440" s="36"/>
      <c r="D440" s="36"/>
      <c r="E440" s="23"/>
      <c r="F440" s="36"/>
      <c r="G440" s="36"/>
      <c r="H440" s="23"/>
      <c r="I440" s="36"/>
      <c r="J440" s="36"/>
      <c r="K440" s="23"/>
      <c r="L440" s="36"/>
      <c r="M440" s="36"/>
      <c r="N440" s="23"/>
      <c r="O440" s="36"/>
      <c r="P440" s="36"/>
      <c r="Q440" s="36"/>
      <c r="R440" s="36"/>
      <c r="S440" s="36"/>
      <c r="T440" s="36"/>
      <c r="U440" s="36"/>
      <c r="V440" s="36"/>
      <c r="W440" s="23"/>
      <c r="X440" s="36"/>
      <c r="Y440" s="36"/>
      <c r="Z440" s="23"/>
      <c r="AA440" s="36"/>
      <c r="AB440" s="36"/>
      <c r="AC440" s="23"/>
      <c r="AD440" s="36"/>
      <c r="AE440" s="36"/>
      <c r="AF440" s="23"/>
    </row>
    <row r="441" spans="1:32" x14ac:dyDescent="0.25">
      <c r="A441" s="23"/>
      <c r="B441" s="23"/>
      <c r="C441" s="36"/>
      <c r="D441" s="36"/>
      <c r="E441" s="23"/>
      <c r="F441" s="36"/>
      <c r="G441" s="36"/>
      <c r="H441" s="23"/>
      <c r="I441" s="36"/>
      <c r="J441" s="36"/>
      <c r="K441" s="23"/>
      <c r="L441" s="36"/>
      <c r="M441" s="36"/>
      <c r="N441" s="23"/>
      <c r="O441" s="36"/>
      <c r="P441" s="36"/>
      <c r="Q441" s="36"/>
      <c r="R441" s="36"/>
      <c r="S441" s="36"/>
      <c r="T441" s="36"/>
      <c r="U441" s="36"/>
      <c r="V441" s="36"/>
      <c r="W441" s="23"/>
      <c r="X441" s="36"/>
      <c r="Y441" s="36"/>
      <c r="Z441" s="23"/>
      <c r="AA441" s="36"/>
      <c r="AB441" s="36"/>
      <c r="AC441" s="23"/>
      <c r="AD441" s="36"/>
      <c r="AE441" s="36"/>
      <c r="AF441" s="23"/>
    </row>
    <row r="442" spans="1:32" x14ac:dyDescent="0.25">
      <c r="A442" s="23"/>
      <c r="B442" s="23"/>
      <c r="C442" s="36"/>
      <c r="D442" s="36"/>
      <c r="E442" s="23"/>
      <c r="F442" s="36"/>
      <c r="G442" s="36"/>
      <c r="H442" s="23"/>
      <c r="I442" s="36"/>
      <c r="J442" s="36"/>
      <c r="K442" s="23"/>
      <c r="L442" s="36"/>
      <c r="M442" s="36"/>
      <c r="N442" s="23"/>
      <c r="O442" s="36"/>
      <c r="P442" s="36"/>
      <c r="Q442" s="36"/>
      <c r="R442" s="36"/>
      <c r="S442" s="36"/>
      <c r="T442" s="36"/>
      <c r="U442" s="36"/>
      <c r="V442" s="36"/>
      <c r="W442" s="23"/>
      <c r="X442" s="36"/>
      <c r="Y442" s="36"/>
      <c r="Z442" s="23"/>
      <c r="AA442" s="36"/>
      <c r="AB442" s="36"/>
      <c r="AC442" s="23"/>
      <c r="AD442" s="36"/>
      <c r="AE442" s="36"/>
      <c r="AF442" s="23"/>
    </row>
    <row r="443" spans="1:32" x14ac:dyDescent="0.25">
      <c r="A443" s="23"/>
      <c r="B443" s="23"/>
      <c r="C443" s="36"/>
      <c r="D443" s="36"/>
      <c r="E443" s="23"/>
      <c r="F443" s="36"/>
      <c r="G443" s="36"/>
      <c r="H443" s="23"/>
      <c r="I443" s="36"/>
      <c r="J443" s="36"/>
      <c r="K443" s="23"/>
      <c r="L443" s="36"/>
      <c r="M443" s="36"/>
      <c r="N443" s="23"/>
      <c r="O443" s="36"/>
      <c r="P443" s="36"/>
      <c r="Q443" s="36"/>
      <c r="R443" s="36"/>
      <c r="S443" s="36"/>
      <c r="T443" s="36"/>
      <c r="U443" s="36"/>
      <c r="V443" s="36"/>
      <c r="W443" s="23"/>
      <c r="X443" s="36"/>
      <c r="Y443" s="36"/>
      <c r="Z443" s="23"/>
      <c r="AA443" s="36"/>
      <c r="AB443" s="36"/>
      <c r="AC443" s="23"/>
      <c r="AD443" s="36"/>
      <c r="AE443" s="36"/>
      <c r="AF443" s="23"/>
    </row>
    <row r="444" spans="1:32" x14ac:dyDescent="0.25">
      <c r="A444" s="23"/>
      <c r="B444" s="23"/>
      <c r="C444" s="36"/>
      <c r="D444" s="36"/>
      <c r="E444" s="23"/>
      <c r="F444" s="36"/>
      <c r="G444" s="36"/>
      <c r="H444" s="23"/>
      <c r="I444" s="36"/>
      <c r="J444" s="36"/>
      <c r="K444" s="23"/>
      <c r="L444" s="36"/>
      <c r="M444" s="36"/>
      <c r="N444" s="23"/>
      <c r="O444" s="36"/>
      <c r="P444" s="36"/>
      <c r="Q444" s="36"/>
      <c r="R444" s="36"/>
      <c r="S444" s="36"/>
      <c r="T444" s="36"/>
      <c r="U444" s="36"/>
      <c r="V444" s="36"/>
      <c r="W444" s="23"/>
      <c r="X444" s="36"/>
      <c r="Y444" s="36"/>
      <c r="Z444" s="23"/>
      <c r="AA444" s="36"/>
      <c r="AB444" s="36"/>
      <c r="AC444" s="23"/>
      <c r="AD444" s="36"/>
      <c r="AE444" s="36"/>
      <c r="AF444" s="23"/>
    </row>
    <row r="445" spans="1:32" x14ac:dyDescent="0.25">
      <c r="A445" s="23"/>
      <c r="B445" s="23"/>
      <c r="C445" s="36"/>
      <c r="D445" s="36"/>
      <c r="E445" s="23"/>
      <c r="F445" s="36"/>
      <c r="G445" s="36"/>
      <c r="H445" s="23"/>
      <c r="I445" s="36"/>
      <c r="J445" s="36"/>
      <c r="K445" s="23"/>
      <c r="L445" s="36"/>
      <c r="M445" s="36"/>
      <c r="N445" s="23"/>
      <c r="O445" s="36"/>
      <c r="P445" s="36"/>
      <c r="Q445" s="36"/>
      <c r="R445" s="36"/>
      <c r="S445" s="36"/>
      <c r="T445" s="36"/>
      <c r="U445" s="36"/>
      <c r="V445" s="36"/>
      <c r="W445" s="23"/>
      <c r="X445" s="36"/>
      <c r="Y445" s="36"/>
      <c r="Z445" s="23"/>
      <c r="AA445" s="36"/>
      <c r="AB445" s="36"/>
      <c r="AC445" s="23"/>
      <c r="AD445" s="36"/>
      <c r="AE445" s="36"/>
      <c r="AF445" s="23"/>
    </row>
    <row r="446" spans="1:32" x14ac:dyDescent="0.25">
      <c r="A446" s="23"/>
      <c r="B446" s="23"/>
      <c r="C446" s="36"/>
      <c r="D446" s="36"/>
      <c r="E446" s="23"/>
      <c r="F446" s="36"/>
      <c r="G446" s="36"/>
      <c r="H446" s="23"/>
      <c r="I446" s="36"/>
      <c r="J446" s="36"/>
      <c r="K446" s="23"/>
      <c r="L446" s="36"/>
      <c r="M446" s="36"/>
      <c r="N446" s="23"/>
      <c r="O446" s="36"/>
      <c r="P446" s="36"/>
      <c r="Q446" s="36"/>
      <c r="R446" s="36"/>
      <c r="S446" s="36"/>
      <c r="T446" s="36"/>
      <c r="U446" s="36"/>
      <c r="V446" s="36"/>
      <c r="W446" s="23"/>
      <c r="X446" s="36"/>
      <c r="Y446" s="36"/>
      <c r="Z446" s="23"/>
      <c r="AA446" s="36"/>
      <c r="AB446" s="36"/>
      <c r="AC446" s="23"/>
      <c r="AD446" s="36"/>
      <c r="AE446" s="36"/>
      <c r="AF446" s="23"/>
    </row>
    <row r="447" spans="1:32" x14ac:dyDescent="0.25">
      <c r="A447" s="23"/>
      <c r="B447" s="23"/>
      <c r="C447" s="36"/>
      <c r="D447" s="36"/>
      <c r="E447" s="23"/>
      <c r="F447" s="36"/>
      <c r="G447" s="36"/>
      <c r="H447" s="23"/>
      <c r="I447" s="36"/>
      <c r="J447" s="36"/>
      <c r="K447" s="23"/>
      <c r="L447" s="36"/>
      <c r="M447" s="36"/>
      <c r="N447" s="23"/>
      <c r="O447" s="36"/>
      <c r="P447" s="36"/>
      <c r="Q447" s="36"/>
      <c r="R447" s="36"/>
      <c r="S447" s="36"/>
      <c r="T447" s="36"/>
      <c r="U447" s="36"/>
      <c r="V447" s="36"/>
      <c r="W447" s="23"/>
      <c r="X447" s="36"/>
      <c r="Y447" s="36"/>
      <c r="Z447" s="23"/>
      <c r="AA447" s="36"/>
      <c r="AB447" s="36"/>
      <c r="AC447" s="23"/>
      <c r="AD447" s="36"/>
      <c r="AE447" s="36"/>
      <c r="AF447" s="23"/>
    </row>
    <row r="448" spans="1:32" x14ac:dyDescent="0.25">
      <c r="A448" s="23"/>
      <c r="B448" s="23"/>
      <c r="C448" s="36"/>
      <c r="D448" s="36"/>
      <c r="E448" s="23"/>
      <c r="F448" s="36"/>
      <c r="G448" s="36"/>
      <c r="H448" s="23"/>
      <c r="I448" s="36"/>
      <c r="J448" s="36"/>
      <c r="K448" s="23"/>
      <c r="L448" s="36"/>
      <c r="M448" s="36"/>
      <c r="N448" s="23"/>
      <c r="O448" s="36"/>
      <c r="P448" s="36"/>
      <c r="Q448" s="36"/>
      <c r="R448" s="36"/>
      <c r="S448" s="36"/>
      <c r="T448" s="36"/>
      <c r="U448" s="36"/>
      <c r="V448" s="36"/>
      <c r="W448" s="23"/>
      <c r="X448" s="36"/>
      <c r="Y448" s="36"/>
      <c r="Z448" s="23"/>
      <c r="AA448" s="36"/>
      <c r="AB448" s="36"/>
      <c r="AC448" s="23"/>
      <c r="AD448" s="36"/>
      <c r="AE448" s="36"/>
      <c r="AF448" s="23"/>
    </row>
    <row r="449" spans="1:32" x14ac:dyDescent="0.25">
      <c r="A449" s="23"/>
      <c r="B449" s="23"/>
      <c r="C449" s="36"/>
      <c r="D449" s="36"/>
      <c r="E449" s="23"/>
      <c r="F449" s="36"/>
      <c r="G449" s="36"/>
      <c r="H449" s="23"/>
      <c r="I449" s="36"/>
      <c r="J449" s="36"/>
      <c r="K449" s="23"/>
      <c r="L449" s="36"/>
      <c r="M449" s="36"/>
      <c r="N449" s="23"/>
      <c r="O449" s="36"/>
      <c r="P449" s="36"/>
      <c r="Q449" s="36"/>
      <c r="R449" s="36"/>
      <c r="S449" s="36"/>
      <c r="T449" s="36"/>
      <c r="U449" s="36"/>
      <c r="V449" s="36"/>
      <c r="W449" s="23"/>
      <c r="X449" s="36"/>
      <c r="Y449" s="36"/>
      <c r="Z449" s="23"/>
      <c r="AA449" s="36"/>
      <c r="AB449" s="36"/>
      <c r="AC449" s="23"/>
      <c r="AD449" s="36"/>
      <c r="AE449" s="36"/>
      <c r="AF449" s="23"/>
    </row>
    <row r="450" spans="1:32" x14ac:dyDescent="0.25">
      <c r="A450" s="23"/>
      <c r="B450" s="23"/>
      <c r="C450" s="36"/>
      <c r="D450" s="36"/>
      <c r="E450" s="23"/>
      <c r="F450" s="36"/>
      <c r="G450" s="36"/>
      <c r="H450" s="23"/>
      <c r="I450" s="36"/>
      <c r="J450" s="36"/>
      <c r="K450" s="23"/>
      <c r="L450" s="36"/>
      <c r="M450" s="36"/>
      <c r="N450" s="23"/>
      <c r="O450" s="36"/>
      <c r="P450" s="36"/>
      <c r="Q450" s="36"/>
      <c r="R450" s="36"/>
      <c r="S450" s="36"/>
      <c r="T450" s="36"/>
      <c r="U450" s="36"/>
      <c r="V450" s="36"/>
      <c r="W450" s="23"/>
      <c r="X450" s="36"/>
      <c r="Y450" s="36"/>
      <c r="Z450" s="23"/>
      <c r="AA450" s="36"/>
      <c r="AB450" s="36"/>
      <c r="AC450" s="23"/>
      <c r="AD450" s="36"/>
      <c r="AE450" s="36"/>
      <c r="AF450" s="23"/>
    </row>
    <row r="451" spans="1:32" x14ac:dyDescent="0.25">
      <c r="A451" s="23"/>
      <c r="B451" s="23"/>
      <c r="C451" s="36"/>
      <c r="D451" s="36"/>
      <c r="E451" s="23"/>
      <c r="F451" s="36"/>
      <c r="G451" s="36"/>
      <c r="H451" s="23"/>
      <c r="I451" s="36"/>
      <c r="J451" s="36"/>
      <c r="K451" s="23"/>
      <c r="L451" s="36"/>
      <c r="M451" s="36"/>
      <c r="N451" s="23"/>
      <c r="O451" s="36"/>
      <c r="P451" s="36"/>
      <c r="Q451" s="36"/>
      <c r="R451" s="36"/>
      <c r="S451" s="36"/>
      <c r="T451" s="36"/>
      <c r="U451" s="36"/>
      <c r="V451" s="36"/>
      <c r="W451" s="23"/>
      <c r="X451" s="36"/>
      <c r="Y451" s="36"/>
      <c r="Z451" s="23"/>
      <c r="AA451" s="36"/>
      <c r="AB451" s="36"/>
      <c r="AC451" s="23"/>
      <c r="AD451" s="36"/>
      <c r="AE451" s="36"/>
      <c r="AF451" s="23"/>
    </row>
    <row r="452" spans="1:32" x14ac:dyDescent="0.25">
      <c r="A452" s="23"/>
      <c r="B452" s="23"/>
      <c r="C452" s="36"/>
      <c r="D452" s="36"/>
      <c r="E452" s="23"/>
      <c r="F452" s="36"/>
      <c r="G452" s="36"/>
      <c r="H452" s="23"/>
      <c r="I452" s="36"/>
      <c r="J452" s="36"/>
      <c r="K452" s="23"/>
      <c r="L452" s="36"/>
      <c r="M452" s="36"/>
      <c r="N452" s="23"/>
      <c r="O452" s="36"/>
      <c r="P452" s="36"/>
      <c r="Q452" s="36"/>
      <c r="R452" s="36"/>
      <c r="S452" s="36"/>
      <c r="T452" s="36"/>
      <c r="U452" s="36"/>
      <c r="V452" s="36"/>
      <c r="W452" s="23"/>
      <c r="X452" s="36"/>
      <c r="Y452" s="36"/>
      <c r="Z452" s="23"/>
      <c r="AA452" s="36"/>
      <c r="AB452" s="36"/>
      <c r="AC452" s="23"/>
      <c r="AD452" s="36"/>
      <c r="AE452" s="36"/>
      <c r="AF452" s="23"/>
    </row>
    <row r="453" spans="1:32" x14ac:dyDescent="0.25">
      <c r="A453" s="23"/>
      <c r="B453" s="23"/>
      <c r="C453" s="36"/>
      <c r="D453" s="36"/>
      <c r="E453" s="23"/>
      <c r="F453" s="36"/>
      <c r="G453" s="36"/>
      <c r="H453" s="23"/>
      <c r="I453" s="36"/>
      <c r="J453" s="36"/>
      <c r="K453" s="23"/>
      <c r="L453" s="36"/>
      <c r="M453" s="36"/>
      <c r="N453" s="23"/>
      <c r="O453" s="36"/>
      <c r="P453" s="36"/>
      <c r="Q453" s="36"/>
      <c r="R453" s="36"/>
      <c r="S453" s="36"/>
      <c r="T453" s="36"/>
      <c r="U453" s="36"/>
      <c r="V453" s="36"/>
      <c r="W453" s="23"/>
      <c r="X453" s="36"/>
      <c r="Y453" s="36"/>
      <c r="Z453" s="23"/>
      <c r="AA453" s="36"/>
      <c r="AB453" s="36"/>
      <c r="AC453" s="23"/>
      <c r="AD453" s="36"/>
      <c r="AE453" s="36"/>
      <c r="AF453" s="23"/>
    </row>
    <row r="454" spans="1:32" x14ac:dyDescent="0.25">
      <c r="A454" s="23"/>
      <c r="B454" s="23"/>
      <c r="C454" s="36"/>
      <c r="D454" s="36"/>
      <c r="E454" s="23"/>
      <c r="F454" s="36"/>
      <c r="G454" s="36"/>
      <c r="H454" s="23"/>
      <c r="I454" s="36"/>
      <c r="J454" s="36"/>
      <c r="K454" s="23"/>
      <c r="L454" s="36"/>
      <c r="M454" s="36"/>
      <c r="N454" s="23"/>
      <c r="O454" s="36"/>
      <c r="P454" s="36"/>
      <c r="Q454" s="36"/>
      <c r="R454" s="36"/>
      <c r="S454" s="36"/>
      <c r="T454" s="36"/>
      <c r="U454" s="36"/>
      <c r="V454" s="36"/>
      <c r="W454" s="23"/>
      <c r="X454" s="36"/>
      <c r="Y454" s="36"/>
      <c r="Z454" s="23"/>
      <c r="AA454" s="36"/>
      <c r="AB454" s="36"/>
      <c r="AC454" s="23"/>
      <c r="AD454" s="36"/>
      <c r="AE454" s="36"/>
      <c r="AF454" s="23"/>
    </row>
    <row r="455" spans="1:32" x14ac:dyDescent="0.25">
      <c r="A455" s="23"/>
      <c r="B455" s="23"/>
      <c r="C455" s="36"/>
      <c r="D455" s="36"/>
      <c r="E455" s="23"/>
      <c r="F455" s="36"/>
      <c r="G455" s="36"/>
      <c r="H455" s="23"/>
      <c r="I455" s="36"/>
      <c r="J455" s="36"/>
      <c r="K455" s="23"/>
      <c r="L455" s="36"/>
      <c r="M455" s="36"/>
      <c r="N455" s="23"/>
      <c r="O455" s="36"/>
      <c r="P455" s="36"/>
      <c r="Q455" s="36"/>
      <c r="R455" s="36"/>
      <c r="S455" s="36"/>
      <c r="T455" s="36"/>
      <c r="U455" s="36"/>
      <c r="V455" s="36"/>
      <c r="W455" s="23"/>
      <c r="X455" s="36"/>
      <c r="Y455" s="36"/>
      <c r="Z455" s="23"/>
      <c r="AA455" s="36"/>
      <c r="AB455" s="36"/>
      <c r="AC455" s="23"/>
      <c r="AD455" s="36"/>
      <c r="AE455" s="36"/>
      <c r="AF455" s="23"/>
    </row>
    <row r="456" spans="1:32" x14ac:dyDescent="0.25">
      <c r="A456" s="23"/>
      <c r="B456" s="23"/>
      <c r="C456" s="36"/>
      <c r="D456" s="36"/>
      <c r="E456" s="23"/>
      <c r="F456" s="36"/>
      <c r="G456" s="36"/>
      <c r="H456" s="23"/>
      <c r="I456" s="36"/>
      <c r="J456" s="36"/>
      <c r="K456" s="23"/>
      <c r="L456" s="36"/>
      <c r="M456" s="36"/>
      <c r="N456" s="23"/>
      <c r="O456" s="36"/>
      <c r="P456" s="36"/>
      <c r="Q456" s="36"/>
      <c r="R456" s="36"/>
      <c r="S456" s="36"/>
      <c r="T456" s="36"/>
      <c r="U456" s="36"/>
      <c r="V456" s="36"/>
      <c r="W456" s="23"/>
      <c r="X456" s="36"/>
      <c r="Y456" s="36"/>
      <c r="Z456" s="23"/>
      <c r="AA456" s="36"/>
      <c r="AB456" s="36"/>
      <c r="AC456" s="23"/>
      <c r="AD456" s="36"/>
      <c r="AE456" s="36"/>
      <c r="AF456" s="23"/>
    </row>
    <row r="457" spans="1:32" x14ac:dyDescent="0.25">
      <c r="A457" s="23"/>
      <c r="B457" s="23"/>
      <c r="C457" s="36"/>
      <c r="D457" s="36"/>
      <c r="E457" s="23"/>
      <c r="F457" s="36"/>
      <c r="G457" s="36"/>
      <c r="H457" s="23"/>
      <c r="I457" s="36"/>
      <c r="J457" s="36"/>
      <c r="K457" s="23"/>
      <c r="L457" s="36"/>
      <c r="M457" s="36"/>
      <c r="N457" s="23"/>
      <c r="O457" s="36"/>
      <c r="P457" s="36"/>
      <c r="Q457" s="36"/>
      <c r="R457" s="36"/>
      <c r="S457" s="36"/>
      <c r="T457" s="36"/>
      <c r="U457" s="36"/>
      <c r="V457" s="36"/>
      <c r="W457" s="23"/>
      <c r="X457" s="36"/>
      <c r="Y457" s="36"/>
      <c r="Z457" s="23"/>
      <c r="AA457" s="36"/>
      <c r="AB457" s="36"/>
      <c r="AC457" s="23"/>
      <c r="AD457" s="36"/>
      <c r="AE457" s="36"/>
      <c r="AF457" s="23"/>
    </row>
    <row r="458" spans="1:32" x14ac:dyDescent="0.25">
      <c r="A458" s="23"/>
      <c r="B458" s="23"/>
      <c r="C458" s="36"/>
      <c r="D458" s="36"/>
      <c r="E458" s="23"/>
      <c r="F458" s="36"/>
      <c r="G458" s="36"/>
      <c r="H458" s="23"/>
      <c r="I458" s="36"/>
      <c r="J458" s="36"/>
      <c r="K458" s="23"/>
      <c r="L458" s="36"/>
      <c r="M458" s="36"/>
      <c r="N458" s="23"/>
      <c r="O458" s="36"/>
      <c r="P458" s="36"/>
      <c r="Q458" s="36"/>
      <c r="R458" s="36"/>
      <c r="S458" s="36"/>
      <c r="T458" s="36"/>
      <c r="U458" s="36"/>
      <c r="V458" s="36"/>
      <c r="W458" s="23"/>
      <c r="X458" s="36"/>
      <c r="Y458" s="36"/>
      <c r="Z458" s="23"/>
      <c r="AA458" s="36"/>
      <c r="AB458" s="36"/>
      <c r="AC458" s="23"/>
      <c r="AD458" s="36"/>
      <c r="AE458" s="36"/>
      <c r="AF458" s="23"/>
    </row>
    <row r="459" spans="1:32" x14ac:dyDescent="0.25">
      <c r="A459" s="23"/>
      <c r="B459" s="23"/>
      <c r="C459" s="36"/>
      <c r="D459" s="36"/>
      <c r="E459" s="23"/>
      <c r="F459" s="36"/>
      <c r="G459" s="36"/>
      <c r="H459" s="23"/>
      <c r="I459" s="36"/>
      <c r="J459" s="36"/>
      <c r="K459" s="23"/>
      <c r="L459" s="36"/>
      <c r="M459" s="36"/>
      <c r="N459" s="23"/>
      <c r="O459" s="36"/>
      <c r="P459" s="36"/>
      <c r="Q459" s="36"/>
      <c r="R459" s="36"/>
      <c r="S459" s="36"/>
      <c r="T459" s="36"/>
      <c r="U459" s="36"/>
      <c r="V459" s="36"/>
      <c r="W459" s="23"/>
      <c r="X459" s="36"/>
      <c r="Y459" s="36"/>
      <c r="Z459" s="23"/>
      <c r="AA459" s="36"/>
      <c r="AB459" s="36"/>
      <c r="AC459" s="23"/>
      <c r="AD459" s="36"/>
      <c r="AE459" s="36"/>
      <c r="AF459" s="23"/>
    </row>
    <row r="460" spans="1:32" x14ac:dyDescent="0.25">
      <c r="A460" s="23"/>
      <c r="B460" s="23"/>
      <c r="C460" s="36"/>
      <c r="D460" s="36"/>
      <c r="E460" s="23"/>
      <c r="F460" s="36"/>
      <c r="G460" s="36"/>
      <c r="H460" s="23"/>
      <c r="I460" s="36"/>
      <c r="J460" s="36"/>
      <c r="K460" s="23"/>
      <c r="L460" s="36"/>
      <c r="M460" s="36"/>
      <c r="N460" s="23"/>
      <c r="O460" s="36"/>
      <c r="P460" s="36"/>
      <c r="Q460" s="36"/>
      <c r="R460" s="36"/>
      <c r="S460" s="36"/>
      <c r="T460" s="36"/>
      <c r="U460" s="36"/>
      <c r="V460" s="36"/>
      <c r="W460" s="23"/>
      <c r="X460" s="36"/>
      <c r="Y460" s="36"/>
      <c r="Z460" s="23"/>
      <c r="AA460" s="36"/>
      <c r="AB460" s="36"/>
      <c r="AC460" s="23"/>
      <c r="AD460" s="36"/>
      <c r="AE460" s="36"/>
      <c r="AF460" s="23"/>
    </row>
    <row r="461" spans="1:32" x14ac:dyDescent="0.25">
      <c r="A461" s="23"/>
      <c r="B461" s="23"/>
      <c r="C461" s="36"/>
      <c r="D461" s="36"/>
      <c r="E461" s="23"/>
      <c r="F461" s="36"/>
      <c r="G461" s="36"/>
      <c r="H461" s="23"/>
      <c r="I461" s="36"/>
      <c r="J461" s="36"/>
      <c r="K461" s="23"/>
      <c r="L461" s="36"/>
      <c r="M461" s="36"/>
      <c r="N461" s="23"/>
      <c r="O461" s="36"/>
      <c r="P461" s="36"/>
      <c r="Q461" s="36"/>
      <c r="R461" s="36"/>
      <c r="S461" s="36"/>
      <c r="T461" s="36"/>
      <c r="U461" s="36"/>
      <c r="V461" s="36"/>
      <c r="W461" s="23"/>
      <c r="X461" s="36"/>
      <c r="Y461" s="36"/>
      <c r="Z461" s="23"/>
      <c r="AA461" s="36"/>
      <c r="AB461" s="36"/>
      <c r="AC461" s="23"/>
      <c r="AD461" s="36"/>
      <c r="AE461" s="36"/>
      <c r="AF461" s="23"/>
    </row>
    <row r="462" spans="1:32" x14ac:dyDescent="0.25">
      <c r="A462" s="23"/>
      <c r="B462" s="23"/>
      <c r="C462" s="36"/>
      <c r="D462" s="36"/>
      <c r="E462" s="23"/>
      <c r="F462" s="36"/>
      <c r="G462" s="36"/>
      <c r="H462" s="23"/>
      <c r="I462" s="36"/>
      <c r="J462" s="36"/>
      <c r="K462" s="23"/>
      <c r="L462" s="36"/>
      <c r="M462" s="36"/>
      <c r="N462" s="23"/>
      <c r="O462" s="36"/>
      <c r="P462" s="36"/>
      <c r="Q462" s="36"/>
      <c r="R462" s="36"/>
      <c r="S462" s="36"/>
      <c r="T462" s="36"/>
      <c r="U462" s="36"/>
      <c r="V462" s="36"/>
      <c r="W462" s="23"/>
      <c r="X462" s="36"/>
      <c r="Y462" s="36"/>
      <c r="Z462" s="23"/>
      <c r="AA462" s="36"/>
      <c r="AB462" s="36"/>
      <c r="AC462" s="23"/>
      <c r="AD462" s="36"/>
      <c r="AE462" s="36"/>
      <c r="AF462" s="23"/>
    </row>
    <row r="463" spans="1:32" x14ac:dyDescent="0.25">
      <c r="A463" s="23"/>
      <c r="B463" s="23"/>
      <c r="C463" s="36"/>
      <c r="D463" s="36"/>
      <c r="E463" s="23"/>
      <c r="F463" s="36"/>
      <c r="G463" s="36"/>
      <c r="H463" s="23"/>
      <c r="I463" s="36"/>
      <c r="J463" s="36"/>
      <c r="K463" s="23"/>
      <c r="L463" s="36"/>
      <c r="M463" s="36"/>
      <c r="N463" s="23"/>
      <c r="O463" s="36"/>
      <c r="P463" s="36"/>
      <c r="Q463" s="36"/>
      <c r="R463" s="36"/>
      <c r="S463" s="36"/>
      <c r="T463" s="36"/>
      <c r="U463" s="36"/>
      <c r="V463" s="36"/>
      <c r="W463" s="23"/>
      <c r="X463" s="36"/>
      <c r="Y463" s="36"/>
      <c r="Z463" s="23"/>
      <c r="AA463" s="36"/>
      <c r="AB463" s="36"/>
      <c r="AC463" s="23"/>
      <c r="AD463" s="36"/>
      <c r="AE463" s="36"/>
      <c r="AF463" s="23"/>
    </row>
    <row r="464" spans="1:32" x14ac:dyDescent="0.25">
      <c r="A464" s="23"/>
      <c r="B464" s="23"/>
      <c r="C464" s="36"/>
      <c r="D464" s="36"/>
      <c r="E464" s="23"/>
      <c r="F464" s="36"/>
      <c r="G464" s="36"/>
      <c r="H464" s="23"/>
      <c r="I464" s="36"/>
      <c r="J464" s="36"/>
      <c r="K464" s="23"/>
      <c r="L464" s="36"/>
      <c r="M464" s="36"/>
      <c r="N464" s="23"/>
      <c r="O464" s="36"/>
      <c r="P464" s="36"/>
      <c r="Q464" s="36"/>
      <c r="R464" s="36"/>
      <c r="S464" s="36"/>
      <c r="T464" s="36"/>
      <c r="U464" s="36"/>
      <c r="V464" s="36"/>
      <c r="W464" s="23"/>
      <c r="X464" s="36"/>
      <c r="Y464" s="36"/>
      <c r="Z464" s="23"/>
      <c r="AA464" s="36"/>
      <c r="AB464" s="36"/>
      <c r="AC464" s="23"/>
      <c r="AD464" s="36"/>
      <c r="AE464" s="36"/>
      <c r="AF464" s="23"/>
    </row>
    <row r="465" spans="1:32" x14ac:dyDescent="0.25">
      <c r="A465" s="23"/>
      <c r="B465" s="23"/>
      <c r="C465" s="36"/>
      <c r="D465" s="36"/>
      <c r="E465" s="23"/>
      <c r="F465" s="36"/>
      <c r="G465" s="36"/>
      <c r="H465" s="23"/>
      <c r="I465" s="36"/>
      <c r="J465" s="36"/>
      <c r="K465" s="23"/>
      <c r="L465" s="36"/>
      <c r="M465" s="36"/>
      <c r="N465" s="23"/>
      <c r="O465" s="36"/>
      <c r="P465" s="36"/>
      <c r="Q465" s="36"/>
      <c r="R465" s="36"/>
      <c r="S465" s="36"/>
      <c r="T465" s="36"/>
      <c r="U465" s="36"/>
      <c r="V465" s="36"/>
      <c r="W465" s="23"/>
      <c r="X465" s="36"/>
      <c r="Y465" s="36"/>
      <c r="Z465" s="23"/>
      <c r="AA465" s="36"/>
      <c r="AB465" s="36"/>
      <c r="AC465" s="23"/>
      <c r="AD465" s="36"/>
      <c r="AE465" s="36"/>
      <c r="AF465" s="23"/>
    </row>
    <row r="466" spans="1:32" x14ac:dyDescent="0.25">
      <c r="A466" s="23"/>
      <c r="B466" s="23"/>
      <c r="C466" s="36"/>
      <c r="D466" s="36"/>
      <c r="E466" s="23"/>
      <c r="F466" s="36"/>
      <c r="G466" s="36"/>
      <c r="H466" s="23"/>
      <c r="I466" s="36"/>
      <c r="J466" s="36"/>
      <c r="K466" s="23"/>
      <c r="L466" s="36"/>
      <c r="M466" s="36"/>
      <c r="N466" s="23"/>
      <c r="O466" s="36"/>
      <c r="P466" s="36"/>
      <c r="Q466" s="36"/>
      <c r="R466" s="36"/>
      <c r="S466" s="36"/>
      <c r="T466" s="36"/>
      <c r="U466" s="36"/>
      <c r="V466" s="36"/>
      <c r="W466" s="23"/>
      <c r="X466" s="36"/>
      <c r="Y466" s="36"/>
      <c r="Z466" s="23"/>
      <c r="AA466" s="36"/>
      <c r="AB466" s="36"/>
      <c r="AC466" s="23"/>
      <c r="AD466" s="36"/>
      <c r="AE466" s="36"/>
      <c r="AF466" s="23"/>
    </row>
    <row r="467" spans="1:32" x14ac:dyDescent="0.25">
      <c r="A467" s="23"/>
      <c r="B467" s="23"/>
      <c r="C467" s="36"/>
      <c r="D467" s="36"/>
      <c r="E467" s="23"/>
      <c r="F467" s="36"/>
      <c r="G467" s="36"/>
      <c r="H467" s="23"/>
      <c r="I467" s="36"/>
      <c r="J467" s="36"/>
      <c r="K467" s="23"/>
      <c r="L467" s="36"/>
      <c r="M467" s="36"/>
      <c r="N467" s="23"/>
      <c r="O467" s="36"/>
      <c r="P467" s="36"/>
      <c r="Q467" s="36"/>
      <c r="R467" s="36"/>
      <c r="S467" s="36"/>
      <c r="T467" s="36"/>
      <c r="U467" s="36"/>
      <c r="V467" s="36"/>
      <c r="W467" s="23"/>
      <c r="X467" s="36"/>
      <c r="Y467" s="36"/>
      <c r="Z467" s="23"/>
      <c r="AA467" s="36"/>
      <c r="AB467" s="36"/>
      <c r="AC467" s="23"/>
      <c r="AD467" s="36"/>
      <c r="AE467" s="36"/>
      <c r="AF467" s="23"/>
    </row>
    <row r="468" spans="1:32" x14ac:dyDescent="0.25">
      <c r="A468" s="23"/>
      <c r="B468" s="23"/>
      <c r="C468" s="36"/>
      <c r="D468" s="36"/>
      <c r="E468" s="23"/>
      <c r="F468" s="36"/>
      <c r="G468" s="36"/>
      <c r="H468" s="23"/>
      <c r="I468" s="36"/>
      <c r="J468" s="36"/>
      <c r="K468" s="23"/>
      <c r="L468" s="36"/>
      <c r="M468" s="36"/>
      <c r="N468" s="23"/>
      <c r="O468" s="36"/>
      <c r="P468" s="36"/>
      <c r="Q468" s="36"/>
      <c r="R468" s="36"/>
      <c r="S468" s="36"/>
      <c r="T468" s="36"/>
      <c r="U468" s="36"/>
      <c r="V468" s="36"/>
      <c r="W468" s="23"/>
      <c r="X468" s="36"/>
      <c r="Y468" s="36"/>
      <c r="Z468" s="23"/>
      <c r="AA468" s="36"/>
      <c r="AB468" s="36"/>
      <c r="AC468" s="23"/>
      <c r="AD468" s="36"/>
      <c r="AE468" s="36"/>
      <c r="AF468" s="23"/>
    </row>
    <row r="469" spans="1:32" x14ac:dyDescent="0.25">
      <c r="A469" s="23"/>
      <c r="B469" s="23"/>
      <c r="C469" s="36"/>
      <c r="D469" s="36"/>
      <c r="E469" s="23"/>
      <c r="F469" s="36"/>
      <c r="G469" s="36"/>
      <c r="H469" s="23"/>
      <c r="I469" s="36"/>
      <c r="J469" s="36"/>
      <c r="K469" s="23"/>
      <c r="L469" s="36"/>
      <c r="M469" s="36"/>
      <c r="N469" s="23"/>
      <c r="O469" s="36"/>
      <c r="P469" s="36"/>
      <c r="Q469" s="36"/>
      <c r="R469" s="36"/>
      <c r="S469" s="36"/>
      <c r="T469" s="36"/>
      <c r="U469" s="36"/>
      <c r="V469" s="36"/>
      <c r="W469" s="23"/>
      <c r="X469" s="36"/>
      <c r="Y469" s="36"/>
      <c r="Z469" s="23"/>
      <c r="AA469" s="36"/>
      <c r="AB469" s="36"/>
      <c r="AC469" s="23"/>
      <c r="AD469" s="36"/>
      <c r="AE469" s="36"/>
      <c r="AF469" s="23"/>
    </row>
    <row r="470" spans="1:32" x14ac:dyDescent="0.25">
      <c r="A470" s="23"/>
      <c r="B470" s="23"/>
      <c r="C470" s="36"/>
      <c r="D470" s="36"/>
      <c r="E470" s="23"/>
      <c r="F470" s="36"/>
      <c r="G470" s="36"/>
      <c r="H470" s="23"/>
      <c r="I470" s="36"/>
      <c r="J470" s="36"/>
      <c r="K470" s="23"/>
      <c r="L470" s="36"/>
      <c r="M470" s="36"/>
      <c r="N470" s="23"/>
      <c r="O470" s="36"/>
      <c r="P470" s="36"/>
      <c r="Q470" s="36"/>
      <c r="R470" s="36"/>
      <c r="S470" s="36"/>
      <c r="T470" s="36"/>
      <c r="U470" s="36"/>
      <c r="V470" s="36"/>
      <c r="W470" s="23"/>
      <c r="X470" s="36"/>
      <c r="Y470" s="36"/>
      <c r="Z470" s="23"/>
      <c r="AA470" s="36"/>
      <c r="AB470" s="36"/>
      <c r="AC470" s="23"/>
      <c r="AD470" s="36"/>
      <c r="AE470" s="36"/>
      <c r="AF470" s="23"/>
    </row>
    <row r="471" spans="1:32" x14ac:dyDescent="0.25">
      <c r="A471" s="23"/>
      <c r="B471" s="23"/>
      <c r="C471" s="36"/>
      <c r="D471" s="36"/>
      <c r="E471" s="23"/>
      <c r="F471" s="36"/>
      <c r="G471" s="36"/>
      <c r="H471" s="23"/>
      <c r="I471" s="36"/>
      <c r="J471" s="36"/>
      <c r="K471" s="23"/>
      <c r="L471" s="36"/>
      <c r="M471" s="36"/>
      <c r="N471" s="23"/>
      <c r="O471" s="36"/>
      <c r="P471" s="36"/>
      <c r="Q471" s="36"/>
      <c r="R471" s="36"/>
      <c r="S471" s="36"/>
      <c r="T471" s="36"/>
      <c r="U471" s="36"/>
      <c r="V471" s="36"/>
      <c r="W471" s="23"/>
      <c r="X471" s="36"/>
      <c r="Y471" s="36"/>
      <c r="Z471" s="23"/>
      <c r="AA471" s="36"/>
      <c r="AB471" s="36"/>
      <c r="AC471" s="23"/>
      <c r="AD471" s="36"/>
      <c r="AE471" s="36"/>
      <c r="AF471" s="23"/>
    </row>
    <row r="472" spans="1:32" x14ac:dyDescent="0.25">
      <c r="A472" s="23"/>
      <c r="B472" s="23"/>
      <c r="C472" s="36"/>
      <c r="D472" s="36"/>
      <c r="E472" s="23"/>
      <c r="F472" s="36"/>
      <c r="G472" s="36"/>
      <c r="H472" s="23"/>
      <c r="I472" s="36"/>
      <c r="J472" s="36"/>
      <c r="K472" s="23"/>
      <c r="L472" s="36"/>
      <c r="M472" s="36"/>
      <c r="N472" s="23"/>
      <c r="O472" s="36"/>
      <c r="P472" s="36"/>
      <c r="Q472" s="36"/>
      <c r="R472" s="36"/>
      <c r="S472" s="36"/>
      <c r="T472" s="36"/>
      <c r="U472" s="36"/>
      <c r="V472" s="36"/>
      <c r="W472" s="23"/>
      <c r="X472" s="36"/>
      <c r="Y472" s="36"/>
      <c r="Z472" s="23"/>
      <c r="AA472" s="36"/>
      <c r="AB472" s="36"/>
      <c r="AC472" s="23"/>
      <c r="AD472" s="36"/>
      <c r="AE472" s="36"/>
      <c r="AF472" s="23"/>
    </row>
    <row r="473" spans="1:32" x14ac:dyDescent="0.25">
      <c r="A473" s="23"/>
      <c r="B473" s="23"/>
      <c r="C473" s="36"/>
      <c r="D473" s="36"/>
      <c r="E473" s="23"/>
      <c r="F473" s="36"/>
      <c r="G473" s="36"/>
      <c r="H473" s="23"/>
      <c r="I473" s="36"/>
      <c r="J473" s="36"/>
      <c r="K473" s="23"/>
      <c r="L473" s="36"/>
      <c r="M473" s="36"/>
      <c r="N473" s="23"/>
      <c r="O473" s="36"/>
      <c r="P473" s="36"/>
      <c r="Q473" s="36"/>
      <c r="R473" s="36"/>
      <c r="S473" s="36"/>
      <c r="T473" s="36"/>
      <c r="U473" s="36"/>
      <c r="V473" s="36"/>
      <c r="W473" s="23"/>
      <c r="X473" s="36"/>
      <c r="Y473" s="36"/>
      <c r="Z473" s="23"/>
      <c r="AA473" s="36"/>
      <c r="AB473" s="36"/>
      <c r="AC473" s="23"/>
      <c r="AD473" s="36"/>
      <c r="AE473" s="36"/>
      <c r="AF473" s="23"/>
    </row>
    <row r="474" spans="1:32" x14ac:dyDescent="0.25">
      <c r="A474" s="23"/>
      <c r="B474" s="23"/>
      <c r="C474" s="36"/>
      <c r="D474" s="36"/>
      <c r="E474" s="23"/>
      <c r="F474" s="36"/>
      <c r="G474" s="36"/>
      <c r="H474" s="23"/>
      <c r="I474" s="36"/>
      <c r="J474" s="36"/>
      <c r="K474" s="23"/>
      <c r="L474" s="36"/>
      <c r="M474" s="36"/>
      <c r="N474" s="23"/>
      <c r="O474" s="36"/>
      <c r="P474" s="36"/>
      <c r="Q474" s="36"/>
      <c r="R474" s="36"/>
      <c r="S474" s="36"/>
      <c r="T474" s="36"/>
      <c r="U474" s="36"/>
      <c r="V474" s="36"/>
      <c r="W474" s="23"/>
      <c r="X474" s="36"/>
      <c r="Y474" s="36"/>
      <c r="Z474" s="23"/>
      <c r="AA474" s="36"/>
      <c r="AB474" s="36"/>
      <c r="AC474" s="23"/>
      <c r="AD474" s="36"/>
      <c r="AE474" s="36"/>
      <c r="AF474" s="23"/>
    </row>
    <row r="475" spans="1:32" x14ac:dyDescent="0.25">
      <c r="A475" s="23"/>
      <c r="B475" s="23"/>
      <c r="C475" s="36"/>
      <c r="D475" s="36"/>
      <c r="E475" s="23"/>
      <c r="F475" s="36"/>
      <c r="G475" s="36"/>
      <c r="H475" s="23"/>
      <c r="I475" s="36"/>
      <c r="J475" s="36"/>
      <c r="K475" s="23"/>
      <c r="L475" s="36"/>
      <c r="M475" s="36"/>
      <c r="N475" s="23"/>
      <c r="O475" s="36"/>
      <c r="P475" s="36"/>
      <c r="Q475" s="36"/>
      <c r="R475" s="36"/>
      <c r="S475" s="36"/>
      <c r="T475" s="36"/>
      <c r="U475" s="36"/>
      <c r="V475" s="36"/>
      <c r="W475" s="23"/>
      <c r="X475" s="36"/>
      <c r="Y475" s="36"/>
      <c r="Z475" s="23"/>
      <c r="AA475" s="36"/>
      <c r="AB475" s="36"/>
      <c r="AC475" s="23"/>
      <c r="AD475" s="36"/>
      <c r="AE475" s="36"/>
      <c r="AF475" s="23"/>
    </row>
    <row r="476" spans="1:32" x14ac:dyDescent="0.25">
      <c r="A476" s="23"/>
      <c r="B476" s="23"/>
      <c r="C476" s="36"/>
      <c r="D476" s="36"/>
      <c r="E476" s="23"/>
      <c r="F476" s="36"/>
      <c r="G476" s="36"/>
      <c r="H476" s="23"/>
      <c r="I476" s="36"/>
      <c r="J476" s="36"/>
      <c r="K476" s="23"/>
      <c r="L476" s="36"/>
      <c r="M476" s="36"/>
      <c r="N476" s="23"/>
      <c r="O476" s="36"/>
      <c r="P476" s="36"/>
      <c r="Q476" s="36"/>
      <c r="R476" s="36"/>
      <c r="S476" s="36"/>
      <c r="T476" s="36"/>
      <c r="U476" s="36"/>
      <c r="V476" s="36"/>
      <c r="W476" s="23"/>
      <c r="X476" s="36"/>
      <c r="Y476" s="36"/>
      <c r="Z476" s="23"/>
      <c r="AA476" s="36"/>
      <c r="AB476" s="36"/>
      <c r="AC476" s="23"/>
      <c r="AD476" s="36"/>
      <c r="AE476" s="36"/>
      <c r="AF476" s="23"/>
    </row>
    <row r="477" spans="1:32" x14ac:dyDescent="0.25">
      <c r="A477" s="23"/>
      <c r="B477" s="23"/>
      <c r="C477" s="36"/>
      <c r="D477" s="36"/>
      <c r="E477" s="23"/>
      <c r="F477" s="36"/>
      <c r="G477" s="36"/>
      <c r="H477" s="23"/>
      <c r="I477" s="36"/>
      <c r="J477" s="36"/>
      <c r="K477" s="23"/>
      <c r="L477" s="36"/>
      <c r="M477" s="36"/>
      <c r="N477" s="23"/>
      <c r="O477" s="36"/>
      <c r="P477" s="36"/>
      <c r="Q477" s="36"/>
      <c r="R477" s="36"/>
      <c r="S477" s="36"/>
      <c r="T477" s="36"/>
      <c r="U477" s="36"/>
      <c r="V477" s="36"/>
      <c r="W477" s="23"/>
      <c r="X477" s="36"/>
      <c r="Y477" s="36"/>
      <c r="Z477" s="23"/>
      <c r="AA477" s="36"/>
      <c r="AB477" s="36"/>
      <c r="AC477" s="23"/>
      <c r="AD477" s="36"/>
      <c r="AE477" s="36"/>
      <c r="AF477" s="23"/>
    </row>
    <row r="478" spans="1:32" x14ac:dyDescent="0.25">
      <c r="A478" s="23"/>
      <c r="B478" s="23"/>
      <c r="C478" s="36"/>
      <c r="D478" s="36"/>
      <c r="E478" s="23"/>
      <c r="F478" s="36"/>
      <c r="G478" s="36"/>
      <c r="H478" s="23"/>
      <c r="I478" s="36"/>
      <c r="J478" s="36"/>
      <c r="K478" s="23"/>
      <c r="L478" s="36"/>
      <c r="M478" s="36"/>
      <c r="N478" s="23"/>
      <c r="O478" s="36"/>
      <c r="P478" s="36"/>
      <c r="Q478" s="36"/>
      <c r="R478" s="36"/>
      <c r="S478" s="36"/>
      <c r="T478" s="36"/>
      <c r="U478" s="36"/>
      <c r="V478" s="36"/>
      <c r="W478" s="23"/>
      <c r="X478" s="36"/>
      <c r="Y478" s="36"/>
      <c r="Z478" s="23"/>
      <c r="AA478" s="36"/>
      <c r="AB478" s="36"/>
      <c r="AC478" s="23"/>
      <c r="AD478" s="36"/>
      <c r="AE478" s="36"/>
      <c r="AF478" s="23"/>
    </row>
    <row r="479" spans="1:32" x14ac:dyDescent="0.25">
      <c r="A479" s="23"/>
      <c r="B479" s="23"/>
      <c r="C479" s="36"/>
      <c r="D479" s="36"/>
      <c r="E479" s="23"/>
      <c r="F479" s="36"/>
      <c r="G479" s="36"/>
      <c r="H479" s="23"/>
      <c r="I479" s="36"/>
      <c r="J479" s="36"/>
      <c r="K479" s="23"/>
      <c r="L479" s="36"/>
      <c r="M479" s="36"/>
      <c r="N479" s="23"/>
      <c r="O479" s="36"/>
      <c r="P479" s="36"/>
      <c r="Q479" s="36"/>
      <c r="R479" s="36"/>
      <c r="S479" s="36"/>
      <c r="T479" s="36"/>
      <c r="U479" s="36"/>
      <c r="V479" s="36"/>
      <c r="W479" s="23"/>
      <c r="X479" s="36"/>
      <c r="Y479" s="36"/>
      <c r="Z479" s="23"/>
      <c r="AA479" s="36"/>
      <c r="AB479" s="36"/>
      <c r="AC479" s="23"/>
      <c r="AD479" s="36"/>
      <c r="AE479" s="36"/>
      <c r="AF479" s="23"/>
    </row>
    <row r="480" spans="1:32" x14ac:dyDescent="0.25">
      <c r="A480" s="23"/>
      <c r="B480" s="23"/>
      <c r="C480" s="36"/>
      <c r="D480" s="36"/>
      <c r="E480" s="23"/>
      <c r="F480" s="36"/>
      <c r="G480" s="36"/>
      <c r="H480" s="23"/>
      <c r="I480" s="36"/>
      <c r="J480" s="36"/>
      <c r="K480" s="23"/>
      <c r="L480" s="36"/>
      <c r="M480" s="36"/>
      <c r="N480" s="23"/>
      <c r="O480" s="36"/>
      <c r="P480" s="36"/>
      <c r="Q480" s="36"/>
      <c r="R480" s="36"/>
      <c r="S480" s="36"/>
      <c r="T480" s="36"/>
      <c r="U480" s="36"/>
      <c r="V480" s="36"/>
      <c r="W480" s="23"/>
      <c r="X480" s="36"/>
      <c r="Y480" s="36"/>
      <c r="Z480" s="23"/>
      <c r="AA480" s="36"/>
      <c r="AB480" s="36"/>
      <c r="AC480" s="23"/>
      <c r="AD480" s="36"/>
      <c r="AE480" s="36"/>
      <c r="AF480" s="23"/>
    </row>
    <row r="481" spans="1:32" x14ac:dyDescent="0.25">
      <c r="A481" s="23"/>
      <c r="B481" s="23"/>
      <c r="C481" s="36"/>
      <c r="D481" s="36"/>
      <c r="E481" s="23"/>
      <c r="F481" s="36"/>
      <c r="G481" s="36"/>
      <c r="H481" s="23"/>
      <c r="I481" s="36"/>
      <c r="J481" s="36"/>
      <c r="K481" s="23"/>
      <c r="L481" s="36"/>
      <c r="M481" s="36"/>
      <c r="N481" s="23"/>
      <c r="O481" s="36"/>
      <c r="P481" s="36"/>
      <c r="Q481" s="36"/>
      <c r="R481" s="36"/>
      <c r="S481" s="36"/>
      <c r="T481" s="36"/>
      <c r="U481" s="36"/>
      <c r="V481" s="36"/>
      <c r="W481" s="23"/>
      <c r="X481" s="36"/>
      <c r="Y481" s="36"/>
      <c r="Z481" s="23"/>
      <c r="AA481" s="36"/>
      <c r="AB481" s="36"/>
      <c r="AC481" s="23"/>
      <c r="AD481" s="36"/>
      <c r="AE481" s="36"/>
      <c r="AF481" s="23"/>
    </row>
    <row r="482" spans="1:32" x14ac:dyDescent="0.25">
      <c r="A482" s="23"/>
      <c r="B482" s="23"/>
      <c r="C482" s="36"/>
      <c r="D482" s="36"/>
      <c r="E482" s="23"/>
      <c r="F482" s="36"/>
      <c r="G482" s="36"/>
      <c r="H482" s="23"/>
      <c r="I482" s="36"/>
      <c r="J482" s="36"/>
      <c r="K482" s="23"/>
      <c r="L482" s="36"/>
      <c r="M482" s="36"/>
      <c r="N482" s="23"/>
      <c r="O482" s="36"/>
      <c r="P482" s="36"/>
      <c r="Q482" s="36"/>
      <c r="R482" s="36"/>
      <c r="S482" s="36"/>
      <c r="T482" s="36"/>
      <c r="U482" s="36"/>
      <c r="V482" s="36"/>
      <c r="W482" s="23"/>
      <c r="X482" s="36"/>
      <c r="Y482" s="36"/>
      <c r="Z482" s="23"/>
      <c r="AA482" s="36"/>
      <c r="AB482" s="36"/>
      <c r="AC482" s="23"/>
      <c r="AD482" s="36"/>
      <c r="AE482" s="36"/>
      <c r="AF482" s="23"/>
    </row>
    <row r="483" spans="1:32" x14ac:dyDescent="0.25">
      <c r="A483" s="23"/>
      <c r="B483" s="23"/>
      <c r="C483" s="36"/>
      <c r="D483" s="36"/>
      <c r="E483" s="23"/>
      <c r="F483" s="36"/>
      <c r="G483" s="36"/>
      <c r="H483" s="23"/>
      <c r="I483" s="36"/>
      <c r="J483" s="36"/>
      <c r="K483" s="23"/>
      <c r="L483" s="36"/>
      <c r="M483" s="36"/>
      <c r="N483" s="23"/>
      <c r="O483" s="36"/>
      <c r="P483" s="36"/>
      <c r="Q483" s="36"/>
      <c r="R483" s="36"/>
      <c r="S483" s="36"/>
      <c r="T483" s="36"/>
      <c r="U483" s="36"/>
      <c r="V483" s="36"/>
      <c r="W483" s="23"/>
      <c r="X483" s="36"/>
      <c r="Y483" s="36"/>
      <c r="Z483" s="23"/>
      <c r="AA483" s="36"/>
      <c r="AB483" s="36"/>
      <c r="AC483" s="23"/>
      <c r="AD483" s="36"/>
      <c r="AE483" s="36"/>
      <c r="AF483" s="23"/>
    </row>
    <row r="484" spans="1:32" x14ac:dyDescent="0.25">
      <c r="A484" s="23"/>
      <c r="B484" s="23"/>
      <c r="C484" s="36"/>
      <c r="D484" s="36"/>
      <c r="E484" s="23"/>
      <c r="F484" s="36"/>
      <c r="G484" s="36"/>
      <c r="H484" s="23"/>
      <c r="I484" s="36"/>
      <c r="J484" s="36"/>
      <c r="K484" s="23"/>
      <c r="L484" s="36"/>
      <c r="M484" s="36"/>
      <c r="N484" s="23"/>
      <c r="O484" s="36"/>
      <c r="P484" s="36"/>
      <c r="Q484" s="36"/>
      <c r="R484" s="36"/>
      <c r="S484" s="36"/>
      <c r="T484" s="36"/>
      <c r="U484" s="36"/>
      <c r="V484" s="36"/>
      <c r="W484" s="23"/>
      <c r="X484" s="36"/>
      <c r="Y484" s="36"/>
      <c r="Z484" s="23"/>
      <c r="AA484" s="36"/>
      <c r="AB484" s="36"/>
      <c r="AC484" s="23"/>
      <c r="AD484" s="36"/>
      <c r="AE484" s="36"/>
      <c r="AF484" s="23"/>
    </row>
    <row r="485" spans="1:32" x14ac:dyDescent="0.25">
      <c r="A485" s="23"/>
      <c r="B485" s="23"/>
      <c r="C485" s="36"/>
      <c r="D485" s="36"/>
      <c r="E485" s="23"/>
      <c r="F485" s="36"/>
      <c r="G485" s="36"/>
      <c r="H485" s="23"/>
      <c r="I485" s="36"/>
      <c r="J485" s="36"/>
      <c r="K485" s="23"/>
      <c r="L485" s="36"/>
      <c r="M485" s="36"/>
      <c r="N485" s="23"/>
      <c r="O485" s="36"/>
      <c r="P485" s="36"/>
      <c r="Q485" s="36"/>
      <c r="R485" s="36"/>
      <c r="S485" s="36"/>
      <c r="T485" s="36"/>
      <c r="U485" s="36"/>
      <c r="V485" s="36"/>
      <c r="W485" s="23"/>
      <c r="X485" s="36"/>
      <c r="Y485" s="36"/>
      <c r="Z485" s="23"/>
      <c r="AA485" s="36"/>
      <c r="AB485" s="36"/>
      <c r="AC485" s="23"/>
      <c r="AD485" s="36"/>
      <c r="AE485" s="36"/>
      <c r="AF485" s="23"/>
    </row>
    <row r="486" spans="1:32" x14ac:dyDescent="0.25">
      <c r="A486" s="23"/>
      <c r="B486" s="23"/>
      <c r="C486" s="36"/>
      <c r="D486" s="36"/>
      <c r="E486" s="23"/>
      <c r="F486" s="36"/>
      <c r="G486" s="36"/>
      <c r="H486" s="23"/>
      <c r="I486" s="36"/>
      <c r="J486" s="36"/>
      <c r="K486" s="23"/>
      <c r="L486" s="36"/>
      <c r="M486" s="36"/>
      <c r="N486" s="23"/>
      <c r="O486" s="36"/>
      <c r="P486" s="36"/>
      <c r="Q486" s="36"/>
      <c r="R486" s="36"/>
      <c r="S486" s="36"/>
      <c r="T486" s="36"/>
      <c r="U486" s="36"/>
      <c r="V486" s="36"/>
      <c r="W486" s="23"/>
      <c r="X486" s="36"/>
      <c r="Y486" s="36"/>
      <c r="Z486" s="23"/>
      <c r="AA486" s="36"/>
      <c r="AB486" s="36"/>
      <c r="AC486" s="23"/>
      <c r="AD486" s="36"/>
      <c r="AE486" s="36"/>
      <c r="AF486" s="23"/>
    </row>
    <row r="487" spans="1:32" x14ac:dyDescent="0.25">
      <c r="A487" s="23"/>
      <c r="B487" s="23"/>
      <c r="C487" s="36"/>
      <c r="D487" s="36"/>
      <c r="E487" s="23"/>
      <c r="F487" s="36"/>
      <c r="G487" s="36"/>
      <c r="H487" s="23"/>
      <c r="I487" s="36"/>
      <c r="J487" s="36"/>
      <c r="K487" s="23"/>
      <c r="L487" s="36"/>
      <c r="M487" s="36"/>
      <c r="N487" s="23"/>
      <c r="O487" s="36"/>
      <c r="P487" s="36"/>
      <c r="Q487" s="36"/>
      <c r="R487" s="36"/>
      <c r="S487" s="36"/>
      <c r="T487" s="36"/>
      <c r="U487" s="36"/>
      <c r="V487" s="36"/>
      <c r="W487" s="23"/>
      <c r="X487" s="36"/>
      <c r="Y487" s="36"/>
      <c r="Z487" s="23"/>
      <c r="AA487" s="36"/>
      <c r="AB487" s="36"/>
      <c r="AC487" s="23"/>
      <c r="AD487" s="36"/>
      <c r="AE487" s="36"/>
      <c r="AF487" s="23"/>
    </row>
    <row r="488" spans="1:32" x14ac:dyDescent="0.25">
      <c r="A488" s="23"/>
      <c r="B488" s="23"/>
      <c r="C488" s="36"/>
      <c r="D488" s="36"/>
      <c r="E488" s="23"/>
      <c r="F488" s="36"/>
      <c r="G488" s="36"/>
      <c r="H488" s="23"/>
      <c r="I488" s="36"/>
      <c r="J488" s="36"/>
      <c r="K488" s="23"/>
      <c r="L488" s="36"/>
      <c r="M488" s="36"/>
      <c r="N488" s="23"/>
      <c r="O488" s="36"/>
      <c r="P488" s="36"/>
      <c r="Q488" s="36"/>
      <c r="R488" s="36"/>
      <c r="S488" s="36"/>
      <c r="T488" s="36"/>
      <c r="U488" s="36"/>
      <c r="V488" s="36"/>
      <c r="W488" s="23"/>
      <c r="X488" s="36"/>
      <c r="Y488" s="36"/>
      <c r="Z488" s="23"/>
      <c r="AA488" s="36"/>
      <c r="AB488" s="36"/>
      <c r="AC488" s="23"/>
      <c r="AD488" s="36"/>
      <c r="AE488" s="36"/>
      <c r="AF488" s="23"/>
    </row>
    <row r="489" spans="1:32" x14ac:dyDescent="0.25">
      <c r="A489" s="23"/>
      <c r="B489" s="23"/>
      <c r="C489" s="36"/>
      <c r="D489" s="36"/>
      <c r="E489" s="23"/>
      <c r="F489" s="36"/>
      <c r="G489" s="36"/>
      <c r="H489" s="23"/>
      <c r="I489" s="36"/>
      <c r="J489" s="36"/>
      <c r="K489" s="23"/>
      <c r="L489" s="36"/>
      <c r="M489" s="36"/>
      <c r="N489" s="23"/>
      <c r="O489" s="36"/>
      <c r="P489" s="36"/>
      <c r="Q489" s="36"/>
      <c r="R489" s="36"/>
      <c r="S489" s="36"/>
      <c r="T489" s="36"/>
      <c r="U489" s="36"/>
      <c r="V489" s="36"/>
      <c r="W489" s="23"/>
      <c r="X489" s="36"/>
      <c r="Y489" s="36"/>
      <c r="Z489" s="23"/>
      <c r="AA489" s="36"/>
      <c r="AB489" s="36"/>
      <c r="AC489" s="23"/>
      <c r="AD489" s="36"/>
      <c r="AE489" s="36"/>
      <c r="AF489" s="23"/>
    </row>
    <row r="490" spans="1:32" x14ac:dyDescent="0.25">
      <c r="A490" s="23"/>
      <c r="B490" s="23"/>
      <c r="C490" s="36"/>
      <c r="D490" s="36"/>
      <c r="E490" s="23"/>
      <c r="F490" s="36"/>
      <c r="G490" s="36"/>
      <c r="H490" s="23"/>
      <c r="I490" s="36"/>
      <c r="J490" s="36"/>
      <c r="K490" s="23"/>
      <c r="L490" s="36"/>
      <c r="M490" s="36"/>
      <c r="N490" s="23"/>
      <c r="O490" s="36"/>
      <c r="P490" s="36"/>
      <c r="Q490" s="36"/>
      <c r="R490" s="36"/>
      <c r="S490" s="36"/>
      <c r="T490" s="36"/>
      <c r="U490" s="36"/>
      <c r="V490" s="36"/>
      <c r="W490" s="23"/>
      <c r="X490" s="36"/>
      <c r="Y490" s="36"/>
      <c r="Z490" s="23"/>
      <c r="AA490" s="36"/>
      <c r="AB490" s="36"/>
      <c r="AC490" s="23"/>
      <c r="AD490" s="36"/>
      <c r="AE490" s="36"/>
      <c r="AF490" s="23"/>
    </row>
    <row r="491" spans="1:32" x14ac:dyDescent="0.25">
      <c r="A491" s="23"/>
      <c r="B491" s="23"/>
      <c r="C491" s="36"/>
      <c r="D491" s="36"/>
      <c r="E491" s="23"/>
      <c r="F491" s="36"/>
      <c r="G491" s="36"/>
      <c r="H491" s="23"/>
      <c r="I491" s="36"/>
      <c r="J491" s="36"/>
      <c r="K491" s="23"/>
      <c r="L491" s="36"/>
      <c r="M491" s="36"/>
      <c r="N491" s="23"/>
      <c r="O491" s="36"/>
      <c r="P491" s="36"/>
      <c r="Q491" s="36"/>
      <c r="R491" s="36"/>
      <c r="S491" s="36"/>
      <c r="T491" s="36"/>
      <c r="U491" s="36"/>
      <c r="V491" s="36"/>
      <c r="W491" s="23"/>
      <c r="X491" s="36"/>
      <c r="Y491" s="36"/>
      <c r="Z491" s="23"/>
      <c r="AA491" s="36"/>
      <c r="AB491" s="36"/>
      <c r="AC491" s="23"/>
      <c r="AD491" s="36"/>
      <c r="AE491" s="36"/>
      <c r="AF491" s="23"/>
    </row>
    <row r="492" spans="1:32" x14ac:dyDescent="0.25">
      <c r="A492" s="23"/>
      <c r="B492" s="23"/>
      <c r="C492" s="36"/>
      <c r="D492" s="36"/>
      <c r="E492" s="23"/>
      <c r="F492" s="36"/>
      <c r="G492" s="36"/>
      <c r="H492" s="23"/>
      <c r="I492" s="36"/>
      <c r="J492" s="36"/>
      <c r="K492" s="23"/>
      <c r="L492" s="36"/>
      <c r="M492" s="36"/>
      <c r="N492" s="23"/>
      <c r="O492" s="36"/>
      <c r="P492" s="36"/>
      <c r="Q492" s="36"/>
      <c r="R492" s="36"/>
      <c r="S492" s="36"/>
      <c r="T492" s="36"/>
      <c r="U492" s="36"/>
      <c r="V492" s="36"/>
      <c r="W492" s="23"/>
      <c r="X492" s="36"/>
      <c r="Y492" s="36"/>
      <c r="Z492" s="23"/>
      <c r="AA492" s="36"/>
      <c r="AB492" s="36"/>
      <c r="AC492" s="23"/>
      <c r="AD492" s="36"/>
      <c r="AE492" s="36"/>
      <c r="AF492" s="23"/>
    </row>
    <row r="493" spans="1:32" x14ac:dyDescent="0.25">
      <c r="A493" s="23"/>
      <c r="B493" s="23"/>
      <c r="C493" s="36"/>
      <c r="D493" s="36"/>
      <c r="E493" s="23"/>
      <c r="F493" s="36"/>
      <c r="G493" s="36"/>
      <c r="H493" s="23"/>
      <c r="I493" s="36"/>
      <c r="J493" s="36"/>
      <c r="K493" s="23"/>
      <c r="L493" s="36"/>
      <c r="M493" s="36"/>
      <c r="N493" s="23"/>
      <c r="O493" s="36"/>
      <c r="P493" s="36"/>
      <c r="Q493" s="36"/>
      <c r="R493" s="36"/>
      <c r="S493" s="36"/>
      <c r="T493" s="36"/>
      <c r="U493" s="36"/>
      <c r="V493" s="36"/>
      <c r="W493" s="23"/>
      <c r="X493" s="36"/>
      <c r="Y493" s="36"/>
      <c r="Z493" s="23"/>
      <c r="AA493" s="36"/>
      <c r="AB493" s="36"/>
      <c r="AC493" s="23"/>
      <c r="AD493" s="36"/>
      <c r="AE493" s="36"/>
      <c r="AF493" s="23"/>
    </row>
    <row r="494" spans="1:32" x14ac:dyDescent="0.25">
      <c r="A494" s="23"/>
      <c r="B494" s="23"/>
      <c r="C494" s="36"/>
      <c r="D494" s="36"/>
      <c r="E494" s="23"/>
      <c r="F494" s="36"/>
      <c r="G494" s="36"/>
      <c r="H494" s="23"/>
      <c r="I494" s="36"/>
      <c r="J494" s="36"/>
      <c r="K494" s="23"/>
      <c r="L494" s="36"/>
      <c r="M494" s="36"/>
      <c r="N494" s="23"/>
      <c r="O494" s="36"/>
      <c r="P494" s="36"/>
      <c r="Q494" s="36"/>
      <c r="R494" s="36"/>
      <c r="S494" s="36"/>
      <c r="T494" s="36"/>
      <c r="U494" s="36"/>
      <c r="V494" s="36"/>
      <c r="W494" s="23"/>
      <c r="X494" s="36"/>
      <c r="Y494" s="36"/>
      <c r="Z494" s="23"/>
      <c r="AA494" s="36"/>
      <c r="AB494" s="36"/>
      <c r="AC494" s="23"/>
      <c r="AD494" s="36"/>
      <c r="AE494" s="36"/>
      <c r="AF494" s="23"/>
    </row>
    <row r="495" spans="1:32" x14ac:dyDescent="0.25">
      <c r="A495" s="23"/>
      <c r="B495" s="23"/>
      <c r="C495" s="36"/>
      <c r="D495" s="36"/>
      <c r="E495" s="23"/>
      <c r="F495" s="36"/>
      <c r="G495" s="36"/>
      <c r="H495" s="23"/>
      <c r="I495" s="36"/>
      <c r="J495" s="36"/>
      <c r="K495" s="23"/>
      <c r="L495" s="36"/>
      <c r="M495" s="36"/>
      <c r="N495" s="23"/>
      <c r="O495" s="36"/>
      <c r="P495" s="36"/>
      <c r="Q495" s="36"/>
      <c r="R495" s="36"/>
      <c r="S495" s="36"/>
      <c r="T495" s="36"/>
      <c r="U495" s="36"/>
      <c r="V495" s="36"/>
      <c r="W495" s="23"/>
      <c r="X495" s="36"/>
      <c r="Y495" s="36"/>
      <c r="Z495" s="23"/>
      <c r="AA495" s="36"/>
      <c r="AB495" s="36"/>
      <c r="AC495" s="23"/>
      <c r="AD495" s="36"/>
      <c r="AE495" s="36"/>
      <c r="AF495" s="23"/>
    </row>
    <row r="496" spans="1:32" x14ac:dyDescent="0.25">
      <c r="A496" s="23"/>
      <c r="B496" s="23"/>
      <c r="C496" s="36"/>
      <c r="D496" s="36"/>
      <c r="E496" s="23"/>
      <c r="F496" s="36"/>
      <c r="G496" s="36"/>
      <c r="H496" s="23"/>
      <c r="I496" s="36"/>
      <c r="J496" s="36"/>
      <c r="K496" s="23"/>
      <c r="L496" s="36"/>
      <c r="M496" s="36"/>
      <c r="N496" s="23"/>
      <c r="O496" s="36"/>
      <c r="P496" s="36"/>
      <c r="Q496" s="36"/>
      <c r="R496" s="36"/>
      <c r="S496" s="36"/>
      <c r="T496" s="36"/>
      <c r="U496" s="36"/>
      <c r="V496" s="36"/>
      <c r="W496" s="23"/>
      <c r="X496" s="36"/>
      <c r="Y496" s="36"/>
      <c r="Z496" s="23"/>
      <c r="AA496" s="36"/>
      <c r="AB496" s="36"/>
      <c r="AC496" s="23"/>
      <c r="AD496" s="36"/>
      <c r="AE496" s="36"/>
      <c r="AF496" s="23"/>
    </row>
    <row r="497" spans="1:32" x14ac:dyDescent="0.25">
      <c r="A497" s="23"/>
      <c r="B497" s="23"/>
      <c r="C497" s="36"/>
      <c r="D497" s="36"/>
      <c r="E497" s="23"/>
      <c r="F497" s="36"/>
      <c r="G497" s="36"/>
      <c r="H497" s="23"/>
      <c r="I497" s="36"/>
      <c r="J497" s="36"/>
      <c r="K497" s="23"/>
      <c r="L497" s="36"/>
      <c r="M497" s="36"/>
      <c r="N497" s="23"/>
      <c r="O497" s="36"/>
      <c r="P497" s="36"/>
      <c r="Q497" s="36"/>
      <c r="R497" s="36"/>
      <c r="S497" s="36"/>
      <c r="T497" s="36"/>
      <c r="U497" s="36"/>
      <c r="V497" s="36"/>
      <c r="W497" s="23"/>
      <c r="X497" s="36"/>
      <c r="Y497" s="36"/>
      <c r="Z497" s="23"/>
      <c r="AA497" s="36"/>
      <c r="AB497" s="36"/>
      <c r="AC497" s="23"/>
      <c r="AD497" s="36"/>
      <c r="AE497" s="36"/>
      <c r="AF497" s="23"/>
    </row>
    <row r="498" spans="1:32" x14ac:dyDescent="0.25">
      <c r="A498" s="23"/>
      <c r="B498" s="23"/>
      <c r="C498" s="36"/>
      <c r="D498" s="36"/>
      <c r="E498" s="23"/>
      <c r="F498" s="36"/>
      <c r="G498" s="36"/>
      <c r="H498" s="23"/>
      <c r="I498" s="36"/>
      <c r="J498" s="36"/>
      <c r="K498" s="23"/>
      <c r="L498" s="36"/>
      <c r="M498" s="36"/>
      <c r="N498" s="23"/>
      <c r="O498" s="36"/>
      <c r="P498" s="36"/>
      <c r="Q498" s="36"/>
      <c r="R498" s="36"/>
      <c r="S498" s="36"/>
      <c r="T498" s="36"/>
      <c r="U498" s="36"/>
      <c r="V498" s="36"/>
      <c r="W498" s="23"/>
      <c r="X498" s="36"/>
      <c r="Y498" s="36"/>
      <c r="Z498" s="23"/>
      <c r="AA498" s="36"/>
      <c r="AB498" s="36"/>
      <c r="AC498" s="23"/>
      <c r="AD498" s="36"/>
      <c r="AE498" s="36"/>
      <c r="AF498" s="23"/>
    </row>
    <row r="499" spans="1:32" x14ac:dyDescent="0.25">
      <c r="A499" s="23"/>
      <c r="B499" s="23"/>
      <c r="C499" s="36"/>
      <c r="D499" s="36"/>
      <c r="E499" s="23"/>
      <c r="F499" s="36"/>
      <c r="G499" s="36"/>
      <c r="H499" s="23"/>
      <c r="I499" s="36"/>
      <c r="J499" s="36"/>
      <c r="K499" s="23"/>
      <c r="L499" s="36"/>
      <c r="M499" s="36"/>
      <c r="N499" s="23"/>
      <c r="O499" s="36"/>
      <c r="P499" s="36"/>
      <c r="Q499" s="36"/>
      <c r="R499" s="36"/>
      <c r="S499" s="36"/>
      <c r="T499" s="36"/>
      <c r="U499" s="36"/>
      <c r="V499" s="36"/>
      <c r="W499" s="23"/>
      <c r="X499" s="36"/>
      <c r="Y499" s="36"/>
      <c r="Z499" s="23"/>
      <c r="AA499" s="36"/>
      <c r="AB499" s="36"/>
      <c r="AC499" s="23"/>
      <c r="AD499" s="36"/>
      <c r="AE499" s="36"/>
      <c r="AF499" s="23"/>
    </row>
    <row r="500" spans="1:32" x14ac:dyDescent="0.25">
      <c r="A500" s="23"/>
      <c r="B500" s="23"/>
      <c r="C500" s="36"/>
      <c r="D500" s="36"/>
      <c r="E500" s="23"/>
      <c r="F500" s="36"/>
      <c r="G500" s="36"/>
      <c r="H500" s="23"/>
      <c r="I500" s="36"/>
      <c r="J500" s="36"/>
      <c r="K500" s="23"/>
      <c r="L500" s="36"/>
      <c r="M500" s="36"/>
      <c r="N500" s="23"/>
      <c r="O500" s="36"/>
      <c r="P500" s="36"/>
      <c r="Q500" s="36"/>
      <c r="R500" s="36"/>
      <c r="S500" s="36"/>
      <c r="T500" s="36"/>
      <c r="U500" s="36"/>
      <c r="V500" s="36"/>
      <c r="W500" s="23"/>
      <c r="X500" s="36"/>
      <c r="Y500" s="36"/>
      <c r="Z500" s="23"/>
      <c r="AA500" s="36"/>
      <c r="AB500" s="36"/>
      <c r="AC500" s="23"/>
      <c r="AD500" s="36"/>
      <c r="AE500" s="36"/>
      <c r="AF500" s="23"/>
    </row>
    <row r="501" spans="1:32" x14ac:dyDescent="0.25">
      <c r="A501" s="23"/>
      <c r="B501" s="23"/>
      <c r="C501" s="36"/>
      <c r="D501" s="36"/>
      <c r="E501" s="23"/>
      <c r="F501" s="36"/>
      <c r="G501" s="36"/>
      <c r="H501" s="23"/>
      <c r="I501" s="36"/>
      <c r="J501" s="36"/>
      <c r="K501" s="23"/>
      <c r="L501" s="36"/>
      <c r="M501" s="36"/>
      <c r="N501" s="23"/>
      <c r="O501" s="36"/>
      <c r="P501" s="36"/>
      <c r="Q501" s="36"/>
      <c r="R501" s="36"/>
      <c r="S501" s="36"/>
      <c r="T501" s="36"/>
      <c r="U501" s="36"/>
      <c r="V501" s="36"/>
      <c r="W501" s="23"/>
      <c r="X501" s="36"/>
      <c r="Y501" s="36"/>
      <c r="Z501" s="23"/>
      <c r="AA501" s="36"/>
      <c r="AB501" s="36"/>
      <c r="AC501" s="23"/>
      <c r="AD501" s="36"/>
      <c r="AE501" s="36"/>
      <c r="AF501" s="23"/>
    </row>
    <row r="502" spans="1:32" x14ac:dyDescent="0.25">
      <c r="A502" s="23"/>
      <c r="B502" s="23"/>
      <c r="C502" s="36"/>
      <c r="D502" s="36"/>
      <c r="E502" s="23"/>
      <c r="F502" s="36"/>
      <c r="G502" s="36"/>
      <c r="H502" s="23"/>
      <c r="I502" s="36"/>
      <c r="J502" s="36"/>
      <c r="K502" s="23"/>
      <c r="L502" s="36"/>
      <c r="M502" s="36"/>
      <c r="N502" s="23"/>
      <c r="O502" s="36"/>
      <c r="P502" s="36"/>
      <c r="Q502" s="36"/>
      <c r="R502" s="36"/>
      <c r="S502" s="36"/>
      <c r="T502" s="36"/>
      <c r="U502" s="36"/>
      <c r="V502" s="36"/>
      <c r="W502" s="23"/>
      <c r="X502" s="36"/>
      <c r="Y502" s="36"/>
      <c r="Z502" s="23"/>
      <c r="AA502" s="36"/>
      <c r="AB502" s="36"/>
      <c r="AC502" s="23"/>
      <c r="AD502" s="36"/>
      <c r="AE502" s="36"/>
      <c r="AF502" s="23"/>
    </row>
    <row r="503" spans="1:32" x14ac:dyDescent="0.25">
      <c r="A503" s="23"/>
      <c r="B503" s="23"/>
      <c r="C503" s="36"/>
      <c r="D503" s="36"/>
      <c r="E503" s="23"/>
      <c r="F503" s="36"/>
      <c r="G503" s="36"/>
      <c r="H503" s="23"/>
      <c r="I503" s="36"/>
      <c r="J503" s="36"/>
      <c r="K503" s="23"/>
      <c r="L503" s="36"/>
      <c r="M503" s="36"/>
      <c r="N503" s="23"/>
      <c r="O503" s="36"/>
      <c r="P503" s="36"/>
      <c r="Q503" s="36"/>
      <c r="R503" s="36"/>
      <c r="S503" s="36"/>
      <c r="T503" s="36"/>
      <c r="U503" s="36"/>
      <c r="V503" s="36"/>
      <c r="W503" s="23"/>
      <c r="X503" s="36"/>
      <c r="Y503" s="36"/>
      <c r="Z503" s="23"/>
      <c r="AA503" s="36"/>
      <c r="AB503" s="36"/>
      <c r="AC503" s="23"/>
      <c r="AD503" s="36"/>
      <c r="AE503" s="36"/>
      <c r="AF503" s="23"/>
    </row>
    <row r="504" spans="1:32" x14ac:dyDescent="0.25">
      <c r="A504" s="23"/>
      <c r="B504" s="23"/>
      <c r="C504" s="36"/>
      <c r="D504" s="36"/>
      <c r="E504" s="23"/>
      <c r="F504" s="36"/>
      <c r="G504" s="36"/>
      <c r="H504" s="23"/>
      <c r="I504" s="36"/>
      <c r="J504" s="36"/>
      <c r="K504" s="23"/>
      <c r="L504" s="36"/>
      <c r="M504" s="36"/>
      <c r="N504" s="23"/>
      <c r="O504" s="36"/>
      <c r="P504" s="36"/>
      <c r="Q504" s="36"/>
      <c r="R504" s="36"/>
      <c r="S504" s="36"/>
      <c r="T504" s="36"/>
      <c r="U504" s="36"/>
      <c r="V504" s="36"/>
      <c r="W504" s="23"/>
      <c r="X504" s="36"/>
      <c r="Y504" s="36"/>
      <c r="Z504" s="23"/>
      <c r="AA504" s="36"/>
      <c r="AB504" s="36"/>
      <c r="AC504" s="23"/>
      <c r="AD504" s="36"/>
      <c r="AE504" s="36"/>
      <c r="AF504" s="23"/>
    </row>
    <row r="505" spans="1:32" x14ac:dyDescent="0.25">
      <c r="A505" s="23"/>
      <c r="B505" s="23"/>
      <c r="C505" s="36"/>
      <c r="D505" s="36"/>
      <c r="E505" s="23"/>
      <c r="F505" s="36"/>
      <c r="G505" s="36"/>
      <c r="H505" s="23"/>
      <c r="I505" s="36"/>
      <c r="J505" s="36"/>
      <c r="K505" s="23"/>
      <c r="L505" s="36"/>
      <c r="M505" s="36"/>
      <c r="N505" s="23"/>
      <c r="O505" s="36"/>
      <c r="P505" s="36"/>
      <c r="Q505" s="36"/>
      <c r="R505" s="36"/>
      <c r="S505" s="36"/>
      <c r="T505" s="36"/>
      <c r="U505" s="36"/>
      <c r="V505" s="36"/>
      <c r="W505" s="23"/>
      <c r="X505" s="36"/>
      <c r="Y505" s="36"/>
      <c r="Z505" s="23"/>
      <c r="AA505" s="36"/>
      <c r="AB505" s="36"/>
      <c r="AC505" s="23"/>
      <c r="AD505" s="36"/>
      <c r="AE505" s="36"/>
      <c r="AF505" s="23"/>
    </row>
    <row r="506" spans="1:32" x14ac:dyDescent="0.25">
      <c r="A506" s="23"/>
      <c r="B506" s="23"/>
      <c r="C506" s="36"/>
      <c r="D506" s="36"/>
      <c r="E506" s="23"/>
      <c r="F506" s="36"/>
      <c r="G506" s="36"/>
      <c r="H506" s="23"/>
      <c r="I506" s="36"/>
      <c r="J506" s="36"/>
      <c r="K506" s="23"/>
      <c r="L506" s="36"/>
      <c r="M506" s="36"/>
      <c r="N506" s="23"/>
      <c r="O506" s="36"/>
      <c r="P506" s="36"/>
      <c r="Q506" s="36"/>
      <c r="R506" s="36"/>
      <c r="S506" s="36"/>
      <c r="T506" s="36"/>
      <c r="U506" s="36"/>
      <c r="V506" s="36"/>
      <c r="W506" s="23"/>
      <c r="X506" s="36"/>
      <c r="Y506" s="36"/>
      <c r="Z506" s="23"/>
      <c r="AA506" s="36"/>
      <c r="AB506" s="36"/>
      <c r="AC506" s="23"/>
      <c r="AD506" s="36"/>
      <c r="AE506" s="36"/>
      <c r="AF506" s="23"/>
    </row>
    <row r="507" spans="1:32" x14ac:dyDescent="0.25">
      <c r="A507" s="23"/>
      <c r="B507" s="23"/>
      <c r="C507" s="36"/>
      <c r="D507" s="36"/>
      <c r="E507" s="23"/>
      <c r="F507" s="36"/>
      <c r="G507" s="36"/>
      <c r="H507" s="23"/>
      <c r="I507" s="36"/>
      <c r="J507" s="36"/>
      <c r="K507" s="23"/>
      <c r="L507" s="36"/>
      <c r="M507" s="36"/>
      <c r="N507" s="23"/>
      <c r="O507" s="36"/>
      <c r="P507" s="36"/>
      <c r="Q507" s="36"/>
      <c r="R507" s="36"/>
      <c r="S507" s="36"/>
      <c r="T507" s="36"/>
      <c r="U507" s="36"/>
      <c r="V507" s="36"/>
      <c r="W507" s="23"/>
      <c r="X507" s="36"/>
      <c r="Y507" s="36"/>
      <c r="Z507" s="23"/>
      <c r="AA507" s="36"/>
      <c r="AB507" s="36"/>
      <c r="AC507" s="23"/>
      <c r="AD507" s="36"/>
      <c r="AE507" s="36"/>
      <c r="AF507" s="23"/>
    </row>
    <row r="508" spans="1:32" x14ac:dyDescent="0.25">
      <c r="A508" s="23"/>
      <c r="B508" s="23"/>
      <c r="C508" s="36"/>
      <c r="D508" s="36"/>
      <c r="E508" s="23"/>
      <c r="F508" s="36"/>
      <c r="G508" s="36"/>
      <c r="H508" s="23"/>
      <c r="I508" s="36"/>
      <c r="J508" s="36"/>
      <c r="K508" s="23"/>
      <c r="L508" s="36"/>
      <c r="M508" s="36"/>
      <c r="N508" s="23"/>
      <c r="O508" s="36"/>
      <c r="P508" s="36"/>
      <c r="Q508" s="36"/>
      <c r="R508" s="36"/>
      <c r="S508" s="36"/>
      <c r="T508" s="36"/>
      <c r="U508" s="36"/>
      <c r="V508" s="36"/>
      <c r="W508" s="23"/>
      <c r="X508" s="36"/>
      <c r="Y508" s="36"/>
      <c r="Z508" s="23"/>
      <c r="AA508" s="36"/>
      <c r="AB508" s="36"/>
      <c r="AC508" s="23"/>
      <c r="AD508" s="36"/>
      <c r="AE508" s="36"/>
      <c r="AF508" s="23"/>
    </row>
    <row r="509" spans="1:32" x14ac:dyDescent="0.25">
      <c r="A509" s="23"/>
      <c r="B509" s="23"/>
      <c r="C509" s="36"/>
      <c r="D509" s="36"/>
      <c r="E509" s="23"/>
      <c r="F509" s="36"/>
      <c r="G509" s="36"/>
      <c r="H509" s="23"/>
      <c r="I509" s="36"/>
      <c r="J509" s="36"/>
      <c r="K509" s="23"/>
      <c r="L509" s="36"/>
      <c r="M509" s="36"/>
      <c r="N509" s="23"/>
      <c r="O509" s="36"/>
      <c r="P509" s="36"/>
      <c r="Q509" s="36"/>
      <c r="R509" s="36"/>
      <c r="S509" s="36"/>
      <c r="T509" s="36"/>
      <c r="U509" s="36"/>
      <c r="V509" s="36"/>
      <c r="W509" s="23"/>
      <c r="X509" s="36"/>
      <c r="Y509" s="36"/>
      <c r="Z509" s="23"/>
      <c r="AA509" s="36"/>
      <c r="AB509" s="36"/>
      <c r="AC509" s="23"/>
      <c r="AD509" s="36"/>
      <c r="AE509" s="36"/>
      <c r="AF509" s="23"/>
    </row>
    <row r="510" spans="1:32" x14ac:dyDescent="0.25">
      <c r="A510" s="23"/>
      <c r="B510" s="23"/>
      <c r="C510" s="36"/>
      <c r="D510" s="36"/>
      <c r="E510" s="23"/>
      <c r="F510" s="36"/>
      <c r="G510" s="36"/>
      <c r="H510" s="23"/>
      <c r="I510" s="36"/>
      <c r="J510" s="36"/>
      <c r="K510" s="23"/>
      <c r="L510" s="36"/>
      <c r="M510" s="36"/>
      <c r="N510" s="23"/>
      <c r="O510" s="36"/>
      <c r="P510" s="36"/>
      <c r="Q510" s="36"/>
      <c r="R510" s="36"/>
      <c r="S510" s="36"/>
      <c r="T510" s="36"/>
      <c r="U510" s="36"/>
      <c r="V510" s="36"/>
      <c r="W510" s="23"/>
      <c r="X510" s="36"/>
      <c r="Y510" s="36"/>
      <c r="Z510" s="23"/>
      <c r="AA510" s="36"/>
      <c r="AB510" s="36"/>
      <c r="AC510" s="23"/>
      <c r="AD510" s="36"/>
      <c r="AE510" s="36"/>
      <c r="AF510" s="23"/>
    </row>
    <row r="511" spans="1:32" x14ac:dyDescent="0.25">
      <c r="A511" s="23"/>
      <c r="B511" s="23"/>
      <c r="C511" s="36"/>
      <c r="D511" s="36"/>
      <c r="E511" s="23"/>
      <c r="F511" s="36"/>
      <c r="G511" s="36"/>
      <c r="H511" s="23"/>
      <c r="I511" s="36"/>
      <c r="J511" s="36"/>
      <c r="K511" s="23"/>
      <c r="L511" s="36"/>
      <c r="M511" s="36"/>
      <c r="N511" s="23"/>
      <c r="O511" s="36"/>
      <c r="P511" s="36"/>
      <c r="Q511" s="36"/>
      <c r="R511" s="36"/>
      <c r="S511" s="36"/>
      <c r="T511" s="36"/>
      <c r="U511" s="36"/>
      <c r="V511" s="36"/>
      <c r="W511" s="23"/>
      <c r="X511" s="36"/>
      <c r="Y511" s="36"/>
      <c r="Z511" s="23"/>
      <c r="AA511" s="36"/>
      <c r="AB511" s="36"/>
      <c r="AC511" s="23"/>
      <c r="AD511" s="36"/>
      <c r="AE511" s="36"/>
      <c r="AF511" s="23"/>
    </row>
    <row r="512" spans="1:32" x14ac:dyDescent="0.25">
      <c r="A512" s="23"/>
      <c r="B512" s="23"/>
      <c r="C512" s="36"/>
      <c r="D512" s="36"/>
      <c r="E512" s="23"/>
      <c r="F512" s="36"/>
      <c r="G512" s="36"/>
      <c r="H512" s="23"/>
      <c r="I512" s="36"/>
      <c r="J512" s="36"/>
      <c r="K512" s="23"/>
      <c r="L512" s="36"/>
      <c r="M512" s="36"/>
      <c r="N512" s="23"/>
      <c r="O512" s="36"/>
      <c r="P512" s="36"/>
      <c r="Q512" s="36"/>
      <c r="R512" s="36"/>
      <c r="S512" s="36"/>
      <c r="T512" s="36"/>
      <c r="U512" s="36"/>
      <c r="V512" s="36"/>
      <c r="W512" s="23"/>
      <c r="X512" s="36"/>
      <c r="Y512" s="36"/>
      <c r="Z512" s="23"/>
      <c r="AA512" s="36"/>
      <c r="AB512" s="36"/>
      <c r="AC512" s="23"/>
      <c r="AD512" s="36"/>
      <c r="AE512" s="36"/>
      <c r="AF512" s="23"/>
    </row>
    <row r="513" spans="1:32" x14ac:dyDescent="0.25">
      <c r="A513" s="23"/>
      <c r="B513" s="23"/>
      <c r="C513" s="36"/>
      <c r="D513" s="36"/>
      <c r="E513" s="23"/>
      <c r="F513" s="36"/>
      <c r="G513" s="36"/>
      <c r="H513" s="23"/>
      <c r="I513" s="36"/>
      <c r="J513" s="36"/>
      <c r="K513" s="23"/>
      <c r="L513" s="36"/>
      <c r="M513" s="36"/>
      <c r="N513" s="23"/>
      <c r="O513" s="36"/>
      <c r="P513" s="36"/>
      <c r="Q513" s="36"/>
      <c r="R513" s="36"/>
      <c r="S513" s="36"/>
      <c r="T513" s="36"/>
      <c r="U513" s="36"/>
      <c r="V513" s="36"/>
      <c r="W513" s="23"/>
      <c r="X513" s="36"/>
      <c r="Y513" s="36"/>
      <c r="Z513" s="23"/>
      <c r="AA513" s="36"/>
      <c r="AB513" s="36"/>
      <c r="AC513" s="23"/>
      <c r="AD513" s="36"/>
      <c r="AE513" s="36"/>
      <c r="AF513" s="23"/>
    </row>
    <row r="514" spans="1:32" x14ac:dyDescent="0.25">
      <c r="A514" s="23"/>
      <c r="B514" s="23"/>
      <c r="C514" s="36"/>
      <c r="D514" s="36"/>
      <c r="E514" s="23"/>
      <c r="F514" s="36"/>
      <c r="G514" s="36"/>
      <c r="H514" s="23"/>
      <c r="I514" s="36"/>
      <c r="J514" s="36"/>
      <c r="K514" s="23"/>
      <c r="L514" s="36"/>
      <c r="M514" s="36"/>
      <c r="N514" s="23"/>
      <c r="O514" s="36"/>
      <c r="P514" s="36"/>
      <c r="Q514" s="36"/>
      <c r="R514" s="36"/>
      <c r="S514" s="36"/>
      <c r="T514" s="36"/>
      <c r="U514" s="36"/>
      <c r="V514" s="36"/>
      <c r="W514" s="23"/>
      <c r="X514" s="36"/>
      <c r="Y514" s="36"/>
      <c r="Z514" s="23"/>
      <c r="AA514" s="36"/>
      <c r="AB514" s="36"/>
      <c r="AC514" s="23"/>
      <c r="AD514" s="36"/>
      <c r="AE514" s="36"/>
      <c r="AF514" s="23"/>
    </row>
    <row r="515" spans="1:32" x14ac:dyDescent="0.25">
      <c r="A515" s="23"/>
      <c r="B515" s="23"/>
      <c r="C515" s="36"/>
      <c r="D515" s="36"/>
      <c r="E515" s="23"/>
      <c r="F515" s="36"/>
      <c r="G515" s="36"/>
      <c r="H515" s="23"/>
      <c r="I515" s="36"/>
      <c r="J515" s="36"/>
      <c r="K515" s="23"/>
      <c r="L515" s="36"/>
      <c r="M515" s="36"/>
      <c r="N515" s="23"/>
      <c r="O515" s="36"/>
      <c r="P515" s="36"/>
      <c r="Q515" s="36"/>
      <c r="R515" s="36"/>
      <c r="S515" s="36"/>
      <c r="T515" s="36"/>
      <c r="U515" s="36"/>
      <c r="V515" s="36"/>
      <c r="W515" s="23"/>
      <c r="X515" s="36"/>
      <c r="Y515" s="36"/>
      <c r="Z515" s="23"/>
      <c r="AA515" s="36"/>
      <c r="AB515" s="36"/>
      <c r="AC515" s="23"/>
      <c r="AD515" s="36"/>
      <c r="AE515" s="36"/>
      <c r="AF515" s="23"/>
    </row>
    <row r="516" spans="1:32" x14ac:dyDescent="0.25">
      <c r="A516" s="23"/>
      <c r="B516" s="23"/>
      <c r="C516" s="36"/>
      <c r="D516" s="36"/>
      <c r="E516" s="23"/>
      <c r="F516" s="36"/>
      <c r="G516" s="36"/>
      <c r="H516" s="23"/>
      <c r="I516" s="36"/>
      <c r="J516" s="36"/>
      <c r="K516" s="23"/>
      <c r="L516" s="36"/>
      <c r="M516" s="36"/>
      <c r="N516" s="23"/>
      <c r="O516" s="36"/>
      <c r="P516" s="36"/>
      <c r="Q516" s="36"/>
      <c r="R516" s="36"/>
      <c r="S516" s="36"/>
      <c r="T516" s="36"/>
      <c r="U516" s="36"/>
      <c r="V516" s="36"/>
      <c r="W516" s="23"/>
      <c r="X516" s="36"/>
      <c r="Y516" s="36"/>
      <c r="Z516" s="23"/>
      <c r="AA516" s="36"/>
      <c r="AB516" s="36"/>
      <c r="AC516" s="23"/>
      <c r="AD516" s="36"/>
      <c r="AE516" s="36"/>
      <c r="AF516" s="23"/>
    </row>
    <row r="517" spans="1:32" x14ac:dyDescent="0.25">
      <c r="A517" s="23"/>
      <c r="B517" s="23"/>
      <c r="C517" s="36"/>
      <c r="D517" s="36"/>
      <c r="E517" s="23"/>
      <c r="F517" s="36"/>
      <c r="G517" s="36"/>
      <c r="H517" s="23"/>
      <c r="I517" s="36"/>
      <c r="J517" s="36"/>
      <c r="K517" s="23"/>
      <c r="L517" s="36"/>
      <c r="M517" s="36"/>
      <c r="N517" s="23"/>
      <c r="O517" s="36"/>
      <c r="P517" s="36"/>
      <c r="Q517" s="36"/>
      <c r="R517" s="36"/>
      <c r="S517" s="36"/>
      <c r="T517" s="36"/>
      <c r="U517" s="36"/>
      <c r="V517" s="36"/>
      <c r="W517" s="23"/>
      <c r="X517" s="36"/>
      <c r="Y517" s="36"/>
      <c r="Z517" s="23"/>
      <c r="AA517" s="36"/>
      <c r="AB517" s="36"/>
      <c r="AC517" s="23"/>
      <c r="AD517" s="36"/>
      <c r="AE517" s="36"/>
      <c r="AF517" s="23"/>
    </row>
    <row r="518" spans="1:32" x14ac:dyDescent="0.25">
      <c r="A518" s="23"/>
      <c r="B518" s="23"/>
      <c r="C518" s="36"/>
      <c r="D518" s="36"/>
      <c r="E518" s="23"/>
      <c r="F518" s="36"/>
      <c r="G518" s="36"/>
      <c r="H518" s="23"/>
      <c r="I518" s="36"/>
      <c r="J518" s="36"/>
      <c r="K518" s="23"/>
      <c r="L518" s="36"/>
      <c r="M518" s="36"/>
      <c r="N518" s="23"/>
      <c r="O518" s="36"/>
      <c r="P518" s="36"/>
      <c r="Q518" s="36"/>
      <c r="R518" s="36"/>
      <c r="S518" s="36"/>
      <c r="T518" s="36"/>
      <c r="U518" s="36"/>
      <c r="V518" s="36"/>
      <c r="W518" s="23"/>
      <c r="X518" s="36"/>
      <c r="Y518" s="36"/>
      <c r="Z518" s="23"/>
      <c r="AA518" s="36"/>
      <c r="AB518" s="36"/>
      <c r="AC518" s="23"/>
      <c r="AD518" s="36"/>
      <c r="AE518" s="36"/>
      <c r="AF518" s="23"/>
    </row>
    <row r="519" spans="1:32" x14ac:dyDescent="0.25">
      <c r="A519" s="23"/>
      <c r="B519" s="23"/>
      <c r="C519" s="36"/>
      <c r="D519" s="36"/>
      <c r="E519" s="23"/>
      <c r="F519" s="36"/>
      <c r="G519" s="36"/>
      <c r="H519" s="23"/>
      <c r="I519" s="36"/>
      <c r="J519" s="36"/>
      <c r="K519" s="23"/>
      <c r="L519" s="36"/>
      <c r="M519" s="36"/>
      <c r="N519" s="23"/>
      <c r="O519" s="36"/>
      <c r="P519" s="36"/>
      <c r="Q519" s="36"/>
      <c r="R519" s="36"/>
      <c r="S519" s="36"/>
      <c r="T519" s="36"/>
      <c r="U519" s="36"/>
      <c r="V519" s="36"/>
      <c r="W519" s="23"/>
      <c r="X519" s="36"/>
      <c r="Y519" s="36"/>
      <c r="Z519" s="23"/>
      <c r="AA519" s="36"/>
      <c r="AB519" s="36"/>
      <c r="AC519" s="23"/>
      <c r="AD519" s="36"/>
      <c r="AE519" s="36"/>
      <c r="AF519" s="23"/>
    </row>
    <row r="520" spans="1:32" x14ac:dyDescent="0.25">
      <c r="A520" s="23"/>
      <c r="B520" s="23"/>
      <c r="C520" s="36"/>
      <c r="D520" s="36"/>
      <c r="E520" s="23"/>
      <c r="F520" s="36"/>
      <c r="G520" s="36"/>
      <c r="H520" s="23"/>
      <c r="I520" s="36"/>
      <c r="J520" s="36"/>
      <c r="K520" s="23"/>
      <c r="L520" s="36"/>
      <c r="M520" s="36"/>
      <c r="N520" s="23"/>
      <c r="O520" s="36"/>
      <c r="P520" s="36"/>
      <c r="Q520" s="36"/>
      <c r="R520" s="36"/>
      <c r="S520" s="36"/>
      <c r="T520" s="36"/>
      <c r="U520" s="36"/>
      <c r="V520" s="36"/>
      <c r="W520" s="23"/>
      <c r="X520" s="36"/>
      <c r="Y520" s="36"/>
      <c r="Z520" s="23"/>
      <c r="AA520" s="36"/>
      <c r="AB520" s="36"/>
      <c r="AC520" s="23"/>
      <c r="AD520" s="36"/>
      <c r="AE520" s="36"/>
      <c r="AF520" s="23"/>
    </row>
    <row r="521" spans="1:32" x14ac:dyDescent="0.25">
      <c r="A521" s="23"/>
      <c r="B521" s="23"/>
      <c r="C521" s="36"/>
      <c r="D521" s="36"/>
      <c r="E521" s="23"/>
      <c r="F521" s="36"/>
      <c r="G521" s="36"/>
      <c r="H521" s="23"/>
      <c r="I521" s="36"/>
      <c r="J521" s="36"/>
      <c r="K521" s="23"/>
      <c r="L521" s="36"/>
      <c r="M521" s="36"/>
      <c r="N521" s="23"/>
      <c r="O521" s="36"/>
      <c r="P521" s="36"/>
      <c r="Q521" s="36"/>
      <c r="R521" s="36"/>
      <c r="S521" s="36"/>
      <c r="T521" s="36"/>
      <c r="U521" s="36"/>
      <c r="V521" s="36"/>
      <c r="W521" s="23"/>
      <c r="X521" s="36"/>
      <c r="Y521" s="36"/>
      <c r="Z521" s="23"/>
      <c r="AA521" s="36"/>
      <c r="AB521" s="36"/>
      <c r="AC521" s="23"/>
      <c r="AD521" s="36"/>
      <c r="AE521" s="36"/>
      <c r="AF521" s="23"/>
    </row>
    <row r="522" spans="1:32" x14ac:dyDescent="0.25">
      <c r="A522" s="23"/>
      <c r="B522" s="23"/>
      <c r="C522" s="36"/>
      <c r="D522" s="36"/>
      <c r="E522" s="23"/>
      <c r="F522" s="36"/>
      <c r="G522" s="36"/>
      <c r="H522" s="23"/>
      <c r="I522" s="36"/>
      <c r="J522" s="36"/>
      <c r="K522" s="23"/>
      <c r="L522" s="36"/>
      <c r="M522" s="36"/>
      <c r="N522" s="23"/>
      <c r="O522" s="36"/>
      <c r="P522" s="36"/>
      <c r="Q522" s="36"/>
      <c r="R522" s="36"/>
      <c r="S522" s="36"/>
      <c r="T522" s="36"/>
      <c r="U522" s="36"/>
      <c r="V522" s="36"/>
      <c r="W522" s="23"/>
      <c r="X522" s="36"/>
      <c r="Y522" s="36"/>
      <c r="Z522" s="23"/>
      <c r="AA522" s="36"/>
      <c r="AB522" s="36"/>
      <c r="AC522" s="23"/>
      <c r="AD522" s="36"/>
      <c r="AE522" s="36"/>
      <c r="AF522" s="23"/>
    </row>
    <row r="523" spans="1:32" x14ac:dyDescent="0.25">
      <c r="A523" s="23"/>
      <c r="B523" s="23"/>
      <c r="C523" s="36"/>
      <c r="D523" s="36"/>
      <c r="E523" s="23"/>
      <c r="F523" s="36"/>
      <c r="G523" s="36"/>
      <c r="H523" s="23"/>
      <c r="I523" s="36"/>
      <c r="J523" s="36"/>
      <c r="K523" s="23"/>
      <c r="L523" s="36"/>
      <c r="M523" s="36"/>
      <c r="N523" s="23"/>
      <c r="O523" s="36"/>
      <c r="P523" s="36"/>
      <c r="Q523" s="36"/>
      <c r="R523" s="36"/>
      <c r="S523" s="36"/>
      <c r="T523" s="36"/>
      <c r="U523" s="36"/>
      <c r="V523" s="36"/>
      <c r="W523" s="23"/>
      <c r="X523" s="36"/>
      <c r="Y523" s="36"/>
      <c r="Z523" s="23"/>
      <c r="AA523" s="36"/>
      <c r="AB523" s="36"/>
      <c r="AC523" s="23"/>
      <c r="AD523" s="36"/>
      <c r="AE523" s="36"/>
      <c r="AF523" s="23"/>
    </row>
    <row r="524" spans="1:32" x14ac:dyDescent="0.25">
      <c r="A524" s="23"/>
      <c r="B524" s="23"/>
      <c r="C524" s="36"/>
      <c r="D524" s="36"/>
      <c r="E524" s="23"/>
      <c r="F524" s="36"/>
      <c r="G524" s="36"/>
      <c r="H524" s="23"/>
      <c r="I524" s="36"/>
      <c r="J524" s="36"/>
      <c r="K524" s="23"/>
      <c r="L524" s="36"/>
      <c r="M524" s="36"/>
      <c r="N524" s="23"/>
      <c r="O524" s="36"/>
      <c r="P524" s="36"/>
      <c r="Q524" s="36"/>
      <c r="R524" s="36"/>
      <c r="S524" s="36"/>
      <c r="T524" s="36"/>
      <c r="U524" s="36"/>
      <c r="V524" s="36"/>
      <c r="W524" s="23"/>
      <c r="X524" s="36"/>
      <c r="Y524" s="36"/>
      <c r="Z524" s="23"/>
      <c r="AA524" s="36"/>
      <c r="AB524" s="36"/>
      <c r="AC524" s="23"/>
      <c r="AD524" s="36"/>
      <c r="AE524" s="36"/>
      <c r="AF524" s="23"/>
    </row>
    <row r="525" spans="1:32" x14ac:dyDescent="0.25">
      <c r="A525" s="23"/>
      <c r="B525" s="23"/>
      <c r="C525" s="36"/>
      <c r="D525" s="36"/>
      <c r="E525" s="23"/>
      <c r="F525" s="36"/>
      <c r="G525" s="36"/>
      <c r="H525" s="23"/>
      <c r="I525" s="36"/>
      <c r="J525" s="36"/>
      <c r="K525" s="23"/>
      <c r="L525" s="36"/>
      <c r="M525" s="36"/>
      <c r="N525" s="23"/>
      <c r="O525" s="36"/>
      <c r="P525" s="36"/>
      <c r="Q525" s="36"/>
      <c r="R525" s="36"/>
      <c r="S525" s="36"/>
      <c r="T525" s="36"/>
      <c r="U525" s="36"/>
      <c r="V525" s="36"/>
      <c r="W525" s="23"/>
      <c r="X525" s="36"/>
      <c r="Y525" s="36"/>
      <c r="Z525" s="23"/>
      <c r="AA525" s="36"/>
      <c r="AB525" s="36"/>
      <c r="AC525" s="23"/>
      <c r="AD525" s="36"/>
      <c r="AE525" s="36"/>
      <c r="AF525" s="23"/>
    </row>
    <row r="526" spans="1:32" x14ac:dyDescent="0.25">
      <c r="A526" s="23"/>
      <c r="B526" s="23"/>
      <c r="C526" s="36"/>
      <c r="D526" s="36"/>
      <c r="E526" s="23"/>
      <c r="F526" s="36"/>
      <c r="G526" s="36"/>
      <c r="H526" s="23"/>
      <c r="I526" s="36"/>
      <c r="J526" s="36"/>
      <c r="K526" s="23"/>
      <c r="L526" s="36"/>
      <c r="M526" s="36"/>
      <c r="N526" s="23"/>
      <c r="O526" s="36"/>
      <c r="P526" s="36"/>
      <c r="Q526" s="36"/>
      <c r="R526" s="36"/>
      <c r="S526" s="36"/>
      <c r="T526" s="36"/>
      <c r="U526" s="36"/>
      <c r="V526" s="36"/>
      <c r="W526" s="23"/>
      <c r="X526" s="36"/>
      <c r="Y526" s="36"/>
      <c r="Z526" s="23"/>
      <c r="AA526" s="36"/>
      <c r="AB526" s="36"/>
      <c r="AC526" s="23"/>
      <c r="AD526" s="36"/>
      <c r="AE526" s="36"/>
      <c r="AF526" s="23"/>
    </row>
    <row r="527" spans="1:32" x14ac:dyDescent="0.25">
      <c r="A527" s="23"/>
      <c r="B527" s="23"/>
      <c r="C527" s="36"/>
      <c r="D527" s="36"/>
      <c r="E527" s="23"/>
      <c r="F527" s="36"/>
      <c r="G527" s="36"/>
      <c r="H527" s="23"/>
      <c r="I527" s="36"/>
      <c r="J527" s="36"/>
      <c r="K527" s="23"/>
      <c r="L527" s="36"/>
      <c r="M527" s="36"/>
      <c r="N527" s="23"/>
      <c r="O527" s="36"/>
      <c r="P527" s="36"/>
      <c r="Q527" s="36"/>
      <c r="R527" s="36"/>
      <c r="S527" s="36"/>
      <c r="T527" s="36"/>
      <c r="U527" s="36"/>
      <c r="V527" s="36"/>
      <c r="W527" s="23"/>
      <c r="X527" s="36"/>
      <c r="Y527" s="36"/>
      <c r="Z527" s="23"/>
      <c r="AA527" s="36"/>
      <c r="AB527" s="36"/>
      <c r="AC527" s="23"/>
      <c r="AD527" s="36"/>
      <c r="AE527" s="36"/>
      <c r="AF527" s="23"/>
    </row>
    <row r="528" spans="1:32" x14ac:dyDescent="0.25">
      <c r="A528" s="23"/>
      <c r="B528" s="23"/>
      <c r="C528" s="36"/>
      <c r="D528" s="36"/>
      <c r="E528" s="23"/>
      <c r="F528" s="36"/>
      <c r="G528" s="36"/>
      <c r="H528" s="23"/>
      <c r="I528" s="36"/>
      <c r="J528" s="36"/>
      <c r="K528" s="23"/>
      <c r="L528" s="36"/>
      <c r="M528" s="36"/>
      <c r="N528" s="23"/>
      <c r="O528" s="36"/>
      <c r="P528" s="36"/>
      <c r="Q528" s="36"/>
      <c r="R528" s="36"/>
      <c r="S528" s="36"/>
      <c r="T528" s="36"/>
      <c r="U528" s="36"/>
      <c r="V528" s="36"/>
      <c r="W528" s="23"/>
      <c r="X528" s="36"/>
      <c r="Y528" s="36"/>
      <c r="Z528" s="23"/>
      <c r="AA528" s="36"/>
      <c r="AB528" s="36"/>
      <c r="AC528" s="23"/>
      <c r="AD528" s="36"/>
      <c r="AE528" s="36"/>
      <c r="AF528" s="23"/>
    </row>
    <row r="529" spans="1:32" x14ac:dyDescent="0.25">
      <c r="A529" s="23"/>
      <c r="B529" s="23"/>
      <c r="C529" s="36"/>
      <c r="D529" s="36"/>
      <c r="E529" s="23"/>
      <c r="F529" s="36"/>
      <c r="G529" s="36"/>
      <c r="H529" s="23"/>
      <c r="I529" s="36"/>
      <c r="J529" s="36"/>
      <c r="K529" s="23"/>
      <c r="L529" s="36"/>
      <c r="M529" s="36"/>
      <c r="N529" s="23"/>
      <c r="O529" s="36"/>
      <c r="P529" s="36"/>
      <c r="Q529" s="36"/>
      <c r="R529" s="36"/>
      <c r="S529" s="36"/>
      <c r="T529" s="36"/>
      <c r="U529" s="36"/>
      <c r="V529" s="36"/>
      <c r="W529" s="23"/>
      <c r="X529" s="36"/>
      <c r="Y529" s="36"/>
      <c r="Z529" s="23"/>
      <c r="AA529" s="36"/>
      <c r="AB529" s="36"/>
      <c r="AC529" s="23"/>
      <c r="AD529" s="36"/>
      <c r="AE529" s="36"/>
      <c r="AF529" s="23"/>
    </row>
    <row r="530" spans="1:32" x14ac:dyDescent="0.25">
      <c r="A530" s="23"/>
      <c r="B530" s="23"/>
      <c r="C530" s="36"/>
      <c r="D530" s="36"/>
      <c r="E530" s="23"/>
      <c r="F530" s="36"/>
      <c r="G530" s="36"/>
      <c r="H530" s="23"/>
      <c r="I530" s="36"/>
      <c r="J530" s="36"/>
      <c r="K530" s="23"/>
      <c r="L530" s="36"/>
      <c r="M530" s="36"/>
      <c r="N530" s="23"/>
      <c r="O530" s="36"/>
      <c r="P530" s="36"/>
      <c r="Q530" s="36"/>
      <c r="R530" s="36"/>
      <c r="S530" s="36"/>
      <c r="T530" s="36"/>
      <c r="U530" s="36"/>
      <c r="V530" s="36"/>
      <c r="W530" s="23"/>
      <c r="X530" s="36"/>
      <c r="Y530" s="36"/>
      <c r="Z530" s="23"/>
      <c r="AA530" s="36"/>
      <c r="AB530" s="36"/>
      <c r="AC530" s="23"/>
      <c r="AD530" s="36"/>
      <c r="AE530" s="36"/>
      <c r="AF530" s="23"/>
    </row>
    <row r="531" spans="1:32" x14ac:dyDescent="0.25">
      <c r="A531" s="23"/>
      <c r="B531" s="23"/>
      <c r="C531" s="36"/>
      <c r="D531" s="36"/>
      <c r="E531" s="23"/>
      <c r="F531" s="36"/>
      <c r="G531" s="36"/>
      <c r="H531" s="23"/>
      <c r="I531" s="36"/>
      <c r="J531" s="36"/>
      <c r="K531" s="23"/>
      <c r="L531" s="36"/>
      <c r="M531" s="36"/>
      <c r="N531" s="23"/>
      <c r="O531" s="36"/>
      <c r="P531" s="36"/>
      <c r="Q531" s="36"/>
      <c r="R531" s="36"/>
      <c r="S531" s="36"/>
      <c r="T531" s="36"/>
      <c r="U531" s="36"/>
      <c r="V531" s="36"/>
      <c r="W531" s="23"/>
      <c r="X531" s="36"/>
      <c r="Y531" s="36"/>
      <c r="Z531" s="23"/>
      <c r="AA531" s="36"/>
      <c r="AB531" s="36"/>
      <c r="AC531" s="23"/>
      <c r="AD531" s="36"/>
      <c r="AE531" s="36"/>
      <c r="AF531" s="23"/>
    </row>
    <row r="532" spans="1:32" x14ac:dyDescent="0.25">
      <c r="A532" s="23"/>
      <c r="B532" s="23"/>
      <c r="C532" s="36"/>
      <c r="D532" s="36"/>
      <c r="E532" s="23"/>
      <c r="F532" s="36"/>
      <c r="G532" s="36"/>
      <c r="H532" s="23"/>
      <c r="I532" s="36"/>
      <c r="J532" s="36"/>
      <c r="K532" s="23"/>
      <c r="L532" s="36"/>
      <c r="M532" s="36"/>
      <c r="N532" s="23"/>
      <c r="O532" s="36"/>
      <c r="P532" s="36"/>
      <c r="Q532" s="36"/>
      <c r="R532" s="36"/>
      <c r="S532" s="36"/>
      <c r="T532" s="36"/>
      <c r="U532" s="36"/>
      <c r="V532" s="36"/>
      <c r="W532" s="23"/>
      <c r="X532" s="36"/>
      <c r="Y532" s="36"/>
      <c r="Z532" s="23"/>
      <c r="AA532" s="36"/>
      <c r="AB532" s="36"/>
      <c r="AC532" s="23"/>
      <c r="AD532" s="36"/>
      <c r="AE532" s="36"/>
      <c r="AF532" s="23"/>
    </row>
    <row r="533" spans="1:32" x14ac:dyDescent="0.25">
      <c r="A533" s="23"/>
      <c r="B533" s="23"/>
      <c r="C533" s="36"/>
      <c r="D533" s="36"/>
      <c r="E533" s="23"/>
      <c r="F533" s="36"/>
      <c r="G533" s="36"/>
      <c r="H533" s="23"/>
      <c r="I533" s="36"/>
      <c r="J533" s="36"/>
      <c r="K533" s="23"/>
      <c r="L533" s="36"/>
      <c r="M533" s="36"/>
      <c r="N533" s="23"/>
      <c r="O533" s="36"/>
      <c r="P533" s="36"/>
      <c r="Q533" s="36"/>
      <c r="R533" s="36"/>
      <c r="S533" s="36"/>
      <c r="T533" s="36"/>
      <c r="U533" s="36"/>
      <c r="V533" s="36"/>
      <c r="W533" s="23"/>
      <c r="X533" s="36"/>
      <c r="Y533" s="36"/>
      <c r="Z533" s="23"/>
      <c r="AA533" s="36"/>
      <c r="AB533" s="36"/>
      <c r="AC533" s="23"/>
      <c r="AD533" s="36"/>
      <c r="AE533" s="36"/>
      <c r="AF533" s="23"/>
    </row>
    <row r="534" spans="1:32" x14ac:dyDescent="0.25">
      <c r="A534" s="23"/>
      <c r="B534" s="23"/>
      <c r="C534" s="36"/>
      <c r="D534" s="36"/>
      <c r="E534" s="23"/>
      <c r="F534" s="36"/>
      <c r="G534" s="36"/>
      <c r="H534" s="23"/>
      <c r="I534" s="36"/>
      <c r="J534" s="36"/>
      <c r="K534" s="23"/>
      <c r="L534" s="36"/>
      <c r="M534" s="36"/>
      <c r="N534" s="23"/>
      <c r="O534" s="36"/>
      <c r="P534" s="36"/>
      <c r="Q534" s="36"/>
      <c r="R534" s="36"/>
      <c r="S534" s="36"/>
      <c r="T534" s="36"/>
      <c r="U534" s="36"/>
      <c r="V534" s="36"/>
      <c r="W534" s="23"/>
      <c r="X534" s="36"/>
      <c r="Y534" s="36"/>
      <c r="Z534" s="23"/>
      <c r="AA534" s="36"/>
      <c r="AB534" s="36"/>
      <c r="AC534" s="23"/>
      <c r="AD534" s="36"/>
      <c r="AE534" s="36"/>
      <c r="AF534" s="23"/>
    </row>
    <row r="535" spans="1:32" x14ac:dyDescent="0.25">
      <c r="A535" s="23"/>
      <c r="B535" s="23"/>
      <c r="C535" s="36"/>
      <c r="D535" s="36"/>
      <c r="E535" s="23"/>
      <c r="F535" s="36"/>
      <c r="G535" s="36"/>
      <c r="H535" s="23"/>
      <c r="I535" s="36"/>
      <c r="J535" s="36"/>
      <c r="K535" s="23"/>
      <c r="L535" s="36"/>
      <c r="M535" s="36"/>
      <c r="N535" s="23"/>
      <c r="O535" s="36"/>
      <c r="P535" s="36"/>
      <c r="Q535" s="36"/>
      <c r="R535" s="36"/>
      <c r="S535" s="36"/>
      <c r="T535" s="36"/>
      <c r="U535" s="36"/>
      <c r="V535" s="36"/>
      <c r="W535" s="23"/>
      <c r="X535" s="36"/>
      <c r="Y535" s="36"/>
      <c r="Z535" s="23"/>
      <c r="AA535" s="36"/>
      <c r="AB535" s="36"/>
      <c r="AC535" s="23"/>
      <c r="AD535" s="36"/>
      <c r="AE535" s="36"/>
      <c r="AF535" s="23"/>
    </row>
    <row r="536" spans="1:32" x14ac:dyDescent="0.25">
      <c r="A536" s="23"/>
      <c r="B536" s="23"/>
      <c r="C536" s="36"/>
      <c r="D536" s="36"/>
      <c r="E536" s="23"/>
      <c r="F536" s="36"/>
      <c r="G536" s="36"/>
      <c r="H536" s="23"/>
      <c r="I536" s="36"/>
      <c r="J536" s="36"/>
      <c r="K536" s="23"/>
      <c r="L536" s="36"/>
      <c r="M536" s="36"/>
      <c r="N536" s="23"/>
      <c r="O536" s="36"/>
      <c r="P536" s="36"/>
      <c r="Q536" s="36"/>
      <c r="R536" s="36"/>
      <c r="S536" s="36"/>
      <c r="T536" s="36"/>
      <c r="U536" s="36"/>
      <c r="V536" s="36"/>
      <c r="W536" s="23"/>
      <c r="X536" s="36"/>
      <c r="Y536" s="36"/>
      <c r="Z536" s="23"/>
      <c r="AA536" s="36"/>
      <c r="AB536" s="36"/>
      <c r="AC536" s="23"/>
      <c r="AD536" s="36"/>
      <c r="AE536" s="36"/>
      <c r="AF536" s="23"/>
    </row>
    <row r="537" spans="1:32" x14ac:dyDescent="0.25">
      <c r="A537" s="23"/>
      <c r="B537" s="23"/>
      <c r="C537" s="36"/>
      <c r="D537" s="36"/>
      <c r="E537" s="23"/>
      <c r="F537" s="36"/>
      <c r="G537" s="36"/>
      <c r="H537" s="23"/>
      <c r="I537" s="36"/>
      <c r="J537" s="36"/>
      <c r="K537" s="23"/>
      <c r="L537" s="36"/>
      <c r="M537" s="36"/>
      <c r="N537" s="23"/>
      <c r="O537" s="36"/>
      <c r="P537" s="36"/>
      <c r="Q537" s="36"/>
      <c r="R537" s="36"/>
      <c r="S537" s="36"/>
      <c r="T537" s="36"/>
      <c r="U537" s="36"/>
      <c r="V537" s="36"/>
      <c r="W537" s="23"/>
      <c r="X537" s="36"/>
      <c r="Y537" s="36"/>
      <c r="Z537" s="23"/>
      <c r="AA537" s="36"/>
      <c r="AB537" s="36"/>
      <c r="AC537" s="23"/>
      <c r="AD537" s="36"/>
      <c r="AE537" s="36"/>
      <c r="AF537" s="23"/>
    </row>
    <row r="538" spans="1:32" x14ac:dyDescent="0.25">
      <c r="A538" s="23"/>
      <c r="B538" s="23"/>
      <c r="C538" s="36"/>
      <c r="D538" s="36"/>
      <c r="E538" s="23"/>
      <c r="F538" s="36"/>
      <c r="G538" s="36"/>
      <c r="H538" s="23"/>
      <c r="I538" s="36"/>
      <c r="J538" s="36"/>
      <c r="K538" s="23"/>
      <c r="L538" s="36"/>
      <c r="M538" s="36"/>
      <c r="N538" s="23"/>
      <c r="O538" s="36"/>
      <c r="P538" s="36"/>
      <c r="Q538" s="36"/>
      <c r="R538" s="36"/>
      <c r="S538" s="36"/>
      <c r="T538" s="36"/>
      <c r="U538" s="36"/>
      <c r="V538" s="36"/>
      <c r="W538" s="23"/>
      <c r="X538" s="36"/>
      <c r="Y538" s="36"/>
      <c r="Z538" s="23"/>
      <c r="AA538" s="36"/>
      <c r="AB538" s="36"/>
      <c r="AC538" s="23"/>
      <c r="AD538" s="36"/>
      <c r="AE538" s="36"/>
      <c r="AF538" s="23"/>
    </row>
    <row r="539" spans="1:32" x14ac:dyDescent="0.25">
      <c r="A539" s="23"/>
      <c r="B539" s="23"/>
      <c r="C539" s="36"/>
      <c r="D539" s="36"/>
      <c r="E539" s="23"/>
      <c r="F539" s="36"/>
      <c r="G539" s="36"/>
      <c r="H539" s="23"/>
      <c r="I539" s="36"/>
      <c r="J539" s="36"/>
      <c r="K539" s="23"/>
      <c r="L539" s="36"/>
      <c r="M539" s="36"/>
      <c r="N539" s="23"/>
      <c r="O539" s="36"/>
      <c r="P539" s="36"/>
      <c r="Q539" s="36"/>
      <c r="R539" s="36"/>
      <c r="S539" s="36"/>
      <c r="T539" s="36"/>
      <c r="U539" s="36"/>
      <c r="V539" s="36"/>
      <c r="W539" s="23"/>
      <c r="X539" s="36"/>
      <c r="Y539" s="36"/>
      <c r="Z539" s="23"/>
      <c r="AA539" s="36"/>
      <c r="AB539" s="36"/>
      <c r="AC539" s="23"/>
      <c r="AD539" s="36"/>
      <c r="AE539" s="36"/>
      <c r="AF539" s="23"/>
    </row>
    <row r="540" spans="1:32" x14ac:dyDescent="0.25">
      <c r="A540" s="23"/>
      <c r="B540" s="23"/>
      <c r="C540" s="36"/>
      <c r="D540" s="36"/>
      <c r="E540" s="23"/>
      <c r="F540" s="36"/>
      <c r="G540" s="36"/>
      <c r="H540" s="23"/>
      <c r="I540" s="36"/>
      <c r="J540" s="36"/>
      <c r="K540" s="23"/>
      <c r="L540" s="36"/>
      <c r="M540" s="36"/>
      <c r="N540" s="23"/>
      <c r="O540" s="36"/>
      <c r="P540" s="36"/>
      <c r="Q540" s="36"/>
      <c r="R540" s="36"/>
      <c r="S540" s="36"/>
      <c r="T540" s="36"/>
      <c r="U540" s="36"/>
      <c r="V540" s="36"/>
      <c r="W540" s="23"/>
      <c r="X540" s="36"/>
      <c r="Y540" s="36"/>
      <c r="Z540" s="23"/>
      <c r="AA540" s="36"/>
      <c r="AB540" s="36"/>
      <c r="AC540" s="23"/>
      <c r="AD540" s="36"/>
      <c r="AE540" s="36"/>
      <c r="AF540" s="23"/>
    </row>
    <row r="541" spans="1:32" x14ac:dyDescent="0.25">
      <c r="A541" s="23"/>
      <c r="B541" s="23"/>
      <c r="C541" s="36"/>
      <c r="D541" s="36"/>
      <c r="E541" s="23"/>
      <c r="F541" s="36"/>
      <c r="G541" s="36"/>
      <c r="H541" s="23"/>
      <c r="I541" s="36"/>
      <c r="J541" s="36"/>
      <c r="K541" s="23"/>
      <c r="L541" s="36"/>
      <c r="M541" s="36"/>
      <c r="N541" s="23"/>
      <c r="O541" s="36"/>
      <c r="P541" s="36"/>
      <c r="Q541" s="36"/>
      <c r="R541" s="36"/>
      <c r="S541" s="36"/>
      <c r="T541" s="36"/>
      <c r="U541" s="36"/>
      <c r="V541" s="36"/>
      <c r="W541" s="23"/>
      <c r="X541" s="36"/>
      <c r="Y541" s="36"/>
      <c r="Z541" s="23"/>
      <c r="AA541" s="36"/>
      <c r="AB541" s="36"/>
      <c r="AC541" s="23"/>
      <c r="AD541" s="36"/>
      <c r="AE541" s="36"/>
      <c r="AF541" s="23"/>
    </row>
    <row r="542" spans="1:32" x14ac:dyDescent="0.25">
      <c r="A542" s="23"/>
      <c r="B542" s="23"/>
      <c r="C542" s="36"/>
      <c r="D542" s="36"/>
      <c r="E542" s="23"/>
      <c r="F542" s="36"/>
      <c r="G542" s="36"/>
      <c r="H542" s="23"/>
      <c r="I542" s="36"/>
      <c r="J542" s="36"/>
      <c r="K542" s="23"/>
      <c r="L542" s="36"/>
      <c r="M542" s="36"/>
      <c r="N542" s="23"/>
      <c r="O542" s="36"/>
      <c r="P542" s="36"/>
      <c r="Q542" s="36"/>
      <c r="R542" s="36"/>
      <c r="S542" s="36"/>
      <c r="T542" s="36"/>
      <c r="U542" s="36"/>
      <c r="V542" s="36"/>
      <c r="W542" s="23"/>
      <c r="X542" s="36"/>
      <c r="Y542" s="36"/>
      <c r="Z542" s="23"/>
      <c r="AA542" s="36"/>
      <c r="AB542" s="36"/>
      <c r="AC542" s="23"/>
      <c r="AD542" s="36"/>
      <c r="AE542" s="36"/>
      <c r="AF542" s="23"/>
    </row>
    <row r="543" spans="1:32" x14ac:dyDescent="0.25">
      <c r="A543" s="23"/>
      <c r="B543" s="23"/>
      <c r="C543" s="36"/>
      <c r="D543" s="36"/>
      <c r="E543" s="23"/>
      <c r="F543" s="36"/>
      <c r="G543" s="36"/>
      <c r="H543" s="23"/>
      <c r="I543" s="36"/>
      <c r="J543" s="36"/>
      <c r="K543" s="23"/>
      <c r="L543" s="36"/>
      <c r="M543" s="36"/>
      <c r="N543" s="23"/>
      <c r="O543" s="36"/>
      <c r="P543" s="36"/>
      <c r="Q543" s="36"/>
      <c r="R543" s="36"/>
      <c r="S543" s="36"/>
      <c r="T543" s="36"/>
      <c r="U543" s="36"/>
      <c r="V543" s="36"/>
      <c r="W543" s="23"/>
      <c r="X543" s="36"/>
      <c r="Y543" s="36"/>
      <c r="Z543" s="23"/>
      <c r="AA543" s="36"/>
      <c r="AB543" s="36"/>
      <c r="AC543" s="23"/>
      <c r="AD543" s="36"/>
      <c r="AE543" s="36"/>
      <c r="AF543" s="23"/>
    </row>
    <row r="544" spans="1:32" x14ac:dyDescent="0.25">
      <c r="A544" s="23"/>
      <c r="B544" s="23"/>
      <c r="C544" s="36"/>
      <c r="D544" s="36"/>
      <c r="E544" s="23"/>
      <c r="F544" s="36"/>
      <c r="G544" s="36"/>
      <c r="H544" s="23"/>
      <c r="I544" s="36"/>
      <c r="J544" s="36"/>
      <c r="K544" s="23"/>
      <c r="L544" s="36"/>
      <c r="M544" s="36"/>
      <c r="N544" s="23"/>
      <c r="O544" s="36"/>
      <c r="P544" s="36"/>
      <c r="Q544" s="36"/>
      <c r="R544" s="36"/>
      <c r="S544" s="36"/>
      <c r="T544" s="36"/>
      <c r="U544" s="36"/>
      <c r="V544" s="36"/>
      <c r="W544" s="23"/>
      <c r="X544" s="36"/>
      <c r="Y544" s="36"/>
      <c r="Z544" s="23"/>
      <c r="AA544" s="36"/>
      <c r="AB544" s="36"/>
      <c r="AC544" s="23"/>
      <c r="AD544" s="36"/>
      <c r="AE544" s="36"/>
      <c r="AF544" s="23"/>
    </row>
    <row r="545" spans="1:32" x14ac:dyDescent="0.25">
      <c r="A545" s="23"/>
      <c r="B545" s="23"/>
      <c r="C545" s="36"/>
      <c r="D545" s="36"/>
      <c r="E545" s="23"/>
      <c r="F545" s="36"/>
      <c r="G545" s="36"/>
      <c r="H545" s="23"/>
      <c r="I545" s="36"/>
      <c r="J545" s="36"/>
      <c r="K545" s="23"/>
      <c r="L545" s="36"/>
      <c r="M545" s="36"/>
      <c r="N545" s="23"/>
      <c r="O545" s="36"/>
      <c r="P545" s="36"/>
      <c r="Q545" s="36"/>
      <c r="R545" s="36"/>
      <c r="S545" s="36"/>
      <c r="T545" s="36"/>
      <c r="U545" s="36"/>
      <c r="V545" s="36"/>
      <c r="W545" s="23"/>
      <c r="X545" s="36"/>
      <c r="Y545" s="36"/>
      <c r="Z545" s="23"/>
      <c r="AA545" s="36"/>
      <c r="AB545" s="36"/>
      <c r="AC545" s="23"/>
      <c r="AD545" s="36"/>
      <c r="AE545" s="36"/>
      <c r="AF545" s="23"/>
    </row>
    <row r="546" spans="1:32" x14ac:dyDescent="0.25">
      <c r="A546" s="23"/>
      <c r="B546" s="23"/>
      <c r="C546" s="36"/>
      <c r="D546" s="36"/>
      <c r="E546" s="23"/>
      <c r="F546" s="36"/>
      <c r="G546" s="36"/>
      <c r="H546" s="23"/>
      <c r="I546" s="36"/>
      <c r="J546" s="36"/>
      <c r="K546" s="23"/>
      <c r="L546" s="36"/>
      <c r="M546" s="36"/>
      <c r="N546" s="23"/>
      <c r="O546" s="36"/>
      <c r="P546" s="36"/>
      <c r="Q546" s="36"/>
      <c r="R546" s="36"/>
      <c r="S546" s="36"/>
      <c r="T546" s="36"/>
      <c r="U546" s="36"/>
      <c r="V546" s="36"/>
      <c r="W546" s="23"/>
      <c r="X546" s="36"/>
      <c r="Y546" s="36"/>
      <c r="Z546" s="23"/>
      <c r="AA546" s="36"/>
      <c r="AB546" s="36"/>
      <c r="AC546" s="23"/>
      <c r="AD546" s="36"/>
      <c r="AE546" s="36"/>
      <c r="AF546" s="23"/>
    </row>
    <row r="547" spans="1:32" x14ac:dyDescent="0.25">
      <c r="A547" s="23"/>
      <c r="B547" s="23"/>
      <c r="C547" s="36"/>
      <c r="D547" s="36"/>
      <c r="E547" s="23"/>
      <c r="F547" s="36"/>
      <c r="G547" s="36"/>
      <c r="H547" s="23"/>
      <c r="I547" s="36"/>
      <c r="J547" s="36"/>
      <c r="K547" s="23"/>
      <c r="L547" s="36"/>
      <c r="M547" s="36"/>
      <c r="N547" s="23"/>
      <c r="O547" s="36"/>
      <c r="P547" s="36"/>
      <c r="Q547" s="36"/>
      <c r="R547" s="36"/>
      <c r="S547" s="36"/>
      <c r="T547" s="36"/>
      <c r="U547" s="36"/>
      <c r="V547" s="36"/>
      <c r="W547" s="23"/>
      <c r="X547" s="36"/>
      <c r="Y547" s="36"/>
      <c r="Z547" s="23"/>
      <c r="AA547" s="36"/>
      <c r="AB547" s="36"/>
      <c r="AC547" s="23"/>
      <c r="AD547" s="36"/>
      <c r="AE547" s="36"/>
      <c r="AF547" s="23"/>
    </row>
    <row r="548" spans="1:32" x14ac:dyDescent="0.25">
      <c r="A548" s="23"/>
      <c r="B548" s="23"/>
      <c r="C548" s="36"/>
      <c r="D548" s="36"/>
      <c r="E548" s="23"/>
      <c r="F548" s="36"/>
      <c r="G548" s="36"/>
      <c r="H548" s="23"/>
      <c r="I548" s="36"/>
      <c r="J548" s="36"/>
      <c r="K548" s="23"/>
      <c r="L548" s="36"/>
      <c r="M548" s="36"/>
      <c r="N548" s="23"/>
      <c r="O548" s="36"/>
      <c r="P548" s="36"/>
      <c r="Q548" s="36"/>
      <c r="R548" s="36"/>
      <c r="S548" s="36"/>
      <c r="T548" s="36"/>
      <c r="U548" s="36"/>
      <c r="V548" s="36"/>
      <c r="W548" s="23"/>
      <c r="X548" s="36"/>
      <c r="Y548" s="36"/>
      <c r="Z548" s="23"/>
      <c r="AA548" s="36"/>
      <c r="AB548" s="36"/>
      <c r="AC548" s="23"/>
      <c r="AD548" s="36"/>
      <c r="AE548" s="36"/>
      <c r="AF548" s="23"/>
    </row>
    <row r="549" spans="1:32" x14ac:dyDescent="0.25">
      <c r="A549" s="23"/>
      <c r="B549" s="23"/>
      <c r="C549" s="36"/>
      <c r="D549" s="36"/>
      <c r="E549" s="23"/>
      <c r="F549" s="36"/>
      <c r="G549" s="36"/>
      <c r="H549" s="23"/>
      <c r="I549" s="36"/>
      <c r="J549" s="36"/>
      <c r="K549" s="23"/>
      <c r="L549" s="36"/>
      <c r="M549" s="36"/>
      <c r="N549" s="23"/>
      <c r="O549" s="36"/>
      <c r="P549" s="36"/>
      <c r="Q549" s="36"/>
      <c r="R549" s="36"/>
      <c r="S549" s="36"/>
      <c r="T549" s="36"/>
      <c r="U549" s="36"/>
      <c r="V549" s="36"/>
      <c r="W549" s="23"/>
      <c r="X549" s="36"/>
      <c r="Y549" s="36"/>
      <c r="Z549" s="23"/>
      <c r="AA549" s="36"/>
      <c r="AB549" s="36"/>
      <c r="AC549" s="23"/>
      <c r="AD549" s="36"/>
      <c r="AE549" s="36"/>
      <c r="AF549" s="23"/>
    </row>
    <row r="550" spans="1:32" x14ac:dyDescent="0.25">
      <c r="A550" s="23"/>
      <c r="B550" s="23"/>
      <c r="C550" s="36"/>
      <c r="D550" s="36"/>
      <c r="E550" s="23"/>
      <c r="F550" s="36"/>
      <c r="G550" s="36"/>
      <c r="H550" s="23"/>
      <c r="I550" s="36"/>
      <c r="J550" s="36"/>
      <c r="K550" s="23"/>
      <c r="L550" s="36"/>
      <c r="M550" s="36"/>
      <c r="N550" s="23"/>
      <c r="O550" s="36"/>
      <c r="P550" s="36"/>
      <c r="Q550" s="36"/>
      <c r="R550" s="36"/>
      <c r="S550" s="36"/>
      <c r="T550" s="36"/>
      <c r="U550" s="36"/>
      <c r="V550" s="36"/>
      <c r="W550" s="23"/>
      <c r="X550" s="36"/>
      <c r="Y550" s="36"/>
      <c r="Z550" s="23"/>
      <c r="AA550" s="36"/>
      <c r="AB550" s="36"/>
      <c r="AC550" s="23"/>
      <c r="AD550" s="36"/>
      <c r="AE550" s="36"/>
      <c r="AF550" s="23"/>
    </row>
    <row r="551" spans="1:32" x14ac:dyDescent="0.25">
      <c r="A551" s="23"/>
      <c r="B551" s="23"/>
      <c r="C551" s="36"/>
      <c r="D551" s="36"/>
      <c r="E551" s="23"/>
      <c r="F551" s="36"/>
      <c r="G551" s="36"/>
      <c r="H551" s="23"/>
      <c r="I551" s="36"/>
      <c r="J551" s="36"/>
      <c r="K551" s="23"/>
      <c r="L551" s="36"/>
      <c r="M551" s="36"/>
      <c r="N551" s="23"/>
      <c r="O551" s="36"/>
      <c r="P551" s="36"/>
      <c r="Q551" s="36"/>
      <c r="R551" s="36"/>
      <c r="S551" s="36"/>
      <c r="T551" s="36"/>
      <c r="U551" s="36"/>
      <c r="V551" s="36"/>
      <c r="W551" s="23"/>
      <c r="X551" s="36"/>
      <c r="Y551" s="36"/>
      <c r="Z551" s="23"/>
      <c r="AA551" s="36"/>
      <c r="AB551" s="36"/>
      <c r="AC551" s="23"/>
      <c r="AD551" s="36"/>
      <c r="AE551" s="36"/>
      <c r="AF551" s="23"/>
    </row>
    <row r="552" spans="1:32" x14ac:dyDescent="0.25">
      <c r="A552" s="23"/>
      <c r="B552" s="23"/>
      <c r="C552" s="36"/>
      <c r="D552" s="36"/>
      <c r="E552" s="23"/>
      <c r="F552" s="36"/>
      <c r="G552" s="36"/>
      <c r="H552" s="23"/>
      <c r="I552" s="36"/>
      <c r="J552" s="36"/>
      <c r="K552" s="23"/>
      <c r="L552" s="36"/>
      <c r="M552" s="36"/>
      <c r="N552" s="23"/>
      <c r="O552" s="36"/>
      <c r="P552" s="36"/>
      <c r="Q552" s="36"/>
      <c r="R552" s="36"/>
      <c r="S552" s="36"/>
      <c r="T552" s="36"/>
      <c r="U552" s="36"/>
      <c r="V552" s="36"/>
      <c r="W552" s="23"/>
      <c r="X552" s="36"/>
      <c r="Y552" s="36"/>
      <c r="Z552" s="23"/>
      <c r="AA552" s="36"/>
      <c r="AB552" s="36"/>
      <c r="AC552" s="23"/>
      <c r="AD552" s="36"/>
      <c r="AE552" s="36"/>
      <c r="AF552" s="23"/>
    </row>
    <row r="553" spans="1:32" x14ac:dyDescent="0.25">
      <c r="A553" s="23"/>
      <c r="B553" s="23"/>
      <c r="C553" s="36"/>
      <c r="D553" s="36"/>
      <c r="E553" s="23"/>
      <c r="F553" s="36"/>
      <c r="G553" s="36"/>
      <c r="H553" s="23"/>
      <c r="I553" s="36"/>
      <c r="J553" s="36"/>
      <c r="K553" s="23"/>
      <c r="L553" s="36"/>
      <c r="M553" s="36"/>
      <c r="N553" s="23"/>
      <c r="O553" s="36"/>
      <c r="P553" s="36"/>
      <c r="Q553" s="36"/>
      <c r="R553" s="36"/>
      <c r="S553" s="36"/>
      <c r="T553" s="36"/>
      <c r="U553" s="36"/>
      <c r="V553" s="36"/>
      <c r="W553" s="23"/>
      <c r="X553" s="36"/>
      <c r="Y553" s="36"/>
      <c r="Z553" s="23"/>
      <c r="AA553" s="36"/>
      <c r="AB553" s="36"/>
      <c r="AC553" s="23"/>
      <c r="AD553" s="36"/>
      <c r="AE553" s="36"/>
      <c r="AF553" s="23"/>
    </row>
    <row r="554" spans="1:32" x14ac:dyDescent="0.25">
      <c r="A554" s="23"/>
      <c r="B554" s="23"/>
      <c r="C554" s="36"/>
      <c r="D554" s="36"/>
      <c r="E554" s="23"/>
      <c r="F554" s="36"/>
      <c r="G554" s="36"/>
      <c r="H554" s="23"/>
      <c r="I554" s="36"/>
      <c r="J554" s="36"/>
      <c r="K554" s="23"/>
      <c r="L554" s="36"/>
      <c r="M554" s="36"/>
      <c r="N554" s="23"/>
      <c r="O554" s="36"/>
      <c r="P554" s="36"/>
      <c r="Q554" s="36"/>
      <c r="R554" s="36"/>
      <c r="S554" s="36"/>
      <c r="T554" s="36"/>
      <c r="U554" s="36"/>
      <c r="V554" s="36"/>
      <c r="W554" s="23"/>
      <c r="X554" s="36"/>
      <c r="Y554" s="36"/>
      <c r="Z554" s="23"/>
      <c r="AA554" s="36"/>
      <c r="AB554" s="36"/>
      <c r="AC554" s="23"/>
      <c r="AD554" s="36"/>
      <c r="AE554" s="36"/>
      <c r="AF554" s="23"/>
    </row>
    <row r="555" spans="1:32" x14ac:dyDescent="0.25">
      <c r="A555" s="23"/>
      <c r="B555" s="23"/>
      <c r="C555" s="36"/>
      <c r="D555" s="36"/>
      <c r="E555" s="23"/>
      <c r="F555" s="36"/>
      <c r="G555" s="36"/>
      <c r="H555" s="23"/>
      <c r="I555" s="36"/>
      <c r="J555" s="36"/>
      <c r="K555" s="23"/>
      <c r="L555" s="36"/>
      <c r="M555" s="36"/>
      <c r="N555" s="23"/>
      <c r="O555" s="36"/>
      <c r="P555" s="36"/>
      <c r="Q555" s="36"/>
      <c r="R555" s="36"/>
      <c r="S555" s="36"/>
      <c r="T555" s="36"/>
      <c r="U555" s="36"/>
      <c r="V555" s="36"/>
      <c r="W555" s="23"/>
      <c r="X555" s="36"/>
      <c r="Y555" s="36"/>
      <c r="Z555" s="23"/>
      <c r="AA555" s="36"/>
      <c r="AB555" s="36"/>
      <c r="AC555" s="23"/>
      <c r="AD555" s="36"/>
      <c r="AE555" s="36"/>
      <c r="AF555" s="23"/>
    </row>
    <row r="556" spans="1:32" x14ac:dyDescent="0.25">
      <c r="A556" s="23"/>
      <c r="B556" s="23"/>
      <c r="C556" s="36"/>
      <c r="D556" s="36"/>
      <c r="E556" s="23"/>
      <c r="F556" s="36"/>
      <c r="G556" s="36"/>
      <c r="H556" s="23"/>
      <c r="I556" s="36"/>
      <c r="J556" s="36"/>
      <c r="K556" s="23"/>
      <c r="L556" s="36"/>
      <c r="M556" s="36"/>
      <c r="N556" s="23"/>
      <c r="O556" s="36"/>
      <c r="P556" s="36"/>
      <c r="Q556" s="36"/>
      <c r="R556" s="36"/>
      <c r="S556" s="36"/>
      <c r="T556" s="36"/>
      <c r="U556" s="36"/>
      <c r="V556" s="36"/>
      <c r="W556" s="23"/>
      <c r="X556" s="36"/>
      <c r="Y556" s="36"/>
      <c r="Z556" s="23"/>
      <c r="AA556" s="36"/>
      <c r="AB556" s="36"/>
      <c r="AC556" s="23"/>
      <c r="AD556" s="36"/>
      <c r="AE556" s="36"/>
      <c r="AF556" s="23"/>
    </row>
    <row r="557" spans="1:32" x14ac:dyDescent="0.25">
      <c r="A557" s="23"/>
      <c r="B557" s="23"/>
      <c r="C557" s="36"/>
      <c r="D557" s="36"/>
      <c r="E557" s="23"/>
      <c r="F557" s="36"/>
      <c r="G557" s="36"/>
      <c r="H557" s="23"/>
      <c r="I557" s="36"/>
      <c r="J557" s="36"/>
      <c r="K557" s="23"/>
      <c r="L557" s="36"/>
      <c r="M557" s="36"/>
      <c r="N557" s="23"/>
      <c r="O557" s="36"/>
      <c r="P557" s="36"/>
      <c r="Q557" s="36"/>
      <c r="R557" s="36"/>
      <c r="S557" s="36"/>
      <c r="T557" s="36"/>
      <c r="U557" s="36"/>
      <c r="V557" s="36"/>
      <c r="W557" s="23"/>
      <c r="X557" s="36"/>
      <c r="Y557" s="36"/>
      <c r="Z557" s="23"/>
      <c r="AA557" s="36"/>
      <c r="AB557" s="36"/>
      <c r="AC557" s="23"/>
      <c r="AD557" s="36"/>
      <c r="AE557" s="36"/>
      <c r="AF557" s="23"/>
    </row>
    <row r="558" spans="1:32" x14ac:dyDescent="0.25">
      <c r="A558" s="23"/>
      <c r="B558" s="23"/>
      <c r="C558" s="36"/>
      <c r="D558" s="36"/>
      <c r="E558" s="23"/>
      <c r="F558" s="36"/>
      <c r="G558" s="36"/>
      <c r="H558" s="23"/>
      <c r="I558" s="36"/>
      <c r="J558" s="36"/>
      <c r="K558" s="23"/>
      <c r="L558" s="36"/>
      <c r="M558" s="36"/>
      <c r="N558" s="23"/>
      <c r="O558" s="36"/>
      <c r="P558" s="36"/>
      <c r="Q558" s="36"/>
      <c r="R558" s="36"/>
      <c r="S558" s="36"/>
      <c r="T558" s="36"/>
      <c r="U558" s="36"/>
      <c r="V558" s="36"/>
      <c r="W558" s="23"/>
      <c r="X558" s="36"/>
      <c r="Y558" s="36"/>
      <c r="Z558" s="23"/>
      <c r="AA558" s="36"/>
      <c r="AB558" s="36"/>
      <c r="AC558" s="23"/>
      <c r="AD558" s="36"/>
      <c r="AE558" s="36"/>
      <c r="AF558" s="23"/>
    </row>
    <row r="559" spans="1:32" x14ac:dyDescent="0.25">
      <c r="A559" s="23"/>
      <c r="B559" s="23"/>
      <c r="C559" s="36"/>
      <c r="D559" s="36"/>
      <c r="E559" s="23"/>
      <c r="F559" s="36"/>
      <c r="G559" s="36"/>
      <c r="H559" s="23"/>
      <c r="I559" s="36"/>
      <c r="J559" s="36"/>
      <c r="K559" s="23"/>
      <c r="L559" s="36"/>
      <c r="M559" s="36"/>
      <c r="N559" s="23"/>
      <c r="O559" s="36"/>
      <c r="P559" s="36"/>
      <c r="Q559" s="36"/>
      <c r="R559" s="36"/>
      <c r="S559" s="36"/>
      <c r="T559" s="36"/>
      <c r="U559" s="36"/>
      <c r="V559" s="36"/>
      <c r="W559" s="23"/>
      <c r="X559" s="36"/>
      <c r="Y559" s="36"/>
      <c r="Z559" s="23"/>
      <c r="AA559" s="36"/>
      <c r="AB559" s="36"/>
      <c r="AC559" s="23"/>
      <c r="AD559" s="36"/>
      <c r="AE559" s="36"/>
      <c r="AF559" s="23"/>
    </row>
    <row r="560" spans="1:32" x14ac:dyDescent="0.25">
      <c r="A560" s="23"/>
      <c r="B560" s="23"/>
      <c r="C560" s="36"/>
      <c r="D560" s="36"/>
      <c r="E560" s="23"/>
      <c r="F560" s="36"/>
      <c r="G560" s="36"/>
      <c r="H560" s="23"/>
      <c r="I560" s="36"/>
      <c r="J560" s="36"/>
      <c r="K560" s="23"/>
      <c r="L560" s="36"/>
      <c r="M560" s="36"/>
      <c r="N560" s="23"/>
      <c r="O560" s="36"/>
      <c r="P560" s="36"/>
      <c r="Q560" s="36"/>
      <c r="R560" s="36"/>
      <c r="S560" s="36"/>
      <c r="T560" s="36"/>
      <c r="U560" s="36"/>
      <c r="V560" s="36"/>
      <c r="W560" s="23"/>
      <c r="X560" s="36"/>
      <c r="Y560" s="36"/>
      <c r="Z560" s="23"/>
      <c r="AA560" s="36"/>
      <c r="AB560" s="36"/>
      <c r="AC560" s="23"/>
      <c r="AD560" s="36"/>
      <c r="AE560" s="36"/>
      <c r="AF560" s="23"/>
    </row>
    <row r="561" spans="1:32" x14ac:dyDescent="0.25">
      <c r="A561" s="23"/>
      <c r="B561" s="23"/>
      <c r="C561" s="36"/>
      <c r="D561" s="36"/>
      <c r="E561" s="23"/>
      <c r="F561" s="36"/>
      <c r="G561" s="36"/>
      <c r="H561" s="23"/>
      <c r="I561" s="36"/>
      <c r="J561" s="36"/>
      <c r="K561" s="23"/>
      <c r="L561" s="36"/>
      <c r="M561" s="36"/>
      <c r="N561" s="23"/>
      <c r="O561" s="36"/>
      <c r="P561" s="36"/>
      <c r="Q561" s="36"/>
      <c r="R561" s="36"/>
      <c r="S561" s="36"/>
      <c r="T561" s="36"/>
      <c r="U561" s="36"/>
      <c r="V561" s="36"/>
      <c r="W561" s="23"/>
      <c r="X561" s="36"/>
      <c r="Y561" s="36"/>
      <c r="Z561" s="23"/>
      <c r="AA561" s="36"/>
      <c r="AB561" s="36"/>
      <c r="AC561" s="23"/>
      <c r="AD561" s="36"/>
      <c r="AE561" s="36"/>
      <c r="AF561" s="23"/>
    </row>
    <row r="562" spans="1:32" x14ac:dyDescent="0.25">
      <c r="A562" s="23"/>
      <c r="B562" s="23"/>
      <c r="C562" s="36"/>
      <c r="D562" s="36"/>
      <c r="E562" s="23"/>
      <c r="F562" s="36"/>
      <c r="G562" s="36"/>
      <c r="H562" s="23"/>
      <c r="I562" s="36"/>
      <c r="J562" s="36"/>
      <c r="K562" s="23"/>
      <c r="L562" s="36"/>
      <c r="M562" s="36"/>
      <c r="N562" s="23"/>
      <c r="O562" s="36"/>
      <c r="P562" s="36"/>
      <c r="Q562" s="36"/>
      <c r="R562" s="36"/>
      <c r="S562" s="36"/>
      <c r="T562" s="36"/>
      <c r="U562" s="36"/>
      <c r="V562" s="36"/>
      <c r="W562" s="23"/>
      <c r="X562" s="36"/>
      <c r="Y562" s="36"/>
      <c r="Z562" s="23"/>
      <c r="AA562" s="36"/>
      <c r="AB562" s="36"/>
      <c r="AC562" s="23"/>
      <c r="AD562" s="36"/>
      <c r="AE562" s="36"/>
      <c r="AF562" s="23"/>
    </row>
    <row r="563" spans="1:32" x14ac:dyDescent="0.25">
      <c r="A563" s="23"/>
      <c r="B563" s="23"/>
      <c r="C563" s="36"/>
      <c r="D563" s="36"/>
      <c r="E563" s="23"/>
      <c r="F563" s="36"/>
      <c r="G563" s="36"/>
      <c r="H563" s="23"/>
      <c r="I563" s="36"/>
      <c r="J563" s="36"/>
      <c r="K563" s="23"/>
      <c r="L563" s="36"/>
      <c r="M563" s="36"/>
      <c r="N563" s="23"/>
      <c r="O563" s="36"/>
      <c r="P563" s="36"/>
      <c r="Q563" s="36"/>
      <c r="R563" s="36"/>
      <c r="S563" s="36"/>
      <c r="T563" s="36"/>
      <c r="U563" s="36"/>
      <c r="V563" s="36"/>
      <c r="W563" s="23"/>
      <c r="X563" s="36"/>
      <c r="Y563" s="36"/>
      <c r="Z563" s="23"/>
      <c r="AA563" s="36"/>
      <c r="AB563" s="36"/>
      <c r="AC563" s="23"/>
      <c r="AD563" s="36"/>
      <c r="AE563" s="36"/>
      <c r="AF563" s="23"/>
    </row>
    <row r="564" spans="1:32" x14ac:dyDescent="0.25">
      <c r="A564" s="23"/>
      <c r="B564" s="23"/>
      <c r="C564" s="36"/>
      <c r="D564" s="36"/>
      <c r="E564" s="23"/>
      <c r="F564" s="36"/>
      <c r="G564" s="36"/>
      <c r="H564" s="23"/>
      <c r="I564" s="36"/>
      <c r="J564" s="36"/>
      <c r="K564" s="23"/>
      <c r="L564" s="36"/>
      <c r="M564" s="36"/>
      <c r="N564" s="23"/>
      <c r="O564" s="36"/>
      <c r="P564" s="36"/>
      <c r="Q564" s="36"/>
      <c r="R564" s="36"/>
      <c r="S564" s="36"/>
      <c r="T564" s="36"/>
      <c r="U564" s="36"/>
      <c r="V564" s="36"/>
      <c r="W564" s="23"/>
      <c r="X564" s="36"/>
      <c r="Y564" s="36"/>
      <c r="Z564" s="23"/>
      <c r="AA564" s="36"/>
      <c r="AB564" s="36"/>
      <c r="AC564" s="23"/>
      <c r="AD564" s="36"/>
      <c r="AE564" s="36"/>
      <c r="AF564" s="23"/>
    </row>
    <row r="565" spans="1:32" x14ac:dyDescent="0.25">
      <c r="A565" s="23"/>
      <c r="B565" s="23"/>
      <c r="C565" s="36"/>
      <c r="D565" s="36"/>
      <c r="E565" s="23"/>
      <c r="F565" s="36"/>
      <c r="G565" s="36"/>
      <c r="H565" s="23"/>
      <c r="I565" s="36"/>
      <c r="J565" s="36"/>
      <c r="K565" s="23"/>
      <c r="L565" s="36"/>
      <c r="M565" s="36"/>
      <c r="N565" s="23"/>
      <c r="O565" s="36"/>
      <c r="P565" s="36"/>
      <c r="Q565" s="36"/>
      <c r="R565" s="36"/>
      <c r="S565" s="36"/>
      <c r="T565" s="36"/>
      <c r="U565" s="36"/>
      <c r="V565" s="36"/>
      <c r="W565" s="23"/>
      <c r="X565" s="36"/>
      <c r="Y565" s="36"/>
      <c r="Z565" s="23"/>
      <c r="AA565" s="36"/>
      <c r="AB565" s="36"/>
      <c r="AC565" s="23"/>
      <c r="AD565" s="36"/>
      <c r="AE565" s="36"/>
      <c r="AF565" s="23"/>
    </row>
    <row r="566" spans="1:32" x14ac:dyDescent="0.25">
      <c r="A566" s="23"/>
      <c r="B566" s="23"/>
      <c r="C566" s="36"/>
      <c r="D566" s="36"/>
      <c r="E566" s="23"/>
      <c r="F566" s="36"/>
      <c r="G566" s="36"/>
      <c r="H566" s="23"/>
      <c r="I566" s="36"/>
      <c r="J566" s="36"/>
      <c r="K566" s="23"/>
      <c r="L566" s="36"/>
      <c r="M566" s="36"/>
      <c r="N566" s="23"/>
      <c r="O566" s="36"/>
      <c r="P566" s="36"/>
      <c r="Q566" s="36"/>
      <c r="R566" s="36"/>
      <c r="S566" s="36"/>
      <c r="T566" s="36"/>
      <c r="U566" s="36"/>
      <c r="V566" s="36"/>
      <c r="W566" s="23"/>
      <c r="X566" s="36"/>
      <c r="Y566" s="36"/>
      <c r="Z566" s="23"/>
      <c r="AA566" s="36"/>
      <c r="AB566" s="36"/>
      <c r="AC566" s="23"/>
      <c r="AD566" s="36"/>
      <c r="AE566" s="36"/>
      <c r="AF566" s="23"/>
    </row>
    <row r="567" spans="1:32" x14ac:dyDescent="0.25">
      <c r="A567" s="23"/>
      <c r="B567" s="23"/>
      <c r="C567" s="36"/>
      <c r="D567" s="36"/>
      <c r="E567" s="23"/>
      <c r="F567" s="36"/>
      <c r="G567" s="36"/>
      <c r="H567" s="23"/>
      <c r="I567" s="36"/>
      <c r="J567" s="36"/>
      <c r="K567" s="23"/>
      <c r="L567" s="36"/>
      <c r="M567" s="36"/>
      <c r="N567" s="23"/>
      <c r="O567" s="36"/>
      <c r="P567" s="36"/>
      <c r="Q567" s="36"/>
      <c r="R567" s="36"/>
      <c r="S567" s="36"/>
      <c r="T567" s="36"/>
      <c r="U567" s="36"/>
      <c r="V567" s="36"/>
      <c r="W567" s="23"/>
      <c r="X567" s="36"/>
      <c r="Y567" s="36"/>
      <c r="Z567" s="23"/>
      <c r="AA567" s="36"/>
      <c r="AB567" s="36"/>
      <c r="AC567" s="23"/>
      <c r="AD567" s="36"/>
      <c r="AE567" s="36"/>
      <c r="AF567" s="23"/>
    </row>
    <row r="568" spans="1:32" x14ac:dyDescent="0.25">
      <c r="A568" s="23"/>
      <c r="B568" s="23"/>
      <c r="C568" s="36"/>
      <c r="D568" s="36"/>
      <c r="E568" s="23"/>
      <c r="F568" s="36"/>
      <c r="G568" s="36"/>
      <c r="H568" s="23"/>
      <c r="I568" s="36"/>
      <c r="J568" s="36"/>
      <c r="K568" s="23"/>
      <c r="L568" s="36"/>
      <c r="M568" s="36"/>
      <c r="N568" s="23"/>
      <c r="O568" s="36"/>
      <c r="P568" s="36"/>
      <c r="Q568" s="36"/>
      <c r="R568" s="36"/>
      <c r="S568" s="36"/>
      <c r="T568" s="36"/>
      <c r="U568" s="36"/>
      <c r="V568" s="36"/>
      <c r="W568" s="23"/>
      <c r="X568" s="36"/>
      <c r="Y568" s="36"/>
      <c r="Z568" s="23"/>
      <c r="AA568" s="36"/>
      <c r="AB568" s="36"/>
      <c r="AC568" s="23"/>
      <c r="AD568" s="36"/>
      <c r="AE568" s="36"/>
      <c r="AF568" s="23"/>
    </row>
    <row r="569" spans="1:32" x14ac:dyDescent="0.25">
      <c r="A569" s="23"/>
      <c r="B569" s="23"/>
      <c r="C569" s="36"/>
      <c r="D569" s="36"/>
      <c r="E569" s="23"/>
      <c r="F569" s="36"/>
      <c r="G569" s="36"/>
      <c r="H569" s="23"/>
      <c r="I569" s="36"/>
      <c r="J569" s="36"/>
      <c r="K569" s="23"/>
      <c r="L569" s="36"/>
      <c r="M569" s="36"/>
      <c r="N569" s="23"/>
      <c r="O569" s="36"/>
      <c r="P569" s="36"/>
      <c r="Q569" s="36"/>
      <c r="R569" s="36"/>
      <c r="S569" s="36"/>
      <c r="T569" s="36"/>
      <c r="U569" s="36"/>
      <c r="V569" s="36"/>
      <c r="W569" s="23"/>
      <c r="X569" s="36"/>
      <c r="Y569" s="36"/>
      <c r="Z569" s="23"/>
      <c r="AA569" s="36"/>
      <c r="AB569" s="36"/>
      <c r="AC569" s="23"/>
      <c r="AD569" s="36"/>
      <c r="AE569" s="36"/>
      <c r="AF569" s="23"/>
    </row>
    <row r="570" spans="1:32" x14ac:dyDescent="0.25">
      <c r="A570" s="23"/>
      <c r="B570" s="23"/>
      <c r="C570" s="36"/>
      <c r="D570" s="36"/>
      <c r="E570" s="23"/>
      <c r="F570" s="36"/>
      <c r="G570" s="36"/>
      <c r="H570" s="23"/>
      <c r="I570" s="36"/>
      <c r="J570" s="36"/>
      <c r="K570" s="23"/>
      <c r="L570" s="36"/>
      <c r="M570" s="36"/>
      <c r="N570" s="23"/>
      <c r="O570" s="36"/>
      <c r="P570" s="36"/>
      <c r="Q570" s="36"/>
      <c r="R570" s="36"/>
      <c r="S570" s="36"/>
      <c r="T570" s="36"/>
      <c r="U570" s="36"/>
      <c r="V570" s="36"/>
      <c r="W570" s="23"/>
      <c r="X570" s="36"/>
      <c r="Y570" s="36"/>
      <c r="Z570" s="23"/>
      <c r="AA570" s="36"/>
      <c r="AB570" s="36"/>
      <c r="AC570" s="23"/>
      <c r="AD570" s="36"/>
      <c r="AE570" s="36"/>
      <c r="AF570" s="23"/>
    </row>
    <row r="571" spans="1:32" x14ac:dyDescent="0.25">
      <c r="A571" s="23"/>
      <c r="B571" s="23"/>
      <c r="C571" s="36"/>
      <c r="D571" s="36"/>
      <c r="E571" s="23"/>
      <c r="F571" s="36"/>
      <c r="G571" s="36"/>
      <c r="H571" s="23"/>
      <c r="I571" s="36"/>
      <c r="J571" s="36"/>
      <c r="K571" s="23"/>
      <c r="L571" s="36"/>
      <c r="M571" s="36"/>
      <c r="N571" s="23"/>
      <c r="O571" s="36"/>
      <c r="P571" s="36"/>
      <c r="Q571" s="36"/>
      <c r="R571" s="36"/>
      <c r="S571" s="36"/>
      <c r="T571" s="36"/>
      <c r="U571" s="36"/>
      <c r="V571" s="36"/>
      <c r="W571" s="23"/>
      <c r="X571" s="36"/>
      <c r="Y571" s="36"/>
      <c r="Z571" s="23"/>
      <c r="AA571" s="36"/>
      <c r="AB571" s="36"/>
      <c r="AC571" s="23"/>
      <c r="AD571" s="36"/>
      <c r="AE571" s="36"/>
      <c r="AF571" s="23"/>
    </row>
    <row r="572" spans="1:32" x14ac:dyDescent="0.25">
      <c r="A572" s="23"/>
      <c r="B572" s="23"/>
      <c r="C572" s="36"/>
      <c r="D572" s="36"/>
      <c r="E572" s="23"/>
      <c r="F572" s="36"/>
      <c r="G572" s="36"/>
      <c r="H572" s="23"/>
      <c r="I572" s="36"/>
      <c r="J572" s="36"/>
      <c r="K572" s="23"/>
      <c r="L572" s="36"/>
      <c r="M572" s="36"/>
      <c r="N572" s="23"/>
      <c r="O572" s="36"/>
      <c r="P572" s="36"/>
      <c r="Q572" s="36"/>
      <c r="R572" s="36"/>
      <c r="S572" s="36"/>
      <c r="T572" s="36"/>
      <c r="U572" s="36"/>
      <c r="V572" s="36"/>
      <c r="W572" s="23"/>
      <c r="X572" s="36"/>
      <c r="Y572" s="36"/>
      <c r="Z572" s="23"/>
      <c r="AA572" s="36"/>
      <c r="AB572" s="36"/>
      <c r="AC572" s="23"/>
      <c r="AD572" s="36"/>
      <c r="AE572" s="36"/>
      <c r="AF572" s="23"/>
    </row>
    <row r="573" spans="1:32" x14ac:dyDescent="0.25">
      <c r="A573" s="23"/>
      <c r="B573" s="23"/>
      <c r="C573" s="36"/>
      <c r="D573" s="36"/>
      <c r="E573" s="23"/>
      <c r="F573" s="36"/>
      <c r="G573" s="36"/>
      <c r="H573" s="23"/>
      <c r="I573" s="36"/>
      <c r="J573" s="36"/>
      <c r="K573" s="23"/>
      <c r="L573" s="36"/>
      <c r="M573" s="36"/>
      <c r="N573" s="23"/>
      <c r="O573" s="36"/>
      <c r="P573" s="36"/>
      <c r="Q573" s="36"/>
      <c r="R573" s="36"/>
      <c r="S573" s="36"/>
      <c r="T573" s="36"/>
      <c r="U573" s="36"/>
      <c r="V573" s="36"/>
      <c r="W573" s="23"/>
      <c r="X573" s="36"/>
      <c r="Y573" s="36"/>
      <c r="Z573" s="23"/>
      <c r="AA573" s="36"/>
      <c r="AB573" s="36"/>
      <c r="AC573" s="23"/>
      <c r="AD573" s="36"/>
      <c r="AE573" s="36"/>
      <c r="AF573" s="23"/>
    </row>
    <row r="574" spans="1:32" x14ac:dyDescent="0.25">
      <c r="A574" s="23"/>
      <c r="B574" s="23"/>
      <c r="C574" s="36"/>
      <c r="D574" s="36"/>
      <c r="E574" s="23"/>
      <c r="F574" s="36"/>
      <c r="G574" s="36"/>
      <c r="H574" s="23"/>
      <c r="I574" s="36"/>
      <c r="J574" s="36"/>
      <c r="K574" s="23"/>
      <c r="L574" s="36"/>
      <c r="M574" s="36"/>
      <c r="N574" s="23"/>
      <c r="O574" s="36"/>
      <c r="P574" s="36"/>
      <c r="Q574" s="36"/>
      <c r="R574" s="36"/>
      <c r="S574" s="36"/>
      <c r="T574" s="36"/>
      <c r="U574" s="36"/>
      <c r="V574" s="36"/>
      <c r="W574" s="23"/>
      <c r="X574" s="36"/>
      <c r="Y574" s="36"/>
      <c r="Z574" s="23"/>
      <c r="AA574" s="36"/>
      <c r="AB574" s="36"/>
      <c r="AC574" s="23"/>
      <c r="AD574" s="36"/>
      <c r="AE574" s="36"/>
      <c r="AF574" s="23"/>
    </row>
    <row r="575" spans="1:32" x14ac:dyDescent="0.25">
      <c r="A575" s="23"/>
      <c r="B575" s="23"/>
      <c r="C575" s="36"/>
      <c r="D575" s="36"/>
      <c r="E575" s="23"/>
      <c r="F575" s="36"/>
      <c r="G575" s="36"/>
      <c r="H575" s="23"/>
      <c r="I575" s="36"/>
      <c r="J575" s="36"/>
      <c r="K575" s="23"/>
      <c r="L575" s="36"/>
      <c r="M575" s="36"/>
      <c r="N575" s="23"/>
      <c r="O575" s="36"/>
      <c r="P575" s="36"/>
      <c r="Q575" s="36"/>
      <c r="R575" s="36"/>
      <c r="S575" s="36"/>
      <c r="T575" s="36"/>
      <c r="U575" s="36"/>
      <c r="V575" s="36"/>
      <c r="W575" s="23"/>
      <c r="X575" s="36"/>
      <c r="Y575" s="36"/>
      <c r="Z575" s="23"/>
      <c r="AA575" s="36"/>
      <c r="AB575" s="36"/>
      <c r="AC575" s="23"/>
      <c r="AD575" s="36"/>
      <c r="AE575" s="36"/>
      <c r="AF575" s="23"/>
    </row>
    <row r="576" spans="1:32" x14ac:dyDescent="0.25">
      <c r="A576" s="23"/>
      <c r="B576" s="23"/>
      <c r="C576" s="36"/>
      <c r="D576" s="36"/>
      <c r="E576" s="23"/>
      <c r="F576" s="36"/>
      <c r="G576" s="36"/>
      <c r="H576" s="23"/>
      <c r="I576" s="36"/>
      <c r="J576" s="36"/>
      <c r="K576" s="23"/>
      <c r="L576" s="36"/>
      <c r="M576" s="36"/>
      <c r="N576" s="23"/>
      <c r="O576" s="36"/>
      <c r="P576" s="36"/>
      <c r="Q576" s="36"/>
      <c r="R576" s="36"/>
      <c r="S576" s="36"/>
      <c r="T576" s="36"/>
      <c r="U576" s="36"/>
      <c r="V576" s="36"/>
      <c r="W576" s="23"/>
      <c r="X576" s="36"/>
      <c r="Y576" s="36"/>
      <c r="Z576" s="23"/>
      <c r="AA576" s="36"/>
      <c r="AB576" s="36"/>
      <c r="AC576" s="23"/>
      <c r="AD576" s="36"/>
      <c r="AE576" s="36"/>
      <c r="AF576" s="23"/>
    </row>
    <row r="577" spans="1:32" x14ac:dyDescent="0.25">
      <c r="A577" s="23"/>
      <c r="B577" s="23"/>
      <c r="C577" s="36"/>
      <c r="D577" s="36"/>
      <c r="E577" s="23"/>
      <c r="F577" s="36"/>
      <c r="G577" s="36"/>
      <c r="H577" s="23"/>
      <c r="I577" s="36"/>
      <c r="J577" s="36"/>
      <c r="K577" s="23"/>
      <c r="L577" s="36"/>
      <c r="M577" s="36"/>
      <c r="N577" s="23"/>
      <c r="O577" s="36"/>
      <c r="P577" s="36"/>
      <c r="Q577" s="36"/>
      <c r="R577" s="36"/>
      <c r="S577" s="36"/>
      <c r="T577" s="36"/>
      <c r="U577" s="36"/>
      <c r="V577" s="36"/>
      <c r="W577" s="23"/>
      <c r="X577" s="36"/>
      <c r="Y577" s="36"/>
      <c r="Z577" s="23"/>
      <c r="AA577" s="36"/>
      <c r="AB577" s="36"/>
      <c r="AC577" s="23"/>
      <c r="AD577" s="36"/>
      <c r="AE577" s="36"/>
      <c r="AF577" s="23"/>
    </row>
    <row r="578" spans="1:32" x14ac:dyDescent="0.25">
      <c r="A578" s="23"/>
      <c r="B578" s="23"/>
      <c r="C578" s="36"/>
      <c r="D578" s="36"/>
      <c r="E578" s="23"/>
      <c r="F578" s="36"/>
      <c r="G578" s="36"/>
      <c r="H578" s="23"/>
      <c r="I578" s="36"/>
      <c r="J578" s="36"/>
      <c r="K578" s="23"/>
      <c r="L578" s="36"/>
      <c r="M578" s="36"/>
      <c r="N578" s="23"/>
      <c r="O578" s="36"/>
      <c r="P578" s="36"/>
      <c r="Q578" s="36"/>
      <c r="R578" s="36"/>
      <c r="S578" s="36"/>
      <c r="T578" s="36"/>
      <c r="U578" s="36"/>
      <c r="V578" s="36"/>
      <c r="W578" s="23"/>
      <c r="X578" s="36"/>
      <c r="Y578" s="36"/>
      <c r="Z578" s="23"/>
      <c r="AA578" s="36"/>
      <c r="AB578" s="36"/>
      <c r="AC578" s="23"/>
      <c r="AD578" s="36"/>
      <c r="AE578" s="36"/>
      <c r="AF578" s="23"/>
    </row>
    <row r="579" spans="1:32" x14ac:dyDescent="0.25">
      <c r="A579" s="23"/>
      <c r="B579" s="23"/>
      <c r="C579" s="36"/>
      <c r="D579" s="36"/>
      <c r="E579" s="23"/>
      <c r="F579" s="36"/>
      <c r="G579" s="36"/>
      <c r="H579" s="23"/>
      <c r="I579" s="36"/>
      <c r="J579" s="36"/>
      <c r="K579" s="23"/>
      <c r="L579" s="36"/>
      <c r="M579" s="36"/>
      <c r="N579" s="23"/>
      <c r="O579" s="36"/>
      <c r="P579" s="36"/>
      <c r="Q579" s="36"/>
      <c r="R579" s="36"/>
      <c r="S579" s="36"/>
      <c r="T579" s="36"/>
      <c r="U579" s="36"/>
      <c r="V579" s="36"/>
      <c r="W579" s="23"/>
      <c r="X579" s="36"/>
      <c r="Y579" s="36"/>
      <c r="Z579" s="23"/>
      <c r="AA579" s="36"/>
      <c r="AB579" s="36"/>
      <c r="AC579" s="23"/>
      <c r="AD579" s="36"/>
      <c r="AE579" s="36"/>
      <c r="AF579" s="23"/>
    </row>
    <row r="580" spans="1:32" x14ac:dyDescent="0.25">
      <c r="A580" s="23"/>
      <c r="B580" s="23"/>
      <c r="C580" s="36"/>
      <c r="D580" s="36"/>
      <c r="E580" s="23"/>
      <c r="F580" s="36"/>
      <c r="G580" s="36"/>
      <c r="H580" s="23"/>
      <c r="I580" s="36"/>
      <c r="J580" s="36"/>
      <c r="K580" s="23"/>
      <c r="L580" s="36"/>
      <c r="M580" s="36"/>
      <c r="N580" s="23"/>
      <c r="O580" s="36"/>
      <c r="P580" s="36"/>
      <c r="Q580" s="36"/>
      <c r="R580" s="36"/>
      <c r="S580" s="36"/>
      <c r="T580" s="36"/>
      <c r="U580" s="36"/>
      <c r="V580" s="36"/>
      <c r="W580" s="23"/>
      <c r="X580" s="36"/>
      <c r="Y580" s="36"/>
      <c r="Z580" s="23"/>
      <c r="AA580" s="36"/>
      <c r="AB580" s="36"/>
      <c r="AC580" s="23"/>
      <c r="AD580" s="36"/>
      <c r="AE580" s="36"/>
      <c r="AF580" s="23"/>
    </row>
    <row r="581" spans="1:32" x14ac:dyDescent="0.25">
      <c r="A581" s="23"/>
      <c r="B581" s="23"/>
      <c r="C581" s="36"/>
      <c r="D581" s="36"/>
      <c r="E581" s="23"/>
      <c r="F581" s="36"/>
      <c r="G581" s="36"/>
      <c r="H581" s="23"/>
      <c r="I581" s="36"/>
      <c r="J581" s="36"/>
      <c r="K581" s="23"/>
      <c r="L581" s="36"/>
      <c r="M581" s="36"/>
      <c r="N581" s="23"/>
      <c r="O581" s="36"/>
      <c r="P581" s="36"/>
      <c r="Q581" s="36"/>
      <c r="R581" s="36"/>
      <c r="S581" s="36"/>
      <c r="T581" s="36"/>
      <c r="U581" s="36"/>
      <c r="V581" s="36"/>
      <c r="W581" s="23"/>
      <c r="X581" s="36"/>
      <c r="Y581" s="36"/>
      <c r="Z581" s="23"/>
      <c r="AA581" s="36"/>
      <c r="AB581" s="36"/>
      <c r="AC581" s="23"/>
      <c r="AD581" s="36"/>
      <c r="AE581" s="36"/>
      <c r="AF581" s="23"/>
    </row>
    <row r="582" spans="1:32" x14ac:dyDescent="0.25">
      <c r="A582" s="23"/>
      <c r="B582" s="23"/>
      <c r="C582" s="36"/>
      <c r="D582" s="36"/>
      <c r="E582" s="23"/>
      <c r="F582" s="36"/>
      <c r="G582" s="36"/>
      <c r="H582" s="23"/>
      <c r="I582" s="36"/>
      <c r="J582" s="36"/>
      <c r="K582" s="23"/>
      <c r="L582" s="36"/>
      <c r="M582" s="36"/>
      <c r="N582" s="23"/>
      <c r="O582" s="36"/>
      <c r="P582" s="36"/>
      <c r="Q582" s="36"/>
      <c r="R582" s="36"/>
      <c r="S582" s="36"/>
      <c r="T582" s="36"/>
      <c r="U582" s="36"/>
      <c r="V582" s="36"/>
      <c r="W582" s="23"/>
      <c r="X582" s="36"/>
      <c r="Y582" s="36"/>
      <c r="Z582" s="23"/>
      <c r="AA582" s="36"/>
      <c r="AB582" s="36"/>
      <c r="AC582" s="23"/>
      <c r="AD582" s="36"/>
      <c r="AE582" s="36"/>
      <c r="AF582" s="23"/>
    </row>
    <row r="583" spans="1:32" x14ac:dyDescent="0.25">
      <c r="A583" s="23"/>
      <c r="B583" s="23"/>
      <c r="C583" s="36"/>
      <c r="D583" s="36"/>
      <c r="E583" s="23"/>
      <c r="F583" s="36"/>
      <c r="G583" s="36"/>
      <c r="H583" s="23"/>
      <c r="I583" s="36"/>
      <c r="J583" s="36"/>
      <c r="K583" s="23"/>
      <c r="L583" s="36"/>
      <c r="M583" s="36"/>
      <c r="N583" s="23"/>
      <c r="O583" s="36"/>
      <c r="P583" s="36"/>
      <c r="Q583" s="36"/>
      <c r="R583" s="36"/>
      <c r="S583" s="36"/>
      <c r="T583" s="36"/>
      <c r="U583" s="36"/>
      <c r="V583" s="36"/>
      <c r="W583" s="23"/>
      <c r="X583" s="36"/>
      <c r="Y583" s="36"/>
      <c r="Z583" s="23"/>
      <c r="AA583" s="36"/>
      <c r="AB583" s="36"/>
      <c r="AC583" s="23"/>
      <c r="AD583" s="36"/>
      <c r="AE583" s="36"/>
      <c r="AF583" s="23"/>
    </row>
    <row r="584" spans="1:32" x14ac:dyDescent="0.25">
      <c r="A584" s="23"/>
      <c r="B584" s="23"/>
      <c r="C584" s="36"/>
      <c r="D584" s="36"/>
      <c r="E584" s="23"/>
      <c r="F584" s="36"/>
      <c r="G584" s="36"/>
      <c r="H584" s="23"/>
      <c r="I584" s="36"/>
      <c r="J584" s="36"/>
      <c r="K584" s="23"/>
      <c r="L584" s="36"/>
      <c r="M584" s="36"/>
      <c r="N584" s="23"/>
      <c r="O584" s="36"/>
      <c r="P584" s="36"/>
      <c r="Q584" s="36"/>
      <c r="R584" s="36"/>
      <c r="S584" s="36"/>
      <c r="T584" s="36"/>
      <c r="U584" s="36"/>
      <c r="V584" s="36"/>
      <c r="W584" s="23"/>
      <c r="X584" s="36"/>
      <c r="Y584" s="36"/>
      <c r="Z584" s="23"/>
      <c r="AA584" s="36"/>
      <c r="AB584" s="36"/>
      <c r="AC584" s="23"/>
      <c r="AD584" s="36"/>
      <c r="AE584" s="36"/>
      <c r="AF584" s="23"/>
    </row>
    <row r="585" spans="1:32" x14ac:dyDescent="0.25">
      <c r="A585" s="23"/>
      <c r="B585" s="23"/>
      <c r="C585" s="36"/>
      <c r="D585" s="36"/>
      <c r="E585" s="23"/>
      <c r="F585" s="36"/>
      <c r="G585" s="36"/>
      <c r="H585" s="23"/>
      <c r="I585" s="36"/>
      <c r="J585" s="36"/>
      <c r="K585" s="23"/>
      <c r="L585" s="36"/>
      <c r="M585" s="36"/>
      <c r="N585" s="23"/>
      <c r="O585" s="36"/>
      <c r="P585" s="36"/>
      <c r="Q585" s="36"/>
      <c r="R585" s="36"/>
      <c r="S585" s="36"/>
      <c r="T585" s="36"/>
      <c r="U585" s="36"/>
      <c r="V585" s="36"/>
      <c r="W585" s="23"/>
      <c r="X585" s="36"/>
      <c r="Y585" s="36"/>
      <c r="Z585" s="23"/>
      <c r="AA585" s="36"/>
      <c r="AB585" s="36"/>
      <c r="AC585" s="23"/>
      <c r="AD585" s="36"/>
      <c r="AE585" s="36"/>
      <c r="AF585" s="23"/>
    </row>
    <row r="586" spans="1:32" x14ac:dyDescent="0.25">
      <c r="A586" s="23"/>
      <c r="B586" s="23"/>
      <c r="C586" s="36"/>
      <c r="D586" s="36"/>
      <c r="E586" s="23"/>
      <c r="F586" s="36"/>
      <c r="G586" s="36"/>
      <c r="H586" s="23"/>
      <c r="I586" s="36"/>
      <c r="J586" s="36"/>
      <c r="K586" s="23"/>
      <c r="L586" s="36"/>
      <c r="M586" s="36"/>
      <c r="N586" s="23"/>
      <c r="O586" s="36"/>
      <c r="P586" s="36"/>
      <c r="Q586" s="36"/>
      <c r="R586" s="36"/>
      <c r="S586" s="36"/>
      <c r="T586" s="36"/>
      <c r="U586" s="36"/>
      <c r="V586" s="36"/>
      <c r="W586" s="23"/>
      <c r="X586" s="36"/>
      <c r="Y586" s="36"/>
      <c r="Z586" s="23"/>
      <c r="AA586" s="36"/>
      <c r="AB586" s="36"/>
      <c r="AC586" s="23"/>
      <c r="AD586" s="36"/>
      <c r="AE586" s="36"/>
      <c r="AF586" s="23"/>
    </row>
    <row r="587" spans="1:32" x14ac:dyDescent="0.25">
      <c r="A587" s="23"/>
      <c r="B587" s="23"/>
      <c r="C587" s="36"/>
      <c r="D587" s="36"/>
      <c r="E587" s="23"/>
      <c r="F587" s="36"/>
      <c r="G587" s="36"/>
      <c r="H587" s="23"/>
      <c r="I587" s="36"/>
      <c r="J587" s="36"/>
      <c r="K587" s="23"/>
      <c r="L587" s="36"/>
      <c r="M587" s="36"/>
      <c r="N587" s="23"/>
      <c r="O587" s="36"/>
      <c r="P587" s="36"/>
      <c r="Q587" s="36"/>
      <c r="R587" s="36"/>
      <c r="S587" s="36"/>
      <c r="T587" s="36"/>
      <c r="U587" s="36"/>
      <c r="V587" s="36"/>
      <c r="W587" s="23"/>
      <c r="X587" s="36"/>
      <c r="Y587" s="36"/>
      <c r="Z587" s="23"/>
      <c r="AA587" s="36"/>
      <c r="AB587" s="36"/>
      <c r="AC587" s="23"/>
      <c r="AD587" s="36"/>
      <c r="AE587" s="36"/>
      <c r="AF587" s="23"/>
    </row>
    <row r="588" spans="1:32" x14ac:dyDescent="0.25">
      <c r="A588" s="23"/>
      <c r="B588" s="23"/>
      <c r="C588" s="36"/>
      <c r="D588" s="36"/>
      <c r="E588" s="23"/>
      <c r="F588" s="36"/>
      <c r="G588" s="36"/>
      <c r="H588" s="23"/>
      <c r="I588" s="36"/>
      <c r="J588" s="36"/>
      <c r="K588" s="23"/>
      <c r="L588" s="36"/>
      <c r="M588" s="36"/>
      <c r="N588" s="23"/>
      <c r="O588" s="36"/>
      <c r="P588" s="36"/>
      <c r="Q588" s="36"/>
      <c r="R588" s="36"/>
      <c r="S588" s="36"/>
      <c r="T588" s="36"/>
      <c r="U588" s="36"/>
      <c r="V588" s="36"/>
      <c r="W588" s="23"/>
      <c r="X588" s="36"/>
      <c r="Y588" s="36"/>
      <c r="Z588" s="23"/>
      <c r="AA588" s="36"/>
      <c r="AB588" s="36"/>
      <c r="AC588" s="23"/>
      <c r="AD588" s="36"/>
      <c r="AE588" s="36"/>
      <c r="AF588" s="23"/>
    </row>
    <row r="589" spans="1:32" x14ac:dyDescent="0.25">
      <c r="A589" s="23"/>
      <c r="B589" s="23"/>
      <c r="C589" s="36"/>
      <c r="D589" s="36"/>
      <c r="E589" s="23"/>
      <c r="F589" s="36"/>
      <c r="G589" s="36"/>
      <c r="H589" s="23"/>
      <c r="I589" s="36"/>
      <c r="J589" s="36"/>
      <c r="K589" s="23"/>
      <c r="L589" s="36"/>
      <c r="M589" s="36"/>
      <c r="N589" s="23"/>
      <c r="O589" s="36"/>
      <c r="P589" s="36"/>
      <c r="Q589" s="36"/>
      <c r="R589" s="36"/>
      <c r="S589" s="36"/>
      <c r="T589" s="36"/>
      <c r="U589" s="36"/>
      <c r="V589" s="36"/>
      <c r="W589" s="23"/>
      <c r="X589" s="36"/>
      <c r="Y589" s="36"/>
      <c r="Z589" s="23"/>
      <c r="AA589" s="36"/>
      <c r="AB589" s="36"/>
      <c r="AC589" s="23"/>
      <c r="AD589" s="36"/>
      <c r="AE589" s="36"/>
      <c r="AF589" s="23"/>
    </row>
    <row r="590" spans="1:32" x14ac:dyDescent="0.25">
      <c r="A590" s="23"/>
      <c r="B590" s="23"/>
      <c r="C590" s="36"/>
      <c r="D590" s="36"/>
      <c r="E590" s="23"/>
      <c r="F590" s="36"/>
      <c r="G590" s="36"/>
      <c r="H590" s="23"/>
      <c r="I590" s="36"/>
      <c r="J590" s="36"/>
      <c r="K590" s="23"/>
      <c r="L590" s="36"/>
      <c r="M590" s="36"/>
      <c r="N590" s="23"/>
      <c r="O590" s="36"/>
      <c r="P590" s="36"/>
      <c r="Q590" s="36"/>
      <c r="R590" s="36"/>
      <c r="S590" s="36"/>
      <c r="T590" s="36"/>
      <c r="U590" s="36"/>
      <c r="V590" s="36"/>
      <c r="W590" s="23"/>
      <c r="X590" s="36"/>
      <c r="Y590" s="36"/>
      <c r="Z590" s="23"/>
      <c r="AA590" s="36"/>
      <c r="AB590" s="36"/>
      <c r="AC590" s="23"/>
      <c r="AD590" s="36"/>
      <c r="AE590" s="36"/>
      <c r="AF590" s="23"/>
    </row>
    <row r="591" spans="1:32" x14ac:dyDescent="0.25">
      <c r="A591" s="23"/>
      <c r="B591" s="23"/>
      <c r="C591" s="36"/>
      <c r="D591" s="36"/>
      <c r="E591" s="23"/>
      <c r="F591" s="36"/>
      <c r="G591" s="36"/>
      <c r="H591" s="23"/>
      <c r="I591" s="36"/>
      <c r="J591" s="36"/>
      <c r="K591" s="23"/>
      <c r="L591" s="36"/>
      <c r="M591" s="36"/>
      <c r="N591" s="23"/>
      <c r="O591" s="36"/>
      <c r="P591" s="36"/>
      <c r="Q591" s="36"/>
      <c r="R591" s="36"/>
      <c r="S591" s="36"/>
      <c r="T591" s="36"/>
      <c r="U591" s="36"/>
      <c r="V591" s="36"/>
      <c r="W591" s="23"/>
      <c r="X591" s="36"/>
      <c r="Y591" s="36"/>
      <c r="Z591" s="23"/>
      <c r="AA591" s="36"/>
      <c r="AB591" s="36"/>
      <c r="AC591" s="23"/>
      <c r="AD591" s="36"/>
      <c r="AE591" s="36"/>
      <c r="AF591" s="23"/>
    </row>
    <row r="592" spans="1:32" x14ac:dyDescent="0.25">
      <c r="A592" s="23"/>
      <c r="B592" s="23"/>
      <c r="C592" s="36"/>
      <c r="D592" s="36"/>
      <c r="E592" s="23"/>
      <c r="F592" s="36"/>
      <c r="G592" s="36"/>
      <c r="H592" s="23"/>
      <c r="I592" s="36"/>
      <c r="J592" s="36"/>
      <c r="K592" s="23"/>
      <c r="L592" s="36"/>
      <c r="M592" s="36"/>
      <c r="N592" s="23"/>
      <c r="O592" s="36"/>
      <c r="P592" s="36"/>
      <c r="Q592" s="36"/>
      <c r="R592" s="36"/>
      <c r="S592" s="36"/>
      <c r="T592" s="36"/>
      <c r="U592" s="36"/>
      <c r="V592" s="36"/>
      <c r="W592" s="23"/>
      <c r="X592" s="36"/>
      <c r="Y592" s="36"/>
      <c r="Z592" s="23"/>
      <c r="AA592" s="36"/>
      <c r="AB592" s="36"/>
      <c r="AC592" s="23"/>
      <c r="AD592" s="36"/>
      <c r="AE592" s="36"/>
      <c r="AF592" s="23"/>
    </row>
    <row r="593" spans="1:32" x14ac:dyDescent="0.25">
      <c r="A593" s="23"/>
      <c r="B593" s="23"/>
      <c r="C593" s="36"/>
      <c r="D593" s="36"/>
      <c r="E593" s="23"/>
      <c r="F593" s="36"/>
      <c r="G593" s="36"/>
      <c r="H593" s="23"/>
      <c r="I593" s="36"/>
      <c r="J593" s="36"/>
      <c r="K593" s="23"/>
      <c r="L593" s="36"/>
      <c r="M593" s="36"/>
      <c r="N593" s="23"/>
      <c r="O593" s="36"/>
      <c r="P593" s="36"/>
      <c r="Q593" s="36"/>
      <c r="R593" s="36"/>
      <c r="S593" s="36"/>
      <c r="T593" s="36"/>
      <c r="U593" s="36"/>
      <c r="V593" s="36"/>
      <c r="W593" s="23"/>
      <c r="X593" s="36"/>
      <c r="Y593" s="36"/>
      <c r="Z593" s="23"/>
      <c r="AA593" s="36"/>
      <c r="AB593" s="36"/>
      <c r="AC593" s="23"/>
      <c r="AD593" s="36"/>
      <c r="AE593" s="36"/>
      <c r="AF593" s="23"/>
    </row>
    <row r="594" spans="1:32" x14ac:dyDescent="0.25">
      <c r="A594" s="23"/>
      <c r="B594" s="23"/>
      <c r="C594" s="36"/>
      <c r="D594" s="36"/>
      <c r="E594" s="23"/>
      <c r="F594" s="36"/>
      <c r="G594" s="36"/>
      <c r="H594" s="23"/>
      <c r="I594" s="36"/>
      <c r="J594" s="36"/>
      <c r="K594" s="23"/>
      <c r="L594" s="36"/>
      <c r="M594" s="36"/>
      <c r="N594" s="23"/>
      <c r="O594" s="36"/>
      <c r="P594" s="36"/>
      <c r="Q594" s="36"/>
      <c r="R594" s="36"/>
      <c r="S594" s="36"/>
      <c r="T594" s="36"/>
      <c r="U594" s="36"/>
      <c r="V594" s="36"/>
      <c r="W594" s="23"/>
      <c r="X594" s="36"/>
      <c r="Y594" s="36"/>
      <c r="Z594" s="23"/>
      <c r="AA594" s="36"/>
      <c r="AB594" s="36"/>
      <c r="AC594" s="23"/>
      <c r="AD594" s="36"/>
      <c r="AE594" s="36"/>
      <c r="AF594" s="23"/>
    </row>
    <row r="595" spans="1:32" x14ac:dyDescent="0.25">
      <c r="A595" s="23"/>
      <c r="B595" s="23"/>
      <c r="C595" s="36"/>
      <c r="D595" s="36"/>
      <c r="E595" s="23"/>
      <c r="F595" s="36"/>
      <c r="G595" s="36"/>
      <c r="H595" s="23"/>
      <c r="I595" s="36"/>
      <c r="J595" s="36"/>
      <c r="K595" s="23"/>
      <c r="L595" s="36"/>
      <c r="M595" s="36"/>
      <c r="N595" s="23"/>
      <c r="O595" s="36"/>
      <c r="P595" s="36"/>
      <c r="Q595" s="36"/>
      <c r="R595" s="36"/>
      <c r="S595" s="36"/>
      <c r="T595" s="36"/>
      <c r="U595" s="36"/>
      <c r="V595" s="36"/>
      <c r="W595" s="23"/>
      <c r="X595" s="36"/>
      <c r="Y595" s="36"/>
      <c r="Z595" s="23"/>
      <c r="AA595" s="36"/>
      <c r="AB595" s="36"/>
      <c r="AC595" s="23"/>
      <c r="AD595" s="36"/>
      <c r="AE595" s="36"/>
      <c r="AF595" s="23"/>
    </row>
    <row r="596" spans="1:32" x14ac:dyDescent="0.25">
      <c r="A596" s="23"/>
      <c r="B596" s="23"/>
      <c r="C596" s="36"/>
      <c r="D596" s="36"/>
      <c r="E596" s="23"/>
      <c r="F596" s="36"/>
      <c r="G596" s="36"/>
      <c r="H596" s="23"/>
      <c r="I596" s="36"/>
      <c r="J596" s="36"/>
      <c r="K596" s="23"/>
      <c r="L596" s="36"/>
      <c r="M596" s="36"/>
      <c r="N596" s="23"/>
      <c r="O596" s="36"/>
      <c r="P596" s="36"/>
      <c r="Q596" s="36"/>
      <c r="R596" s="36"/>
      <c r="S596" s="36"/>
      <c r="T596" s="36"/>
      <c r="U596" s="36"/>
      <c r="V596" s="36"/>
      <c r="W596" s="23"/>
      <c r="X596" s="36"/>
      <c r="Y596" s="36"/>
      <c r="Z596" s="23"/>
      <c r="AA596" s="36"/>
      <c r="AB596" s="36"/>
      <c r="AC596" s="23"/>
      <c r="AD596" s="36"/>
      <c r="AE596" s="36"/>
      <c r="AF596" s="23"/>
    </row>
    <row r="597" spans="1:32" x14ac:dyDescent="0.25">
      <c r="A597" s="23"/>
      <c r="B597" s="23"/>
      <c r="C597" s="36"/>
      <c r="D597" s="36"/>
      <c r="E597" s="23"/>
      <c r="F597" s="36"/>
      <c r="G597" s="36"/>
      <c r="H597" s="23"/>
      <c r="I597" s="36"/>
      <c r="J597" s="36"/>
      <c r="K597" s="23"/>
      <c r="L597" s="36"/>
      <c r="M597" s="36"/>
      <c r="N597" s="23"/>
      <c r="O597" s="36"/>
      <c r="P597" s="36"/>
      <c r="Q597" s="36"/>
      <c r="R597" s="36"/>
      <c r="S597" s="36"/>
      <c r="T597" s="36"/>
      <c r="U597" s="36"/>
      <c r="V597" s="36"/>
      <c r="W597" s="23"/>
      <c r="X597" s="36"/>
      <c r="Y597" s="36"/>
      <c r="Z597" s="23"/>
      <c r="AA597" s="36"/>
      <c r="AB597" s="36"/>
      <c r="AC597" s="23"/>
      <c r="AD597" s="36"/>
      <c r="AE597" s="36"/>
      <c r="AF597" s="23"/>
    </row>
    <row r="598" spans="1:32" x14ac:dyDescent="0.25">
      <c r="A598" s="23"/>
      <c r="B598" s="23"/>
      <c r="C598" s="36"/>
      <c r="D598" s="36"/>
      <c r="E598" s="23"/>
      <c r="F598" s="36"/>
      <c r="G598" s="36"/>
      <c r="H598" s="23"/>
      <c r="I598" s="36"/>
      <c r="J598" s="36"/>
      <c r="K598" s="23"/>
      <c r="L598" s="36"/>
      <c r="M598" s="36"/>
      <c r="N598" s="23"/>
      <c r="O598" s="36"/>
      <c r="P598" s="36"/>
      <c r="Q598" s="36"/>
      <c r="R598" s="36"/>
      <c r="S598" s="36"/>
      <c r="T598" s="36"/>
      <c r="U598" s="36"/>
      <c r="V598" s="36"/>
      <c r="W598" s="23"/>
      <c r="X598" s="36"/>
      <c r="Y598" s="36"/>
      <c r="Z598" s="23"/>
      <c r="AA598" s="36"/>
      <c r="AB598" s="36"/>
      <c r="AC598" s="23"/>
      <c r="AD598" s="36"/>
      <c r="AE598" s="36"/>
      <c r="AF598" s="23"/>
    </row>
    <row r="599" spans="1:32" x14ac:dyDescent="0.25">
      <c r="A599" s="23"/>
      <c r="B599" s="23"/>
      <c r="C599" s="36"/>
      <c r="D599" s="36"/>
      <c r="E599" s="23"/>
      <c r="F599" s="36"/>
      <c r="G599" s="36"/>
      <c r="H599" s="23"/>
      <c r="I599" s="36"/>
      <c r="J599" s="36"/>
      <c r="K599" s="23"/>
      <c r="L599" s="36"/>
      <c r="M599" s="36"/>
      <c r="N599" s="23"/>
      <c r="O599" s="36"/>
      <c r="P599" s="36"/>
      <c r="Q599" s="36"/>
      <c r="R599" s="36"/>
      <c r="S599" s="36"/>
      <c r="T599" s="36"/>
      <c r="U599" s="36"/>
      <c r="V599" s="36"/>
      <c r="W599" s="23"/>
      <c r="X599" s="36"/>
      <c r="Y599" s="36"/>
      <c r="Z599" s="23"/>
      <c r="AA599" s="36"/>
      <c r="AB599" s="36"/>
      <c r="AC599" s="23"/>
      <c r="AD599" s="36"/>
      <c r="AE599" s="36"/>
      <c r="AF599" s="23"/>
    </row>
    <row r="600" spans="1:32" x14ac:dyDescent="0.25">
      <c r="A600" s="23"/>
      <c r="B600" s="23"/>
      <c r="C600" s="36"/>
      <c r="D600" s="36"/>
      <c r="E600" s="23"/>
      <c r="F600" s="36"/>
      <c r="G600" s="36"/>
      <c r="H600" s="23"/>
      <c r="I600" s="36"/>
      <c r="J600" s="36"/>
      <c r="K600" s="23"/>
      <c r="L600" s="36"/>
      <c r="M600" s="36"/>
      <c r="N600" s="23"/>
      <c r="O600" s="36"/>
      <c r="P600" s="36"/>
      <c r="Q600" s="36"/>
      <c r="R600" s="36"/>
      <c r="S600" s="36"/>
      <c r="T600" s="36"/>
      <c r="U600" s="36"/>
      <c r="V600" s="36"/>
      <c r="W600" s="23"/>
      <c r="X600" s="36"/>
      <c r="Y600" s="36"/>
      <c r="Z600" s="23"/>
      <c r="AA600" s="36"/>
      <c r="AB600" s="36"/>
      <c r="AC600" s="23"/>
      <c r="AD600" s="36"/>
      <c r="AE600" s="36"/>
      <c r="AF600" s="23"/>
    </row>
    <row r="601" spans="1:32" x14ac:dyDescent="0.25">
      <c r="A601" s="23"/>
      <c r="B601" s="23"/>
      <c r="C601" s="36"/>
      <c r="D601" s="36"/>
      <c r="E601" s="23"/>
      <c r="F601" s="36"/>
      <c r="G601" s="36"/>
      <c r="H601" s="23"/>
      <c r="I601" s="36"/>
      <c r="J601" s="36"/>
      <c r="K601" s="23"/>
      <c r="L601" s="36"/>
      <c r="M601" s="36"/>
      <c r="N601" s="23"/>
      <c r="O601" s="36"/>
      <c r="P601" s="36"/>
      <c r="Q601" s="36"/>
      <c r="R601" s="36"/>
      <c r="S601" s="36"/>
      <c r="T601" s="36"/>
      <c r="U601" s="36"/>
      <c r="V601" s="36"/>
      <c r="W601" s="23"/>
      <c r="X601" s="36"/>
      <c r="Y601" s="36"/>
      <c r="Z601" s="23"/>
      <c r="AA601" s="36"/>
      <c r="AB601" s="36"/>
      <c r="AC601" s="23"/>
      <c r="AD601" s="36"/>
      <c r="AE601" s="36"/>
      <c r="AF601" s="23"/>
    </row>
    <row r="602" spans="1:32" x14ac:dyDescent="0.25">
      <c r="A602" s="23"/>
      <c r="B602" s="23"/>
      <c r="C602" s="36"/>
      <c r="D602" s="36"/>
      <c r="E602" s="23"/>
      <c r="F602" s="36"/>
      <c r="G602" s="36"/>
      <c r="H602" s="23"/>
      <c r="I602" s="36"/>
      <c r="J602" s="36"/>
      <c r="K602" s="23"/>
      <c r="L602" s="36"/>
      <c r="M602" s="36"/>
      <c r="N602" s="23"/>
      <c r="O602" s="36"/>
      <c r="P602" s="36"/>
      <c r="Q602" s="36"/>
      <c r="R602" s="36"/>
      <c r="S602" s="36"/>
      <c r="T602" s="36"/>
      <c r="U602" s="36"/>
      <c r="V602" s="36"/>
      <c r="W602" s="23"/>
      <c r="X602" s="36"/>
      <c r="Y602" s="36"/>
      <c r="Z602" s="23"/>
      <c r="AA602" s="36"/>
      <c r="AB602" s="36"/>
      <c r="AC602" s="23"/>
      <c r="AD602" s="36"/>
      <c r="AE602" s="36"/>
      <c r="AF602" s="23"/>
    </row>
    <row r="603" spans="1:32" x14ac:dyDescent="0.25">
      <c r="A603" s="23"/>
      <c r="B603" s="23"/>
      <c r="C603" s="36"/>
      <c r="D603" s="36"/>
      <c r="E603" s="23"/>
      <c r="F603" s="36"/>
      <c r="G603" s="36"/>
      <c r="H603" s="23"/>
      <c r="I603" s="36"/>
      <c r="J603" s="36"/>
      <c r="K603" s="23"/>
      <c r="L603" s="36"/>
      <c r="M603" s="36"/>
      <c r="N603" s="23"/>
      <c r="O603" s="36"/>
      <c r="P603" s="36"/>
      <c r="Q603" s="36"/>
      <c r="R603" s="36"/>
      <c r="S603" s="36"/>
      <c r="T603" s="36"/>
      <c r="U603" s="36"/>
      <c r="V603" s="36"/>
      <c r="W603" s="23"/>
      <c r="X603" s="36"/>
      <c r="Y603" s="36"/>
      <c r="Z603" s="23"/>
      <c r="AA603" s="36"/>
      <c r="AB603" s="36"/>
      <c r="AC603" s="23"/>
      <c r="AD603" s="36"/>
      <c r="AE603" s="36"/>
      <c r="AF603" s="23"/>
    </row>
    <row r="604" spans="1:32" x14ac:dyDescent="0.25">
      <c r="A604" s="23"/>
      <c r="B604" s="23"/>
      <c r="C604" s="36"/>
      <c r="D604" s="36"/>
      <c r="E604" s="23"/>
      <c r="F604" s="36"/>
      <c r="G604" s="36"/>
      <c r="H604" s="23"/>
      <c r="I604" s="36"/>
      <c r="J604" s="36"/>
      <c r="K604" s="23"/>
      <c r="L604" s="36"/>
      <c r="M604" s="36"/>
      <c r="N604" s="23"/>
      <c r="O604" s="36"/>
      <c r="P604" s="36"/>
      <c r="Q604" s="36"/>
      <c r="R604" s="36"/>
      <c r="S604" s="36"/>
      <c r="T604" s="36"/>
      <c r="U604" s="36"/>
      <c r="V604" s="36"/>
      <c r="W604" s="23"/>
      <c r="X604" s="36"/>
      <c r="Y604" s="36"/>
      <c r="Z604" s="23"/>
      <c r="AA604" s="36"/>
      <c r="AB604" s="36"/>
      <c r="AC604" s="23"/>
      <c r="AD604" s="36"/>
      <c r="AE604" s="36"/>
      <c r="AF604" s="23"/>
    </row>
    <row r="605" spans="1:32" x14ac:dyDescent="0.25">
      <c r="A605" s="23"/>
      <c r="B605" s="23"/>
      <c r="C605" s="36"/>
      <c r="D605" s="36"/>
      <c r="E605" s="23"/>
      <c r="F605" s="36"/>
      <c r="G605" s="36"/>
      <c r="H605" s="23"/>
      <c r="I605" s="36"/>
      <c r="J605" s="36"/>
      <c r="K605" s="23"/>
      <c r="L605" s="36"/>
      <c r="M605" s="36"/>
      <c r="N605" s="23"/>
      <c r="O605" s="36"/>
      <c r="P605" s="36"/>
      <c r="Q605" s="36"/>
      <c r="R605" s="36"/>
      <c r="S605" s="36"/>
      <c r="T605" s="36"/>
      <c r="U605" s="36"/>
      <c r="V605" s="36"/>
      <c r="W605" s="23"/>
      <c r="X605" s="36"/>
      <c r="Y605" s="36"/>
      <c r="Z605" s="23"/>
      <c r="AA605" s="36"/>
      <c r="AB605" s="36"/>
      <c r="AC605" s="23"/>
      <c r="AD605" s="36"/>
      <c r="AE605" s="36"/>
      <c r="AF605" s="23"/>
    </row>
    <row r="606" spans="1:32" x14ac:dyDescent="0.25">
      <c r="A606" s="23"/>
      <c r="B606" s="23"/>
      <c r="C606" s="36"/>
      <c r="D606" s="36"/>
      <c r="E606" s="23"/>
      <c r="F606" s="36"/>
      <c r="G606" s="36"/>
      <c r="H606" s="23"/>
      <c r="I606" s="36"/>
      <c r="J606" s="36"/>
      <c r="K606" s="23"/>
      <c r="L606" s="36"/>
      <c r="M606" s="36"/>
      <c r="N606" s="23"/>
      <c r="O606" s="36"/>
      <c r="P606" s="36"/>
      <c r="Q606" s="36"/>
      <c r="R606" s="36"/>
      <c r="S606" s="36"/>
      <c r="T606" s="36"/>
      <c r="U606" s="36"/>
      <c r="V606" s="36"/>
      <c r="W606" s="23"/>
      <c r="X606" s="36"/>
      <c r="Y606" s="36"/>
      <c r="Z606" s="23"/>
      <c r="AA606" s="36"/>
      <c r="AB606" s="36"/>
      <c r="AC606" s="23"/>
      <c r="AD606" s="36"/>
      <c r="AE606" s="36"/>
      <c r="AF606" s="23"/>
    </row>
    <row r="607" spans="1:32" x14ac:dyDescent="0.25">
      <c r="A607" s="23"/>
      <c r="B607" s="23"/>
      <c r="C607" s="36"/>
      <c r="D607" s="36"/>
      <c r="E607" s="23"/>
      <c r="F607" s="36"/>
      <c r="G607" s="36"/>
      <c r="H607" s="23"/>
      <c r="I607" s="36"/>
      <c r="J607" s="36"/>
      <c r="K607" s="23"/>
      <c r="L607" s="36"/>
      <c r="M607" s="36"/>
      <c r="N607" s="23"/>
      <c r="O607" s="36"/>
      <c r="P607" s="36"/>
      <c r="Q607" s="36"/>
      <c r="R607" s="36"/>
      <c r="S607" s="36"/>
      <c r="T607" s="36"/>
      <c r="U607" s="36"/>
      <c r="V607" s="36"/>
      <c r="W607" s="23"/>
      <c r="X607" s="36"/>
      <c r="Y607" s="36"/>
      <c r="Z607" s="23"/>
      <c r="AA607" s="36"/>
      <c r="AB607" s="36"/>
      <c r="AC607" s="23"/>
      <c r="AD607" s="36"/>
      <c r="AE607" s="36"/>
      <c r="AF607" s="23"/>
    </row>
    <row r="608" spans="1:32" x14ac:dyDescent="0.25">
      <c r="A608" s="23"/>
      <c r="B608" s="23"/>
      <c r="C608" s="36"/>
      <c r="D608" s="36"/>
      <c r="E608" s="23"/>
      <c r="F608" s="36"/>
      <c r="G608" s="36"/>
      <c r="H608" s="23"/>
      <c r="I608" s="36"/>
      <c r="J608" s="36"/>
      <c r="K608" s="23"/>
      <c r="L608" s="36"/>
      <c r="M608" s="36"/>
      <c r="N608" s="23"/>
      <c r="O608" s="36"/>
      <c r="P608" s="36"/>
      <c r="Q608" s="36"/>
      <c r="R608" s="36"/>
      <c r="S608" s="36"/>
      <c r="T608" s="36"/>
      <c r="U608" s="36"/>
      <c r="V608" s="36"/>
      <c r="W608" s="23"/>
      <c r="X608" s="36"/>
      <c r="Y608" s="36"/>
      <c r="Z608" s="23"/>
      <c r="AA608" s="36"/>
      <c r="AB608" s="36"/>
      <c r="AC608" s="23"/>
      <c r="AD608" s="36"/>
      <c r="AE608" s="36"/>
      <c r="AF608" s="23"/>
    </row>
    <row r="609" spans="1:32" x14ac:dyDescent="0.25">
      <c r="A609" s="23"/>
      <c r="B609" s="23"/>
      <c r="C609" s="36"/>
      <c r="D609" s="36"/>
      <c r="E609" s="23"/>
      <c r="F609" s="36"/>
      <c r="G609" s="36"/>
      <c r="H609" s="23"/>
      <c r="I609" s="36"/>
      <c r="J609" s="36"/>
      <c r="K609" s="23"/>
      <c r="L609" s="36"/>
      <c r="M609" s="36"/>
      <c r="N609" s="23"/>
      <c r="O609" s="36"/>
      <c r="P609" s="36"/>
      <c r="Q609" s="36"/>
      <c r="R609" s="36"/>
      <c r="S609" s="36"/>
      <c r="T609" s="36"/>
      <c r="U609" s="36"/>
      <c r="V609" s="36"/>
      <c r="W609" s="23"/>
      <c r="X609" s="36"/>
      <c r="Y609" s="36"/>
      <c r="Z609" s="23"/>
      <c r="AA609" s="36"/>
      <c r="AB609" s="36"/>
      <c r="AC609" s="23"/>
      <c r="AD609" s="36"/>
      <c r="AE609" s="36"/>
      <c r="AF609" s="23"/>
    </row>
    <row r="610" spans="1:32" x14ac:dyDescent="0.25">
      <c r="A610" s="23"/>
      <c r="B610" s="23"/>
      <c r="C610" s="36"/>
      <c r="D610" s="36"/>
      <c r="E610" s="23"/>
      <c r="F610" s="36"/>
      <c r="G610" s="36"/>
      <c r="H610" s="23"/>
      <c r="I610" s="36"/>
      <c r="J610" s="36"/>
      <c r="K610" s="23"/>
      <c r="L610" s="36"/>
      <c r="M610" s="36"/>
      <c r="N610" s="23"/>
      <c r="O610" s="36"/>
      <c r="P610" s="36"/>
      <c r="Q610" s="36"/>
      <c r="R610" s="36"/>
      <c r="S610" s="36"/>
      <c r="T610" s="36"/>
      <c r="U610" s="36"/>
      <c r="V610" s="36"/>
      <c r="W610" s="23"/>
      <c r="X610" s="36"/>
      <c r="Y610" s="36"/>
      <c r="Z610" s="23"/>
      <c r="AA610" s="36"/>
      <c r="AB610" s="36"/>
      <c r="AC610" s="23"/>
      <c r="AD610" s="36"/>
      <c r="AE610" s="36"/>
      <c r="AF610" s="23"/>
    </row>
    <row r="611" spans="1:32" x14ac:dyDescent="0.25">
      <c r="A611" s="23"/>
      <c r="B611" s="23"/>
      <c r="C611" s="36"/>
      <c r="D611" s="36"/>
      <c r="E611" s="23"/>
      <c r="F611" s="36"/>
      <c r="G611" s="36"/>
      <c r="H611" s="23"/>
      <c r="I611" s="36"/>
      <c r="J611" s="36"/>
      <c r="K611" s="23"/>
      <c r="L611" s="36"/>
      <c r="M611" s="36"/>
      <c r="N611" s="23"/>
      <c r="O611" s="36"/>
      <c r="P611" s="36"/>
      <c r="Q611" s="36"/>
      <c r="R611" s="36"/>
      <c r="S611" s="36"/>
      <c r="T611" s="36"/>
      <c r="U611" s="36"/>
      <c r="V611" s="36"/>
      <c r="W611" s="23"/>
      <c r="X611" s="36"/>
      <c r="Y611" s="36"/>
      <c r="Z611" s="23"/>
      <c r="AA611" s="36"/>
      <c r="AB611" s="36"/>
      <c r="AC611" s="23"/>
      <c r="AD611" s="36"/>
      <c r="AE611" s="36"/>
      <c r="AF611" s="23"/>
    </row>
    <row r="612" spans="1:32" x14ac:dyDescent="0.25">
      <c r="A612" s="23"/>
      <c r="B612" s="23"/>
      <c r="C612" s="36"/>
      <c r="D612" s="36"/>
      <c r="E612" s="23"/>
      <c r="F612" s="36"/>
      <c r="G612" s="36"/>
      <c r="H612" s="23"/>
      <c r="I612" s="36"/>
      <c r="J612" s="36"/>
      <c r="K612" s="23"/>
      <c r="L612" s="36"/>
      <c r="M612" s="36"/>
      <c r="N612" s="23"/>
      <c r="O612" s="36"/>
      <c r="P612" s="36"/>
      <c r="Q612" s="36"/>
      <c r="R612" s="36"/>
      <c r="S612" s="36"/>
      <c r="T612" s="36"/>
      <c r="U612" s="36"/>
      <c r="V612" s="36"/>
      <c r="W612" s="23"/>
      <c r="X612" s="36"/>
      <c r="Y612" s="36"/>
      <c r="Z612" s="23"/>
      <c r="AA612" s="36"/>
      <c r="AB612" s="36"/>
      <c r="AC612" s="23"/>
      <c r="AD612" s="36"/>
      <c r="AE612" s="36"/>
      <c r="AF612" s="23"/>
    </row>
    <row r="613" spans="1:32" x14ac:dyDescent="0.25">
      <c r="A613" s="23"/>
      <c r="B613" s="23"/>
      <c r="C613" s="36"/>
      <c r="D613" s="36"/>
      <c r="E613" s="23"/>
      <c r="F613" s="36"/>
      <c r="G613" s="36"/>
      <c r="H613" s="23"/>
      <c r="I613" s="36"/>
      <c r="J613" s="36"/>
      <c r="K613" s="23"/>
      <c r="L613" s="36"/>
      <c r="M613" s="36"/>
      <c r="N613" s="23"/>
      <c r="O613" s="36"/>
      <c r="P613" s="36"/>
      <c r="Q613" s="36"/>
      <c r="R613" s="36"/>
      <c r="S613" s="36"/>
      <c r="T613" s="36"/>
      <c r="U613" s="36"/>
      <c r="V613" s="36"/>
      <c r="W613" s="23"/>
      <c r="X613" s="36"/>
      <c r="Y613" s="36"/>
      <c r="Z613" s="23"/>
      <c r="AA613" s="36"/>
      <c r="AB613" s="36"/>
      <c r="AC613" s="23"/>
      <c r="AD613" s="36"/>
      <c r="AE613" s="36"/>
      <c r="AF613" s="23"/>
    </row>
    <row r="614" spans="1:32" x14ac:dyDescent="0.25">
      <c r="A614" s="23"/>
      <c r="B614" s="23"/>
      <c r="C614" s="36"/>
      <c r="D614" s="36"/>
      <c r="E614" s="23"/>
      <c r="F614" s="36"/>
      <c r="G614" s="36"/>
      <c r="H614" s="23"/>
      <c r="I614" s="36"/>
      <c r="J614" s="36"/>
      <c r="K614" s="23"/>
      <c r="L614" s="36"/>
      <c r="M614" s="36"/>
      <c r="N614" s="23"/>
      <c r="O614" s="36"/>
      <c r="P614" s="36"/>
      <c r="Q614" s="36"/>
      <c r="R614" s="36"/>
      <c r="S614" s="36"/>
      <c r="T614" s="36"/>
      <c r="U614" s="36"/>
      <c r="V614" s="36"/>
      <c r="W614" s="23"/>
      <c r="X614" s="36"/>
      <c r="Y614" s="36"/>
      <c r="Z614" s="23"/>
      <c r="AA614" s="36"/>
      <c r="AB614" s="36"/>
      <c r="AC614" s="23"/>
      <c r="AD614" s="36"/>
      <c r="AE614" s="36"/>
      <c r="AF614" s="23"/>
    </row>
    <row r="615" spans="1:32" x14ac:dyDescent="0.25">
      <c r="A615" s="23"/>
      <c r="B615" s="23"/>
      <c r="C615" s="36"/>
      <c r="D615" s="36"/>
      <c r="E615" s="23"/>
      <c r="F615" s="36"/>
      <c r="G615" s="36"/>
      <c r="H615" s="23"/>
      <c r="I615" s="36"/>
      <c r="J615" s="36"/>
      <c r="K615" s="23"/>
      <c r="L615" s="36"/>
      <c r="M615" s="36"/>
      <c r="N615" s="23"/>
      <c r="O615" s="36"/>
      <c r="P615" s="36"/>
      <c r="Q615" s="36"/>
      <c r="R615" s="36"/>
      <c r="S615" s="36"/>
      <c r="T615" s="36"/>
      <c r="U615" s="36"/>
      <c r="V615" s="36"/>
      <c r="W615" s="23"/>
      <c r="X615" s="36"/>
      <c r="Y615" s="36"/>
      <c r="Z615" s="23"/>
      <c r="AA615" s="36"/>
      <c r="AB615" s="36"/>
      <c r="AC615" s="23"/>
      <c r="AD615" s="36"/>
      <c r="AE615" s="36"/>
      <c r="AF615" s="23"/>
    </row>
    <row r="616" spans="1:32" x14ac:dyDescent="0.25">
      <c r="A616" s="23"/>
      <c r="B616" s="23"/>
      <c r="C616" s="36"/>
      <c r="D616" s="36"/>
      <c r="E616" s="23"/>
      <c r="F616" s="36"/>
      <c r="G616" s="36"/>
      <c r="H616" s="23"/>
      <c r="I616" s="36"/>
      <c r="J616" s="36"/>
      <c r="K616" s="23"/>
      <c r="L616" s="36"/>
      <c r="M616" s="36"/>
      <c r="N616" s="23"/>
      <c r="O616" s="36"/>
      <c r="P616" s="36"/>
      <c r="Q616" s="36"/>
      <c r="R616" s="36"/>
      <c r="S616" s="36"/>
      <c r="T616" s="36"/>
      <c r="U616" s="36"/>
      <c r="V616" s="36"/>
      <c r="W616" s="23"/>
      <c r="X616" s="36"/>
      <c r="Y616" s="36"/>
      <c r="Z616" s="23"/>
      <c r="AA616" s="36"/>
      <c r="AB616" s="36"/>
      <c r="AC616" s="23"/>
      <c r="AD616" s="36"/>
      <c r="AE616" s="36"/>
      <c r="AF616" s="23"/>
    </row>
    <row r="617" spans="1:32" x14ac:dyDescent="0.25">
      <c r="A617" s="23"/>
      <c r="B617" s="23"/>
      <c r="C617" s="36"/>
      <c r="D617" s="36"/>
      <c r="E617" s="23"/>
      <c r="F617" s="36"/>
      <c r="G617" s="36"/>
      <c r="H617" s="23"/>
      <c r="I617" s="36"/>
      <c r="J617" s="36"/>
      <c r="K617" s="23"/>
      <c r="L617" s="36"/>
      <c r="M617" s="36"/>
      <c r="N617" s="23"/>
      <c r="O617" s="36"/>
      <c r="P617" s="36"/>
      <c r="Q617" s="36"/>
      <c r="R617" s="36"/>
      <c r="S617" s="36"/>
      <c r="T617" s="36"/>
      <c r="U617" s="36"/>
      <c r="V617" s="36"/>
      <c r="W617" s="23"/>
      <c r="X617" s="36"/>
      <c r="Y617" s="36"/>
      <c r="Z617" s="23"/>
      <c r="AA617" s="36"/>
      <c r="AB617" s="36"/>
      <c r="AC617" s="23"/>
      <c r="AD617" s="36"/>
      <c r="AE617" s="36"/>
      <c r="AF617" s="23"/>
    </row>
    <row r="618" spans="1:32" x14ac:dyDescent="0.25">
      <c r="A618" s="23"/>
      <c r="B618" s="23"/>
      <c r="C618" s="36"/>
      <c r="D618" s="36"/>
      <c r="E618" s="23"/>
      <c r="F618" s="36"/>
      <c r="G618" s="36"/>
      <c r="H618" s="23"/>
      <c r="I618" s="36"/>
      <c r="J618" s="36"/>
      <c r="K618" s="23"/>
      <c r="L618" s="36"/>
      <c r="M618" s="36"/>
      <c r="N618" s="23"/>
      <c r="O618" s="36"/>
      <c r="P618" s="36"/>
      <c r="Q618" s="36"/>
      <c r="R618" s="36"/>
      <c r="S618" s="36"/>
      <c r="T618" s="36"/>
      <c r="U618" s="36"/>
      <c r="V618" s="36"/>
      <c r="W618" s="23"/>
      <c r="X618" s="36"/>
      <c r="Y618" s="36"/>
      <c r="Z618" s="23"/>
      <c r="AA618" s="36"/>
      <c r="AB618" s="36"/>
      <c r="AC618" s="23"/>
      <c r="AD618" s="36"/>
      <c r="AE618" s="36"/>
      <c r="AF618" s="23"/>
    </row>
    <row r="619" spans="1:32" x14ac:dyDescent="0.25">
      <c r="A619" s="23"/>
      <c r="B619" s="23"/>
      <c r="C619" s="36"/>
      <c r="D619" s="36"/>
      <c r="E619" s="23"/>
      <c r="F619" s="36"/>
      <c r="G619" s="36"/>
      <c r="H619" s="23"/>
      <c r="I619" s="36"/>
      <c r="J619" s="36"/>
      <c r="K619" s="23"/>
      <c r="L619" s="36"/>
      <c r="M619" s="36"/>
      <c r="N619" s="23"/>
      <c r="O619" s="36"/>
      <c r="P619" s="36"/>
      <c r="Q619" s="36"/>
      <c r="R619" s="36"/>
      <c r="S619" s="36"/>
      <c r="T619" s="36"/>
      <c r="U619" s="36"/>
      <c r="V619" s="36"/>
      <c r="W619" s="23"/>
      <c r="X619" s="36"/>
      <c r="Y619" s="36"/>
      <c r="Z619" s="23"/>
      <c r="AA619" s="36"/>
      <c r="AB619" s="36"/>
      <c r="AC619" s="23"/>
      <c r="AD619" s="36"/>
      <c r="AE619" s="36"/>
      <c r="AF619" s="23"/>
    </row>
    <row r="620" spans="1:32" x14ac:dyDescent="0.25">
      <c r="A620" s="23"/>
      <c r="B620" s="23"/>
      <c r="C620" s="36"/>
      <c r="D620" s="36"/>
      <c r="E620" s="23"/>
      <c r="F620" s="36"/>
      <c r="G620" s="36"/>
      <c r="H620" s="23"/>
      <c r="I620" s="36"/>
      <c r="J620" s="36"/>
      <c r="K620" s="23"/>
      <c r="L620" s="36"/>
      <c r="M620" s="36"/>
      <c r="N620" s="23"/>
      <c r="O620" s="36"/>
      <c r="P620" s="36"/>
      <c r="Q620" s="36"/>
      <c r="R620" s="36"/>
      <c r="S620" s="36"/>
      <c r="T620" s="36"/>
      <c r="U620" s="36"/>
      <c r="V620" s="36"/>
      <c r="W620" s="23"/>
      <c r="X620" s="36"/>
      <c r="Y620" s="36"/>
      <c r="Z620" s="23"/>
      <c r="AA620" s="36"/>
      <c r="AB620" s="36"/>
      <c r="AC620" s="23"/>
      <c r="AD620" s="36"/>
      <c r="AE620" s="36"/>
      <c r="AF620" s="23"/>
    </row>
    <row r="621" spans="1:32" x14ac:dyDescent="0.25">
      <c r="A621" s="23"/>
      <c r="B621" s="23"/>
      <c r="C621" s="36"/>
      <c r="D621" s="36"/>
      <c r="E621" s="23"/>
      <c r="F621" s="36"/>
      <c r="G621" s="36"/>
      <c r="H621" s="23"/>
      <c r="I621" s="36"/>
      <c r="J621" s="36"/>
      <c r="K621" s="23"/>
      <c r="L621" s="36"/>
      <c r="M621" s="36"/>
      <c r="N621" s="23"/>
      <c r="O621" s="36"/>
      <c r="P621" s="36"/>
      <c r="Q621" s="36"/>
      <c r="R621" s="36"/>
      <c r="S621" s="36"/>
      <c r="T621" s="36"/>
      <c r="U621" s="36"/>
      <c r="V621" s="36"/>
      <c r="W621" s="23"/>
      <c r="X621" s="36"/>
      <c r="Y621" s="36"/>
      <c r="Z621" s="23"/>
      <c r="AA621" s="36"/>
      <c r="AB621" s="36"/>
      <c r="AC621" s="23"/>
      <c r="AD621" s="36"/>
      <c r="AE621" s="36"/>
      <c r="AF621" s="23"/>
    </row>
    <row r="622" spans="1:32" x14ac:dyDescent="0.25">
      <c r="A622" s="23"/>
      <c r="B622" s="23"/>
      <c r="C622" s="36"/>
      <c r="D622" s="36"/>
      <c r="E622" s="23"/>
      <c r="F622" s="36"/>
      <c r="G622" s="36"/>
      <c r="H622" s="23"/>
      <c r="I622" s="36"/>
      <c r="J622" s="36"/>
      <c r="K622" s="23"/>
      <c r="L622" s="36"/>
      <c r="M622" s="36"/>
      <c r="N622" s="23"/>
      <c r="O622" s="36"/>
      <c r="P622" s="36"/>
      <c r="Q622" s="36"/>
      <c r="R622" s="36"/>
      <c r="S622" s="36"/>
      <c r="T622" s="36"/>
      <c r="U622" s="36"/>
      <c r="V622" s="36"/>
      <c r="W622" s="23"/>
      <c r="X622" s="36"/>
      <c r="Y622" s="36"/>
      <c r="Z622" s="23"/>
      <c r="AA622" s="36"/>
      <c r="AB622" s="36"/>
      <c r="AC622" s="23"/>
      <c r="AD622" s="36"/>
      <c r="AE622" s="36"/>
      <c r="AF622" s="23"/>
    </row>
    <row r="623" spans="1:32" x14ac:dyDescent="0.25">
      <c r="A623" s="23"/>
      <c r="B623" s="23"/>
      <c r="C623" s="36"/>
      <c r="D623" s="36"/>
      <c r="E623" s="23"/>
      <c r="F623" s="36"/>
      <c r="G623" s="36"/>
      <c r="H623" s="23"/>
      <c r="I623" s="36"/>
      <c r="J623" s="36"/>
      <c r="K623" s="23"/>
      <c r="L623" s="36"/>
      <c r="M623" s="36"/>
      <c r="N623" s="23"/>
      <c r="O623" s="36"/>
      <c r="P623" s="36"/>
      <c r="Q623" s="36"/>
      <c r="R623" s="36"/>
      <c r="S623" s="36"/>
      <c r="T623" s="36"/>
      <c r="U623" s="36"/>
      <c r="V623" s="36"/>
      <c r="W623" s="23"/>
      <c r="X623" s="36"/>
      <c r="Y623" s="36"/>
      <c r="Z623" s="23"/>
      <c r="AA623" s="36"/>
      <c r="AB623" s="36"/>
      <c r="AC623" s="23"/>
      <c r="AD623" s="36"/>
      <c r="AE623" s="36"/>
      <c r="AF623" s="23"/>
    </row>
    <row r="624" spans="1:32" x14ac:dyDescent="0.25">
      <c r="A624" s="23"/>
      <c r="B624" s="23"/>
      <c r="C624" s="36"/>
      <c r="D624" s="36"/>
      <c r="E624" s="23"/>
      <c r="F624" s="36"/>
      <c r="G624" s="36"/>
      <c r="H624" s="23"/>
      <c r="I624" s="36"/>
      <c r="J624" s="36"/>
      <c r="K624" s="23"/>
      <c r="L624" s="36"/>
      <c r="M624" s="36"/>
      <c r="N624" s="23"/>
      <c r="O624" s="36"/>
      <c r="P624" s="36"/>
      <c r="Q624" s="36"/>
      <c r="R624" s="36"/>
      <c r="S624" s="36"/>
      <c r="T624" s="36"/>
      <c r="U624" s="36"/>
      <c r="V624" s="36"/>
      <c r="W624" s="23"/>
      <c r="X624" s="36"/>
      <c r="Y624" s="36"/>
      <c r="Z624" s="23"/>
      <c r="AA624" s="36"/>
      <c r="AB624" s="36"/>
      <c r="AC624" s="23"/>
      <c r="AD624" s="36"/>
      <c r="AE624" s="36"/>
      <c r="AF624" s="23"/>
    </row>
    <row r="625" spans="1:32" x14ac:dyDescent="0.25">
      <c r="A625" s="23"/>
      <c r="B625" s="23"/>
      <c r="C625" s="36"/>
      <c r="D625" s="36"/>
      <c r="E625" s="23"/>
      <c r="F625" s="36"/>
      <c r="G625" s="36"/>
      <c r="H625" s="23"/>
      <c r="I625" s="36"/>
      <c r="J625" s="36"/>
      <c r="K625" s="23"/>
      <c r="L625" s="36"/>
      <c r="M625" s="36"/>
      <c r="N625" s="23"/>
      <c r="O625" s="36"/>
      <c r="P625" s="36"/>
      <c r="Q625" s="36"/>
      <c r="R625" s="36"/>
      <c r="S625" s="36"/>
      <c r="T625" s="36"/>
      <c r="U625" s="36"/>
      <c r="V625" s="36"/>
      <c r="W625" s="23"/>
      <c r="X625" s="36"/>
      <c r="Y625" s="36"/>
      <c r="Z625" s="23"/>
      <c r="AA625" s="36"/>
      <c r="AB625" s="36"/>
      <c r="AC625" s="23"/>
      <c r="AD625" s="36"/>
      <c r="AE625" s="36"/>
      <c r="AF625" s="23"/>
    </row>
    <row r="626" spans="1:32" x14ac:dyDescent="0.25">
      <c r="A626" s="23"/>
      <c r="B626" s="23"/>
      <c r="C626" s="36"/>
      <c r="D626" s="36"/>
      <c r="E626" s="23"/>
      <c r="F626" s="36"/>
      <c r="G626" s="36"/>
      <c r="H626" s="23"/>
      <c r="I626" s="36"/>
      <c r="J626" s="36"/>
      <c r="K626" s="23"/>
      <c r="L626" s="36"/>
      <c r="M626" s="36"/>
      <c r="N626" s="23"/>
      <c r="O626" s="36"/>
      <c r="P626" s="36"/>
      <c r="Q626" s="36"/>
      <c r="R626" s="36"/>
      <c r="S626" s="36"/>
      <c r="T626" s="36"/>
      <c r="U626" s="36"/>
      <c r="V626" s="36"/>
      <c r="W626" s="23"/>
      <c r="X626" s="36"/>
      <c r="Y626" s="36"/>
      <c r="Z626" s="23"/>
      <c r="AA626" s="36"/>
      <c r="AB626" s="36"/>
      <c r="AC626" s="23"/>
      <c r="AD626" s="36"/>
      <c r="AE626" s="36"/>
      <c r="AF626" s="23"/>
    </row>
    <row r="627" spans="1:32" x14ac:dyDescent="0.25">
      <c r="A627" s="23"/>
      <c r="B627" s="23"/>
      <c r="C627" s="36"/>
      <c r="D627" s="36"/>
      <c r="E627" s="23"/>
      <c r="F627" s="36"/>
      <c r="G627" s="36"/>
      <c r="H627" s="23"/>
      <c r="I627" s="36"/>
      <c r="J627" s="36"/>
      <c r="K627" s="23"/>
      <c r="L627" s="36"/>
      <c r="M627" s="36"/>
      <c r="N627" s="23"/>
      <c r="O627" s="36"/>
      <c r="P627" s="36"/>
      <c r="Q627" s="36"/>
      <c r="R627" s="36"/>
      <c r="S627" s="36"/>
      <c r="T627" s="36"/>
      <c r="U627" s="36"/>
      <c r="V627" s="36"/>
      <c r="W627" s="23"/>
      <c r="X627" s="36"/>
      <c r="Y627" s="36"/>
      <c r="Z627" s="23"/>
      <c r="AA627" s="36"/>
      <c r="AB627" s="36"/>
      <c r="AC627" s="23"/>
      <c r="AD627" s="36"/>
      <c r="AE627" s="36"/>
      <c r="AF627" s="23"/>
    </row>
    <row r="628" spans="1:32" x14ac:dyDescent="0.25">
      <c r="A628" s="23"/>
      <c r="B628" s="23"/>
      <c r="C628" s="36"/>
      <c r="D628" s="36"/>
      <c r="E628" s="23"/>
      <c r="F628" s="36"/>
      <c r="G628" s="36"/>
      <c r="H628" s="23"/>
      <c r="I628" s="36"/>
      <c r="J628" s="36"/>
      <c r="K628" s="23"/>
      <c r="L628" s="36"/>
      <c r="M628" s="36"/>
      <c r="N628" s="23"/>
      <c r="O628" s="36"/>
      <c r="P628" s="36"/>
      <c r="Q628" s="36"/>
      <c r="R628" s="36"/>
      <c r="S628" s="36"/>
      <c r="T628" s="36"/>
      <c r="U628" s="36"/>
      <c r="V628" s="36"/>
      <c r="W628" s="23"/>
      <c r="X628" s="36"/>
      <c r="Y628" s="36"/>
      <c r="Z628" s="23"/>
      <c r="AA628" s="36"/>
      <c r="AB628" s="36"/>
      <c r="AC628" s="23"/>
      <c r="AD628" s="36"/>
      <c r="AE628" s="36"/>
      <c r="AF628" s="23"/>
    </row>
    <row r="629" spans="1:32" x14ac:dyDescent="0.25">
      <c r="A629" s="23"/>
      <c r="B629" s="23"/>
      <c r="C629" s="36"/>
      <c r="D629" s="36"/>
      <c r="E629" s="23"/>
      <c r="F629" s="36"/>
      <c r="G629" s="36"/>
      <c r="H629" s="23"/>
      <c r="I629" s="36"/>
      <c r="J629" s="36"/>
      <c r="K629" s="23"/>
      <c r="L629" s="36"/>
      <c r="M629" s="36"/>
      <c r="N629" s="23"/>
      <c r="O629" s="36"/>
      <c r="P629" s="36"/>
      <c r="Q629" s="36"/>
      <c r="R629" s="36"/>
      <c r="S629" s="36"/>
      <c r="T629" s="36"/>
      <c r="U629" s="36"/>
      <c r="V629" s="36"/>
      <c r="W629" s="23"/>
      <c r="X629" s="36"/>
      <c r="Y629" s="36"/>
      <c r="Z629" s="23"/>
      <c r="AA629" s="36"/>
      <c r="AB629" s="36"/>
      <c r="AC629" s="23"/>
      <c r="AD629" s="36"/>
      <c r="AE629" s="36"/>
      <c r="AF629" s="23"/>
    </row>
    <row r="630" spans="1:32" x14ac:dyDescent="0.25">
      <c r="A630" s="23"/>
      <c r="B630" s="23"/>
      <c r="C630" s="36"/>
      <c r="D630" s="36"/>
      <c r="E630" s="23"/>
      <c r="F630" s="36"/>
      <c r="G630" s="36"/>
      <c r="H630" s="23"/>
      <c r="I630" s="36"/>
      <c r="J630" s="36"/>
      <c r="K630" s="23"/>
      <c r="L630" s="36"/>
      <c r="M630" s="36"/>
      <c r="N630" s="23"/>
      <c r="O630" s="36"/>
      <c r="P630" s="36"/>
      <c r="Q630" s="36"/>
      <c r="R630" s="36"/>
      <c r="S630" s="36"/>
      <c r="T630" s="36"/>
      <c r="U630" s="36"/>
      <c r="V630" s="36"/>
      <c r="W630" s="23"/>
      <c r="X630" s="36"/>
      <c r="Y630" s="36"/>
      <c r="Z630" s="23"/>
      <c r="AA630" s="36"/>
      <c r="AB630" s="36"/>
      <c r="AC630" s="23"/>
      <c r="AD630" s="36"/>
      <c r="AE630" s="36"/>
      <c r="AF630" s="23"/>
    </row>
    <row r="631" spans="1:32" x14ac:dyDescent="0.25">
      <c r="A631" s="23"/>
      <c r="B631" s="23"/>
      <c r="C631" s="36"/>
      <c r="D631" s="36"/>
      <c r="E631" s="23"/>
      <c r="F631" s="36"/>
      <c r="G631" s="36"/>
      <c r="H631" s="23"/>
      <c r="I631" s="36"/>
      <c r="J631" s="36"/>
      <c r="K631" s="23"/>
      <c r="L631" s="36"/>
      <c r="M631" s="36"/>
      <c r="N631" s="23"/>
      <c r="O631" s="36"/>
      <c r="P631" s="36"/>
      <c r="Q631" s="36"/>
      <c r="R631" s="36"/>
      <c r="S631" s="36"/>
      <c r="T631" s="36"/>
      <c r="U631" s="36"/>
      <c r="V631" s="36"/>
      <c r="W631" s="23"/>
      <c r="X631" s="36"/>
      <c r="Y631" s="36"/>
      <c r="Z631" s="23"/>
      <c r="AA631" s="36"/>
      <c r="AB631" s="36"/>
      <c r="AC631" s="23"/>
      <c r="AD631" s="36"/>
      <c r="AE631" s="36"/>
      <c r="AF631" s="23"/>
    </row>
    <row r="632" spans="1:32" x14ac:dyDescent="0.25">
      <c r="A632" s="23"/>
      <c r="B632" s="23"/>
      <c r="C632" s="36"/>
      <c r="D632" s="36"/>
      <c r="E632" s="23"/>
      <c r="F632" s="36"/>
      <c r="G632" s="36"/>
      <c r="H632" s="23"/>
      <c r="I632" s="36"/>
      <c r="J632" s="36"/>
      <c r="K632" s="23"/>
      <c r="L632" s="36"/>
      <c r="M632" s="36"/>
      <c r="N632" s="23"/>
      <c r="O632" s="36"/>
      <c r="P632" s="36"/>
      <c r="Q632" s="36"/>
      <c r="R632" s="36"/>
      <c r="S632" s="36"/>
      <c r="T632" s="36"/>
      <c r="U632" s="36"/>
      <c r="V632" s="36"/>
      <c r="W632" s="23"/>
      <c r="X632" s="36"/>
      <c r="Y632" s="36"/>
      <c r="Z632" s="23"/>
      <c r="AA632" s="36"/>
      <c r="AB632" s="36"/>
      <c r="AC632" s="23"/>
      <c r="AD632" s="36"/>
      <c r="AE632" s="36"/>
      <c r="AF632" s="23"/>
    </row>
    <row r="633" spans="1:32" x14ac:dyDescent="0.25">
      <c r="A633" s="23"/>
      <c r="B633" s="23"/>
      <c r="C633" s="36"/>
      <c r="D633" s="36"/>
      <c r="E633" s="23"/>
      <c r="F633" s="36"/>
      <c r="G633" s="36"/>
      <c r="H633" s="23"/>
      <c r="I633" s="36"/>
      <c r="J633" s="36"/>
      <c r="K633" s="23"/>
      <c r="L633" s="36"/>
      <c r="M633" s="36"/>
      <c r="N633" s="23"/>
      <c r="O633" s="36"/>
      <c r="P633" s="36"/>
      <c r="Q633" s="36"/>
      <c r="R633" s="36"/>
      <c r="S633" s="36"/>
      <c r="T633" s="36"/>
      <c r="U633" s="36"/>
      <c r="V633" s="36"/>
      <c r="W633" s="23"/>
      <c r="X633" s="36"/>
      <c r="Y633" s="36"/>
      <c r="Z633" s="23"/>
      <c r="AA633" s="36"/>
      <c r="AB633" s="36"/>
      <c r="AC633" s="23"/>
      <c r="AD633" s="36"/>
      <c r="AE633" s="36"/>
      <c r="AF633" s="23"/>
    </row>
    <row r="634" spans="1:32" x14ac:dyDescent="0.25">
      <c r="A634" s="23"/>
      <c r="B634" s="23"/>
      <c r="C634" s="36"/>
      <c r="D634" s="36"/>
      <c r="E634" s="23"/>
      <c r="F634" s="36"/>
      <c r="G634" s="36"/>
      <c r="H634" s="23"/>
      <c r="I634" s="36"/>
      <c r="J634" s="36"/>
      <c r="K634" s="23"/>
      <c r="L634" s="36"/>
      <c r="M634" s="36"/>
      <c r="N634" s="23"/>
      <c r="O634" s="36"/>
      <c r="P634" s="36"/>
      <c r="Q634" s="36"/>
      <c r="R634" s="36"/>
      <c r="S634" s="36"/>
      <c r="T634" s="36"/>
      <c r="U634" s="36"/>
      <c r="V634" s="36"/>
      <c r="W634" s="23"/>
      <c r="X634" s="36"/>
      <c r="Y634" s="36"/>
      <c r="Z634" s="23"/>
      <c r="AA634" s="36"/>
      <c r="AB634" s="36"/>
      <c r="AC634" s="23"/>
      <c r="AD634" s="36"/>
      <c r="AE634" s="36"/>
      <c r="AF634" s="23"/>
    </row>
    <row r="635" spans="1:32" x14ac:dyDescent="0.25">
      <c r="A635" s="23"/>
      <c r="B635" s="23"/>
      <c r="C635" s="36"/>
      <c r="D635" s="36"/>
      <c r="E635" s="23"/>
      <c r="F635" s="36"/>
      <c r="G635" s="36"/>
      <c r="H635" s="23"/>
      <c r="I635" s="36"/>
      <c r="J635" s="36"/>
      <c r="K635" s="23"/>
      <c r="L635" s="36"/>
      <c r="M635" s="36"/>
      <c r="N635" s="23"/>
      <c r="O635" s="36"/>
      <c r="P635" s="36"/>
      <c r="Q635" s="36"/>
      <c r="R635" s="36"/>
      <c r="S635" s="36"/>
      <c r="T635" s="36"/>
      <c r="U635" s="36"/>
      <c r="V635" s="36"/>
      <c r="W635" s="23"/>
      <c r="X635" s="36"/>
      <c r="Y635" s="36"/>
      <c r="Z635" s="23"/>
      <c r="AA635" s="36"/>
      <c r="AB635" s="36"/>
      <c r="AC635" s="23"/>
      <c r="AD635" s="36"/>
      <c r="AE635" s="36"/>
      <c r="AF635" s="23"/>
    </row>
    <row r="636" spans="1:32" x14ac:dyDescent="0.25">
      <c r="A636" s="23"/>
      <c r="B636" s="23"/>
      <c r="C636" s="36"/>
      <c r="D636" s="36"/>
      <c r="E636" s="23"/>
      <c r="F636" s="36"/>
      <c r="G636" s="36"/>
      <c r="H636" s="23"/>
      <c r="I636" s="36"/>
      <c r="J636" s="36"/>
      <c r="K636" s="23"/>
      <c r="L636" s="36"/>
      <c r="M636" s="36"/>
      <c r="N636" s="23"/>
      <c r="O636" s="36"/>
      <c r="P636" s="36"/>
      <c r="Q636" s="36"/>
      <c r="R636" s="36"/>
      <c r="S636" s="36"/>
      <c r="T636" s="36"/>
      <c r="U636" s="36"/>
      <c r="V636" s="36"/>
      <c r="W636" s="23"/>
      <c r="X636" s="36"/>
      <c r="Y636" s="36"/>
      <c r="Z636" s="23"/>
      <c r="AA636" s="36"/>
      <c r="AB636" s="36"/>
      <c r="AC636" s="23"/>
      <c r="AD636" s="36"/>
      <c r="AE636" s="36"/>
      <c r="AF636" s="23"/>
    </row>
    <row r="637" spans="1:32" x14ac:dyDescent="0.25">
      <c r="A637" s="23"/>
      <c r="B637" s="23"/>
      <c r="C637" s="36"/>
      <c r="D637" s="36"/>
      <c r="E637" s="23"/>
      <c r="F637" s="36"/>
      <c r="G637" s="36"/>
      <c r="H637" s="23"/>
      <c r="I637" s="36"/>
      <c r="J637" s="36"/>
      <c r="K637" s="23"/>
      <c r="L637" s="36"/>
      <c r="M637" s="36"/>
      <c r="N637" s="23"/>
      <c r="O637" s="36"/>
      <c r="P637" s="36"/>
      <c r="Q637" s="36"/>
      <c r="R637" s="36"/>
      <c r="S637" s="36"/>
      <c r="T637" s="36"/>
      <c r="U637" s="36"/>
      <c r="V637" s="36"/>
      <c r="W637" s="23"/>
      <c r="X637" s="36"/>
      <c r="Y637" s="36"/>
      <c r="Z637" s="23"/>
      <c r="AA637" s="36"/>
      <c r="AB637" s="36"/>
      <c r="AC637" s="23"/>
      <c r="AD637" s="36"/>
      <c r="AE637" s="36"/>
      <c r="AF637" s="23"/>
    </row>
    <row r="638" spans="1:32" x14ac:dyDescent="0.25">
      <c r="A638" s="23"/>
      <c r="B638" s="23"/>
      <c r="C638" s="36"/>
      <c r="D638" s="36"/>
      <c r="E638" s="23"/>
      <c r="F638" s="36"/>
      <c r="G638" s="36"/>
      <c r="H638" s="23"/>
      <c r="I638" s="36"/>
      <c r="J638" s="36"/>
      <c r="K638" s="23"/>
      <c r="L638" s="36"/>
      <c r="M638" s="36"/>
      <c r="N638" s="23"/>
      <c r="O638" s="36"/>
      <c r="P638" s="36"/>
      <c r="Q638" s="36"/>
      <c r="R638" s="36"/>
      <c r="S638" s="36"/>
      <c r="T638" s="36"/>
      <c r="U638" s="36"/>
      <c r="V638" s="36"/>
      <c r="W638" s="23"/>
      <c r="X638" s="36"/>
      <c r="Y638" s="36"/>
      <c r="Z638" s="23"/>
      <c r="AA638" s="36"/>
      <c r="AB638" s="36"/>
      <c r="AC638" s="23"/>
      <c r="AD638" s="36"/>
      <c r="AE638" s="36"/>
      <c r="AF638" s="23"/>
    </row>
    <row r="639" spans="1:32" x14ac:dyDescent="0.25">
      <c r="A639" s="23"/>
      <c r="B639" s="23"/>
      <c r="C639" s="36"/>
      <c r="D639" s="36"/>
      <c r="E639" s="23"/>
      <c r="F639" s="36"/>
      <c r="G639" s="36"/>
      <c r="H639" s="23"/>
      <c r="I639" s="36"/>
      <c r="J639" s="36"/>
      <c r="K639" s="23"/>
      <c r="L639" s="36"/>
      <c r="M639" s="36"/>
      <c r="N639" s="23"/>
      <c r="O639" s="36"/>
      <c r="P639" s="36"/>
      <c r="Q639" s="36"/>
      <c r="R639" s="36"/>
      <c r="S639" s="36"/>
      <c r="T639" s="36"/>
      <c r="U639" s="36"/>
      <c r="V639" s="36"/>
      <c r="W639" s="23"/>
      <c r="X639" s="36"/>
      <c r="Y639" s="36"/>
      <c r="Z639" s="23"/>
      <c r="AA639" s="36"/>
      <c r="AB639" s="36"/>
      <c r="AC639" s="23"/>
      <c r="AD639" s="36"/>
      <c r="AE639" s="36"/>
      <c r="AF639" s="23"/>
    </row>
    <row r="640" spans="1:32" x14ac:dyDescent="0.25">
      <c r="A640" s="23"/>
      <c r="B640" s="23"/>
      <c r="C640" s="36"/>
      <c r="D640" s="36"/>
      <c r="E640" s="23"/>
      <c r="F640" s="36"/>
      <c r="G640" s="36"/>
      <c r="H640" s="23"/>
      <c r="I640" s="36"/>
      <c r="J640" s="36"/>
      <c r="K640" s="23"/>
      <c r="L640" s="36"/>
      <c r="M640" s="36"/>
      <c r="N640" s="23"/>
      <c r="O640" s="36"/>
      <c r="P640" s="36"/>
      <c r="Q640" s="36"/>
      <c r="R640" s="36"/>
      <c r="S640" s="36"/>
      <c r="T640" s="36"/>
      <c r="U640" s="36"/>
      <c r="V640" s="36"/>
      <c r="W640" s="23"/>
      <c r="X640" s="36"/>
      <c r="Y640" s="36"/>
      <c r="Z640" s="23"/>
      <c r="AA640" s="36"/>
      <c r="AB640" s="36"/>
      <c r="AC640" s="23"/>
      <c r="AD640" s="36"/>
      <c r="AE640" s="36"/>
      <c r="AF640" s="23"/>
    </row>
    <row r="641" spans="1:32" x14ac:dyDescent="0.25">
      <c r="A641" s="23"/>
      <c r="B641" s="23"/>
      <c r="C641" s="36"/>
      <c r="D641" s="36"/>
      <c r="E641" s="23"/>
      <c r="F641" s="36"/>
      <c r="G641" s="36"/>
      <c r="H641" s="23"/>
      <c r="I641" s="36"/>
      <c r="J641" s="36"/>
      <c r="K641" s="23"/>
      <c r="L641" s="36"/>
      <c r="M641" s="36"/>
      <c r="N641" s="23"/>
      <c r="O641" s="36"/>
      <c r="P641" s="36"/>
      <c r="Q641" s="36"/>
      <c r="R641" s="36"/>
      <c r="S641" s="36"/>
      <c r="T641" s="36"/>
      <c r="U641" s="36"/>
      <c r="V641" s="36"/>
      <c r="W641" s="23"/>
      <c r="X641" s="36"/>
      <c r="Y641" s="36"/>
      <c r="Z641" s="23"/>
      <c r="AA641" s="36"/>
      <c r="AB641" s="36"/>
      <c r="AC641" s="23"/>
      <c r="AD641" s="36"/>
      <c r="AE641" s="36"/>
      <c r="AF641" s="23"/>
    </row>
    <row r="642" spans="1:32" x14ac:dyDescent="0.25">
      <c r="A642" s="23"/>
      <c r="B642" s="23"/>
      <c r="C642" s="36"/>
      <c r="D642" s="36"/>
      <c r="E642" s="23"/>
      <c r="F642" s="36"/>
      <c r="G642" s="36"/>
      <c r="H642" s="23"/>
      <c r="I642" s="36"/>
      <c r="J642" s="36"/>
      <c r="K642" s="23"/>
      <c r="L642" s="36"/>
      <c r="M642" s="36"/>
      <c r="N642" s="23"/>
      <c r="O642" s="36"/>
      <c r="P642" s="36"/>
      <c r="Q642" s="36"/>
      <c r="R642" s="36"/>
      <c r="S642" s="36"/>
      <c r="T642" s="36"/>
      <c r="U642" s="36"/>
      <c r="V642" s="36"/>
      <c r="W642" s="23"/>
      <c r="X642" s="36"/>
      <c r="Y642" s="36"/>
      <c r="Z642" s="23"/>
      <c r="AA642" s="36"/>
      <c r="AB642" s="36"/>
      <c r="AC642" s="23"/>
      <c r="AD642" s="36"/>
      <c r="AE642" s="36"/>
      <c r="AF642" s="23"/>
    </row>
    <row r="643" spans="1:32" x14ac:dyDescent="0.25">
      <c r="A643" s="23"/>
      <c r="B643" s="23"/>
      <c r="C643" s="36"/>
      <c r="D643" s="36"/>
      <c r="E643" s="23"/>
      <c r="F643" s="36"/>
      <c r="G643" s="36"/>
      <c r="H643" s="23"/>
      <c r="I643" s="36"/>
      <c r="J643" s="36"/>
      <c r="K643" s="23"/>
      <c r="L643" s="36"/>
      <c r="M643" s="36"/>
      <c r="N643" s="23"/>
      <c r="O643" s="36"/>
      <c r="P643" s="36"/>
      <c r="Q643" s="36"/>
      <c r="R643" s="36"/>
      <c r="S643" s="36"/>
      <c r="T643" s="36"/>
      <c r="U643" s="36"/>
      <c r="V643" s="36"/>
      <c r="W643" s="23"/>
      <c r="X643" s="36"/>
      <c r="Y643" s="36"/>
      <c r="Z643" s="23"/>
      <c r="AA643" s="36"/>
      <c r="AB643" s="36"/>
      <c r="AC643" s="23"/>
      <c r="AD643" s="36"/>
      <c r="AE643" s="36"/>
      <c r="AF643" s="23"/>
    </row>
    <row r="644" spans="1:32" x14ac:dyDescent="0.25">
      <c r="A644" s="23"/>
      <c r="B644" s="23"/>
      <c r="C644" s="36"/>
      <c r="D644" s="36"/>
      <c r="E644" s="23"/>
      <c r="F644" s="36"/>
      <c r="G644" s="36"/>
      <c r="H644" s="23"/>
      <c r="I644" s="36"/>
      <c r="J644" s="36"/>
      <c r="K644" s="23"/>
      <c r="L644" s="36"/>
      <c r="M644" s="36"/>
      <c r="N644" s="23"/>
      <c r="O644" s="36"/>
      <c r="P644" s="36"/>
      <c r="Q644" s="36"/>
      <c r="R644" s="36"/>
      <c r="S644" s="36"/>
      <c r="T644" s="36"/>
      <c r="U644" s="36"/>
      <c r="V644" s="36"/>
      <c r="W644" s="23"/>
      <c r="X644" s="36"/>
      <c r="Y644" s="36"/>
      <c r="Z644" s="23"/>
      <c r="AA644" s="36"/>
      <c r="AB644" s="36"/>
      <c r="AC644" s="23"/>
      <c r="AD644" s="36"/>
      <c r="AE644" s="36"/>
      <c r="AF644" s="23"/>
    </row>
    <row r="645" spans="1:32" x14ac:dyDescent="0.25">
      <c r="A645" s="23"/>
      <c r="B645" s="23"/>
      <c r="C645" s="36"/>
      <c r="D645" s="36"/>
      <c r="E645" s="23"/>
      <c r="F645" s="36"/>
      <c r="G645" s="36"/>
      <c r="H645" s="23"/>
      <c r="I645" s="36"/>
      <c r="J645" s="36"/>
      <c r="K645" s="23"/>
      <c r="L645" s="36"/>
      <c r="M645" s="36"/>
      <c r="N645" s="23"/>
      <c r="O645" s="36"/>
      <c r="P645" s="36"/>
      <c r="Q645" s="36"/>
      <c r="R645" s="36"/>
      <c r="S645" s="36"/>
      <c r="T645" s="36"/>
      <c r="U645" s="36"/>
      <c r="V645" s="36"/>
      <c r="W645" s="23"/>
      <c r="X645" s="36"/>
      <c r="Y645" s="36"/>
      <c r="Z645" s="23"/>
      <c r="AA645" s="36"/>
      <c r="AB645" s="36"/>
      <c r="AC645" s="23"/>
      <c r="AD645" s="36"/>
      <c r="AE645" s="36"/>
      <c r="AF645" s="23"/>
    </row>
    <row r="646" spans="1:32" x14ac:dyDescent="0.25">
      <c r="A646" s="23"/>
      <c r="B646" s="23"/>
      <c r="C646" s="36"/>
      <c r="D646" s="36"/>
      <c r="E646" s="23"/>
      <c r="F646" s="36"/>
      <c r="G646" s="36"/>
      <c r="H646" s="23"/>
      <c r="I646" s="36"/>
      <c r="J646" s="36"/>
      <c r="K646" s="23"/>
      <c r="L646" s="36"/>
      <c r="M646" s="36"/>
      <c r="N646" s="23"/>
      <c r="O646" s="36"/>
      <c r="P646" s="36"/>
      <c r="Q646" s="36"/>
      <c r="R646" s="36"/>
      <c r="S646" s="36"/>
      <c r="T646" s="36"/>
      <c r="U646" s="36"/>
      <c r="V646" s="36"/>
      <c r="W646" s="23"/>
      <c r="X646" s="36"/>
      <c r="Y646" s="36"/>
      <c r="Z646" s="23"/>
      <c r="AA646" s="36"/>
      <c r="AB646" s="36"/>
      <c r="AC646" s="23"/>
      <c r="AD646" s="36"/>
      <c r="AE646" s="36"/>
      <c r="AF646" s="23"/>
    </row>
    <row r="647" spans="1:32" x14ac:dyDescent="0.25">
      <c r="A647" s="23"/>
      <c r="B647" s="23"/>
      <c r="C647" s="36"/>
      <c r="D647" s="36"/>
      <c r="E647" s="23"/>
      <c r="F647" s="36"/>
      <c r="G647" s="36"/>
      <c r="H647" s="23"/>
      <c r="I647" s="36"/>
      <c r="J647" s="36"/>
      <c r="K647" s="23"/>
      <c r="L647" s="36"/>
      <c r="M647" s="36"/>
      <c r="N647" s="23"/>
      <c r="O647" s="36"/>
      <c r="P647" s="36"/>
      <c r="Q647" s="36"/>
      <c r="R647" s="36"/>
      <c r="S647" s="36"/>
      <c r="T647" s="36"/>
      <c r="U647" s="36"/>
      <c r="V647" s="36"/>
      <c r="W647" s="23"/>
      <c r="X647" s="36"/>
      <c r="Y647" s="36"/>
      <c r="Z647" s="23"/>
      <c r="AA647" s="36"/>
      <c r="AB647" s="36"/>
      <c r="AC647" s="23"/>
      <c r="AD647" s="36"/>
      <c r="AE647" s="36"/>
      <c r="AF647" s="23"/>
    </row>
    <row r="648" spans="1:32" x14ac:dyDescent="0.25">
      <c r="A648" s="23"/>
      <c r="B648" s="23"/>
      <c r="C648" s="36"/>
      <c r="D648" s="36"/>
      <c r="E648" s="23"/>
      <c r="F648" s="36"/>
      <c r="G648" s="36"/>
      <c r="H648" s="23"/>
      <c r="I648" s="36"/>
      <c r="J648" s="36"/>
      <c r="K648" s="23"/>
      <c r="L648" s="36"/>
      <c r="M648" s="36"/>
      <c r="N648" s="23"/>
      <c r="O648" s="36"/>
      <c r="P648" s="36"/>
      <c r="Q648" s="36"/>
      <c r="R648" s="36"/>
      <c r="S648" s="36"/>
      <c r="T648" s="36"/>
      <c r="U648" s="36"/>
      <c r="V648" s="36"/>
      <c r="W648" s="23"/>
      <c r="X648" s="36"/>
      <c r="Y648" s="36"/>
      <c r="Z648" s="23"/>
      <c r="AA648" s="36"/>
      <c r="AB648" s="36"/>
      <c r="AC648" s="23"/>
      <c r="AD648" s="36"/>
      <c r="AE648" s="36"/>
      <c r="AF648" s="23"/>
    </row>
    <row r="649" spans="1:32" x14ac:dyDescent="0.25">
      <c r="A649" s="23"/>
      <c r="B649" s="23"/>
      <c r="C649" s="36"/>
      <c r="D649" s="36"/>
      <c r="E649" s="23"/>
      <c r="F649" s="36"/>
      <c r="G649" s="36"/>
      <c r="H649" s="23"/>
      <c r="I649" s="36"/>
      <c r="J649" s="36"/>
      <c r="K649" s="23"/>
      <c r="L649" s="36"/>
      <c r="M649" s="36"/>
      <c r="N649" s="23"/>
      <c r="O649" s="36"/>
      <c r="P649" s="36"/>
      <c r="Q649" s="36"/>
      <c r="R649" s="36"/>
      <c r="S649" s="36"/>
      <c r="T649" s="36"/>
      <c r="U649" s="36"/>
      <c r="V649" s="36"/>
      <c r="W649" s="23"/>
      <c r="X649" s="36"/>
      <c r="Y649" s="36"/>
      <c r="Z649" s="23"/>
      <c r="AA649" s="36"/>
      <c r="AB649" s="36"/>
      <c r="AC649" s="23"/>
      <c r="AD649" s="36"/>
      <c r="AE649" s="36"/>
      <c r="AF649" s="23"/>
    </row>
    <row r="650" spans="1:32" x14ac:dyDescent="0.25">
      <c r="A650" s="23"/>
      <c r="B650" s="23"/>
      <c r="C650" s="36"/>
      <c r="D650" s="36"/>
      <c r="E650" s="23"/>
      <c r="F650" s="36"/>
      <c r="G650" s="36"/>
      <c r="H650" s="23"/>
      <c r="I650" s="36"/>
      <c r="J650" s="36"/>
      <c r="K650" s="23"/>
      <c r="L650" s="36"/>
      <c r="M650" s="36"/>
      <c r="N650" s="23"/>
      <c r="O650" s="36"/>
      <c r="P650" s="36"/>
      <c r="Q650" s="36"/>
      <c r="R650" s="36"/>
      <c r="S650" s="36"/>
      <c r="T650" s="36"/>
      <c r="U650" s="36"/>
      <c r="V650" s="36"/>
      <c r="W650" s="23"/>
      <c r="X650" s="36"/>
      <c r="Y650" s="36"/>
      <c r="Z650" s="23"/>
      <c r="AA650" s="36"/>
      <c r="AB650" s="36"/>
      <c r="AC650" s="23"/>
      <c r="AD650" s="36"/>
      <c r="AE650" s="36"/>
      <c r="AF650" s="23"/>
    </row>
    <row r="651" spans="1:32" x14ac:dyDescent="0.25">
      <c r="A651" s="23"/>
      <c r="B651" s="23"/>
      <c r="C651" s="36"/>
      <c r="D651" s="36"/>
      <c r="E651" s="23"/>
      <c r="F651" s="36"/>
      <c r="G651" s="36"/>
      <c r="H651" s="23"/>
      <c r="I651" s="36"/>
      <c r="J651" s="36"/>
      <c r="K651" s="23"/>
      <c r="L651" s="36"/>
      <c r="M651" s="36"/>
      <c r="N651" s="23"/>
      <c r="O651" s="36"/>
      <c r="P651" s="36"/>
      <c r="Q651" s="36"/>
      <c r="R651" s="36"/>
      <c r="S651" s="36"/>
      <c r="T651" s="36"/>
      <c r="U651" s="36"/>
      <c r="V651" s="36"/>
      <c r="W651" s="23"/>
      <c r="X651" s="36"/>
      <c r="Y651" s="36"/>
      <c r="Z651" s="23"/>
      <c r="AA651" s="36"/>
      <c r="AB651" s="36"/>
      <c r="AC651" s="23"/>
      <c r="AD651" s="36"/>
      <c r="AE651" s="36"/>
      <c r="AF651" s="23"/>
    </row>
    <row r="652" spans="1:32" x14ac:dyDescent="0.25">
      <c r="A652" s="23"/>
      <c r="B652" s="23"/>
      <c r="C652" s="36"/>
      <c r="D652" s="36"/>
      <c r="E652" s="23"/>
      <c r="F652" s="36"/>
      <c r="G652" s="36"/>
      <c r="H652" s="23"/>
      <c r="I652" s="36"/>
      <c r="J652" s="36"/>
      <c r="K652" s="23"/>
      <c r="L652" s="36"/>
      <c r="M652" s="36"/>
      <c r="N652" s="23"/>
      <c r="O652" s="36"/>
      <c r="P652" s="36"/>
      <c r="Q652" s="36"/>
      <c r="R652" s="36"/>
      <c r="S652" s="36"/>
      <c r="T652" s="36"/>
      <c r="U652" s="36"/>
      <c r="V652" s="36"/>
      <c r="W652" s="23"/>
      <c r="X652" s="36"/>
      <c r="Y652" s="36"/>
      <c r="Z652" s="23"/>
      <c r="AA652" s="36"/>
      <c r="AB652" s="36"/>
      <c r="AC652" s="23"/>
      <c r="AD652" s="36"/>
      <c r="AE652" s="36"/>
      <c r="AF652" s="23"/>
    </row>
    <row r="653" spans="1:32" x14ac:dyDescent="0.25">
      <c r="A653" s="23"/>
      <c r="B653" s="23"/>
      <c r="C653" s="36"/>
      <c r="D653" s="36"/>
      <c r="E653" s="23"/>
      <c r="F653" s="36"/>
      <c r="G653" s="36"/>
      <c r="H653" s="23"/>
      <c r="I653" s="36"/>
      <c r="J653" s="36"/>
      <c r="K653" s="23"/>
      <c r="L653" s="36"/>
      <c r="M653" s="36"/>
      <c r="N653" s="23"/>
      <c r="O653" s="36"/>
      <c r="P653" s="36"/>
      <c r="Q653" s="36"/>
      <c r="R653" s="36"/>
      <c r="S653" s="36"/>
      <c r="T653" s="36"/>
      <c r="U653" s="36"/>
      <c r="V653" s="36"/>
      <c r="W653" s="23"/>
      <c r="X653" s="36"/>
      <c r="Y653" s="36"/>
      <c r="Z653" s="23"/>
      <c r="AA653" s="36"/>
      <c r="AB653" s="36"/>
      <c r="AC653" s="23"/>
      <c r="AD653" s="36"/>
      <c r="AE653" s="36"/>
      <c r="AF653" s="23"/>
    </row>
    <row r="654" spans="1:32" x14ac:dyDescent="0.25">
      <c r="A654" s="23"/>
      <c r="B654" s="23"/>
      <c r="C654" s="36"/>
      <c r="D654" s="36"/>
      <c r="E654" s="23"/>
      <c r="F654" s="36"/>
      <c r="G654" s="36"/>
      <c r="H654" s="23"/>
      <c r="I654" s="36"/>
      <c r="J654" s="36"/>
      <c r="K654" s="23"/>
      <c r="L654" s="36"/>
      <c r="M654" s="36"/>
      <c r="N654" s="23"/>
      <c r="O654" s="36"/>
      <c r="P654" s="36"/>
      <c r="Q654" s="36"/>
      <c r="R654" s="36"/>
      <c r="S654" s="36"/>
      <c r="T654" s="36"/>
      <c r="U654" s="36"/>
      <c r="V654" s="36"/>
      <c r="W654" s="23"/>
      <c r="X654" s="36"/>
      <c r="Y654" s="36"/>
      <c r="Z654" s="23"/>
      <c r="AA654" s="36"/>
      <c r="AB654" s="36"/>
      <c r="AC654" s="23"/>
      <c r="AD654" s="36"/>
      <c r="AE654" s="36"/>
      <c r="AF654" s="23"/>
    </row>
    <row r="655" spans="1:32" x14ac:dyDescent="0.25">
      <c r="A655" s="23"/>
      <c r="B655" s="23"/>
      <c r="C655" s="36"/>
      <c r="D655" s="36"/>
      <c r="E655" s="23"/>
      <c r="F655" s="36"/>
      <c r="G655" s="36"/>
      <c r="H655" s="23"/>
      <c r="I655" s="36"/>
      <c r="J655" s="36"/>
      <c r="K655" s="23"/>
      <c r="L655" s="36"/>
      <c r="M655" s="36"/>
      <c r="N655" s="23"/>
      <c r="O655" s="36"/>
      <c r="P655" s="36"/>
      <c r="Q655" s="36"/>
      <c r="R655" s="36"/>
      <c r="S655" s="36"/>
      <c r="T655" s="36"/>
      <c r="U655" s="36"/>
      <c r="V655" s="36"/>
      <c r="W655" s="23"/>
      <c r="X655" s="36"/>
      <c r="Y655" s="36"/>
      <c r="Z655" s="23"/>
      <c r="AA655" s="36"/>
      <c r="AB655" s="36"/>
      <c r="AC655" s="23"/>
      <c r="AD655" s="36"/>
      <c r="AE655" s="36"/>
      <c r="AF655" s="23"/>
    </row>
    <row r="656" spans="1:32" x14ac:dyDescent="0.25">
      <c r="A656" s="23"/>
      <c r="B656" s="23"/>
      <c r="C656" s="36"/>
      <c r="D656" s="36"/>
      <c r="E656" s="23"/>
      <c r="F656" s="36"/>
      <c r="G656" s="36"/>
      <c r="H656" s="23"/>
      <c r="I656" s="36"/>
      <c r="J656" s="36"/>
      <c r="K656" s="23"/>
      <c r="L656" s="36"/>
      <c r="M656" s="36"/>
      <c r="N656" s="23"/>
      <c r="O656" s="36"/>
      <c r="P656" s="36"/>
      <c r="Q656" s="36"/>
      <c r="R656" s="36"/>
      <c r="S656" s="36"/>
      <c r="T656" s="36"/>
      <c r="U656" s="36"/>
      <c r="V656" s="36"/>
      <c r="W656" s="23"/>
      <c r="X656" s="36"/>
      <c r="Y656" s="36"/>
      <c r="Z656" s="23"/>
      <c r="AA656" s="36"/>
      <c r="AB656" s="36"/>
      <c r="AC656" s="23"/>
      <c r="AD656" s="36"/>
      <c r="AE656" s="36"/>
      <c r="AF656" s="23"/>
    </row>
    <row r="657" spans="1:32" x14ac:dyDescent="0.25">
      <c r="A657" s="23"/>
      <c r="B657" s="23"/>
      <c r="C657" s="36"/>
      <c r="D657" s="36"/>
      <c r="E657" s="23"/>
      <c r="F657" s="36"/>
      <c r="G657" s="36"/>
      <c r="H657" s="23"/>
      <c r="I657" s="36"/>
      <c r="J657" s="36"/>
      <c r="K657" s="23"/>
      <c r="L657" s="36"/>
      <c r="M657" s="36"/>
      <c r="N657" s="23"/>
      <c r="O657" s="36"/>
      <c r="P657" s="36"/>
      <c r="Q657" s="36"/>
      <c r="R657" s="36"/>
      <c r="S657" s="36"/>
      <c r="T657" s="36"/>
      <c r="U657" s="36"/>
      <c r="V657" s="36"/>
      <c r="W657" s="23"/>
      <c r="X657" s="36"/>
      <c r="Y657" s="36"/>
      <c r="Z657" s="23"/>
      <c r="AA657" s="36"/>
      <c r="AB657" s="36"/>
      <c r="AC657" s="23"/>
      <c r="AD657" s="36"/>
      <c r="AE657" s="36"/>
      <c r="AF657" s="23"/>
    </row>
    <row r="658" spans="1:32" x14ac:dyDescent="0.25">
      <c r="A658" s="23"/>
      <c r="B658" s="23"/>
      <c r="C658" s="36"/>
      <c r="D658" s="36"/>
      <c r="E658" s="23"/>
      <c r="F658" s="36"/>
      <c r="G658" s="36"/>
      <c r="H658" s="23"/>
      <c r="I658" s="36"/>
      <c r="J658" s="36"/>
      <c r="K658" s="23"/>
      <c r="L658" s="36"/>
      <c r="M658" s="36"/>
      <c r="N658" s="23"/>
      <c r="O658" s="36"/>
      <c r="P658" s="36"/>
      <c r="Q658" s="36"/>
      <c r="R658" s="36"/>
      <c r="S658" s="36"/>
      <c r="T658" s="36"/>
      <c r="U658" s="36"/>
      <c r="V658" s="36"/>
      <c r="W658" s="23"/>
      <c r="X658" s="36"/>
      <c r="Y658" s="36"/>
      <c r="Z658" s="23"/>
      <c r="AA658" s="36"/>
      <c r="AB658" s="36"/>
      <c r="AC658" s="23"/>
      <c r="AD658" s="36"/>
      <c r="AE658" s="36"/>
      <c r="AF658" s="23"/>
    </row>
    <row r="659" spans="1:32" x14ac:dyDescent="0.25">
      <c r="A659" s="23"/>
      <c r="B659" s="23"/>
      <c r="C659" s="36"/>
      <c r="D659" s="36"/>
      <c r="E659" s="23"/>
      <c r="F659" s="36"/>
      <c r="G659" s="36"/>
      <c r="H659" s="23"/>
      <c r="I659" s="36"/>
      <c r="J659" s="36"/>
      <c r="K659" s="23"/>
      <c r="L659" s="36"/>
      <c r="M659" s="36"/>
      <c r="N659" s="23"/>
      <c r="O659" s="36"/>
      <c r="P659" s="36"/>
      <c r="Q659" s="36"/>
      <c r="R659" s="36"/>
      <c r="S659" s="36"/>
      <c r="T659" s="36"/>
      <c r="U659" s="36"/>
      <c r="V659" s="36"/>
      <c r="W659" s="23"/>
      <c r="X659" s="36"/>
      <c r="Y659" s="36"/>
      <c r="Z659" s="23"/>
      <c r="AA659" s="36"/>
      <c r="AB659" s="36"/>
      <c r="AC659" s="23"/>
      <c r="AD659" s="36"/>
      <c r="AE659" s="36"/>
      <c r="AF659" s="23"/>
    </row>
    <row r="660" spans="1:32" x14ac:dyDescent="0.25">
      <c r="A660" s="23"/>
      <c r="B660" s="23"/>
      <c r="C660" s="36"/>
      <c r="D660" s="36"/>
      <c r="E660" s="23"/>
      <c r="F660" s="36"/>
      <c r="G660" s="36"/>
      <c r="H660" s="23"/>
      <c r="I660" s="36"/>
      <c r="J660" s="36"/>
      <c r="K660" s="23"/>
      <c r="L660" s="36"/>
      <c r="M660" s="36"/>
      <c r="N660" s="23"/>
      <c r="O660" s="36"/>
      <c r="P660" s="36"/>
      <c r="Q660" s="36"/>
      <c r="R660" s="36"/>
      <c r="S660" s="36"/>
      <c r="T660" s="36"/>
      <c r="U660" s="36"/>
      <c r="V660" s="36"/>
      <c r="W660" s="23"/>
      <c r="X660" s="36"/>
      <c r="Y660" s="36"/>
      <c r="Z660" s="23"/>
      <c r="AA660" s="36"/>
      <c r="AB660" s="36"/>
      <c r="AC660" s="23"/>
      <c r="AD660" s="36"/>
      <c r="AE660" s="36"/>
      <c r="AF660" s="23"/>
    </row>
    <row r="661" spans="1:32" x14ac:dyDescent="0.25">
      <c r="A661" s="23"/>
      <c r="B661" s="23"/>
      <c r="C661" s="36"/>
      <c r="D661" s="36"/>
      <c r="E661" s="23"/>
      <c r="F661" s="36"/>
      <c r="G661" s="36"/>
      <c r="H661" s="23"/>
      <c r="I661" s="36"/>
      <c r="J661" s="36"/>
      <c r="K661" s="23"/>
      <c r="L661" s="36"/>
      <c r="M661" s="36"/>
      <c r="N661" s="23"/>
      <c r="O661" s="36"/>
      <c r="P661" s="36"/>
      <c r="Q661" s="36"/>
      <c r="R661" s="36"/>
      <c r="S661" s="36"/>
      <c r="T661" s="36"/>
      <c r="U661" s="36"/>
      <c r="V661" s="36"/>
      <c r="W661" s="23"/>
      <c r="X661" s="36"/>
      <c r="Y661" s="36"/>
      <c r="Z661" s="23"/>
      <c r="AA661" s="36"/>
      <c r="AB661" s="36"/>
      <c r="AC661" s="23"/>
      <c r="AD661" s="36"/>
      <c r="AE661" s="36"/>
      <c r="AF661" s="23"/>
    </row>
    <row r="662" spans="1:32" x14ac:dyDescent="0.25">
      <c r="A662" s="23"/>
      <c r="B662" s="23"/>
      <c r="C662" s="36"/>
      <c r="D662" s="36"/>
      <c r="E662" s="23"/>
      <c r="F662" s="36"/>
      <c r="G662" s="36"/>
      <c r="H662" s="23"/>
      <c r="I662" s="36"/>
      <c r="J662" s="36"/>
      <c r="K662" s="23"/>
      <c r="L662" s="36"/>
      <c r="M662" s="36"/>
      <c r="N662" s="23"/>
      <c r="O662" s="36"/>
      <c r="P662" s="36"/>
      <c r="Q662" s="36"/>
      <c r="R662" s="36"/>
      <c r="S662" s="36"/>
      <c r="T662" s="36"/>
      <c r="U662" s="36"/>
      <c r="V662" s="36"/>
      <c r="W662" s="23"/>
      <c r="X662" s="36"/>
      <c r="Y662" s="36"/>
      <c r="Z662" s="23"/>
      <c r="AA662" s="36"/>
      <c r="AB662" s="36"/>
      <c r="AC662" s="23"/>
      <c r="AD662" s="36"/>
      <c r="AE662" s="36"/>
      <c r="AF662" s="23"/>
    </row>
    <row r="663" spans="1:32" x14ac:dyDescent="0.25">
      <c r="A663" s="23"/>
      <c r="B663" s="23"/>
      <c r="C663" s="36"/>
      <c r="D663" s="36"/>
      <c r="E663" s="23"/>
      <c r="F663" s="36"/>
      <c r="G663" s="36"/>
      <c r="H663" s="23"/>
      <c r="I663" s="36"/>
      <c r="J663" s="36"/>
      <c r="K663" s="23"/>
      <c r="L663" s="36"/>
      <c r="M663" s="36"/>
      <c r="N663" s="23"/>
      <c r="O663" s="36"/>
      <c r="P663" s="36"/>
      <c r="Q663" s="36"/>
      <c r="R663" s="36"/>
      <c r="S663" s="36"/>
      <c r="T663" s="36"/>
      <c r="U663" s="36"/>
      <c r="V663" s="36"/>
      <c r="W663" s="23"/>
      <c r="X663" s="36"/>
      <c r="Y663" s="36"/>
      <c r="Z663" s="23"/>
      <c r="AA663" s="36"/>
      <c r="AB663" s="36"/>
      <c r="AC663" s="23"/>
      <c r="AD663" s="36"/>
      <c r="AE663" s="36"/>
      <c r="AF663" s="23"/>
    </row>
    <row r="664" spans="1:32" x14ac:dyDescent="0.25">
      <c r="A664" s="23"/>
      <c r="B664" s="23"/>
      <c r="C664" s="36"/>
      <c r="D664" s="36"/>
      <c r="E664" s="23"/>
      <c r="F664" s="36"/>
      <c r="G664" s="36"/>
      <c r="H664" s="23"/>
      <c r="I664" s="36"/>
      <c r="J664" s="36"/>
      <c r="K664" s="23"/>
      <c r="L664" s="36"/>
      <c r="M664" s="36"/>
      <c r="N664" s="23"/>
      <c r="O664" s="36"/>
      <c r="P664" s="36"/>
      <c r="Q664" s="36"/>
      <c r="R664" s="36"/>
      <c r="S664" s="36"/>
      <c r="T664" s="36"/>
      <c r="U664" s="36"/>
      <c r="V664" s="36"/>
      <c r="W664" s="23"/>
      <c r="X664" s="36"/>
      <c r="Y664" s="36"/>
      <c r="Z664" s="23"/>
      <c r="AA664" s="36"/>
      <c r="AB664" s="36"/>
      <c r="AC664" s="23"/>
      <c r="AD664" s="36"/>
      <c r="AE664" s="36"/>
      <c r="AF664" s="23"/>
    </row>
    <row r="665" spans="1:32" x14ac:dyDescent="0.25">
      <c r="A665" s="23"/>
      <c r="B665" s="23"/>
      <c r="C665" s="36"/>
      <c r="D665" s="36"/>
      <c r="E665" s="23"/>
      <c r="F665" s="36"/>
      <c r="G665" s="36"/>
      <c r="H665" s="23"/>
      <c r="I665" s="36"/>
      <c r="J665" s="36"/>
      <c r="K665" s="23"/>
      <c r="L665" s="36"/>
      <c r="M665" s="36"/>
      <c r="N665" s="23"/>
      <c r="O665" s="36"/>
      <c r="P665" s="36"/>
      <c r="Q665" s="36"/>
      <c r="R665" s="36"/>
      <c r="S665" s="36"/>
      <c r="T665" s="36"/>
      <c r="U665" s="36"/>
      <c r="V665" s="36"/>
      <c r="W665" s="23"/>
      <c r="X665" s="36"/>
      <c r="Y665" s="36"/>
      <c r="Z665" s="23"/>
      <c r="AA665" s="36"/>
      <c r="AB665" s="36"/>
      <c r="AC665" s="23"/>
      <c r="AD665" s="36"/>
      <c r="AE665" s="36"/>
      <c r="AF665" s="23"/>
    </row>
    <row r="666" spans="1:32" x14ac:dyDescent="0.25">
      <c r="A666" s="23"/>
      <c r="B666" s="23"/>
      <c r="C666" s="36"/>
      <c r="D666" s="36"/>
      <c r="E666" s="23"/>
      <c r="F666" s="36"/>
      <c r="G666" s="36"/>
      <c r="H666" s="23"/>
      <c r="I666" s="36"/>
      <c r="J666" s="36"/>
      <c r="K666" s="23"/>
      <c r="L666" s="36"/>
      <c r="M666" s="36"/>
      <c r="N666" s="23"/>
      <c r="O666" s="36"/>
      <c r="P666" s="36"/>
      <c r="Q666" s="36"/>
      <c r="R666" s="36"/>
      <c r="S666" s="36"/>
      <c r="T666" s="36"/>
      <c r="U666" s="36"/>
      <c r="V666" s="36"/>
      <c r="W666" s="23"/>
      <c r="X666" s="36"/>
      <c r="Y666" s="36"/>
      <c r="Z666" s="23"/>
      <c r="AA666" s="36"/>
      <c r="AB666" s="36"/>
      <c r="AC666" s="23"/>
      <c r="AD666" s="36"/>
      <c r="AE666" s="36"/>
      <c r="AF666" s="23"/>
    </row>
    <row r="667" spans="1:32" x14ac:dyDescent="0.25">
      <c r="A667" s="23"/>
      <c r="B667" s="23"/>
      <c r="C667" s="36"/>
      <c r="D667" s="36"/>
      <c r="E667" s="23"/>
      <c r="F667" s="36"/>
      <c r="G667" s="36"/>
      <c r="H667" s="23"/>
      <c r="I667" s="36"/>
      <c r="J667" s="36"/>
      <c r="K667" s="23"/>
      <c r="L667" s="36"/>
      <c r="M667" s="36"/>
      <c r="N667" s="23"/>
      <c r="O667" s="36"/>
      <c r="P667" s="36"/>
      <c r="Q667" s="36"/>
      <c r="R667" s="36"/>
      <c r="S667" s="36"/>
      <c r="T667" s="36"/>
      <c r="U667" s="36"/>
      <c r="V667" s="36"/>
      <c r="W667" s="23"/>
      <c r="X667" s="36"/>
      <c r="Y667" s="36"/>
      <c r="Z667" s="23"/>
      <c r="AA667" s="36"/>
      <c r="AB667" s="36"/>
      <c r="AC667" s="23"/>
      <c r="AD667" s="36"/>
      <c r="AE667" s="36"/>
      <c r="AF667" s="23"/>
    </row>
    <row r="668" spans="1:32" x14ac:dyDescent="0.25">
      <c r="A668" s="23"/>
      <c r="B668" s="23"/>
      <c r="C668" s="36"/>
      <c r="D668" s="36"/>
      <c r="E668" s="23"/>
      <c r="F668" s="36"/>
      <c r="G668" s="36"/>
      <c r="H668" s="23"/>
      <c r="I668" s="36"/>
      <c r="J668" s="36"/>
      <c r="K668" s="23"/>
      <c r="L668" s="36"/>
      <c r="M668" s="36"/>
      <c r="N668" s="23"/>
      <c r="O668" s="36"/>
      <c r="P668" s="36"/>
      <c r="Q668" s="36"/>
      <c r="R668" s="36"/>
      <c r="S668" s="36"/>
      <c r="T668" s="36"/>
      <c r="U668" s="36"/>
      <c r="V668" s="36"/>
      <c r="W668" s="23"/>
      <c r="X668" s="36"/>
      <c r="Y668" s="36"/>
      <c r="Z668" s="23"/>
      <c r="AA668" s="36"/>
      <c r="AB668" s="36"/>
      <c r="AC668" s="23"/>
      <c r="AD668" s="36"/>
      <c r="AE668" s="36"/>
      <c r="AF668" s="23"/>
    </row>
    <row r="669" spans="1:32" x14ac:dyDescent="0.25">
      <c r="A669" s="23"/>
      <c r="B669" s="23"/>
      <c r="C669" s="36"/>
      <c r="D669" s="36"/>
      <c r="E669" s="23"/>
      <c r="F669" s="36"/>
      <c r="G669" s="36"/>
      <c r="H669" s="23"/>
      <c r="I669" s="36"/>
      <c r="J669" s="36"/>
      <c r="K669" s="23"/>
      <c r="L669" s="36"/>
      <c r="M669" s="36"/>
      <c r="N669" s="23"/>
      <c r="O669" s="36"/>
      <c r="P669" s="36"/>
      <c r="Q669" s="36"/>
      <c r="R669" s="36"/>
      <c r="S669" s="36"/>
      <c r="T669" s="36"/>
      <c r="U669" s="36"/>
      <c r="V669" s="36"/>
      <c r="W669" s="23"/>
      <c r="X669" s="36"/>
      <c r="Y669" s="36"/>
      <c r="Z669" s="23"/>
      <c r="AA669" s="36"/>
      <c r="AB669" s="36"/>
      <c r="AC669" s="23"/>
      <c r="AD669" s="36"/>
      <c r="AE669" s="36"/>
      <c r="AF669" s="23"/>
    </row>
    <row r="670" spans="1:32" x14ac:dyDescent="0.25">
      <c r="A670" s="23"/>
      <c r="B670" s="23"/>
      <c r="C670" s="36"/>
      <c r="D670" s="36"/>
      <c r="E670" s="23"/>
      <c r="F670" s="36"/>
      <c r="G670" s="36"/>
      <c r="H670" s="23"/>
      <c r="I670" s="36"/>
      <c r="J670" s="36"/>
      <c r="K670" s="23"/>
      <c r="L670" s="36"/>
      <c r="M670" s="36"/>
      <c r="N670" s="23"/>
      <c r="O670" s="36"/>
      <c r="P670" s="36"/>
      <c r="Q670" s="36"/>
      <c r="R670" s="36"/>
      <c r="S670" s="36"/>
      <c r="T670" s="36"/>
      <c r="U670" s="36"/>
      <c r="V670" s="36"/>
      <c r="W670" s="23"/>
      <c r="X670" s="36"/>
      <c r="Y670" s="36"/>
      <c r="Z670" s="23"/>
      <c r="AA670" s="36"/>
      <c r="AB670" s="36"/>
      <c r="AC670" s="23"/>
      <c r="AD670" s="36"/>
      <c r="AE670" s="36"/>
      <c r="AF670" s="23"/>
    </row>
    <row r="671" spans="1:32" x14ac:dyDescent="0.25">
      <c r="A671" s="23"/>
      <c r="B671" s="23"/>
      <c r="C671" s="36"/>
      <c r="D671" s="36"/>
      <c r="E671" s="23"/>
      <c r="F671" s="36"/>
      <c r="G671" s="36"/>
      <c r="H671" s="23"/>
      <c r="I671" s="36"/>
      <c r="J671" s="36"/>
      <c r="K671" s="23"/>
      <c r="L671" s="36"/>
      <c r="M671" s="36"/>
      <c r="N671" s="23"/>
      <c r="O671" s="36"/>
      <c r="P671" s="36"/>
      <c r="Q671" s="36"/>
      <c r="R671" s="36"/>
      <c r="S671" s="36"/>
      <c r="T671" s="36"/>
      <c r="U671" s="36"/>
      <c r="V671" s="36"/>
      <c r="W671" s="23"/>
      <c r="X671" s="36"/>
      <c r="Y671" s="36"/>
      <c r="Z671" s="23"/>
      <c r="AA671" s="36"/>
      <c r="AB671" s="36"/>
      <c r="AC671" s="23"/>
      <c r="AD671" s="36"/>
      <c r="AE671" s="36"/>
      <c r="AF671" s="23"/>
    </row>
    <row r="672" spans="1:32" x14ac:dyDescent="0.25">
      <c r="A672" s="23"/>
      <c r="B672" s="23"/>
      <c r="C672" s="36"/>
      <c r="D672" s="36"/>
      <c r="E672" s="23"/>
      <c r="F672" s="36"/>
      <c r="G672" s="36"/>
      <c r="H672" s="23"/>
      <c r="I672" s="36"/>
      <c r="J672" s="36"/>
      <c r="K672" s="23"/>
      <c r="L672" s="36"/>
      <c r="M672" s="36"/>
      <c r="N672" s="23"/>
      <c r="O672" s="36"/>
      <c r="P672" s="36"/>
      <c r="Q672" s="36"/>
      <c r="R672" s="36"/>
      <c r="S672" s="36"/>
      <c r="T672" s="36"/>
      <c r="U672" s="36"/>
      <c r="V672" s="36"/>
      <c r="W672" s="23"/>
      <c r="X672" s="36"/>
      <c r="Y672" s="36"/>
      <c r="Z672" s="23"/>
      <c r="AA672" s="36"/>
      <c r="AB672" s="36"/>
      <c r="AC672" s="23"/>
      <c r="AD672" s="36"/>
      <c r="AE672" s="36"/>
      <c r="AF672" s="23"/>
    </row>
    <row r="673" spans="1:32" x14ac:dyDescent="0.25">
      <c r="A673" s="23"/>
      <c r="B673" s="23"/>
      <c r="C673" s="36"/>
      <c r="D673" s="36"/>
      <c r="E673" s="23"/>
      <c r="F673" s="36"/>
      <c r="G673" s="36"/>
      <c r="H673" s="23"/>
      <c r="I673" s="36"/>
      <c r="J673" s="36"/>
      <c r="K673" s="23"/>
      <c r="L673" s="36"/>
      <c r="M673" s="36"/>
      <c r="N673" s="23"/>
      <c r="O673" s="36"/>
      <c r="P673" s="36"/>
      <c r="Q673" s="36"/>
      <c r="R673" s="36"/>
      <c r="S673" s="36"/>
      <c r="T673" s="36"/>
      <c r="U673" s="36"/>
      <c r="V673" s="36"/>
      <c r="W673" s="23"/>
      <c r="X673" s="36"/>
      <c r="Y673" s="36"/>
      <c r="Z673" s="23"/>
      <c r="AA673" s="36"/>
      <c r="AB673" s="36"/>
      <c r="AC673" s="23"/>
      <c r="AD673" s="36"/>
      <c r="AE673" s="36"/>
      <c r="AF673" s="23"/>
    </row>
    <row r="674" spans="1:32" x14ac:dyDescent="0.25">
      <c r="A674" s="23"/>
      <c r="B674" s="23"/>
      <c r="C674" s="36"/>
      <c r="D674" s="36"/>
      <c r="E674" s="23"/>
      <c r="F674" s="36"/>
      <c r="G674" s="36"/>
      <c r="H674" s="23"/>
      <c r="I674" s="36"/>
      <c r="J674" s="36"/>
      <c r="K674" s="23"/>
      <c r="L674" s="36"/>
      <c r="M674" s="36"/>
      <c r="N674" s="23"/>
      <c r="O674" s="36"/>
      <c r="P674" s="36"/>
      <c r="Q674" s="36"/>
      <c r="R674" s="36"/>
      <c r="S674" s="36"/>
      <c r="T674" s="36"/>
      <c r="U674" s="36"/>
      <c r="V674" s="36"/>
      <c r="W674" s="23"/>
      <c r="X674" s="36"/>
      <c r="Y674" s="36"/>
      <c r="Z674" s="23"/>
      <c r="AA674" s="36"/>
      <c r="AB674" s="36"/>
      <c r="AC674" s="23"/>
      <c r="AD674" s="36"/>
      <c r="AE674" s="36"/>
      <c r="AF674" s="23"/>
    </row>
    <row r="675" spans="1:32" x14ac:dyDescent="0.25">
      <c r="A675" s="23"/>
      <c r="B675" s="23"/>
      <c r="C675" s="36"/>
      <c r="D675" s="36"/>
      <c r="E675" s="23"/>
      <c r="F675" s="36"/>
      <c r="G675" s="36"/>
      <c r="H675" s="23"/>
      <c r="I675" s="36"/>
      <c r="J675" s="36"/>
      <c r="K675" s="23"/>
      <c r="L675" s="36"/>
      <c r="M675" s="36"/>
      <c r="N675" s="23"/>
      <c r="O675" s="36"/>
      <c r="P675" s="36"/>
      <c r="Q675" s="36"/>
      <c r="R675" s="36"/>
      <c r="S675" s="36"/>
      <c r="T675" s="36"/>
      <c r="U675" s="36"/>
      <c r="V675" s="36"/>
      <c r="W675" s="23"/>
      <c r="X675" s="36"/>
      <c r="Y675" s="36"/>
      <c r="Z675" s="23"/>
      <c r="AA675" s="36"/>
      <c r="AB675" s="36"/>
      <c r="AC675" s="23"/>
      <c r="AD675" s="36"/>
      <c r="AE675" s="36"/>
      <c r="AF675" s="23"/>
    </row>
    <row r="676" spans="1:32" x14ac:dyDescent="0.25">
      <c r="A676" s="23"/>
      <c r="B676" s="23"/>
      <c r="C676" s="36"/>
      <c r="D676" s="36"/>
      <c r="E676" s="23"/>
      <c r="F676" s="36"/>
      <c r="G676" s="36"/>
      <c r="H676" s="23"/>
      <c r="I676" s="36"/>
      <c r="J676" s="36"/>
      <c r="K676" s="23"/>
      <c r="L676" s="36"/>
      <c r="M676" s="36"/>
      <c r="N676" s="23"/>
      <c r="O676" s="36"/>
      <c r="P676" s="36"/>
      <c r="Q676" s="36"/>
      <c r="R676" s="36"/>
      <c r="S676" s="36"/>
      <c r="T676" s="36"/>
      <c r="U676" s="36"/>
      <c r="V676" s="36"/>
      <c r="W676" s="23"/>
      <c r="X676" s="36"/>
      <c r="Y676" s="36"/>
      <c r="Z676" s="23"/>
      <c r="AA676" s="36"/>
      <c r="AB676" s="36"/>
      <c r="AC676" s="23"/>
      <c r="AD676" s="36"/>
      <c r="AE676" s="36"/>
      <c r="AF676" s="23"/>
    </row>
    <row r="677" spans="1:32" x14ac:dyDescent="0.25">
      <c r="A677" s="23"/>
      <c r="B677" s="23"/>
      <c r="C677" s="36"/>
      <c r="D677" s="36"/>
      <c r="E677" s="23"/>
      <c r="F677" s="36"/>
      <c r="G677" s="36"/>
      <c r="H677" s="23"/>
      <c r="I677" s="36"/>
      <c r="J677" s="36"/>
      <c r="K677" s="23"/>
      <c r="L677" s="36"/>
      <c r="M677" s="36"/>
      <c r="N677" s="23"/>
      <c r="O677" s="36"/>
      <c r="P677" s="36"/>
      <c r="Q677" s="36"/>
      <c r="R677" s="36"/>
      <c r="S677" s="36"/>
      <c r="T677" s="36"/>
      <c r="U677" s="36"/>
      <c r="V677" s="36"/>
      <c r="W677" s="23"/>
      <c r="X677" s="36"/>
      <c r="Y677" s="36"/>
      <c r="Z677" s="23"/>
      <c r="AA677" s="36"/>
      <c r="AB677" s="36"/>
      <c r="AC677" s="23"/>
      <c r="AD677" s="36"/>
      <c r="AE677" s="36"/>
      <c r="AF677" s="23"/>
    </row>
    <row r="678" spans="1:32" x14ac:dyDescent="0.25">
      <c r="A678" s="23"/>
      <c r="B678" s="23"/>
      <c r="C678" s="36"/>
      <c r="D678" s="36"/>
      <c r="E678" s="23"/>
      <c r="F678" s="36"/>
      <c r="G678" s="36"/>
      <c r="H678" s="23"/>
      <c r="I678" s="36"/>
      <c r="J678" s="36"/>
      <c r="K678" s="23"/>
      <c r="L678" s="36"/>
      <c r="M678" s="36"/>
      <c r="N678" s="23"/>
      <c r="O678" s="36"/>
      <c r="P678" s="36"/>
      <c r="Q678" s="36"/>
      <c r="R678" s="36"/>
      <c r="S678" s="36"/>
      <c r="T678" s="36"/>
      <c r="U678" s="36"/>
      <c r="V678" s="36"/>
      <c r="W678" s="23"/>
      <c r="X678" s="36"/>
      <c r="Y678" s="36"/>
      <c r="Z678" s="23"/>
      <c r="AA678" s="36"/>
      <c r="AB678" s="36"/>
      <c r="AC678" s="23"/>
      <c r="AD678" s="36"/>
      <c r="AE678" s="36"/>
      <c r="AF678" s="23"/>
    </row>
    <row r="679" spans="1:32" x14ac:dyDescent="0.25">
      <c r="A679" s="23"/>
      <c r="B679" s="23"/>
      <c r="C679" s="36"/>
      <c r="D679" s="36"/>
      <c r="E679" s="23"/>
      <c r="F679" s="36"/>
      <c r="G679" s="36"/>
      <c r="H679" s="23"/>
      <c r="I679" s="36"/>
      <c r="J679" s="36"/>
      <c r="K679" s="23"/>
      <c r="L679" s="36"/>
      <c r="M679" s="36"/>
      <c r="N679" s="23"/>
      <c r="O679" s="36"/>
      <c r="P679" s="36"/>
      <c r="Q679" s="36"/>
      <c r="R679" s="36"/>
      <c r="S679" s="36"/>
      <c r="T679" s="36"/>
      <c r="U679" s="36"/>
      <c r="V679" s="36"/>
      <c r="W679" s="23"/>
      <c r="X679" s="36"/>
      <c r="Y679" s="36"/>
      <c r="Z679" s="23"/>
      <c r="AA679" s="36"/>
      <c r="AB679" s="36"/>
      <c r="AC679" s="23"/>
      <c r="AD679" s="36"/>
      <c r="AE679" s="36"/>
      <c r="AF679" s="23"/>
    </row>
    <row r="680" spans="1:32" x14ac:dyDescent="0.25">
      <c r="A680" s="23"/>
      <c r="B680" s="23"/>
      <c r="C680" s="36"/>
      <c r="D680" s="36"/>
      <c r="E680" s="23"/>
      <c r="F680" s="36"/>
      <c r="G680" s="36"/>
      <c r="H680" s="23"/>
      <c r="I680" s="36"/>
      <c r="J680" s="36"/>
      <c r="K680" s="23"/>
      <c r="L680" s="36"/>
      <c r="M680" s="36"/>
      <c r="N680" s="23"/>
      <c r="O680" s="36"/>
      <c r="P680" s="36"/>
      <c r="Q680" s="36"/>
      <c r="R680" s="36"/>
      <c r="S680" s="36"/>
      <c r="T680" s="36"/>
      <c r="U680" s="36"/>
      <c r="V680" s="36"/>
      <c r="W680" s="23"/>
      <c r="X680" s="36"/>
      <c r="Y680" s="36"/>
      <c r="Z680" s="23"/>
      <c r="AA680" s="36"/>
      <c r="AB680" s="36"/>
      <c r="AC680" s="23"/>
      <c r="AD680" s="36"/>
      <c r="AE680" s="36"/>
      <c r="AF680" s="23"/>
    </row>
    <row r="681" spans="1:32" x14ac:dyDescent="0.25">
      <c r="A681" s="23"/>
      <c r="B681" s="23"/>
      <c r="C681" s="36"/>
      <c r="D681" s="36"/>
      <c r="E681" s="23"/>
      <c r="F681" s="36"/>
      <c r="G681" s="36"/>
      <c r="H681" s="23"/>
      <c r="I681" s="36"/>
      <c r="J681" s="36"/>
      <c r="K681" s="23"/>
      <c r="L681" s="36"/>
      <c r="M681" s="36"/>
      <c r="N681" s="23"/>
      <c r="O681" s="36"/>
      <c r="P681" s="36"/>
      <c r="Q681" s="36"/>
      <c r="R681" s="36"/>
      <c r="S681" s="36"/>
      <c r="T681" s="36"/>
      <c r="U681" s="36"/>
      <c r="V681" s="36"/>
      <c r="W681" s="23"/>
      <c r="X681" s="36"/>
      <c r="Y681" s="36"/>
      <c r="Z681" s="23"/>
      <c r="AA681" s="36"/>
      <c r="AB681" s="36"/>
      <c r="AC681" s="23"/>
      <c r="AD681" s="36"/>
      <c r="AE681" s="36"/>
      <c r="AF681" s="23"/>
    </row>
    <row r="682" spans="1:32" x14ac:dyDescent="0.25">
      <c r="A682" s="23"/>
      <c r="B682" s="23"/>
      <c r="C682" s="36"/>
      <c r="D682" s="36"/>
      <c r="E682" s="23"/>
      <c r="F682" s="36"/>
      <c r="G682" s="36"/>
      <c r="H682" s="23"/>
      <c r="I682" s="36"/>
      <c r="J682" s="36"/>
      <c r="K682" s="23"/>
      <c r="L682" s="36"/>
      <c r="M682" s="36"/>
      <c r="N682" s="23"/>
      <c r="O682" s="36"/>
      <c r="P682" s="36"/>
      <c r="Q682" s="36"/>
      <c r="R682" s="36"/>
      <c r="S682" s="36"/>
      <c r="T682" s="36"/>
      <c r="U682" s="36"/>
      <c r="V682" s="36"/>
      <c r="W682" s="23"/>
      <c r="X682" s="36"/>
      <c r="Y682" s="36"/>
      <c r="Z682" s="23"/>
      <c r="AA682" s="36"/>
      <c r="AB682" s="36"/>
      <c r="AC682" s="23"/>
      <c r="AD682" s="36"/>
      <c r="AE682" s="36"/>
      <c r="AF682" s="23"/>
    </row>
    <row r="683" spans="1:32" x14ac:dyDescent="0.25">
      <c r="A683" s="23"/>
      <c r="B683" s="23"/>
      <c r="C683" s="36"/>
      <c r="D683" s="36"/>
      <c r="E683" s="23"/>
      <c r="F683" s="36"/>
      <c r="G683" s="36"/>
      <c r="H683" s="23"/>
      <c r="I683" s="36"/>
      <c r="J683" s="36"/>
      <c r="K683" s="23"/>
      <c r="L683" s="36"/>
      <c r="M683" s="36"/>
      <c r="N683" s="23"/>
      <c r="O683" s="36"/>
      <c r="P683" s="36"/>
      <c r="Q683" s="36"/>
      <c r="R683" s="36"/>
      <c r="S683" s="36"/>
      <c r="T683" s="36"/>
      <c r="U683" s="36"/>
      <c r="V683" s="36"/>
      <c r="W683" s="23"/>
      <c r="X683" s="36"/>
      <c r="Y683" s="36"/>
      <c r="Z683" s="23"/>
      <c r="AA683" s="36"/>
      <c r="AB683" s="36"/>
      <c r="AC683" s="23"/>
      <c r="AD683" s="36"/>
      <c r="AE683" s="36"/>
      <c r="AF683" s="23"/>
    </row>
    <row r="684" spans="1:32" x14ac:dyDescent="0.25">
      <c r="A684" s="23"/>
      <c r="B684" s="23"/>
      <c r="C684" s="36"/>
      <c r="D684" s="36"/>
      <c r="E684" s="23"/>
      <c r="F684" s="36"/>
      <c r="G684" s="36"/>
      <c r="H684" s="23"/>
      <c r="I684" s="36"/>
      <c r="J684" s="36"/>
      <c r="K684" s="23"/>
      <c r="L684" s="36"/>
      <c r="M684" s="36"/>
      <c r="N684" s="23"/>
      <c r="O684" s="36"/>
      <c r="P684" s="36"/>
      <c r="Q684" s="36"/>
      <c r="R684" s="36"/>
      <c r="S684" s="36"/>
      <c r="T684" s="36"/>
      <c r="U684" s="36"/>
      <c r="V684" s="36"/>
      <c r="W684" s="23"/>
      <c r="X684" s="36"/>
      <c r="Y684" s="36"/>
      <c r="Z684" s="23"/>
      <c r="AA684" s="36"/>
      <c r="AB684" s="36"/>
      <c r="AC684" s="23"/>
      <c r="AD684" s="36"/>
      <c r="AE684" s="36"/>
      <c r="AF684" s="23"/>
    </row>
    <row r="685" spans="1:32" x14ac:dyDescent="0.25">
      <c r="A685" s="23"/>
      <c r="B685" s="23"/>
      <c r="C685" s="36"/>
      <c r="D685" s="36"/>
      <c r="E685" s="23"/>
      <c r="F685" s="36"/>
      <c r="G685" s="36"/>
      <c r="H685" s="23"/>
      <c r="I685" s="36"/>
      <c r="J685" s="36"/>
      <c r="K685" s="23"/>
      <c r="L685" s="36"/>
      <c r="M685" s="36"/>
      <c r="N685" s="23"/>
      <c r="O685" s="36"/>
      <c r="P685" s="36"/>
      <c r="Q685" s="36"/>
      <c r="R685" s="36"/>
      <c r="S685" s="36"/>
      <c r="T685" s="36"/>
      <c r="U685" s="36"/>
      <c r="V685" s="36"/>
      <c r="W685" s="23"/>
      <c r="X685" s="36"/>
      <c r="Y685" s="36"/>
      <c r="Z685" s="23"/>
      <c r="AA685" s="36"/>
      <c r="AB685" s="36"/>
      <c r="AC685" s="23"/>
      <c r="AD685" s="36"/>
      <c r="AE685" s="36"/>
      <c r="AF685" s="23"/>
    </row>
    <row r="686" spans="1:32" x14ac:dyDescent="0.25">
      <c r="A686" s="23"/>
      <c r="B686" s="23"/>
      <c r="C686" s="36"/>
      <c r="D686" s="36"/>
      <c r="E686" s="23"/>
      <c r="F686" s="36"/>
      <c r="G686" s="36"/>
      <c r="H686" s="23"/>
      <c r="I686" s="36"/>
      <c r="J686" s="36"/>
      <c r="K686" s="23"/>
      <c r="L686" s="36"/>
      <c r="M686" s="36"/>
      <c r="N686" s="23"/>
      <c r="O686" s="36"/>
      <c r="P686" s="36"/>
      <c r="Q686" s="36"/>
      <c r="R686" s="36"/>
      <c r="S686" s="36"/>
      <c r="T686" s="36"/>
      <c r="U686" s="36"/>
      <c r="V686" s="36"/>
      <c r="W686" s="23"/>
      <c r="X686" s="36"/>
      <c r="Y686" s="36"/>
      <c r="Z686" s="23"/>
      <c r="AA686" s="36"/>
      <c r="AB686" s="36"/>
      <c r="AC686" s="23"/>
      <c r="AD686" s="36"/>
      <c r="AE686" s="36"/>
      <c r="AF686" s="23"/>
    </row>
    <row r="687" spans="1:32" x14ac:dyDescent="0.25">
      <c r="A687" s="23"/>
      <c r="B687" s="23"/>
      <c r="C687" s="36"/>
      <c r="D687" s="36"/>
      <c r="E687" s="23"/>
      <c r="F687" s="36"/>
      <c r="G687" s="36"/>
      <c r="H687" s="23"/>
      <c r="I687" s="36"/>
      <c r="J687" s="36"/>
      <c r="K687" s="23"/>
      <c r="L687" s="36"/>
      <c r="M687" s="36"/>
      <c r="N687" s="23"/>
      <c r="O687" s="36"/>
      <c r="P687" s="36"/>
      <c r="Q687" s="36"/>
      <c r="R687" s="36"/>
      <c r="S687" s="36"/>
      <c r="T687" s="36"/>
      <c r="U687" s="36"/>
      <c r="V687" s="36"/>
      <c r="W687" s="23"/>
      <c r="X687" s="36"/>
      <c r="Y687" s="36"/>
      <c r="Z687" s="23"/>
      <c r="AA687" s="36"/>
      <c r="AB687" s="36"/>
      <c r="AC687" s="23"/>
      <c r="AD687" s="36"/>
      <c r="AE687" s="36"/>
      <c r="AF687" s="23"/>
    </row>
    <row r="688" spans="1:32" x14ac:dyDescent="0.25">
      <c r="A688" s="23"/>
      <c r="B688" s="23"/>
      <c r="C688" s="36"/>
      <c r="D688" s="36"/>
      <c r="E688" s="23"/>
      <c r="F688" s="36"/>
      <c r="G688" s="36"/>
      <c r="H688" s="23"/>
      <c r="I688" s="36"/>
      <c r="J688" s="36"/>
      <c r="K688" s="23"/>
      <c r="L688" s="36"/>
      <c r="M688" s="36"/>
      <c r="N688" s="23"/>
      <c r="O688" s="36"/>
      <c r="P688" s="36"/>
      <c r="Q688" s="36"/>
      <c r="R688" s="36"/>
      <c r="S688" s="36"/>
      <c r="T688" s="36"/>
      <c r="U688" s="36"/>
      <c r="V688" s="36"/>
      <c r="W688" s="23"/>
      <c r="X688" s="36"/>
      <c r="Y688" s="36"/>
      <c r="Z688" s="23"/>
      <c r="AA688" s="36"/>
      <c r="AB688" s="36"/>
      <c r="AC688" s="23"/>
      <c r="AD688" s="36"/>
      <c r="AE688" s="36"/>
      <c r="AF688" s="23"/>
    </row>
    <row r="689" spans="1:32" x14ac:dyDescent="0.25">
      <c r="A689" s="23"/>
      <c r="B689" s="23"/>
      <c r="C689" s="36"/>
      <c r="D689" s="36"/>
      <c r="E689" s="23"/>
      <c r="F689" s="36"/>
      <c r="G689" s="36"/>
      <c r="H689" s="23"/>
      <c r="I689" s="36"/>
      <c r="J689" s="36"/>
      <c r="K689" s="23"/>
      <c r="L689" s="36"/>
      <c r="M689" s="36"/>
      <c r="N689" s="23"/>
      <c r="O689" s="36"/>
      <c r="P689" s="36"/>
      <c r="Q689" s="36"/>
      <c r="R689" s="36"/>
      <c r="S689" s="36"/>
      <c r="T689" s="36"/>
      <c r="U689" s="36"/>
      <c r="V689" s="36"/>
      <c r="W689" s="23"/>
      <c r="X689" s="36"/>
      <c r="Y689" s="36"/>
      <c r="Z689" s="23"/>
      <c r="AA689" s="36"/>
      <c r="AB689" s="36"/>
      <c r="AC689" s="23"/>
      <c r="AD689" s="36"/>
      <c r="AE689" s="36"/>
      <c r="AF689" s="23"/>
    </row>
    <row r="690" spans="1:32" x14ac:dyDescent="0.25">
      <c r="A690" s="23"/>
      <c r="B690" s="23"/>
      <c r="C690" s="36"/>
      <c r="D690" s="36"/>
      <c r="E690" s="23"/>
      <c r="F690" s="36"/>
      <c r="G690" s="36"/>
      <c r="H690" s="23"/>
      <c r="I690" s="36"/>
      <c r="J690" s="36"/>
      <c r="K690" s="23"/>
      <c r="L690" s="36"/>
      <c r="M690" s="36"/>
      <c r="N690" s="23"/>
      <c r="O690" s="36"/>
      <c r="P690" s="36"/>
      <c r="Q690" s="36"/>
      <c r="R690" s="36"/>
      <c r="S690" s="36"/>
      <c r="T690" s="36"/>
      <c r="U690" s="36"/>
      <c r="V690" s="36"/>
      <c r="W690" s="23"/>
      <c r="X690" s="36"/>
      <c r="Y690" s="36"/>
      <c r="Z690" s="23"/>
      <c r="AA690" s="36"/>
      <c r="AB690" s="36"/>
      <c r="AC690" s="23"/>
      <c r="AD690" s="36"/>
      <c r="AE690" s="36"/>
      <c r="AF690" s="23"/>
    </row>
    <row r="691" spans="1:32" x14ac:dyDescent="0.25">
      <c r="A691" s="23"/>
      <c r="B691" s="23"/>
      <c r="C691" s="36"/>
      <c r="D691" s="36"/>
      <c r="E691" s="23"/>
      <c r="F691" s="36"/>
      <c r="G691" s="36"/>
      <c r="H691" s="23"/>
      <c r="I691" s="36"/>
      <c r="J691" s="36"/>
      <c r="K691" s="23"/>
      <c r="L691" s="36"/>
      <c r="M691" s="36"/>
      <c r="N691" s="23"/>
      <c r="O691" s="36"/>
      <c r="P691" s="36"/>
      <c r="Q691" s="36"/>
      <c r="R691" s="36"/>
      <c r="S691" s="36"/>
      <c r="T691" s="36"/>
      <c r="U691" s="36"/>
      <c r="V691" s="36"/>
      <c r="W691" s="23"/>
      <c r="X691" s="36"/>
      <c r="Y691" s="36"/>
      <c r="Z691" s="23"/>
      <c r="AA691" s="36"/>
      <c r="AB691" s="36"/>
      <c r="AC691" s="23"/>
      <c r="AD691" s="36"/>
      <c r="AE691" s="36"/>
      <c r="AF691" s="23"/>
    </row>
    <row r="692" spans="1:32" x14ac:dyDescent="0.25">
      <c r="A692" s="23"/>
      <c r="B692" s="23"/>
      <c r="C692" s="36"/>
      <c r="D692" s="36"/>
      <c r="E692" s="23"/>
      <c r="F692" s="36"/>
      <c r="G692" s="36"/>
      <c r="H692" s="23"/>
      <c r="I692" s="36"/>
      <c r="J692" s="36"/>
      <c r="K692" s="23"/>
      <c r="L692" s="36"/>
      <c r="M692" s="36"/>
      <c r="N692" s="23"/>
      <c r="O692" s="36"/>
      <c r="P692" s="36"/>
      <c r="Q692" s="36"/>
      <c r="R692" s="36"/>
      <c r="S692" s="36"/>
      <c r="T692" s="36"/>
      <c r="U692" s="36"/>
      <c r="V692" s="36"/>
      <c r="W692" s="23"/>
      <c r="X692" s="36"/>
      <c r="Y692" s="36"/>
      <c r="Z692" s="23"/>
      <c r="AA692" s="36"/>
      <c r="AB692" s="36"/>
      <c r="AC692" s="23"/>
      <c r="AD692" s="36"/>
      <c r="AE692" s="36"/>
      <c r="AF692" s="23"/>
    </row>
    <row r="693" spans="1:32" x14ac:dyDescent="0.25">
      <c r="A693" s="23"/>
      <c r="B693" s="23"/>
      <c r="C693" s="36"/>
      <c r="D693" s="36"/>
      <c r="E693" s="23"/>
      <c r="F693" s="36"/>
      <c r="G693" s="36"/>
      <c r="H693" s="23"/>
      <c r="I693" s="36"/>
      <c r="J693" s="36"/>
      <c r="K693" s="23"/>
      <c r="L693" s="36"/>
      <c r="M693" s="36"/>
      <c r="N693" s="23"/>
      <c r="O693" s="36"/>
      <c r="P693" s="36"/>
      <c r="Q693" s="36"/>
      <c r="R693" s="36"/>
      <c r="S693" s="36"/>
      <c r="T693" s="36"/>
      <c r="U693" s="36"/>
      <c r="V693" s="36"/>
      <c r="W693" s="23"/>
      <c r="X693" s="36"/>
      <c r="Y693" s="36"/>
      <c r="Z693" s="23"/>
      <c r="AA693" s="36"/>
      <c r="AB693" s="36"/>
      <c r="AC693" s="23"/>
      <c r="AD693" s="36"/>
      <c r="AE693" s="36"/>
      <c r="AF693" s="23"/>
    </row>
    <row r="694" spans="1:32" x14ac:dyDescent="0.25">
      <c r="A694" s="23"/>
      <c r="B694" s="23"/>
      <c r="C694" s="36"/>
      <c r="D694" s="36"/>
      <c r="E694" s="23"/>
      <c r="F694" s="36"/>
      <c r="G694" s="36"/>
      <c r="H694" s="23"/>
      <c r="I694" s="36"/>
      <c r="J694" s="36"/>
      <c r="K694" s="23"/>
      <c r="L694" s="36"/>
      <c r="M694" s="36"/>
      <c r="N694" s="23"/>
      <c r="O694" s="36"/>
      <c r="P694" s="36"/>
      <c r="Q694" s="36"/>
      <c r="R694" s="36"/>
      <c r="S694" s="36"/>
      <c r="T694" s="36"/>
      <c r="U694" s="36"/>
      <c r="V694" s="36"/>
      <c r="W694" s="23"/>
      <c r="X694" s="36"/>
      <c r="Y694" s="36"/>
      <c r="Z694" s="23"/>
      <c r="AA694" s="36"/>
      <c r="AB694" s="36"/>
      <c r="AC694" s="23"/>
      <c r="AD694" s="36"/>
      <c r="AE694" s="36"/>
      <c r="AF694" s="23"/>
    </row>
    <row r="695" spans="1:32" x14ac:dyDescent="0.25">
      <c r="A695" s="23"/>
      <c r="B695" s="23"/>
      <c r="C695" s="36"/>
      <c r="D695" s="36"/>
      <c r="E695" s="23"/>
      <c r="F695" s="36"/>
      <c r="G695" s="36"/>
      <c r="H695" s="23"/>
      <c r="I695" s="36"/>
      <c r="J695" s="36"/>
      <c r="K695" s="23"/>
      <c r="L695" s="36"/>
      <c r="M695" s="36"/>
      <c r="N695" s="23"/>
      <c r="O695" s="36"/>
      <c r="P695" s="36"/>
      <c r="Q695" s="36"/>
      <c r="R695" s="36"/>
      <c r="S695" s="36"/>
      <c r="T695" s="36"/>
      <c r="U695" s="36"/>
      <c r="V695" s="36"/>
      <c r="W695" s="23"/>
      <c r="X695" s="36"/>
      <c r="Y695" s="36"/>
      <c r="Z695" s="23"/>
      <c r="AA695" s="36"/>
      <c r="AB695" s="36"/>
      <c r="AC695" s="23"/>
      <c r="AD695" s="36"/>
      <c r="AE695" s="36"/>
      <c r="AF695" s="23"/>
    </row>
    <row r="696" spans="1:32" x14ac:dyDescent="0.25">
      <c r="A696" s="23"/>
      <c r="B696" s="23"/>
      <c r="C696" s="36"/>
      <c r="D696" s="36"/>
      <c r="E696" s="23"/>
      <c r="F696" s="36"/>
      <c r="G696" s="36"/>
      <c r="H696" s="23"/>
      <c r="I696" s="36"/>
      <c r="J696" s="36"/>
      <c r="K696" s="23"/>
      <c r="L696" s="36"/>
      <c r="M696" s="36"/>
      <c r="N696" s="23"/>
      <c r="O696" s="36"/>
      <c r="P696" s="36"/>
      <c r="Q696" s="36"/>
      <c r="R696" s="36"/>
      <c r="S696" s="36"/>
      <c r="T696" s="36"/>
      <c r="U696" s="36"/>
      <c r="V696" s="36"/>
      <c r="W696" s="23"/>
      <c r="X696" s="36"/>
      <c r="Y696" s="36"/>
      <c r="Z696" s="23"/>
      <c r="AA696" s="36"/>
      <c r="AB696" s="36"/>
      <c r="AC696" s="23"/>
      <c r="AD696" s="36"/>
      <c r="AE696" s="36"/>
      <c r="AF696" s="23"/>
    </row>
    <row r="697" spans="1:32" x14ac:dyDescent="0.25">
      <c r="A697" s="23"/>
      <c r="B697" s="23"/>
      <c r="C697" s="36"/>
      <c r="D697" s="36"/>
      <c r="E697" s="23"/>
      <c r="F697" s="36"/>
      <c r="G697" s="36"/>
      <c r="H697" s="23"/>
      <c r="I697" s="36"/>
      <c r="J697" s="36"/>
      <c r="K697" s="23"/>
      <c r="L697" s="36"/>
      <c r="M697" s="36"/>
      <c r="N697" s="23"/>
      <c r="O697" s="36"/>
      <c r="P697" s="36"/>
      <c r="Q697" s="36"/>
      <c r="R697" s="36"/>
      <c r="S697" s="36"/>
      <c r="T697" s="36"/>
      <c r="U697" s="36"/>
      <c r="V697" s="36"/>
      <c r="W697" s="23"/>
      <c r="X697" s="36"/>
      <c r="Y697" s="36"/>
      <c r="Z697" s="23"/>
      <c r="AA697" s="36"/>
      <c r="AB697" s="36"/>
      <c r="AC697" s="23"/>
      <c r="AD697" s="36"/>
      <c r="AE697" s="36"/>
      <c r="AF697" s="23"/>
    </row>
    <row r="698" spans="1:32" x14ac:dyDescent="0.25">
      <c r="A698" s="23"/>
      <c r="B698" s="23"/>
      <c r="C698" s="36"/>
      <c r="D698" s="36"/>
      <c r="E698" s="23"/>
      <c r="F698" s="36"/>
      <c r="G698" s="36"/>
      <c r="H698" s="23"/>
      <c r="I698" s="36"/>
      <c r="J698" s="36"/>
      <c r="K698" s="23"/>
      <c r="L698" s="36"/>
      <c r="M698" s="36"/>
      <c r="N698" s="23"/>
      <c r="O698" s="36"/>
      <c r="P698" s="36"/>
      <c r="Q698" s="36"/>
      <c r="R698" s="36"/>
      <c r="S698" s="36"/>
      <c r="T698" s="36"/>
      <c r="U698" s="36"/>
      <c r="V698" s="36"/>
      <c r="W698" s="23"/>
      <c r="X698" s="36"/>
      <c r="Y698" s="36"/>
      <c r="Z698" s="23"/>
      <c r="AA698" s="36"/>
      <c r="AB698" s="36"/>
      <c r="AC698" s="23"/>
      <c r="AD698" s="36"/>
      <c r="AE698" s="36"/>
      <c r="AF698" s="23"/>
    </row>
    <row r="699" spans="1:32" x14ac:dyDescent="0.25">
      <c r="A699" s="23"/>
      <c r="B699" s="23"/>
      <c r="C699" s="36"/>
      <c r="D699" s="36"/>
      <c r="E699" s="23"/>
      <c r="F699" s="36"/>
      <c r="G699" s="36"/>
      <c r="H699" s="23"/>
      <c r="I699" s="36"/>
      <c r="J699" s="36"/>
      <c r="K699" s="23"/>
      <c r="L699" s="36"/>
      <c r="M699" s="36"/>
      <c r="N699" s="23"/>
      <c r="O699" s="36"/>
      <c r="P699" s="36"/>
      <c r="Q699" s="36"/>
      <c r="R699" s="36"/>
      <c r="S699" s="36"/>
      <c r="T699" s="36"/>
      <c r="U699" s="36"/>
      <c r="V699" s="36"/>
      <c r="W699" s="23"/>
      <c r="X699" s="36"/>
      <c r="Y699" s="36"/>
      <c r="Z699" s="23"/>
      <c r="AA699" s="36"/>
      <c r="AB699" s="36"/>
      <c r="AC699" s="23"/>
      <c r="AD699" s="36"/>
      <c r="AE699" s="36"/>
      <c r="AF699" s="23"/>
    </row>
    <row r="700" spans="1:32" x14ac:dyDescent="0.25">
      <c r="A700" s="23"/>
      <c r="B700" s="23"/>
      <c r="C700" s="36"/>
      <c r="D700" s="36"/>
      <c r="E700" s="23"/>
      <c r="F700" s="36"/>
      <c r="G700" s="36"/>
      <c r="H700" s="23"/>
      <c r="I700" s="36"/>
      <c r="J700" s="36"/>
      <c r="K700" s="23"/>
      <c r="L700" s="36"/>
      <c r="M700" s="36"/>
      <c r="N700" s="23"/>
      <c r="O700" s="36"/>
      <c r="P700" s="36"/>
      <c r="Q700" s="36"/>
      <c r="R700" s="36"/>
      <c r="S700" s="36"/>
      <c r="T700" s="36"/>
      <c r="U700" s="36"/>
      <c r="V700" s="36"/>
      <c r="W700" s="23"/>
      <c r="X700" s="36"/>
      <c r="Y700" s="36"/>
      <c r="Z700" s="23"/>
      <c r="AA700" s="36"/>
      <c r="AB700" s="36"/>
      <c r="AC700" s="23"/>
      <c r="AD700" s="36"/>
      <c r="AE700" s="36"/>
      <c r="AF700" s="23"/>
    </row>
    <row r="701" spans="1:32" x14ac:dyDescent="0.25">
      <c r="A701" s="23"/>
      <c r="B701" s="23"/>
      <c r="C701" s="36"/>
      <c r="D701" s="36"/>
      <c r="E701" s="23"/>
      <c r="F701" s="36"/>
      <c r="G701" s="36"/>
      <c r="H701" s="23"/>
      <c r="I701" s="36"/>
      <c r="J701" s="36"/>
      <c r="K701" s="23"/>
      <c r="L701" s="36"/>
      <c r="M701" s="36"/>
      <c r="N701" s="23"/>
      <c r="O701" s="36"/>
      <c r="P701" s="36"/>
      <c r="Q701" s="36"/>
      <c r="R701" s="36"/>
      <c r="S701" s="36"/>
      <c r="T701" s="36"/>
      <c r="U701" s="36"/>
      <c r="V701" s="36"/>
      <c r="W701" s="23"/>
      <c r="X701" s="36"/>
      <c r="Y701" s="36"/>
      <c r="Z701" s="23"/>
      <c r="AA701" s="36"/>
      <c r="AB701" s="36"/>
      <c r="AC701" s="23"/>
      <c r="AD701" s="36"/>
      <c r="AE701" s="36"/>
      <c r="AF701" s="23"/>
    </row>
    <row r="702" spans="1:32" x14ac:dyDescent="0.25">
      <c r="A702" s="23"/>
      <c r="B702" s="23"/>
      <c r="C702" s="36"/>
      <c r="D702" s="36"/>
      <c r="E702" s="23"/>
      <c r="F702" s="36"/>
      <c r="G702" s="36"/>
      <c r="H702" s="23"/>
      <c r="I702" s="36"/>
      <c r="J702" s="36"/>
      <c r="K702" s="23"/>
      <c r="L702" s="36"/>
      <c r="M702" s="36"/>
      <c r="N702" s="23"/>
      <c r="O702" s="36"/>
      <c r="P702" s="36"/>
      <c r="Q702" s="36"/>
      <c r="R702" s="36"/>
      <c r="S702" s="36"/>
      <c r="T702" s="36"/>
      <c r="U702" s="36"/>
      <c r="V702" s="36"/>
      <c r="W702" s="23"/>
      <c r="X702" s="36"/>
      <c r="Y702" s="36"/>
      <c r="Z702" s="23"/>
      <c r="AA702" s="36"/>
      <c r="AB702" s="36"/>
      <c r="AC702" s="23"/>
      <c r="AD702" s="36"/>
      <c r="AE702" s="36"/>
      <c r="AF702" s="23"/>
    </row>
    <row r="703" spans="1:32" x14ac:dyDescent="0.25">
      <c r="A703" s="23"/>
      <c r="B703" s="23"/>
      <c r="C703" s="36"/>
      <c r="D703" s="36"/>
      <c r="E703" s="23"/>
      <c r="F703" s="36"/>
      <c r="G703" s="36"/>
      <c r="H703" s="23"/>
      <c r="I703" s="36"/>
      <c r="J703" s="36"/>
      <c r="K703" s="23"/>
      <c r="L703" s="36"/>
      <c r="M703" s="36"/>
      <c r="N703" s="23"/>
      <c r="O703" s="36"/>
      <c r="P703" s="36"/>
      <c r="Q703" s="36"/>
      <c r="R703" s="36"/>
      <c r="S703" s="36"/>
      <c r="T703" s="36"/>
      <c r="U703" s="36"/>
      <c r="V703" s="36"/>
      <c r="W703" s="23"/>
      <c r="X703" s="36"/>
      <c r="Y703" s="36"/>
      <c r="Z703" s="23"/>
      <c r="AA703" s="36"/>
      <c r="AB703" s="36"/>
      <c r="AC703" s="23"/>
      <c r="AD703" s="36"/>
      <c r="AE703" s="36"/>
      <c r="AF703" s="23"/>
    </row>
    <row r="704" spans="1:32" x14ac:dyDescent="0.25">
      <c r="A704" s="23"/>
      <c r="B704" s="23"/>
      <c r="C704" s="36"/>
      <c r="D704" s="36"/>
      <c r="E704" s="23"/>
      <c r="F704" s="36"/>
      <c r="G704" s="36"/>
      <c r="H704" s="23"/>
      <c r="I704" s="36"/>
      <c r="J704" s="36"/>
      <c r="K704" s="23"/>
      <c r="L704" s="36"/>
      <c r="M704" s="36"/>
      <c r="N704" s="23"/>
      <c r="O704" s="36"/>
      <c r="P704" s="36"/>
      <c r="Q704" s="36"/>
      <c r="R704" s="36"/>
      <c r="S704" s="36"/>
      <c r="T704" s="36"/>
      <c r="U704" s="36"/>
      <c r="V704" s="36"/>
      <c r="W704" s="23"/>
      <c r="X704" s="36"/>
      <c r="Y704" s="36"/>
      <c r="Z704" s="23"/>
      <c r="AA704" s="36"/>
      <c r="AB704" s="36"/>
      <c r="AC704" s="23"/>
      <c r="AD704" s="36"/>
      <c r="AE704" s="36"/>
      <c r="AF704" s="23"/>
    </row>
    <row r="705" spans="1:32" x14ac:dyDescent="0.25">
      <c r="A705" s="23"/>
      <c r="B705" s="23"/>
      <c r="C705" s="36"/>
      <c r="D705" s="36"/>
      <c r="E705" s="23"/>
      <c r="F705" s="36"/>
      <c r="G705" s="36"/>
      <c r="H705" s="23"/>
      <c r="I705" s="36"/>
      <c r="J705" s="36"/>
      <c r="K705" s="23"/>
      <c r="L705" s="36"/>
      <c r="M705" s="36"/>
      <c r="N705" s="23"/>
      <c r="O705" s="36"/>
      <c r="P705" s="36"/>
      <c r="Q705" s="36"/>
      <c r="R705" s="36"/>
      <c r="S705" s="36"/>
      <c r="T705" s="36"/>
      <c r="U705" s="36"/>
      <c r="V705" s="36"/>
      <c r="W705" s="23"/>
      <c r="X705" s="36"/>
      <c r="Y705" s="36"/>
      <c r="Z705" s="23"/>
      <c r="AA705" s="36"/>
      <c r="AB705" s="36"/>
      <c r="AC705" s="23"/>
      <c r="AD705" s="36"/>
      <c r="AE705" s="36"/>
      <c r="AF705" s="23"/>
    </row>
    <row r="706" spans="1:32" x14ac:dyDescent="0.25">
      <c r="A706" s="23"/>
      <c r="B706" s="23"/>
      <c r="C706" s="36"/>
      <c r="D706" s="36"/>
      <c r="E706" s="23"/>
      <c r="F706" s="36"/>
      <c r="G706" s="36"/>
      <c r="H706" s="23"/>
      <c r="I706" s="36"/>
      <c r="J706" s="36"/>
      <c r="K706" s="23"/>
      <c r="L706" s="36"/>
      <c r="M706" s="36"/>
      <c r="N706" s="23"/>
      <c r="O706" s="36"/>
      <c r="P706" s="36"/>
      <c r="Q706" s="36"/>
      <c r="R706" s="36"/>
      <c r="S706" s="36"/>
      <c r="T706" s="36"/>
      <c r="U706" s="36"/>
      <c r="V706" s="36"/>
      <c r="W706" s="23"/>
      <c r="X706" s="36"/>
      <c r="Y706" s="36"/>
      <c r="Z706" s="23"/>
      <c r="AA706" s="36"/>
      <c r="AB706" s="36"/>
      <c r="AC706" s="23"/>
      <c r="AD706" s="36"/>
      <c r="AE706" s="36"/>
      <c r="AF706" s="23"/>
    </row>
    <row r="707" spans="1:32" x14ac:dyDescent="0.25">
      <c r="A707" s="23"/>
      <c r="B707" s="23"/>
      <c r="C707" s="36"/>
      <c r="D707" s="36"/>
      <c r="E707" s="23"/>
      <c r="F707" s="36"/>
      <c r="G707" s="36"/>
      <c r="H707" s="23"/>
      <c r="I707" s="36"/>
      <c r="J707" s="36"/>
      <c r="K707" s="23"/>
      <c r="L707" s="36"/>
      <c r="M707" s="36"/>
      <c r="N707" s="23"/>
      <c r="O707" s="36"/>
      <c r="P707" s="36"/>
      <c r="Q707" s="36"/>
      <c r="R707" s="36"/>
      <c r="S707" s="36"/>
      <c r="T707" s="36"/>
      <c r="U707" s="36"/>
      <c r="V707" s="36"/>
      <c r="W707" s="23"/>
      <c r="X707" s="36"/>
      <c r="Y707" s="36"/>
      <c r="Z707" s="23"/>
      <c r="AA707" s="36"/>
      <c r="AB707" s="36"/>
      <c r="AC707" s="23"/>
      <c r="AD707" s="36"/>
      <c r="AE707" s="36"/>
      <c r="AF707" s="23"/>
    </row>
    <row r="708" spans="1:32" x14ac:dyDescent="0.25">
      <c r="A708" s="23"/>
      <c r="B708" s="23"/>
      <c r="C708" s="36"/>
      <c r="D708" s="36"/>
      <c r="E708" s="23"/>
      <c r="F708" s="36"/>
      <c r="G708" s="36"/>
      <c r="H708" s="23"/>
      <c r="I708" s="36"/>
      <c r="J708" s="36"/>
      <c r="K708" s="23"/>
      <c r="L708" s="36"/>
      <c r="M708" s="36"/>
      <c r="N708" s="23"/>
      <c r="O708" s="36"/>
      <c r="P708" s="36"/>
      <c r="Q708" s="36"/>
      <c r="R708" s="36"/>
      <c r="S708" s="36"/>
      <c r="T708" s="36"/>
      <c r="U708" s="36"/>
      <c r="V708" s="36"/>
      <c r="W708" s="23"/>
      <c r="X708" s="36"/>
      <c r="Y708" s="36"/>
      <c r="Z708" s="23"/>
      <c r="AA708" s="36"/>
      <c r="AB708" s="36"/>
      <c r="AC708" s="23"/>
      <c r="AD708" s="36"/>
      <c r="AE708" s="36"/>
      <c r="AF708" s="23"/>
    </row>
    <row r="709" spans="1:32" x14ac:dyDescent="0.25">
      <c r="A709" s="23"/>
      <c r="B709" s="23"/>
      <c r="C709" s="36"/>
      <c r="D709" s="36"/>
      <c r="E709" s="23"/>
      <c r="F709" s="36"/>
      <c r="G709" s="36"/>
      <c r="H709" s="23"/>
      <c r="I709" s="36"/>
      <c r="J709" s="36"/>
      <c r="K709" s="23"/>
      <c r="L709" s="36"/>
      <c r="M709" s="36"/>
      <c r="N709" s="23"/>
      <c r="O709" s="36"/>
      <c r="P709" s="36"/>
      <c r="Q709" s="36"/>
      <c r="R709" s="36"/>
      <c r="S709" s="36"/>
      <c r="T709" s="36"/>
      <c r="U709" s="36"/>
      <c r="V709" s="36"/>
      <c r="W709" s="23"/>
      <c r="X709" s="36"/>
      <c r="Y709" s="36"/>
      <c r="Z709" s="23"/>
      <c r="AA709" s="36"/>
      <c r="AB709" s="36"/>
      <c r="AC709" s="23"/>
      <c r="AD709" s="36"/>
      <c r="AE709" s="36"/>
      <c r="AF709" s="23"/>
    </row>
    <row r="710" spans="1:32" x14ac:dyDescent="0.25">
      <c r="A710" s="23"/>
      <c r="B710" s="23"/>
      <c r="C710" s="36"/>
      <c r="D710" s="36"/>
      <c r="E710" s="23"/>
      <c r="F710" s="36"/>
      <c r="G710" s="36"/>
      <c r="H710" s="23"/>
      <c r="I710" s="36"/>
      <c r="J710" s="36"/>
      <c r="K710" s="23"/>
      <c r="L710" s="36"/>
      <c r="M710" s="36"/>
      <c r="N710" s="23"/>
      <c r="O710" s="36"/>
      <c r="P710" s="36"/>
      <c r="Q710" s="36"/>
      <c r="R710" s="36"/>
      <c r="S710" s="36"/>
      <c r="T710" s="36"/>
      <c r="U710" s="36"/>
      <c r="V710" s="36"/>
      <c r="W710" s="23"/>
      <c r="X710" s="36"/>
      <c r="Y710" s="36"/>
      <c r="Z710" s="23"/>
      <c r="AA710" s="36"/>
      <c r="AB710" s="36"/>
      <c r="AC710" s="23"/>
      <c r="AD710" s="36"/>
      <c r="AE710" s="36"/>
      <c r="AF710" s="23"/>
    </row>
    <row r="711" spans="1:32" x14ac:dyDescent="0.25">
      <c r="A711" s="23"/>
      <c r="B711" s="23"/>
      <c r="C711" s="36"/>
      <c r="D711" s="36"/>
      <c r="E711" s="23"/>
      <c r="F711" s="36"/>
      <c r="G711" s="36"/>
      <c r="H711" s="23"/>
      <c r="I711" s="36"/>
      <c r="J711" s="36"/>
      <c r="K711" s="23"/>
      <c r="L711" s="36"/>
      <c r="M711" s="36"/>
      <c r="N711" s="23"/>
      <c r="O711" s="36"/>
      <c r="P711" s="36"/>
      <c r="Q711" s="36"/>
      <c r="R711" s="36"/>
      <c r="S711" s="36"/>
      <c r="T711" s="36"/>
      <c r="U711" s="36"/>
      <c r="V711" s="36"/>
      <c r="W711" s="23"/>
      <c r="X711" s="36"/>
      <c r="Y711" s="36"/>
      <c r="Z711" s="23"/>
      <c r="AA711" s="36"/>
      <c r="AB711" s="36"/>
      <c r="AC711" s="23"/>
      <c r="AD711" s="36"/>
      <c r="AE711" s="36"/>
      <c r="AF711" s="23"/>
    </row>
    <row r="712" spans="1:32" x14ac:dyDescent="0.25">
      <c r="A712" s="23"/>
      <c r="B712" s="23"/>
      <c r="C712" s="36"/>
      <c r="D712" s="36"/>
      <c r="E712" s="23"/>
      <c r="F712" s="36"/>
      <c r="G712" s="36"/>
      <c r="H712" s="23"/>
      <c r="I712" s="36"/>
      <c r="J712" s="36"/>
      <c r="K712" s="23"/>
      <c r="L712" s="36"/>
      <c r="M712" s="36"/>
      <c r="N712" s="23"/>
      <c r="O712" s="36"/>
      <c r="P712" s="36"/>
      <c r="Q712" s="36"/>
      <c r="R712" s="36"/>
      <c r="S712" s="36"/>
      <c r="T712" s="36"/>
      <c r="U712" s="36"/>
      <c r="V712" s="36"/>
      <c r="W712" s="23"/>
      <c r="X712" s="36"/>
      <c r="Y712" s="36"/>
      <c r="Z712" s="23"/>
      <c r="AA712" s="36"/>
      <c r="AB712" s="36"/>
      <c r="AC712" s="23"/>
      <c r="AD712" s="36"/>
      <c r="AE712" s="36"/>
      <c r="AF712" s="23"/>
    </row>
    <row r="713" spans="1:32" x14ac:dyDescent="0.25">
      <c r="A713" s="23"/>
      <c r="B713" s="23"/>
      <c r="C713" s="36"/>
      <c r="D713" s="36"/>
      <c r="E713" s="23"/>
      <c r="F713" s="36"/>
      <c r="G713" s="36"/>
      <c r="H713" s="23"/>
      <c r="I713" s="36"/>
      <c r="J713" s="36"/>
      <c r="K713" s="23"/>
      <c r="L713" s="36"/>
      <c r="M713" s="36"/>
      <c r="N713" s="23"/>
      <c r="O713" s="36"/>
      <c r="P713" s="36"/>
      <c r="Q713" s="36"/>
      <c r="R713" s="36"/>
      <c r="S713" s="36"/>
      <c r="T713" s="36"/>
      <c r="U713" s="36"/>
      <c r="V713" s="36"/>
      <c r="W713" s="23"/>
      <c r="X713" s="36"/>
      <c r="Y713" s="36"/>
      <c r="Z713" s="23"/>
      <c r="AA713" s="36"/>
      <c r="AB713" s="36"/>
      <c r="AC713" s="23"/>
      <c r="AD713" s="36"/>
      <c r="AE713" s="36"/>
      <c r="AF713" s="23"/>
    </row>
    <row r="714" spans="1:32" x14ac:dyDescent="0.25">
      <c r="A714" s="23"/>
      <c r="B714" s="23"/>
      <c r="C714" s="36"/>
      <c r="D714" s="36"/>
      <c r="E714" s="23"/>
      <c r="F714" s="36"/>
      <c r="G714" s="36"/>
      <c r="H714" s="23"/>
      <c r="I714" s="36"/>
      <c r="J714" s="36"/>
      <c r="K714" s="23"/>
      <c r="L714" s="36"/>
      <c r="M714" s="36"/>
      <c r="N714" s="23"/>
      <c r="O714" s="36"/>
      <c r="P714" s="36"/>
      <c r="Q714" s="36"/>
      <c r="R714" s="36"/>
      <c r="S714" s="36"/>
      <c r="T714" s="36"/>
      <c r="U714" s="36"/>
      <c r="V714" s="36"/>
      <c r="W714" s="23"/>
      <c r="X714" s="36"/>
      <c r="Y714" s="36"/>
      <c r="Z714" s="23"/>
      <c r="AA714" s="36"/>
      <c r="AB714" s="36"/>
      <c r="AC714" s="23"/>
      <c r="AD714" s="36"/>
      <c r="AE714" s="36"/>
      <c r="AF714" s="23"/>
    </row>
    <row r="715" spans="1:32" x14ac:dyDescent="0.25">
      <c r="A715" s="23"/>
      <c r="B715" s="23"/>
      <c r="C715" s="36"/>
      <c r="D715" s="36"/>
      <c r="E715" s="23"/>
      <c r="F715" s="36"/>
      <c r="G715" s="36"/>
      <c r="H715" s="23"/>
      <c r="I715" s="36"/>
      <c r="J715" s="36"/>
      <c r="K715" s="23"/>
      <c r="L715" s="36"/>
      <c r="M715" s="36"/>
      <c r="N715" s="23"/>
      <c r="O715" s="36"/>
      <c r="P715" s="36"/>
      <c r="Q715" s="36"/>
      <c r="R715" s="36"/>
      <c r="S715" s="36"/>
      <c r="T715" s="36"/>
      <c r="U715" s="36"/>
      <c r="V715" s="36"/>
      <c r="W715" s="23"/>
      <c r="X715" s="36"/>
      <c r="Y715" s="36"/>
      <c r="Z715" s="23"/>
      <c r="AA715" s="36"/>
      <c r="AB715" s="36"/>
      <c r="AC715" s="23"/>
      <c r="AD715" s="36"/>
      <c r="AE715" s="36"/>
      <c r="AF715" s="23"/>
    </row>
    <row r="716" spans="1:32" x14ac:dyDescent="0.25">
      <c r="A716" s="23"/>
      <c r="B716" s="23"/>
      <c r="C716" s="36"/>
      <c r="D716" s="36"/>
      <c r="E716" s="23"/>
      <c r="F716" s="36"/>
      <c r="G716" s="36"/>
      <c r="H716" s="23"/>
      <c r="I716" s="36"/>
      <c r="J716" s="36"/>
      <c r="K716" s="23"/>
      <c r="L716" s="36"/>
      <c r="M716" s="36"/>
      <c r="N716" s="23"/>
      <c r="O716" s="36"/>
      <c r="P716" s="36"/>
      <c r="Q716" s="36"/>
      <c r="R716" s="36"/>
      <c r="S716" s="36"/>
      <c r="T716" s="36"/>
      <c r="U716" s="36"/>
      <c r="V716" s="36"/>
      <c r="W716" s="23"/>
      <c r="X716" s="36"/>
      <c r="Y716" s="36"/>
      <c r="Z716" s="23"/>
      <c r="AA716" s="36"/>
      <c r="AB716" s="36"/>
      <c r="AC716" s="23"/>
      <c r="AD716" s="36"/>
      <c r="AE716" s="36"/>
      <c r="AF716" s="23"/>
    </row>
    <row r="717" spans="1:32" x14ac:dyDescent="0.25">
      <c r="A717" s="23"/>
      <c r="B717" s="23"/>
      <c r="C717" s="36"/>
      <c r="D717" s="36"/>
      <c r="E717" s="23"/>
      <c r="F717" s="36"/>
      <c r="G717" s="36"/>
      <c r="H717" s="23"/>
      <c r="I717" s="36"/>
      <c r="J717" s="36"/>
      <c r="K717" s="23"/>
      <c r="L717" s="36"/>
      <c r="M717" s="36"/>
      <c r="N717" s="23"/>
      <c r="O717" s="36"/>
      <c r="P717" s="36"/>
      <c r="Q717" s="36"/>
      <c r="R717" s="36"/>
      <c r="S717" s="36"/>
      <c r="T717" s="36"/>
      <c r="U717" s="36"/>
      <c r="V717" s="36"/>
      <c r="W717" s="23"/>
      <c r="X717" s="36"/>
      <c r="Y717" s="36"/>
      <c r="Z717" s="23"/>
      <c r="AA717" s="36"/>
      <c r="AB717" s="36"/>
      <c r="AC717" s="23"/>
      <c r="AD717" s="36"/>
      <c r="AE717" s="36"/>
      <c r="AF717" s="23"/>
    </row>
    <row r="718" spans="1:32" x14ac:dyDescent="0.25">
      <c r="A718" s="23"/>
      <c r="B718" s="23"/>
      <c r="C718" s="36"/>
      <c r="D718" s="36"/>
      <c r="E718" s="23"/>
      <c r="F718" s="36"/>
      <c r="G718" s="36"/>
      <c r="H718" s="23"/>
      <c r="I718" s="36"/>
      <c r="J718" s="36"/>
      <c r="K718" s="23"/>
      <c r="L718" s="36"/>
      <c r="M718" s="36"/>
      <c r="N718" s="23"/>
      <c r="O718" s="36"/>
      <c r="P718" s="36"/>
      <c r="Q718" s="36"/>
      <c r="R718" s="36"/>
      <c r="S718" s="36"/>
      <c r="T718" s="36"/>
      <c r="U718" s="36"/>
      <c r="V718" s="36"/>
      <c r="W718" s="23"/>
      <c r="X718" s="36"/>
      <c r="Y718" s="36"/>
      <c r="Z718" s="23"/>
      <c r="AA718" s="36"/>
      <c r="AB718" s="36"/>
      <c r="AC718" s="23"/>
      <c r="AD718" s="36"/>
      <c r="AE718" s="36"/>
      <c r="AF718" s="23"/>
    </row>
    <row r="719" spans="1:32" x14ac:dyDescent="0.25">
      <c r="A719" s="23"/>
      <c r="B719" s="23"/>
      <c r="C719" s="36"/>
      <c r="D719" s="36"/>
      <c r="E719" s="23"/>
      <c r="F719" s="36"/>
      <c r="G719" s="36"/>
      <c r="H719" s="23"/>
      <c r="I719" s="36"/>
      <c r="J719" s="36"/>
      <c r="K719" s="23"/>
      <c r="L719" s="36"/>
      <c r="M719" s="36"/>
      <c r="N719" s="23"/>
      <c r="O719" s="36"/>
      <c r="P719" s="36"/>
      <c r="Q719" s="36"/>
      <c r="R719" s="36"/>
      <c r="S719" s="36"/>
      <c r="T719" s="36"/>
      <c r="U719" s="36"/>
      <c r="V719" s="36"/>
      <c r="W719" s="23"/>
      <c r="X719" s="36"/>
      <c r="Y719" s="36"/>
      <c r="Z719" s="23"/>
      <c r="AA719" s="36"/>
      <c r="AB719" s="36"/>
      <c r="AC719" s="23"/>
      <c r="AD719" s="36"/>
      <c r="AE719" s="36"/>
      <c r="AF719" s="23"/>
    </row>
    <row r="720" spans="1:32" x14ac:dyDescent="0.25">
      <c r="A720" s="23"/>
      <c r="B720" s="23"/>
      <c r="C720" s="36"/>
      <c r="D720" s="36"/>
      <c r="E720" s="23"/>
      <c r="F720" s="36"/>
      <c r="G720" s="36"/>
      <c r="H720" s="23"/>
      <c r="I720" s="36"/>
      <c r="J720" s="36"/>
      <c r="K720" s="23"/>
      <c r="L720" s="36"/>
      <c r="M720" s="36"/>
      <c r="N720" s="23"/>
      <c r="O720" s="36"/>
      <c r="P720" s="36"/>
      <c r="Q720" s="36"/>
      <c r="R720" s="36"/>
      <c r="S720" s="36"/>
      <c r="T720" s="36"/>
      <c r="U720" s="36"/>
      <c r="V720" s="36"/>
      <c r="W720" s="23"/>
      <c r="X720" s="36"/>
      <c r="Y720" s="36"/>
      <c r="Z720" s="23"/>
      <c r="AA720" s="36"/>
      <c r="AB720" s="36"/>
      <c r="AC720" s="23"/>
      <c r="AD720" s="36"/>
      <c r="AE720" s="36"/>
      <c r="AF720" s="23"/>
    </row>
    <row r="721" spans="1:32" x14ac:dyDescent="0.25">
      <c r="A721" s="23"/>
      <c r="B721" s="23"/>
      <c r="C721" s="36"/>
      <c r="D721" s="36"/>
      <c r="E721" s="23"/>
      <c r="F721" s="36"/>
      <c r="G721" s="36"/>
      <c r="H721" s="23"/>
      <c r="I721" s="36"/>
      <c r="J721" s="36"/>
      <c r="K721" s="23"/>
      <c r="L721" s="36"/>
      <c r="M721" s="36"/>
      <c r="N721" s="23"/>
      <c r="O721" s="36"/>
      <c r="P721" s="36"/>
      <c r="Q721" s="36"/>
      <c r="R721" s="36"/>
      <c r="S721" s="36"/>
      <c r="T721" s="36"/>
      <c r="U721" s="36"/>
      <c r="V721" s="36"/>
      <c r="W721" s="23"/>
      <c r="X721" s="36"/>
      <c r="Y721" s="36"/>
      <c r="Z721" s="23"/>
      <c r="AA721" s="36"/>
      <c r="AB721" s="36"/>
      <c r="AC721" s="23"/>
      <c r="AD721" s="36"/>
      <c r="AE721" s="36"/>
      <c r="AF721" s="23"/>
    </row>
    <row r="722" spans="1:32" x14ac:dyDescent="0.25">
      <c r="A722" s="23"/>
      <c r="B722" s="23"/>
      <c r="C722" s="36"/>
      <c r="D722" s="36"/>
      <c r="E722" s="23"/>
      <c r="F722" s="36"/>
      <c r="G722" s="36"/>
      <c r="H722" s="23"/>
      <c r="I722" s="36"/>
      <c r="J722" s="36"/>
      <c r="K722" s="23"/>
      <c r="L722" s="36"/>
      <c r="M722" s="36"/>
      <c r="N722" s="23"/>
      <c r="O722" s="36"/>
      <c r="P722" s="36"/>
      <c r="Q722" s="36"/>
      <c r="R722" s="36"/>
      <c r="S722" s="36"/>
      <c r="T722" s="36"/>
      <c r="U722" s="36"/>
      <c r="V722" s="36"/>
      <c r="W722" s="23"/>
      <c r="X722" s="36"/>
      <c r="Y722" s="36"/>
      <c r="Z722" s="23"/>
      <c r="AA722" s="36"/>
      <c r="AB722" s="36"/>
      <c r="AC722" s="23"/>
      <c r="AD722" s="36"/>
      <c r="AE722" s="36"/>
      <c r="AF722" s="23"/>
    </row>
    <row r="723" spans="1:32" x14ac:dyDescent="0.25">
      <c r="A723" s="23"/>
      <c r="B723" s="23"/>
      <c r="C723" s="36"/>
      <c r="D723" s="36"/>
      <c r="E723" s="23"/>
      <c r="F723" s="36"/>
      <c r="G723" s="36"/>
      <c r="H723" s="23"/>
      <c r="I723" s="36"/>
      <c r="J723" s="36"/>
      <c r="K723" s="23"/>
      <c r="L723" s="36"/>
      <c r="M723" s="36"/>
      <c r="N723" s="23"/>
      <c r="O723" s="36"/>
      <c r="P723" s="36"/>
      <c r="Q723" s="36"/>
      <c r="R723" s="36"/>
      <c r="S723" s="36"/>
      <c r="T723" s="36"/>
      <c r="U723" s="36"/>
      <c r="V723" s="36"/>
      <c r="W723" s="23"/>
      <c r="X723" s="36"/>
      <c r="Y723" s="36"/>
      <c r="Z723" s="23"/>
      <c r="AA723" s="36"/>
      <c r="AB723" s="36"/>
      <c r="AC723" s="23"/>
      <c r="AD723" s="36"/>
      <c r="AE723" s="36"/>
      <c r="AF723" s="23"/>
    </row>
    <row r="724" spans="1:32" x14ac:dyDescent="0.25">
      <c r="A724" s="23"/>
      <c r="B724" s="23"/>
      <c r="C724" s="36"/>
      <c r="D724" s="36"/>
      <c r="E724" s="23"/>
      <c r="F724" s="36"/>
      <c r="G724" s="36"/>
      <c r="H724" s="23"/>
      <c r="I724" s="36"/>
      <c r="J724" s="36"/>
      <c r="K724" s="23"/>
      <c r="L724" s="36"/>
      <c r="M724" s="36"/>
      <c r="N724" s="23"/>
      <c r="O724" s="36"/>
      <c r="P724" s="36"/>
      <c r="Q724" s="36"/>
      <c r="R724" s="36"/>
      <c r="S724" s="36"/>
      <c r="T724" s="36"/>
      <c r="U724" s="36"/>
      <c r="V724" s="36"/>
      <c r="W724" s="23"/>
      <c r="X724" s="36"/>
      <c r="Y724" s="36"/>
      <c r="Z724" s="23"/>
      <c r="AA724" s="36"/>
      <c r="AB724" s="36"/>
      <c r="AC724" s="23"/>
      <c r="AD724" s="36"/>
      <c r="AE724" s="36"/>
      <c r="AF724" s="23"/>
    </row>
    <row r="725" spans="1:32" x14ac:dyDescent="0.25">
      <c r="A725" s="23"/>
      <c r="B725" s="23"/>
      <c r="C725" s="36"/>
      <c r="D725" s="36"/>
      <c r="E725" s="23"/>
      <c r="F725" s="36"/>
      <c r="G725" s="36"/>
      <c r="H725" s="23"/>
      <c r="I725" s="36"/>
      <c r="J725" s="36"/>
      <c r="K725" s="23"/>
      <c r="L725" s="36"/>
      <c r="M725" s="36"/>
      <c r="N725" s="23"/>
      <c r="O725" s="36"/>
      <c r="P725" s="36"/>
      <c r="Q725" s="36"/>
      <c r="R725" s="36"/>
      <c r="S725" s="36"/>
      <c r="T725" s="36"/>
      <c r="U725" s="36"/>
      <c r="V725" s="36"/>
      <c r="W725" s="23"/>
      <c r="X725" s="36"/>
      <c r="Y725" s="36"/>
      <c r="Z725" s="23"/>
      <c r="AA725" s="36"/>
      <c r="AB725" s="36"/>
      <c r="AC725" s="23"/>
      <c r="AD725" s="36"/>
      <c r="AE725" s="36"/>
      <c r="AF725" s="23"/>
    </row>
    <row r="726" spans="1:32" x14ac:dyDescent="0.25">
      <c r="A726" s="23"/>
      <c r="B726" s="23"/>
      <c r="C726" s="36"/>
      <c r="D726" s="36"/>
      <c r="E726" s="23"/>
      <c r="F726" s="36"/>
      <c r="G726" s="36"/>
      <c r="H726" s="23"/>
      <c r="I726" s="36"/>
      <c r="J726" s="36"/>
      <c r="K726" s="23"/>
      <c r="L726" s="36"/>
      <c r="M726" s="36"/>
      <c r="N726" s="23"/>
      <c r="O726" s="36"/>
      <c r="P726" s="36"/>
      <c r="Q726" s="36"/>
      <c r="R726" s="36"/>
      <c r="S726" s="36"/>
      <c r="T726" s="36"/>
      <c r="U726" s="36"/>
      <c r="V726" s="36"/>
      <c r="W726" s="23"/>
      <c r="X726" s="36"/>
      <c r="Y726" s="36"/>
      <c r="Z726" s="23"/>
      <c r="AA726" s="36"/>
      <c r="AB726" s="36"/>
      <c r="AC726" s="23"/>
      <c r="AD726" s="36"/>
      <c r="AE726" s="36"/>
      <c r="AF726" s="23"/>
    </row>
    <row r="727" spans="1:32" x14ac:dyDescent="0.25">
      <c r="A727" s="23"/>
      <c r="B727" s="23"/>
      <c r="C727" s="36"/>
      <c r="D727" s="36"/>
      <c r="E727" s="23"/>
      <c r="F727" s="36"/>
      <c r="G727" s="36"/>
      <c r="H727" s="23"/>
      <c r="I727" s="36"/>
      <c r="J727" s="36"/>
      <c r="K727" s="23"/>
      <c r="L727" s="36"/>
      <c r="M727" s="36"/>
      <c r="N727" s="23"/>
      <c r="O727" s="36"/>
      <c r="P727" s="36"/>
      <c r="Q727" s="36"/>
      <c r="R727" s="36"/>
      <c r="S727" s="36"/>
      <c r="T727" s="36"/>
      <c r="U727" s="36"/>
      <c r="V727" s="36"/>
      <c r="W727" s="23"/>
      <c r="X727" s="36"/>
      <c r="Y727" s="36"/>
      <c r="Z727" s="23"/>
      <c r="AA727" s="36"/>
      <c r="AB727" s="36"/>
      <c r="AC727" s="23"/>
      <c r="AD727" s="36"/>
      <c r="AE727" s="36"/>
      <c r="AF727" s="23"/>
    </row>
    <row r="728" spans="1:32" x14ac:dyDescent="0.25">
      <c r="A728" s="23"/>
      <c r="B728" s="23"/>
      <c r="C728" s="36"/>
      <c r="D728" s="36"/>
      <c r="E728" s="23"/>
      <c r="F728" s="36"/>
      <c r="G728" s="36"/>
      <c r="H728" s="23"/>
      <c r="I728" s="36"/>
      <c r="J728" s="36"/>
      <c r="K728" s="23"/>
      <c r="L728" s="36"/>
      <c r="M728" s="36"/>
      <c r="N728" s="23"/>
      <c r="O728" s="36"/>
      <c r="P728" s="36"/>
      <c r="Q728" s="36"/>
      <c r="R728" s="36"/>
      <c r="S728" s="36"/>
      <c r="T728" s="36"/>
      <c r="U728" s="36"/>
      <c r="V728" s="36"/>
      <c r="W728" s="23"/>
      <c r="X728" s="36"/>
      <c r="Y728" s="36"/>
      <c r="Z728" s="23"/>
      <c r="AA728" s="36"/>
      <c r="AB728" s="36"/>
      <c r="AC728" s="23"/>
      <c r="AD728" s="36"/>
      <c r="AE728" s="36"/>
      <c r="AF728" s="23"/>
    </row>
    <row r="729" spans="1:32" x14ac:dyDescent="0.25">
      <c r="A729" s="23"/>
      <c r="B729" s="23"/>
      <c r="C729" s="36"/>
      <c r="D729" s="36"/>
      <c r="E729" s="23"/>
      <c r="F729" s="36"/>
      <c r="G729" s="36"/>
      <c r="H729" s="23"/>
      <c r="I729" s="36"/>
      <c r="J729" s="36"/>
      <c r="K729" s="23"/>
      <c r="L729" s="36"/>
      <c r="M729" s="36"/>
      <c r="N729" s="23"/>
      <c r="O729" s="36"/>
      <c r="P729" s="36"/>
      <c r="Q729" s="36"/>
      <c r="R729" s="36"/>
      <c r="S729" s="36"/>
      <c r="T729" s="36"/>
      <c r="U729" s="36"/>
      <c r="V729" s="36"/>
      <c r="W729" s="23"/>
      <c r="X729" s="36"/>
      <c r="Y729" s="36"/>
      <c r="Z729" s="23"/>
      <c r="AA729" s="36"/>
      <c r="AB729" s="36"/>
      <c r="AC729" s="23"/>
      <c r="AD729" s="36"/>
      <c r="AE729" s="36"/>
      <c r="AF729" s="23"/>
    </row>
    <row r="730" spans="1:32" x14ac:dyDescent="0.25">
      <c r="A730" s="23"/>
      <c r="B730" s="23"/>
      <c r="C730" s="36"/>
      <c r="D730" s="36"/>
      <c r="E730" s="23"/>
      <c r="F730" s="36"/>
      <c r="G730" s="36"/>
      <c r="H730" s="23"/>
      <c r="I730" s="36"/>
      <c r="J730" s="36"/>
      <c r="K730" s="23"/>
      <c r="L730" s="36"/>
      <c r="M730" s="36"/>
      <c r="N730" s="23"/>
      <c r="O730" s="36"/>
      <c r="P730" s="36"/>
      <c r="Q730" s="36"/>
      <c r="R730" s="36"/>
      <c r="S730" s="36"/>
      <c r="T730" s="36"/>
      <c r="U730" s="36"/>
      <c r="V730" s="36"/>
      <c r="W730" s="23"/>
      <c r="X730" s="36"/>
      <c r="Y730" s="36"/>
      <c r="Z730" s="23"/>
      <c r="AA730" s="36"/>
      <c r="AB730" s="36"/>
      <c r="AC730" s="23"/>
      <c r="AD730" s="36"/>
      <c r="AE730" s="36"/>
      <c r="AF730" s="23"/>
    </row>
    <row r="731" spans="1:32" x14ac:dyDescent="0.25">
      <c r="A731" s="23"/>
      <c r="B731" s="23"/>
      <c r="C731" s="36"/>
      <c r="D731" s="36"/>
      <c r="E731" s="23"/>
      <c r="F731" s="36"/>
      <c r="G731" s="36"/>
      <c r="H731" s="23"/>
      <c r="I731" s="36"/>
      <c r="J731" s="36"/>
      <c r="K731" s="23"/>
      <c r="L731" s="36"/>
      <c r="M731" s="36"/>
      <c r="N731" s="23"/>
      <c r="O731" s="36"/>
      <c r="P731" s="36"/>
      <c r="Q731" s="36"/>
      <c r="R731" s="36"/>
      <c r="S731" s="36"/>
      <c r="T731" s="36"/>
      <c r="U731" s="36"/>
      <c r="V731" s="36"/>
      <c r="W731" s="23"/>
      <c r="X731" s="36"/>
      <c r="Y731" s="36"/>
      <c r="Z731" s="23"/>
      <c r="AA731" s="36"/>
      <c r="AB731" s="36"/>
      <c r="AC731" s="23"/>
      <c r="AD731" s="36"/>
      <c r="AE731" s="36"/>
      <c r="AF731" s="23"/>
    </row>
    <row r="732" spans="1:32" x14ac:dyDescent="0.25">
      <c r="A732" s="23"/>
      <c r="B732" s="23"/>
      <c r="C732" s="36"/>
      <c r="D732" s="36"/>
      <c r="E732" s="23"/>
      <c r="F732" s="36"/>
      <c r="G732" s="36"/>
      <c r="H732" s="23"/>
      <c r="I732" s="36"/>
      <c r="J732" s="36"/>
      <c r="K732" s="23"/>
      <c r="L732" s="36"/>
      <c r="M732" s="36"/>
      <c r="N732" s="23"/>
      <c r="O732" s="36"/>
      <c r="P732" s="36"/>
      <c r="Q732" s="36"/>
      <c r="R732" s="36"/>
      <c r="S732" s="36"/>
      <c r="T732" s="36"/>
      <c r="U732" s="36"/>
      <c r="V732" s="36"/>
      <c r="W732" s="23"/>
      <c r="X732" s="36"/>
      <c r="Y732" s="36"/>
      <c r="Z732" s="23"/>
      <c r="AA732" s="36"/>
      <c r="AB732" s="36"/>
      <c r="AC732" s="23"/>
      <c r="AD732" s="36"/>
      <c r="AE732" s="36"/>
      <c r="AF732" s="23"/>
    </row>
    <row r="733" spans="1:32" x14ac:dyDescent="0.25">
      <c r="A733" s="23"/>
      <c r="B733" s="23"/>
      <c r="C733" s="36"/>
      <c r="D733" s="36"/>
      <c r="E733" s="23"/>
      <c r="F733" s="36"/>
      <c r="G733" s="36"/>
      <c r="H733" s="23"/>
      <c r="I733" s="36"/>
      <c r="J733" s="36"/>
      <c r="K733" s="23"/>
      <c r="L733" s="36"/>
      <c r="M733" s="36"/>
      <c r="N733" s="23"/>
      <c r="O733" s="36"/>
      <c r="P733" s="36"/>
      <c r="Q733" s="36"/>
      <c r="R733" s="36"/>
      <c r="S733" s="36"/>
      <c r="T733" s="36"/>
      <c r="U733" s="36"/>
      <c r="V733" s="36"/>
      <c r="W733" s="23"/>
      <c r="X733" s="36"/>
      <c r="Y733" s="36"/>
      <c r="Z733" s="23"/>
      <c r="AA733" s="36"/>
      <c r="AB733" s="36"/>
      <c r="AC733" s="23"/>
      <c r="AD733" s="36"/>
      <c r="AE733" s="36"/>
      <c r="AF733" s="23"/>
    </row>
    <row r="734" spans="1:32" x14ac:dyDescent="0.25">
      <c r="A734" s="23"/>
      <c r="B734" s="23"/>
      <c r="C734" s="36"/>
      <c r="D734" s="36"/>
      <c r="E734" s="23"/>
      <c r="F734" s="36"/>
      <c r="G734" s="36"/>
      <c r="H734" s="23"/>
      <c r="I734" s="36"/>
      <c r="J734" s="36"/>
      <c r="K734" s="23"/>
      <c r="L734" s="36"/>
      <c r="M734" s="36"/>
      <c r="N734" s="23"/>
      <c r="O734" s="36"/>
      <c r="P734" s="36"/>
      <c r="Q734" s="36"/>
      <c r="R734" s="36"/>
      <c r="S734" s="36"/>
      <c r="T734" s="36"/>
      <c r="U734" s="36"/>
      <c r="V734" s="36"/>
      <c r="W734" s="23"/>
      <c r="X734" s="36"/>
      <c r="Y734" s="36"/>
      <c r="Z734" s="23"/>
      <c r="AA734" s="36"/>
      <c r="AB734" s="36"/>
      <c r="AC734" s="23"/>
      <c r="AD734" s="36"/>
      <c r="AE734" s="36"/>
      <c r="AF734" s="23"/>
    </row>
    <row r="735" spans="1:32" x14ac:dyDescent="0.25">
      <c r="A735" s="23"/>
      <c r="B735" s="23"/>
      <c r="C735" s="36"/>
      <c r="D735" s="36"/>
      <c r="E735" s="23"/>
      <c r="F735" s="36"/>
      <c r="G735" s="36"/>
      <c r="H735" s="23"/>
      <c r="I735" s="36"/>
      <c r="J735" s="36"/>
      <c r="K735" s="23"/>
      <c r="L735" s="36"/>
      <c r="M735" s="36"/>
      <c r="N735" s="23"/>
      <c r="O735" s="36"/>
      <c r="P735" s="36"/>
      <c r="Q735" s="36"/>
      <c r="R735" s="36"/>
      <c r="S735" s="36"/>
      <c r="T735" s="36"/>
      <c r="U735" s="36"/>
      <c r="V735" s="36"/>
      <c r="W735" s="23"/>
      <c r="X735" s="36"/>
      <c r="Y735" s="36"/>
      <c r="Z735" s="23"/>
      <c r="AA735" s="36"/>
      <c r="AB735" s="36"/>
      <c r="AC735" s="23"/>
      <c r="AD735" s="36"/>
      <c r="AE735" s="36"/>
      <c r="AF735" s="23"/>
    </row>
    <row r="736" spans="1:32" x14ac:dyDescent="0.25">
      <c r="A736" s="23"/>
      <c r="B736" s="23"/>
      <c r="C736" s="36"/>
      <c r="D736" s="36"/>
      <c r="E736" s="23"/>
      <c r="F736" s="36"/>
      <c r="G736" s="36"/>
      <c r="H736" s="23"/>
      <c r="I736" s="36"/>
      <c r="J736" s="36"/>
      <c r="K736" s="23"/>
      <c r="L736" s="36"/>
      <c r="M736" s="36"/>
      <c r="N736" s="23"/>
      <c r="O736" s="36"/>
      <c r="P736" s="36"/>
      <c r="Q736" s="36"/>
      <c r="R736" s="36"/>
      <c r="S736" s="36"/>
      <c r="T736" s="36"/>
      <c r="U736" s="36"/>
      <c r="V736" s="36"/>
      <c r="W736" s="23"/>
      <c r="X736" s="36"/>
      <c r="Y736" s="36"/>
      <c r="Z736" s="23"/>
      <c r="AA736" s="36"/>
      <c r="AB736" s="36"/>
      <c r="AC736" s="23"/>
      <c r="AD736" s="36"/>
      <c r="AE736" s="36"/>
      <c r="AF736" s="23"/>
    </row>
    <row r="737" spans="1:32" x14ac:dyDescent="0.25">
      <c r="A737" s="23"/>
      <c r="B737" s="23"/>
      <c r="C737" s="36"/>
      <c r="D737" s="36"/>
      <c r="E737" s="23"/>
      <c r="F737" s="36"/>
      <c r="G737" s="36"/>
      <c r="H737" s="23"/>
      <c r="I737" s="36"/>
      <c r="J737" s="36"/>
      <c r="K737" s="23"/>
      <c r="L737" s="36"/>
      <c r="M737" s="36"/>
      <c r="N737" s="23"/>
      <c r="O737" s="36"/>
      <c r="P737" s="36"/>
      <c r="Q737" s="36"/>
      <c r="R737" s="36"/>
      <c r="S737" s="36"/>
      <c r="T737" s="36"/>
      <c r="U737" s="36"/>
      <c r="V737" s="36"/>
      <c r="W737" s="23"/>
      <c r="X737" s="36"/>
      <c r="Y737" s="36"/>
      <c r="Z737" s="23"/>
      <c r="AA737" s="36"/>
      <c r="AB737" s="36"/>
      <c r="AC737" s="23"/>
      <c r="AD737" s="36"/>
      <c r="AE737" s="36"/>
      <c r="AF737" s="23"/>
    </row>
    <row r="738" spans="1:32" x14ac:dyDescent="0.25">
      <c r="A738" s="23"/>
      <c r="B738" s="23"/>
      <c r="C738" s="36"/>
      <c r="D738" s="36"/>
      <c r="E738" s="23"/>
      <c r="F738" s="36"/>
      <c r="G738" s="36"/>
      <c r="H738" s="23"/>
      <c r="I738" s="36"/>
      <c r="J738" s="36"/>
      <c r="K738" s="23"/>
      <c r="L738" s="36"/>
      <c r="M738" s="36"/>
      <c r="N738" s="23"/>
      <c r="O738" s="36"/>
      <c r="P738" s="36"/>
      <c r="Q738" s="36"/>
      <c r="R738" s="36"/>
      <c r="S738" s="36"/>
      <c r="T738" s="36"/>
      <c r="U738" s="36"/>
      <c r="V738" s="36"/>
      <c r="W738" s="23"/>
      <c r="X738" s="36"/>
      <c r="Y738" s="36"/>
      <c r="Z738" s="23"/>
      <c r="AA738" s="36"/>
      <c r="AB738" s="36"/>
      <c r="AC738" s="23"/>
      <c r="AD738" s="36"/>
      <c r="AE738" s="36"/>
      <c r="AF738" s="23"/>
    </row>
    <row r="739" spans="1:32" x14ac:dyDescent="0.25">
      <c r="A739" s="23"/>
      <c r="B739" s="23"/>
      <c r="C739" s="36"/>
      <c r="D739" s="36"/>
      <c r="E739" s="23"/>
      <c r="F739" s="36"/>
      <c r="G739" s="36"/>
      <c r="H739" s="23"/>
      <c r="I739" s="36"/>
      <c r="J739" s="36"/>
      <c r="K739" s="23"/>
      <c r="L739" s="36"/>
      <c r="M739" s="36"/>
      <c r="N739" s="23"/>
      <c r="O739" s="36"/>
      <c r="P739" s="36"/>
      <c r="Q739" s="36"/>
      <c r="R739" s="36"/>
      <c r="S739" s="36"/>
      <c r="T739" s="36"/>
      <c r="U739" s="36"/>
      <c r="V739" s="36"/>
      <c r="W739" s="23"/>
      <c r="X739" s="36"/>
      <c r="Y739" s="36"/>
      <c r="Z739" s="23"/>
      <c r="AA739" s="36"/>
      <c r="AB739" s="36"/>
      <c r="AC739" s="23"/>
      <c r="AD739" s="36"/>
      <c r="AE739" s="36"/>
      <c r="AF739" s="23"/>
    </row>
    <row r="740" spans="1:32" x14ac:dyDescent="0.25">
      <c r="A740" s="23"/>
      <c r="B740" s="23"/>
      <c r="C740" s="36"/>
      <c r="D740" s="36"/>
      <c r="E740" s="23"/>
      <c r="F740" s="36"/>
      <c r="G740" s="36"/>
      <c r="H740" s="23"/>
      <c r="I740" s="36"/>
      <c r="J740" s="36"/>
      <c r="K740" s="23"/>
      <c r="L740" s="36"/>
      <c r="M740" s="36"/>
      <c r="N740" s="23"/>
      <c r="O740" s="36"/>
      <c r="P740" s="36"/>
      <c r="Q740" s="36"/>
      <c r="R740" s="36"/>
      <c r="S740" s="36"/>
      <c r="T740" s="36"/>
      <c r="U740" s="36"/>
      <c r="V740" s="36"/>
      <c r="W740" s="23"/>
      <c r="X740" s="36"/>
      <c r="Y740" s="36"/>
      <c r="Z740" s="23"/>
      <c r="AA740" s="36"/>
      <c r="AB740" s="36"/>
      <c r="AC740" s="23"/>
      <c r="AD740" s="36"/>
      <c r="AE740" s="36"/>
      <c r="AF740" s="23"/>
    </row>
    <row r="741" spans="1:32" x14ac:dyDescent="0.25">
      <c r="A741" s="23"/>
      <c r="B741" s="23"/>
      <c r="C741" s="36"/>
      <c r="D741" s="36"/>
      <c r="E741" s="23"/>
      <c r="F741" s="36"/>
      <c r="G741" s="36"/>
      <c r="H741" s="23"/>
      <c r="I741" s="36"/>
      <c r="J741" s="36"/>
      <c r="K741" s="23"/>
      <c r="L741" s="36"/>
      <c r="M741" s="36"/>
      <c r="N741" s="23"/>
      <c r="O741" s="36"/>
      <c r="P741" s="36"/>
      <c r="Q741" s="36"/>
      <c r="R741" s="36"/>
      <c r="S741" s="36"/>
      <c r="T741" s="36"/>
      <c r="U741" s="36"/>
      <c r="V741" s="36"/>
      <c r="W741" s="23"/>
      <c r="X741" s="36"/>
      <c r="Y741" s="36"/>
      <c r="Z741" s="23"/>
      <c r="AA741" s="36"/>
      <c r="AB741" s="36"/>
      <c r="AC741" s="23"/>
      <c r="AD741" s="36"/>
      <c r="AE741" s="36"/>
      <c r="AF741" s="23"/>
    </row>
    <row r="742" spans="1:32" x14ac:dyDescent="0.25">
      <c r="A742" s="23"/>
      <c r="B742" s="23"/>
      <c r="C742" s="36"/>
      <c r="D742" s="36"/>
      <c r="E742" s="23"/>
      <c r="F742" s="36"/>
      <c r="G742" s="36"/>
      <c r="H742" s="23"/>
      <c r="I742" s="36"/>
      <c r="J742" s="36"/>
      <c r="K742" s="23"/>
      <c r="L742" s="36"/>
      <c r="M742" s="36"/>
      <c r="N742" s="23"/>
      <c r="O742" s="36"/>
      <c r="P742" s="36"/>
      <c r="Q742" s="36"/>
      <c r="R742" s="36"/>
      <c r="S742" s="36"/>
      <c r="T742" s="36"/>
      <c r="U742" s="36"/>
      <c r="V742" s="36"/>
      <c r="W742" s="23"/>
      <c r="X742" s="36"/>
      <c r="Y742" s="36"/>
      <c r="Z742" s="23"/>
      <c r="AA742" s="36"/>
      <c r="AB742" s="36"/>
      <c r="AC742" s="23"/>
      <c r="AD742" s="36"/>
      <c r="AE742" s="36"/>
      <c r="AF742" s="23"/>
    </row>
    <row r="743" spans="1:32" x14ac:dyDescent="0.25">
      <c r="A743" s="23"/>
      <c r="B743" s="23"/>
      <c r="C743" s="36"/>
      <c r="D743" s="36"/>
      <c r="E743" s="23"/>
      <c r="F743" s="36"/>
      <c r="G743" s="36"/>
      <c r="H743" s="23"/>
      <c r="I743" s="36"/>
      <c r="J743" s="36"/>
      <c r="K743" s="23"/>
      <c r="L743" s="36"/>
      <c r="M743" s="36"/>
      <c r="N743" s="23"/>
      <c r="O743" s="36"/>
      <c r="P743" s="36"/>
      <c r="Q743" s="36"/>
      <c r="R743" s="36"/>
      <c r="S743" s="36"/>
      <c r="T743" s="36"/>
      <c r="U743" s="36"/>
      <c r="V743" s="36"/>
      <c r="W743" s="23"/>
      <c r="X743" s="36"/>
      <c r="Y743" s="36"/>
      <c r="Z743" s="23"/>
      <c r="AA743" s="36"/>
      <c r="AB743" s="36"/>
      <c r="AC743" s="23"/>
      <c r="AD743" s="36"/>
      <c r="AE743" s="36"/>
      <c r="AF743" s="23"/>
    </row>
    <row r="744" spans="1:32" x14ac:dyDescent="0.25">
      <c r="A744" s="23"/>
      <c r="B744" s="23"/>
      <c r="C744" s="36"/>
      <c r="D744" s="36"/>
      <c r="E744" s="23"/>
      <c r="F744" s="36"/>
      <c r="G744" s="36"/>
      <c r="H744" s="23"/>
      <c r="I744" s="36"/>
      <c r="J744" s="36"/>
      <c r="K744" s="23"/>
      <c r="L744" s="36"/>
      <c r="M744" s="36"/>
      <c r="N744" s="23"/>
      <c r="O744" s="36"/>
      <c r="P744" s="36"/>
      <c r="Q744" s="36"/>
      <c r="R744" s="36"/>
      <c r="S744" s="36"/>
      <c r="T744" s="36"/>
      <c r="U744" s="36"/>
      <c r="V744" s="36"/>
      <c r="W744" s="23"/>
      <c r="X744" s="36"/>
      <c r="Y744" s="36"/>
      <c r="Z744" s="23"/>
      <c r="AA744" s="36"/>
      <c r="AB744" s="36"/>
      <c r="AC744" s="23"/>
      <c r="AD744" s="36"/>
      <c r="AE744" s="36"/>
      <c r="AF744" s="23"/>
    </row>
    <row r="745" spans="1:32" x14ac:dyDescent="0.25">
      <c r="A745" s="23"/>
      <c r="B745" s="23"/>
      <c r="C745" s="36"/>
      <c r="D745" s="36"/>
      <c r="E745" s="23"/>
      <c r="F745" s="36"/>
      <c r="G745" s="36"/>
      <c r="H745" s="23"/>
      <c r="I745" s="36"/>
      <c r="J745" s="36"/>
      <c r="K745" s="23"/>
      <c r="L745" s="36"/>
      <c r="M745" s="36"/>
      <c r="N745" s="23"/>
      <c r="O745" s="36"/>
      <c r="P745" s="36"/>
      <c r="Q745" s="36"/>
      <c r="R745" s="36"/>
      <c r="S745" s="36"/>
      <c r="T745" s="36"/>
      <c r="U745" s="36"/>
      <c r="V745" s="36"/>
      <c r="W745" s="23"/>
      <c r="X745" s="36"/>
      <c r="Y745" s="36"/>
      <c r="Z745" s="23"/>
      <c r="AA745" s="36"/>
      <c r="AB745" s="36"/>
      <c r="AC745" s="23"/>
      <c r="AD745" s="36"/>
      <c r="AE745" s="36"/>
      <c r="AF745" s="23"/>
    </row>
    <row r="746" spans="1:32" x14ac:dyDescent="0.25">
      <c r="A746" s="23"/>
      <c r="B746" s="23"/>
      <c r="C746" s="36"/>
      <c r="D746" s="36"/>
      <c r="E746" s="23"/>
      <c r="F746" s="36"/>
      <c r="G746" s="36"/>
      <c r="H746" s="23"/>
      <c r="I746" s="36"/>
      <c r="J746" s="36"/>
      <c r="K746" s="23"/>
      <c r="L746" s="36"/>
      <c r="M746" s="36"/>
      <c r="N746" s="23"/>
      <c r="O746" s="36"/>
      <c r="P746" s="36"/>
      <c r="Q746" s="36"/>
      <c r="R746" s="36"/>
      <c r="S746" s="36"/>
      <c r="T746" s="36"/>
      <c r="U746" s="36"/>
      <c r="V746" s="36"/>
      <c r="W746" s="23"/>
      <c r="X746" s="36"/>
      <c r="Y746" s="36"/>
      <c r="Z746" s="23"/>
      <c r="AA746" s="36"/>
      <c r="AB746" s="36"/>
      <c r="AC746" s="23"/>
      <c r="AD746" s="36"/>
      <c r="AE746" s="36"/>
      <c r="AF746" s="23"/>
    </row>
    <row r="747" spans="1:32" x14ac:dyDescent="0.25">
      <c r="A747" s="23"/>
      <c r="B747" s="23"/>
      <c r="C747" s="36"/>
      <c r="D747" s="36"/>
      <c r="E747" s="23"/>
      <c r="F747" s="36"/>
      <c r="G747" s="36"/>
      <c r="H747" s="23"/>
      <c r="I747" s="36"/>
      <c r="J747" s="36"/>
      <c r="K747" s="23"/>
      <c r="L747" s="36"/>
      <c r="M747" s="36"/>
      <c r="N747" s="23"/>
      <c r="O747" s="36"/>
      <c r="P747" s="36"/>
      <c r="Q747" s="36"/>
      <c r="R747" s="36"/>
      <c r="S747" s="36"/>
      <c r="T747" s="36"/>
      <c r="U747" s="36"/>
      <c r="V747" s="36"/>
      <c r="W747" s="23"/>
      <c r="X747" s="36"/>
      <c r="Y747" s="36"/>
      <c r="Z747" s="23"/>
      <c r="AA747" s="36"/>
      <c r="AB747" s="36"/>
      <c r="AC747" s="23"/>
      <c r="AD747" s="36"/>
      <c r="AE747" s="36"/>
      <c r="AF747" s="23"/>
    </row>
    <row r="748" spans="1:32" x14ac:dyDescent="0.25">
      <c r="A748" s="23"/>
      <c r="B748" s="23"/>
      <c r="C748" s="36"/>
      <c r="D748" s="36"/>
      <c r="E748" s="23"/>
      <c r="F748" s="36"/>
      <c r="G748" s="36"/>
      <c r="H748" s="23"/>
      <c r="I748" s="36"/>
      <c r="J748" s="36"/>
      <c r="K748" s="23"/>
      <c r="L748" s="36"/>
      <c r="M748" s="36"/>
      <c r="N748" s="23"/>
      <c r="O748" s="36"/>
      <c r="P748" s="36"/>
      <c r="Q748" s="36"/>
      <c r="R748" s="36"/>
      <c r="S748" s="36"/>
      <c r="T748" s="36"/>
      <c r="U748" s="36"/>
      <c r="V748" s="36"/>
      <c r="W748" s="23"/>
      <c r="X748" s="36"/>
      <c r="Y748" s="36"/>
      <c r="Z748" s="23"/>
      <c r="AA748" s="36"/>
      <c r="AB748" s="36"/>
      <c r="AC748" s="23"/>
      <c r="AD748" s="36"/>
      <c r="AE748" s="36"/>
      <c r="AF748" s="23"/>
    </row>
    <row r="749" spans="1:32" x14ac:dyDescent="0.25">
      <c r="A749" s="23"/>
      <c r="B749" s="23"/>
      <c r="C749" s="36"/>
      <c r="D749" s="36"/>
      <c r="E749" s="23"/>
      <c r="F749" s="36"/>
      <c r="G749" s="36"/>
      <c r="H749" s="23"/>
      <c r="I749" s="36"/>
      <c r="J749" s="36"/>
      <c r="K749" s="23"/>
      <c r="L749" s="36"/>
      <c r="M749" s="36"/>
      <c r="N749" s="23"/>
      <c r="O749" s="36"/>
      <c r="P749" s="36"/>
      <c r="Q749" s="36"/>
      <c r="R749" s="36"/>
      <c r="S749" s="36"/>
      <c r="T749" s="36"/>
      <c r="U749" s="36"/>
      <c r="V749" s="36"/>
      <c r="W749" s="23"/>
      <c r="X749" s="36"/>
      <c r="Y749" s="36"/>
      <c r="Z749" s="23"/>
      <c r="AA749" s="36"/>
      <c r="AB749" s="36"/>
      <c r="AC749" s="23"/>
      <c r="AD749" s="36"/>
      <c r="AE749" s="36"/>
      <c r="AF749" s="23"/>
    </row>
    <row r="750" spans="1:32" x14ac:dyDescent="0.25">
      <c r="A750" s="23"/>
      <c r="B750" s="23"/>
      <c r="C750" s="36"/>
      <c r="D750" s="36"/>
      <c r="E750" s="23"/>
      <c r="F750" s="36"/>
      <c r="G750" s="36"/>
      <c r="H750" s="23"/>
      <c r="I750" s="36"/>
      <c r="J750" s="36"/>
      <c r="K750" s="23"/>
      <c r="L750" s="36"/>
      <c r="M750" s="36"/>
      <c r="N750" s="23"/>
      <c r="O750" s="36"/>
      <c r="P750" s="36"/>
      <c r="Q750" s="36"/>
      <c r="R750" s="36"/>
      <c r="S750" s="36"/>
      <c r="T750" s="36"/>
      <c r="U750" s="36"/>
      <c r="V750" s="36"/>
      <c r="W750" s="23"/>
      <c r="X750" s="36"/>
      <c r="Y750" s="36"/>
      <c r="Z750" s="23"/>
      <c r="AA750" s="36"/>
      <c r="AB750" s="36"/>
      <c r="AC750" s="23"/>
      <c r="AD750" s="36"/>
      <c r="AE750" s="36"/>
      <c r="AF750" s="23"/>
    </row>
    <row r="751" spans="1:32" x14ac:dyDescent="0.25">
      <c r="A751" s="23"/>
      <c r="B751" s="23"/>
      <c r="C751" s="36"/>
      <c r="D751" s="36"/>
      <c r="E751" s="23"/>
      <c r="F751" s="36"/>
      <c r="G751" s="36"/>
      <c r="H751" s="23"/>
      <c r="I751" s="36"/>
      <c r="J751" s="36"/>
      <c r="K751" s="23"/>
      <c r="L751" s="36"/>
      <c r="M751" s="36"/>
      <c r="N751" s="23"/>
      <c r="O751" s="36"/>
      <c r="P751" s="36"/>
      <c r="Q751" s="36"/>
      <c r="R751" s="36"/>
      <c r="S751" s="36"/>
      <c r="T751" s="36"/>
      <c r="U751" s="36"/>
      <c r="V751" s="36"/>
      <c r="W751" s="23"/>
      <c r="X751" s="36"/>
      <c r="Y751" s="36"/>
      <c r="Z751" s="23"/>
      <c r="AA751" s="36"/>
      <c r="AB751" s="36"/>
      <c r="AC751" s="23"/>
      <c r="AD751" s="36"/>
      <c r="AE751" s="36"/>
      <c r="AF751" s="23"/>
    </row>
    <row r="752" spans="1:32" x14ac:dyDescent="0.25">
      <c r="A752" s="23"/>
      <c r="B752" s="23"/>
      <c r="C752" s="36"/>
      <c r="D752" s="36"/>
      <c r="E752" s="23"/>
      <c r="F752" s="36"/>
      <c r="G752" s="36"/>
      <c r="H752" s="23"/>
      <c r="I752" s="36"/>
      <c r="J752" s="36"/>
      <c r="K752" s="23"/>
      <c r="L752" s="36"/>
      <c r="M752" s="36"/>
      <c r="N752" s="23"/>
      <c r="O752" s="36"/>
      <c r="P752" s="36"/>
      <c r="Q752" s="36"/>
      <c r="R752" s="36"/>
      <c r="S752" s="36"/>
      <c r="T752" s="36"/>
      <c r="U752" s="36"/>
      <c r="V752" s="36"/>
      <c r="W752" s="23"/>
      <c r="X752" s="36"/>
      <c r="Y752" s="36"/>
      <c r="Z752" s="23"/>
      <c r="AA752" s="36"/>
      <c r="AB752" s="36"/>
      <c r="AC752" s="23"/>
      <c r="AD752" s="36"/>
      <c r="AE752" s="36"/>
      <c r="AF752" s="23"/>
    </row>
    <row r="753" spans="1:32" x14ac:dyDescent="0.25">
      <c r="A753" s="23"/>
      <c r="B753" s="23"/>
      <c r="C753" s="36"/>
      <c r="D753" s="36"/>
      <c r="E753" s="23"/>
      <c r="F753" s="36"/>
      <c r="G753" s="36"/>
      <c r="H753" s="23"/>
      <c r="I753" s="36"/>
      <c r="J753" s="36"/>
      <c r="K753" s="23"/>
      <c r="L753" s="36"/>
      <c r="M753" s="36"/>
      <c r="N753" s="23"/>
      <c r="O753" s="36"/>
      <c r="P753" s="36"/>
      <c r="Q753" s="36"/>
      <c r="R753" s="36"/>
      <c r="S753" s="36"/>
      <c r="T753" s="36"/>
      <c r="U753" s="36"/>
      <c r="V753" s="36"/>
      <c r="W753" s="23"/>
      <c r="X753" s="36"/>
      <c r="Y753" s="36"/>
      <c r="Z753" s="23"/>
      <c r="AA753" s="36"/>
      <c r="AB753" s="36"/>
      <c r="AC753" s="23"/>
      <c r="AD753" s="36"/>
      <c r="AE753" s="36"/>
      <c r="AF753" s="23"/>
    </row>
    <row r="754" spans="1:32" x14ac:dyDescent="0.25">
      <c r="A754" s="23"/>
      <c r="B754" s="23"/>
      <c r="C754" s="36"/>
      <c r="D754" s="36"/>
      <c r="E754" s="23"/>
      <c r="F754" s="36"/>
      <c r="G754" s="36"/>
      <c r="H754" s="23"/>
      <c r="I754" s="36"/>
      <c r="J754" s="36"/>
      <c r="K754" s="23"/>
      <c r="L754" s="36"/>
      <c r="M754" s="36"/>
      <c r="N754" s="23"/>
      <c r="O754" s="36"/>
      <c r="P754" s="36"/>
      <c r="Q754" s="36"/>
      <c r="R754" s="36"/>
      <c r="S754" s="36"/>
      <c r="T754" s="36"/>
      <c r="U754" s="36"/>
      <c r="V754" s="36"/>
      <c r="W754" s="23"/>
      <c r="X754" s="36"/>
      <c r="Y754" s="36"/>
      <c r="Z754" s="23"/>
      <c r="AA754" s="36"/>
      <c r="AB754" s="36"/>
      <c r="AC754" s="23"/>
      <c r="AD754" s="36"/>
      <c r="AE754" s="36"/>
      <c r="AF754" s="23"/>
    </row>
    <row r="755" spans="1:32" x14ac:dyDescent="0.25">
      <c r="A755" s="23"/>
      <c r="B755" s="23"/>
      <c r="C755" s="36"/>
      <c r="D755" s="36"/>
      <c r="E755" s="23"/>
      <c r="F755" s="36"/>
      <c r="G755" s="36"/>
      <c r="H755" s="23"/>
      <c r="I755" s="36"/>
      <c r="J755" s="36"/>
      <c r="K755" s="23"/>
      <c r="L755" s="36"/>
      <c r="M755" s="36"/>
      <c r="N755" s="23"/>
      <c r="O755" s="36"/>
      <c r="P755" s="36"/>
      <c r="Q755" s="36"/>
      <c r="R755" s="36"/>
      <c r="S755" s="36"/>
      <c r="T755" s="36"/>
      <c r="U755" s="36"/>
      <c r="V755" s="36"/>
      <c r="W755" s="23"/>
      <c r="X755" s="36"/>
      <c r="Y755" s="36"/>
      <c r="Z755" s="23"/>
      <c r="AA755" s="36"/>
      <c r="AB755" s="36"/>
      <c r="AC755" s="23"/>
      <c r="AD755" s="36"/>
      <c r="AE755" s="36"/>
      <c r="AF755" s="23"/>
    </row>
    <row r="756" spans="1:32" x14ac:dyDescent="0.25">
      <c r="A756" s="23"/>
      <c r="B756" s="23"/>
      <c r="C756" s="36"/>
      <c r="D756" s="36"/>
      <c r="E756" s="23"/>
      <c r="F756" s="36"/>
      <c r="G756" s="36"/>
      <c r="H756" s="23"/>
      <c r="I756" s="36"/>
      <c r="J756" s="36"/>
      <c r="K756" s="23"/>
      <c r="L756" s="36"/>
      <c r="M756" s="36"/>
      <c r="N756" s="23"/>
      <c r="O756" s="36"/>
      <c r="P756" s="36"/>
      <c r="Q756" s="36"/>
      <c r="R756" s="36"/>
      <c r="S756" s="36"/>
      <c r="T756" s="36"/>
      <c r="U756" s="36"/>
      <c r="V756" s="36"/>
      <c r="W756" s="23"/>
      <c r="X756" s="36"/>
      <c r="Y756" s="36"/>
      <c r="Z756" s="23"/>
      <c r="AA756" s="36"/>
      <c r="AB756" s="36"/>
      <c r="AC756" s="23"/>
      <c r="AD756" s="36"/>
      <c r="AE756" s="36"/>
      <c r="AF756" s="23"/>
    </row>
    <row r="757" spans="1:32" x14ac:dyDescent="0.25">
      <c r="A757" s="23"/>
      <c r="B757" s="23"/>
      <c r="C757" s="36"/>
      <c r="D757" s="36"/>
      <c r="E757" s="23"/>
      <c r="F757" s="36"/>
      <c r="G757" s="36"/>
      <c r="H757" s="23"/>
      <c r="I757" s="36"/>
      <c r="J757" s="36"/>
      <c r="K757" s="23"/>
      <c r="L757" s="36"/>
      <c r="M757" s="36"/>
      <c r="N757" s="23"/>
      <c r="O757" s="36"/>
      <c r="P757" s="36"/>
      <c r="Q757" s="36"/>
      <c r="R757" s="36"/>
      <c r="S757" s="36"/>
      <c r="T757" s="36"/>
      <c r="U757" s="36"/>
      <c r="V757" s="36"/>
      <c r="W757" s="23"/>
      <c r="X757" s="36"/>
      <c r="Y757" s="36"/>
      <c r="Z757" s="23"/>
      <c r="AA757" s="36"/>
      <c r="AB757" s="36"/>
      <c r="AC757" s="23"/>
      <c r="AD757" s="36"/>
      <c r="AE757" s="36"/>
      <c r="AF757" s="23"/>
    </row>
    <row r="758" spans="1:32" x14ac:dyDescent="0.25">
      <c r="A758" s="23"/>
      <c r="B758" s="23"/>
      <c r="C758" s="36"/>
      <c r="D758" s="36"/>
      <c r="E758" s="23"/>
      <c r="F758" s="36"/>
      <c r="G758" s="36"/>
      <c r="H758" s="23"/>
      <c r="I758" s="36"/>
      <c r="J758" s="36"/>
      <c r="K758" s="23"/>
      <c r="L758" s="36"/>
      <c r="M758" s="36"/>
      <c r="N758" s="23"/>
      <c r="O758" s="36"/>
      <c r="P758" s="36"/>
      <c r="Q758" s="36"/>
      <c r="R758" s="36"/>
      <c r="S758" s="36"/>
      <c r="T758" s="36"/>
      <c r="U758" s="36"/>
      <c r="V758" s="36"/>
      <c r="W758" s="23"/>
      <c r="X758" s="36"/>
      <c r="Y758" s="36"/>
      <c r="Z758" s="23"/>
      <c r="AA758" s="36"/>
      <c r="AB758" s="36"/>
      <c r="AC758" s="23"/>
      <c r="AD758" s="36"/>
      <c r="AE758" s="36"/>
      <c r="AF758" s="23"/>
    </row>
    <row r="759" spans="1:32" x14ac:dyDescent="0.25">
      <c r="A759" s="23"/>
      <c r="B759" s="23"/>
      <c r="C759" s="36"/>
      <c r="D759" s="36"/>
      <c r="E759" s="23"/>
      <c r="F759" s="36"/>
      <c r="G759" s="36"/>
      <c r="H759" s="23"/>
      <c r="I759" s="36"/>
      <c r="J759" s="36"/>
      <c r="K759" s="23"/>
      <c r="L759" s="36"/>
      <c r="M759" s="36"/>
      <c r="N759" s="23"/>
      <c r="O759" s="36"/>
      <c r="P759" s="36"/>
      <c r="Q759" s="36"/>
      <c r="R759" s="36"/>
      <c r="S759" s="36"/>
      <c r="T759" s="36"/>
      <c r="U759" s="36"/>
      <c r="V759" s="36"/>
      <c r="W759" s="23"/>
      <c r="X759" s="36"/>
      <c r="Y759" s="36"/>
      <c r="Z759" s="23"/>
      <c r="AA759" s="36"/>
      <c r="AB759" s="36"/>
      <c r="AC759" s="23"/>
      <c r="AD759" s="36"/>
      <c r="AE759" s="36"/>
      <c r="AF759" s="23"/>
    </row>
    <row r="760" spans="1:32" x14ac:dyDescent="0.25">
      <c r="A760" s="23"/>
      <c r="B760" s="23"/>
      <c r="C760" s="36"/>
      <c r="D760" s="36"/>
      <c r="E760" s="23"/>
      <c r="F760" s="36"/>
      <c r="G760" s="36"/>
      <c r="H760" s="23"/>
      <c r="I760" s="36"/>
      <c r="J760" s="36"/>
      <c r="K760" s="23"/>
      <c r="L760" s="36"/>
      <c r="M760" s="36"/>
      <c r="N760" s="23"/>
      <c r="O760" s="36"/>
      <c r="P760" s="36"/>
      <c r="Q760" s="36"/>
      <c r="R760" s="36"/>
      <c r="S760" s="36"/>
      <c r="T760" s="36"/>
      <c r="U760" s="36"/>
      <c r="V760" s="36"/>
      <c r="W760" s="23"/>
      <c r="X760" s="36"/>
      <c r="Y760" s="36"/>
      <c r="Z760" s="23"/>
      <c r="AA760" s="36"/>
      <c r="AB760" s="36"/>
      <c r="AC760" s="23"/>
      <c r="AD760" s="36"/>
      <c r="AE760" s="36"/>
      <c r="AF760" s="23"/>
    </row>
    <row r="761" spans="1:32" x14ac:dyDescent="0.25">
      <c r="A761" s="23"/>
      <c r="B761" s="23"/>
      <c r="C761" s="36"/>
      <c r="D761" s="36"/>
      <c r="E761" s="23"/>
      <c r="F761" s="36"/>
      <c r="G761" s="36"/>
      <c r="H761" s="23"/>
      <c r="I761" s="36"/>
      <c r="J761" s="36"/>
      <c r="K761" s="23"/>
      <c r="L761" s="36"/>
      <c r="M761" s="36"/>
      <c r="N761" s="23"/>
      <c r="O761" s="36"/>
      <c r="P761" s="36"/>
      <c r="Q761" s="36"/>
      <c r="R761" s="36"/>
      <c r="S761" s="36"/>
      <c r="T761" s="36"/>
      <c r="U761" s="36"/>
      <c r="V761" s="36"/>
      <c r="W761" s="23"/>
      <c r="X761" s="36"/>
      <c r="Y761" s="36"/>
      <c r="Z761" s="23"/>
      <c r="AA761" s="36"/>
      <c r="AB761" s="36"/>
      <c r="AC761" s="23"/>
      <c r="AD761" s="36"/>
      <c r="AE761" s="36"/>
      <c r="AF761" s="23"/>
    </row>
    <row r="762" spans="1:32" x14ac:dyDescent="0.25">
      <c r="A762" s="23"/>
      <c r="B762" s="23"/>
      <c r="C762" s="36"/>
      <c r="D762" s="36"/>
      <c r="E762" s="23"/>
      <c r="F762" s="36"/>
      <c r="G762" s="36"/>
      <c r="H762" s="23"/>
      <c r="I762" s="36"/>
      <c r="J762" s="36"/>
      <c r="K762" s="23"/>
      <c r="L762" s="36"/>
      <c r="M762" s="36"/>
      <c r="N762" s="23"/>
      <c r="O762" s="36"/>
      <c r="P762" s="36"/>
      <c r="Q762" s="36"/>
      <c r="R762" s="36"/>
      <c r="S762" s="36"/>
      <c r="T762" s="36"/>
      <c r="U762" s="36"/>
      <c r="V762" s="36"/>
      <c r="W762" s="23"/>
      <c r="X762" s="36"/>
      <c r="Y762" s="36"/>
      <c r="Z762" s="23"/>
      <c r="AA762" s="36"/>
      <c r="AB762" s="36"/>
      <c r="AC762" s="23"/>
      <c r="AD762" s="36"/>
      <c r="AE762" s="36"/>
      <c r="AF762" s="23"/>
    </row>
    <row r="763" spans="1:32" x14ac:dyDescent="0.25">
      <c r="A763" s="23"/>
      <c r="B763" s="23"/>
      <c r="C763" s="36"/>
      <c r="D763" s="36"/>
      <c r="E763" s="23"/>
      <c r="F763" s="36"/>
      <c r="G763" s="36"/>
      <c r="H763" s="23"/>
      <c r="I763" s="36"/>
      <c r="J763" s="36"/>
      <c r="K763" s="23"/>
      <c r="L763" s="36"/>
      <c r="M763" s="36"/>
      <c r="N763" s="23"/>
      <c r="O763" s="36"/>
      <c r="P763" s="36"/>
      <c r="Q763" s="36"/>
      <c r="R763" s="36"/>
      <c r="S763" s="36"/>
      <c r="T763" s="36"/>
      <c r="U763" s="36"/>
      <c r="V763" s="36"/>
      <c r="W763" s="23"/>
      <c r="X763" s="36"/>
      <c r="Y763" s="36"/>
      <c r="Z763" s="23"/>
      <c r="AA763" s="36"/>
      <c r="AB763" s="36"/>
      <c r="AC763" s="23"/>
      <c r="AD763" s="36"/>
      <c r="AE763" s="36"/>
      <c r="AF763" s="23"/>
    </row>
    <row r="764" spans="1:32" x14ac:dyDescent="0.25">
      <c r="A764" s="23"/>
      <c r="B764" s="23"/>
      <c r="C764" s="36"/>
      <c r="D764" s="36"/>
      <c r="E764" s="23"/>
      <c r="F764" s="36"/>
      <c r="G764" s="36"/>
      <c r="H764" s="23"/>
      <c r="I764" s="36"/>
      <c r="J764" s="36"/>
      <c r="K764" s="23"/>
      <c r="L764" s="36"/>
      <c r="M764" s="36"/>
      <c r="N764" s="23"/>
      <c r="O764" s="36"/>
      <c r="P764" s="36"/>
      <c r="Q764" s="36"/>
      <c r="R764" s="36"/>
      <c r="S764" s="36"/>
      <c r="T764" s="36"/>
      <c r="U764" s="36"/>
      <c r="V764" s="36"/>
      <c r="W764" s="23"/>
      <c r="X764" s="36"/>
      <c r="Y764" s="36"/>
      <c r="Z764" s="23"/>
      <c r="AA764" s="36"/>
      <c r="AB764" s="36"/>
      <c r="AC764" s="23"/>
      <c r="AD764" s="36"/>
      <c r="AE764" s="36"/>
      <c r="AF764" s="23"/>
    </row>
    <row r="765" spans="1:32" x14ac:dyDescent="0.25">
      <c r="A765" s="23"/>
      <c r="B765" s="23"/>
      <c r="C765" s="36"/>
      <c r="D765" s="36"/>
      <c r="E765" s="23"/>
      <c r="F765" s="36"/>
      <c r="G765" s="36"/>
      <c r="H765" s="23"/>
      <c r="I765" s="36"/>
      <c r="J765" s="36"/>
      <c r="K765" s="23"/>
      <c r="L765" s="36"/>
      <c r="M765" s="36"/>
      <c r="N765" s="23"/>
      <c r="O765" s="36"/>
      <c r="P765" s="36"/>
      <c r="Q765" s="36"/>
      <c r="R765" s="36"/>
      <c r="S765" s="36"/>
      <c r="T765" s="36"/>
      <c r="U765" s="36"/>
      <c r="V765" s="36"/>
      <c r="W765" s="23"/>
      <c r="X765" s="36"/>
      <c r="Y765" s="36"/>
      <c r="Z765" s="23"/>
      <c r="AA765" s="36"/>
      <c r="AB765" s="36"/>
      <c r="AC765" s="23"/>
      <c r="AD765" s="36"/>
      <c r="AE765" s="36"/>
      <c r="AF765" s="23"/>
    </row>
    <row r="766" spans="1:32" x14ac:dyDescent="0.25">
      <c r="A766" s="23"/>
      <c r="B766" s="23"/>
      <c r="C766" s="36"/>
      <c r="D766" s="36"/>
      <c r="E766" s="23"/>
      <c r="F766" s="36"/>
      <c r="G766" s="36"/>
      <c r="H766" s="23"/>
      <c r="I766" s="36"/>
      <c r="J766" s="36"/>
      <c r="K766" s="23"/>
      <c r="L766" s="36"/>
      <c r="M766" s="36"/>
      <c r="N766" s="23"/>
      <c r="O766" s="36"/>
      <c r="P766" s="36"/>
      <c r="Q766" s="36"/>
      <c r="R766" s="36"/>
      <c r="S766" s="36"/>
      <c r="T766" s="36"/>
      <c r="U766" s="36"/>
      <c r="V766" s="36"/>
      <c r="W766" s="23"/>
      <c r="X766" s="36"/>
      <c r="Y766" s="36"/>
      <c r="Z766" s="23"/>
      <c r="AA766" s="36"/>
      <c r="AB766" s="36"/>
      <c r="AC766" s="23"/>
      <c r="AD766" s="36"/>
      <c r="AE766" s="36"/>
      <c r="AF766" s="23"/>
    </row>
    <row r="767" spans="1:32" x14ac:dyDescent="0.25">
      <c r="A767" s="23"/>
      <c r="B767" s="23"/>
      <c r="C767" s="36"/>
      <c r="D767" s="36"/>
      <c r="E767" s="23"/>
      <c r="F767" s="36"/>
      <c r="G767" s="36"/>
      <c r="H767" s="23"/>
      <c r="I767" s="36"/>
      <c r="J767" s="36"/>
      <c r="K767" s="23"/>
      <c r="L767" s="36"/>
      <c r="M767" s="36"/>
      <c r="N767" s="23"/>
      <c r="O767" s="36"/>
      <c r="P767" s="36"/>
      <c r="Q767" s="36"/>
      <c r="R767" s="36"/>
      <c r="S767" s="36"/>
      <c r="T767" s="36"/>
      <c r="U767" s="36"/>
      <c r="V767" s="36"/>
      <c r="W767" s="23"/>
      <c r="X767" s="36"/>
      <c r="Y767" s="36"/>
      <c r="Z767" s="23"/>
      <c r="AA767" s="36"/>
      <c r="AB767" s="36"/>
      <c r="AC767" s="23"/>
      <c r="AD767" s="36"/>
      <c r="AE767" s="36"/>
      <c r="AF767" s="23"/>
    </row>
    <row r="768" spans="1:32" x14ac:dyDescent="0.25">
      <c r="A768" s="23"/>
      <c r="B768" s="23"/>
      <c r="C768" s="36"/>
      <c r="D768" s="36"/>
      <c r="E768" s="23"/>
      <c r="F768" s="36"/>
      <c r="G768" s="36"/>
      <c r="H768" s="23"/>
      <c r="I768" s="36"/>
      <c r="J768" s="36"/>
      <c r="K768" s="23"/>
      <c r="L768" s="36"/>
      <c r="M768" s="36"/>
      <c r="N768" s="23"/>
      <c r="O768" s="36"/>
      <c r="P768" s="36"/>
      <c r="Q768" s="36"/>
      <c r="R768" s="36"/>
      <c r="S768" s="36"/>
      <c r="T768" s="36"/>
      <c r="U768" s="36"/>
      <c r="V768" s="36"/>
      <c r="W768" s="23"/>
      <c r="X768" s="36"/>
      <c r="Y768" s="36"/>
      <c r="Z768" s="23"/>
      <c r="AA768" s="36"/>
      <c r="AB768" s="36"/>
      <c r="AC768" s="23"/>
      <c r="AD768" s="36"/>
      <c r="AE768" s="36"/>
      <c r="AF768" s="23"/>
    </row>
    <row r="769" spans="1:32" x14ac:dyDescent="0.25">
      <c r="A769" s="23"/>
      <c r="B769" s="23"/>
      <c r="C769" s="36"/>
      <c r="D769" s="36"/>
      <c r="E769" s="23"/>
      <c r="F769" s="36"/>
      <c r="G769" s="36"/>
      <c r="H769" s="23"/>
      <c r="I769" s="36"/>
      <c r="J769" s="36"/>
      <c r="K769" s="23"/>
      <c r="L769" s="36"/>
      <c r="M769" s="36"/>
      <c r="N769" s="23"/>
      <c r="O769" s="36"/>
      <c r="P769" s="36"/>
      <c r="Q769" s="36"/>
      <c r="R769" s="36"/>
      <c r="S769" s="36"/>
      <c r="T769" s="36"/>
      <c r="U769" s="36"/>
      <c r="V769" s="36"/>
      <c r="W769" s="23"/>
      <c r="X769" s="36"/>
      <c r="Y769" s="36"/>
      <c r="Z769" s="23"/>
      <c r="AA769" s="36"/>
      <c r="AB769" s="36"/>
      <c r="AC769" s="23"/>
      <c r="AD769" s="36"/>
      <c r="AE769" s="36"/>
      <c r="AF769" s="23"/>
    </row>
    <row r="770" spans="1:32" x14ac:dyDescent="0.25">
      <c r="A770" s="23"/>
      <c r="B770" s="23"/>
      <c r="C770" s="36"/>
      <c r="D770" s="36"/>
      <c r="E770" s="23"/>
      <c r="F770" s="36"/>
      <c r="G770" s="36"/>
      <c r="H770" s="23"/>
      <c r="I770" s="36"/>
      <c r="J770" s="36"/>
      <c r="K770" s="23"/>
      <c r="L770" s="36"/>
      <c r="M770" s="36"/>
      <c r="N770" s="23"/>
      <c r="O770" s="36"/>
      <c r="P770" s="36"/>
      <c r="Q770" s="36"/>
      <c r="R770" s="36"/>
      <c r="S770" s="36"/>
      <c r="T770" s="36"/>
      <c r="U770" s="36"/>
      <c r="V770" s="36"/>
      <c r="W770" s="23"/>
      <c r="X770" s="36"/>
      <c r="Y770" s="36"/>
      <c r="Z770" s="23"/>
      <c r="AA770" s="36"/>
      <c r="AB770" s="36"/>
      <c r="AC770" s="23"/>
      <c r="AD770" s="36"/>
      <c r="AE770" s="36"/>
      <c r="AF770" s="23"/>
    </row>
    <row r="771" spans="1:32" x14ac:dyDescent="0.25">
      <c r="A771" s="23"/>
      <c r="B771" s="23"/>
      <c r="C771" s="36"/>
      <c r="D771" s="36"/>
      <c r="E771" s="23"/>
      <c r="F771" s="36"/>
      <c r="G771" s="36"/>
      <c r="H771" s="23"/>
      <c r="I771" s="36"/>
      <c r="J771" s="36"/>
      <c r="K771" s="23"/>
      <c r="L771" s="36"/>
      <c r="M771" s="36"/>
      <c r="N771" s="23"/>
      <c r="O771" s="36"/>
      <c r="P771" s="36"/>
      <c r="Q771" s="36"/>
      <c r="R771" s="36"/>
      <c r="S771" s="36"/>
      <c r="T771" s="36"/>
      <c r="U771" s="36"/>
      <c r="V771" s="36"/>
      <c r="W771" s="23"/>
      <c r="X771" s="36"/>
      <c r="Y771" s="36"/>
      <c r="Z771" s="23"/>
      <c r="AA771" s="36"/>
      <c r="AB771" s="36"/>
      <c r="AC771" s="23"/>
      <c r="AD771" s="36"/>
      <c r="AE771" s="36"/>
      <c r="AF771" s="23"/>
    </row>
    <row r="772" spans="1:32" x14ac:dyDescent="0.25">
      <c r="A772" s="23"/>
      <c r="B772" s="23"/>
      <c r="C772" s="36"/>
      <c r="D772" s="36"/>
      <c r="E772" s="23"/>
      <c r="F772" s="36"/>
      <c r="G772" s="36"/>
      <c r="H772" s="23"/>
      <c r="I772" s="36"/>
      <c r="J772" s="36"/>
      <c r="K772" s="23"/>
      <c r="L772" s="36"/>
      <c r="M772" s="36"/>
      <c r="N772" s="23"/>
      <c r="O772" s="36"/>
      <c r="P772" s="36"/>
      <c r="Q772" s="36"/>
      <c r="R772" s="36"/>
      <c r="S772" s="36"/>
      <c r="T772" s="36"/>
      <c r="U772" s="36"/>
      <c r="V772" s="36"/>
      <c r="W772" s="23"/>
      <c r="X772" s="36"/>
      <c r="Y772" s="36"/>
      <c r="Z772" s="23"/>
      <c r="AA772" s="36"/>
      <c r="AB772" s="36"/>
      <c r="AC772" s="23"/>
      <c r="AD772" s="36"/>
      <c r="AE772" s="36"/>
      <c r="AF772" s="23"/>
    </row>
    <row r="773" spans="1:32" x14ac:dyDescent="0.25">
      <c r="A773" s="23"/>
      <c r="B773" s="23"/>
      <c r="C773" s="36"/>
      <c r="D773" s="36"/>
      <c r="E773" s="23"/>
      <c r="F773" s="36"/>
      <c r="G773" s="36"/>
      <c r="H773" s="23"/>
      <c r="I773" s="36"/>
      <c r="J773" s="36"/>
      <c r="K773" s="23"/>
      <c r="L773" s="36"/>
      <c r="M773" s="36"/>
      <c r="N773" s="23"/>
      <c r="O773" s="36"/>
      <c r="P773" s="36"/>
      <c r="Q773" s="36"/>
      <c r="R773" s="36"/>
      <c r="S773" s="36"/>
      <c r="T773" s="36"/>
      <c r="U773" s="36"/>
      <c r="V773" s="36"/>
      <c r="W773" s="23"/>
      <c r="X773" s="36"/>
      <c r="Y773" s="36"/>
      <c r="Z773" s="23"/>
      <c r="AA773" s="36"/>
      <c r="AB773" s="36"/>
      <c r="AC773" s="23"/>
      <c r="AD773" s="36"/>
      <c r="AE773" s="36"/>
      <c r="AF773" s="23"/>
    </row>
    <row r="774" spans="1:32" x14ac:dyDescent="0.25">
      <c r="A774" s="23"/>
      <c r="B774" s="23"/>
      <c r="C774" s="36"/>
      <c r="D774" s="36"/>
      <c r="E774" s="23"/>
      <c r="F774" s="36"/>
      <c r="G774" s="36"/>
      <c r="H774" s="23"/>
      <c r="I774" s="36"/>
      <c r="J774" s="36"/>
      <c r="K774" s="23"/>
      <c r="L774" s="36"/>
      <c r="M774" s="36"/>
      <c r="N774" s="23"/>
      <c r="O774" s="36"/>
      <c r="P774" s="36"/>
      <c r="Q774" s="36"/>
      <c r="R774" s="36"/>
      <c r="S774" s="36"/>
      <c r="T774" s="36"/>
      <c r="U774" s="36"/>
      <c r="V774" s="36"/>
      <c r="W774" s="23"/>
      <c r="X774" s="36"/>
      <c r="Y774" s="36"/>
      <c r="Z774" s="23"/>
      <c r="AA774" s="36"/>
      <c r="AB774" s="36"/>
      <c r="AC774" s="23"/>
      <c r="AD774" s="36"/>
      <c r="AE774" s="36"/>
      <c r="AF774" s="23"/>
    </row>
    <row r="775" spans="1:32" x14ac:dyDescent="0.25">
      <c r="A775" s="23"/>
      <c r="B775" s="23"/>
      <c r="C775" s="36"/>
      <c r="D775" s="36"/>
      <c r="E775" s="23"/>
      <c r="F775" s="36"/>
      <c r="G775" s="36"/>
      <c r="H775" s="23"/>
      <c r="I775" s="36"/>
      <c r="J775" s="36"/>
      <c r="K775" s="23"/>
      <c r="L775" s="36"/>
      <c r="M775" s="36"/>
      <c r="N775" s="23"/>
      <c r="O775" s="36"/>
      <c r="P775" s="36"/>
      <c r="Q775" s="36"/>
      <c r="R775" s="36"/>
      <c r="S775" s="36"/>
      <c r="T775" s="36"/>
      <c r="U775" s="36"/>
      <c r="V775" s="36"/>
      <c r="W775" s="23"/>
      <c r="X775" s="36"/>
      <c r="Y775" s="36"/>
      <c r="Z775" s="23"/>
      <c r="AA775" s="36"/>
      <c r="AB775" s="36"/>
      <c r="AC775" s="23"/>
      <c r="AD775" s="36"/>
      <c r="AE775" s="36"/>
      <c r="AF775" s="23"/>
    </row>
    <row r="776" spans="1:32" x14ac:dyDescent="0.25">
      <c r="A776" s="23"/>
      <c r="B776" s="23"/>
      <c r="C776" s="36"/>
      <c r="D776" s="36"/>
      <c r="E776" s="23"/>
      <c r="F776" s="36"/>
      <c r="G776" s="36"/>
      <c r="H776" s="23"/>
      <c r="I776" s="36"/>
      <c r="J776" s="36"/>
      <c r="K776" s="23"/>
      <c r="L776" s="36"/>
      <c r="M776" s="36"/>
      <c r="N776" s="23"/>
      <c r="O776" s="36"/>
      <c r="P776" s="36"/>
      <c r="Q776" s="36"/>
      <c r="R776" s="36"/>
      <c r="S776" s="36"/>
      <c r="T776" s="36"/>
      <c r="U776" s="36"/>
      <c r="V776" s="36"/>
      <c r="W776" s="23"/>
      <c r="X776" s="36"/>
      <c r="Y776" s="36"/>
      <c r="Z776" s="23"/>
      <c r="AA776" s="36"/>
      <c r="AB776" s="36"/>
      <c r="AC776" s="23"/>
      <c r="AD776" s="36"/>
      <c r="AE776" s="36"/>
      <c r="AF776" s="23"/>
    </row>
    <row r="777" spans="1:32" x14ac:dyDescent="0.25">
      <c r="A777" s="23"/>
      <c r="B777" s="23"/>
      <c r="C777" s="36"/>
      <c r="D777" s="36"/>
      <c r="E777" s="23"/>
      <c r="F777" s="36"/>
      <c r="G777" s="36"/>
      <c r="H777" s="23"/>
      <c r="I777" s="36"/>
      <c r="J777" s="36"/>
      <c r="K777" s="23"/>
      <c r="L777" s="36"/>
      <c r="M777" s="36"/>
      <c r="N777" s="23"/>
      <c r="O777" s="36"/>
      <c r="P777" s="36"/>
      <c r="Q777" s="36"/>
      <c r="R777" s="36"/>
      <c r="S777" s="36"/>
      <c r="T777" s="36"/>
      <c r="U777" s="36"/>
      <c r="V777" s="36"/>
      <c r="W777" s="23"/>
      <c r="X777" s="36"/>
      <c r="Y777" s="36"/>
      <c r="Z777" s="23"/>
      <c r="AA777" s="36"/>
      <c r="AB777" s="36"/>
      <c r="AC777" s="23"/>
      <c r="AD777" s="36"/>
      <c r="AE777" s="36"/>
      <c r="AF777" s="23"/>
    </row>
    <row r="778" spans="1:32" x14ac:dyDescent="0.25">
      <c r="A778" s="23"/>
      <c r="B778" s="23"/>
      <c r="C778" s="36"/>
      <c r="D778" s="36"/>
      <c r="E778" s="23"/>
      <c r="F778" s="36"/>
      <c r="G778" s="36"/>
      <c r="H778" s="23"/>
      <c r="I778" s="36"/>
      <c r="J778" s="36"/>
      <c r="K778" s="23"/>
      <c r="L778" s="36"/>
      <c r="M778" s="36"/>
      <c r="N778" s="23"/>
      <c r="O778" s="36"/>
      <c r="P778" s="36"/>
      <c r="Q778" s="36"/>
      <c r="R778" s="36"/>
      <c r="S778" s="36"/>
      <c r="T778" s="36"/>
      <c r="U778" s="36"/>
      <c r="V778" s="36"/>
      <c r="W778" s="23"/>
      <c r="X778" s="36"/>
      <c r="Y778" s="36"/>
      <c r="Z778" s="23"/>
      <c r="AA778" s="36"/>
      <c r="AB778" s="36"/>
      <c r="AC778" s="23"/>
      <c r="AD778" s="36"/>
      <c r="AE778" s="36"/>
      <c r="AF778" s="23"/>
    </row>
    <row r="779" spans="1:32" x14ac:dyDescent="0.25">
      <c r="A779" s="23"/>
      <c r="B779" s="23"/>
      <c r="C779" s="36"/>
      <c r="D779" s="36"/>
      <c r="E779" s="23"/>
      <c r="F779" s="36"/>
      <c r="G779" s="36"/>
      <c r="H779" s="23"/>
      <c r="I779" s="36"/>
      <c r="J779" s="36"/>
      <c r="K779" s="23"/>
      <c r="L779" s="36"/>
      <c r="M779" s="36"/>
      <c r="N779" s="23"/>
      <c r="O779" s="36"/>
      <c r="P779" s="36"/>
      <c r="Q779" s="36"/>
      <c r="R779" s="36"/>
      <c r="S779" s="36"/>
      <c r="T779" s="36"/>
      <c r="U779" s="36"/>
      <c r="V779" s="36"/>
      <c r="W779" s="23"/>
      <c r="X779" s="36"/>
      <c r="Y779" s="36"/>
      <c r="Z779" s="23"/>
      <c r="AA779" s="36"/>
      <c r="AB779" s="36"/>
      <c r="AC779" s="23"/>
      <c r="AD779" s="36"/>
      <c r="AE779" s="36"/>
      <c r="AF779" s="23"/>
    </row>
    <row r="780" spans="1:32" x14ac:dyDescent="0.25">
      <c r="A780" s="23"/>
      <c r="B780" s="23"/>
      <c r="C780" s="36"/>
      <c r="D780" s="36"/>
      <c r="E780" s="23"/>
      <c r="F780" s="36"/>
      <c r="G780" s="36"/>
      <c r="H780" s="23"/>
      <c r="I780" s="36"/>
      <c r="J780" s="36"/>
      <c r="K780" s="23"/>
      <c r="L780" s="36"/>
      <c r="M780" s="36"/>
      <c r="N780" s="23"/>
      <c r="O780" s="36"/>
      <c r="P780" s="36"/>
      <c r="Q780" s="36"/>
      <c r="R780" s="36"/>
      <c r="S780" s="36"/>
      <c r="T780" s="36"/>
      <c r="U780" s="36"/>
      <c r="V780" s="36"/>
      <c r="W780" s="23"/>
      <c r="X780" s="36"/>
      <c r="Y780" s="36"/>
      <c r="Z780" s="23"/>
      <c r="AA780" s="36"/>
      <c r="AB780" s="36"/>
      <c r="AC780" s="23"/>
      <c r="AD780" s="36"/>
      <c r="AE780" s="36"/>
      <c r="AF780" s="23"/>
    </row>
    <row r="781" spans="1:32" x14ac:dyDescent="0.25">
      <c r="A781" s="23"/>
      <c r="B781" s="23"/>
      <c r="C781" s="36"/>
      <c r="D781" s="36"/>
      <c r="E781" s="23"/>
      <c r="F781" s="36"/>
      <c r="G781" s="36"/>
      <c r="H781" s="23"/>
      <c r="I781" s="36"/>
      <c r="J781" s="36"/>
      <c r="K781" s="23"/>
      <c r="L781" s="36"/>
      <c r="M781" s="36"/>
      <c r="N781" s="23"/>
      <c r="O781" s="36"/>
      <c r="P781" s="36"/>
      <c r="Q781" s="36"/>
      <c r="R781" s="36"/>
      <c r="S781" s="36"/>
      <c r="T781" s="36"/>
      <c r="U781" s="36"/>
      <c r="V781" s="36"/>
      <c r="W781" s="23"/>
      <c r="X781" s="36"/>
      <c r="Y781" s="36"/>
      <c r="Z781" s="23"/>
      <c r="AA781" s="36"/>
      <c r="AB781" s="36"/>
      <c r="AC781" s="23"/>
      <c r="AD781" s="36"/>
      <c r="AE781" s="36"/>
      <c r="AF781" s="23"/>
    </row>
    <row r="782" spans="1:32" x14ac:dyDescent="0.25">
      <c r="A782" s="23"/>
      <c r="B782" s="23"/>
      <c r="C782" s="36"/>
      <c r="D782" s="36"/>
      <c r="E782" s="23"/>
      <c r="F782" s="36"/>
      <c r="G782" s="36"/>
      <c r="H782" s="23"/>
      <c r="I782" s="36"/>
      <c r="J782" s="36"/>
      <c r="K782" s="23"/>
      <c r="L782" s="36"/>
      <c r="M782" s="36"/>
      <c r="N782" s="23"/>
      <c r="O782" s="36"/>
      <c r="P782" s="36"/>
      <c r="Q782" s="36"/>
      <c r="R782" s="36"/>
      <c r="S782" s="36"/>
      <c r="T782" s="36"/>
      <c r="U782" s="36"/>
      <c r="V782" s="36"/>
      <c r="W782" s="23"/>
      <c r="X782" s="36"/>
      <c r="Y782" s="36"/>
      <c r="Z782" s="23"/>
      <c r="AA782" s="36"/>
      <c r="AB782" s="36"/>
      <c r="AC782" s="23"/>
      <c r="AD782" s="36"/>
      <c r="AE782" s="36"/>
      <c r="AF782" s="23"/>
    </row>
    <row r="783" spans="1:32" x14ac:dyDescent="0.25">
      <c r="A783" s="23"/>
      <c r="B783" s="23"/>
      <c r="C783" s="36"/>
      <c r="D783" s="36"/>
      <c r="E783" s="23"/>
      <c r="F783" s="36"/>
      <c r="G783" s="36"/>
      <c r="H783" s="23"/>
      <c r="I783" s="36"/>
      <c r="J783" s="36"/>
      <c r="K783" s="23"/>
      <c r="L783" s="36"/>
      <c r="M783" s="36"/>
      <c r="N783" s="23"/>
      <c r="O783" s="36"/>
      <c r="P783" s="36"/>
      <c r="Q783" s="36"/>
      <c r="R783" s="36"/>
      <c r="S783" s="36"/>
      <c r="T783" s="36"/>
      <c r="U783" s="36"/>
      <c r="V783" s="36"/>
      <c r="W783" s="23"/>
      <c r="X783" s="36"/>
      <c r="Y783" s="36"/>
      <c r="Z783" s="23"/>
      <c r="AA783" s="36"/>
      <c r="AB783" s="36"/>
      <c r="AC783" s="23"/>
      <c r="AD783" s="36"/>
      <c r="AE783" s="36"/>
      <c r="AF783" s="23"/>
    </row>
    <row r="784" spans="1:32" x14ac:dyDescent="0.25">
      <c r="A784" s="23"/>
      <c r="B784" s="23"/>
      <c r="C784" s="36"/>
      <c r="D784" s="36"/>
      <c r="E784" s="23"/>
      <c r="F784" s="36"/>
      <c r="G784" s="36"/>
      <c r="H784" s="23"/>
      <c r="I784" s="36"/>
      <c r="J784" s="36"/>
      <c r="K784" s="23"/>
      <c r="L784" s="36"/>
      <c r="M784" s="36"/>
      <c r="N784" s="23"/>
      <c r="O784" s="36"/>
      <c r="P784" s="36"/>
      <c r="Q784" s="36"/>
      <c r="R784" s="36"/>
      <c r="S784" s="36"/>
      <c r="T784" s="36"/>
      <c r="U784" s="36"/>
      <c r="V784" s="36"/>
      <c r="W784" s="23"/>
      <c r="X784" s="36"/>
      <c r="Y784" s="36"/>
      <c r="Z784" s="23"/>
      <c r="AA784" s="36"/>
      <c r="AB784" s="36"/>
      <c r="AC784" s="23"/>
      <c r="AD784" s="36"/>
      <c r="AE784" s="36"/>
      <c r="AF784" s="23"/>
    </row>
    <row r="785" spans="1:32" x14ac:dyDescent="0.25">
      <c r="A785" s="23"/>
      <c r="B785" s="23"/>
      <c r="C785" s="36"/>
      <c r="D785" s="36"/>
      <c r="E785" s="23"/>
      <c r="F785" s="36"/>
      <c r="G785" s="36"/>
      <c r="H785" s="23"/>
      <c r="I785" s="36"/>
      <c r="J785" s="36"/>
      <c r="K785" s="23"/>
      <c r="L785" s="36"/>
      <c r="M785" s="36"/>
      <c r="N785" s="23"/>
      <c r="O785" s="36"/>
      <c r="P785" s="36"/>
      <c r="Q785" s="36"/>
      <c r="R785" s="36"/>
      <c r="S785" s="36"/>
      <c r="T785" s="36"/>
      <c r="U785" s="36"/>
      <c r="V785" s="36"/>
      <c r="W785" s="23"/>
      <c r="X785" s="36"/>
      <c r="Y785" s="36"/>
      <c r="Z785" s="23"/>
      <c r="AA785" s="36"/>
      <c r="AB785" s="36"/>
      <c r="AC785" s="23"/>
      <c r="AD785" s="36"/>
      <c r="AE785" s="36"/>
      <c r="AF785" s="23"/>
    </row>
    <row r="786" spans="1:32" x14ac:dyDescent="0.25">
      <c r="A786" s="23"/>
      <c r="B786" s="23"/>
      <c r="C786" s="36"/>
      <c r="D786" s="36"/>
      <c r="E786" s="23"/>
      <c r="F786" s="36"/>
      <c r="G786" s="36"/>
      <c r="H786" s="23"/>
      <c r="I786" s="36"/>
      <c r="J786" s="36"/>
      <c r="K786" s="23"/>
      <c r="L786" s="36"/>
      <c r="M786" s="36"/>
      <c r="N786" s="23"/>
      <c r="O786" s="36"/>
      <c r="P786" s="36"/>
      <c r="Q786" s="36"/>
      <c r="R786" s="36"/>
      <c r="S786" s="36"/>
      <c r="T786" s="36"/>
      <c r="U786" s="36"/>
      <c r="V786" s="36"/>
      <c r="W786" s="23"/>
      <c r="X786" s="36"/>
      <c r="Y786" s="36"/>
      <c r="Z786" s="23"/>
      <c r="AA786" s="36"/>
      <c r="AB786" s="36"/>
      <c r="AC786" s="23"/>
      <c r="AD786" s="36"/>
      <c r="AE786" s="36"/>
      <c r="AF786" s="23"/>
    </row>
    <row r="787" spans="1:32" x14ac:dyDescent="0.25">
      <c r="A787" s="23"/>
      <c r="B787" s="23"/>
      <c r="C787" s="36"/>
      <c r="D787" s="36"/>
      <c r="E787" s="23"/>
      <c r="F787" s="36"/>
      <c r="G787" s="36"/>
      <c r="H787" s="23"/>
      <c r="I787" s="36"/>
      <c r="J787" s="36"/>
      <c r="K787" s="23"/>
      <c r="L787" s="36"/>
      <c r="M787" s="36"/>
      <c r="N787" s="23"/>
      <c r="O787" s="36"/>
      <c r="P787" s="36"/>
      <c r="Q787" s="36"/>
      <c r="R787" s="36"/>
      <c r="S787" s="36"/>
      <c r="T787" s="36"/>
      <c r="U787" s="36"/>
      <c r="V787" s="36"/>
      <c r="W787" s="23"/>
      <c r="X787" s="36"/>
      <c r="Y787" s="36"/>
      <c r="Z787" s="23"/>
      <c r="AA787" s="36"/>
      <c r="AB787" s="36"/>
      <c r="AC787" s="23"/>
      <c r="AD787" s="36"/>
      <c r="AE787" s="36"/>
      <c r="AF787" s="23"/>
    </row>
    <row r="788" spans="1:32" x14ac:dyDescent="0.25">
      <c r="A788" s="23"/>
      <c r="B788" s="23"/>
      <c r="C788" s="36"/>
      <c r="D788" s="36"/>
      <c r="E788" s="23"/>
      <c r="F788" s="36"/>
      <c r="G788" s="36"/>
      <c r="H788" s="23"/>
      <c r="I788" s="36"/>
      <c r="J788" s="36"/>
      <c r="K788" s="23"/>
      <c r="L788" s="36"/>
      <c r="M788" s="36"/>
      <c r="N788" s="23"/>
      <c r="O788" s="36"/>
      <c r="P788" s="36"/>
      <c r="Q788" s="36"/>
      <c r="R788" s="36"/>
      <c r="S788" s="36"/>
      <c r="T788" s="36"/>
      <c r="U788" s="36"/>
      <c r="V788" s="36"/>
      <c r="W788" s="23"/>
      <c r="X788" s="36"/>
      <c r="Y788" s="36"/>
      <c r="Z788" s="23"/>
      <c r="AA788" s="36"/>
      <c r="AB788" s="36"/>
      <c r="AC788" s="23"/>
      <c r="AD788" s="36"/>
      <c r="AE788" s="36"/>
      <c r="AF788" s="23"/>
    </row>
    <row r="789" spans="1:32" x14ac:dyDescent="0.25">
      <c r="A789" s="23"/>
      <c r="B789" s="23"/>
      <c r="C789" s="36"/>
      <c r="D789" s="36"/>
      <c r="E789" s="23"/>
      <c r="F789" s="36"/>
      <c r="G789" s="36"/>
      <c r="H789" s="23"/>
      <c r="I789" s="36"/>
      <c r="J789" s="36"/>
      <c r="K789" s="23"/>
      <c r="L789" s="36"/>
      <c r="M789" s="36"/>
      <c r="N789" s="23"/>
      <c r="O789" s="36"/>
      <c r="P789" s="36"/>
      <c r="Q789" s="36"/>
      <c r="R789" s="36"/>
      <c r="S789" s="36"/>
      <c r="T789" s="36"/>
      <c r="U789" s="36"/>
      <c r="V789" s="36"/>
      <c r="W789" s="23"/>
      <c r="X789" s="36"/>
      <c r="Y789" s="36"/>
      <c r="Z789" s="23"/>
      <c r="AA789" s="36"/>
      <c r="AB789" s="36"/>
      <c r="AC789" s="23"/>
      <c r="AD789" s="36"/>
      <c r="AE789" s="36"/>
      <c r="AF789" s="23"/>
    </row>
    <row r="790" spans="1:32" x14ac:dyDescent="0.25">
      <c r="A790" s="23"/>
      <c r="B790" s="23"/>
      <c r="C790" s="36"/>
      <c r="D790" s="36"/>
      <c r="E790" s="23"/>
      <c r="F790" s="36"/>
      <c r="G790" s="36"/>
      <c r="H790" s="23"/>
      <c r="I790" s="36"/>
      <c r="J790" s="36"/>
      <c r="K790" s="23"/>
      <c r="L790" s="36"/>
      <c r="M790" s="36"/>
      <c r="N790" s="23"/>
      <c r="O790" s="36"/>
      <c r="P790" s="36"/>
      <c r="Q790" s="36"/>
      <c r="R790" s="36"/>
      <c r="S790" s="36"/>
      <c r="T790" s="36"/>
      <c r="U790" s="36"/>
      <c r="V790" s="36"/>
      <c r="W790" s="23"/>
      <c r="X790" s="36"/>
      <c r="Y790" s="36"/>
      <c r="Z790" s="23"/>
      <c r="AA790" s="36"/>
      <c r="AB790" s="36"/>
      <c r="AC790" s="23"/>
      <c r="AD790" s="36"/>
      <c r="AE790" s="36"/>
      <c r="AF790" s="23"/>
    </row>
    <row r="791" spans="1:32" x14ac:dyDescent="0.25">
      <c r="A791" s="23"/>
      <c r="B791" s="23"/>
      <c r="C791" s="36"/>
      <c r="D791" s="36"/>
      <c r="E791" s="23"/>
      <c r="F791" s="36"/>
      <c r="G791" s="36"/>
      <c r="H791" s="23"/>
      <c r="I791" s="36"/>
      <c r="J791" s="36"/>
      <c r="K791" s="23"/>
      <c r="L791" s="36"/>
      <c r="M791" s="36"/>
      <c r="N791" s="23"/>
      <c r="O791" s="36"/>
      <c r="P791" s="36"/>
      <c r="Q791" s="36"/>
      <c r="R791" s="36"/>
      <c r="S791" s="36"/>
      <c r="T791" s="36"/>
      <c r="U791" s="36"/>
      <c r="V791" s="36"/>
      <c r="W791" s="23"/>
      <c r="X791" s="36"/>
      <c r="Y791" s="36"/>
      <c r="Z791" s="23"/>
      <c r="AA791" s="36"/>
      <c r="AB791" s="36"/>
      <c r="AC791" s="23"/>
      <c r="AD791" s="36"/>
      <c r="AE791" s="36"/>
      <c r="AF791" s="23"/>
    </row>
    <row r="792" spans="1:32" x14ac:dyDescent="0.25">
      <c r="A792" s="23"/>
      <c r="B792" s="23"/>
      <c r="C792" s="36"/>
      <c r="D792" s="36"/>
      <c r="E792" s="23"/>
      <c r="F792" s="36"/>
      <c r="G792" s="36"/>
      <c r="H792" s="23"/>
      <c r="I792" s="36"/>
      <c r="J792" s="36"/>
      <c r="K792" s="23"/>
      <c r="L792" s="36"/>
      <c r="M792" s="36"/>
      <c r="N792" s="23"/>
      <c r="O792" s="36"/>
      <c r="P792" s="36"/>
      <c r="Q792" s="36"/>
      <c r="R792" s="36"/>
      <c r="S792" s="36"/>
      <c r="T792" s="36"/>
      <c r="U792" s="36"/>
      <c r="V792" s="36"/>
      <c r="W792" s="23"/>
      <c r="X792" s="36"/>
      <c r="Y792" s="36"/>
      <c r="Z792" s="23"/>
      <c r="AA792" s="36"/>
      <c r="AB792" s="36"/>
      <c r="AC792" s="23"/>
      <c r="AD792" s="36"/>
      <c r="AE792" s="36"/>
      <c r="AF792" s="23"/>
    </row>
    <row r="793" spans="1:32" x14ac:dyDescent="0.25">
      <c r="A793" s="23"/>
      <c r="B793" s="23"/>
      <c r="C793" s="36"/>
      <c r="D793" s="36"/>
      <c r="E793" s="23"/>
      <c r="F793" s="36"/>
      <c r="G793" s="36"/>
      <c r="H793" s="23"/>
      <c r="I793" s="36"/>
      <c r="J793" s="36"/>
      <c r="K793" s="23"/>
      <c r="L793" s="36"/>
      <c r="M793" s="36"/>
      <c r="N793" s="23"/>
      <c r="O793" s="36"/>
      <c r="P793" s="36"/>
      <c r="Q793" s="36"/>
      <c r="R793" s="36"/>
      <c r="S793" s="36"/>
      <c r="T793" s="36"/>
      <c r="U793" s="36"/>
      <c r="V793" s="36"/>
      <c r="W793" s="23"/>
      <c r="X793" s="36"/>
      <c r="Y793" s="36"/>
      <c r="Z793" s="23"/>
      <c r="AA793" s="36"/>
      <c r="AB793" s="36"/>
      <c r="AC793" s="23"/>
      <c r="AD793" s="36"/>
      <c r="AE793" s="36"/>
      <c r="AF793" s="23"/>
    </row>
    <row r="794" spans="1:32" x14ac:dyDescent="0.25">
      <c r="A794" s="23"/>
      <c r="B794" s="23"/>
      <c r="C794" s="36"/>
      <c r="D794" s="36"/>
      <c r="E794" s="23"/>
      <c r="F794" s="36"/>
      <c r="G794" s="36"/>
      <c r="H794" s="23"/>
      <c r="I794" s="36"/>
      <c r="J794" s="36"/>
      <c r="K794" s="23"/>
      <c r="L794" s="36"/>
      <c r="M794" s="36"/>
      <c r="N794" s="23"/>
      <c r="O794" s="36"/>
      <c r="P794" s="36"/>
      <c r="Q794" s="36"/>
      <c r="R794" s="36"/>
      <c r="S794" s="36"/>
      <c r="T794" s="36"/>
      <c r="U794" s="36"/>
      <c r="V794" s="36"/>
      <c r="W794" s="23"/>
      <c r="X794" s="36"/>
      <c r="Y794" s="36"/>
      <c r="Z794" s="23"/>
      <c r="AA794" s="36"/>
      <c r="AB794" s="36"/>
      <c r="AC794" s="23"/>
      <c r="AD794" s="36"/>
      <c r="AE794" s="36"/>
      <c r="AF794" s="23"/>
    </row>
    <row r="795" spans="1:32" x14ac:dyDescent="0.25">
      <c r="A795" s="23"/>
      <c r="B795" s="23"/>
      <c r="C795" s="36"/>
      <c r="D795" s="36"/>
      <c r="E795" s="23"/>
      <c r="F795" s="36"/>
      <c r="G795" s="36"/>
      <c r="H795" s="23"/>
      <c r="I795" s="36"/>
      <c r="J795" s="36"/>
      <c r="K795" s="23"/>
      <c r="L795" s="36"/>
      <c r="M795" s="36"/>
      <c r="N795" s="23"/>
      <c r="O795" s="36"/>
      <c r="P795" s="36"/>
      <c r="Q795" s="36"/>
      <c r="R795" s="36"/>
      <c r="S795" s="36"/>
      <c r="T795" s="36"/>
      <c r="U795" s="36"/>
      <c r="V795" s="36"/>
      <c r="W795" s="23"/>
      <c r="X795" s="36"/>
      <c r="Y795" s="36"/>
      <c r="Z795" s="23"/>
      <c r="AA795" s="36"/>
      <c r="AB795" s="36"/>
      <c r="AC795" s="23"/>
      <c r="AD795" s="36"/>
      <c r="AE795" s="36"/>
      <c r="AF795" s="23"/>
    </row>
    <row r="796" spans="1:32" x14ac:dyDescent="0.25">
      <c r="A796" s="23"/>
      <c r="B796" s="23"/>
      <c r="C796" s="36"/>
      <c r="D796" s="36"/>
      <c r="E796" s="23"/>
      <c r="F796" s="36"/>
      <c r="G796" s="36"/>
      <c r="H796" s="23"/>
      <c r="I796" s="36"/>
      <c r="J796" s="36"/>
      <c r="K796" s="23"/>
      <c r="L796" s="36"/>
      <c r="M796" s="36"/>
      <c r="N796" s="23"/>
      <c r="O796" s="36"/>
      <c r="P796" s="36"/>
      <c r="Q796" s="36"/>
      <c r="R796" s="36"/>
      <c r="S796" s="36"/>
      <c r="T796" s="36"/>
      <c r="U796" s="36"/>
      <c r="V796" s="36"/>
      <c r="W796" s="23"/>
      <c r="X796" s="36"/>
      <c r="Y796" s="36"/>
      <c r="Z796" s="23"/>
      <c r="AA796" s="36"/>
      <c r="AB796" s="36"/>
      <c r="AC796" s="23"/>
      <c r="AD796" s="36"/>
      <c r="AE796" s="36"/>
      <c r="AF796" s="23"/>
    </row>
    <row r="797" spans="1:32" x14ac:dyDescent="0.25">
      <c r="A797" s="23"/>
      <c r="B797" s="23"/>
      <c r="C797" s="36"/>
      <c r="D797" s="36"/>
      <c r="E797" s="23"/>
      <c r="F797" s="36"/>
      <c r="G797" s="36"/>
      <c r="H797" s="23"/>
      <c r="I797" s="36"/>
      <c r="J797" s="36"/>
      <c r="K797" s="23"/>
      <c r="L797" s="36"/>
      <c r="M797" s="36"/>
      <c r="N797" s="23"/>
      <c r="O797" s="36"/>
      <c r="P797" s="36"/>
      <c r="Q797" s="36"/>
      <c r="R797" s="36"/>
      <c r="S797" s="36"/>
      <c r="T797" s="36"/>
      <c r="U797" s="36"/>
      <c r="V797" s="36"/>
      <c r="W797" s="23"/>
      <c r="X797" s="36"/>
      <c r="Y797" s="36"/>
      <c r="Z797" s="23"/>
      <c r="AA797" s="36"/>
      <c r="AB797" s="36"/>
      <c r="AC797" s="23"/>
      <c r="AD797" s="36"/>
      <c r="AE797" s="36"/>
      <c r="AF797" s="23"/>
    </row>
    <row r="798" spans="1:32" x14ac:dyDescent="0.25">
      <c r="A798" s="23"/>
      <c r="B798" s="23"/>
      <c r="C798" s="36"/>
      <c r="D798" s="36"/>
      <c r="E798" s="23"/>
      <c r="F798" s="36"/>
      <c r="G798" s="36"/>
      <c r="H798" s="23"/>
      <c r="I798" s="36"/>
      <c r="J798" s="36"/>
      <c r="K798" s="23"/>
      <c r="L798" s="36"/>
      <c r="M798" s="36"/>
      <c r="N798" s="23"/>
      <c r="O798" s="36"/>
      <c r="P798" s="36"/>
      <c r="Q798" s="36"/>
      <c r="R798" s="36"/>
      <c r="S798" s="36"/>
      <c r="T798" s="36"/>
      <c r="U798" s="36"/>
      <c r="V798" s="36"/>
      <c r="W798" s="23"/>
      <c r="X798" s="36"/>
      <c r="Y798" s="36"/>
      <c r="Z798" s="23"/>
      <c r="AA798" s="36"/>
      <c r="AB798" s="36"/>
      <c r="AC798" s="23"/>
      <c r="AD798" s="36"/>
      <c r="AE798" s="36"/>
      <c r="AF798" s="23"/>
    </row>
    <row r="799" spans="1:32" x14ac:dyDescent="0.25">
      <c r="A799" s="23"/>
      <c r="B799" s="23"/>
      <c r="C799" s="36"/>
      <c r="D799" s="36"/>
      <c r="E799" s="23"/>
      <c r="F799" s="36"/>
      <c r="G799" s="36"/>
      <c r="H799" s="23"/>
      <c r="I799" s="36"/>
      <c r="J799" s="36"/>
      <c r="K799" s="23"/>
      <c r="L799" s="36"/>
      <c r="M799" s="36"/>
      <c r="N799" s="23"/>
      <c r="O799" s="36"/>
      <c r="P799" s="36"/>
      <c r="Q799" s="36"/>
      <c r="R799" s="36"/>
      <c r="S799" s="36"/>
      <c r="T799" s="36"/>
      <c r="U799" s="36"/>
      <c r="V799" s="36"/>
      <c r="W799" s="23"/>
      <c r="X799" s="36"/>
      <c r="Y799" s="36"/>
      <c r="Z799" s="23"/>
      <c r="AA799" s="36"/>
      <c r="AB799" s="36"/>
      <c r="AC799" s="23"/>
      <c r="AD799" s="36"/>
      <c r="AE799" s="36"/>
      <c r="AF799" s="23"/>
    </row>
    <row r="800" spans="1:32" x14ac:dyDescent="0.25">
      <c r="A800" s="23"/>
      <c r="B800" s="23"/>
      <c r="C800" s="36"/>
      <c r="D800" s="36"/>
      <c r="E800" s="23"/>
      <c r="F800" s="36"/>
      <c r="G800" s="36"/>
      <c r="H800" s="23"/>
      <c r="I800" s="36"/>
      <c r="J800" s="36"/>
      <c r="K800" s="23"/>
      <c r="L800" s="36"/>
      <c r="M800" s="36"/>
      <c r="N800" s="23"/>
      <c r="O800" s="36"/>
      <c r="P800" s="36"/>
      <c r="Q800" s="36"/>
      <c r="R800" s="36"/>
      <c r="S800" s="36"/>
      <c r="T800" s="36"/>
      <c r="U800" s="36"/>
      <c r="V800" s="36"/>
      <c r="W800" s="23"/>
      <c r="X800" s="36"/>
      <c r="Y800" s="36"/>
      <c r="Z800" s="23"/>
      <c r="AA800" s="36"/>
      <c r="AB800" s="36"/>
      <c r="AC800" s="23"/>
      <c r="AD800" s="36"/>
      <c r="AE800" s="36"/>
      <c r="AF800" s="23"/>
    </row>
    <row r="801" spans="1:32" x14ac:dyDescent="0.25">
      <c r="A801" s="23"/>
      <c r="B801" s="23"/>
      <c r="C801" s="36"/>
      <c r="D801" s="36"/>
      <c r="E801" s="23"/>
      <c r="F801" s="36"/>
      <c r="G801" s="36"/>
      <c r="H801" s="23"/>
      <c r="I801" s="36"/>
      <c r="J801" s="36"/>
      <c r="K801" s="23"/>
      <c r="L801" s="36"/>
      <c r="M801" s="36"/>
      <c r="N801" s="23"/>
      <c r="O801" s="36"/>
      <c r="P801" s="36"/>
      <c r="Q801" s="36"/>
      <c r="R801" s="36"/>
      <c r="S801" s="36"/>
      <c r="T801" s="36"/>
      <c r="U801" s="36"/>
      <c r="V801" s="36"/>
      <c r="W801" s="23"/>
      <c r="X801" s="36"/>
      <c r="Y801" s="36"/>
      <c r="Z801" s="23"/>
      <c r="AA801" s="36"/>
      <c r="AB801" s="36"/>
      <c r="AC801" s="23"/>
      <c r="AD801" s="36"/>
      <c r="AE801" s="36"/>
      <c r="AF801" s="23"/>
    </row>
    <row r="802" spans="1:32" x14ac:dyDescent="0.25">
      <c r="A802" s="23"/>
      <c r="B802" s="23"/>
      <c r="C802" s="36"/>
      <c r="D802" s="36"/>
      <c r="E802" s="23"/>
      <c r="F802" s="36"/>
      <c r="G802" s="36"/>
      <c r="H802" s="23"/>
      <c r="I802" s="36"/>
      <c r="J802" s="36"/>
      <c r="K802" s="23"/>
      <c r="L802" s="36"/>
      <c r="M802" s="36"/>
      <c r="N802" s="23"/>
      <c r="O802" s="36"/>
      <c r="P802" s="36"/>
      <c r="Q802" s="36"/>
      <c r="R802" s="36"/>
      <c r="S802" s="36"/>
      <c r="T802" s="36"/>
      <c r="U802" s="36"/>
      <c r="V802" s="36"/>
      <c r="W802" s="23"/>
      <c r="X802" s="36"/>
      <c r="Y802" s="36"/>
      <c r="Z802" s="23"/>
      <c r="AA802" s="36"/>
      <c r="AB802" s="36"/>
      <c r="AC802" s="23"/>
      <c r="AD802" s="36"/>
      <c r="AE802" s="36"/>
      <c r="AF802" s="23"/>
    </row>
    <row r="803" spans="1:32" x14ac:dyDescent="0.25">
      <c r="A803" s="23"/>
      <c r="B803" s="23"/>
      <c r="C803" s="36"/>
      <c r="D803" s="36"/>
      <c r="E803" s="23"/>
      <c r="F803" s="36"/>
      <c r="G803" s="36"/>
      <c r="H803" s="23"/>
      <c r="I803" s="36"/>
      <c r="J803" s="36"/>
      <c r="K803" s="23"/>
      <c r="L803" s="36"/>
      <c r="M803" s="36"/>
      <c r="N803" s="23"/>
      <c r="O803" s="36"/>
      <c r="P803" s="36"/>
      <c r="Q803" s="36"/>
      <c r="R803" s="36"/>
      <c r="S803" s="36"/>
      <c r="T803" s="36"/>
      <c r="U803" s="36"/>
      <c r="V803" s="36"/>
      <c r="W803" s="23"/>
      <c r="X803" s="36"/>
      <c r="Y803" s="36"/>
      <c r="Z803" s="23"/>
      <c r="AA803" s="36"/>
      <c r="AB803" s="36"/>
      <c r="AC803" s="23"/>
      <c r="AD803" s="36"/>
      <c r="AE803" s="36"/>
      <c r="AF803" s="23"/>
    </row>
    <row r="804" spans="1:32" x14ac:dyDescent="0.25">
      <c r="A804" s="23"/>
      <c r="B804" s="23"/>
      <c r="C804" s="36"/>
      <c r="D804" s="36"/>
      <c r="E804" s="23"/>
      <c r="F804" s="36"/>
      <c r="G804" s="36"/>
      <c r="H804" s="23"/>
      <c r="I804" s="36"/>
      <c r="J804" s="36"/>
      <c r="K804" s="23"/>
      <c r="L804" s="36"/>
      <c r="M804" s="36"/>
      <c r="N804" s="23"/>
      <c r="O804" s="36"/>
      <c r="P804" s="36"/>
      <c r="Q804" s="36"/>
      <c r="R804" s="36"/>
      <c r="S804" s="36"/>
      <c r="T804" s="36"/>
      <c r="U804" s="36"/>
      <c r="V804" s="36"/>
      <c r="W804" s="23"/>
      <c r="X804" s="36"/>
      <c r="Y804" s="36"/>
      <c r="Z804" s="23"/>
      <c r="AA804" s="36"/>
      <c r="AB804" s="36"/>
      <c r="AC804" s="23"/>
      <c r="AD804" s="36"/>
      <c r="AE804" s="36"/>
      <c r="AF804" s="23"/>
    </row>
    <row r="805" spans="1:32" x14ac:dyDescent="0.25">
      <c r="A805" s="23"/>
      <c r="B805" s="23"/>
      <c r="C805" s="36"/>
      <c r="D805" s="36"/>
      <c r="E805" s="23"/>
      <c r="F805" s="36"/>
      <c r="G805" s="36"/>
      <c r="H805" s="23"/>
      <c r="I805" s="36"/>
      <c r="J805" s="36"/>
      <c r="K805" s="23"/>
      <c r="L805" s="36"/>
      <c r="M805" s="36"/>
      <c r="N805" s="23"/>
      <c r="O805" s="36"/>
      <c r="P805" s="36"/>
      <c r="Q805" s="36"/>
      <c r="R805" s="36"/>
      <c r="S805" s="36"/>
      <c r="T805" s="36"/>
      <c r="U805" s="36"/>
      <c r="V805" s="36"/>
      <c r="W805" s="23"/>
      <c r="X805" s="36"/>
      <c r="Y805" s="36"/>
      <c r="Z805" s="23"/>
      <c r="AA805" s="36"/>
      <c r="AB805" s="36"/>
      <c r="AC805" s="23"/>
      <c r="AD805" s="36"/>
      <c r="AE805" s="36"/>
      <c r="AF805" s="23"/>
    </row>
    <row r="806" spans="1:32" x14ac:dyDescent="0.25">
      <c r="A806" s="23"/>
      <c r="B806" s="23"/>
      <c r="C806" s="36"/>
      <c r="D806" s="36"/>
      <c r="E806" s="23"/>
      <c r="F806" s="36"/>
      <c r="G806" s="36"/>
      <c r="H806" s="23"/>
      <c r="I806" s="36"/>
      <c r="J806" s="36"/>
      <c r="K806" s="23"/>
      <c r="L806" s="36"/>
      <c r="M806" s="36"/>
      <c r="N806" s="23"/>
      <c r="O806" s="36"/>
      <c r="P806" s="36"/>
      <c r="Q806" s="36"/>
      <c r="R806" s="36"/>
      <c r="S806" s="36"/>
      <c r="T806" s="36"/>
      <c r="U806" s="36"/>
      <c r="V806" s="36"/>
      <c r="W806" s="23"/>
      <c r="X806" s="36"/>
      <c r="Y806" s="36"/>
      <c r="Z806" s="23"/>
      <c r="AA806" s="36"/>
      <c r="AB806" s="36"/>
      <c r="AC806" s="23"/>
      <c r="AD806" s="36"/>
      <c r="AE806" s="36"/>
      <c r="AF806" s="23"/>
    </row>
    <row r="807" spans="1:32" x14ac:dyDescent="0.25">
      <c r="A807" s="23"/>
      <c r="B807" s="23"/>
      <c r="C807" s="36"/>
      <c r="D807" s="36"/>
      <c r="E807" s="23"/>
      <c r="F807" s="36"/>
      <c r="G807" s="36"/>
      <c r="H807" s="23"/>
      <c r="I807" s="36"/>
      <c r="J807" s="36"/>
      <c r="K807" s="23"/>
      <c r="L807" s="36"/>
      <c r="M807" s="36"/>
      <c r="N807" s="23"/>
      <c r="O807" s="36"/>
      <c r="P807" s="36"/>
      <c r="Q807" s="36"/>
      <c r="R807" s="36"/>
      <c r="S807" s="36"/>
      <c r="T807" s="36"/>
      <c r="U807" s="36"/>
      <c r="V807" s="36"/>
      <c r="W807" s="23"/>
      <c r="X807" s="36"/>
      <c r="Y807" s="36"/>
      <c r="Z807" s="23"/>
      <c r="AA807" s="36"/>
      <c r="AB807" s="36"/>
      <c r="AC807" s="23"/>
      <c r="AD807" s="36"/>
      <c r="AE807" s="36"/>
      <c r="AF807" s="23"/>
    </row>
    <row r="808" spans="1:32" x14ac:dyDescent="0.25">
      <c r="A808" s="23"/>
      <c r="B808" s="23"/>
      <c r="C808" s="36"/>
      <c r="D808" s="36"/>
      <c r="E808" s="23"/>
      <c r="F808" s="36"/>
      <c r="G808" s="36"/>
      <c r="H808" s="23"/>
      <c r="I808" s="36"/>
      <c r="J808" s="36"/>
      <c r="K808" s="23"/>
      <c r="L808" s="36"/>
      <c r="M808" s="36"/>
      <c r="N808" s="23"/>
      <c r="O808" s="36"/>
      <c r="P808" s="36"/>
      <c r="Q808" s="36"/>
      <c r="R808" s="36"/>
      <c r="S808" s="36"/>
      <c r="T808" s="36"/>
      <c r="U808" s="36"/>
      <c r="V808" s="36"/>
      <c r="W808" s="23"/>
      <c r="X808" s="36"/>
      <c r="Y808" s="36"/>
      <c r="Z808" s="23"/>
      <c r="AA808" s="36"/>
      <c r="AB808" s="36"/>
      <c r="AC808" s="23"/>
      <c r="AD808" s="36"/>
      <c r="AE808" s="36"/>
      <c r="AF808" s="23"/>
    </row>
    <row r="809" spans="1:32" x14ac:dyDescent="0.25">
      <c r="A809" s="23"/>
      <c r="B809" s="23"/>
      <c r="C809" s="36"/>
      <c r="D809" s="36"/>
      <c r="E809" s="23"/>
      <c r="F809" s="36"/>
      <c r="G809" s="36"/>
      <c r="H809" s="23"/>
      <c r="I809" s="36"/>
      <c r="J809" s="36"/>
      <c r="K809" s="23"/>
      <c r="L809" s="36"/>
      <c r="M809" s="36"/>
      <c r="N809" s="23"/>
      <c r="O809" s="36"/>
      <c r="P809" s="36"/>
      <c r="Q809" s="36"/>
      <c r="R809" s="36"/>
      <c r="S809" s="36"/>
      <c r="T809" s="36"/>
      <c r="U809" s="36"/>
      <c r="V809" s="36"/>
      <c r="W809" s="23"/>
      <c r="X809" s="36"/>
      <c r="Y809" s="36"/>
      <c r="Z809" s="23"/>
      <c r="AA809" s="36"/>
      <c r="AB809" s="36"/>
      <c r="AC809" s="23"/>
      <c r="AD809" s="36"/>
      <c r="AE809" s="36"/>
      <c r="AF809" s="23"/>
    </row>
    <row r="810" spans="1:32" x14ac:dyDescent="0.25">
      <c r="A810" s="23"/>
      <c r="B810" s="23"/>
      <c r="C810" s="36"/>
      <c r="D810" s="36"/>
      <c r="E810" s="23"/>
      <c r="F810" s="36"/>
      <c r="G810" s="36"/>
      <c r="H810" s="23"/>
      <c r="I810" s="36"/>
      <c r="J810" s="36"/>
      <c r="K810" s="23"/>
      <c r="L810" s="36"/>
      <c r="M810" s="36"/>
      <c r="N810" s="23"/>
      <c r="O810" s="36"/>
      <c r="P810" s="36"/>
      <c r="Q810" s="36"/>
      <c r="R810" s="36"/>
      <c r="S810" s="36"/>
      <c r="T810" s="36"/>
      <c r="U810" s="36"/>
      <c r="V810" s="36"/>
      <c r="W810" s="23"/>
      <c r="X810" s="36"/>
      <c r="Y810" s="36"/>
      <c r="Z810" s="23"/>
      <c r="AA810" s="36"/>
      <c r="AB810" s="36"/>
      <c r="AC810" s="23"/>
      <c r="AD810" s="36"/>
      <c r="AE810" s="36"/>
      <c r="AF810" s="23"/>
    </row>
    <row r="811" spans="1:32" x14ac:dyDescent="0.25">
      <c r="A811" s="23"/>
      <c r="B811" s="23"/>
      <c r="C811" s="36"/>
      <c r="D811" s="36"/>
      <c r="E811" s="23"/>
      <c r="F811" s="36"/>
      <c r="G811" s="36"/>
      <c r="H811" s="23"/>
      <c r="I811" s="36"/>
      <c r="J811" s="36"/>
      <c r="K811" s="23"/>
      <c r="L811" s="36"/>
      <c r="M811" s="36"/>
      <c r="N811" s="23"/>
      <c r="O811" s="36"/>
      <c r="P811" s="36"/>
      <c r="Q811" s="36"/>
      <c r="R811" s="36"/>
      <c r="S811" s="36"/>
      <c r="T811" s="36"/>
      <c r="U811" s="36"/>
      <c r="V811" s="36"/>
      <c r="W811" s="23"/>
      <c r="X811" s="36"/>
      <c r="Y811" s="36"/>
      <c r="Z811" s="23"/>
      <c r="AA811" s="36"/>
      <c r="AB811" s="36"/>
      <c r="AC811" s="23"/>
      <c r="AD811" s="36"/>
      <c r="AE811" s="36"/>
      <c r="AF811" s="23"/>
    </row>
    <row r="812" spans="1:32" x14ac:dyDescent="0.25">
      <c r="A812" s="23"/>
      <c r="B812" s="23"/>
      <c r="C812" s="36"/>
      <c r="D812" s="36"/>
      <c r="E812" s="23"/>
      <c r="F812" s="36"/>
      <c r="G812" s="36"/>
      <c r="H812" s="23"/>
      <c r="I812" s="36"/>
      <c r="J812" s="36"/>
      <c r="K812" s="23"/>
      <c r="L812" s="36"/>
      <c r="M812" s="36"/>
      <c r="N812" s="23"/>
      <c r="O812" s="36"/>
      <c r="P812" s="36"/>
      <c r="Q812" s="36"/>
      <c r="R812" s="36"/>
      <c r="S812" s="36"/>
      <c r="T812" s="36"/>
      <c r="U812" s="36"/>
      <c r="V812" s="36"/>
      <c r="W812" s="23"/>
      <c r="X812" s="36"/>
      <c r="Y812" s="36"/>
      <c r="Z812" s="23"/>
      <c r="AA812" s="36"/>
      <c r="AB812" s="36"/>
      <c r="AC812" s="23"/>
      <c r="AD812" s="36"/>
      <c r="AE812" s="36"/>
      <c r="AF812" s="23"/>
    </row>
    <row r="813" spans="1:32" x14ac:dyDescent="0.25">
      <c r="A813" s="23"/>
      <c r="B813" s="23"/>
      <c r="C813" s="36"/>
      <c r="D813" s="36"/>
      <c r="E813" s="23"/>
      <c r="F813" s="36"/>
      <c r="G813" s="36"/>
      <c r="H813" s="23"/>
      <c r="I813" s="36"/>
      <c r="J813" s="36"/>
      <c r="K813" s="23"/>
      <c r="L813" s="36"/>
      <c r="M813" s="36"/>
      <c r="N813" s="23"/>
      <c r="O813" s="36"/>
      <c r="P813" s="36"/>
      <c r="Q813" s="36"/>
      <c r="R813" s="36"/>
      <c r="S813" s="36"/>
      <c r="T813" s="36"/>
      <c r="U813" s="36"/>
      <c r="V813" s="36"/>
      <c r="W813" s="23"/>
      <c r="X813" s="36"/>
      <c r="Y813" s="36"/>
      <c r="Z813" s="23"/>
      <c r="AA813" s="36"/>
      <c r="AB813" s="36"/>
      <c r="AC813" s="23"/>
      <c r="AD813" s="36"/>
      <c r="AE813" s="36"/>
      <c r="AF813" s="23"/>
    </row>
    <row r="814" spans="1:32" x14ac:dyDescent="0.25">
      <c r="A814" s="23"/>
      <c r="B814" s="23"/>
      <c r="C814" s="36"/>
      <c r="D814" s="36"/>
      <c r="E814" s="23"/>
      <c r="F814" s="36"/>
      <c r="G814" s="36"/>
      <c r="H814" s="23"/>
      <c r="I814" s="36"/>
      <c r="J814" s="36"/>
      <c r="K814" s="23"/>
      <c r="L814" s="36"/>
      <c r="M814" s="36"/>
      <c r="N814" s="23"/>
      <c r="O814" s="36"/>
      <c r="P814" s="36"/>
      <c r="Q814" s="36"/>
      <c r="R814" s="36"/>
      <c r="S814" s="36"/>
      <c r="T814" s="36"/>
      <c r="U814" s="36"/>
      <c r="V814" s="36"/>
      <c r="W814" s="23"/>
      <c r="X814" s="36"/>
      <c r="Y814" s="36"/>
      <c r="Z814" s="23"/>
      <c r="AA814" s="36"/>
      <c r="AB814" s="36"/>
      <c r="AC814" s="23"/>
      <c r="AD814" s="36"/>
      <c r="AE814" s="36"/>
      <c r="AF814" s="23"/>
    </row>
    <row r="815" spans="1:32" x14ac:dyDescent="0.25">
      <c r="A815" s="23"/>
      <c r="B815" s="23"/>
      <c r="C815" s="36"/>
      <c r="D815" s="36"/>
      <c r="E815" s="23"/>
      <c r="F815" s="36"/>
      <c r="G815" s="36"/>
      <c r="H815" s="23"/>
      <c r="I815" s="36"/>
      <c r="J815" s="36"/>
      <c r="K815" s="23"/>
      <c r="L815" s="36"/>
      <c r="M815" s="36"/>
      <c r="N815" s="23"/>
      <c r="O815" s="36"/>
      <c r="P815" s="36"/>
      <c r="Q815" s="36"/>
      <c r="R815" s="36"/>
      <c r="S815" s="36"/>
      <c r="T815" s="36"/>
      <c r="U815" s="36"/>
      <c r="V815" s="36"/>
      <c r="W815" s="23"/>
      <c r="X815" s="36"/>
      <c r="Y815" s="36"/>
      <c r="Z815" s="23"/>
      <c r="AA815" s="36"/>
      <c r="AB815" s="36"/>
      <c r="AC815" s="23"/>
      <c r="AD815" s="36"/>
      <c r="AE815" s="36"/>
      <c r="AF815" s="23"/>
    </row>
    <row r="816" spans="1:32" x14ac:dyDescent="0.25">
      <c r="A816" s="23"/>
      <c r="B816" s="23"/>
      <c r="C816" s="36"/>
      <c r="D816" s="36"/>
      <c r="E816" s="23"/>
      <c r="F816" s="36"/>
      <c r="G816" s="36"/>
      <c r="H816" s="23"/>
      <c r="I816" s="36"/>
      <c r="J816" s="36"/>
      <c r="K816" s="23"/>
      <c r="L816" s="36"/>
      <c r="M816" s="36"/>
      <c r="N816" s="23"/>
      <c r="O816" s="36"/>
      <c r="P816" s="36"/>
      <c r="Q816" s="36"/>
      <c r="R816" s="36"/>
      <c r="S816" s="36"/>
      <c r="T816" s="36"/>
      <c r="U816" s="36"/>
      <c r="V816" s="36"/>
      <c r="W816" s="23"/>
      <c r="X816" s="36"/>
      <c r="Y816" s="36"/>
      <c r="Z816" s="23"/>
      <c r="AA816" s="36"/>
      <c r="AB816" s="36"/>
      <c r="AC816" s="23"/>
      <c r="AD816" s="36"/>
      <c r="AE816" s="36"/>
      <c r="AF816" s="23"/>
    </row>
    <row r="817" spans="1:32" x14ac:dyDescent="0.25">
      <c r="A817" s="23"/>
      <c r="B817" s="23"/>
      <c r="C817" s="36"/>
      <c r="D817" s="36"/>
      <c r="E817" s="23"/>
      <c r="F817" s="36"/>
      <c r="G817" s="36"/>
      <c r="H817" s="23"/>
      <c r="I817" s="36"/>
      <c r="J817" s="36"/>
      <c r="K817" s="23"/>
      <c r="L817" s="36"/>
      <c r="M817" s="36"/>
      <c r="N817" s="23"/>
      <c r="O817" s="36"/>
      <c r="P817" s="36"/>
      <c r="Q817" s="36"/>
      <c r="R817" s="36"/>
      <c r="S817" s="36"/>
      <c r="T817" s="36"/>
      <c r="U817" s="36"/>
      <c r="V817" s="36"/>
      <c r="W817" s="23"/>
      <c r="X817" s="36"/>
      <c r="Y817" s="36"/>
      <c r="Z817" s="23"/>
      <c r="AA817" s="36"/>
      <c r="AB817" s="36"/>
      <c r="AC817" s="23"/>
      <c r="AD817" s="36"/>
      <c r="AE817" s="36"/>
      <c r="AF817" s="23"/>
    </row>
    <row r="818" spans="1:32" x14ac:dyDescent="0.25">
      <c r="A818" s="23"/>
      <c r="B818" s="23"/>
      <c r="C818" s="36"/>
      <c r="D818" s="36"/>
      <c r="E818" s="23"/>
      <c r="F818" s="36"/>
      <c r="G818" s="36"/>
      <c r="H818" s="23"/>
      <c r="I818" s="36"/>
      <c r="J818" s="36"/>
      <c r="K818" s="23"/>
      <c r="L818" s="36"/>
      <c r="M818" s="36"/>
      <c r="N818" s="23"/>
      <c r="O818" s="36"/>
      <c r="P818" s="36"/>
      <c r="Q818" s="36"/>
      <c r="R818" s="36"/>
      <c r="S818" s="36"/>
      <c r="T818" s="36"/>
      <c r="U818" s="36"/>
      <c r="V818" s="36"/>
      <c r="W818" s="23"/>
      <c r="X818" s="36"/>
      <c r="Y818" s="36"/>
      <c r="Z818" s="23"/>
      <c r="AA818" s="36"/>
      <c r="AB818" s="36"/>
      <c r="AC818" s="23"/>
      <c r="AD818" s="36"/>
      <c r="AE818" s="36"/>
      <c r="AF818" s="23"/>
    </row>
    <row r="819" spans="1:32" x14ac:dyDescent="0.25">
      <c r="A819" s="23"/>
      <c r="B819" s="23"/>
      <c r="C819" s="36"/>
      <c r="D819" s="36"/>
      <c r="E819" s="23"/>
      <c r="F819" s="36"/>
      <c r="G819" s="36"/>
      <c r="H819" s="23"/>
      <c r="I819" s="36"/>
      <c r="J819" s="36"/>
      <c r="K819" s="23"/>
      <c r="L819" s="36"/>
      <c r="M819" s="36"/>
      <c r="N819" s="23"/>
      <c r="O819" s="36"/>
      <c r="P819" s="36"/>
      <c r="Q819" s="36"/>
      <c r="R819" s="36"/>
      <c r="S819" s="36"/>
      <c r="T819" s="36"/>
      <c r="U819" s="36"/>
      <c r="V819" s="36"/>
      <c r="W819" s="23"/>
      <c r="X819" s="36"/>
      <c r="Y819" s="36"/>
      <c r="Z819" s="23"/>
      <c r="AA819" s="36"/>
      <c r="AB819" s="36"/>
      <c r="AC819" s="23"/>
      <c r="AD819" s="36"/>
      <c r="AE819" s="36"/>
      <c r="AF819" s="23"/>
    </row>
    <row r="820" spans="1:32" x14ac:dyDescent="0.25">
      <c r="A820" s="23"/>
      <c r="B820" s="23"/>
      <c r="C820" s="36"/>
      <c r="D820" s="36"/>
      <c r="E820" s="23"/>
      <c r="F820" s="36"/>
      <c r="G820" s="36"/>
      <c r="H820" s="23"/>
      <c r="I820" s="36"/>
      <c r="J820" s="36"/>
      <c r="K820" s="23"/>
      <c r="L820" s="36"/>
      <c r="M820" s="36"/>
      <c r="N820" s="23"/>
      <c r="O820" s="36"/>
      <c r="P820" s="36"/>
      <c r="Q820" s="36"/>
      <c r="R820" s="36"/>
      <c r="S820" s="36"/>
      <c r="T820" s="36"/>
      <c r="U820" s="36"/>
      <c r="V820" s="36"/>
      <c r="W820" s="23"/>
      <c r="X820" s="36"/>
      <c r="Y820" s="36"/>
      <c r="Z820" s="23"/>
      <c r="AA820" s="36"/>
      <c r="AB820" s="36"/>
      <c r="AC820" s="23"/>
      <c r="AD820" s="36"/>
      <c r="AE820" s="36"/>
      <c r="AF820" s="23"/>
    </row>
    <row r="821" spans="1:32" x14ac:dyDescent="0.25">
      <c r="A821" s="23"/>
      <c r="B821" s="23"/>
      <c r="C821" s="36"/>
      <c r="D821" s="36"/>
      <c r="E821" s="23"/>
      <c r="F821" s="36"/>
      <c r="G821" s="36"/>
      <c r="H821" s="23"/>
      <c r="I821" s="36"/>
      <c r="J821" s="36"/>
      <c r="K821" s="23"/>
      <c r="L821" s="36"/>
      <c r="M821" s="36"/>
      <c r="N821" s="23"/>
      <c r="O821" s="36"/>
      <c r="P821" s="36"/>
      <c r="Q821" s="36"/>
      <c r="R821" s="36"/>
      <c r="S821" s="36"/>
      <c r="T821" s="36"/>
      <c r="U821" s="36"/>
      <c r="V821" s="36"/>
      <c r="W821" s="23"/>
      <c r="X821" s="36"/>
      <c r="Y821" s="36"/>
      <c r="Z821" s="23"/>
      <c r="AA821" s="36"/>
      <c r="AB821" s="36"/>
      <c r="AC821" s="23"/>
      <c r="AD821" s="36"/>
      <c r="AE821" s="36"/>
      <c r="AF821" s="23"/>
    </row>
    <row r="822" spans="1:32" x14ac:dyDescent="0.25">
      <c r="A822" s="23"/>
      <c r="B822" s="23"/>
      <c r="C822" s="36"/>
      <c r="D822" s="36"/>
      <c r="E822" s="23"/>
      <c r="F822" s="36"/>
      <c r="G822" s="36"/>
      <c r="H822" s="23"/>
      <c r="I822" s="36"/>
      <c r="J822" s="36"/>
      <c r="K822" s="23"/>
      <c r="L822" s="36"/>
      <c r="M822" s="36"/>
      <c r="N822" s="23"/>
      <c r="O822" s="36"/>
      <c r="P822" s="36"/>
      <c r="Q822" s="36"/>
      <c r="R822" s="36"/>
      <c r="S822" s="36"/>
      <c r="T822" s="36"/>
      <c r="U822" s="36"/>
      <c r="V822" s="36"/>
      <c r="W822" s="23"/>
      <c r="X822" s="36"/>
      <c r="Y822" s="36"/>
      <c r="Z822" s="23"/>
      <c r="AA822" s="36"/>
      <c r="AB822" s="36"/>
      <c r="AC822" s="23"/>
      <c r="AD822" s="36"/>
      <c r="AE822" s="36"/>
      <c r="AF822" s="23"/>
    </row>
    <row r="823" spans="1:32" x14ac:dyDescent="0.25">
      <c r="A823" s="23"/>
      <c r="B823" s="23"/>
      <c r="C823" s="36"/>
      <c r="D823" s="36"/>
      <c r="E823" s="23"/>
      <c r="F823" s="36"/>
      <c r="G823" s="36"/>
      <c r="H823" s="23"/>
      <c r="I823" s="36"/>
      <c r="J823" s="36"/>
      <c r="K823" s="23"/>
      <c r="L823" s="36"/>
      <c r="M823" s="36"/>
      <c r="N823" s="23"/>
      <c r="O823" s="36"/>
      <c r="P823" s="36"/>
      <c r="Q823" s="36"/>
      <c r="R823" s="36"/>
      <c r="S823" s="36"/>
      <c r="T823" s="36"/>
      <c r="U823" s="36"/>
      <c r="V823" s="36"/>
      <c r="W823" s="23"/>
      <c r="X823" s="36"/>
      <c r="Y823" s="36"/>
      <c r="Z823" s="23"/>
      <c r="AA823" s="36"/>
      <c r="AB823" s="36"/>
      <c r="AC823" s="23"/>
      <c r="AD823" s="36"/>
      <c r="AE823" s="36"/>
      <c r="AF823" s="23"/>
    </row>
    <row r="824" spans="1:32" x14ac:dyDescent="0.25">
      <c r="A824" s="23"/>
      <c r="B824" s="23"/>
      <c r="C824" s="36"/>
      <c r="D824" s="36"/>
      <c r="E824" s="23"/>
      <c r="F824" s="36"/>
      <c r="G824" s="36"/>
      <c r="H824" s="23"/>
      <c r="I824" s="36"/>
      <c r="J824" s="36"/>
      <c r="K824" s="23"/>
      <c r="L824" s="36"/>
      <c r="M824" s="36"/>
      <c r="N824" s="23"/>
      <c r="O824" s="36"/>
      <c r="P824" s="36"/>
      <c r="Q824" s="36"/>
      <c r="R824" s="36"/>
      <c r="S824" s="36"/>
      <c r="T824" s="36"/>
      <c r="U824" s="36"/>
      <c r="V824" s="36"/>
      <c r="W824" s="23"/>
      <c r="X824" s="36"/>
      <c r="Y824" s="36"/>
      <c r="Z824" s="23"/>
      <c r="AA824" s="36"/>
      <c r="AB824" s="36"/>
      <c r="AC824" s="23"/>
      <c r="AD824" s="36"/>
      <c r="AE824" s="36"/>
      <c r="AF824" s="23"/>
    </row>
    <row r="825" spans="1:32" x14ac:dyDescent="0.25">
      <c r="A825" s="23"/>
      <c r="B825" s="23"/>
      <c r="C825" s="36"/>
      <c r="D825" s="36"/>
      <c r="E825" s="23"/>
      <c r="F825" s="36"/>
      <c r="G825" s="36"/>
      <c r="H825" s="23"/>
      <c r="I825" s="36"/>
      <c r="J825" s="36"/>
      <c r="K825" s="23"/>
      <c r="L825" s="36"/>
      <c r="M825" s="36"/>
      <c r="N825" s="23"/>
      <c r="O825" s="36"/>
      <c r="P825" s="36"/>
      <c r="Q825" s="36"/>
      <c r="R825" s="36"/>
      <c r="S825" s="36"/>
      <c r="T825" s="36"/>
      <c r="U825" s="36"/>
      <c r="V825" s="36"/>
      <c r="W825" s="23"/>
      <c r="X825" s="36"/>
      <c r="Y825" s="36"/>
      <c r="Z825" s="23"/>
      <c r="AA825" s="36"/>
      <c r="AB825" s="36"/>
      <c r="AC825" s="23"/>
      <c r="AD825" s="36"/>
      <c r="AE825" s="36"/>
      <c r="AF825" s="23"/>
    </row>
    <row r="826" spans="1:32" x14ac:dyDescent="0.25">
      <c r="A826" s="23"/>
      <c r="B826" s="23"/>
      <c r="C826" s="36"/>
      <c r="D826" s="36"/>
      <c r="E826" s="23"/>
      <c r="F826" s="36"/>
      <c r="G826" s="36"/>
      <c r="H826" s="23"/>
      <c r="I826" s="36"/>
      <c r="J826" s="36"/>
      <c r="K826" s="23"/>
      <c r="L826" s="36"/>
      <c r="M826" s="36"/>
      <c r="N826" s="23"/>
      <c r="O826" s="36"/>
      <c r="P826" s="36"/>
      <c r="Q826" s="36"/>
      <c r="R826" s="36"/>
      <c r="S826" s="36"/>
      <c r="T826" s="36"/>
      <c r="U826" s="36"/>
      <c r="V826" s="36"/>
      <c r="W826" s="23"/>
      <c r="X826" s="36"/>
      <c r="Y826" s="36"/>
      <c r="Z826" s="23"/>
      <c r="AA826" s="36"/>
      <c r="AB826" s="36"/>
      <c r="AC826" s="23"/>
      <c r="AD826" s="36"/>
      <c r="AE826" s="36"/>
      <c r="AF826" s="23"/>
    </row>
    <row r="827" spans="1:32" x14ac:dyDescent="0.25">
      <c r="A827" s="23"/>
      <c r="B827" s="23"/>
      <c r="C827" s="36"/>
      <c r="D827" s="36"/>
      <c r="E827" s="23"/>
      <c r="F827" s="36"/>
      <c r="G827" s="36"/>
      <c r="H827" s="23"/>
      <c r="I827" s="36"/>
      <c r="J827" s="36"/>
      <c r="K827" s="23"/>
      <c r="L827" s="36"/>
      <c r="M827" s="36"/>
      <c r="N827" s="23"/>
      <c r="O827" s="36"/>
      <c r="P827" s="36"/>
      <c r="Q827" s="36"/>
      <c r="R827" s="36"/>
      <c r="S827" s="36"/>
      <c r="T827" s="36"/>
      <c r="U827" s="36"/>
      <c r="V827" s="36"/>
      <c r="W827" s="23"/>
      <c r="X827" s="36"/>
      <c r="Y827" s="36"/>
      <c r="Z827" s="23"/>
      <c r="AA827" s="36"/>
      <c r="AB827" s="36"/>
      <c r="AC827" s="23"/>
      <c r="AD827" s="36"/>
      <c r="AE827" s="36"/>
      <c r="AF827" s="23"/>
    </row>
    <row r="828" spans="1:32" x14ac:dyDescent="0.25">
      <c r="A828" s="23"/>
      <c r="B828" s="23"/>
      <c r="C828" s="36"/>
      <c r="D828" s="36"/>
      <c r="E828" s="23"/>
      <c r="F828" s="36"/>
      <c r="G828" s="36"/>
      <c r="H828" s="23"/>
      <c r="I828" s="36"/>
      <c r="J828" s="36"/>
      <c r="K828" s="23"/>
      <c r="L828" s="36"/>
      <c r="M828" s="36"/>
      <c r="N828" s="23"/>
      <c r="O828" s="36"/>
      <c r="P828" s="36"/>
      <c r="Q828" s="36"/>
      <c r="R828" s="36"/>
      <c r="S828" s="36"/>
      <c r="T828" s="36"/>
      <c r="U828" s="36"/>
      <c r="V828" s="36"/>
      <c r="W828" s="23"/>
      <c r="X828" s="36"/>
      <c r="Y828" s="36"/>
      <c r="Z828" s="23"/>
      <c r="AA828" s="36"/>
      <c r="AB828" s="36"/>
      <c r="AC828" s="23"/>
      <c r="AD828" s="36"/>
      <c r="AE828" s="36"/>
      <c r="AF828" s="23"/>
    </row>
    <row r="829" spans="1:32" x14ac:dyDescent="0.25">
      <c r="A829" s="23"/>
      <c r="B829" s="23"/>
      <c r="C829" s="36"/>
      <c r="D829" s="36"/>
      <c r="E829" s="23"/>
      <c r="F829" s="36"/>
      <c r="G829" s="36"/>
      <c r="H829" s="23"/>
      <c r="I829" s="36"/>
      <c r="J829" s="36"/>
      <c r="K829" s="23"/>
      <c r="L829" s="36"/>
      <c r="M829" s="36"/>
      <c r="N829" s="23"/>
      <c r="O829" s="36"/>
      <c r="P829" s="36"/>
      <c r="Q829" s="36"/>
      <c r="R829" s="36"/>
      <c r="S829" s="36"/>
      <c r="T829" s="36"/>
      <c r="U829" s="36"/>
      <c r="V829" s="36"/>
      <c r="W829" s="23"/>
      <c r="X829" s="36"/>
      <c r="Y829" s="36"/>
      <c r="Z829" s="23"/>
      <c r="AA829" s="36"/>
      <c r="AB829" s="36"/>
      <c r="AC829" s="23"/>
      <c r="AD829" s="36"/>
      <c r="AE829" s="36"/>
      <c r="AF829" s="23"/>
    </row>
    <row r="830" spans="1:32" x14ac:dyDescent="0.25">
      <c r="A830" s="23"/>
      <c r="B830" s="23"/>
      <c r="C830" s="36"/>
      <c r="D830" s="36"/>
      <c r="E830" s="23"/>
      <c r="F830" s="36"/>
      <c r="G830" s="36"/>
      <c r="H830" s="23"/>
      <c r="I830" s="36"/>
      <c r="J830" s="36"/>
      <c r="K830" s="23"/>
      <c r="L830" s="36"/>
      <c r="M830" s="36"/>
      <c r="N830" s="23"/>
      <c r="O830" s="36"/>
      <c r="P830" s="36"/>
      <c r="Q830" s="36"/>
      <c r="R830" s="36"/>
      <c r="S830" s="36"/>
      <c r="T830" s="36"/>
      <c r="U830" s="36"/>
      <c r="V830" s="36"/>
      <c r="W830" s="23"/>
      <c r="X830" s="36"/>
      <c r="Y830" s="36"/>
      <c r="Z830" s="23"/>
      <c r="AA830" s="36"/>
      <c r="AB830" s="36"/>
      <c r="AC830" s="23"/>
      <c r="AD830" s="36"/>
      <c r="AE830" s="36"/>
      <c r="AF830" s="23"/>
    </row>
    <row r="831" spans="1:32" x14ac:dyDescent="0.25">
      <c r="A831" s="23"/>
      <c r="B831" s="23"/>
      <c r="C831" s="36"/>
      <c r="D831" s="36"/>
      <c r="E831" s="23"/>
      <c r="F831" s="36"/>
      <c r="G831" s="36"/>
      <c r="H831" s="23"/>
      <c r="I831" s="36"/>
      <c r="J831" s="36"/>
      <c r="K831" s="23"/>
      <c r="L831" s="36"/>
      <c r="M831" s="36"/>
      <c r="N831" s="23"/>
      <c r="O831" s="36"/>
      <c r="P831" s="36"/>
      <c r="Q831" s="36"/>
      <c r="R831" s="36"/>
      <c r="S831" s="36"/>
      <c r="T831" s="36"/>
      <c r="U831" s="36"/>
      <c r="V831" s="36"/>
      <c r="W831" s="23"/>
      <c r="X831" s="36"/>
      <c r="Y831" s="36"/>
      <c r="Z831" s="23"/>
      <c r="AA831" s="36"/>
      <c r="AB831" s="36"/>
      <c r="AC831" s="23"/>
      <c r="AD831" s="36"/>
      <c r="AE831" s="36"/>
      <c r="AF831" s="23"/>
    </row>
    <row r="832" spans="1:32" x14ac:dyDescent="0.25">
      <c r="A832" s="23"/>
      <c r="B832" s="23"/>
      <c r="C832" s="36"/>
      <c r="D832" s="36"/>
      <c r="E832" s="23"/>
      <c r="F832" s="36"/>
      <c r="G832" s="36"/>
      <c r="H832" s="23"/>
      <c r="I832" s="36"/>
      <c r="J832" s="36"/>
      <c r="K832" s="23"/>
      <c r="L832" s="36"/>
      <c r="M832" s="36"/>
      <c r="N832" s="23"/>
      <c r="O832" s="36"/>
      <c r="P832" s="36"/>
      <c r="Q832" s="36"/>
      <c r="R832" s="36"/>
      <c r="S832" s="36"/>
      <c r="T832" s="36"/>
      <c r="U832" s="36"/>
      <c r="V832" s="36"/>
      <c r="W832" s="23"/>
      <c r="X832" s="36"/>
      <c r="Y832" s="36"/>
      <c r="Z832" s="23"/>
      <c r="AA832" s="36"/>
      <c r="AB832" s="36"/>
      <c r="AC832" s="23"/>
      <c r="AD832" s="36"/>
      <c r="AE832" s="36"/>
      <c r="AF832" s="23"/>
    </row>
    <row r="833" spans="1:32" x14ac:dyDescent="0.25">
      <c r="A833" s="23"/>
      <c r="B833" s="23"/>
      <c r="C833" s="36"/>
      <c r="D833" s="36"/>
      <c r="E833" s="23"/>
      <c r="F833" s="36"/>
      <c r="G833" s="36"/>
      <c r="H833" s="23"/>
      <c r="I833" s="36"/>
      <c r="J833" s="36"/>
      <c r="K833" s="23"/>
      <c r="L833" s="36"/>
      <c r="M833" s="36"/>
      <c r="N833" s="23"/>
      <c r="O833" s="36"/>
      <c r="P833" s="36"/>
      <c r="Q833" s="36"/>
      <c r="R833" s="36"/>
      <c r="S833" s="36"/>
      <c r="T833" s="36"/>
      <c r="U833" s="36"/>
      <c r="V833" s="36"/>
      <c r="W833" s="23"/>
      <c r="X833" s="36"/>
      <c r="Y833" s="36"/>
      <c r="Z833" s="23"/>
      <c r="AA833" s="36"/>
      <c r="AB833" s="36"/>
      <c r="AC833" s="23"/>
      <c r="AD833" s="36"/>
      <c r="AE833" s="36"/>
      <c r="AF833" s="23"/>
    </row>
    <row r="834" spans="1:32" x14ac:dyDescent="0.25">
      <c r="A834" s="23"/>
      <c r="B834" s="23"/>
      <c r="C834" s="36"/>
      <c r="D834" s="36"/>
      <c r="E834" s="23"/>
      <c r="F834" s="36"/>
      <c r="G834" s="36"/>
      <c r="H834" s="23"/>
      <c r="I834" s="36"/>
      <c r="J834" s="36"/>
      <c r="K834" s="23"/>
      <c r="L834" s="36"/>
      <c r="M834" s="36"/>
      <c r="N834" s="23"/>
      <c r="O834" s="36"/>
      <c r="P834" s="36"/>
      <c r="Q834" s="36"/>
      <c r="R834" s="36"/>
      <c r="S834" s="36"/>
      <c r="T834" s="36"/>
      <c r="U834" s="36"/>
      <c r="V834" s="36"/>
      <c r="W834" s="23"/>
      <c r="X834" s="36"/>
      <c r="Y834" s="36"/>
      <c r="Z834" s="23"/>
      <c r="AA834" s="36"/>
      <c r="AB834" s="36"/>
      <c r="AC834" s="23"/>
      <c r="AD834" s="36"/>
      <c r="AE834" s="36"/>
      <c r="AF834" s="23"/>
    </row>
    <row r="835" spans="1:32" x14ac:dyDescent="0.25">
      <c r="A835" s="23"/>
      <c r="B835" s="23"/>
      <c r="C835" s="36"/>
      <c r="D835" s="36"/>
      <c r="E835" s="23"/>
      <c r="F835" s="36"/>
      <c r="G835" s="36"/>
      <c r="H835" s="23"/>
      <c r="I835" s="36"/>
      <c r="J835" s="36"/>
      <c r="K835" s="23"/>
      <c r="L835" s="36"/>
      <c r="M835" s="36"/>
      <c r="N835" s="23"/>
      <c r="O835" s="36"/>
      <c r="P835" s="36"/>
      <c r="Q835" s="36"/>
      <c r="R835" s="36"/>
      <c r="S835" s="36"/>
      <c r="T835" s="36"/>
      <c r="U835" s="36"/>
      <c r="V835" s="36"/>
      <c r="W835" s="23"/>
      <c r="X835" s="36"/>
      <c r="Y835" s="36"/>
      <c r="Z835" s="23"/>
      <c r="AA835" s="36"/>
      <c r="AB835" s="36"/>
      <c r="AC835" s="23"/>
      <c r="AD835" s="36"/>
      <c r="AE835" s="36"/>
      <c r="AF835" s="23"/>
    </row>
    <row r="836" spans="1:32" x14ac:dyDescent="0.25">
      <c r="A836" s="23"/>
      <c r="B836" s="23"/>
      <c r="C836" s="36"/>
      <c r="D836" s="36"/>
      <c r="E836" s="23"/>
      <c r="F836" s="36"/>
      <c r="G836" s="36"/>
      <c r="H836" s="23"/>
      <c r="I836" s="36"/>
      <c r="J836" s="36"/>
      <c r="K836" s="23"/>
      <c r="L836" s="36"/>
      <c r="M836" s="36"/>
      <c r="N836" s="23"/>
      <c r="O836" s="36"/>
      <c r="P836" s="36"/>
      <c r="Q836" s="36"/>
      <c r="R836" s="36"/>
      <c r="S836" s="36"/>
      <c r="T836" s="36"/>
      <c r="U836" s="36"/>
      <c r="V836" s="36"/>
      <c r="W836" s="23"/>
      <c r="X836" s="36"/>
      <c r="Y836" s="36"/>
      <c r="Z836" s="23"/>
      <c r="AA836" s="36"/>
      <c r="AB836" s="36"/>
      <c r="AC836" s="23"/>
      <c r="AD836" s="36"/>
      <c r="AE836" s="36"/>
      <c r="AF836" s="23"/>
    </row>
    <row r="837" spans="1:32" x14ac:dyDescent="0.25">
      <c r="A837" s="23"/>
      <c r="B837" s="23"/>
      <c r="C837" s="36"/>
      <c r="D837" s="36"/>
      <c r="E837" s="23"/>
      <c r="F837" s="36"/>
      <c r="G837" s="36"/>
      <c r="H837" s="23"/>
      <c r="I837" s="36"/>
      <c r="J837" s="36"/>
      <c r="K837" s="23"/>
      <c r="L837" s="36"/>
      <c r="M837" s="36"/>
      <c r="N837" s="23"/>
      <c r="O837" s="36"/>
      <c r="P837" s="36"/>
      <c r="Q837" s="36"/>
      <c r="R837" s="36"/>
      <c r="S837" s="36"/>
      <c r="T837" s="36"/>
      <c r="U837" s="36"/>
      <c r="V837" s="36"/>
      <c r="W837" s="23"/>
      <c r="X837" s="36"/>
      <c r="Y837" s="36"/>
      <c r="Z837" s="23"/>
      <c r="AA837" s="36"/>
      <c r="AB837" s="36"/>
      <c r="AC837" s="23"/>
      <c r="AD837" s="36"/>
      <c r="AE837" s="36"/>
      <c r="AF837" s="23"/>
    </row>
    <row r="838" spans="1:32" x14ac:dyDescent="0.25">
      <c r="A838" s="23"/>
      <c r="B838" s="23"/>
      <c r="C838" s="36"/>
      <c r="D838" s="36"/>
      <c r="E838" s="23"/>
      <c r="F838" s="36"/>
      <c r="G838" s="36"/>
      <c r="H838" s="23"/>
      <c r="I838" s="36"/>
      <c r="J838" s="36"/>
      <c r="K838" s="23"/>
      <c r="L838" s="36"/>
      <c r="M838" s="36"/>
      <c r="N838" s="23"/>
      <c r="O838" s="36"/>
      <c r="P838" s="36"/>
      <c r="Q838" s="36"/>
      <c r="R838" s="36"/>
      <c r="S838" s="36"/>
      <c r="T838" s="36"/>
      <c r="U838" s="36"/>
      <c r="V838" s="36"/>
      <c r="W838" s="23"/>
      <c r="X838" s="36"/>
      <c r="Y838" s="36"/>
      <c r="Z838" s="23"/>
      <c r="AA838" s="36"/>
      <c r="AB838" s="36"/>
      <c r="AC838" s="23"/>
      <c r="AD838" s="36"/>
      <c r="AE838" s="36"/>
      <c r="AF838" s="23"/>
    </row>
    <row r="839" spans="1:32" x14ac:dyDescent="0.25">
      <c r="A839" s="23"/>
      <c r="B839" s="23"/>
      <c r="C839" s="36"/>
      <c r="D839" s="36"/>
      <c r="E839" s="23"/>
      <c r="F839" s="36"/>
      <c r="G839" s="36"/>
      <c r="H839" s="23"/>
      <c r="I839" s="36"/>
      <c r="J839" s="36"/>
      <c r="K839" s="23"/>
      <c r="L839" s="36"/>
      <c r="M839" s="36"/>
      <c r="N839" s="23"/>
      <c r="O839" s="36"/>
      <c r="P839" s="36"/>
      <c r="Q839" s="36"/>
      <c r="R839" s="36"/>
      <c r="S839" s="36"/>
      <c r="T839" s="36"/>
      <c r="U839" s="36"/>
      <c r="V839" s="36"/>
      <c r="W839" s="23"/>
      <c r="X839" s="36"/>
      <c r="Y839" s="36"/>
      <c r="Z839" s="23"/>
      <c r="AA839" s="36"/>
      <c r="AB839" s="36"/>
      <c r="AC839" s="23"/>
      <c r="AD839" s="36"/>
      <c r="AE839" s="36"/>
      <c r="AF839" s="23"/>
    </row>
    <row r="840" spans="1:32" x14ac:dyDescent="0.25">
      <c r="A840" s="23"/>
      <c r="B840" s="23"/>
      <c r="C840" s="36"/>
      <c r="D840" s="36"/>
      <c r="E840" s="23"/>
      <c r="F840" s="36"/>
      <c r="G840" s="36"/>
      <c r="H840" s="23"/>
      <c r="I840" s="36"/>
      <c r="J840" s="36"/>
      <c r="K840" s="23"/>
      <c r="L840" s="36"/>
      <c r="M840" s="36"/>
      <c r="N840" s="23"/>
      <c r="O840" s="36"/>
      <c r="P840" s="36"/>
      <c r="Q840" s="36"/>
      <c r="R840" s="36"/>
      <c r="S840" s="36"/>
      <c r="T840" s="36"/>
      <c r="U840" s="36"/>
      <c r="V840" s="36"/>
      <c r="W840" s="23"/>
      <c r="X840" s="36"/>
      <c r="Y840" s="36"/>
      <c r="Z840" s="23"/>
      <c r="AA840" s="36"/>
      <c r="AB840" s="36"/>
      <c r="AC840" s="23"/>
      <c r="AD840" s="36"/>
      <c r="AE840" s="36"/>
      <c r="AF840" s="23"/>
    </row>
    <row r="841" spans="1:32" x14ac:dyDescent="0.25">
      <c r="A841" s="23"/>
      <c r="B841" s="23"/>
      <c r="C841" s="36"/>
      <c r="D841" s="36"/>
      <c r="E841" s="23"/>
      <c r="F841" s="36"/>
      <c r="G841" s="36"/>
      <c r="H841" s="23"/>
      <c r="I841" s="36"/>
      <c r="J841" s="36"/>
      <c r="K841" s="23"/>
      <c r="L841" s="36"/>
      <c r="M841" s="36"/>
      <c r="N841" s="23"/>
      <c r="O841" s="36"/>
      <c r="P841" s="36"/>
      <c r="Q841" s="36"/>
      <c r="R841" s="36"/>
      <c r="S841" s="36"/>
      <c r="T841" s="36"/>
      <c r="U841" s="36"/>
      <c r="V841" s="36"/>
      <c r="W841" s="23"/>
      <c r="X841" s="36"/>
      <c r="Y841" s="36"/>
      <c r="Z841" s="23"/>
      <c r="AA841" s="36"/>
      <c r="AB841" s="36"/>
      <c r="AC841" s="23"/>
      <c r="AD841" s="36"/>
      <c r="AE841" s="36"/>
      <c r="AF841" s="23"/>
    </row>
    <row r="842" spans="1:32" x14ac:dyDescent="0.25">
      <c r="A842" s="23"/>
      <c r="B842" s="23"/>
      <c r="C842" s="36"/>
      <c r="D842" s="36"/>
      <c r="E842" s="23"/>
      <c r="F842" s="36"/>
      <c r="G842" s="36"/>
      <c r="H842" s="23"/>
      <c r="I842" s="36"/>
      <c r="J842" s="36"/>
      <c r="K842" s="23"/>
      <c r="L842" s="36"/>
      <c r="M842" s="36"/>
      <c r="N842" s="23"/>
      <c r="O842" s="36"/>
      <c r="P842" s="36"/>
      <c r="Q842" s="36"/>
      <c r="R842" s="36"/>
      <c r="S842" s="36"/>
      <c r="T842" s="36"/>
      <c r="U842" s="36"/>
      <c r="V842" s="36"/>
      <c r="W842" s="23"/>
      <c r="X842" s="36"/>
      <c r="Y842" s="36"/>
      <c r="Z842" s="23"/>
      <c r="AA842" s="36"/>
      <c r="AB842" s="36"/>
      <c r="AC842" s="23"/>
      <c r="AD842" s="36"/>
      <c r="AE842" s="36"/>
      <c r="AF842" s="23"/>
    </row>
    <row r="843" spans="1:32" x14ac:dyDescent="0.25">
      <c r="A843" s="23"/>
      <c r="B843" s="23"/>
      <c r="C843" s="36"/>
      <c r="D843" s="36"/>
      <c r="E843" s="23"/>
      <c r="F843" s="36"/>
      <c r="G843" s="36"/>
      <c r="H843" s="23"/>
      <c r="I843" s="36"/>
      <c r="J843" s="36"/>
      <c r="K843" s="23"/>
      <c r="L843" s="36"/>
      <c r="M843" s="36"/>
      <c r="N843" s="23"/>
      <c r="O843" s="36"/>
      <c r="P843" s="36"/>
      <c r="Q843" s="36"/>
      <c r="R843" s="36"/>
      <c r="S843" s="36"/>
      <c r="T843" s="36"/>
      <c r="U843" s="36"/>
      <c r="V843" s="36"/>
      <c r="W843" s="23"/>
      <c r="X843" s="36"/>
      <c r="Y843" s="36"/>
      <c r="Z843" s="23"/>
      <c r="AA843" s="36"/>
      <c r="AB843" s="36"/>
      <c r="AC843" s="23"/>
      <c r="AD843" s="36"/>
      <c r="AE843" s="36"/>
      <c r="AF843" s="23"/>
    </row>
    <row r="844" spans="1:32" x14ac:dyDescent="0.25">
      <c r="A844" s="23"/>
      <c r="B844" s="23"/>
      <c r="C844" s="36"/>
      <c r="D844" s="36"/>
      <c r="E844" s="23"/>
      <c r="F844" s="36"/>
      <c r="G844" s="36"/>
      <c r="H844" s="23"/>
      <c r="I844" s="36"/>
      <c r="J844" s="36"/>
      <c r="K844" s="23"/>
      <c r="L844" s="36"/>
      <c r="M844" s="36"/>
      <c r="N844" s="23"/>
      <c r="O844" s="36"/>
      <c r="P844" s="36"/>
      <c r="Q844" s="36"/>
      <c r="R844" s="36"/>
      <c r="S844" s="36"/>
      <c r="T844" s="36"/>
      <c r="U844" s="36"/>
      <c r="V844" s="36"/>
      <c r="W844" s="23"/>
      <c r="X844" s="36"/>
      <c r="Y844" s="36"/>
      <c r="Z844" s="23"/>
      <c r="AA844" s="36"/>
      <c r="AB844" s="36"/>
      <c r="AC844" s="23"/>
      <c r="AD844" s="36"/>
      <c r="AE844" s="36"/>
      <c r="AF844" s="23"/>
    </row>
    <row r="845" spans="1:32" x14ac:dyDescent="0.25">
      <c r="A845" s="23"/>
      <c r="B845" s="23"/>
      <c r="C845" s="36"/>
      <c r="D845" s="36"/>
      <c r="E845" s="23"/>
      <c r="F845" s="36"/>
      <c r="G845" s="36"/>
      <c r="H845" s="23"/>
      <c r="I845" s="36"/>
      <c r="J845" s="36"/>
      <c r="K845" s="23"/>
      <c r="L845" s="36"/>
      <c r="M845" s="36"/>
      <c r="N845" s="23"/>
      <c r="O845" s="36"/>
      <c r="P845" s="36"/>
      <c r="Q845" s="36"/>
      <c r="R845" s="36"/>
      <c r="S845" s="36"/>
      <c r="T845" s="36"/>
      <c r="U845" s="36"/>
      <c r="V845" s="36"/>
      <c r="W845" s="23"/>
      <c r="X845" s="36"/>
      <c r="Y845" s="36"/>
      <c r="Z845" s="23"/>
      <c r="AA845" s="36"/>
      <c r="AB845" s="36"/>
      <c r="AC845" s="23"/>
      <c r="AD845" s="36"/>
      <c r="AE845" s="36"/>
      <c r="AF845" s="23"/>
    </row>
    <row r="846" spans="1:32" x14ac:dyDescent="0.25">
      <c r="A846" s="23"/>
      <c r="B846" s="23"/>
      <c r="C846" s="36"/>
      <c r="D846" s="36"/>
      <c r="E846" s="23"/>
      <c r="F846" s="36"/>
      <c r="G846" s="36"/>
      <c r="H846" s="23"/>
      <c r="I846" s="36"/>
      <c r="J846" s="36"/>
      <c r="K846" s="23"/>
      <c r="L846" s="36"/>
      <c r="M846" s="36"/>
      <c r="N846" s="23"/>
      <c r="O846" s="36"/>
      <c r="P846" s="36"/>
      <c r="Q846" s="36"/>
      <c r="R846" s="36"/>
      <c r="S846" s="36"/>
      <c r="T846" s="36"/>
      <c r="U846" s="36"/>
      <c r="V846" s="36"/>
      <c r="W846" s="23"/>
      <c r="X846" s="36"/>
      <c r="Y846" s="36"/>
      <c r="Z846" s="23"/>
      <c r="AA846" s="36"/>
      <c r="AB846" s="36"/>
      <c r="AC846" s="23"/>
      <c r="AD846" s="36"/>
      <c r="AE846" s="36"/>
      <c r="AF846" s="23"/>
    </row>
    <row r="847" spans="1:32" x14ac:dyDescent="0.25">
      <c r="A847" s="23"/>
      <c r="B847" s="23"/>
      <c r="C847" s="36"/>
      <c r="D847" s="36"/>
      <c r="E847" s="23"/>
      <c r="F847" s="36"/>
      <c r="G847" s="36"/>
      <c r="H847" s="23"/>
      <c r="I847" s="36"/>
      <c r="J847" s="36"/>
      <c r="K847" s="23"/>
      <c r="L847" s="36"/>
      <c r="M847" s="36"/>
      <c r="N847" s="23"/>
      <c r="O847" s="36"/>
      <c r="P847" s="36"/>
      <c r="Q847" s="36"/>
      <c r="R847" s="36"/>
      <c r="S847" s="36"/>
      <c r="T847" s="36"/>
      <c r="U847" s="36"/>
      <c r="V847" s="36"/>
      <c r="W847" s="23"/>
      <c r="X847" s="36"/>
      <c r="Y847" s="36"/>
      <c r="Z847" s="23"/>
      <c r="AA847" s="36"/>
      <c r="AB847" s="36"/>
      <c r="AC847" s="23"/>
      <c r="AD847" s="36"/>
      <c r="AE847" s="36"/>
      <c r="AF847" s="23"/>
    </row>
    <row r="848" spans="1:32" x14ac:dyDescent="0.25">
      <c r="A848" s="23"/>
      <c r="B848" s="23"/>
      <c r="C848" s="36"/>
      <c r="D848" s="36"/>
      <c r="E848" s="23"/>
      <c r="F848" s="36"/>
      <c r="G848" s="36"/>
      <c r="H848" s="23"/>
      <c r="I848" s="36"/>
      <c r="J848" s="36"/>
      <c r="K848" s="23"/>
      <c r="L848" s="36"/>
      <c r="M848" s="36"/>
      <c r="N848" s="23"/>
      <c r="O848" s="36"/>
      <c r="P848" s="36"/>
      <c r="Q848" s="36"/>
      <c r="R848" s="36"/>
      <c r="S848" s="36"/>
      <c r="T848" s="36"/>
      <c r="U848" s="36"/>
      <c r="V848" s="36"/>
      <c r="W848" s="23"/>
      <c r="X848" s="36"/>
      <c r="Y848" s="36"/>
      <c r="Z848" s="23"/>
      <c r="AA848" s="36"/>
      <c r="AB848" s="36"/>
      <c r="AC848" s="23"/>
      <c r="AD848" s="36"/>
      <c r="AE848" s="36"/>
      <c r="AF848" s="23"/>
    </row>
    <row r="849" spans="1:32" x14ac:dyDescent="0.25">
      <c r="A849" s="23"/>
      <c r="B849" s="23"/>
      <c r="C849" s="36"/>
      <c r="D849" s="36"/>
      <c r="E849" s="23"/>
      <c r="F849" s="36"/>
      <c r="G849" s="36"/>
      <c r="H849" s="23"/>
      <c r="I849" s="36"/>
      <c r="J849" s="36"/>
      <c r="K849" s="23"/>
      <c r="L849" s="36"/>
      <c r="M849" s="36"/>
      <c r="N849" s="23"/>
      <c r="O849" s="36"/>
      <c r="P849" s="36"/>
      <c r="Q849" s="36"/>
      <c r="R849" s="36"/>
      <c r="S849" s="36"/>
      <c r="T849" s="36"/>
      <c r="U849" s="36"/>
      <c r="V849" s="36"/>
      <c r="W849" s="23"/>
      <c r="X849" s="36"/>
      <c r="Y849" s="36"/>
      <c r="Z849" s="23"/>
      <c r="AA849" s="36"/>
      <c r="AB849" s="36"/>
      <c r="AC849" s="23"/>
      <c r="AD849" s="36"/>
      <c r="AE849" s="36"/>
      <c r="AF849" s="23"/>
    </row>
    <row r="850" spans="1:32" x14ac:dyDescent="0.25">
      <c r="A850" s="23"/>
      <c r="B850" s="23"/>
      <c r="C850" s="36"/>
      <c r="D850" s="36"/>
      <c r="E850" s="23"/>
      <c r="F850" s="36"/>
      <c r="G850" s="36"/>
      <c r="H850" s="23"/>
      <c r="I850" s="36"/>
      <c r="J850" s="36"/>
      <c r="K850" s="23"/>
      <c r="L850" s="36"/>
      <c r="M850" s="36"/>
      <c r="N850" s="23"/>
      <c r="O850" s="36"/>
      <c r="P850" s="36"/>
      <c r="Q850" s="36"/>
      <c r="R850" s="36"/>
      <c r="S850" s="36"/>
      <c r="T850" s="36"/>
      <c r="U850" s="36"/>
      <c r="V850" s="36"/>
      <c r="W850" s="23"/>
      <c r="X850" s="36"/>
      <c r="Y850" s="36"/>
      <c r="Z850" s="23"/>
      <c r="AA850" s="36"/>
      <c r="AB850" s="36"/>
      <c r="AC850" s="23"/>
      <c r="AD850" s="36"/>
      <c r="AE850" s="36"/>
      <c r="AF850" s="23"/>
    </row>
    <row r="851" spans="1:32" x14ac:dyDescent="0.25">
      <c r="A851" s="23"/>
      <c r="B851" s="23"/>
      <c r="C851" s="36"/>
      <c r="D851" s="36"/>
      <c r="E851" s="23"/>
      <c r="F851" s="36"/>
      <c r="G851" s="36"/>
      <c r="H851" s="23"/>
      <c r="I851" s="36"/>
      <c r="J851" s="36"/>
      <c r="K851" s="23"/>
      <c r="L851" s="36"/>
      <c r="M851" s="36"/>
      <c r="N851" s="23"/>
      <c r="O851" s="36"/>
      <c r="P851" s="36"/>
      <c r="Q851" s="36"/>
      <c r="R851" s="36"/>
      <c r="S851" s="36"/>
      <c r="T851" s="36"/>
      <c r="U851" s="36"/>
      <c r="V851" s="36"/>
      <c r="W851" s="23"/>
      <c r="X851" s="36"/>
      <c r="Y851" s="36"/>
      <c r="Z851" s="23"/>
      <c r="AA851" s="36"/>
      <c r="AB851" s="36"/>
      <c r="AC851" s="23"/>
      <c r="AD851" s="36"/>
      <c r="AE851" s="36"/>
      <c r="AF851" s="23"/>
    </row>
    <row r="852" spans="1:32" x14ac:dyDescent="0.25">
      <c r="A852" s="23"/>
      <c r="B852" s="23"/>
      <c r="C852" s="36"/>
      <c r="D852" s="36"/>
      <c r="E852" s="23"/>
      <c r="F852" s="36"/>
      <c r="G852" s="36"/>
      <c r="H852" s="23"/>
      <c r="I852" s="36"/>
      <c r="J852" s="36"/>
      <c r="K852" s="23"/>
      <c r="L852" s="36"/>
      <c r="M852" s="36"/>
      <c r="N852" s="23"/>
      <c r="O852" s="36"/>
      <c r="P852" s="36"/>
      <c r="Q852" s="36"/>
      <c r="R852" s="36"/>
      <c r="S852" s="36"/>
      <c r="T852" s="36"/>
      <c r="U852" s="36"/>
      <c r="V852" s="36"/>
      <c r="W852" s="23"/>
      <c r="X852" s="36"/>
      <c r="Y852" s="36"/>
      <c r="Z852" s="23"/>
      <c r="AA852" s="36"/>
      <c r="AB852" s="36"/>
      <c r="AC852" s="23"/>
      <c r="AD852" s="36"/>
      <c r="AE852" s="36"/>
      <c r="AF852" s="23"/>
    </row>
    <row r="853" spans="1:32" x14ac:dyDescent="0.25">
      <c r="A853" s="23"/>
      <c r="B853" s="23"/>
      <c r="C853" s="36"/>
      <c r="D853" s="36"/>
      <c r="E853" s="23"/>
      <c r="F853" s="36"/>
      <c r="G853" s="36"/>
      <c r="H853" s="23"/>
      <c r="I853" s="36"/>
      <c r="J853" s="36"/>
      <c r="K853" s="23"/>
      <c r="L853" s="36"/>
      <c r="M853" s="36"/>
      <c r="N853" s="23"/>
      <c r="O853" s="36"/>
      <c r="P853" s="36"/>
      <c r="Q853" s="36"/>
      <c r="R853" s="36"/>
      <c r="S853" s="36"/>
      <c r="T853" s="36"/>
      <c r="U853" s="36"/>
      <c r="V853" s="36"/>
      <c r="W853" s="23"/>
      <c r="X853" s="36"/>
      <c r="Y853" s="36"/>
      <c r="Z853" s="23"/>
      <c r="AA853" s="36"/>
      <c r="AB853" s="36"/>
      <c r="AC853" s="23"/>
      <c r="AD853" s="36"/>
      <c r="AE853" s="36"/>
      <c r="AF853" s="23"/>
    </row>
    <row r="854" spans="1:32" x14ac:dyDescent="0.25">
      <c r="A854" s="23"/>
      <c r="B854" s="23"/>
      <c r="C854" s="36"/>
      <c r="D854" s="36"/>
      <c r="E854" s="23"/>
      <c r="F854" s="36"/>
      <c r="G854" s="36"/>
      <c r="H854" s="23"/>
      <c r="I854" s="36"/>
      <c r="J854" s="36"/>
      <c r="K854" s="23"/>
      <c r="L854" s="36"/>
      <c r="M854" s="36"/>
      <c r="N854" s="23"/>
      <c r="O854" s="36"/>
      <c r="P854" s="36"/>
      <c r="Q854" s="36"/>
      <c r="R854" s="36"/>
      <c r="S854" s="36"/>
      <c r="T854" s="36"/>
      <c r="U854" s="36"/>
      <c r="V854" s="36"/>
      <c r="W854" s="23"/>
      <c r="X854" s="36"/>
      <c r="Y854" s="36"/>
      <c r="Z854" s="23"/>
      <c r="AA854" s="36"/>
      <c r="AB854" s="36"/>
      <c r="AC854" s="23"/>
      <c r="AD854" s="36"/>
      <c r="AE854" s="36"/>
      <c r="AF854" s="23"/>
    </row>
    <row r="855" spans="1:32" x14ac:dyDescent="0.25">
      <c r="A855" s="23"/>
      <c r="B855" s="23"/>
      <c r="C855" s="36"/>
      <c r="D855" s="36"/>
      <c r="E855" s="23"/>
      <c r="F855" s="36"/>
      <c r="G855" s="36"/>
      <c r="H855" s="23"/>
      <c r="I855" s="36"/>
      <c r="J855" s="36"/>
      <c r="K855" s="23"/>
      <c r="L855" s="36"/>
      <c r="M855" s="36"/>
      <c r="N855" s="23"/>
      <c r="O855" s="36"/>
      <c r="P855" s="36"/>
      <c r="Q855" s="36"/>
      <c r="R855" s="36"/>
      <c r="S855" s="36"/>
      <c r="T855" s="36"/>
      <c r="U855" s="36"/>
      <c r="V855" s="36"/>
      <c r="W855" s="23"/>
      <c r="X855" s="36"/>
      <c r="Y855" s="36"/>
      <c r="Z855" s="23"/>
      <c r="AA855" s="36"/>
      <c r="AB855" s="36"/>
      <c r="AC855" s="23"/>
      <c r="AD855" s="36"/>
      <c r="AE855" s="36"/>
      <c r="AF855" s="23"/>
    </row>
    <row r="856" spans="1:32" x14ac:dyDescent="0.25">
      <c r="A856" s="23"/>
      <c r="B856" s="23"/>
      <c r="C856" s="36"/>
      <c r="D856" s="36"/>
      <c r="E856" s="23"/>
      <c r="F856" s="36"/>
      <c r="G856" s="36"/>
      <c r="H856" s="23"/>
      <c r="I856" s="36"/>
      <c r="J856" s="36"/>
      <c r="K856" s="23"/>
      <c r="L856" s="36"/>
      <c r="M856" s="36"/>
      <c r="N856" s="23"/>
      <c r="O856" s="36"/>
      <c r="P856" s="36"/>
      <c r="Q856" s="36"/>
      <c r="R856" s="36"/>
      <c r="S856" s="36"/>
      <c r="T856" s="36"/>
      <c r="U856" s="36"/>
      <c r="V856" s="36"/>
      <c r="W856" s="23"/>
      <c r="X856" s="36"/>
      <c r="Y856" s="36"/>
      <c r="Z856" s="23"/>
      <c r="AA856" s="36"/>
      <c r="AB856" s="36"/>
      <c r="AC856" s="23"/>
      <c r="AD856" s="36"/>
      <c r="AE856" s="36"/>
      <c r="AF856" s="23"/>
    </row>
    <row r="857" spans="1:32" x14ac:dyDescent="0.25">
      <c r="A857" s="23"/>
      <c r="B857" s="23"/>
      <c r="C857" s="36"/>
      <c r="D857" s="36"/>
      <c r="E857" s="23"/>
      <c r="F857" s="36"/>
      <c r="G857" s="36"/>
      <c r="H857" s="23"/>
      <c r="I857" s="36"/>
      <c r="J857" s="36"/>
      <c r="K857" s="23"/>
      <c r="L857" s="36"/>
      <c r="M857" s="36"/>
      <c r="N857" s="23"/>
      <c r="O857" s="36"/>
      <c r="P857" s="36"/>
      <c r="Q857" s="36"/>
      <c r="R857" s="36"/>
      <c r="S857" s="36"/>
      <c r="T857" s="36"/>
      <c r="U857" s="36"/>
      <c r="V857" s="36"/>
      <c r="W857" s="23"/>
      <c r="X857" s="36"/>
      <c r="Y857" s="36"/>
      <c r="Z857" s="23"/>
      <c r="AA857" s="36"/>
      <c r="AB857" s="36"/>
      <c r="AC857" s="23"/>
      <c r="AD857" s="36"/>
      <c r="AE857" s="36"/>
      <c r="AF857" s="23"/>
    </row>
    <row r="858" spans="1:32" x14ac:dyDescent="0.25">
      <c r="A858" s="23"/>
      <c r="B858" s="23"/>
      <c r="C858" s="36"/>
      <c r="D858" s="36"/>
      <c r="E858" s="23"/>
      <c r="F858" s="36"/>
      <c r="G858" s="36"/>
      <c r="H858" s="23"/>
      <c r="I858" s="36"/>
      <c r="J858" s="36"/>
      <c r="K858" s="23"/>
      <c r="L858" s="36"/>
      <c r="M858" s="36"/>
      <c r="N858" s="23"/>
      <c r="O858" s="36"/>
      <c r="P858" s="36"/>
      <c r="Q858" s="36"/>
      <c r="R858" s="36"/>
      <c r="S858" s="36"/>
      <c r="T858" s="36"/>
      <c r="U858" s="36"/>
      <c r="V858" s="36"/>
      <c r="W858" s="23"/>
      <c r="X858" s="36"/>
      <c r="Y858" s="36"/>
      <c r="Z858" s="23"/>
      <c r="AA858" s="36"/>
      <c r="AB858" s="36"/>
      <c r="AC858" s="23"/>
      <c r="AD858" s="36"/>
      <c r="AE858" s="36"/>
      <c r="AF858" s="23"/>
    </row>
    <row r="859" spans="1:32" x14ac:dyDescent="0.25">
      <c r="A859" s="23"/>
      <c r="B859" s="23"/>
      <c r="C859" s="36"/>
      <c r="D859" s="36"/>
      <c r="E859" s="23"/>
      <c r="F859" s="36"/>
      <c r="G859" s="36"/>
      <c r="H859" s="23"/>
      <c r="I859" s="36"/>
      <c r="J859" s="36"/>
      <c r="K859" s="23"/>
      <c r="L859" s="36"/>
      <c r="M859" s="36"/>
      <c r="N859" s="23"/>
      <c r="O859" s="36"/>
      <c r="P859" s="36"/>
      <c r="Q859" s="36"/>
      <c r="R859" s="36"/>
      <c r="S859" s="36"/>
      <c r="T859" s="36"/>
      <c r="U859" s="36"/>
      <c r="V859" s="36"/>
      <c r="W859" s="23"/>
      <c r="X859" s="36"/>
      <c r="Y859" s="36"/>
      <c r="Z859" s="23"/>
      <c r="AA859" s="36"/>
      <c r="AB859" s="36"/>
      <c r="AC859" s="23"/>
      <c r="AD859" s="36"/>
      <c r="AE859" s="36"/>
      <c r="AF859" s="23"/>
    </row>
    <row r="860" spans="1:32" x14ac:dyDescent="0.25">
      <c r="A860" s="23"/>
      <c r="B860" s="23"/>
      <c r="C860" s="36"/>
      <c r="D860" s="36"/>
      <c r="E860" s="23"/>
      <c r="F860" s="36"/>
      <c r="G860" s="36"/>
      <c r="H860" s="23"/>
      <c r="I860" s="36"/>
      <c r="J860" s="36"/>
      <c r="K860" s="23"/>
      <c r="L860" s="36"/>
      <c r="M860" s="36"/>
      <c r="N860" s="23"/>
      <c r="O860" s="36"/>
      <c r="P860" s="36"/>
      <c r="Q860" s="36"/>
      <c r="R860" s="36"/>
      <c r="S860" s="36"/>
      <c r="T860" s="36"/>
      <c r="U860" s="36"/>
      <c r="V860" s="36"/>
      <c r="W860" s="23"/>
      <c r="X860" s="36"/>
      <c r="Y860" s="36"/>
      <c r="Z860" s="23"/>
      <c r="AA860" s="36"/>
      <c r="AB860" s="36"/>
      <c r="AC860" s="23"/>
      <c r="AD860" s="36"/>
      <c r="AE860" s="36"/>
      <c r="AF860" s="23"/>
    </row>
    <row r="861" spans="1:32" x14ac:dyDescent="0.25">
      <c r="A861" s="23"/>
      <c r="B861" s="23"/>
      <c r="C861" s="36"/>
      <c r="D861" s="36"/>
      <c r="E861" s="23"/>
      <c r="F861" s="36"/>
      <c r="G861" s="36"/>
      <c r="H861" s="23"/>
      <c r="I861" s="36"/>
      <c r="J861" s="36"/>
      <c r="K861" s="23"/>
      <c r="L861" s="36"/>
      <c r="M861" s="36"/>
      <c r="N861" s="23"/>
      <c r="O861" s="36"/>
      <c r="P861" s="36"/>
      <c r="Q861" s="36"/>
      <c r="R861" s="36"/>
      <c r="S861" s="36"/>
      <c r="T861" s="36"/>
      <c r="U861" s="36"/>
      <c r="V861" s="36"/>
      <c r="W861" s="23"/>
      <c r="X861" s="36"/>
      <c r="Y861" s="36"/>
      <c r="Z861" s="23"/>
      <c r="AA861" s="36"/>
      <c r="AB861" s="36"/>
      <c r="AC861" s="23"/>
      <c r="AD861" s="36"/>
      <c r="AE861" s="36"/>
      <c r="AF861" s="23"/>
    </row>
    <row r="862" spans="1:32" x14ac:dyDescent="0.25">
      <c r="A862" s="23"/>
      <c r="B862" s="23"/>
      <c r="C862" s="36"/>
      <c r="D862" s="36"/>
      <c r="E862" s="23"/>
      <c r="F862" s="36"/>
      <c r="G862" s="36"/>
      <c r="H862" s="23"/>
      <c r="I862" s="36"/>
      <c r="J862" s="36"/>
      <c r="K862" s="23"/>
      <c r="L862" s="36"/>
      <c r="M862" s="36"/>
      <c r="N862" s="23"/>
      <c r="O862" s="36"/>
      <c r="P862" s="36"/>
      <c r="Q862" s="36"/>
      <c r="R862" s="36"/>
      <c r="S862" s="36"/>
      <c r="T862" s="36"/>
      <c r="U862" s="36"/>
      <c r="V862" s="36"/>
      <c r="W862" s="23"/>
      <c r="X862" s="36"/>
      <c r="Y862" s="36"/>
      <c r="Z862" s="23"/>
      <c r="AA862" s="36"/>
      <c r="AB862" s="36"/>
      <c r="AC862" s="23"/>
      <c r="AD862" s="36"/>
      <c r="AE862" s="36"/>
      <c r="AF862" s="23"/>
    </row>
    <row r="863" spans="1:32" x14ac:dyDescent="0.25">
      <c r="A863" s="23"/>
      <c r="B863" s="23"/>
      <c r="C863" s="36"/>
      <c r="D863" s="36"/>
      <c r="E863" s="23"/>
      <c r="F863" s="36"/>
      <c r="G863" s="36"/>
      <c r="H863" s="23"/>
      <c r="I863" s="36"/>
      <c r="J863" s="36"/>
      <c r="K863" s="23"/>
      <c r="L863" s="36"/>
      <c r="M863" s="36"/>
      <c r="N863" s="23"/>
      <c r="O863" s="36"/>
      <c r="P863" s="36"/>
      <c r="Q863" s="36"/>
      <c r="R863" s="36"/>
      <c r="S863" s="36"/>
      <c r="T863" s="36"/>
      <c r="U863" s="36"/>
      <c r="V863" s="36"/>
      <c r="W863" s="23"/>
      <c r="X863" s="36"/>
      <c r="Y863" s="36"/>
      <c r="Z863" s="23"/>
      <c r="AA863" s="36"/>
      <c r="AB863" s="36"/>
      <c r="AC863" s="23"/>
      <c r="AD863" s="36"/>
      <c r="AE863" s="36"/>
      <c r="AF863" s="23"/>
    </row>
    <row r="864" spans="1:32" x14ac:dyDescent="0.25">
      <c r="A864" s="23"/>
      <c r="B864" s="23"/>
      <c r="C864" s="36"/>
      <c r="D864" s="36"/>
      <c r="E864" s="23"/>
      <c r="F864" s="36"/>
      <c r="G864" s="36"/>
      <c r="H864" s="23"/>
      <c r="I864" s="36"/>
      <c r="J864" s="36"/>
      <c r="K864" s="23"/>
      <c r="L864" s="36"/>
      <c r="M864" s="36"/>
      <c r="N864" s="23"/>
      <c r="O864" s="36"/>
      <c r="P864" s="36"/>
      <c r="Q864" s="36"/>
      <c r="R864" s="36"/>
      <c r="S864" s="36"/>
      <c r="T864" s="36"/>
      <c r="U864" s="36"/>
      <c r="V864" s="36"/>
      <c r="W864" s="23"/>
      <c r="X864" s="36"/>
      <c r="Y864" s="36"/>
      <c r="Z864" s="23"/>
      <c r="AA864" s="36"/>
      <c r="AB864" s="36"/>
      <c r="AC864" s="23"/>
      <c r="AD864" s="36"/>
      <c r="AE864" s="36"/>
      <c r="AF864" s="23"/>
    </row>
    <row r="865" spans="1:32" x14ac:dyDescent="0.25">
      <c r="A865" s="23"/>
      <c r="B865" s="23"/>
      <c r="C865" s="36"/>
      <c r="D865" s="36"/>
      <c r="E865" s="23"/>
      <c r="F865" s="36"/>
      <c r="G865" s="36"/>
      <c r="H865" s="23"/>
      <c r="I865" s="36"/>
      <c r="J865" s="36"/>
      <c r="K865" s="23"/>
      <c r="L865" s="36"/>
      <c r="M865" s="36"/>
      <c r="N865" s="23"/>
      <c r="O865" s="36"/>
      <c r="P865" s="36"/>
      <c r="Q865" s="36"/>
      <c r="R865" s="36"/>
      <c r="S865" s="36"/>
      <c r="T865" s="36"/>
      <c r="U865" s="36"/>
      <c r="V865" s="36"/>
      <c r="W865" s="23"/>
      <c r="X865" s="36"/>
      <c r="Y865" s="36"/>
      <c r="Z865" s="23"/>
      <c r="AA865" s="36"/>
      <c r="AB865" s="36"/>
      <c r="AC865" s="23"/>
      <c r="AD865" s="36"/>
      <c r="AE865" s="36"/>
      <c r="AF865" s="23"/>
    </row>
    <row r="866" spans="1:32" x14ac:dyDescent="0.25">
      <c r="A866" s="23"/>
      <c r="B866" s="23"/>
      <c r="C866" s="36"/>
      <c r="D866" s="36"/>
      <c r="E866" s="23"/>
      <c r="F866" s="36"/>
      <c r="G866" s="36"/>
      <c r="H866" s="23"/>
      <c r="I866" s="36"/>
      <c r="J866" s="36"/>
      <c r="K866" s="23"/>
      <c r="L866" s="36"/>
      <c r="M866" s="36"/>
      <c r="N866" s="23"/>
      <c r="O866" s="36"/>
      <c r="P866" s="36"/>
      <c r="Q866" s="36"/>
      <c r="R866" s="36"/>
      <c r="S866" s="36"/>
      <c r="T866" s="36"/>
      <c r="U866" s="36"/>
      <c r="V866" s="36"/>
      <c r="W866" s="23"/>
      <c r="X866" s="36"/>
      <c r="Y866" s="36"/>
      <c r="Z866" s="23"/>
      <c r="AA866" s="36"/>
      <c r="AB866" s="36"/>
      <c r="AC866" s="23"/>
      <c r="AD866" s="36"/>
      <c r="AE866" s="36"/>
      <c r="AF866" s="23"/>
    </row>
    <row r="867" spans="1:32" x14ac:dyDescent="0.25">
      <c r="A867" s="23"/>
      <c r="B867" s="23"/>
      <c r="C867" s="36"/>
      <c r="D867" s="36"/>
      <c r="E867" s="23"/>
      <c r="F867" s="36"/>
      <c r="G867" s="36"/>
      <c r="H867" s="23"/>
      <c r="I867" s="36"/>
      <c r="J867" s="36"/>
      <c r="K867" s="23"/>
      <c r="L867" s="36"/>
      <c r="M867" s="36"/>
      <c r="N867" s="23"/>
      <c r="O867" s="36"/>
      <c r="P867" s="36"/>
      <c r="Q867" s="36"/>
      <c r="R867" s="36"/>
      <c r="S867" s="36"/>
      <c r="T867" s="36"/>
      <c r="U867" s="36"/>
      <c r="V867" s="36"/>
      <c r="W867" s="23"/>
      <c r="X867" s="36"/>
      <c r="Y867" s="36"/>
      <c r="Z867" s="23"/>
      <c r="AA867" s="36"/>
      <c r="AB867" s="36"/>
      <c r="AC867" s="23"/>
      <c r="AD867" s="36"/>
      <c r="AE867" s="36"/>
      <c r="AF867" s="23"/>
    </row>
    <row r="868" spans="1:32" x14ac:dyDescent="0.25">
      <c r="A868" s="23"/>
      <c r="B868" s="23"/>
      <c r="C868" s="36"/>
      <c r="D868" s="36"/>
      <c r="E868" s="23"/>
      <c r="F868" s="36"/>
      <c r="G868" s="36"/>
      <c r="H868" s="23"/>
      <c r="I868" s="36"/>
      <c r="J868" s="36"/>
      <c r="K868" s="23"/>
      <c r="L868" s="36"/>
      <c r="M868" s="36"/>
      <c r="N868" s="23"/>
      <c r="O868" s="36"/>
      <c r="P868" s="36"/>
      <c r="Q868" s="36"/>
      <c r="R868" s="36"/>
      <c r="S868" s="36"/>
      <c r="T868" s="36"/>
      <c r="U868" s="36"/>
      <c r="V868" s="36"/>
      <c r="W868" s="23"/>
      <c r="X868" s="36"/>
      <c r="Y868" s="36"/>
      <c r="Z868" s="23"/>
      <c r="AA868" s="36"/>
      <c r="AB868" s="36"/>
      <c r="AC868" s="23"/>
      <c r="AD868" s="36"/>
      <c r="AE868" s="36"/>
      <c r="AF868" s="23"/>
    </row>
    <row r="869" spans="1:32" x14ac:dyDescent="0.25">
      <c r="A869" s="23"/>
      <c r="B869" s="23"/>
      <c r="C869" s="36"/>
      <c r="D869" s="36"/>
      <c r="E869" s="23"/>
      <c r="F869" s="36"/>
      <c r="G869" s="36"/>
      <c r="H869" s="23"/>
      <c r="I869" s="36"/>
      <c r="J869" s="36"/>
      <c r="K869" s="23"/>
      <c r="L869" s="36"/>
      <c r="M869" s="36"/>
      <c r="N869" s="23"/>
      <c r="O869" s="36"/>
      <c r="P869" s="36"/>
      <c r="Q869" s="36"/>
      <c r="R869" s="36"/>
      <c r="S869" s="36"/>
      <c r="T869" s="36"/>
      <c r="U869" s="36"/>
      <c r="V869" s="36"/>
      <c r="W869" s="23"/>
      <c r="X869" s="36"/>
      <c r="Y869" s="36"/>
      <c r="Z869" s="23"/>
      <c r="AA869" s="36"/>
      <c r="AB869" s="36"/>
      <c r="AC869" s="23"/>
      <c r="AD869" s="36"/>
      <c r="AE869" s="36"/>
      <c r="AF869" s="23"/>
    </row>
    <row r="870" spans="1:32" x14ac:dyDescent="0.25">
      <c r="A870" s="23"/>
      <c r="B870" s="23"/>
      <c r="C870" s="36"/>
      <c r="D870" s="36"/>
      <c r="E870" s="23"/>
      <c r="F870" s="36"/>
      <c r="G870" s="36"/>
      <c r="H870" s="23"/>
      <c r="I870" s="36"/>
      <c r="J870" s="36"/>
      <c r="K870" s="23"/>
      <c r="L870" s="36"/>
      <c r="M870" s="36"/>
      <c r="N870" s="23"/>
      <c r="O870" s="36"/>
      <c r="P870" s="36"/>
      <c r="Q870" s="36"/>
      <c r="R870" s="36"/>
      <c r="S870" s="36"/>
      <c r="T870" s="36"/>
      <c r="U870" s="36"/>
      <c r="V870" s="36"/>
      <c r="W870" s="23"/>
      <c r="X870" s="36"/>
      <c r="Y870" s="36"/>
      <c r="Z870" s="23"/>
      <c r="AA870" s="36"/>
      <c r="AB870" s="36"/>
      <c r="AC870" s="23"/>
      <c r="AD870" s="36"/>
      <c r="AE870" s="36"/>
      <c r="AF870" s="23"/>
    </row>
    <row r="871" spans="1:32" x14ac:dyDescent="0.25">
      <c r="A871" s="23"/>
      <c r="B871" s="23"/>
      <c r="C871" s="36"/>
      <c r="D871" s="36"/>
      <c r="E871" s="23"/>
      <c r="F871" s="36"/>
      <c r="G871" s="36"/>
      <c r="H871" s="23"/>
      <c r="I871" s="36"/>
      <c r="J871" s="36"/>
      <c r="K871" s="23"/>
      <c r="L871" s="36"/>
      <c r="M871" s="36"/>
      <c r="N871" s="23"/>
      <c r="O871" s="36"/>
      <c r="P871" s="36"/>
      <c r="Q871" s="36"/>
      <c r="R871" s="36"/>
      <c r="S871" s="36"/>
      <c r="T871" s="36"/>
      <c r="U871" s="36"/>
      <c r="V871" s="36"/>
      <c r="W871" s="23"/>
      <c r="X871" s="36"/>
      <c r="Y871" s="36"/>
      <c r="Z871" s="23"/>
      <c r="AA871" s="36"/>
      <c r="AB871" s="36"/>
      <c r="AC871" s="23"/>
      <c r="AD871" s="36"/>
      <c r="AE871" s="36"/>
      <c r="AF871" s="23"/>
    </row>
    <row r="872" spans="1:32" x14ac:dyDescent="0.25">
      <c r="A872" s="23"/>
      <c r="B872" s="23"/>
      <c r="C872" s="36"/>
      <c r="D872" s="36"/>
      <c r="E872" s="23"/>
      <c r="F872" s="36"/>
      <c r="G872" s="36"/>
      <c r="H872" s="23"/>
      <c r="I872" s="36"/>
      <c r="J872" s="36"/>
      <c r="K872" s="23"/>
      <c r="L872" s="36"/>
      <c r="M872" s="36"/>
      <c r="N872" s="23"/>
      <c r="O872" s="36"/>
      <c r="P872" s="36"/>
      <c r="Q872" s="36"/>
      <c r="R872" s="36"/>
      <c r="S872" s="36"/>
      <c r="T872" s="36"/>
      <c r="U872" s="36"/>
      <c r="V872" s="36"/>
      <c r="W872" s="23"/>
      <c r="X872" s="36"/>
      <c r="Y872" s="36"/>
      <c r="Z872" s="23"/>
      <c r="AA872" s="36"/>
      <c r="AB872" s="36"/>
      <c r="AC872" s="23"/>
      <c r="AD872" s="36"/>
      <c r="AE872" s="36"/>
      <c r="AF872" s="23"/>
    </row>
    <row r="873" spans="1:32" x14ac:dyDescent="0.25">
      <c r="A873" s="23"/>
      <c r="B873" s="23"/>
      <c r="C873" s="36"/>
      <c r="D873" s="36"/>
      <c r="E873" s="23"/>
      <c r="F873" s="36"/>
      <c r="G873" s="36"/>
      <c r="H873" s="23"/>
      <c r="I873" s="36"/>
      <c r="J873" s="36"/>
      <c r="K873" s="23"/>
      <c r="L873" s="36"/>
      <c r="M873" s="36"/>
      <c r="N873" s="23"/>
      <c r="O873" s="36"/>
      <c r="P873" s="36"/>
      <c r="Q873" s="36"/>
      <c r="R873" s="36"/>
      <c r="S873" s="36"/>
      <c r="T873" s="36"/>
      <c r="U873" s="36"/>
      <c r="V873" s="36"/>
      <c r="W873" s="23"/>
      <c r="X873" s="36"/>
      <c r="Y873" s="36"/>
      <c r="Z873" s="23"/>
      <c r="AA873" s="36"/>
      <c r="AB873" s="36"/>
      <c r="AC873" s="23"/>
      <c r="AD873" s="36"/>
      <c r="AE873" s="36"/>
      <c r="AF873" s="23"/>
    </row>
    <row r="874" spans="1:32" x14ac:dyDescent="0.25">
      <c r="A874" s="23"/>
      <c r="B874" s="23"/>
      <c r="C874" s="36"/>
      <c r="D874" s="36"/>
      <c r="E874" s="23"/>
      <c r="F874" s="36"/>
      <c r="G874" s="36"/>
      <c r="H874" s="23"/>
      <c r="I874" s="36"/>
      <c r="J874" s="36"/>
      <c r="K874" s="23"/>
      <c r="L874" s="36"/>
      <c r="M874" s="36"/>
      <c r="N874" s="23"/>
      <c r="O874" s="36"/>
      <c r="P874" s="36"/>
      <c r="Q874" s="36"/>
      <c r="R874" s="36"/>
      <c r="S874" s="36"/>
      <c r="T874" s="36"/>
      <c r="U874" s="36"/>
      <c r="V874" s="36"/>
      <c r="W874" s="23"/>
      <c r="X874" s="36"/>
      <c r="Y874" s="36"/>
      <c r="Z874" s="23"/>
      <c r="AA874" s="36"/>
      <c r="AB874" s="36"/>
      <c r="AC874" s="23"/>
      <c r="AD874" s="36"/>
      <c r="AE874" s="36"/>
      <c r="AF874" s="23"/>
    </row>
    <row r="875" spans="1:32" x14ac:dyDescent="0.25">
      <c r="A875" s="23"/>
      <c r="B875" s="23"/>
      <c r="C875" s="36"/>
      <c r="D875" s="36"/>
      <c r="E875" s="23"/>
      <c r="F875" s="36"/>
      <c r="G875" s="36"/>
      <c r="H875" s="23"/>
      <c r="I875" s="36"/>
      <c r="J875" s="36"/>
      <c r="K875" s="23"/>
      <c r="L875" s="36"/>
      <c r="M875" s="36"/>
      <c r="N875" s="23"/>
      <c r="O875" s="36"/>
      <c r="P875" s="36"/>
      <c r="Q875" s="36"/>
      <c r="R875" s="36"/>
      <c r="S875" s="36"/>
      <c r="T875" s="36"/>
      <c r="U875" s="36"/>
      <c r="V875" s="36"/>
      <c r="W875" s="23"/>
      <c r="X875" s="36"/>
      <c r="Y875" s="36"/>
      <c r="Z875" s="23"/>
      <c r="AA875" s="36"/>
      <c r="AB875" s="36"/>
      <c r="AC875" s="23"/>
      <c r="AD875" s="36"/>
      <c r="AE875" s="36"/>
      <c r="AF875" s="23"/>
    </row>
    <row r="876" spans="1:32" x14ac:dyDescent="0.25">
      <c r="A876" s="23"/>
      <c r="B876" s="23"/>
      <c r="C876" s="36"/>
      <c r="D876" s="36"/>
      <c r="E876" s="23"/>
      <c r="F876" s="36"/>
      <c r="G876" s="36"/>
      <c r="H876" s="23"/>
      <c r="I876" s="36"/>
      <c r="J876" s="36"/>
      <c r="K876" s="23"/>
      <c r="L876" s="36"/>
      <c r="M876" s="36"/>
      <c r="N876" s="23"/>
      <c r="O876" s="36"/>
      <c r="P876" s="36"/>
      <c r="Q876" s="36"/>
      <c r="R876" s="36"/>
      <c r="S876" s="36"/>
      <c r="T876" s="36"/>
      <c r="U876" s="36"/>
      <c r="V876" s="36"/>
      <c r="W876" s="23"/>
      <c r="X876" s="36"/>
      <c r="Y876" s="36"/>
      <c r="Z876" s="23"/>
      <c r="AA876" s="36"/>
      <c r="AB876" s="36"/>
      <c r="AC876" s="23"/>
      <c r="AD876" s="36"/>
      <c r="AE876" s="36"/>
      <c r="AF876" s="23"/>
    </row>
    <row r="877" spans="1:32" x14ac:dyDescent="0.25">
      <c r="A877" s="23"/>
      <c r="B877" s="23"/>
      <c r="C877" s="36"/>
      <c r="D877" s="36"/>
      <c r="E877" s="23"/>
      <c r="F877" s="36"/>
      <c r="G877" s="36"/>
      <c r="H877" s="23"/>
      <c r="I877" s="36"/>
      <c r="J877" s="36"/>
      <c r="K877" s="23"/>
      <c r="L877" s="36"/>
      <c r="M877" s="36"/>
      <c r="N877" s="23"/>
      <c r="O877" s="36"/>
      <c r="P877" s="36"/>
      <c r="Q877" s="36"/>
      <c r="R877" s="36"/>
      <c r="S877" s="36"/>
      <c r="T877" s="36"/>
      <c r="U877" s="36"/>
      <c r="V877" s="36"/>
      <c r="W877" s="23"/>
      <c r="X877" s="36"/>
      <c r="Y877" s="36"/>
      <c r="Z877" s="23"/>
      <c r="AA877" s="36"/>
      <c r="AB877" s="36"/>
      <c r="AC877" s="23"/>
      <c r="AD877" s="36"/>
      <c r="AE877" s="36"/>
      <c r="AF877" s="23"/>
    </row>
    <row r="878" spans="1:32" x14ac:dyDescent="0.25">
      <c r="A878" s="23"/>
      <c r="B878" s="23"/>
      <c r="C878" s="36"/>
      <c r="D878" s="36"/>
      <c r="E878" s="23"/>
      <c r="F878" s="36"/>
      <c r="G878" s="36"/>
      <c r="H878" s="23"/>
      <c r="I878" s="36"/>
      <c r="J878" s="36"/>
      <c r="K878" s="23"/>
      <c r="L878" s="36"/>
      <c r="M878" s="36"/>
      <c r="N878" s="23"/>
      <c r="O878" s="36"/>
      <c r="P878" s="36"/>
      <c r="Q878" s="36"/>
      <c r="R878" s="36"/>
      <c r="S878" s="36"/>
      <c r="T878" s="36"/>
      <c r="U878" s="36"/>
      <c r="V878" s="36"/>
      <c r="W878" s="23"/>
      <c r="X878" s="36"/>
      <c r="Y878" s="36"/>
      <c r="Z878" s="23"/>
      <c r="AA878" s="36"/>
      <c r="AB878" s="36"/>
      <c r="AC878" s="23"/>
      <c r="AD878" s="36"/>
      <c r="AE878" s="36"/>
      <c r="AF878" s="23"/>
    </row>
    <row r="879" spans="1:32" x14ac:dyDescent="0.25">
      <c r="A879" s="23"/>
      <c r="B879" s="23"/>
      <c r="C879" s="36"/>
      <c r="D879" s="36"/>
      <c r="E879" s="23"/>
      <c r="F879" s="36"/>
      <c r="G879" s="36"/>
      <c r="H879" s="23"/>
      <c r="I879" s="36"/>
      <c r="J879" s="36"/>
      <c r="K879" s="23"/>
      <c r="L879" s="36"/>
      <c r="M879" s="36"/>
      <c r="N879" s="23"/>
      <c r="O879" s="36"/>
      <c r="P879" s="36"/>
      <c r="Q879" s="36"/>
      <c r="R879" s="36"/>
      <c r="S879" s="36"/>
      <c r="T879" s="36"/>
      <c r="U879" s="36"/>
      <c r="V879" s="36"/>
      <c r="W879" s="23"/>
      <c r="X879" s="36"/>
      <c r="Y879" s="36"/>
      <c r="Z879" s="23"/>
      <c r="AA879" s="36"/>
      <c r="AB879" s="36"/>
      <c r="AC879" s="23"/>
      <c r="AD879" s="36"/>
      <c r="AE879" s="36"/>
      <c r="AF879" s="23"/>
    </row>
    <row r="880" spans="1:32" x14ac:dyDescent="0.25">
      <c r="A880" s="23"/>
      <c r="B880" s="23"/>
      <c r="C880" s="36"/>
      <c r="D880" s="36"/>
      <c r="E880" s="23"/>
      <c r="F880" s="36"/>
      <c r="G880" s="36"/>
      <c r="H880" s="23"/>
      <c r="I880" s="36"/>
      <c r="J880" s="36"/>
      <c r="K880" s="23"/>
      <c r="L880" s="36"/>
      <c r="M880" s="36"/>
      <c r="N880" s="23"/>
      <c r="O880" s="36"/>
      <c r="P880" s="36"/>
      <c r="Q880" s="36"/>
      <c r="R880" s="36"/>
      <c r="S880" s="36"/>
      <c r="T880" s="36"/>
      <c r="U880" s="36"/>
      <c r="V880" s="36"/>
      <c r="W880" s="23"/>
      <c r="X880" s="36"/>
      <c r="Y880" s="36"/>
      <c r="Z880" s="23"/>
      <c r="AA880" s="36"/>
      <c r="AB880" s="36"/>
      <c r="AC880" s="23"/>
      <c r="AD880" s="36"/>
      <c r="AE880" s="36"/>
      <c r="AF880" s="23"/>
    </row>
    <row r="881" spans="1:32" x14ac:dyDescent="0.25">
      <c r="A881" s="23"/>
      <c r="B881" s="23"/>
      <c r="C881" s="36"/>
      <c r="D881" s="36"/>
      <c r="E881" s="23"/>
      <c r="F881" s="36"/>
      <c r="G881" s="36"/>
      <c r="H881" s="23"/>
      <c r="I881" s="36"/>
      <c r="J881" s="36"/>
      <c r="K881" s="23"/>
      <c r="L881" s="36"/>
      <c r="M881" s="36"/>
      <c r="N881" s="23"/>
      <c r="O881" s="36"/>
      <c r="P881" s="36"/>
      <c r="Q881" s="36"/>
      <c r="R881" s="36"/>
      <c r="S881" s="36"/>
      <c r="T881" s="36"/>
      <c r="U881" s="36"/>
      <c r="V881" s="36"/>
      <c r="W881" s="23"/>
      <c r="X881" s="36"/>
      <c r="Y881" s="36"/>
      <c r="Z881" s="23"/>
      <c r="AA881" s="36"/>
      <c r="AB881" s="36"/>
      <c r="AC881" s="23"/>
      <c r="AD881" s="36"/>
      <c r="AE881" s="36"/>
      <c r="AF881" s="23"/>
    </row>
    <row r="882" spans="1:32" x14ac:dyDescent="0.25">
      <c r="A882" s="23"/>
      <c r="B882" s="23"/>
      <c r="C882" s="36"/>
      <c r="D882" s="36"/>
      <c r="E882" s="23"/>
      <c r="F882" s="36"/>
      <c r="G882" s="36"/>
      <c r="H882" s="23"/>
      <c r="I882" s="36"/>
      <c r="J882" s="36"/>
      <c r="K882" s="23"/>
      <c r="L882" s="36"/>
      <c r="M882" s="36"/>
      <c r="N882" s="23"/>
      <c r="O882" s="36"/>
      <c r="P882" s="36"/>
      <c r="Q882" s="36"/>
      <c r="R882" s="36"/>
      <c r="S882" s="36"/>
      <c r="T882" s="36"/>
      <c r="U882" s="36"/>
      <c r="V882" s="36"/>
      <c r="W882" s="23"/>
      <c r="X882" s="36"/>
      <c r="Y882" s="36"/>
      <c r="Z882" s="23"/>
      <c r="AA882" s="36"/>
      <c r="AB882" s="36"/>
      <c r="AC882" s="23"/>
      <c r="AD882" s="36"/>
      <c r="AE882" s="36"/>
      <c r="AF882" s="23"/>
    </row>
    <row r="883" spans="1:32" x14ac:dyDescent="0.25">
      <c r="A883" s="23"/>
      <c r="B883" s="23"/>
      <c r="C883" s="36"/>
      <c r="D883" s="36"/>
      <c r="E883" s="23"/>
      <c r="F883" s="36"/>
      <c r="G883" s="36"/>
      <c r="H883" s="23"/>
      <c r="I883" s="36"/>
      <c r="J883" s="36"/>
      <c r="K883" s="23"/>
      <c r="L883" s="36"/>
      <c r="M883" s="36"/>
      <c r="N883" s="23"/>
      <c r="O883" s="36"/>
      <c r="P883" s="36"/>
      <c r="Q883" s="36"/>
      <c r="R883" s="36"/>
      <c r="S883" s="36"/>
      <c r="T883" s="36"/>
      <c r="U883" s="36"/>
      <c r="V883" s="36"/>
      <c r="W883" s="23"/>
      <c r="X883" s="36"/>
      <c r="Y883" s="36"/>
      <c r="Z883" s="23"/>
      <c r="AA883" s="36"/>
      <c r="AB883" s="36"/>
      <c r="AC883" s="23"/>
      <c r="AD883" s="36"/>
      <c r="AE883" s="36"/>
      <c r="AF883" s="23"/>
    </row>
    <row r="884" spans="1:32" x14ac:dyDescent="0.25">
      <c r="A884" s="23"/>
      <c r="B884" s="23"/>
      <c r="C884" s="36"/>
      <c r="D884" s="36"/>
      <c r="E884" s="23"/>
      <c r="F884" s="36"/>
      <c r="G884" s="36"/>
      <c r="H884" s="23"/>
      <c r="I884" s="36"/>
      <c r="J884" s="36"/>
      <c r="K884" s="23"/>
      <c r="L884" s="36"/>
      <c r="M884" s="36"/>
      <c r="N884" s="23"/>
      <c r="O884" s="36"/>
      <c r="P884" s="36"/>
      <c r="Q884" s="36"/>
      <c r="R884" s="36"/>
      <c r="S884" s="36"/>
      <c r="T884" s="36"/>
      <c r="U884" s="36"/>
      <c r="V884" s="36"/>
      <c r="W884" s="23"/>
      <c r="X884" s="36"/>
      <c r="Y884" s="36"/>
      <c r="Z884" s="23"/>
      <c r="AA884" s="36"/>
      <c r="AB884" s="36"/>
      <c r="AC884" s="23"/>
      <c r="AD884" s="36"/>
      <c r="AE884" s="36"/>
      <c r="AF884" s="23"/>
    </row>
    <row r="885" spans="1:32" x14ac:dyDescent="0.25">
      <c r="A885" s="23"/>
      <c r="B885" s="23"/>
      <c r="C885" s="36"/>
      <c r="D885" s="36"/>
      <c r="E885" s="23"/>
      <c r="F885" s="36"/>
      <c r="G885" s="36"/>
      <c r="H885" s="23"/>
      <c r="I885" s="36"/>
      <c r="J885" s="36"/>
      <c r="K885" s="23"/>
      <c r="L885" s="36"/>
      <c r="M885" s="36"/>
      <c r="N885" s="23"/>
      <c r="O885" s="36"/>
      <c r="P885" s="36"/>
      <c r="Q885" s="36"/>
      <c r="R885" s="36"/>
      <c r="S885" s="36"/>
      <c r="T885" s="36"/>
      <c r="U885" s="36"/>
      <c r="V885" s="36"/>
      <c r="W885" s="23"/>
      <c r="X885" s="36"/>
      <c r="Y885" s="36"/>
      <c r="Z885" s="23"/>
      <c r="AA885" s="36"/>
      <c r="AB885" s="36"/>
      <c r="AC885" s="23"/>
      <c r="AD885" s="36"/>
      <c r="AE885" s="36"/>
      <c r="AF885" s="23"/>
    </row>
    <row r="886" spans="1:32" x14ac:dyDescent="0.25">
      <c r="A886" s="23"/>
      <c r="B886" s="23"/>
      <c r="C886" s="36"/>
      <c r="D886" s="36"/>
      <c r="E886" s="23"/>
      <c r="F886" s="36"/>
      <c r="G886" s="36"/>
      <c r="H886" s="23"/>
      <c r="I886" s="36"/>
      <c r="J886" s="36"/>
      <c r="K886" s="23"/>
      <c r="L886" s="36"/>
      <c r="M886" s="36"/>
      <c r="N886" s="23"/>
      <c r="O886" s="36"/>
      <c r="P886" s="36"/>
      <c r="Q886" s="36"/>
      <c r="R886" s="36"/>
      <c r="S886" s="36"/>
      <c r="T886" s="36"/>
      <c r="U886" s="36"/>
      <c r="V886" s="36"/>
      <c r="W886" s="23"/>
      <c r="X886" s="36"/>
      <c r="Y886" s="36"/>
      <c r="Z886" s="23"/>
      <c r="AA886" s="36"/>
      <c r="AB886" s="36"/>
      <c r="AC886" s="23"/>
      <c r="AD886" s="36"/>
      <c r="AE886" s="36"/>
      <c r="AF886" s="23"/>
    </row>
    <row r="887" spans="1:32" x14ac:dyDescent="0.25">
      <c r="A887" s="23"/>
      <c r="B887" s="23"/>
      <c r="C887" s="36"/>
      <c r="D887" s="36"/>
      <c r="E887" s="23"/>
      <c r="F887" s="36"/>
      <c r="G887" s="36"/>
      <c r="H887" s="23"/>
      <c r="I887" s="36"/>
      <c r="J887" s="36"/>
      <c r="K887" s="23"/>
      <c r="L887" s="36"/>
      <c r="M887" s="36"/>
      <c r="N887" s="23"/>
      <c r="O887" s="36"/>
      <c r="P887" s="36"/>
      <c r="Q887" s="36"/>
      <c r="R887" s="36"/>
      <c r="S887" s="36"/>
      <c r="T887" s="36"/>
      <c r="U887" s="36"/>
      <c r="V887" s="36"/>
      <c r="W887" s="23"/>
      <c r="X887" s="36"/>
      <c r="Y887" s="36"/>
      <c r="Z887" s="23"/>
      <c r="AA887" s="36"/>
      <c r="AB887" s="36"/>
      <c r="AC887" s="23"/>
      <c r="AD887" s="36"/>
      <c r="AE887" s="36"/>
      <c r="AF887" s="23"/>
    </row>
    <row r="888" spans="1:32" x14ac:dyDescent="0.25">
      <c r="A888" s="23"/>
      <c r="B888" s="23"/>
      <c r="C888" s="36"/>
      <c r="D888" s="36"/>
      <c r="E888" s="23"/>
      <c r="F888" s="36"/>
      <c r="G888" s="36"/>
      <c r="H888" s="23"/>
      <c r="I888" s="36"/>
      <c r="J888" s="36"/>
      <c r="K888" s="23"/>
      <c r="L888" s="36"/>
      <c r="M888" s="36"/>
      <c r="N888" s="23"/>
      <c r="O888" s="36"/>
      <c r="P888" s="36"/>
      <c r="Q888" s="36"/>
      <c r="R888" s="36"/>
      <c r="S888" s="36"/>
      <c r="T888" s="36"/>
      <c r="U888" s="36"/>
      <c r="V888" s="36"/>
      <c r="W888" s="23"/>
      <c r="X888" s="36"/>
      <c r="Y888" s="36"/>
      <c r="Z888" s="23"/>
      <c r="AA888" s="36"/>
      <c r="AB888" s="36"/>
      <c r="AC888" s="23"/>
      <c r="AD888" s="36"/>
      <c r="AE888" s="36"/>
      <c r="AF888" s="23"/>
    </row>
    <row r="889" spans="1:32" x14ac:dyDescent="0.25">
      <c r="A889" s="23"/>
      <c r="B889" s="23"/>
      <c r="C889" s="36"/>
      <c r="D889" s="36"/>
      <c r="E889" s="23"/>
      <c r="F889" s="36"/>
      <c r="G889" s="36"/>
      <c r="H889" s="23"/>
      <c r="I889" s="36"/>
      <c r="J889" s="36"/>
      <c r="K889" s="23"/>
      <c r="L889" s="36"/>
      <c r="M889" s="36"/>
      <c r="N889" s="23"/>
      <c r="O889" s="36"/>
      <c r="P889" s="36"/>
      <c r="Q889" s="36"/>
      <c r="R889" s="36"/>
      <c r="S889" s="36"/>
      <c r="T889" s="36"/>
      <c r="U889" s="36"/>
      <c r="V889" s="36"/>
      <c r="W889" s="23"/>
      <c r="X889" s="36"/>
      <c r="Y889" s="36"/>
      <c r="Z889" s="23"/>
      <c r="AA889" s="36"/>
      <c r="AB889" s="36"/>
      <c r="AC889" s="23"/>
      <c r="AD889" s="36"/>
      <c r="AE889" s="36"/>
      <c r="AF889" s="23"/>
    </row>
    <row r="890" spans="1:32" x14ac:dyDescent="0.25">
      <c r="A890" s="23"/>
      <c r="B890" s="23"/>
      <c r="C890" s="36"/>
      <c r="D890" s="36"/>
      <c r="E890" s="23"/>
      <c r="F890" s="36"/>
      <c r="G890" s="36"/>
      <c r="H890" s="23"/>
      <c r="I890" s="36"/>
      <c r="J890" s="36"/>
      <c r="K890" s="23"/>
      <c r="L890" s="36"/>
      <c r="M890" s="36"/>
      <c r="N890" s="23"/>
      <c r="O890" s="36"/>
      <c r="P890" s="36"/>
      <c r="Q890" s="36"/>
      <c r="R890" s="36"/>
      <c r="S890" s="36"/>
      <c r="T890" s="36"/>
      <c r="U890" s="36"/>
      <c r="V890" s="36"/>
      <c r="W890" s="23"/>
      <c r="X890" s="36"/>
      <c r="Y890" s="36"/>
      <c r="Z890" s="23"/>
      <c r="AA890" s="36"/>
      <c r="AB890" s="36"/>
      <c r="AC890" s="23"/>
      <c r="AD890" s="36"/>
      <c r="AE890" s="36"/>
      <c r="AF890" s="23"/>
    </row>
    <row r="891" spans="1:32" x14ac:dyDescent="0.25">
      <c r="A891" s="23"/>
      <c r="B891" s="23"/>
      <c r="C891" s="36"/>
      <c r="D891" s="36"/>
      <c r="E891" s="23"/>
      <c r="F891" s="36"/>
      <c r="G891" s="36"/>
      <c r="H891" s="23"/>
      <c r="I891" s="36"/>
      <c r="J891" s="36"/>
      <c r="K891" s="23"/>
      <c r="L891" s="36"/>
      <c r="M891" s="36"/>
      <c r="N891" s="23"/>
      <c r="O891" s="36"/>
      <c r="P891" s="36"/>
      <c r="Q891" s="36"/>
      <c r="R891" s="36"/>
      <c r="S891" s="36"/>
      <c r="T891" s="36"/>
      <c r="U891" s="36"/>
      <c r="V891" s="36"/>
      <c r="W891" s="23"/>
      <c r="X891" s="36"/>
      <c r="Y891" s="36"/>
      <c r="Z891" s="23"/>
      <c r="AA891" s="36"/>
      <c r="AB891" s="36"/>
      <c r="AC891" s="23"/>
      <c r="AD891" s="36"/>
      <c r="AE891" s="36"/>
      <c r="AF891" s="23"/>
    </row>
    <row r="892" spans="1:32" x14ac:dyDescent="0.25">
      <c r="A892" s="23"/>
      <c r="B892" s="23"/>
      <c r="C892" s="36"/>
      <c r="D892" s="36"/>
      <c r="E892" s="23"/>
      <c r="F892" s="36"/>
      <c r="G892" s="36"/>
      <c r="H892" s="23"/>
      <c r="I892" s="36"/>
      <c r="J892" s="36"/>
      <c r="K892" s="23"/>
      <c r="L892" s="36"/>
      <c r="M892" s="36"/>
      <c r="N892" s="23"/>
      <c r="O892" s="36"/>
      <c r="P892" s="36"/>
      <c r="Q892" s="36"/>
      <c r="R892" s="36"/>
      <c r="S892" s="36"/>
      <c r="T892" s="36"/>
      <c r="U892" s="36"/>
      <c r="V892" s="36"/>
      <c r="W892" s="23"/>
      <c r="X892" s="36"/>
      <c r="Y892" s="36"/>
      <c r="Z892" s="23"/>
      <c r="AA892" s="36"/>
      <c r="AB892" s="36"/>
      <c r="AC892" s="23"/>
      <c r="AD892" s="36"/>
      <c r="AE892" s="36"/>
      <c r="AF892" s="23"/>
    </row>
    <row r="893" spans="1:32" x14ac:dyDescent="0.25">
      <c r="A893" s="23"/>
      <c r="B893" s="23"/>
      <c r="C893" s="36"/>
      <c r="D893" s="36"/>
      <c r="E893" s="23"/>
      <c r="F893" s="36"/>
      <c r="G893" s="36"/>
      <c r="H893" s="23"/>
      <c r="I893" s="36"/>
      <c r="J893" s="36"/>
      <c r="K893" s="23"/>
      <c r="L893" s="36"/>
      <c r="M893" s="36"/>
      <c r="N893" s="23"/>
      <c r="O893" s="36"/>
      <c r="P893" s="36"/>
      <c r="Q893" s="36"/>
      <c r="R893" s="36"/>
      <c r="S893" s="36"/>
      <c r="T893" s="36"/>
      <c r="U893" s="36"/>
      <c r="V893" s="36"/>
      <c r="W893" s="23"/>
      <c r="X893" s="36"/>
      <c r="Y893" s="36"/>
      <c r="Z893" s="23"/>
      <c r="AA893" s="36"/>
      <c r="AB893" s="36"/>
      <c r="AC893" s="23"/>
      <c r="AD893" s="36"/>
      <c r="AE893" s="36"/>
      <c r="AF893" s="23"/>
    </row>
    <row r="894" spans="1:32" x14ac:dyDescent="0.25">
      <c r="A894" s="23"/>
      <c r="B894" s="23"/>
      <c r="C894" s="36"/>
      <c r="D894" s="36"/>
      <c r="E894" s="23"/>
      <c r="F894" s="36"/>
      <c r="G894" s="36"/>
      <c r="H894" s="23"/>
      <c r="I894" s="36"/>
      <c r="J894" s="36"/>
      <c r="K894" s="23"/>
      <c r="L894" s="36"/>
      <c r="M894" s="36"/>
      <c r="N894" s="23"/>
      <c r="O894" s="36"/>
      <c r="P894" s="36"/>
      <c r="Q894" s="36"/>
      <c r="R894" s="36"/>
      <c r="S894" s="36"/>
      <c r="T894" s="36"/>
      <c r="U894" s="36"/>
      <c r="V894" s="36"/>
      <c r="W894" s="23"/>
      <c r="X894" s="36"/>
      <c r="Y894" s="36"/>
      <c r="Z894" s="23"/>
      <c r="AA894" s="36"/>
      <c r="AB894" s="36"/>
      <c r="AC894" s="23"/>
      <c r="AD894" s="36"/>
      <c r="AE894" s="36"/>
      <c r="AF894" s="23"/>
    </row>
    <row r="895" spans="1:32" x14ac:dyDescent="0.25">
      <c r="A895" s="23"/>
      <c r="B895" s="23"/>
      <c r="C895" s="36"/>
      <c r="D895" s="36"/>
      <c r="E895" s="23"/>
      <c r="F895" s="36"/>
      <c r="G895" s="36"/>
      <c r="H895" s="23"/>
      <c r="I895" s="36"/>
      <c r="J895" s="36"/>
      <c r="K895" s="23"/>
      <c r="L895" s="36"/>
      <c r="M895" s="36"/>
      <c r="N895" s="23"/>
      <c r="O895" s="36"/>
      <c r="P895" s="36"/>
      <c r="Q895" s="36"/>
      <c r="R895" s="36"/>
      <c r="S895" s="36"/>
      <c r="T895" s="36"/>
      <c r="U895" s="36"/>
      <c r="V895" s="36"/>
      <c r="W895" s="23"/>
      <c r="X895" s="36"/>
      <c r="Y895" s="36"/>
      <c r="Z895" s="23"/>
      <c r="AA895" s="36"/>
      <c r="AB895" s="36"/>
      <c r="AC895" s="23"/>
      <c r="AD895" s="36"/>
      <c r="AE895" s="36"/>
      <c r="AF895" s="23"/>
    </row>
    <row r="896" spans="1:32" x14ac:dyDescent="0.25">
      <c r="A896" s="23"/>
      <c r="B896" s="23"/>
      <c r="C896" s="36"/>
      <c r="D896" s="36"/>
      <c r="E896" s="23"/>
      <c r="F896" s="36"/>
      <c r="G896" s="36"/>
      <c r="H896" s="23"/>
      <c r="I896" s="36"/>
      <c r="J896" s="36"/>
      <c r="K896" s="23"/>
      <c r="L896" s="36"/>
      <c r="M896" s="36"/>
      <c r="N896" s="23"/>
      <c r="O896" s="36"/>
      <c r="P896" s="36"/>
      <c r="Q896" s="36"/>
      <c r="R896" s="36"/>
      <c r="S896" s="36"/>
      <c r="T896" s="36"/>
      <c r="U896" s="36"/>
      <c r="V896" s="36"/>
      <c r="W896" s="23"/>
      <c r="X896" s="36"/>
      <c r="Y896" s="36"/>
      <c r="Z896" s="23"/>
      <c r="AA896" s="36"/>
      <c r="AB896" s="36"/>
      <c r="AC896" s="23"/>
      <c r="AD896" s="36"/>
      <c r="AE896" s="36"/>
      <c r="AF896" s="23"/>
    </row>
    <row r="897" spans="1:32" x14ac:dyDescent="0.25">
      <c r="A897" s="23"/>
      <c r="B897" s="23"/>
      <c r="C897" s="36"/>
      <c r="D897" s="36"/>
      <c r="E897" s="23"/>
      <c r="F897" s="36"/>
      <c r="G897" s="36"/>
      <c r="H897" s="23"/>
      <c r="I897" s="36"/>
      <c r="J897" s="36"/>
      <c r="K897" s="23"/>
      <c r="L897" s="36"/>
      <c r="M897" s="36"/>
      <c r="N897" s="23"/>
      <c r="O897" s="36"/>
      <c r="P897" s="36"/>
      <c r="Q897" s="36"/>
      <c r="R897" s="36"/>
      <c r="S897" s="36"/>
      <c r="T897" s="36"/>
      <c r="U897" s="36"/>
      <c r="V897" s="36"/>
      <c r="W897" s="23"/>
      <c r="X897" s="36"/>
      <c r="Y897" s="36"/>
      <c r="Z897" s="23"/>
      <c r="AA897" s="36"/>
      <c r="AB897" s="36"/>
      <c r="AC897" s="23"/>
      <c r="AD897" s="36"/>
      <c r="AE897" s="36"/>
      <c r="AF897" s="23"/>
    </row>
    <row r="898" spans="1:32" x14ac:dyDescent="0.25">
      <c r="A898" s="23"/>
      <c r="B898" s="23"/>
      <c r="C898" s="36"/>
      <c r="D898" s="36"/>
      <c r="E898" s="23"/>
      <c r="F898" s="36"/>
      <c r="G898" s="36"/>
      <c r="H898" s="23"/>
      <c r="I898" s="36"/>
      <c r="J898" s="36"/>
      <c r="K898" s="23"/>
      <c r="L898" s="36"/>
      <c r="M898" s="36"/>
      <c r="N898" s="23"/>
      <c r="O898" s="36"/>
      <c r="P898" s="36"/>
      <c r="Q898" s="36"/>
      <c r="R898" s="36"/>
      <c r="S898" s="36"/>
      <c r="T898" s="36"/>
      <c r="U898" s="36"/>
      <c r="V898" s="36"/>
      <c r="W898" s="23"/>
      <c r="X898" s="36"/>
      <c r="Y898" s="36"/>
      <c r="Z898" s="23"/>
      <c r="AA898" s="36"/>
      <c r="AB898" s="36"/>
      <c r="AC898" s="23"/>
      <c r="AD898" s="36"/>
      <c r="AE898" s="36"/>
      <c r="AF898" s="23"/>
    </row>
    <row r="899" spans="1:32" x14ac:dyDescent="0.25">
      <c r="A899" s="23"/>
      <c r="B899" s="23"/>
      <c r="C899" s="36"/>
      <c r="D899" s="36"/>
      <c r="E899" s="23"/>
      <c r="F899" s="36"/>
      <c r="G899" s="36"/>
      <c r="H899" s="23"/>
      <c r="I899" s="36"/>
      <c r="J899" s="36"/>
      <c r="K899" s="23"/>
      <c r="L899" s="36"/>
      <c r="M899" s="36"/>
      <c r="N899" s="23"/>
      <c r="O899" s="36"/>
      <c r="P899" s="36"/>
      <c r="Q899" s="36"/>
      <c r="R899" s="36"/>
      <c r="S899" s="36"/>
      <c r="T899" s="36"/>
      <c r="U899" s="36"/>
      <c r="V899" s="36"/>
      <c r="W899" s="23"/>
      <c r="X899" s="36"/>
      <c r="Y899" s="36"/>
      <c r="Z899" s="23"/>
      <c r="AA899" s="36"/>
      <c r="AB899" s="36"/>
      <c r="AC899" s="23"/>
      <c r="AD899" s="36"/>
      <c r="AE899" s="36"/>
      <c r="AF899" s="23"/>
    </row>
    <row r="900" spans="1:32" x14ac:dyDescent="0.25">
      <c r="A900" s="23"/>
      <c r="B900" s="23"/>
      <c r="C900" s="36"/>
      <c r="D900" s="36"/>
      <c r="E900" s="23"/>
      <c r="F900" s="36"/>
      <c r="G900" s="36"/>
      <c r="H900" s="23"/>
      <c r="I900" s="36"/>
      <c r="J900" s="36"/>
      <c r="K900" s="23"/>
      <c r="L900" s="36"/>
      <c r="M900" s="36"/>
      <c r="N900" s="23"/>
      <c r="O900" s="36"/>
      <c r="P900" s="36"/>
      <c r="Q900" s="36"/>
      <c r="R900" s="36"/>
      <c r="S900" s="36"/>
      <c r="T900" s="36"/>
      <c r="U900" s="36"/>
      <c r="V900" s="36"/>
      <c r="W900" s="23"/>
      <c r="X900" s="36"/>
      <c r="Y900" s="36"/>
      <c r="Z900" s="23"/>
      <c r="AA900" s="36"/>
      <c r="AB900" s="36"/>
      <c r="AC900" s="23"/>
      <c r="AD900" s="36"/>
      <c r="AE900" s="36"/>
      <c r="AF900" s="23"/>
    </row>
    <row r="901" spans="1:32" x14ac:dyDescent="0.25">
      <c r="A901" s="23"/>
      <c r="B901" s="23"/>
      <c r="C901" s="36"/>
      <c r="D901" s="36"/>
      <c r="E901" s="23"/>
      <c r="F901" s="36"/>
      <c r="G901" s="36"/>
      <c r="H901" s="23"/>
      <c r="I901" s="36"/>
      <c r="J901" s="36"/>
      <c r="K901" s="23"/>
      <c r="L901" s="36"/>
      <c r="M901" s="36"/>
      <c r="N901" s="23"/>
      <c r="O901" s="36"/>
      <c r="P901" s="36"/>
      <c r="Q901" s="36"/>
      <c r="R901" s="36"/>
      <c r="S901" s="36"/>
      <c r="T901" s="36"/>
      <c r="U901" s="36"/>
      <c r="V901" s="36"/>
      <c r="W901" s="23"/>
      <c r="X901" s="36"/>
      <c r="Y901" s="36"/>
      <c r="Z901" s="23"/>
      <c r="AA901" s="36"/>
      <c r="AB901" s="36"/>
      <c r="AC901" s="23"/>
      <c r="AD901" s="36"/>
      <c r="AE901" s="36"/>
      <c r="AF901" s="23"/>
    </row>
    <row r="902" spans="1:32" x14ac:dyDescent="0.25">
      <c r="A902" s="23"/>
      <c r="B902" s="23"/>
      <c r="C902" s="36"/>
      <c r="D902" s="36"/>
      <c r="E902" s="23"/>
      <c r="F902" s="36"/>
      <c r="G902" s="36"/>
      <c r="H902" s="23"/>
      <c r="I902" s="36"/>
      <c r="J902" s="36"/>
      <c r="K902" s="23"/>
      <c r="L902" s="36"/>
      <c r="M902" s="36"/>
      <c r="N902" s="23"/>
      <c r="O902" s="36"/>
      <c r="P902" s="36"/>
      <c r="Q902" s="36"/>
      <c r="R902" s="36"/>
      <c r="S902" s="36"/>
      <c r="T902" s="36"/>
      <c r="U902" s="36"/>
      <c r="V902" s="36"/>
      <c r="W902" s="23"/>
      <c r="X902" s="36"/>
      <c r="Y902" s="36"/>
      <c r="Z902" s="23"/>
      <c r="AA902" s="36"/>
      <c r="AB902" s="36"/>
      <c r="AC902" s="23"/>
      <c r="AD902" s="36"/>
      <c r="AE902" s="36"/>
      <c r="AF902" s="23"/>
    </row>
    <row r="903" spans="1:32" x14ac:dyDescent="0.25">
      <c r="A903" s="23"/>
      <c r="B903" s="23"/>
      <c r="C903" s="36"/>
      <c r="D903" s="36"/>
      <c r="E903" s="23"/>
      <c r="F903" s="36"/>
      <c r="G903" s="36"/>
      <c r="H903" s="23"/>
      <c r="I903" s="36"/>
      <c r="J903" s="36"/>
      <c r="K903" s="23"/>
      <c r="L903" s="36"/>
      <c r="M903" s="36"/>
      <c r="N903" s="23"/>
      <c r="O903" s="36"/>
      <c r="P903" s="36"/>
      <c r="Q903" s="36"/>
      <c r="R903" s="36"/>
      <c r="S903" s="36"/>
      <c r="T903" s="36"/>
      <c r="U903" s="36"/>
      <c r="V903" s="36"/>
      <c r="W903" s="23"/>
      <c r="X903" s="36"/>
      <c r="Y903" s="36"/>
      <c r="Z903" s="23"/>
      <c r="AA903" s="36"/>
      <c r="AB903" s="36"/>
      <c r="AC903" s="23"/>
      <c r="AD903" s="36"/>
      <c r="AE903" s="36"/>
      <c r="AF903" s="23"/>
    </row>
    <row r="904" spans="1:32" x14ac:dyDescent="0.25">
      <c r="A904" s="23"/>
      <c r="B904" s="23"/>
      <c r="C904" s="36"/>
      <c r="D904" s="36"/>
      <c r="E904" s="23"/>
      <c r="F904" s="36"/>
      <c r="G904" s="36"/>
      <c r="H904" s="23"/>
      <c r="I904" s="36"/>
      <c r="J904" s="36"/>
      <c r="K904" s="23"/>
      <c r="L904" s="36"/>
      <c r="M904" s="36"/>
      <c r="N904" s="23"/>
      <c r="O904" s="36"/>
      <c r="P904" s="36"/>
      <c r="Q904" s="36"/>
      <c r="R904" s="36"/>
      <c r="S904" s="36"/>
      <c r="T904" s="36"/>
      <c r="U904" s="36"/>
      <c r="V904" s="36"/>
      <c r="W904" s="23"/>
      <c r="X904" s="36"/>
      <c r="Y904" s="36"/>
      <c r="Z904" s="23"/>
      <c r="AA904" s="36"/>
      <c r="AB904" s="36"/>
      <c r="AC904" s="23"/>
      <c r="AD904" s="36"/>
      <c r="AE904" s="36"/>
      <c r="AF904" s="23"/>
    </row>
    <row r="905" spans="1:32" x14ac:dyDescent="0.25">
      <c r="A905" s="23"/>
      <c r="B905" s="23"/>
      <c r="C905" s="36"/>
      <c r="D905" s="36"/>
      <c r="E905" s="23"/>
      <c r="F905" s="36"/>
      <c r="G905" s="36"/>
      <c r="H905" s="23"/>
      <c r="I905" s="36"/>
      <c r="J905" s="36"/>
      <c r="K905" s="23"/>
      <c r="L905" s="36"/>
      <c r="M905" s="36"/>
      <c r="N905" s="23"/>
      <c r="O905" s="36"/>
      <c r="P905" s="36"/>
      <c r="Q905" s="36"/>
      <c r="R905" s="36"/>
      <c r="S905" s="36"/>
      <c r="T905" s="36"/>
      <c r="U905" s="36"/>
      <c r="V905" s="36"/>
      <c r="W905" s="23"/>
      <c r="X905" s="36"/>
      <c r="Y905" s="36"/>
      <c r="Z905" s="23"/>
      <c r="AA905" s="36"/>
      <c r="AB905" s="36"/>
      <c r="AC905" s="23"/>
      <c r="AD905" s="36"/>
      <c r="AE905" s="36"/>
      <c r="AF905" s="23"/>
    </row>
    <row r="906" spans="1:32" x14ac:dyDescent="0.25">
      <c r="A906" s="23"/>
      <c r="B906" s="23"/>
      <c r="C906" s="36"/>
      <c r="D906" s="36"/>
      <c r="E906" s="23"/>
      <c r="F906" s="36"/>
      <c r="G906" s="36"/>
      <c r="H906" s="23"/>
      <c r="I906" s="36"/>
      <c r="J906" s="36"/>
      <c r="K906" s="23"/>
      <c r="L906" s="36"/>
      <c r="M906" s="36"/>
      <c r="N906" s="23"/>
      <c r="O906" s="36"/>
      <c r="P906" s="36"/>
      <c r="Q906" s="36"/>
      <c r="R906" s="36"/>
      <c r="S906" s="36"/>
      <c r="T906" s="36"/>
      <c r="U906" s="36"/>
      <c r="V906" s="36"/>
      <c r="W906" s="23"/>
      <c r="X906" s="36"/>
      <c r="Y906" s="36"/>
      <c r="Z906" s="23"/>
      <c r="AA906" s="36"/>
      <c r="AB906" s="36"/>
      <c r="AC906" s="23"/>
      <c r="AD906" s="36"/>
      <c r="AE906" s="36"/>
      <c r="AF906" s="23"/>
    </row>
    <row r="907" spans="1:32" x14ac:dyDescent="0.25">
      <c r="A907" s="23"/>
      <c r="B907" s="23"/>
      <c r="C907" s="36"/>
      <c r="D907" s="36"/>
      <c r="E907" s="23"/>
      <c r="F907" s="36"/>
      <c r="G907" s="36"/>
      <c r="H907" s="23"/>
      <c r="I907" s="36"/>
      <c r="J907" s="36"/>
      <c r="K907" s="23"/>
      <c r="L907" s="36"/>
      <c r="M907" s="36"/>
      <c r="N907" s="23"/>
      <c r="O907" s="36"/>
      <c r="P907" s="36"/>
      <c r="Q907" s="36"/>
      <c r="R907" s="36"/>
      <c r="S907" s="36"/>
      <c r="T907" s="36"/>
      <c r="U907" s="36"/>
      <c r="V907" s="36"/>
      <c r="W907" s="23"/>
      <c r="X907" s="36"/>
      <c r="Y907" s="36"/>
      <c r="Z907" s="23"/>
      <c r="AA907" s="36"/>
      <c r="AB907" s="36"/>
      <c r="AC907" s="23"/>
      <c r="AD907" s="36"/>
      <c r="AE907" s="36"/>
      <c r="AF907" s="23"/>
    </row>
    <row r="908" spans="1:32" x14ac:dyDescent="0.25">
      <c r="A908" s="23"/>
      <c r="B908" s="23"/>
      <c r="C908" s="36"/>
      <c r="D908" s="36"/>
      <c r="E908" s="23"/>
      <c r="F908" s="36"/>
      <c r="G908" s="36"/>
      <c r="H908" s="23"/>
      <c r="I908" s="36"/>
      <c r="J908" s="36"/>
      <c r="K908" s="23"/>
      <c r="L908" s="36"/>
      <c r="M908" s="36"/>
      <c r="N908" s="23"/>
      <c r="O908" s="36"/>
      <c r="P908" s="36"/>
      <c r="Q908" s="36"/>
      <c r="R908" s="36"/>
      <c r="S908" s="36"/>
      <c r="T908" s="36"/>
      <c r="U908" s="36"/>
      <c r="V908" s="36"/>
      <c r="W908" s="23"/>
      <c r="X908" s="36"/>
      <c r="Y908" s="36"/>
      <c r="Z908" s="23"/>
      <c r="AA908" s="36"/>
      <c r="AB908" s="36"/>
      <c r="AC908" s="23"/>
      <c r="AD908" s="36"/>
      <c r="AE908" s="36"/>
      <c r="AF908" s="23"/>
    </row>
    <row r="909" spans="1:32" x14ac:dyDescent="0.25">
      <c r="A909" s="23"/>
      <c r="B909" s="23"/>
      <c r="C909" s="36"/>
      <c r="D909" s="36"/>
      <c r="E909" s="23"/>
      <c r="F909" s="36"/>
      <c r="G909" s="36"/>
      <c r="H909" s="23"/>
      <c r="I909" s="36"/>
      <c r="J909" s="36"/>
      <c r="K909" s="23"/>
      <c r="L909" s="36"/>
      <c r="M909" s="36"/>
      <c r="N909" s="23"/>
      <c r="O909" s="36"/>
      <c r="P909" s="36"/>
      <c r="Q909" s="36"/>
      <c r="R909" s="36"/>
      <c r="S909" s="36"/>
      <c r="T909" s="36"/>
      <c r="U909" s="36"/>
      <c r="V909" s="36"/>
      <c r="W909" s="23"/>
      <c r="X909" s="36"/>
      <c r="Y909" s="36"/>
      <c r="Z909" s="23"/>
      <c r="AA909" s="36"/>
      <c r="AB909" s="36"/>
      <c r="AC909" s="23"/>
      <c r="AD909" s="36"/>
      <c r="AE909" s="36"/>
      <c r="AF909" s="23"/>
    </row>
    <row r="910" spans="1:32" x14ac:dyDescent="0.25">
      <c r="A910" s="23"/>
      <c r="B910" s="23"/>
      <c r="C910" s="36"/>
      <c r="D910" s="36"/>
      <c r="E910" s="23"/>
      <c r="F910" s="36"/>
      <c r="G910" s="36"/>
      <c r="H910" s="23"/>
      <c r="I910" s="36"/>
      <c r="J910" s="36"/>
      <c r="K910" s="23"/>
      <c r="L910" s="36"/>
      <c r="M910" s="36"/>
      <c r="N910" s="23"/>
      <c r="O910" s="36"/>
      <c r="P910" s="36"/>
      <c r="Q910" s="36"/>
      <c r="R910" s="36"/>
      <c r="S910" s="36"/>
      <c r="T910" s="36"/>
      <c r="U910" s="36"/>
      <c r="V910" s="36"/>
      <c r="W910" s="23"/>
      <c r="X910" s="36"/>
      <c r="Y910" s="36"/>
      <c r="Z910" s="23"/>
      <c r="AA910" s="36"/>
      <c r="AB910" s="36"/>
      <c r="AC910" s="23"/>
      <c r="AD910" s="36"/>
      <c r="AE910" s="36"/>
      <c r="AF910" s="23"/>
    </row>
    <row r="911" spans="1:32" x14ac:dyDescent="0.25">
      <c r="A911" s="23"/>
      <c r="B911" s="23"/>
      <c r="C911" s="36"/>
      <c r="D911" s="36"/>
      <c r="E911" s="23"/>
      <c r="F911" s="36"/>
      <c r="G911" s="36"/>
      <c r="H911" s="23"/>
      <c r="I911" s="36"/>
      <c r="J911" s="36"/>
      <c r="K911" s="23"/>
      <c r="L911" s="36"/>
      <c r="M911" s="36"/>
      <c r="N911" s="23"/>
      <c r="O911" s="36"/>
      <c r="P911" s="36"/>
      <c r="Q911" s="36"/>
      <c r="R911" s="36"/>
      <c r="S911" s="36"/>
      <c r="T911" s="36"/>
      <c r="U911" s="36"/>
      <c r="V911" s="36"/>
      <c r="W911" s="23"/>
      <c r="X911" s="36"/>
      <c r="Y911" s="36"/>
      <c r="Z911" s="23"/>
      <c r="AA911" s="36"/>
      <c r="AB911" s="36"/>
      <c r="AC911" s="23"/>
      <c r="AD911" s="36"/>
      <c r="AE911" s="36"/>
      <c r="AF911" s="23"/>
    </row>
    <row r="912" spans="1:32" x14ac:dyDescent="0.25">
      <c r="A912" s="23"/>
      <c r="B912" s="23"/>
      <c r="C912" s="36"/>
      <c r="D912" s="36"/>
      <c r="E912" s="23"/>
      <c r="F912" s="36"/>
      <c r="G912" s="36"/>
      <c r="H912" s="23"/>
      <c r="I912" s="36"/>
      <c r="J912" s="36"/>
      <c r="K912" s="23"/>
      <c r="L912" s="36"/>
      <c r="M912" s="36"/>
      <c r="N912" s="23"/>
      <c r="O912" s="36"/>
      <c r="P912" s="36"/>
      <c r="Q912" s="36"/>
      <c r="R912" s="36"/>
      <c r="S912" s="36"/>
      <c r="T912" s="36"/>
      <c r="U912" s="36"/>
      <c r="V912" s="36"/>
      <c r="W912" s="23"/>
      <c r="X912" s="36"/>
      <c r="Y912" s="36"/>
      <c r="Z912" s="23"/>
      <c r="AA912" s="36"/>
      <c r="AB912" s="36"/>
      <c r="AC912" s="23"/>
      <c r="AD912" s="36"/>
      <c r="AE912" s="36"/>
      <c r="AF912" s="23"/>
    </row>
    <row r="913" spans="1:32" x14ac:dyDescent="0.25">
      <c r="A913" s="23"/>
      <c r="B913" s="23"/>
      <c r="C913" s="36"/>
      <c r="D913" s="36"/>
      <c r="E913" s="23"/>
      <c r="F913" s="36"/>
      <c r="G913" s="36"/>
      <c r="H913" s="23"/>
      <c r="I913" s="36"/>
      <c r="J913" s="36"/>
      <c r="K913" s="23"/>
      <c r="L913" s="36"/>
      <c r="M913" s="36"/>
      <c r="N913" s="23"/>
      <c r="O913" s="36"/>
      <c r="P913" s="36"/>
      <c r="Q913" s="36"/>
      <c r="R913" s="36"/>
      <c r="S913" s="36"/>
      <c r="T913" s="36"/>
      <c r="U913" s="36"/>
      <c r="V913" s="36"/>
      <c r="W913" s="23"/>
      <c r="X913" s="36"/>
      <c r="Y913" s="36"/>
      <c r="Z913" s="23"/>
      <c r="AA913" s="36"/>
      <c r="AB913" s="36"/>
      <c r="AC913" s="23"/>
      <c r="AD913" s="36"/>
      <c r="AE913" s="36"/>
      <c r="AF913" s="23"/>
    </row>
    <row r="914" spans="1:32" x14ac:dyDescent="0.25">
      <c r="A914" s="23"/>
      <c r="B914" s="23"/>
      <c r="C914" s="36"/>
      <c r="D914" s="36"/>
      <c r="E914" s="23"/>
      <c r="F914" s="36"/>
      <c r="G914" s="36"/>
      <c r="H914" s="23"/>
      <c r="I914" s="36"/>
      <c r="J914" s="36"/>
      <c r="K914" s="23"/>
      <c r="L914" s="36"/>
      <c r="M914" s="36"/>
      <c r="N914" s="23"/>
      <c r="O914" s="36"/>
      <c r="P914" s="36"/>
      <c r="Q914" s="36"/>
      <c r="R914" s="36"/>
      <c r="S914" s="36"/>
      <c r="T914" s="36"/>
      <c r="U914" s="36"/>
      <c r="V914" s="36"/>
      <c r="W914" s="23"/>
      <c r="X914" s="36"/>
      <c r="Y914" s="36"/>
      <c r="Z914" s="23"/>
      <c r="AA914" s="36"/>
      <c r="AB914" s="36"/>
      <c r="AC914" s="23"/>
      <c r="AD914" s="36"/>
      <c r="AE914" s="36"/>
      <c r="AF914" s="23"/>
    </row>
    <row r="915" spans="1:32" x14ac:dyDescent="0.25">
      <c r="A915" s="23"/>
      <c r="B915" s="23"/>
      <c r="C915" s="36"/>
      <c r="D915" s="36"/>
      <c r="E915" s="23"/>
      <c r="F915" s="36"/>
      <c r="G915" s="36"/>
      <c r="H915" s="23"/>
      <c r="I915" s="36"/>
      <c r="J915" s="36"/>
      <c r="K915" s="23"/>
      <c r="L915" s="36"/>
      <c r="M915" s="36"/>
      <c r="N915" s="23"/>
      <c r="O915" s="36"/>
      <c r="P915" s="36"/>
      <c r="Q915" s="36"/>
      <c r="R915" s="36"/>
      <c r="S915" s="36"/>
      <c r="T915" s="36"/>
      <c r="U915" s="36"/>
      <c r="V915" s="36"/>
      <c r="W915" s="23"/>
      <c r="X915" s="36"/>
      <c r="Y915" s="36"/>
      <c r="Z915" s="23"/>
      <c r="AA915" s="36"/>
      <c r="AB915" s="36"/>
      <c r="AC915" s="23"/>
      <c r="AD915" s="36"/>
      <c r="AE915" s="36"/>
      <c r="AF915" s="23"/>
    </row>
    <row r="916" spans="1:32" x14ac:dyDescent="0.25">
      <c r="A916" s="23"/>
      <c r="B916" s="23"/>
      <c r="C916" s="36"/>
      <c r="D916" s="36"/>
      <c r="E916" s="23"/>
      <c r="F916" s="36"/>
      <c r="G916" s="36"/>
      <c r="H916" s="23"/>
      <c r="I916" s="36"/>
      <c r="J916" s="36"/>
      <c r="K916" s="23"/>
      <c r="L916" s="36"/>
      <c r="M916" s="36"/>
      <c r="N916" s="23"/>
      <c r="O916" s="36"/>
      <c r="P916" s="36"/>
      <c r="Q916" s="36"/>
      <c r="R916" s="36"/>
      <c r="S916" s="36"/>
      <c r="T916" s="36"/>
      <c r="U916" s="36"/>
      <c r="V916" s="36"/>
      <c r="W916" s="23"/>
      <c r="X916" s="36"/>
      <c r="Y916" s="36"/>
      <c r="Z916" s="23"/>
      <c r="AA916" s="36"/>
      <c r="AB916" s="36"/>
      <c r="AC916" s="23"/>
      <c r="AD916" s="36"/>
      <c r="AE916" s="36"/>
      <c r="AF916" s="23"/>
    </row>
    <row r="917" spans="1:32" x14ac:dyDescent="0.25">
      <c r="A917" s="23"/>
      <c r="B917" s="23"/>
      <c r="C917" s="36"/>
      <c r="D917" s="36"/>
      <c r="E917" s="23"/>
      <c r="F917" s="36"/>
      <c r="G917" s="36"/>
      <c r="H917" s="23"/>
      <c r="I917" s="36"/>
      <c r="J917" s="36"/>
      <c r="K917" s="23"/>
      <c r="L917" s="36"/>
      <c r="M917" s="36"/>
      <c r="N917" s="23"/>
      <c r="O917" s="36"/>
      <c r="P917" s="36"/>
      <c r="Q917" s="36"/>
      <c r="R917" s="36"/>
      <c r="S917" s="36"/>
      <c r="T917" s="36"/>
      <c r="U917" s="36"/>
      <c r="V917" s="36"/>
      <c r="W917" s="23"/>
      <c r="X917" s="36"/>
      <c r="Y917" s="36"/>
      <c r="Z917" s="23"/>
      <c r="AA917" s="36"/>
      <c r="AB917" s="36"/>
      <c r="AC917" s="23"/>
      <c r="AD917" s="36"/>
      <c r="AE917" s="36"/>
      <c r="AF917" s="23"/>
    </row>
    <row r="918" spans="1:32" x14ac:dyDescent="0.25">
      <c r="A918" s="23"/>
      <c r="B918" s="23"/>
      <c r="C918" s="36"/>
      <c r="D918" s="36"/>
      <c r="E918" s="23"/>
      <c r="F918" s="36"/>
      <c r="G918" s="36"/>
      <c r="H918" s="23"/>
      <c r="I918" s="36"/>
      <c r="J918" s="36"/>
      <c r="K918" s="23"/>
      <c r="L918" s="36"/>
      <c r="M918" s="36"/>
      <c r="N918" s="23"/>
      <c r="O918" s="36"/>
      <c r="P918" s="36"/>
      <c r="Q918" s="36"/>
      <c r="R918" s="36"/>
      <c r="S918" s="36"/>
      <c r="T918" s="36"/>
      <c r="U918" s="36"/>
      <c r="V918" s="36"/>
      <c r="W918" s="23"/>
      <c r="X918" s="36"/>
      <c r="Y918" s="36"/>
      <c r="Z918" s="23"/>
      <c r="AA918" s="36"/>
      <c r="AB918" s="36"/>
      <c r="AC918" s="23"/>
      <c r="AD918" s="36"/>
      <c r="AE918" s="36"/>
      <c r="AF918" s="23"/>
    </row>
    <row r="919" spans="1:32" x14ac:dyDescent="0.25">
      <c r="A919" s="23"/>
      <c r="B919" s="23"/>
      <c r="C919" s="36"/>
      <c r="D919" s="36"/>
      <c r="E919" s="23"/>
      <c r="F919" s="36"/>
      <c r="G919" s="36"/>
      <c r="H919" s="23"/>
      <c r="I919" s="36"/>
      <c r="J919" s="36"/>
      <c r="K919" s="23"/>
      <c r="L919" s="36"/>
      <c r="M919" s="36"/>
      <c r="N919" s="23"/>
      <c r="O919" s="36"/>
      <c r="P919" s="36"/>
      <c r="Q919" s="36"/>
      <c r="R919" s="36"/>
      <c r="S919" s="36"/>
      <c r="T919" s="36"/>
      <c r="U919" s="36"/>
      <c r="V919" s="36"/>
      <c r="W919" s="23"/>
      <c r="X919" s="36"/>
      <c r="Y919" s="36"/>
      <c r="Z919" s="23"/>
      <c r="AA919" s="36"/>
      <c r="AB919" s="36"/>
      <c r="AC919" s="23"/>
      <c r="AD919" s="36"/>
      <c r="AE919" s="36"/>
      <c r="AF919" s="23"/>
    </row>
    <row r="920" spans="1:32" x14ac:dyDescent="0.25">
      <c r="A920" s="23"/>
      <c r="B920" s="23"/>
      <c r="C920" s="36"/>
      <c r="D920" s="36"/>
      <c r="E920" s="23"/>
      <c r="F920" s="36"/>
      <c r="G920" s="36"/>
      <c r="H920" s="23"/>
      <c r="I920" s="36"/>
      <c r="J920" s="36"/>
      <c r="K920" s="23"/>
      <c r="L920" s="36"/>
      <c r="M920" s="36"/>
      <c r="N920" s="23"/>
      <c r="O920" s="36"/>
      <c r="P920" s="36"/>
      <c r="Q920" s="36"/>
      <c r="R920" s="36"/>
      <c r="S920" s="36"/>
      <c r="T920" s="36"/>
      <c r="U920" s="36"/>
      <c r="V920" s="36"/>
      <c r="W920" s="23"/>
      <c r="X920" s="36"/>
      <c r="Y920" s="36"/>
      <c r="Z920" s="23"/>
      <c r="AA920" s="36"/>
      <c r="AB920" s="36"/>
      <c r="AC920" s="23"/>
      <c r="AD920" s="36"/>
      <c r="AE920" s="36"/>
      <c r="AF920" s="23"/>
    </row>
    <row r="921" spans="1:32" x14ac:dyDescent="0.25">
      <c r="A921" s="23"/>
      <c r="B921" s="23"/>
      <c r="C921" s="36"/>
      <c r="D921" s="36"/>
      <c r="E921" s="23"/>
      <c r="F921" s="36"/>
      <c r="G921" s="36"/>
      <c r="H921" s="23"/>
      <c r="I921" s="36"/>
      <c r="J921" s="36"/>
      <c r="K921" s="23"/>
      <c r="L921" s="36"/>
      <c r="M921" s="36"/>
      <c r="N921" s="23"/>
      <c r="O921" s="36"/>
      <c r="P921" s="36"/>
      <c r="Q921" s="36"/>
      <c r="R921" s="36"/>
      <c r="S921" s="36"/>
      <c r="T921" s="36"/>
      <c r="U921" s="36"/>
      <c r="V921" s="36"/>
      <c r="W921" s="23"/>
      <c r="X921" s="36"/>
      <c r="Y921" s="36"/>
      <c r="Z921" s="23"/>
      <c r="AA921" s="36"/>
      <c r="AB921" s="36"/>
      <c r="AC921" s="23"/>
      <c r="AD921" s="36"/>
      <c r="AE921" s="36"/>
      <c r="AF921" s="23"/>
    </row>
    <row r="922" spans="1:32" x14ac:dyDescent="0.25">
      <c r="A922" s="23"/>
      <c r="B922" s="23"/>
      <c r="C922" s="36"/>
      <c r="D922" s="36"/>
      <c r="E922" s="23"/>
      <c r="F922" s="36"/>
      <c r="G922" s="36"/>
      <c r="H922" s="23"/>
      <c r="I922" s="36"/>
      <c r="J922" s="36"/>
      <c r="K922" s="23"/>
      <c r="L922" s="36"/>
      <c r="M922" s="36"/>
      <c r="N922" s="23"/>
      <c r="O922" s="36"/>
      <c r="P922" s="36"/>
      <c r="Q922" s="36"/>
      <c r="R922" s="36"/>
      <c r="S922" s="36"/>
      <c r="T922" s="36"/>
      <c r="U922" s="36"/>
      <c r="V922" s="36"/>
      <c r="W922" s="23"/>
      <c r="X922" s="36"/>
      <c r="Y922" s="36"/>
      <c r="Z922" s="23"/>
      <c r="AA922" s="36"/>
      <c r="AB922" s="36"/>
      <c r="AC922" s="23"/>
      <c r="AD922" s="36"/>
      <c r="AE922" s="36"/>
      <c r="AF922" s="23"/>
    </row>
    <row r="923" spans="1:32" x14ac:dyDescent="0.25">
      <c r="A923" s="23"/>
      <c r="B923" s="23"/>
      <c r="C923" s="36"/>
      <c r="D923" s="36"/>
      <c r="E923" s="23"/>
      <c r="F923" s="36"/>
      <c r="G923" s="36"/>
      <c r="H923" s="23"/>
      <c r="I923" s="36"/>
      <c r="J923" s="36"/>
      <c r="K923" s="23"/>
      <c r="L923" s="36"/>
      <c r="M923" s="36"/>
      <c r="N923" s="23"/>
      <c r="O923" s="36"/>
      <c r="P923" s="36"/>
      <c r="Q923" s="36"/>
      <c r="R923" s="36"/>
      <c r="S923" s="36"/>
      <c r="T923" s="36"/>
      <c r="U923" s="36"/>
      <c r="V923" s="36"/>
      <c r="W923" s="23"/>
      <c r="X923" s="36"/>
      <c r="Y923" s="36"/>
      <c r="Z923" s="23"/>
      <c r="AA923" s="36"/>
      <c r="AB923" s="36"/>
      <c r="AC923" s="23"/>
      <c r="AD923" s="36"/>
      <c r="AE923" s="36"/>
      <c r="AF923" s="23"/>
    </row>
    <row r="924" spans="1:32" x14ac:dyDescent="0.25">
      <c r="A924" s="23"/>
      <c r="B924" s="23"/>
      <c r="C924" s="36"/>
      <c r="D924" s="36"/>
      <c r="E924" s="23"/>
      <c r="F924" s="36"/>
      <c r="G924" s="36"/>
      <c r="H924" s="23"/>
      <c r="I924" s="36"/>
      <c r="J924" s="36"/>
      <c r="K924" s="23"/>
      <c r="L924" s="36"/>
      <c r="M924" s="36"/>
      <c r="N924" s="23"/>
      <c r="O924" s="36"/>
      <c r="P924" s="36"/>
      <c r="Q924" s="36"/>
      <c r="R924" s="36"/>
      <c r="S924" s="36"/>
      <c r="T924" s="36"/>
      <c r="U924" s="36"/>
      <c r="V924" s="36"/>
      <c r="W924" s="23"/>
      <c r="X924" s="36"/>
      <c r="Y924" s="36"/>
      <c r="Z924" s="23"/>
      <c r="AA924" s="36"/>
      <c r="AB924" s="36"/>
      <c r="AC924" s="23"/>
      <c r="AD924" s="36"/>
      <c r="AE924" s="36"/>
      <c r="AF924" s="23"/>
    </row>
    <row r="925" spans="1:32" x14ac:dyDescent="0.25">
      <c r="A925" s="23"/>
      <c r="B925" s="23"/>
      <c r="C925" s="36"/>
      <c r="D925" s="36"/>
      <c r="E925" s="23"/>
      <c r="F925" s="36"/>
      <c r="G925" s="36"/>
      <c r="H925" s="23"/>
      <c r="I925" s="36"/>
      <c r="J925" s="36"/>
      <c r="K925" s="23"/>
      <c r="L925" s="36"/>
      <c r="M925" s="36"/>
      <c r="N925" s="23"/>
      <c r="O925" s="36"/>
      <c r="P925" s="36"/>
      <c r="Q925" s="36"/>
      <c r="R925" s="36"/>
      <c r="S925" s="36"/>
      <c r="T925" s="36"/>
      <c r="U925" s="36"/>
      <c r="V925" s="36"/>
      <c r="W925" s="23"/>
      <c r="X925" s="36"/>
      <c r="Y925" s="36"/>
      <c r="Z925" s="23"/>
      <c r="AA925" s="36"/>
      <c r="AB925" s="36"/>
      <c r="AC925" s="23"/>
      <c r="AD925" s="36"/>
      <c r="AE925" s="36"/>
      <c r="AF925" s="23"/>
    </row>
    <row r="926" spans="1:32" x14ac:dyDescent="0.25">
      <c r="A926" s="23"/>
      <c r="B926" s="23"/>
      <c r="C926" s="36"/>
      <c r="D926" s="36"/>
      <c r="E926" s="23"/>
      <c r="F926" s="36"/>
      <c r="G926" s="36"/>
      <c r="H926" s="23"/>
      <c r="I926" s="36"/>
      <c r="J926" s="36"/>
      <c r="K926" s="23"/>
      <c r="L926" s="36"/>
      <c r="M926" s="36"/>
      <c r="N926" s="23"/>
      <c r="O926" s="36"/>
      <c r="P926" s="36"/>
      <c r="Q926" s="36"/>
      <c r="R926" s="36"/>
      <c r="S926" s="36"/>
      <c r="T926" s="36"/>
      <c r="U926" s="36"/>
      <c r="V926" s="36"/>
      <c r="W926" s="23"/>
      <c r="X926" s="36"/>
      <c r="Y926" s="36"/>
      <c r="Z926" s="23"/>
      <c r="AA926" s="36"/>
      <c r="AB926" s="36"/>
      <c r="AC926" s="23"/>
      <c r="AD926" s="36"/>
      <c r="AE926" s="36"/>
      <c r="AF926" s="23"/>
    </row>
    <row r="927" spans="1:32" x14ac:dyDescent="0.25">
      <c r="A927" s="23"/>
      <c r="B927" s="23"/>
      <c r="C927" s="36"/>
      <c r="D927" s="36"/>
      <c r="E927" s="23"/>
      <c r="F927" s="36"/>
      <c r="G927" s="36"/>
      <c r="H927" s="23"/>
      <c r="I927" s="36"/>
      <c r="J927" s="36"/>
      <c r="K927" s="23"/>
      <c r="L927" s="36"/>
      <c r="M927" s="36"/>
      <c r="N927" s="23"/>
      <c r="O927" s="36"/>
      <c r="P927" s="36"/>
      <c r="Q927" s="36"/>
      <c r="R927" s="36"/>
      <c r="S927" s="36"/>
      <c r="T927" s="36"/>
      <c r="U927" s="36"/>
      <c r="V927" s="36"/>
      <c r="W927" s="23"/>
      <c r="X927" s="36"/>
      <c r="Y927" s="36"/>
      <c r="Z927" s="23"/>
      <c r="AA927" s="36"/>
      <c r="AB927" s="36"/>
      <c r="AC927" s="23"/>
      <c r="AD927" s="36"/>
      <c r="AE927" s="36"/>
      <c r="AF927" s="23"/>
    </row>
    <row r="928" spans="1:32" x14ac:dyDescent="0.25">
      <c r="A928" s="23"/>
      <c r="B928" s="23"/>
      <c r="C928" s="36"/>
      <c r="D928" s="36"/>
      <c r="E928" s="23"/>
      <c r="F928" s="36"/>
      <c r="G928" s="36"/>
      <c r="H928" s="23"/>
      <c r="I928" s="36"/>
      <c r="J928" s="36"/>
      <c r="K928" s="23"/>
      <c r="L928" s="36"/>
      <c r="M928" s="36"/>
      <c r="N928" s="23"/>
      <c r="O928" s="36"/>
      <c r="P928" s="36"/>
      <c r="Q928" s="36"/>
      <c r="R928" s="36"/>
      <c r="S928" s="36"/>
      <c r="T928" s="36"/>
      <c r="U928" s="36"/>
      <c r="V928" s="36"/>
      <c r="W928" s="23"/>
      <c r="X928" s="36"/>
      <c r="Y928" s="36"/>
      <c r="Z928" s="23"/>
      <c r="AA928" s="36"/>
      <c r="AB928" s="36"/>
      <c r="AC928" s="23"/>
      <c r="AD928" s="36"/>
      <c r="AE928" s="36"/>
      <c r="AF928" s="23"/>
    </row>
    <row r="929" spans="1:32" x14ac:dyDescent="0.25">
      <c r="A929" s="23"/>
      <c r="B929" s="23"/>
      <c r="C929" s="36"/>
      <c r="D929" s="36"/>
      <c r="E929" s="23"/>
      <c r="F929" s="36"/>
      <c r="G929" s="36"/>
      <c r="H929" s="23"/>
      <c r="I929" s="36"/>
      <c r="J929" s="36"/>
      <c r="K929" s="23"/>
      <c r="L929" s="36"/>
      <c r="M929" s="36"/>
      <c r="N929" s="23"/>
      <c r="O929" s="36"/>
      <c r="P929" s="36"/>
      <c r="Q929" s="36"/>
      <c r="R929" s="36"/>
      <c r="S929" s="36"/>
      <c r="T929" s="36"/>
      <c r="U929" s="36"/>
      <c r="V929" s="36"/>
      <c r="W929" s="23"/>
      <c r="X929" s="36"/>
      <c r="Y929" s="36"/>
      <c r="Z929" s="23"/>
      <c r="AA929" s="36"/>
      <c r="AB929" s="36"/>
      <c r="AC929" s="23"/>
      <c r="AD929" s="36"/>
      <c r="AE929" s="36"/>
      <c r="AF929" s="23"/>
    </row>
    <row r="930" spans="1:32" x14ac:dyDescent="0.25">
      <c r="A930" s="23"/>
      <c r="B930" s="23"/>
      <c r="C930" s="36"/>
      <c r="D930" s="36"/>
      <c r="E930" s="23"/>
      <c r="F930" s="36"/>
      <c r="G930" s="36"/>
      <c r="H930" s="23"/>
      <c r="I930" s="36"/>
      <c r="J930" s="36"/>
      <c r="K930" s="23"/>
      <c r="L930" s="36"/>
      <c r="M930" s="36"/>
      <c r="N930" s="23"/>
      <c r="O930" s="36"/>
      <c r="P930" s="36"/>
      <c r="Q930" s="36"/>
      <c r="R930" s="36"/>
      <c r="S930" s="36"/>
      <c r="T930" s="36"/>
      <c r="U930" s="36"/>
      <c r="V930" s="36"/>
      <c r="W930" s="23"/>
      <c r="X930" s="36"/>
      <c r="Y930" s="36"/>
      <c r="Z930" s="23"/>
      <c r="AA930" s="36"/>
      <c r="AB930" s="36"/>
      <c r="AC930" s="23"/>
      <c r="AD930" s="36"/>
      <c r="AE930" s="36"/>
      <c r="AF930" s="23"/>
    </row>
    <row r="931" spans="1:32" x14ac:dyDescent="0.25">
      <c r="A931" s="23"/>
      <c r="B931" s="23"/>
      <c r="C931" s="36"/>
      <c r="D931" s="36"/>
      <c r="E931" s="23"/>
      <c r="F931" s="36"/>
      <c r="G931" s="36"/>
      <c r="H931" s="23"/>
      <c r="I931" s="36"/>
      <c r="J931" s="36"/>
      <c r="K931" s="23"/>
      <c r="L931" s="36"/>
      <c r="M931" s="36"/>
      <c r="N931" s="23"/>
      <c r="O931" s="36"/>
      <c r="P931" s="36"/>
      <c r="Q931" s="36"/>
      <c r="R931" s="36"/>
      <c r="S931" s="36"/>
      <c r="T931" s="36"/>
      <c r="U931" s="36"/>
      <c r="V931" s="36"/>
      <c r="W931" s="23"/>
      <c r="X931" s="36"/>
      <c r="Y931" s="36"/>
      <c r="Z931" s="23"/>
      <c r="AA931" s="36"/>
      <c r="AB931" s="36"/>
      <c r="AC931" s="23"/>
      <c r="AD931" s="36"/>
      <c r="AE931" s="36"/>
      <c r="AF931" s="23"/>
    </row>
    <row r="932" spans="1:32" x14ac:dyDescent="0.25">
      <c r="A932" s="23"/>
      <c r="B932" s="23"/>
      <c r="C932" s="36"/>
      <c r="D932" s="36"/>
      <c r="E932" s="23"/>
      <c r="F932" s="36"/>
      <c r="G932" s="36"/>
      <c r="H932" s="23"/>
      <c r="I932" s="36"/>
      <c r="J932" s="36"/>
      <c r="K932" s="23"/>
      <c r="L932" s="36"/>
      <c r="M932" s="36"/>
      <c r="N932" s="23"/>
      <c r="O932" s="36"/>
      <c r="P932" s="36"/>
      <c r="Q932" s="36"/>
      <c r="R932" s="36"/>
      <c r="S932" s="36"/>
      <c r="T932" s="36"/>
      <c r="U932" s="36"/>
      <c r="V932" s="36"/>
      <c r="W932" s="23"/>
      <c r="X932" s="36"/>
      <c r="Y932" s="36"/>
      <c r="Z932" s="23"/>
      <c r="AA932" s="36"/>
      <c r="AB932" s="36"/>
      <c r="AC932" s="23"/>
      <c r="AD932" s="36"/>
      <c r="AE932" s="36"/>
      <c r="AF932" s="23"/>
    </row>
    <row r="933" spans="1:32" x14ac:dyDescent="0.25">
      <c r="A933" s="23"/>
      <c r="B933" s="23"/>
      <c r="C933" s="36"/>
      <c r="D933" s="36"/>
      <c r="E933" s="23"/>
      <c r="F933" s="36"/>
      <c r="G933" s="36"/>
      <c r="H933" s="23"/>
      <c r="I933" s="36"/>
      <c r="J933" s="36"/>
      <c r="K933" s="23"/>
      <c r="L933" s="36"/>
      <c r="M933" s="36"/>
      <c r="N933" s="23"/>
      <c r="O933" s="36"/>
      <c r="P933" s="36"/>
      <c r="Q933" s="36"/>
      <c r="R933" s="36"/>
      <c r="S933" s="36"/>
      <c r="T933" s="36"/>
      <c r="U933" s="36"/>
      <c r="V933" s="36"/>
      <c r="W933" s="23"/>
      <c r="X933" s="36"/>
      <c r="Y933" s="36"/>
      <c r="Z933" s="23"/>
      <c r="AA933" s="36"/>
      <c r="AB933" s="36"/>
      <c r="AC933" s="23"/>
      <c r="AD933" s="36"/>
      <c r="AE933" s="36"/>
      <c r="AF933" s="23"/>
    </row>
    <row r="934" spans="1:32" x14ac:dyDescent="0.25">
      <c r="A934" s="23"/>
      <c r="B934" s="23"/>
      <c r="C934" s="36"/>
      <c r="D934" s="36"/>
      <c r="E934" s="23"/>
      <c r="F934" s="36"/>
      <c r="G934" s="36"/>
      <c r="H934" s="23"/>
      <c r="I934" s="36"/>
      <c r="J934" s="36"/>
      <c r="K934" s="23"/>
      <c r="L934" s="36"/>
      <c r="M934" s="36"/>
      <c r="N934" s="23"/>
      <c r="O934" s="36"/>
      <c r="P934" s="36"/>
      <c r="Q934" s="36"/>
      <c r="R934" s="36"/>
      <c r="S934" s="36"/>
      <c r="T934" s="36"/>
      <c r="U934" s="36"/>
      <c r="V934" s="36"/>
      <c r="W934" s="23"/>
      <c r="X934" s="36"/>
      <c r="Y934" s="36"/>
      <c r="Z934" s="23"/>
      <c r="AA934" s="36"/>
      <c r="AB934" s="36"/>
      <c r="AC934" s="23"/>
      <c r="AD934" s="36"/>
      <c r="AE934" s="36"/>
      <c r="AF934" s="23"/>
    </row>
    <row r="935" spans="1:32" x14ac:dyDescent="0.25">
      <c r="A935" s="23"/>
      <c r="B935" s="23"/>
      <c r="C935" s="36"/>
      <c r="D935" s="36"/>
      <c r="E935" s="23"/>
      <c r="F935" s="36"/>
      <c r="G935" s="36"/>
      <c r="H935" s="23"/>
      <c r="I935" s="36"/>
      <c r="J935" s="36"/>
      <c r="K935" s="23"/>
      <c r="L935" s="36"/>
      <c r="M935" s="36"/>
      <c r="N935" s="23"/>
      <c r="O935" s="36"/>
      <c r="P935" s="36"/>
      <c r="Q935" s="36"/>
      <c r="R935" s="36"/>
      <c r="S935" s="36"/>
      <c r="T935" s="36"/>
      <c r="U935" s="36"/>
      <c r="V935" s="36"/>
      <c r="W935" s="23"/>
      <c r="X935" s="36"/>
      <c r="Y935" s="36"/>
      <c r="Z935" s="23"/>
      <c r="AA935" s="36"/>
      <c r="AB935" s="36"/>
      <c r="AC935" s="23"/>
      <c r="AD935" s="36"/>
      <c r="AE935" s="36"/>
      <c r="AF935" s="23"/>
    </row>
    <row r="936" spans="1:32" x14ac:dyDescent="0.25">
      <c r="A936" s="23"/>
      <c r="B936" s="23"/>
      <c r="C936" s="36"/>
      <c r="D936" s="36"/>
      <c r="E936" s="23"/>
      <c r="F936" s="36"/>
      <c r="G936" s="36"/>
      <c r="H936" s="23"/>
      <c r="I936" s="36"/>
      <c r="J936" s="36"/>
      <c r="K936" s="23"/>
      <c r="L936" s="36"/>
      <c r="M936" s="36"/>
      <c r="N936" s="23"/>
      <c r="O936" s="36"/>
      <c r="P936" s="36"/>
      <c r="Q936" s="36"/>
      <c r="R936" s="36"/>
      <c r="S936" s="36"/>
      <c r="T936" s="36"/>
      <c r="U936" s="36"/>
      <c r="V936" s="36"/>
      <c r="W936" s="23"/>
      <c r="X936" s="36"/>
      <c r="Y936" s="36"/>
      <c r="Z936" s="23"/>
      <c r="AA936" s="36"/>
      <c r="AB936" s="36"/>
      <c r="AC936" s="23"/>
      <c r="AD936" s="36"/>
      <c r="AE936" s="36"/>
      <c r="AF936" s="23"/>
    </row>
    <row r="937" spans="1:32" x14ac:dyDescent="0.25">
      <c r="A937" s="23"/>
      <c r="B937" s="23"/>
      <c r="C937" s="36"/>
      <c r="D937" s="36"/>
      <c r="E937" s="23"/>
      <c r="F937" s="36"/>
      <c r="G937" s="36"/>
      <c r="H937" s="23"/>
      <c r="I937" s="36"/>
      <c r="J937" s="36"/>
      <c r="K937" s="23"/>
      <c r="L937" s="36"/>
      <c r="M937" s="36"/>
      <c r="N937" s="23"/>
      <c r="O937" s="36"/>
      <c r="P937" s="36"/>
      <c r="Q937" s="36"/>
      <c r="R937" s="36"/>
      <c r="S937" s="36"/>
      <c r="T937" s="36"/>
      <c r="U937" s="36"/>
      <c r="V937" s="36"/>
      <c r="W937" s="23"/>
      <c r="X937" s="36"/>
      <c r="Y937" s="36"/>
      <c r="Z937" s="23"/>
      <c r="AA937" s="36"/>
      <c r="AB937" s="36"/>
      <c r="AC937" s="23"/>
      <c r="AD937" s="36"/>
      <c r="AE937" s="36"/>
      <c r="AF937" s="23"/>
    </row>
    <row r="938" spans="1:32" x14ac:dyDescent="0.25">
      <c r="A938" s="23"/>
      <c r="B938" s="23"/>
      <c r="C938" s="36"/>
      <c r="D938" s="36"/>
      <c r="E938" s="23"/>
      <c r="F938" s="36"/>
      <c r="G938" s="36"/>
      <c r="H938" s="23"/>
      <c r="I938" s="36"/>
      <c r="J938" s="36"/>
      <c r="K938" s="23"/>
      <c r="L938" s="36"/>
      <c r="M938" s="36"/>
      <c r="N938" s="23"/>
      <c r="O938" s="36"/>
      <c r="P938" s="36"/>
      <c r="Q938" s="36"/>
      <c r="R938" s="36"/>
      <c r="S938" s="36"/>
      <c r="T938" s="36"/>
      <c r="U938" s="36"/>
      <c r="V938" s="36"/>
      <c r="W938" s="23"/>
      <c r="X938" s="36"/>
      <c r="Y938" s="36"/>
      <c r="Z938" s="23"/>
      <c r="AA938" s="36"/>
      <c r="AB938" s="36"/>
      <c r="AC938" s="23"/>
      <c r="AD938" s="36"/>
      <c r="AE938" s="36"/>
      <c r="AF938" s="23"/>
    </row>
    <row r="939" spans="1:32" x14ac:dyDescent="0.25">
      <c r="A939" s="23"/>
      <c r="B939" s="23"/>
      <c r="C939" s="36"/>
      <c r="D939" s="36"/>
      <c r="E939" s="23"/>
      <c r="F939" s="36"/>
      <c r="G939" s="36"/>
      <c r="H939" s="23"/>
      <c r="I939" s="36"/>
      <c r="J939" s="36"/>
      <c r="K939" s="23"/>
      <c r="L939" s="36"/>
      <c r="M939" s="36"/>
      <c r="N939" s="23"/>
      <c r="O939" s="36"/>
      <c r="P939" s="36"/>
      <c r="Q939" s="36"/>
      <c r="R939" s="36"/>
      <c r="S939" s="36"/>
      <c r="T939" s="36"/>
      <c r="U939" s="36"/>
      <c r="V939" s="36"/>
      <c r="W939" s="23"/>
      <c r="X939" s="36"/>
      <c r="Y939" s="36"/>
      <c r="Z939" s="23"/>
      <c r="AA939" s="36"/>
      <c r="AB939" s="36"/>
      <c r="AC939" s="23"/>
      <c r="AD939" s="36"/>
      <c r="AE939" s="36"/>
      <c r="AF939" s="23"/>
    </row>
    <row r="940" spans="1:32" x14ac:dyDescent="0.25">
      <c r="A940" s="23"/>
      <c r="B940" s="23"/>
      <c r="C940" s="36"/>
      <c r="D940" s="36"/>
      <c r="E940" s="23"/>
      <c r="F940" s="36"/>
      <c r="G940" s="36"/>
      <c r="H940" s="23"/>
      <c r="I940" s="36"/>
      <c r="J940" s="36"/>
      <c r="K940" s="23"/>
      <c r="L940" s="36"/>
      <c r="M940" s="36"/>
      <c r="N940" s="23"/>
      <c r="O940" s="36"/>
      <c r="P940" s="36"/>
      <c r="Q940" s="36"/>
      <c r="R940" s="36"/>
      <c r="S940" s="36"/>
      <c r="T940" s="36"/>
      <c r="U940" s="36"/>
      <c r="V940" s="36"/>
      <c r="W940" s="23"/>
      <c r="X940" s="36"/>
      <c r="Y940" s="36"/>
      <c r="Z940" s="23"/>
      <c r="AA940" s="36"/>
      <c r="AB940" s="36"/>
      <c r="AC940" s="23"/>
      <c r="AD940" s="36"/>
      <c r="AE940" s="36"/>
      <c r="AF940" s="23"/>
    </row>
    <row r="941" spans="1:32" x14ac:dyDescent="0.25">
      <c r="A941" s="23"/>
      <c r="B941" s="23"/>
      <c r="C941" s="36"/>
      <c r="D941" s="36"/>
      <c r="E941" s="23"/>
      <c r="F941" s="36"/>
      <c r="G941" s="36"/>
      <c r="H941" s="23"/>
      <c r="I941" s="36"/>
      <c r="J941" s="36"/>
      <c r="K941" s="23"/>
      <c r="L941" s="36"/>
      <c r="M941" s="36"/>
      <c r="N941" s="23"/>
      <c r="O941" s="36"/>
      <c r="P941" s="36"/>
      <c r="Q941" s="36"/>
      <c r="R941" s="36"/>
      <c r="S941" s="36"/>
      <c r="T941" s="36"/>
      <c r="U941" s="36"/>
      <c r="V941" s="36"/>
      <c r="W941" s="23"/>
      <c r="X941" s="36"/>
      <c r="Y941" s="36"/>
      <c r="Z941" s="23"/>
      <c r="AA941" s="36"/>
      <c r="AB941" s="36"/>
      <c r="AC941" s="23"/>
      <c r="AD941" s="36"/>
      <c r="AE941" s="36"/>
      <c r="AF941" s="23"/>
    </row>
    <row r="942" spans="1:32" x14ac:dyDescent="0.25">
      <c r="A942" s="23"/>
      <c r="B942" s="23"/>
      <c r="C942" s="36"/>
      <c r="D942" s="36"/>
      <c r="E942" s="23"/>
      <c r="F942" s="36"/>
      <c r="G942" s="36"/>
      <c r="H942" s="23"/>
      <c r="I942" s="36"/>
      <c r="J942" s="36"/>
      <c r="K942" s="23"/>
      <c r="L942" s="36"/>
      <c r="M942" s="36"/>
      <c r="N942" s="23"/>
      <c r="O942" s="36"/>
      <c r="P942" s="36"/>
      <c r="Q942" s="36"/>
      <c r="R942" s="36"/>
      <c r="S942" s="36"/>
      <c r="T942" s="36"/>
      <c r="U942" s="36"/>
      <c r="V942" s="36"/>
      <c r="W942" s="23"/>
      <c r="X942" s="36"/>
      <c r="Y942" s="36"/>
      <c r="Z942" s="23"/>
      <c r="AA942" s="36"/>
      <c r="AB942" s="36"/>
      <c r="AC942" s="23"/>
      <c r="AD942" s="36"/>
      <c r="AE942" s="36"/>
      <c r="AF942" s="23"/>
    </row>
    <row r="943" spans="1:32" x14ac:dyDescent="0.25">
      <c r="A943" s="23"/>
      <c r="B943" s="23"/>
      <c r="C943" s="36"/>
      <c r="D943" s="36"/>
      <c r="E943" s="23"/>
      <c r="F943" s="36"/>
      <c r="G943" s="36"/>
      <c r="H943" s="23"/>
      <c r="I943" s="36"/>
      <c r="J943" s="36"/>
      <c r="K943" s="23"/>
      <c r="L943" s="36"/>
      <c r="M943" s="36"/>
      <c r="N943" s="23"/>
      <c r="O943" s="36"/>
      <c r="P943" s="36"/>
      <c r="Q943" s="36"/>
      <c r="R943" s="36"/>
      <c r="S943" s="36"/>
      <c r="T943" s="36"/>
      <c r="U943" s="36"/>
      <c r="V943" s="36"/>
      <c r="W943" s="23"/>
      <c r="X943" s="36"/>
      <c r="Y943" s="36"/>
      <c r="Z943" s="23"/>
      <c r="AA943" s="36"/>
      <c r="AB943" s="36"/>
      <c r="AC943" s="23"/>
      <c r="AD943" s="36"/>
      <c r="AE943" s="36"/>
      <c r="AF943" s="23"/>
    </row>
    <row r="944" spans="1:32" x14ac:dyDescent="0.25">
      <c r="A944" s="23"/>
      <c r="B944" s="23"/>
      <c r="C944" s="36"/>
      <c r="D944" s="36"/>
      <c r="E944" s="23"/>
      <c r="F944" s="36"/>
      <c r="G944" s="36"/>
      <c r="H944" s="23"/>
      <c r="I944" s="36"/>
      <c r="J944" s="36"/>
      <c r="K944" s="23"/>
      <c r="L944" s="36"/>
      <c r="M944" s="36"/>
      <c r="N944" s="23"/>
      <c r="O944" s="36"/>
      <c r="P944" s="36"/>
      <c r="Q944" s="36"/>
      <c r="R944" s="36"/>
      <c r="S944" s="36"/>
      <c r="T944" s="36"/>
      <c r="U944" s="36"/>
      <c r="V944" s="36"/>
      <c r="W944" s="23"/>
      <c r="X944" s="36"/>
      <c r="Y944" s="36"/>
      <c r="Z944" s="23"/>
      <c r="AA944" s="36"/>
      <c r="AB944" s="36"/>
      <c r="AC944" s="23"/>
      <c r="AD944" s="36"/>
      <c r="AE944" s="36"/>
      <c r="AF944" s="23"/>
    </row>
    <row r="945" spans="1:32" x14ac:dyDescent="0.25">
      <c r="A945" s="23"/>
      <c r="B945" s="23"/>
      <c r="C945" s="36"/>
      <c r="D945" s="36"/>
      <c r="E945" s="23"/>
      <c r="F945" s="36"/>
      <c r="G945" s="36"/>
      <c r="H945" s="23"/>
      <c r="I945" s="36"/>
      <c r="J945" s="36"/>
      <c r="K945" s="23"/>
      <c r="L945" s="36"/>
      <c r="M945" s="36"/>
      <c r="N945" s="23"/>
      <c r="O945" s="36"/>
      <c r="P945" s="36"/>
      <c r="Q945" s="36"/>
      <c r="R945" s="36"/>
      <c r="S945" s="36"/>
      <c r="T945" s="36"/>
      <c r="U945" s="36"/>
      <c r="V945" s="36"/>
      <c r="W945" s="23"/>
      <c r="X945" s="36"/>
      <c r="Y945" s="36"/>
      <c r="Z945" s="23"/>
      <c r="AA945" s="36"/>
      <c r="AB945" s="36"/>
      <c r="AC945" s="23"/>
      <c r="AD945" s="36"/>
      <c r="AE945" s="36"/>
      <c r="AF945" s="23"/>
    </row>
    <row r="946" spans="1:32" x14ac:dyDescent="0.25">
      <c r="A946" s="23"/>
      <c r="B946" s="23"/>
      <c r="C946" s="36"/>
      <c r="D946" s="36"/>
      <c r="E946" s="23"/>
      <c r="F946" s="36"/>
      <c r="G946" s="36"/>
      <c r="H946" s="23"/>
      <c r="I946" s="36"/>
      <c r="J946" s="36"/>
      <c r="K946" s="23"/>
      <c r="L946" s="36"/>
      <c r="M946" s="36"/>
      <c r="N946" s="23"/>
      <c r="O946" s="36"/>
      <c r="P946" s="36"/>
      <c r="Q946" s="36"/>
      <c r="R946" s="36"/>
      <c r="S946" s="36"/>
      <c r="T946" s="36"/>
      <c r="U946" s="36"/>
      <c r="V946" s="36"/>
      <c r="W946" s="23"/>
      <c r="X946" s="36"/>
      <c r="Y946" s="36"/>
      <c r="Z946" s="23"/>
      <c r="AA946" s="36"/>
      <c r="AB946" s="36"/>
      <c r="AC946" s="23"/>
      <c r="AD946" s="36"/>
      <c r="AE946" s="36"/>
      <c r="AF946" s="23"/>
    </row>
    <row r="947" spans="1:32" x14ac:dyDescent="0.25">
      <c r="A947" s="23"/>
      <c r="B947" s="23"/>
      <c r="C947" s="36"/>
      <c r="D947" s="36"/>
      <c r="E947" s="23"/>
      <c r="F947" s="36"/>
      <c r="G947" s="36"/>
      <c r="H947" s="23"/>
      <c r="I947" s="36"/>
      <c r="J947" s="36"/>
      <c r="K947" s="23"/>
      <c r="L947" s="36"/>
      <c r="M947" s="36"/>
      <c r="N947" s="23"/>
      <c r="O947" s="36"/>
      <c r="P947" s="36"/>
      <c r="Q947" s="36"/>
      <c r="R947" s="36"/>
      <c r="S947" s="36"/>
      <c r="T947" s="36"/>
      <c r="U947" s="36"/>
      <c r="V947" s="36"/>
      <c r="W947" s="23"/>
      <c r="X947" s="36"/>
      <c r="Y947" s="36"/>
      <c r="Z947" s="23"/>
      <c r="AA947" s="36"/>
      <c r="AB947" s="36"/>
      <c r="AC947" s="23"/>
      <c r="AD947" s="36"/>
      <c r="AE947" s="36"/>
      <c r="AF947" s="23"/>
    </row>
    <row r="948" spans="1:32" x14ac:dyDescent="0.25">
      <c r="A948" s="23"/>
      <c r="B948" s="23"/>
      <c r="C948" s="36"/>
      <c r="D948" s="36"/>
      <c r="E948" s="23"/>
      <c r="F948" s="36"/>
      <c r="G948" s="36"/>
      <c r="H948" s="23"/>
      <c r="I948" s="36"/>
      <c r="J948" s="36"/>
      <c r="K948" s="23"/>
      <c r="L948" s="36"/>
      <c r="M948" s="36"/>
      <c r="N948" s="23"/>
      <c r="O948" s="36"/>
      <c r="P948" s="36"/>
      <c r="Q948" s="36"/>
      <c r="R948" s="36"/>
      <c r="S948" s="36"/>
      <c r="T948" s="36"/>
      <c r="U948" s="36"/>
      <c r="V948" s="36"/>
      <c r="W948" s="23"/>
      <c r="X948" s="36"/>
      <c r="Y948" s="36"/>
      <c r="Z948" s="23"/>
      <c r="AA948" s="36"/>
      <c r="AB948" s="36"/>
      <c r="AC948" s="23"/>
      <c r="AD948" s="36"/>
      <c r="AE948" s="36"/>
      <c r="AF948" s="23"/>
    </row>
    <row r="949" spans="1:32" x14ac:dyDescent="0.25">
      <c r="A949" s="23"/>
      <c r="B949" s="23"/>
      <c r="C949" s="36"/>
      <c r="D949" s="36"/>
      <c r="E949" s="23"/>
      <c r="F949" s="36"/>
      <c r="G949" s="36"/>
      <c r="H949" s="23"/>
      <c r="I949" s="36"/>
      <c r="J949" s="36"/>
      <c r="K949" s="23"/>
      <c r="L949" s="36"/>
      <c r="M949" s="36"/>
      <c r="N949" s="23"/>
      <c r="O949" s="36"/>
      <c r="P949" s="36"/>
      <c r="Q949" s="36"/>
      <c r="R949" s="36"/>
      <c r="S949" s="36"/>
      <c r="T949" s="36"/>
      <c r="U949" s="36"/>
      <c r="V949" s="36"/>
      <c r="W949" s="23"/>
      <c r="X949" s="36"/>
      <c r="Y949" s="36"/>
      <c r="Z949" s="23"/>
      <c r="AA949" s="36"/>
      <c r="AB949" s="36"/>
      <c r="AC949" s="23"/>
      <c r="AD949" s="36"/>
      <c r="AE949" s="36"/>
      <c r="AF949" s="23"/>
    </row>
    <row r="950" spans="1:32" x14ac:dyDescent="0.25">
      <c r="A950" s="23"/>
      <c r="B950" s="23"/>
      <c r="C950" s="36"/>
      <c r="D950" s="36"/>
      <c r="E950" s="23"/>
      <c r="F950" s="36"/>
      <c r="G950" s="36"/>
      <c r="H950" s="23"/>
      <c r="I950" s="36"/>
      <c r="J950" s="36"/>
      <c r="K950" s="23"/>
      <c r="L950" s="36"/>
      <c r="M950" s="36"/>
      <c r="N950" s="23"/>
      <c r="O950" s="36"/>
      <c r="P950" s="36"/>
      <c r="Q950" s="36"/>
      <c r="R950" s="36"/>
      <c r="S950" s="36"/>
      <c r="T950" s="36"/>
      <c r="U950" s="36"/>
      <c r="V950" s="36"/>
      <c r="W950" s="23"/>
      <c r="X950" s="36"/>
      <c r="Y950" s="36"/>
      <c r="Z950" s="23"/>
      <c r="AA950" s="36"/>
      <c r="AB950" s="36"/>
      <c r="AC950" s="23"/>
      <c r="AD950" s="36"/>
      <c r="AE950" s="36"/>
      <c r="AF950" s="23"/>
    </row>
    <row r="951" spans="1:32" x14ac:dyDescent="0.25">
      <c r="A951" s="23"/>
      <c r="B951" s="23"/>
      <c r="C951" s="36"/>
      <c r="D951" s="36"/>
      <c r="E951" s="23"/>
      <c r="F951" s="36"/>
      <c r="G951" s="36"/>
      <c r="H951" s="23"/>
      <c r="I951" s="36"/>
      <c r="J951" s="36"/>
      <c r="K951" s="23"/>
      <c r="L951" s="36"/>
      <c r="M951" s="36"/>
      <c r="N951" s="23"/>
      <c r="O951" s="36"/>
      <c r="P951" s="36"/>
      <c r="Q951" s="36"/>
      <c r="R951" s="36"/>
      <c r="S951" s="36"/>
      <c r="T951" s="36"/>
      <c r="U951" s="36"/>
      <c r="V951" s="36"/>
      <c r="W951" s="23"/>
      <c r="X951" s="36"/>
      <c r="Y951" s="36"/>
      <c r="Z951" s="23"/>
      <c r="AA951" s="36"/>
      <c r="AB951" s="36"/>
      <c r="AC951" s="23"/>
      <c r="AD951" s="36"/>
      <c r="AE951" s="36"/>
      <c r="AF951" s="23"/>
    </row>
    <row r="952" spans="1:32" x14ac:dyDescent="0.25">
      <c r="A952" s="23"/>
      <c r="B952" s="23"/>
      <c r="C952" s="36"/>
      <c r="D952" s="36"/>
      <c r="E952" s="23"/>
      <c r="F952" s="36"/>
      <c r="G952" s="36"/>
      <c r="H952" s="23"/>
      <c r="I952" s="36"/>
      <c r="J952" s="36"/>
      <c r="K952" s="23"/>
      <c r="L952" s="36"/>
      <c r="M952" s="36"/>
      <c r="N952" s="23"/>
      <c r="O952" s="36"/>
      <c r="P952" s="36"/>
      <c r="Q952" s="36"/>
      <c r="R952" s="36"/>
      <c r="S952" s="36"/>
      <c r="T952" s="36"/>
      <c r="U952" s="36"/>
      <c r="V952" s="36"/>
      <c r="W952" s="23"/>
      <c r="X952" s="36"/>
      <c r="Y952" s="36"/>
      <c r="Z952" s="23"/>
      <c r="AA952" s="36"/>
      <c r="AB952" s="36"/>
      <c r="AC952" s="23"/>
      <c r="AD952" s="36"/>
      <c r="AE952" s="36"/>
      <c r="AF952" s="23"/>
    </row>
    <row r="953" spans="1:32" x14ac:dyDescent="0.25">
      <c r="A953" s="23"/>
      <c r="B953" s="23"/>
      <c r="C953" s="36"/>
      <c r="D953" s="36"/>
      <c r="E953" s="23"/>
      <c r="F953" s="36"/>
      <c r="G953" s="36"/>
      <c r="H953" s="23"/>
      <c r="I953" s="36"/>
      <c r="J953" s="36"/>
      <c r="K953" s="23"/>
      <c r="L953" s="36"/>
      <c r="M953" s="36"/>
      <c r="N953" s="23"/>
      <c r="O953" s="36"/>
      <c r="P953" s="36"/>
      <c r="Q953" s="36"/>
      <c r="R953" s="36"/>
      <c r="S953" s="36"/>
      <c r="T953" s="36"/>
      <c r="U953" s="36"/>
      <c r="V953" s="36"/>
      <c r="W953" s="23"/>
      <c r="X953" s="36"/>
      <c r="Y953" s="36"/>
      <c r="Z953" s="23"/>
      <c r="AA953" s="36"/>
      <c r="AB953" s="36"/>
      <c r="AC953" s="23"/>
      <c r="AD953" s="36"/>
      <c r="AE953" s="36"/>
      <c r="AF953" s="23"/>
    </row>
    <row r="954" spans="1:32" x14ac:dyDescent="0.25">
      <c r="A954" s="23"/>
      <c r="B954" s="23"/>
      <c r="C954" s="36"/>
      <c r="D954" s="36"/>
      <c r="E954" s="23"/>
      <c r="F954" s="36"/>
      <c r="G954" s="36"/>
      <c r="H954" s="23"/>
      <c r="I954" s="36"/>
      <c r="J954" s="36"/>
      <c r="K954" s="23"/>
      <c r="L954" s="36"/>
      <c r="M954" s="36"/>
      <c r="N954" s="23"/>
      <c r="O954" s="36"/>
      <c r="P954" s="36"/>
      <c r="Q954" s="36"/>
      <c r="R954" s="36"/>
      <c r="S954" s="36"/>
      <c r="T954" s="36"/>
      <c r="U954" s="36"/>
      <c r="V954" s="36"/>
      <c r="W954" s="23"/>
      <c r="X954" s="36"/>
      <c r="Y954" s="36"/>
      <c r="Z954" s="23"/>
      <c r="AA954" s="36"/>
      <c r="AB954" s="36"/>
      <c r="AC954" s="23"/>
      <c r="AD954" s="36"/>
      <c r="AE954" s="36"/>
      <c r="AF954" s="23"/>
    </row>
    <row r="955" spans="1:32" x14ac:dyDescent="0.25">
      <c r="A955" s="23"/>
      <c r="B955" s="23"/>
      <c r="C955" s="36"/>
      <c r="D955" s="36"/>
      <c r="E955" s="23"/>
      <c r="F955" s="36"/>
      <c r="G955" s="36"/>
      <c r="H955" s="23"/>
      <c r="I955" s="36"/>
      <c r="J955" s="36"/>
      <c r="K955" s="23"/>
      <c r="L955" s="36"/>
      <c r="M955" s="36"/>
      <c r="N955" s="23"/>
      <c r="O955" s="36"/>
      <c r="P955" s="36"/>
      <c r="Q955" s="36"/>
      <c r="R955" s="36"/>
      <c r="S955" s="36"/>
      <c r="T955" s="36"/>
      <c r="U955" s="36"/>
      <c r="V955" s="36"/>
      <c r="W955" s="23"/>
      <c r="X955" s="36"/>
      <c r="Y955" s="36"/>
      <c r="Z955" s="23"/>
      <c r="AA955" s="36"/>
      <c r="AB955" s="36"/>
      <c r="AC955" s="23"/>
      <c r="AD955" s="36"/>
      <c r="AE955" s="36"/>
      <c r="AF955" s="23"/>
    </row>
    <row r="956" spans="1:32" x14ac:dyDescent="0.25">
      <c r="A956" s="23"/>
      <c r="B956" s="23"/>
      <c r="C956" s="36"/>
      <c r="D956" s="36"/>
      <c r="E956" s="23"/>
      <c r="F956" s="36"/>
      <c r="G956" s="36"/>
      <c r="H956" s="23"/>
      <c r="I956" s="36"/>
      <c r="J956" s="36"/>
      <c r="K956" s="23"/>
      <c r="L956" s="36"/>
      <c r="M956" s="36"/>
      <c r="N956" s="23"/>
      <c r="O956" s="36"/>
      <c r="P956" s="36"/>
      <c r="Q956" s="36"/>
      <c r="R956" s="36"/>
      <c r="S956" s="36"/>
      <c r="T956" s="36"/>
      <c r="U956" s="36"/>
      <c r="V956" s="36"/>
      <c r="W956" s="23"/>
      <c r="X956" s="36"/>
      <c r="Y956" s="36"/>
      <c r="Z956" s="23"/>
      <c r="AA956" s="36"/>
      <c r="AB956" s="36"/>
      <c r="AC956" s="23"/>
      <c r="AD956" s="36"/>
      <c r="AE956" s="36"/>
      <c r="AF956" s="23"/>
    </row>
    <row r="957" spans="1:32" x14ac:dyDescent="0.25">
      <c r="A957" s="23"/>
      <c r="B957" s="23"/>
      <c r="C957" s="36"/>
      <c r="D957" s="36"/>
      <c r="E957" s="23"/>
      <c r="F957" s="36"/>
      <c r="G957" s="36"/>
      <c r="H957" s="23"/>
      <c r="I957" s="36"/>
      <c r="J957" s="36"/>
      <c r="K957" s="23"/>
      <c r="L957" s="36"/>
      <c r="M957" s="36"/>
      <c r="N957" s="23"/>
      <c r="O957" s="36"/>
      <c r="P957" s="36"/>
      <c r="Q957" s="36"/>
      <c r="R957" s="36"/>
      <c r="S957" s="36"/>
      <c r="T957" s="36"/>
      <c r="U957" s="36"/>
      <c r="V957" s="36"/>
      <c r="W957" s="23"/>
      <c r="X957" s="36"/>
      <c r="Y957" s="36"/>
      <c r="Z957" s="23"/>
      <c r="AA957" s="36"/>
      <c r="AB957" s="36"/>
      <c r="AC957" s="23"/>
      <c r="AD957" s="36"/>
      <c r="AE957" s="36"/>
      <c r="AF957" s="23"/>
    </row>
    <row r="958" spans="1:32" x14ac:dyDescent="0.25">
      <c r="A958" s="23"/>
      <c r="B958" s="23"/>
      <c r="C958" s="36"/>
      <c r="D958" s="36"/>
      <c r="E958" s="23"/>
      <c r="F958" s="36"/>
      <c r="G958" s="36"/>
      <c r="H958" s="23"/>
      <c r="I958" s="36"/>
      <c r="J958" s="36"/>
      <c r="K958" s="23"/>
      <c r="L958" s="36"/>
      <c r="M958" s="36"/>
      <c r="N958" s="23"/>
      <c r="O958" s="36"/>
      <c r="P958" s="36"/>
      <c r="Q958" s="36"/>
      <c r="R958" s="36"/>
      <c r="S958" s="36"/>
      <c r="T958" s="36"/>
      <c r="U958" s="36"/>
      <c r="V958" s="36"/>
      <c r="W958" s="23"/>
      <c r="X958" s="36"/>
      <c r="Y958" s="36"/>
      <c r="Z958" s="23"/>
      <c r="AA958" s="36"/>
      <c r="AB958" s="36"/>
      <c r="AC958" s="23"/>
      <c r="AD958" s="36"/>
      <c r="AE958" s="36"/>
      <c r="AF958" s="23"/>
    </row>
    <row r="959" spans="1:32" x14ac:dyDescent="0.25">
      <c r="A959" s="23"/>
      <c r="B959" s="23"/>
      <c r="C959" s="36"/>
      <c r="D959" s="36"/>
      <c r="E959" s="23"/>
      <c r="F959" s="36"/>
      <c r="G959" s="36"/>
      <c r="H959" s="23"/>
      <c r="I959" s="36"/>
      <c r="J959" s="36"/>
      <c r="K959" s="23"/>
      <c r="L959" s="36"/>
      <c r="M959" s="36"/>
      <c r="N959" s="23"/>
      <c r="O959" s="36"/>
      <c r="P959" s="36"/>
      <c r="Q959" s="36"/>
      <c r="R959" s="36"/>
      <c r="S959" s="36"/>
      <c r="T959" s="36"/>
      <c r="U959" s="36"/>
      <c r="V959" s="36"/>
      <c r="W959" s="23"/>
      <c r="X959" s="36"/>
      <c r="Y959" s="36"/>
      <c r="Z959" s="23"/>
      <c r="AA959" s="36"/>
      <c r="AB959" s="36"/>
      <c r="AC959" s="23"/>
      <c r="AD959" s="36"/>
      <c r="AE959" s="36"/>
      <c r="AF959" s="23"/>
    </row>
    <row r="960" spans="1:32" x14ac:dyDescent="0.25">
      <c r="A960" s="23"/>
      <c r="B960" s="23"/>
      <c r="C960" s="36"/>
      <c r="D960" s="36"/>
      <c r="E960" s="23"/>
      <c r="F960" s="36"/>
      <c r="G960" s="36"/>
      <c r="H960" s="23"/>
      <c r="I960" s="36"/>
      <c r="J960" s="36"/>
      <c r="K960" s="23"/>
      <c r="L960" s="36"/>
      <c r="M960" s="36"/>
      <c r="N960" s="23"/>
      <c r="O960" s="36"/>
      <c r="P960" s="36"/>
      <c r="Q960" s="36"/>
      <c r="R960" s="36"/>
      <c r="S960" s="36"/>
      <c r="T960" s="36"/>
      <c r="U960" s="36"/>
      <c r="V960" s="36"/>
      <c r="W960" s="23"/>
      <c r="X960" s="36"/>
      <c r="Y960" s="36"/>
      <c r="Z960" s="23"/>
      <c r="AA960" s="36"/>
      <c r="AB960" s="36"/>
      <c r="AC960" s="23"/>
      <c r="AD960" s="36"/>
      <c r="AE960" s="36"/>
      <c r="AF960" s="23"/>
    </row>
    <row r="961" spans="1:32" x14ac:dyDescent="0.25">
      <c r="A961" s="23"/>
      <c r="B961" s="23"/>
      <c r="C961" s="36"/>
      <c r="D961" s="36"/>
      <c r="E961" s="23"/>
      <c r="F961" s="36"/>
      <c r="G961" s="36"/>
      <c r="H961" s="23"/>
      <c r="I961" s="36"/>
      <c r="J961" s="36"/>
      <c r="K961" s="23"/>
      <c r="L961" s="36"/>
      <c r="M961" s="36"/>
      <c r="N961" s="23"/>
      <c r="O961" s="36"/>
      <c r="P961" s="36"/>
      <c r="Q961" s="36"/>
      <c r="R961" s="36"/>
      <c r="S961" s="36"/>
      <c r="T961" s="36"/>
      <c r="U961" s="36"/>
      <c r="V961" s="36"/>
      <c r="W961" s="23"/>
      <c r="X961" s="36"/>
      <c r="Y961" s="36"/>
      <c r="Z961" s="23"/>
      <c r="AA961" s="36"/>
      <c r="AB961" s="36"/>
      <c r="AC961" s="23"/>
      <c r="AD961" s="36"/>
      <c r="AE961" s="36"/>
      <c r="AF961" s="23"/>
    </row>
    <row r="962" spans="1:32" x14ac:dyDescent="0.25">
      <c r="A962" s="23"/>
      <c r="B962" s="23"/>
      <c r="C962" s="36"/>
      <c r="D962" s="36"/>
      <c r="E962" s="23"/>
      <c r="F962" s="36"/>
      <c r="G962" s="36"/>
      <c r="H962" s="23"/>
      <c r="I962" s="36"/>
      <c r="J962" s="36"/>
      <c r="K962" s="23"/>
      <c r="L962" s="36"/>
      <c r="M962" s="36"/>
      <c r="N962" s="23"/>
      <c r="O962" s="36"/>
      <c r="P962" s="36"/>
      <c r="Q962" s="36"/>
      <c r="R962" s="36"/>
      <c r="S962" s="36"/>
      <c r="T962" s="36"/>
      <c r="U962" s="36"/>
      <c r="V962" s="36"/>
      <c r="W962" s="23"/>
      <c r="X962" s="36"/>
      <c r="Y962" s="36"/>
      <c r="Z962" s="23"/>
      <c r="AA962" s="36"/>
      <c r="AB962" s="36"/>
      <c r="AC962" s="23"/>
      <c r="AD962" s="36"/>
      <c r="AE962" s="36"/>
      <c r="AF962" s="23"/>
    </row>
    <row r="963" spans="1:32" x14ac:dyDescent="0.25">
      <c r="A963" s="23"/>
      <c r="B963" s="23"/>
      <c r="C963" s="36"/>
      <c r="D963" s="36"/>
      <c r="E963" s="23"/>
      <c r="F963" s="36"/>
      <c r="G963" s="36"/>
      <c r="H963" s="23"/>
      <c r="I963" s="36"/>
      <c r="J963" s="36"/>
      <c r="K963" s="23"/>
      <c r="L963" s="36"/>
      <c r="M963" s="36"/>
      <c r="N963" s="23"/>
      <c r="O963" s="36"/>
      <c r="P963" s="36"/>
      <c r="Q963" s="36"/>
      <c r="R963" s="36"/>
      <c r="S963" s="36"/>
      <c r="T963" s="36"/>
      <c r="U963" s="36"/>
      <c r="V963" s="36"/>
      <c r="W963" s="23"/>
      <c r="X963" s="36"/>
      <c r="Y963" s="36"/>
      <c r="Z963" s="23"/>
      <c r="AA963" s="36"/>
      <c r="AB963" s="36"/>
      <c r="AC963" s="23"/>
      <c r="AD963" s="36"/>
      <c r="AE963" s="36"/>
      <c r="AF963" s="23"/>
    </row>
    <row r="964" spans="1:32" x14ac:dyDescent="0.25">
      <c r="A964" s="23"/>
      <c r="B964" s="23"/>
      <c r="C964" s="36"/>
      <c r="D964" s="36"/>
      <c r="E964" s="23"/>
      <c r="F964" s="36"/>
      <c r="G964" s="36"/>
      <c r="H964" s="23"/>
      <c r="I964" s="36"/>
      <c r="J964" s="36"/>
      <c r="K964" s="23"/>
      <c r="L964" s="36"/>
      <c r="M964" s="36"/>
      <c r="N964" s="23"/>
      <c r="O964" s="36"/>
      <c r="P964" s="36"/>
      <c r="Q964" s="36"/>
      <c r="R964" s="36"/>
      <c r="S964" s="36"/>
      <c r="T964" s="36"/>
      <c r="U964" s="36"/>
      <c r="V964" s="36"/>
      <c r="W964" s="23"/>
      <c r="X964" s="36"/>
      <c r="Y964" s="36"/>
      <c r="Z964" s="23"/>
      <c r="AA964" s="36"/>
      <c r="AB964" s="36"/>
      <c r="AC964" s="23"/>
      <c r="AD964" s="36"/>
      <c r="AE964" s="36"/>
      <c r="AF964" s="23"/>
    </row>
    <row r="965" spans="1:32" x14ac:dyDescent="0.25">
      <c r="A965" s="23"/>
      <c r="B965" s="23"/>
      <c r="C965" s="36"/>
      <c r="D965" s="36"/>
      <c r="E965" s="23"/>
      <c r="F965" s="36"/>
      <c r="G965" s="36"/>
      <c r="H965" s="23"/>
      <c r="I965" s="36"/>
      <c r="J965" s="36"/>
      <c r="K965" s="23"/>
      <c r="L965" s="36"/>
      <c r="M965" s="36"/>
      <c r="N965" s="23"/>
      <c r="O965" s="36"/>
      <c r="P965" s="36"/>
      <c r="Q965" s="36"/>
      <c r="R965" s="36"/>
      <c r="S965" s="36"/>
      <c r="T965" s="36"/>
      <c r="U965" s="36"/>
      <c r="V965" s="36"/>
      <c r="W965" s="23"/>
      <c r="X965" s="36"/>
      <c r="Y965" s="36"/>
      <c r="Z965" s="23"/>
      <c r="AA965" s="36"/>
      <c r="AB965" s="36"/>
      <c r="AC965" s="23"/>
      <c r="AD965" s="36"/>
      <c r="AE965" s="36"/>
      <c r="AF965" s="23"/>
    </row>
    <row r="966" spans="1:32" x14ac:dyDescent="0.25">
      <c r="A966" s="23"/>
      <c r="B966" s="23"/>
      <c r="C966" s="36"/>
      <c r="D966" s="36"/>
      <c r="E966" s="23"/>
      <c r="F966" s="36"/>
      <c r="G966" s="36"/>
      <c r="H966" s="23"/>
      <c r="I966" s="36"/>
      <c r="J966" s="36"/>
      <c r="K966" s="23"/>
      <c r="L966" s="36"/>
      <c r="M966" s="36"/>
      <c r="N966" s="23"/>
      <c r="O966" s="36"/>
      <c r="P966" s="36"/>
      <c r="Q966" s="36"/>
      <c r="R966" s="36"/>
      <c r="S966" s="36"/>
      <c r="T966" s="36"/>
      <c r="U966" s="36"/>
      <c r="V966" s="36"/>
      <c r="W966" s="23"/>
      <c r="X966" s="36"/>
      <c r="Y966" s="36"/>
      <c r="Z966" s="23"/>
      <c r="AA966" s="36"/>
      <c r="AB966" s="36"/>
      <c r="AC966" s="23"/>
      <c r="AD966" s="36"/>
      <c r="AE966" s="36"/>
      <c r="AF966" s="23"/>
    </row>
    <row r="967" spans="1:32" x14ac:dyDescent="0.25">
      <c r="A967" s="23"/>
      <c r="B967" s="23"/>
      <c r="C967" s="36"/>
      <c r="D967" s="36"/>
      <c r="E967" s="23"/>
      <c r="F967" s="36"/>
      <c r="G967" s="36"/>
      <c r="H967" s="23"/>
      <c r="I967" s="36"/>
      <c r="J967" s="36"/>
      <c r="K967" s="23"/>
      <c r="L967" s="36"/>
      <c r="M967" s="36"/>
      <c r="N967" s="23"/>
      <c r="O967" s="36"/>
      <c r="P967" s="36"/>
      <c r="Q967" s="36"/>
      <c r="R967" s="36"/>
      <c r="S967" s="36"/>
      <c r="T967" s="36"/>
      <c r="U967" s="36"/>
      <c r="V967" s="36"/>
      <c r="W967" s="23"/>
      <c r="X967" s="36"/>
      <c r="Y967" s="36"/>
      <c r="Z967" s="23"/>
      <c r="AA967" s="36"/>
      <c r="AB967" s="36"/>
      <c r="AC967" s="23"/>
      <c r="AD967" s="36"/>
      <c r="AE967" s="36"/>
      <c r="AF967" s="23"/>
    </row>
    <row r="968" spans="1:32" x14ac:dyDescent="0.25">
      <c r="A968" s="23"/>
      <c r="B968" s="23"/>
      <c r="C968" s="36"/>
      <c r="D968" s="36"/>
      <c r="E968" s="23"/>
      <c r="F968" s="36"/>
      <c r="G968" s="36"/>
      <c r="H968" s="23"/>
      <c r="I968" s="36"/>
      <c r="J968" s="36"/>
      <c r="K968" s="23"/>
      <c r="L968" s="36"/>
      <c r="M968" s="36"/>
      <c r="N968" s="23"/>
      <c r="O968" s="36"/>
      <c r="P968" s="36"/>
      <c r="Q968" s="36"/>
      <c r="R968" s="36"/>
      <c r="S968" s="36"/>
      <c r="T968" s="36"/>
      <c r="U968" s="36"/>
      <c r="V968" s="36"/>
      <c r="W968" s="23"/>
      <c r="X968" s="36"/>
      <c r="Y968" s="36"/>
      <c r="Z968" s="23"/>
      <c r="AA968" s="36"/>
      <c r="AB968" s="36"/>
      <c r="AC968" s="23"/>
      <c r="AD968" s="36"/>
      <c r="AE968" s="36"/>
      <c r="AF968" s="23"/>
    </row>
    <row r="969" spans="1:32" x14ac:dyDescent="0.25">
      <c r="A969" s="23"/>
      <c r="B969" s="23"/>
      <c r="C969" s="36"/>
      <c r="D969" s="36"/>
      <c r="E969" s="23"/>
      <c r="F969" s="36"/>
      <c r="G969" s="36"/>
      <c r="H969" s="23"/>
      <c r="I969" s="36"/>
      <c r="J969" s="36"/>
      <c r="K969" s="23"/>
      <c r="L969" s="36"/>
      <c r="M969" s="36"/>
      <c r="N969" s="23"/>
      <c r="O969" s="36"/>
      <c r="P969" s="36"/>
      <c r="Q969" s="36"/>
      <c r="R969" s="36"/>
      <c r="S969" s="36"/>
      <c r="T969" s="36"/>
      <c r="U969" s="36"/>
      <c r="V969" s="36"/>
      <c r="W969" s="23"/>
      <c r="X969" s="36"/>
      <c r="Y969" s="36"/>
      <c r="Z969" s="23"/>
      <c r="AA969" s="36"/>
      <c r="AB969" s="36"/>
      <c r="AC969" s="23"/>
      <c r="AD969" s="36"/>
      <c r="AE969" s="36"/>
      <c r="AF969" s="23"/>
    </row>
    <row r="970" spans="1:32" x14ac:dyDescent="0.25">
      <c r="A970" s="23"/>
      <c r="B970" s="23"/>
      <c r="C970" s="36"/>
      <c r="D970" s="36"/>
      <c r="E970" s="23"/>
      <c r="F970" s="36"/>
      <c r="G970" s="36"/>
      <c r="H970" s="23"/>
      <c r="I970" s="36"/>
      <c r="J970" s="36"/>
      <c r="K970" s="23"/>
      <c r="L970" s="36"/>
      <c r="M970" s="36"/>
      <c r="N970" s="23"/>
      <c r="O970" s="36"/>
      <c r="P970" s="36"/>
      <c r="Q970" s="36"/>
      <c r="R970" s="36"/>
      <c r="S970" s="36"/>
      <c r="T970" s="36"/>
      <c r="U970" s="36"/>
      <c r="V970" s="36"/>
      <c r="W970" s="23"/>
      <c r="X970" s="36"/>
      <c r="Y970" s="36"/>
      <c r="Z970" s="23"/>
      <c r="AA970" s="36"/>
      <c r="AB970" s="36"/>
      <c r="AC970" s="23"/>
      <c r="AD970" s="36"/>
      <c r="AE970" s="36"/>
      <c r="AF970" s="23"/>
    </row>
    <row r="971" spans="1:32" x14ac:dyDescent="0.25">
      <c r="A971" s="23"/>
      <c r="B971" s="23"/>
      <c r="C971" s="36"/>
      <c r="D971" s="36"/>
      <c r="E971" s="23"/>
      <c r="F971" s="36"/>
      <c r="G971" s="36"/>
      <c r="H971" s="23"/>
      <c r="I971" s="36"/>
      <c r="J971" s="36"/>
      <c r="K971" s="23"/>
      <c r="L971" s="36"/>
      <c r="M971" s="36"/>
      <c r="N971" s="23"/>
      <c r="O971" s="36"/>
      <c r="P971" s="36"/>
      <c r="Q971" s="36"/>
      <c r="R971" s="36"/>
      <c r="S971" s="36"/>
      <c r="T971" s="36"/>
      <c r="U971" s="36"/>
      <c r="V971" s="36"/>
      <c r="W971" s="23"/>
      <c r="X971" s="36"/>
      <c r="Y971" s="36"/>
      <c r="Z971" s="23"/>
      <c r="AA971" s="36"/>
      <c r="AB971" s="36"/>
      <c r="AC971" s="23"/>
      <c r="AD971" s="36"/>
      <c r="AE971" s="36"/>
      <c r="AF971" s="23"/>
    </row>
    <row r="972" spans="1:32" x14ac:dyDescent="0.25">
      <c r="A972" s="23"/>
      <c r="B972" s="23"/>
      <c r="C972" s="36"/>
      <c r="D972" s="36"/>
      <c r="E972" s="23"/>
      <c r="F972" s="36"/>
      <c r="G972" s="36"/>
      <c r="H972" s="23"/>
      <c r="I972" s="36"/>
      <c r="J972" s="36"/>
      <c r="K972" s="23"/>
      <c r="L972" s="36"/>
      <c r="M972" s="36"/>
      <c r="N972" s="23"/>
      <c r="O972" s="36"/>
      <c r="P972" s="36"/>
      <c r="Q972" s="36"/>
      <c r="R972" s="36"/>
      <c r="S972" s="36"/>
      <c r="T972" s="36"/>
      <c r="U972" s="36"/>
      <c r="V972" s="36"/>
      <c r="W972" s="23"/>
      <c r="X972" s="36"/>
      <c r="Y972" s="36"/>
      <c r="Z972" s="23"/>
      <c r="AA972" s="36"/>
      <c r="AB972" s="36"/>
      <c r="AC972" s="23"/>
      <c r="AD972" s="36"/>
      <c r="AE972" s="36"/>
      <c r="AF972" s="23"/>
    </row>
    <row r="973" spans="1:32" x14ac:dyDescent="0.25">
      <c r="A973" s="23"/>
      <c r="B973" s="23"/>
      <c r="C973" s="36"/>
      <c r="D973" s="36"/>
      <c r="E973" s="23"/>
      <c r="F973" s="36"/>
      <c r="G973" s="36"/>
      <c r="H973" s="23"/>
      <c r="I973" s="36"/>
      <c r="J973" s="36"/>
      <c r="K973" s="23"/>
      <c r="L973" s="36"/>
      <c r="M973" s="36"/>
      <c r="N973" s="23"/>
      <c r="O973" s="36"/>
      <c r="P973" s="36"/>
      <c r="Q973" s="36"/>
      <c r="R973" s="36"/>
      <c r="S973" s="36"/>
      <c r="T973" s="36"/>
      <c r="U973" s="36"/>
      <c r="V973" s="36"/>
      <c r="W973" s="23"/>
      <c r="X973" s="36"/>
      <c r="Y973" s="36"/>
      <c r="Z973" s="23"/>
      <c r="AA973" s="36"/>
      <c r="AB973" s="36"/>
      <c r="AC973" s="23"/>
      <c r="AD973" s="36"/>
      <c r="AE973" s="36"/>
      <c r="AF973" s="23"/>
    </row>
    <row r="974" spans="1:32" x14ac:dyDescent="0.25">
      <c r="A974" s="23"/>
      <c r="B974" s="23"/>
      <c r="C974" s="36"/>
      <c r="D974" s="36"/>
      <c r="E974" s="23"/>
      <c r="F974" s="36"/>
      <c r="G974" s="36"/>
      <c r="H974" s="23"/>
      <c r="I974" s="36"/>
      <c r="J974" s="36"/>
      <c r="K974" s="23"/>
      <c r="L974" s="36"/>
      <c r="M974" s="36"/>
      <c r="N974" s="23"/>
      <c r="O974" s="36"/>
      <c r="P974" s="36"/>
      <c r="Q974" s="36"/>
      <c r="R974" s="36"/>
      <c r="S974" s="36"/>
      <c r="T974" s="36"/>
      <c r="U974" s="36"/>
      <c r="V974" s="36"/>
      <c r="W974" s="23"/>
      <c r="X974" s="36"/>
      <c r="Y974" s="36"/>
      <c r="Z974" s="23"/>
      <c r="AA974" s="36"/>
      <c r="AB974" s="36"/>
      <c r="AC974" s="23"/>
      <c r="AD974" s="36"/>
      <c r="AE974" s="36"/>
      <c r="AF974" s="23"/>
    </row>
    <row r="975" spans="1:32" x14ac:dyDescent="0.25">
      <c r="A975" s="23"/>
      <c r="B975" s="23"/>
      <c r="C975" s="36"/>
      <c r="D975" s="36"/>
      <c r="E975" s="23"/>
      <c r="F975" s="36"/>
      <c r="G975" s="36"/>
      <c r="H975" s="23"/>
      <c r="I975" s="36"/>
      <c r="J975" s="36"/>
      <c r="K975" s="23"/>
      <c r="L975" s="36"/>
      <c r="M975" s="36"/>
      <c r="N975" s="23"/>
      <c r="O975" s="36"/>
      <c r="P975" s="36"/>
      <c r="Q975" s="36"/>
      <c r="R975" s="36"/>
      <c r="S975" s="36"/>
      <c r="T975" s="36"/>
      <c r="U975" s="36"/>
      <c r="V975" s="36"/>
      <c r="W975" s="23"/>
      <c r="X975" s="36"/>
      <c r="Y975" s="36"/>
      <c r="Z975" s="23"/>
      <c r="AA975" s="36"/>
      <c r="AB975" s="36"/>
      <c r="AC975" s="23"/>
      <c r="AD975" s="36"/>
      <c r="AE975" s="36"/>
      <c r="AF975" s="23"/>
    </row>
    <row r="976" spans="1:32" x14ac:dyDescent="0.25">
      <c r="A976" s="23"/>
      <c r="B976" s="23"/>
      <c r="C976" s="36"/>
      <c r="D976" s="36"/>
      <c r="E976" s="23"/>
      <c r="F976" s="36"/>
      <c r="G976" s="36"/>
      <c r="H976" s="23"/>
      <c r="I976" s="36"/>
      <c r="J976" s="36"/>
      <c r="K976" s="23"/>
      <c r="L976" s="36"/>
      <c r="M976" s="36"/>
      <c r="N976" s="23"/>
      <c r="O976" s="36"/>
      <c r="P976" s="36"/>
      <c r="Q976" s="36"/>
      <c r="R976" s="36"/>
      <c r="S976" s="36"/>
      <c r="T976" s="36"/>
      <c r="U976" s="36"/>
      <c r="V976" s="36"/>
      <c r="W976" s="23"/>
      <c r="X976" s="36"/>
      <c r="Y976" s="36"/>
      <c r="Z976" s="23"/>
      <c r="AA976" s="36"/>
      <c r="AB976" s="36"/>
      <c r="AC976" s="23"/>
      <c r="AD976" s="36"/>
      <c r="AE976" s="36"/>
      <c r="AF976" s="23"/>
    </row>
    <row r="977" spans="1:32" x14ac:dyDescent="0.25">
      <c r="A977" s="23"/>
      <c r="B977" s="23"/>
      <c r="C977" s="36"/>
      <c r="D977" s="36"/>
      <c r="E977" s="23"/>
      <c r="F977" s="36"/>
      <c r="G977" s="36"/>
      <c r="H977" s="23"/>
      <c r="I977" s="36"/>
      <c r="J977" s="36"/>
      <c r="K977" s="23"/>
      <c r="L977" s="36"/>
      <c r="M977" s="36"/>
      <c r="N977" s="23"/>
      <c r="O977" s="36"/>
      <c r="P977" s="36"/>
      <c r="Q977" s="36"/>
      <c r="R977" s="36"/>
      <c r="S977" s="36"/>
      <c r="T977" s="36"/>
      <c r="U977" s="36"/>
      <c r="V977" s="36"/>
      <c r="W977" s="23"/>
      <c r="X977" s="36"/>
      <c r="Y977" s="36"/>
      <c r="Z977" s="23"/>
      <c r="AA977" s="36"/>
      <c r="AB977" s="36"/>
      <c r="AC977" s="23"/>
      <c r="AD977" s="36"/>
      <c r="AE977" s="36"/>
      <c r="AF977" s="23"/>
    </row>
    <row r="978" spans="1:32" x14ac:dyDescent="0.25">
      <c r="A978" s="23"/>
      <c r="B978" s="23"/>
      <c r="C978" s="36"/>
      <c r="D978" s="36"/>
      <c r="E978" s="23"/>
      <c r="F978" s="36"/>
      <c r="G978" s="36"/>
      <c r="H978" s="23"/>
      <c r="I978" s="36"/>
      <c r="J978" s="36"/>
      <c r="K978" s="23"/>
      <c r="L978" s="36"/>
      <c r="M978" s="36"/>
      <c r="N978" s="23"/>
      <c r="O978" s="36"/>
      <c r="P978" s="36"/>
      <c r="Q978" s="36"/>
      <c r="R978" s="36"/>
      <c r="S978" s="36"/>
      <c r="T978" s="36"/>
      <c r="U978" s="36"/>
      <c r="V978" s="36"/>
      <c r="W978" s="23"/>
      <c r="X978" s="36"/>
      <c r="Y978" s="36"/>
      <c r="Z978" s="23"/>
      <c r="AA978" s="36"/>
      <c r="AB978" s="36"/>
      <c r="AC978" s="23"/>
      <c r="AD978" s="36"/>
      <c r="AE978" s="36"/>
      <c r="AF978" s="23"/>
    </row>
    <row r="979" spans="1:32" x14ac:dyDescent="0.25">
      <c r="A979" s="23"/>
      <c r="B979" s="23"/>
      <c r="C979" s="36"/>
      <c r="D979" s="36"/>
      <c r="E979" s="23"/>
      <c r="F979" s="36"/>
      <c r="G979" s="36"/>
      <c r="H979" s="23"/>
      <c r="I979" s="36"/>
      <c r="J979" s="36"/>
      <c r="K979" s="23"/>
      <c r="L979" s="36"/>
      <c r="M979" s="36"/>
      <c r="N979" s="23"/>
      <c r="O979" s="36"/>
      <c r="P979" s="36"/>
      <c r="Q979" s="36"/>
      <c r="R979" s="36"/>
      <c r="S979" s="36"/>
      <c r="T979" s="36"/>
      <c r="U979" s="36"/>
      <c r="V979" s="36"/>
      <c r="W979" s="23"/>
      <c r="X979" s="36"/>
      <c r="Y979" s="36"/>
      <c r="Z979" s="23"/>
      <c r="AA979" s="36"/>
      <c r="AB979" s="36"/>
      <c r="AC979" s="23"/>
      <c r="AD979" s="36"/>
      <c r="AE979" s="36"/>
      <c r="AF979" s="23"/>
    </row>
    <row r="980" spans="1:32" x14ac:dyDescent="0.25">
      <c r="A980" s="23"/>
      <c r="B980" s="23"/>
      <c r="C980" s="36"/>
      <c r="D980" s="36"/>
      <c r="E980" s="23"/>
      <c r="F980" s="36"/>
      <c r="G980" s="36"/>
      <c r="H980" s="23"/>
      <c r="I980" s="36"/>
      <c r="J980" s="36"/>
      <c r="K980" s="23"/>
      <c r="L980" s="36"/>
      <c r="M980" s="36"/>
      <c r="N980" s="23"/>
      <c r="O980" s="36"/>
      <c r="P980" s="36"/>
      <c r="Q980" s="36"/>
      <c r="R980" s="36"/>
      <c r="S980" s="36"/>
      <c r="T980" s="36"/>
      <c r="U980" s="36"/>
      <c r="V980" s="36"/>
      <c r="W980" s="23"/>
      <c r="X980" s="36"/>
      <c r="Y980" s="36"/>
      <c r="Z980" s="23"/>
      <c r="AA980" s="36"/>
      <c r="AB980" s="36"/>
      <c r="AC980" s="23"/>
      <c r="AD980" s="36"/>
      <c r="AE980" s="36"/>
      <c r="AF980" s="23"/>
    </row>
    <row r="981" spans="1:32" x14ac:dyDescent="0.25">
      <c r="A981" s="23"/>
      <c r="B981" s="23"/>
      <c r="C981" s="36"/>
      <c r="D981" s="36"/>
      <c r="E981" s="23"/>
      <c r="F981" s="36"/>
      <c r="G981" s="36"/>
      <c r="H981" s="23"/>
      <c r="I981" s="36"/>
      <c r="J981" s="36"/>
      <c r="K981" s="23"/>
      <c r="L981" s="36"/>
      <c r="M981" s="36"/>
      <c r="N981" s="23"/>
      <c r="O981" s="36"/>
      <c r="P981" s="36"/>
      <c r="Q981" s="36"/>
      <c r="R981" s="36"/>
      <c r="S981" s="36"/>
      <c r="T981" s="36"/>
      <c r="U981" s="36"/>
      <c r="V981" s="36"/>
      <c r="W981" s="23"/>
      <c r="X981" s="36"/>
      <c r="Y981" s="36"/>
      <c r="Z981" s="23"/>
      <c r="AA981" s="36"/>
      <c r="AB981" s="36"/>
      <c r="AC981" s="23"/>
      <c r="AD981" s="36"/>
      <c r="AE981" s="36"/>
      <c r="AF981" s="23"/>
    </row>
    <row r="982" spans="1:32" x14ac:dyDescent="0.25">
      <c r="A982" s="23"/>
      <c r="B982" s="23"/>
      <c r="C982" s="36"/>
      <c r="D982" s="36"/>
      <c r="E982" s="23"/>
      <c r="F982" s="36"/>
      <c r="G982" s="36"/>
      <c r="H982" s="23"/>
      <c r="I982" s="36"/>
      <c r="J982" s="36"/>
      <c r="K982" s="23"/>
      <c r="L982" s="36"/>
      <c r="M982" s="36"/>
      <c r="N982" s="23"/>
      <c r="O982" s="36"/>
      <c r="P982" s="36"/>
      <c r="Q982" s="36"/>
      <c r="R982" s="36"/>
      <c r="S982" s="36"/>
      <c r="T982" s="36"/>
      <c r="U982" s="36"/>
      <c r="V982" s="36"/>
      <c r="W982" s="23"/>
      <c r="X982" s="36"/>
      <c r="Y982" s="36"/>
      <c r="Z982" s="23"/>
      <c r="AA982" s="36"/>
      <c r="AB982" s="36"/>
      <c r="AC982" s="23"/>
      <c r="AD982" s="36"/>
      <c r="AE982" s="36"/>
      <c r="AF982" s="23"/>
    </row>
    <row r="983" spans="1:32" x14ac:dyDescent="0.25">
      <c r="A983" s="23"/>
      <c r="B983" s="23"/>
      <c r="C983" s="36"/>
      <c r="D983" s="36"/>
      <c r="E983" s="23"/>
      <c r="F983" s="36"/>
      <c r="G983" s="36"/>
      <c r="H983" s="23"/>
      <c r="I983" s="36"/>
      <c r="J983" s="36"/>
      <c r="K983" s="23"/>
      <c r="L983" s="36"/>
      <c r="M983" s="36"/>
      <c r="N983" s="23"/>
      <c r="O983" s="36"/>
      <c r="P983" s="36"/>
      <c r="Q983" s="36"/>
      <c r="R983" s="36"/>
      <c r="S983" s="36"/>
      <c r="T983" s="36"/>
      <c r="U983" s="36"/>
      <c r="V983" s="36"/>
      <c r="W983" s="23"/>
      <c r="X983" s="36"/>
      <c r="Y983" s="36"/>
      <c r="Z983" s="23"/>
      <c r="AA983" s="36"/>
      <c r="AB983" s="36"/>
      <c r="AC983" s="23"/>
      <c r="AD983" s="36"/>
      <c r="AE983" s="36"/>
      <c r="AF983" s="23"/>
    </row>
    <row r="984" spans="1:32" x14ac:dyDescent="0.25">
      <c r="A984" s="23"/>
      <c r="B984" s="23"/>
      <c r="C984" s="36"/>
      <c r="D984" s="36"/>
      <c r="E984" s="23"/>
      <c r="F984" s="36"/>
      <c r="G984" s="36"/>
      <c r="H984" s="23"/>
      <c r="I984" s="36"/>
      <c r="J984" s="36"/>
      <c r="K984" s="23"/>
      <c r="L984" s="36"/>
      <c r="M984" s="36"/>
      <c r="N984" s="23"/>
      <c r="O984" s="36"/>
      <c r="P984" s="36"/>
      <c r="Q984" s="36"/>
      <c r="R984" s="36"/>
      <c r="S984" s="36"/>
      <c r="T984" s="36"/>
      <c r="U984" s="36"/>
      <c r="V984" s="36"/>
      <c r="W984" s="23"/>
      <c r="X984" s="36"/>
      <c r="Y984" s="36"/>
      <c r="Z984" s="23"/>
      <c r="AA984" s="36"/>
      <c r="AB984" s="36"/>
      <c r="AC984" s="23"/>
      <c r="AD984" s="36"/>
      <c r="AE984" s="36"/>
      <c r="AF984" s="23"/>
    </row>
    <row r="985" spans="1:32" x14ac:dyDescent="0.25">
      <c r="A985" s="23"/>
      <c r="B985" s="23"/>
      <c r="C985" s="36"/>
      <c r="D985" s="36"/>
      <c r="E985" s="23"/>
      <c r="F985" s="36"/>
      <c r="G985" s="36"/>
      <c r="H985" s="23"/>
      <c r="I985" s="36"/>
      <c r="J985" s="36"/>
      <c r="K985" s="23"/>
      <c r="L985" s="36"/>
      <c r="M985" s="36"/>
      <c r="N985" s="23"/>
      <c r="O985" s="36"/>
      <c r="P985" s="36"/>
      <c r="Q985" s="36"/>
      <c r="R985" s="36"/>
      <c r="S985" s="36"/>
      <c r="T985" s="36"/>
      <c r="U985" s="36"/>
      <c r="V985" s="36"/>
      <c r="W985" s="23"/>
      <c r="X985" s="36"/>
      <c r="Y985" s="36"/>
      <c r="Z985" s="23"/>
      <c r="AA985" s="36"/>
      <c r="AB985" s="36"/>
      <c r="AC985" s="23"/>
      <c r="AD985" s="36"/>
      <c r="AE985" s="36"/>
      <c r="AF985" s="23"/>
    </row>
    <row r="986" spans="1:32" x14ac:dyDescent="0.25">
      <c r="A986" s="23"/>
      <c r="B986" s="23"/>
      <c r="C986" s="36"/>
      <c r="D986" s="36"/>
      <c r="E986" s="23"/>
      <c r="F986" s="36"/>
      <c r="G986" s="36"/>
      <c r="H986" s="23"/>
      <c r="I986" s="36"/>
      <c r="J986" s="36"/>
      <c r="K986" s="23"/>
      <c r="L986" s="36"/>
      <c r="M986" s="36"/>
      <c r="N986" s="23"/>
      <c r="O986" s="36"/>
      <c r="P986" s="36"/>
      <c r="Q986" s="36"/>
      <c r="R986" s="36"/>
      <c r="S986" s="36"/>
      <c r="T986" s="36"/>
      <c r="U986" s="36"/>
      <c r="V986" s="36"/>
      <c r="W986" s="23"/>
      <c r="X986" s="36"/>
      <c r="Y986" s="36"/>
      <c r="Z986" s="23"/>
      <c r="AA986" s="36"/>
      <c r="AB986" s="36"/>
      <c r="AC986" s="23"/>
      <c r="AD986" s="36"/>
      <c r="AE986" s="36"/>
      <c r="AF986" s="23"/>
    </row>
    <row r="987" spans="1:32" x14ac:dyDescent="0.25">
      <c r="A987" s="23"/>
      <c r="B987" s="23"/>
      <c r="C987" s="36"/>
      <c r="D987" s="36"/>
      <c r="E987" s="23"/>
      <c r="F987" s="36"/>
      <c r="G987" s="36"/>
      <c r="H987" s="23"/>
      <c r="I987" s="36"/>
      <c r="J987" s="36"/>
      <c r="K987" s="23"/>
      <c r="L987" s="36"/>
      <c r="M987" s="36"/>
      <c r="N987" s="23"/>
      <c r="O987" s="36"/>
      <c r="P987" s="36"/>
      <c r="Q987" s="36"/>
      <c r="R987" s="36"/>
      <c r="S987" s="36"/>
      <c r="T987" s="36"/>
      <c r="U987" s="36"/>
      <c r="V987" s="36"/>
      <c r="W987" s="23"/>
      <c r="X987" s="36"/>
      <c r="Y987" s="36"/>
      <c r="Z987" s="23"/>
      <c r="AA987" s="36"/>
      <c r="AB987" s="36"/>
      <c r="AC987" s="23"/>
      <c r="AD987" s="36"/>
      <c r="AE987" s="36"/>
      <c r="AF987" s="23"/>
    </row>
    <row r="988" spans="1:32" x14ac:dyDescent="0.25">
      <c r="A988" s="23"/>
      <c r="B988" s="23"/>
      <c r="C988" s="36"/>
      <c r="D988" s="36"/>
      <c r="E988" s="23"/>
      <c r="F988" s="36"/>
      <c r="G988" s="36"/>
      <c r="H988" s="23"/>
      <c r="I988" s="36"/>
      <c r="J988" s="36"/>
      <c r="K988" s="23"/>
      <c r="L988" s="36"/>
      <c r="M988" s="36"/>
      <c r="N988" s="23"/>
      <c r="O988" s="36"/>
      <c r="P988" s="36"/>
      <c r="Q988" s="36"/>
      <c r="R988" s="36"/>
      <c r="S988" s="36"/>
      <c r="T988" s="36"/>
      <c r="U988" s="36"/>
      <c r="V988" s="36"/>
      <c r="W988" s="23"/>
      <c r="X988" s="36"/>
      <c r="Y988" s="36"/>
      <c r="Z988" s="23"/>
      <c r="AA988" s="36"/>
      <c r="AB988" s="36"/>
      <c r="AC988" s="23"/>
      <c r="AD988" s="36"/>
      <c r="AE988" s="36"/>
      <c r="AF988" s="23"/>
    </row>
    <row r="989" spans="1:32" x14ac:dyDescent="0.25">
      <c r="A989" s="23"/>
      <c r="B989" s="23"/>
      <c r="C989" s="36"/>
      <c r="D989" s="36"/>
      <c r="E989" s="23"/>
      <c r="F989" s="36"/>
      <c r="G989" s="36"/>
      <c r="H989" s="23"/>
      <c r="I989" s="36"/>
      <c r="J989" s="36"/>
      <c r="K989" s="23"/>
      <c r="L989" s="36"/>
      <c r="M989" s="36"/>
      <c r="N989" s="23"/>
      <c r="O989" s="36"/>
      <c r="P989" s="36"/>
      <c r="Q989" s="36"/>
      <c r="R989" s="36"/>
      <c r="S989" s="36"/>
      <c r="T989" s="36"/>
      <c r="U989" s="36"/>
      <c r="V989" s="36"/>
      <c r="W989" s="23"/>
      <c r="X989" s="36"/>
      <c r="Y989" s="36"/>
      <c r="Z989" s="23"/>
      <c r="AA989" s="36"/>
      <c r="AB989" s="36"/>
      <c r="AC989" s="23"/>
      <c r="AD989" s="36"/>
      <c r="AE989" s="36"/>
      <c r="AF989" s="23"/>
    </row>
    <row r="990" spans="1:32" x14ac:dyDescent="0.25">
      <c r="A990" s="23"/>
      <c r="B990" s="23"/>
      <c r="C990" s="36"/>
      <c r="D990" s="36"/>
      <c r="E990" s="23"/>
      <c r="F990" s="36"/>
      <c r="G990" s="36"/>
      <c r="H990" s="23"/>
      <c r="I990" s="36"/>
      <c r="J990" s="36"/>
      <c r="K990" s="23"/>
      <c r="L990" s="36"/>
      <c r="M990" s="36"/>
      <c r="N990" s="23"/>
      <c r="O990" s="36"/>
      <c r="P990" s="36"/>
      <c r="Q990" s="36"/>
      <c r="R990" s="36"/>
      <c r="S990" s="36"/>
      <c r="T990" s="36"/>
      <c r="U990" s="36"/>
      <c r="V990" s="36"/>
      <c r="W990" s="23"/>
      <c r="X990" s="36"/>
      <c r="Y990" s="36"/>
      <c r="Z990" s="23"/>
      <c r="AA990" s="36"/>
      <c r="AB990" s="36"/>
      <c r="AC990" s="23"/>
      <c r="AD990" s="36"/>
      <c r="AE990" s="36"/>
      <c r="AF990" s="23"/>
    </row>
    <row r="991" spans="1:32" x14ac:dyDescent="0.25">
      <c r="A991" s="23"/>
      <c r="B991" s="23"/>
      <c r="C991" s="36"/>
      <c r="D991" s="36"/>
      <c r="E991" s="23"/>
      <c r="F991" s="36"/>
      <c r="G991" s="36"/>
      <c r="H991" s="23"/>
      <c r="I991" s="36"/>
      <c r="J991" s="36"/>
      <c r="K991" s="23"/>
      <c r="L991" s="36"/>
      <c r="M991" s="36"/>
      <c r="N991" s="23"/>
      <c r="O991" s="36"/>
      <c r="P991" s="36"/>
      <c r="Q991" s="36"/>
      <c r="R991" s="36"/>
      <c r="S991" s="36"/>
      <c r="T991" s="36"/>
      <c r="U991" s="36"/>
      <c r="V991" s="36"/>
      <c r="W991" s="23"/>
      <c r="X991" s="36"/>
      <c r="Y991" s="36"/>
      <c r="Z991" s="23"/>
      <c r="AA991" s="36"/>
      <c r="AB991" s="36"/>
      <c r="AC991" s="23"/>
      <c r="AD991" s="36"/>
      <c r="AE991" s="36"/>
      <c r="AF991" s="23"/>
    </row>
    <row r="992" spans="1:32" x14ac:dyDescent="0.25">
      <c r="A992" s="23"/>
      <c r="B992" s="23"/>
      <c r="C992" s="36"/>
      <c r="D992" s="36"/>
      <c r="E992" s="23"/>
      <c r="F992" s="36"/>
      <c r="G992" s="36"/>
      <c r="H992" s="23"/>
      <c r="I992" s="36"/>
      <c r="J992" s="36"/>
      <c r="K992" s="23"/>
      <c r="L992" s="36"/>
      <c r="M992" s="36"/>
      <c r="N992" s="23"/>
      <c r="O992" s="36"/>
      <c r="P992" s="36"/>
      <c r="Q992" s="36"/>
      <c r="R992" s="36"/>
      <c r="S992" s="36"/>
      <c r="T992" s="36"/>
      <c r="U992" s="36"/>
      <c r="V992" s="36"/>
      <c r="W992" s="23"/>
      <c r="X992" s="36"/>
      <c r="Y992" s="36"/>
      <c r="Z992" s="23"/>
      <c r="AA992" s="36"/>
      <c r="AB992" s="36"/>
      <c r="AC992" s="23"/>
      <c r="AD992" s="36"/>
      <c r="AE992" s="36"/>
      <c r="AF992" s="23"/>
    </row>
    <row r="993" spans="1:32" x14ac:dyDescent="0.25">
      <c r="A993" s="23"/>
      <c r="B993" s="23"/>
      <c r="C993" s="36"/>
      <c r="D993" s="36"/>
      <c r="E993" s="23"/>
      <c r="F993" s="36"/>
      <c r="G993" s="36"/>
      <c r="H993" s="23"/>
      <c r="I993" s="36"/>
      <c r="J993" s="36"/>
      <c r="K993" s="23"/>
      <c r="L993" s="36"/>
      <c r="M993" s="36"/>
      <c r="N993" s="23"/>
      <c r="O993" s="36"/>
      <c r="P993" s="36"/>
      <c r="Q993" s="36"/>
      <c r="R993" s="36"/>
      <c r="S993" s="36"/>
      <c r="T993" s="36"/>
      <c r="U993" s="36"/>
      <c r="V993" s="36"/>
      <c r="W993" s="23"/>
      <c r="X993" s="36"/>
      <c r="Y993" s="36"/>
      <c r="Z993" s="23"/>
      <c r="AA993" s="36"/>
      <c r="AB993" s="36"/>
      <c r="AC993" s="23"/>
      <c r="AD993" s="36"/>
      <c r="AE993" s="36"/>
      <c r="AF993" s="23"/>
    </row>
    <row r="994" spans="1:32" x14ac:dyDescent="0.25">
      <c r="A994" s="23"/>
      <c r="B994" s="23"/>
      <c r="C994" s="36"/>
      <c r="D994" s="36"/>
      <c r="E994" s="23"/>
      <c r="F994" s="36"/>
      <c r="G994" s="36"/>
      <c r="H994" s="23"/>
      <c r="I994" s="36"/>
      <c r="J994" s="36"/>
      <c r="K994" s="23"/>
      <c r="L994" s="36"/>
      <c r="M994" s="36"/>
      <c r="N994" s="23"/>
      <c r="O994" s="36"/>
      <c r="P994" s="36"/>
      <c r="Q994" s="36"/>
      <c r="R994" s="36"/>
      <c r="S994" s="36"/>
      <c r="T994" s="36"/>
      <c r="U994" s="36"/>
      <c r="V994" s="36"/>
      <c r="W994" s="23"/>
      <c r="X994" s="36"/>
      <c r="Y994" s="36"/>
      <c r="Z994" s="23"/>
      <c r="AA994" s="36"/>
      <c r="AB994" s="36"/>
      <c r="AC994" s="23"/>
      <c r="AD994" s="36"/>
      <c r="AE994" s="36"/>
      <c r="AF994" s="23"/>
    </row>
    <row r="995" spans="1:32" x14ac:dyDescent="0.25">
      <c r="A995" s="23"/>
      <c r="B995" s="23"/>
      <c r="C995" s="36"/>
      <c r="D995" s="36"/>
      <c r="E995" s="23"/>
      <c r="F995" s="36"/>
      <c r="G995" s="36"/>
      <c r="H995" s="23"/>
      <c r="I995" s="36"/>
      <c r="J995" s="36"/>
      <c r="K995" s="23"/>
      <c r="L995" s="36"/>
      <c r="M995" s="36"/>
      <c r="N995" s="23"/>
      <c r="O995" s="36"/>
      <c r="P995" s="36"/>
      <c r="Q995" s="36"/>
      <c r="R995" s="36"/>
      <c r="S995" s="36"/>
      <c r="T995" s="36"/>
      <c r="U995" s="36"/>
      <c r="V995" s="36"/>
      <c r="W995" s="23"/>
      <c r="X995" s="36"/>
      <c r="Y995" s="36"/>
      <c r="Z995" s="23"/>
      <c r="AA995" s="36"/>
      <c r="AB995" s="36"/>
      <c r="AC995" s="23"/>
      <c r="AD995" s="36"/>
      <c r="AE995" s="36"/>
      <c r="AF995" s="23"/>
    </row>
    <row r="996" spans="1:32" x14ac:dyDescent="0.25">
      <c r="A996" s="23"/>
      <c r="B996" s="23"/>
      <c r="C996" s="36"/>
      <c r="D996" s="36"/>
      <c r="E996" s="23"/>
      <c r="F996" s="36"/>
      <c r="G996" s="36"/>
      <c r="H996" s="23"/>
      <c r="I996" s="36"/>
      <c r="J996" s="36"/>
      <c r="K996" s="23"/>
      <c r="L996" s="36"/>
      <c r="M996" s="36"/>
      <c r="N996" s="23"/>
      <c r="O996" s="36"/>
      <c r="P996" s="36"/>
      <c r="Q996" s="36"/>
      <c r="R996" s="36"/>
      <c r="S996" s="36"/>
      <c r="T996" s="36"/>
      <c r="U996" s="36"/>
      <c r="V996" s="36"/>
      <c r="W996" s="23"/>
      <c r="X996" s="36"/>
      <c r="Y996" s="36"/>
      <c r="Z996" s="23"/>
      <c r="AA996" s="36"/>
      <c r="AB996" s="36"/>
      <c r="AC996" s="23"/>
      <c r="AD996" s="36"/>
      <c r="AE996" s="36"/>
      <c r="AF996" s="23"/>
    </row>
    <row r="997" spans="1:32" x14ac:dyDescent="0.25">
      <c r="A997" s="23"/>
      <c r="B997" s="23"/>
      <c r="C997" s="36"/>
      <c r="D997" s="36"/>
      <c r="E997" s="23"/>
      <c r="F997" s="36"/>
      <c r="G997" s="36"/>
      <c r="H997" s="23"/>
      <c r="I997" s="36"/>
      <c r="J997" s="36"/>
      <c r="K997" s="23"/>
      <c r="L997" s="36"/>
      <c r="M997" s="36"/>
      <c r="N997" s="23"/>
      <c r="O997" s="36"/>
      <c r="P997" s="36"/>
      <c r="Q997" s="36"/>
      <c r="R997" s="36"/>
      <c r="S997" s="36"/>
      <c r="T997" s="36"/>
      <c r="U997" s="36"/>
      <c r="V997" s="36"/>
      <c r="W997" s="23"/>
      <c r="X997" s="36"/>
      <c r="Y997" s="36"/>
      <c r="Z997" s="23"/>
      <c r="AA997" s="36"/>
      <c r="AB997" s="36"/>
      <c r="AC997" s="23"/>
      <c r="AD997" s="36"/>
      <c r="AE997" s="36"/>
      <c r="AF997" s="23"/>
    </row>
    <row r="998" spans="1:32" x14ac:dyDescent="0.25">
      <c r="A998" s="23"/>
      <c r="B998" s="23"/>
      <c r="C998" s="36"/>
      <c r="D998" s="36"/>
      <c r="E998" s="23"/>
      <c r="F998" s="36"/>
      <c r="G998" s="36"/>
      <c r="H998" s="23"/>
      <c r="I998" s="36"/>
      <c r="J998" s="36"/>
      <c r="K998" s="23"/>
      <c r="L998" s="36"/>
      <c r="M998" s="36"/>
      <c r="N998" s="23"/>
      <c r="O998" s="36"/>
      <c r="P998" s="36"/>
      <c r="Q998" s="36"/>
      <c r="R998" s="36"/>
      <c r="S998" s="36"/>
      <c r="T998" s="36"/>
      <c r="U998" s="36"/>
      <c r="V998" s="36"/>
      <c r="W998" s="23"/>
      <c r="X998" s="36"/>
      <c r="Y998" s="36"/>
      <c r="Z998" s="23"/>
      <c r="AA998" s="36"/>
      <c r="AB998" s="36"/>
      <c r="AC998" s="23"/>
      <c r="AD998" s="36"/>
      <c r="AE998" s="36"/>
      <c r="AF998" s="23"/>
    </row>
    <row r="999" spans="1:32" x14ac:dyDescent="0.25">
      <c r="A999" s="23"/>
      <c r="B999" s="23"/>
      <c r="C999" s="36"/>
      <c r="D999" s="36"/>
      <c r="E999" s="23"/>
      <c r="F999" s="36"/>
      <c r="G999" s="36"/>
      <c r="H999" s="23"/>
      <c r="I999" s="36"/>
      <c r="J999" s="36"/>
      <c r="K999" s="23"/>
      <c r="L999" s="36"/>
      <c r="M999" s="36"/>
      <c r="N999" s="23"/>
      <c r="O999" s="36"/>
      <c r="P999" s="36"/>
      <c r="Q999" s="36"/>
      <c r="R999" s="36"/>
      <c r="S999" s="36"/>
      <c r="T999" s="36"/>
      <c r="U999" s="36"/>
      <c r="V999" s="36"/>
      <c r="W999" s="23"/>
      <c r="X999" s="36"/>
      <c r="Y999" s="36"/>
      <c r="Z999" s="23"/>
      <c r="AA999" s="36"/>
      <c r="AB999" s="36"/>
      <c r="AC999" s="23"/>
      <c r="AD999" s="36"/>
      <c r="AE999" s="36"/>
      <c r="AF999" s="23"/>
    </row>
    <row r="1000" spans="1:32" x14ac:dyDescent="0.25">
      <c r="A1000" s="23"/>
      <c r="B1000" s="23"/>
      <c r="C1000" s="36"/>
      <c r="D1000" s="36"/>
      <c r="E1000" s="23"/>
      <c r="F1000" s="36"/>
      <c r="G1000" s="36"/>
      <c r="H1000" s="23"/>
      <c r="I1000" s="36"/>
      <c r="J1000" s="36"/>
      <c r="K1000" s="23"/>
      <c r="L1000" s="36"/>
      <c r="M1000" s="36"/>
      <c r="N1000" s="23"/>
      <c r="O1000" s="36"/>
      <c r="P1000" s="36"/>
      <c r="Q1000" s="36"/>
      <c r="R1000" s="36"/>
      <c r="S1000" s="36"/>
      <c r="T1000" s="36"/>
      <c r="U1000" s="36"/>
      <c r="V1000" s="36"/>
      <c r="W1000" s="23"/>
      <c r="X1000" s="36"/>
      <c r="Y1000" s="36"/>
      <c r="Z1000" s="23"/>
      <c r="AA1000" s="36"/>
      <c r="AB1000" s="36"/>
      <c r="AC1000" s="23"/>
      <c r="AD1000" s="36"/>
      <c r="AE1000" s="36"/>
      <c r="AF1000" s="23"/>
    </row>
  </sheetData>
  <mergeCells count="1">
    <mergeCell ref="A1:AH1"/>
  </mergeCells>
  <conditionalFormatting sqref="D3:D9">
    <cfRule type="cellIs" dxfId="3767" priority="21" operator="lessThan">
      <formula>0</formula>
    </cfRule>
    <cfRule type="cellIs" dxfId="3766" priority="22" operator="greaterThanOrEqual">
      <formula>0</formula>
    </cfRule>
  </conditionalFormatting>
  <conditionalFormatting sqref="G3:G9">
    <cfRule type="cellIs" dxfId="3765" priority="19" operator="lessThanOrEqual">
      <formula>0</formula>
    </cfRule>
    <cfRule type="cellIs" dxfId="3764" priority="20" operator="greaterThan">
      <formula>0</formula>
    </cfRule>
  </conditionalFormatting>
  <conditionalFormatting sqref="J3:J9">
    <cfRule type="cellIs" dxfId="3763" priority="17" operator="lessThan">
      <formula>0</formula>
    </cfRule>
    <cfRule type="cellIs" dxfId="3762" priority="18" operator="greaterThanOrEqual">
      <formula>0</formula>
    </cfRule>
  </conditionalFormatting>
  <conditionalFormatting sqref="M3:M9">
    <cfRule type="cellIs" dxfId="3761" priority="15" operator="lessThan">
      <formula>0</formula>
    </cfRule>
    <cfRule type="cellIs" dxfId="3760" priority="16" operator="greaterThanOrEqual">
      <formula>0</formula>
    </cfRule>
  </conditionalFormatting>
  <conditionalFormatting sqref="P3:P9">
    <cfRule type="cellIs" dxfId="3759" priority="13" operator="lessThan">
      <formula>0</formula>
    </cfRule>
    <cfRule type="cellIs" dxfId="3758" priority="14" operator="greaterThanOrEqual">
      <formula>0</formula>
    </cfRule>
  </conditionalFormatting>
  <conditionalFormatting sqref="S3:S9">
    <cfRule type="cellIs" dxfId="3757" priority="11" operator="lessThan">
      <formula>0</formula>
    </cfRule>
    <cfRule type="cellIs" dxfId="3756" priority="12" operator="greaterThanOrEqual">
      <formula>0</formula>
    </cfRule>
  </conditionalFormatting>
  <conditionalFormatting sqref="Y3:Y9">
    <cfRule type="cellIs" dxfId="3755" priority="9" operator="lessThan">
      <formula>0</formula>
    </cfRule>
    <cfRule type="cellIs" dxfId="3754" priority="10" operator="greaterThanOrEqual">
      <formula>0</formula>
    </cfRule>
  </conditionalFormatting>
  <conditionalFormatting sqref="AB3:AB9">
    <cfRule type="cellIs" dxfId="3753" priority="7" operator="lessThan">
      <formula>0</formula>
    </cfRule>
    <cfRule type="cellIs" dxfId="3752" priority="8" operator="greaterThanOrEqual">
      <formula>0</formula>
    </cfRule>
  </conditionalFormatting>
  <conditionalFormatting sqref="AE3:AE9">
    <cfRule type="cellIs" dxfId="3751" priority="5" operator="lessThan">
      <formula>0</formula>
    </cfRule>
    <cfRule type="cellIs" dxfId="3750" priority="6" operator="greaterThanOrEqual">
      <formula>0</formula>
    </cfRule>
  </conditionalFormatting>
  <conditionalFormatting sqref="AH3:AH9">
    <cfRule type="cellIs" dxfId="3749" priority="3" operator="lessThan">
      <formula>0</formula>
    </cfRule>
    <cfRule type="cellIs" dxfId="3748" priority="4" operator="greaterThanOrEqual">
      <formula>0</formula>
    </cfRule>
  </conditionalFormatting>
  <conditionalFormatting sqref="V3:V9">
    <cfRule type="cellIs" dxfId="3747" priority="1" operator="lessThanOrEqual">
      <formula>0</formula>
    </cfRule>
    <cfRule type="cellIs" dxfId="3746" priority="2" operator="greaterThan">
      <formula>0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170"/>
  <sheetViews>
    <sheetView topLeftCell="I1" zoomScale="82" zoomScaleNormal="82" workbookViewId="0">
      <pane ySplit="2" topLeftCell="A69" activePane="bottomLeft" state="frozen"/>
      <selection pane="bottomLeft" activeCell="Z121" sqref="Z121"/>
    </sheetView>
  </sheetViews>
  <sheetFormatPr defaultColWidth="8.625" defaultRowHeight="18.75" outlineLevelRow="1" outlineLevelCol="1" x14ac:dyDescent="0.3"/>
  <cols>
    <col min="1" max="1" width="30.875" style="358" customWidth="1"/>
    <col min="2" max="2" width="14.625" style="396" customWidth="1"/>
    <col min="3" max="3" width="13.875" style="396" customWidth="1" outlineLevel="1"/>
    <col min="4" max="4" width="11.375" style="396" bestFit="1" customWidth="1"/>
    <col min="5" max="5" width="14" style="396" bestFit="1" customWidth="1"/>
    <col min="6" max="6" width="14.5" style="396" customWidth="1" outlineLevel="1"/>
    <col min="7" max="7" width="8.5" style="396" customWidth="1"/>
    <col min="8" max="8" width="12" style="386" customWidth="1"/>
    <col min="9" max="9" width="9.125" style="386" customWidth="1" outlineLevel="1"/>
    <col min="10" max="10" width="8.5" style="396" customWidth="1"/>
    <col min="11" max="11" width="14.375" style="386" bestFit="1" customWidth="1"/>
    <col min="12" max="12" width="12.375" style="397" customWidth="1" outlineLevel="1"/>
    <col min="13" max="13" width="8.5" style="397" customWidth="1"/>
    <col min="14" max="14" width="11.375" style="397" customWidth="1"/>
    <col min="15" max="15" width="12" style="397" customWidth="1" outlineLevel="1"/>
    <col min="16" max="16" width="9.875" style="397" customWidth="1"/>
    <col min="17" max="17" width="10" style="397" customWidth="1"/>
    <col min="18" max="18" width="12" style="397" customWidth="1" outlineLevel="1"/>
    <col min="19" max="19" width="9.875" style="397" customWidth="1"/>
    <col min="20" max="20" width="9.375" style="396" customWidth="1"/>
    <col min="21" max="21" width="8.875" style="396" customWidth="1" outlineLevel="1"/>
    <col min="22" max="22" width="8.5" style="397" customWidth="1"/>
    <col min="23" max="23" width="9.375" style="396" customWidth="1"/>
    <col min="24" max="24" width="8.875" style="396" customWidth="1" outlineLevel="1"/>
    <col min="25" max="25" width="9.875" style="397" customWidth="1"/>
    <col min="26" max="26" width="12.5" style="445" customWidth="1"/>
    <col min="27" max="27" width="13.875" style="397" customWidth="1" outlineLevel="1"/>
    <col min="28" max="28" width="8.5" style="397" customWidth="1"/>
    <col min="29" max="29" width="14.875" style="445" customWidth="1"/>
    <col min="30" max="30" width="15.5" style="397" customWidth="1" outlineLevel="1"/>
    <col min="31" max="31" width="8.5" style="397" bestFit="1" customWidth="1"/>
    <col min="32" max="32" width="8.875" style="398" bestFit="1" customWidth="1"/>
    <col min="33" max="33" width="8.875" style="398" customWidth="1" outlineLevel="1"/>
    <col min="34" max="34" width="10" style="397" customWidth="1"/>
    <col min="35" max="16384" width="8.625" style="358"/>
  </cols>
  <sheetData>
    <row r="1" spans="1:34" ht="29.1" customHeight="1" x14ac:dyDescent="0.3">
      <c r="A1" s="456" t="s">
        <v>287</v>
      </c>
      <c r="B1" s="456"/>
      <c r="C1" s="456"/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</row>
    <row r="2" spans="1:34" x14ac:dyDescent="0.3">
      <c r="A2" s="359" t="s">
        <v>17</v>
      </c>
      <c r="B2" s="360" t="s">
        <v>1</v>
      </c>
      <c r="C2" s="360" t="s">
        <v>117</v>
      </c>
      <c r="D2" s="361" t="s">
        <v>24</v>
      </c>
      <c r="E2" s="360" t="s">
        <v>2</v>
      </c>
      <c r="F2" s="360" t="s">
        <v>99</v>
      </c>
      <c r="G2" s="361" t="s">
        <v>24</v>
      </c>
      <c r="H2" s="362" t="s">
        <v>3</v>
      </c>
      <c r="I2" s="362" t="s">
        <v>100</v>
      </c>
      <c r="J2" s="361" t="s">
        <v>24</v>
      </c>
      <c r="K2" s="362" t="s">
        <v>4</v>
      </c>
      <c r="L2" s="363" t="s">
        <v>101</v>
      </c>
      <c r="M2" s="361" t="s">
        <v>24</v>
      </c>
      <c r="N2" s="363" t="s">
        <v>5</v>
      </c>
      <c r="O2" s="363" t="s">
        <v>102</v>
      </c>
      <c r="P2" s="361" t="s">
        <v>24</v>
      </c>
      <c r="Q2" s="363" t="s">
        <v>109</v>
      </c>
      <c r="R2" s="363" t="s">
        <v>110</v>
      </c>
      <c r="S2" s="361" t="s">
        <v>24</v>
      </c>
      <c r="T2" s="364" t="s">
        <v>149</v>
      </c>
      <c r="U2" s="364" t="s">
        <v>150</v>
      </c>
      <c r="V2" s="361" t="s">
        <v>24</v>
      </c>
      <c r="W2" s="364" t="s">
        <v>6</v>
      </c>
      <c r="X2" s="364" t="s">
        <v>103</v>
      </c>
      <c r="Y2" s="361" t="s">
        <v>24</v>
      </c>
      <c r="Z2" s="446" t="s">
        <v>7</v>
      </c>
      <c r="AA2" s="363" t="s">
        <v>104</v>
      </c>
      <c r="AB2" s="361" t="s">
        <v>24</v>
      </c>
      <c r="AC2" s="442" t="s">
        <v>25</v>
      </c>
      <c r="AD2" s="365" t="s">
        <v>105</v>
      </c>
      <c r="AE2" s="361" t="s">
        <v>24</v>
      </c>
      <c r="AF2" s="366" t="s">
        <v>9</v>
      </c>
      <c r="AG2" s="366" t="s">
        <v>106</v>
      </c>
      <c r="AH2" s="361" t="s">
        <v>24</v>
      </c>
    </row>
    <row r="3" spans="1:34" s="367" customFormat="1" ht="20.100000000000001" customHeight="1" x14ac:dyDescent="0.3">
      <c r="A3" s="367" t="s">
        <v>10</v>
      </c>
      <c r="B3" s="368">
        <f>SUM(B4:B6)</f>
        <v>36360</v>
      </c>
      <c r="C3" s="368">
        <f>SUM(C4:C6)</f>
        <v>10293</v>
      </c>
      <c r="D3" s="369">
        <f t="shared" ref="D3:D14" si="0">(B3-C3)/C3</f>
        <v>2.5324978140483823</v>
      </c>
      <c r="E3" s="368">
        <f>SUM(E4:E6)</f>
        <v>10086.470000000001</v>
      </c>
      <c r="F3" s="368">
        <f>SUM(F4:F6)</f>
        <v>6129.88</v>
      </c>
      <c r="G3" s="369">
        <f t="shared" ref="G3:G14" si="1">(E3-F3)/F3</f>
        <v>0.64545961748027714</v>
      </c>
      <c r="H3" s="370">
        <f t="shared" ref="H3:I14" si="2">B3/E3</f>
        <v>3.6048290432629053</v>
      </c>
      <c r="I3" s="370">
        <f t="shared" si="2"/>
        <v>1.6791519572976958</v>
      </c>
      <c r="J3" s="369">
        <f t="shared" ref="J3:J14" si="3">(H3-I3)/I3</f>
        <v>1.1468152584976603</v>
      </c>
      <c r="K3" s="416">
        <f>SUM(K4:K6)</f>
        <v>28971</v>
      </c>
      <c r="L3" s="416">
        <f>SUM(L4:L6)</f>
        <v>14309</v>
      </c>
      <c r="M3" s="369">
        <f t="shared" ref="M3:M14" si="4">(K3-L3)/L3</f>
        <v>1.0246697882451603</v>
      </c>
      <c r="N3" s="416">
        <f>SUM(N4:N6)</f>
        <v>356</v>
      </c>
      <c r="O3" s="416">
        <f>SUM(O4:O6)</f>
        <v>111</v>
      </c>
      <c r="P3" s="369">
        <f t="shared" ref="P3:P14" si="5">(N3-O3)/O3</f>
        <v>2.2072072072072073</v>
      </c>
      <c r="Q3" s="372">
        <f t="shared" ref="Q3:R14" si="6">N3/K3</f>
        <v>1.2288150219184703E-2</v>
      </c>
      <c r="R3" s="372">
        <f t="shared" si="6"/>
        <v>7.7573555105178559E-3</v>
      </c>
      <c r="S3" s="369">
        <f t="shared" ref="S3:S14" si="7">(Q3-R3)/R3</f>
        <v>0.58406433771453969</v>
      </c>
      <c r="T3" s="368">
        <f t="shared" ref="T3:U14" si="8">E3/N3</f>
        <v>28.332780898876408</v>
      </c>
      <c r="U3" s="368">
        <f t="shared" si="8"/>
        <v>55.224144144144148</v>
      </c>
      <c r="V3" s="369">
        <f t="shared" ref="V3:V14" si="9">(T3-U3)/U3</f>
        <v>-0.48694938893171136</v>
      </c>
      <c r="W3" s="368">
        <f t="shared" ref="W3:X14" si="10">B3/N3</f>
        <v>102.13483146067416</v>
      </c>
      <c r="X3" s="368">
        <f t="shared" si="10"/>
        <v>92.729729729729726</v>
      </c>
      <c r="Y3" s="369">
        <f t="shared" ref="Y3:Y14" si="11">(W3-X3)/X3</f>
        <v>0.10142488022295081</v>
      </c>
      <c r="Z3" s="420">
        <f>SUM(Z4:Z6)</f>
        <v>22277</v>
      </c>
      <c r="AA3" s="416">
        <f>SUM(AA4:AA6)</f>
        <v>13203</v>
      </c>
      <c r="AB3" s="369">
        <f t="shared" ref="AB3:AB14" si="12">(Z3-AA3)/AA3</f>
        <v>0.68726804514125572</v>
      </c>
      <c r="AC3" s="420">
        <f>SUM(AC4:AC6)</f>
        <v>136512</v>
      </c>
      <c r="AD3" s="416">
        <f>SUM(AD4:AD6)</f>
        <v>93054</v>
      </c>
      <c r="AE3" s="369">
        <f t="shared" ref="AE3:AE14" si="13">(AC3-AD3)/AD3</f>
        <v>0.46701915017086854</v>
      </c>
      <c r="AF3" s="372">
        <f t="shared" ref="AF3:AG6" si="14">Z3/AC3</f>
        <v>0.16318711908110642</v>
      </c>
      <c r="AG3" s="372">
        <f t="shared" si="14"/>
        <v>0.14188535688954801</v>
      </c>
      <c r="AH3" s="369">
        <f>(AF3-AG3)/AG3</f>
        <v>0.1501336195541374</v>
      </c>
    </row>
    <row r="4" spans="1:34" outlineLevel="1" x14ac:dyDescent="0.3">
      <c r="A4" s="373" t="s">
        <v>29</v>
      </c>
      <c r="B4" s="374">
        <f>SUMIFS(Search!$E:$E,Search!$A:$A,"P1",Search!$D:$D,"Brand")</f>
        <v>34311</v>
      </c>
      <c r="C4" s="374">
        <f>SUMIFS(Search!$F:$F,Search!$A:$A,"P1",Search!$D:$D,"Brand")</f>
        <v>7797</v>
      </c>
      <c r="D4" s="369">
        <f t="shared" si="0"/>
        <v>3.4005386687187378</v>
      </c>
      <c r="E4" s="374">
        <f>SUMIFS(Search!$I:$I,Search!$A:$A,"P1",Search!$D:$D,"Brand")</f>
        <v>1681.28</v>
      </c>
      <c r="F4" s="374">
        <f>SUMIFS(Search!$J:$J,Search!$A:$A,"P1",Search!$D:$D,"Brand")</f>
        <v>2532.04</v>
      </c>
      <c r="G4" s="375">
        <f t="shared" si="1"/>
        <v>-0.33599785153473088</v>
      </c>
      <c r="H4" s="376">
        <f t="shared" si="2"/>
        <v>20.407665588123336</v>
      </c>
      <c r="I4" s="376">
        <f t="shared" si="2"/>
        <v>3.0793352395696751</v>
      </c>
      <c r="J4" s="375">
        <f t="shared" si="3"/>
        <v>5.6272958286202135</v>
      </c>
      <c r="K4" s="417">
        <f>SUMIFS(Search!$Q:$Q,Search!$A:$A,"P1",Search!$D:$D,"Brand")</f>
        <v>19895</v>
      </c>
      <c r="L4" s="417">
        <f>SUMIFS(Search!$R:$R,Search!$A:$A,"P1",Search!$D:$D,"Brand")</f>
        <v>10136</v>
      </c>
      <c r="M4" s="375">
        <f t="shared" si="4"/>
        <v>0.96280584056827145</v>
      </c>
      <c r="N4" s="417">
        <f>SUMIFS(Search!$U:$U,Search!$A:$A,"P1",Search!$D:$D,"Brand")</f>
        <v>328</v>
      </c>
      <c r="O4" s="417">
        <f>SUMIFS(Search!$V:$V,Search!$A:$A,"P1",Search!$D:$D,"Brand")</f>
        <v>84</v>
      </c>
      <c r="P4" s="378">
        <f t="shared" si="5"/>
        <v>2.9047619047619047</v>
      </c>
      <c r="Q4" s="379">
        <f t="shared" si="6"/>
        <v>1.6486554410655944E-2</v>
      </c>
      <c r="R4" s="379">
        <f t="shared" si="6"/>
        <v>8.2872928176795577E-3</v>
      </c>
      <c r="S4" s="378">
        <f t="shared" si="7"/>
        <v>0.98937756555248402</v>
      </c>
      <c r="T4" s="374">
        <f t="shared" si="8"/>
        <v>5.1258536585365855</v>
      </c>
      <c r="U4" s="374">
        <f t="shared" si="8"/>
        <v>30.143333333333334</v>
      </c>
      <c r="V4" s="375">
        <f t="shared" si="9"/>
        <v>-0.82995066929547989</v>
      </c>
      <c r="W4" s="374">
        <f t="shared" si="10"/>
        <v>104.60670731707317</v>
      </c>
      <c r="X4" s="374">
        <f t="shared" si="10"/>
        <v>92.821428571428569</v>
      </c>
      <c r="Y4" s="378">
        <f t="shared" si="11"/>
        <v>0.12696722003772562</v>
      </c>
      <c r="Z4" s="419">
        <f>SUMIFS(Search!$AG:$AG,Search!$A:$A,"P1",Search!$D:$D,"Brand")</f>
        <v>14130</v>
      </c>
      <c r="AA4" s="417">
        <f>SUMIFS(Search!$AH:$AH,Search!$A:$A,"P1",Search!$D:$D,"Brand")</f>
        <v>9298</v>
      </c>
      <c r="AB4" s="378">
        <f t="shared" si="12"/>
        <v>0.51968165196816518</v>
      </c>
      <c r="AC4" s="419">
        <f>SUMIFS(Search!$AK:$AK,Search!$A:$A,"P1",Search!$D:$D,"Brand")</f>
        <v>30849</v>
      </c>
      <c r="AD4" s="417">
        <f>SUMIFS(Search!$AL:$AL,Search!$A:$A,"P1",Search!$D:$D,"Brand")</f>
        <v>31122</v>
      </c>
      <c r="AE4" s="378">
        <f t="shared" si="13"/>
        <v>-8.771929824561403E-3</v>
      </c>
      <c r="AF4" s="379">
        <f t="shared" si="14"/>
        <v>0.45803753768355537</v>
      </c>
      <c r="AG4" s="379">
        <f t="shared" si="14"/>
        <v>0.29875971981235139</v>
      </c>
      <c r="AH4" s="378">
        <f>(AF4-AG4)/AG4</f>
        <v>0.5331301621625737</v>
      </c>
    </row>
    <row r="5" spans="1:34" outlineLevel="1" x14ac:dyDescent="0.3">
      <c r="A5" s="373" t="s">
        <v>30</v>
      </c>
      <c r="B5" s="374">
        <f>SUMIFS(Search!$E:$E,Search!$A:$A,"P1",Search!$D:$D,"Non-Brand")</f>
        <v>2049</v>
      </c>
      <c r="C5" s="374">
        <f>SUMIFS(Search!$F:$F,Search!$A:$A,"P1",Search!$D:$D,"Non-Brand")</f>
        <v>2496</v>
      </c>
      <c r="D5" s="369">
        <f t="shared" si="0"/>
        <v>-0.17908653846153846</v>
      </c>
      <c r="E5" s="374">
        <f>SUMIFS(Search!$I:$I,Search!$A:$A,"P1",Search!$D:$D,"Non-Brand")</f>
        <v>8405.19</v>
      </c>
      <c r="F5" s="374">
        <f>SUMIFS(Search!$J:$J,Search!$A:$A,"P1",Search!$D:$D,"Non-Brand")</f>
        <v>3597.84</v>
      </c>
      <c r="G5" s="375">
        <f t="shared" si="1"/>
        <v>1.3361767060236143</v>
      </c>
      <c r="H5" s="376">
        <f t="shared" si="2"/>
        <v>0.24377795147997844</v>
      </c>
      <c r="I5" s="376">
        <f t="shared" si="2"/>
        <v>0.69374958308318324</v>
      </c>
      <c r="J5" s="375">
        <f t="shared" si="3"/>
        <v>-0.64860814705419645</v>
      </c>
      <c r="K5" s="417">
        <f>SUMIFS(Search!$Q:$Q,Search!$A:$A,"P1",Search!$D:$D,"Non-Brand")</f>
        <v>9076</v>
      </c>
      <c r="L5" s="417">
        <f>SUMIFS(Search!$R:$R,Search!$A:$A,"P1",Search!$D:$D,"Non-Brand")</f>
        <v>4173</v>
      </c>
      <c r="M5" s="375">
        <f t="shared" si="4"/>
        <v>1.1749341001677451</v>
      </c>
      <c r="N5" s="417">
        <f>SUMIFS(Search!$U:$U,Search!$A:$A,"P1",Search!$D:$D,"Non-Brand")</f>
        <v>28</v>
      </c>
      <c r="O5" s="417">
        <f>SUMIFS(Search!$V:$V,Search!$A:$A,"P1",Search!$D:$D,"Non-Brand")</f>
        <v>27</v>
      </c>
      <c r="P5" s="378">
        <f t="shared" si="5"/>
        <v>3.7037037037037035E-2</v>
      </c>
      <c r="Q5" s="379">
        <f t="shared" si="6"/>
        <v>3.0850594975760249E-3</v>
      </c>
      <c r="R5" s="379">
        <f t="shared" si="6"/>
        <v>6.4701653486700216E-3</v>
      </c>
      <c r="S5" s="378">
        <f t="shared" si="7"/>
        <v>-0.52318691543019435</v>
      </c>
      <c r="T5" s="374">
        <f t="shared" si="8"/>
        <v>300.18535714285719</v>
      </c>
      <c r="U5" s="374">
        <f t="shared" si="8"/>
        <v>133.25333333333333</v>
      </c>
      <c r="V5" s="375">
        <f t="shared" si="9"/>
        <v>1.2527418236656283</v>
      </c>
      <c r="W5" s="374">
        <f t="shared" si="10"/>
        <v>73.178571428571431</v>
      </c>
      <c r="X5" s="374">
        <f t="shared" si="10"/>
        <v>92.444444444444443</v>
      </c>
      <c r="Y5" s="378">
        <f t="shared" si="11"/>
        <v>-0.20840487637362634</v>
      </c>
      <c r="Z5" s="419">
        <f>SUMIFS(Search!$AG:$AG,Search!$A:$A,"P1",Search!$D:$D,"Non-Brand")</f>
        <v>8147</v>
      </c>
      <c r="AA5" s="417">
        <f>SUMIFS(Search!$AH:$AH,Search!$A:$A,"P1",Search!$D:$D,"Non-Brand")</f>
        <v>3905</v>
      </c>
      <c r="AB5" s="378">
        <f t="shared" si="12"/>
        <v>1.0862996158770806</v>
      </c>
      <c r="AC5" s="419">
        <f>SUMIFS(Search!$AK:$AK,Search!$A:$A,"P1",Search!$D:$D,"Non-Brand")</f>
        <v>105663</v>
      </c>
      <c r="AD5" s="417">
        <f>SUMIFS(Search!$AL:$AL,Search!$A:$A,"P1",Search!$D:$D,"Non-Brand")</f>
        <v>61932</v>
      </c>
      <c r="AE5" s="378">
        <f t="shared" si="13"/>
        <v>0.70611315636504557</v>
      </c>
      <c r="AF5" s="379">
        <f t="shared" si="14"/>
        <v>7.7103621892242319E-2</v>
      </c>
      <c r="AG5" s="379">
        <f t="shared" si="14"/>
        <v>6.3053025899373505E-2</v>
      </c>
      <c r="AH5" s="378">
        <f>(AF5-AG5)/AG5</f>
        <v>0.22283777491174173</v>
      </c>
    </row>
    <row r="6" spans="1:34" outlineLevel="1" x14ac:dyDescent="0.3">
      <c r="A6" s="373" t="s">
        <v>228</v>
      </c>
      <c r="B6" s="374">
        <f>SUMIFS(Search!$E:$E,Search!$A:$A,"P1",Search!$D:$D,"Shopping Campaigns")</f>
        <v>0</v>
      </c>
      <c r="C6" s="374">
        <f>SUMIFS(Search!$F:$F,Search!$A:$A,"P1",Search!$D:$D,"Shopping Campaigns")</f>
        <v>0</v>
      </c>
      <c r="D6" s="369" t="e">
        <f t="shared" si="0"/>
        <v>#DIV/0!</v>
      </c>
      <c r="E6" s="374">
        <f>SUMIFS(Search!$I:$I,Search!$A:$A,"P1",Search!$D:$D,"Shopping Campaigns")</f>
        <v>0</v>
      </c>
      <c r="F6" s="374">
        <f>SUMIFS(Search!$J:$J,Search!$A:$A,"P1",Search!$D:$D,"Shopping Campaigns")</f>
        <v>0</v>
      </c>
      <c r="G6" s="375" t="e">
        <f t="shared" si="1"/>
        <v>#DIV/0!</v>
      </c>
      <c r="H6" s="376" t="e">
        <f t="shared" si="2"/>
        <v>#DIV/0!</v>
      </c>
      <c r="I6" s="376" t="e">
        <f t="shared" si="2"/>
        <v>#DIV/0!</v>
      </c>
      <c r="J6" s="375" t="e">
        <f t="shared" si="3"/>
        <v>#DIV/0!</v>
      </c>
      <c r="K6" s="417">
        <f>SUMIFS(Search!$Q:$Q,Search!$A:$A,"P1",Search!$D:$D,"Shopping Campaigns")</f>
        <v>0</v>
      </c>
      <c r="L6" s="417">
        <f>SUMIFS(Search!$R:$R,Search!$A:$A,"P1",Search!$D:$D,"Shopping Campaigns")</f>
        <v>0</v>
      </c>
      <c r="M6" s="375" t="e">
        <f t="shared" si="4"/>
        <v>#DIV/0!</v>
      </c>
      <c r="N6" s="417">
        <f>SUMIFS(Search!$U:$U,Search!$A:$A,"P1",Search!$D:$D,"Shopping Campaigns")</f>
        <v>0</v>
      </c>
      <c r="O6" s="417">
        <f>SUMIFS(Search!$V:$V,Search!$A:$A,"P1",Search!$D:$D,"Shopping Campaigns")</f>
        <v>0</v>
      </c>
      <c r="P6" s="378" t="e">
        <f t="shared" si="5"/>
        <v>#DIV/0!</v>
      </c>
      <c r="Q6" s="379" t="e">
        <f t="shared" si="6"/>
        <v>#DIV/0!</v>
      </c>
      <c r="R6" s="379" t="e">
        <f t="shared" si="6"/>
        <v>#DIV/0!</v>
      </c>
      <c r="S6" s="378" t="e">
        <f t="shared" si="7"/>
        <v>#DIV/0!</v>
      </c>
      <c r="T6" s="374" t="e">
        <f t="shared" si="8"/>
        <v>#DIV/0!</v>
      </c>
      <c r="U6" s="374" t="e">
        <f t="shared" si="8"/>
        <v>#DIV/0!</v>
      </c>
      <c r="V6" s="375" t="e">
        <f t="shared" si="9"/>
        <v>#DIV/0!</v>
      </c>
      <c r="W6" s="374" t="e">
        <f t="shared" si="10"/>
        <v>#DIV/0!</v>
      </c>
      <c r="X6" s="374" t="e">
        <f t="shared" si="10"/>
        <v>#DIV/0!</v>
      </c>
      <c r="Y6" s="378" t="e">
        <f t="shared" si="11"/>
        <v>#DIV/0!</v>
      </c>
      <c r="Z6" s="419">
        <f>SUMIFS(Search!$AG:$AG,Search!$A:$A,"P1",Search!$D:$D,"Shopping Campaigns")</f>
        <v>0</v>
      </c>
      <c r="AA6" s="417">
        <f>SUMIFS(Search!$AH:$AH,Search!$A:$A,"P1",Search!$D:$D,"Shopping Campaigns")</f>
        <v>0</v>
      </c>
      <c r="AB6" s="378" t="e">
        <f t="shared" si="12"/>
        <v>#DIV/0!</v>
      </c>
      <c r="AC6" s="419">
        <f>SUMIFS(Search!$AK:$AK,Search!$A:$A,"P1",Search!$D:$D,"Shopping Campaigns")</f>
        <v>0</v>
      </c>
      <c r="AD6" s="417">
        <f>SUMIFS(Search!$AL:$AL,Search!$A:$A,"P1",Search!$D:$D,"Shopping Campaigns")</f>
        <v>0</v>
      </c>
      <c r="AE6" s="378" t="e">
        <f t="shared" si="13"/>
        <v>#DIV/0!</v>
      </c>
      <c r="AF6" s="379" t="e">
        <f t="shared" si="14"/>
        <v>#DIV/0!</v>
      </c>
      <c r="AG6" s="379" t="e">
        <f t="shared" si="14"/>
        <v>#DIV/0!</v>
      </c>
      <c r="AH6" s="378" t="e">
        <f t="shared" ref="AH6:AH13" si="15">(AF6-AG6)/AG6</f>
        <v>#DIV/0!</v>
      </c>
    </row>
    <row r="7" spans="1:34" s="367" customFormat="1" ht="21" customHeight="1" x14ac:dyDescent="0.3">
      <c r="A7" s="380" t="s">
        <v>13</v>
      </c>
      <c r="B7" s="368">
        <f>SUMIFS(Affiliate!$D:$D,Affiliate!$A:$A,"P1")</f>
        <v>77839</v>
      </c>
      <c r="C7" s="368">
        <f>SUMIFS(Affiliate!$E:$E,Affiliate!$A:$A,"P1")</f>
        <v>21526</v>
      </c>
      <c r="D7" s="369">
        <f t="shared" si="0"/>
        <v>2.6160457121620366</v>
      </c>
      <c r="E7" s="368">
        <f>SUMIFS(Affiliate!H:H,Affiliate!$A:$A,"P1")</f>
        <v>8221.380000000001</v>
      </c>
      <c r="F7" s="368">
        <f>SUMIFS(Affiliate!I:I,Affiliate!$A:$A,"P1")</f>
        <v>4126.46</v>
      </c>
      <c r="G7" s="369">
        <f t="shared" si="1"/>
        <v>0.99235664467848983</v>
      </c>
      <c r="H7" s="370">
        <f t="shared" si="2"/>
        <v>9.4678752228944525</v>
      </c>
      <c r="I7" s="370">
        <f t="shared" si="2"/>
        <v>5.2165778900074153</v>
      </c>
      <c r="J7" s="369">
        <f t="shared" si="3"/>
        <v>0.81495904451663315</v>
      </c>
      <c r="K7" s="416">
        <f>SUMIFS(Affiliate!$AF:$AF,Affiliate!$A:$A,"P1")</f>
        <v>14319</v>
      </c>
      <c r="L7" s="416">
        <f>SUMIFS(Affiliate!$AG:$AG,Affiliate!$A:$A,"P1")</f>
        <v>5651</v>
      </c>
      <c r="M7" s="369">
        <f t="shared" si="4"/>
        <v>1.5338878074677049</v>
      </c>
      <c r="N7" s="416">
        <f>SUMIFS(Affiliate!$AJ:$AJ,Affiliate!$A:$A,"P1")</f>
        <v>742</v>
      </c>
      <c r="O7" s="416">
        <f>SUMIFS(Affiliate!$AK:$AK,Affiliate!$A:$A,"P1")</f>
        <v>202</v>
      </c>
      <c r="P7" s="381">
        <f t="shared" si="5"/>
        <v>2.6732673267326734</v>
      </c>
      <c r="Q7" s="382">
        <f t="shared" si="6"/>
        <v>5.1819261121586704E-2</v>
      </c>
      <c r="R7" s="382">
        <f t="shared" si="6"/>
        <v>3.5745885683949742E-2</v>
      </c>
      <c r="S7" s="381">
        <f t="shared" si="7"/>
        <v>0.4496566564261707</v>
      </c>
      <c r="T7" s="383">
        <f t="shared" si="8"/>
        <v>11.0800269541779</v>
      </c>
      <c r="U7" s="383">
        <f t="shared" si="8"/>
        <v>20.428019801980199</v>
      </c>
      <c r="V7" s="369">
        <f t="shared" si="9"/>
        <v>-0.45760641209561326</v>
      </c>
      <c r="W7" s="383">
        <f t="shared" si="10"/>
        <v>104.90431266846362</v>
      </c>
      <c r="X7" s="383">
        <f t="shared" si="10"/>
        <v>106.56435643564356</v>
      </c>
      <c r="Y7" s="381">
        <f t="shared" si="11"/>
        <v>-1.5577851945105844E-2</v>
      </c>
      <c r="Z7" s="443"/>
      <c r="AA7" s="384"/>
      <c r="AB7" s="381" t="e">
        <f t="shared" si="12"/>
        <v>#DIV/0!</v>
      </c>
      <c r="AC7" s="443"/>
      <c r="AD7" s="384"/>
      <c r="AE7" s="381" t="e">
        <f t="shared" si="13"/>
        <v>#DIV/0!</v>
      </c>
      <c r="AF7" s="385"/>
      <c r="AG7" s="385"/>
      <c r="AH7" s="381" t="e">
        <f t="shared" si="15"/>
        <v>#DIV/0!</v>
      </c>
    </row>
    <row r="8" spans="1:34" s="367" customFormat="1" ht="20.100000000000001" customHeight="1" x14ac:dyDescent="0.3">
      <c r="A8" s="367" t="s">
        <v>14</v>
      </c>
      <c r="B8" s="368">
        <f>SUM(B9:B10)</f>
        <v>1232</v>
      </c>
      <c r="C8" s="368">
        <f>SUM(C9:C10)</f>
        <v>0</v>
      </c>
      <c r="D8" s="369" t="e">
        <f t="shared" si="0"/>
        <v>#DIV/0!</v>
      </c>
      <c r="E8" s="368">
        <f>SUM(E9:E10)</f>
        <v>9243.1149999999998</v>
      </c>
      <c r="F8" s="368">
        <f>SUM(F9:F10)</f>
        <v>0</v>
      </c>
      <c r="G8" s="369" t="e">
        <f t="shared" si="1"/>
        <v>#DIV/0!</v>
      </c>
      <c r="H8" s="370">
        <f t="shared" si="2"/>
        <v>0.13328839898670525</v>
      </c>
      <c r="I8" s="370" t="e">
        <f t="shared" si="2"/>
        <v>#DIV/0!</v>
      </c>
      <c r="J8" s="369" t="e">
        <f t="shared" si="3"/>
        <v>#DIV/0!</v>
      </c>
      <c r="K8" s="416">
        <f>SUM(K9:K10)</f>
        <v>9133</v>
      </c>
      <c r="L8" s="416">
        <f>SUM(L9:L10)</f>
        <v>40</v>
      </c>
      <c r="M8" s="369">
        <f t="shared" si="4"/>
        <v>227.32499999999999</v>
      </c>
      <c r="N8" s="416">
        <f>SUM(N9:N10)</f>
        <v>14</v>
      </c>
      <c r="O8" s="416">
        <f>SUM(O9:O10)</f>
        <v>0</v>
      </c>
      <c r="P8" s="381" t="e">
        <f t="shared" si="5"/>
        <v>#DIV/0!</v>
      </c>
      <c r="Q8" s="382">
        <f t="shared" si="6"/>
        <v>1.5329026606810468E-3</v>
      </c>
      <c r="R8" s="382">
        <f t="shared" si="6"/>
        <v>0</v>
      </c>
      <c r="S8" s="381" t="e">
        <f t="shared" si="7"/>
        <v>#DIV/0!</v>
      </c>
      <c r="T8" s="383">
        <f t="shared" si="8"/>
        <v>660.22249999999997</v>
      </c>
      <c r="U8" s="383" t="e">
        <f t="shared" si="8"/>
        <v>#DIV/0!</v>
      </c>
      <c r="V8" s="369" t="e">
        <f t="shared" si="9"/>
        <v>#DIV/0!</v>
      </c>
      <c r="W8" s="383">
        <f t="shared" si="10"/>
        <v>88</v>
      </c>
      <c r="X8" s="383" t="e">
        <f t="shared" si="10"/>
        <v>#DIV/0!</v>
      </c>
      <c r="Y8" s="381" t="e">
        <f t="shared" si="11"/>
        <v>#DIV/0!</v>
      </c>
      <c r="Z8" s="420">
        <f>SUM(Z9:Z10)</f>
        <v>11845</v>
      </c>
      <c r="AA8" s="416">
        <f>SUM(AA9:AA10)</f>
        <v>0</v>
      </c>
      <c r="AB8" s="381" t="e">
        <f t="shared" si="12"/>
        <v>#DIV/0!</v>
      </c>
      <c r="AC8" s="420">
        <f>SUM(AC9:AC10)</f>
        <v>4844387</v>
      </c>
      <c r="AD8" s="416">
        <f>SUM(AD9:AD10)</f>
        <v>0</v>
      </c>
      <c r="AE8" s="381" t="e">
        <f t="shared" si="13"/>
        <v>#DIV/0!</v>
      </c>
      <c r="AF8" s="382">
        <f t="shared" ref="AF8:AG14" si="16">Z8/AC8</f>
        <v>2.4450978008156658E-3</v>
      </c>
      <c r="AG8" s="382" t="e">
        <f t="shared" si="16"/>
        <v>#DIV/0!</v>
      </c>
      <c r="AH8" s="381" t="e">
        <f t="shared" si="15"/>
        <v>#DIV/0!</v>
      </c>
    </row>
    <row r="9" spans="1:34" outlineLevel="1" x14ac:dyDescent="0.3">
      <c r="A9" s="373" t="s">
        <v>285</v>
      </c>
      <c r="B9" s="374">
        <f>SUMIFS('Social - Promos'!$E:$E,'Social - Promos'!$A:$A,"p1")</f>
        <v>1232</v>
      </c>
      <c r="C9" s="374">
        <f>SUMIFS('Social - Promos'!$F:$F,'Social - Promos'!$A:$A,"p1")</f>
        <v>0</v>
      </c>
      <c r="D9" s="369" t="e">
        <f t="shared" si="0"/>
        <v>#DIV/0!</v>
      </c>
      <c r="E9" s="374">
        <f>SUMIFS('Social - Promos'!$K:$K,'Social - Promos'!$A:$A,"p1")</f>
        <v>9243.1149999999998</v>
      </c>
      <c r="F9" s="374">
        <f>SUMIFS('Social - Promos'!$L:$L,'Social - Promos'!$A:$A,"p1")</f>
        <v>0</v>
      </c>
      <c r="G9" s="375" t="e">
        <f t="shared" si="1"/>
        <v>#DIV/0!</v>
      </c>
      <c r="H9" s="386">
        <f t="shared" si="2"/>
        <v>0.13328839898670525</v>
      </c>
      <c r="I9" s="386" t="e">
        <f t="shared" si="2"/>
        <v>#DIV/0!</v>
      </c>
      <c r="J9" s="375" t="e">
        <f t="shared" si="3"/>
        <v>#DIV/0!</v>
      </c>
      <c r="K9" s="417">
        <f>SUMIFS('Social - Promos'!$T:$T,'Social - Promos'!$A:$A,"p1")</f>
        <v>9133</v>
      </c>
      <c r="L9" s="417">
        <f>SUMIFS('Social - Promos'!$U:$U,'Social - Promos'!$A:$A,"p1")</f>
        <v>40</v>
      </c>
      <c r="M9" s="375">
        <f t="shared" si="4"/>
        <v>227.32499999999999</v>
      </c>
      <c r="N9" s="417">
        <f>SUMIFS('Social - Promos'!$W:$W,'Social - Promos'!$A:$A,"p1")</f>
        <v>14</v>
      </c>
      <c r="O9" s="417">
        <f>SUMIFS('Social - Promos'!$X:$X,'Social - Promos'!$A:$A,"p1")</f>
        <v>0</v>
      </c>
      <c r="P9" s="378" t="e">
        <f t="shared" si="5"/>
        <v>#DIV/0!</v>
      </c>
      <c r="Q9" s="379">
        <f t="shared" si="6"/>
        <v>1.5329026606810468E-3</v>
      </c>
      <c r="R9" s="379">
        <f t="shared" si="6"/>
        <v>0</v>
      </c>
      <c r="S9" s="378" t="e">
        <f t="shared" si="7"/>
        <v>#DIV/0!</v>
      </c>
      <c r="T9" s="374">
        <f t="shared" si="8"/>
        <v>660.22249999999997</v>
      </c>
      <c r="U9" s="374" t="e">
        <f t="shared" si="8"/>
        <v>#DIV/0!</v>
      </c>
      <c r="V9" s="375" t="e">
        <f t="shared" si="9"/>
        <v>#DIV/0!</v>
      </c>
      <c r="W9" s="374">
        <f t="shared" si="10"/>
        <v>88</v>
      </c>
      <c r="X9" s="374" t="e">
        <f t="shared" si="10"/>
        <v>#DIV/0!</v>
      </c>
      <c r="Y9" s="378" t="e">
        <f t="shared" si="11"/>
        <v>#DIV/0!</v>
      </c>
      <c r="Z9" s="419">
        <f>SUMIFS('Social - Promos'!$AF:$AF,'Social - Promos'!$A:$A,"p1")</f>
        <v>11845</v>
      </c>
      <c r="AA9" s="417">
        <f>SUMIFS('Social - Promos'!$AG:$AG,'Social - Promos'!$A:$A,"p1")</f>
        <v>0</v>
      </c>
      <c r="AB9" s="378" t="e">
        <f t="shared" si="12"/>
        <v>#DIV/0!</v>
      </c>
      <c r="AC9" s="419">
        <f>SUMIFS('Social - Promos'!$AI:$AI,'Social - Promos'!$A:$A,"p1")</f>
        <v>4844387</v>
      </c>
      <c r="AD9" s="417">
        <f>SUMIFS('Social - Promos'!$AJ:$AJ,'Social - Promos'!$A:$A,"p1")</f>
        <v>0</v>
      </c>
      <c r="AE9" s="378" t="e">
        <f t="shared" si="13"/>
        <v>#DIV/0!</v>
      </c>
      <c r="AF9" s="379">
        <f t="shared" si="16"/>
        <v>2.4450978008156658E-3</v>
      </c>
      <c r="AG9" s="379" t="e">
        <f t="shared" si="16"/>
        <v>#DIV/0!</v>
      </c>
      <c r="AH9" s="378" t="e">
        <f t="shared" si="15"/>
        <v>#DIV/0!</v>
      </c>
    </row>
    <row r="10" spans="1:34" outlineLevel="1" x14ac:dyDescent="0.3">
      <c r="A10" s="373" t="s">
        <v>286</v>
      </c>
      <c r="B10" s="374">
        <f>SUMIFS('Social - Remarketing'!$D:$D,'Social - Remarketing'!$A:$A,"P1")</f>
        <v>0</v>
      </c>
      <c r="C10" s="374">
        <f>SUMIFS('Social - Remarketing'!$E:$E,'Social - Remarketing'!$A:$A,"P1")</f>
        <v>0</v>
      </c>
      <c r="D10" s="369" t="e">
        <f t="shared" si="0"/>
        <v>#DIV/0!</v>
      </c>
      <c r="E10" s="374">
        <f>SUMIFS('Social - Remarketing'!$H:$H,'Social - Remarketing'!$A:$A,"P1")</f>
        <v>0</v>
      </c>
      <c r="F10" s="374">
        <f>SUMIFS('Social - Remarketing'!$I:$I,'Social - Remarketing'!$A:$A,"P1")</f>
        <v>0</v>
      </c>
      <c r="G10" s="369" t="e">
        <f t="shared" si="1"/>
        <v>#DIV/0!</v>
      </c>
      <c r="H10" s="386" t="e">
        <f t="shared" si="2"/>
        <v>#DIV/0!</v>
      </c>
      <c r="I10" s="386" t="e">
        <f t="shared" si="2"/>
        <v>#DIV/0!</v>
      </c>
      <c r="J10" s="369" t="e">
        <f t="shared" si="3"/>
        <v>#DIV/0!</v>
      </c>
      <c r="K10" s="417">
        <f>SUMIFS('Social - Remarketing'!$X:$X,'Social - Remarketing'!$A:$A,"P1")</f>
        <v>0</v>
      </c>
      <c r="L10" s="417">
        <f>SUMIFS('Social - Remarketing'!$Y:$Y,'Social - Remarketing'!$A:$A,"P1")</f>
        <v>0</v>
      </c>
      <c r="M10" s="375" t="e">
        <f t="shared" si="4"/>
        <v>#DIV/0!</v>
      </c>
      <c r="N10" s="417">
        <f>SUMIFS('Social - Remarketing'!$AB:$AB,'Social - Remarketing'!$A:$A,"P1")</f>
        <v>0</v>
      </c>
      <c r="O10" s="417">
        <f>SUMIFS('Social - Remarketing'!$AC:$AC,'Social - Remarketing'!$A:$A,"P1")</f>
        <v>0</v>
      </c>
      <c r="P10" s="378" t="e">
        <f t="shared" si="5"/>
        <v>#DIV/0!</v>
      </c>
      <c r="Q10" s="379" t="e">
        <f t="shared" si="6"/>
        <v>#DIV/0!</v>
      </c>
      <c r="R10" s="379" t="e">
        <f t="shared" si="6"/>
        <v>#DIV/0!</v>
      </c>
      <c r="S10" s="378" t="e">
        <f t="shared" si="7"/>
        <v>#DIV/0!</v>
      </c>
      <c r="T10" s="374" t="e">
        <f t="shared" si="8"/>
        <v>#DIV/0!</v>
      </c>
      <c r="U10" s="374" t="e">
        <f t="shared" si="8"/>
        <v>#DIV/0!</v>
      </c>
      <c r="V10" s="375" t="e">
        <f t="shared" si="9"/>
        <v>#DIV/0!</v>
      </c>
      <c r="W10" s="374" t="e">
        <f t="shared" si="10"/>
        <v>#DIV/0!</v>
      </c>
      <c r="X10" s="374" t="e">
        <f t="shared" si="10"/>
        <v>#DIV/0!</v>
      </c>
      <c r="Y10" s="378" t="e">
        <f t="shared" si="11"/>
        <v>#DIV/0!</v>
      </c>
      <c r="Z10" s="419">
        <f>SUMIFS('Social - Remarketing'!$AN:$AN,'Social - Remarketing'!$A:$A,"P1")</f>
        <v>0</v>
      </c>
      <c r="AA10" s="417">
        <f>SUMIFS('Social - Remarketing'!$AO:$AO,'Social - Remarketing'!$A:$A,"P1")</f>
        <v>0</v>
      </c>
      <c r="AB10" s="378" t="e">
        <f t="shared" si="12"/>
        <v>#DIV/0!</v>
      </c>
      <c r="AC10" s="419">
        <f>SUMIFS('Social - Remarketing'!$AR:$AR,'Social - Remarketing'!$A:$A,"P1")</f>
        <v>0</v>
      </c>
      <c r="AD10" s="417">
        <f>SUMIFS('Social - Remarketing'!$AS:$AS,'Social - Remarketing'!$A:$A,"P1")</f>
        <v>0</v>
      </c>
      <c r="AE10" s="378" t="e">
        <f t="shared" si="13"/>
        <v>#DIV/0!</v>
      </c>
      <c r="AF10" s="379" t="e">
        <f t="shared" si="16"/>
        <v>#DIV/0!</v>
      </c>
      <c r="AG10" s="379" t="e">
        <f t="shared" si="16"/>
        <v>#DIV/0!</v>
      </c>
      <c r="AH10" s="378" t="e">
        <f t="shared" si="15"/>
        <v>#DIV/0!</v>
      </c>
    </row>
    <row r="11" spans="1:34" s="367" customFormat="1" ht="21" customHeight="1" x14ac:dyDescent="0.3">
      <c r="A11" s="367" t="s">
        <v>15</v>
      </c>
      <c r="B11" s="368">
        <f>SUM(B12:B13)</f>
        <v>0</v>
      </c>
      <c r="C11" s="368">
        <f>SUM(C12:C13)</f>
        <v>0</v>
      </c>
      <c r="D11" s="369" t="e">
        <f t="shared" si="0"/>
        <v>#DIV/0!</v>
      </c>
      <c r="E11" s="368">
        <f>SUM(E12:E13)</f>
        <v>0</v>
      </c>
      <c r="F11" s="368">
        <f>SUM(F12:F13)</f>
        <v>0</v>
      </c>
      <c r="G11" s="369" t="e">
        <f t="shared" si="1"/>
        <v>#DIV/0!</v>
      </c>
      <c r="H11" s="370" t="e">
        <f t="shared" si="2"/>
        <v>#DIV/0!</v>
      </c>
      <c r="I11" s="370" t="e">
        <f t="shared" si="2"/>
        <v>#DIV/0!</v>
      </c>
      <c r="J11" s="369" t="e">
        <f t="shared" si="3"/>
        <v>#DIV/0!</v>
      </c>
      <c r="K11" s="416">
        <f>SUM(K12:K13)</f>
        <v>5</v>
      </c>
      <c r="L11" s="416">
        <f>SUM(L12:L13)</f>
        <v>6</v>
      </c>
      <c r="M11" s="369">
        <f t="shared" si="4"/>
        <v>-0.16666666666666666</v>
      </c>
      <c r="N11" s="416">
        <f>SUM(N12:N13)</f>
        <v>0</v>
      </c>
      <c r="O11" s="416">
        <f>SUM(O12:O13)</f>
        <v>0</v>
      </c>
      <c r="P11" s="381" t="e">
        <f t="shared" si="5"/>
        <v>#DIV/0!</v>
      </c>
      <c r="Q11" s="382">
        <f t="shared" si="6"/>
        <v>0</v>
      </c>
      <c r="R11" s="382">
        <f t="shared" si="6"/>
        <v>0</v>
      </c>
      <c r="S11" s="381" t="e">
        <f t="shared" si="7"/>
        <v>#DIV/0!</v>
      </c>
      <c r="T11" s="383" t="e">
        <f t="shared" si="8"/>
        <v>#DIV/0!</v>
      </c>
      <c r="U11" s="383" t="e">
        <f t="shared" si="8"/>
        <v>#DIV/0!</v>
      </c>
      <c r="V11" s="369" t="e">
        <f t="shared" si="9"/>
        <v>#DIV/0!</v>
      </c>
      <c r="W11" s="383" t="e">
        <f t="shared" si="10"/>
        <v>#DIV/0!</v>
      </c>
      <c r="X11" s="383" t="e">
        <f t="shared" si="10"/>
        <v>#DIV/0!</v>
      </c>
      <c r="Y11" s="381" t="e">
        <f t="shared" si="11"/>
        <v>#DIV/0!</v>
      </c>
      <c r="Z11" s="420">
        <f>SUM(Z12:Z13)</f>
        <v>0</v>
      </c>
      <c r="AA11" s="416">
        <f>SUM(AA12:AA13)</f>
        <v>0</v>
      </c>
      <c r="AB11" s="381" t="e">
        <f t="shared" si="12"/>
        <v>#DIV/0!</v>
      </c>
      <c r="AC11" s="420">
        <f>SUM(AC12:AC13)</f>
        <v>0</v>
      </c>
      <c r="AD11" s="416">
        <f>SUM(AD12:AD13)</f>
        <v>0</v>
      </c>
      <c r="AE11" s="381" t="e">
        <f t="shared" si="13"/>
        <v>#DIV/0!</v>
      </c>
      <c r="AF11" s="382" t="e">
        <f t="shared" si="16"/>
        <v>#DIV/0!</v>
      </c>
      <c r="AG11" s="382" t="e">
        <f t="shared" si="16"/>
        <v>#DIV/0!</v>
      </c>
      <c r="AH11" s="381" t="e">
        <f t="shared" si="15"/>
        <v>#DIV/0!</v>
      </c>
    </row>
    <row r="12" spans="1:34" outlineLevel="1" x14ac:dyDescent="0.3">
      <c r="A12" s="373" t="s">
        <v>285</v>
      </c>
      <c r="B12" s="374">
        <f>SUMIFS('Display - Promos'!$E:$E,'Display - Promos'!$A:$A,"p1")</f>
        <v>0</v>
      </c>
      <c r="C12" s="374">
        <f>SUMIFS('Display - Promos'!$F:$F,'Display - Promos'!$A:$A,"p1")</f>
        <v>0</v>
      </c>
      <c r="D12" s="375" t="e">
        <f t="shared" si="0"/>
        <v>#DIV/0!</v>
      </c>
      <c r="E12" s="374">
        <f>SUMIFS('Display - Promos'!$H:$H,'Display - Promos'!$A:$A,"p1")</f>
        <v>0</v>
      </c>
      <c r="F12" s="374">
        <f>SUMIFS('Display - Promos'!$I:$I,'Display - Promos'!$A:$A,"p1")</f>
        <v>0</v>
      </c>
      <c r="G12" s="375" t="e">
        <f t="shared" si="1"/>
        <v>#DIV/0!</v>
      </c>
      <c r="H12" s="386" t="e">
        <f t="shared" si="2"/>
        <v>#DIV/0!</v>
      </c>
      <c r="I12" s="386" t="e">
        <f t="shared" si="2"/>
        <v>#DIV/0!</v>
      </c>
      <c r="J12" s="369" t="e">
        <f t="shared" si="3"/>
        <v>#DIV/0!</v>
      </c>
      <c r="K12" s="417">
        <f>SUMIFS('Display - Promos'!$N:$N,'Display - Promos'!$A:$A,"p1")</f>
        <v>5</v>
      </c>
      <c r="L12" s="417">
        <f>SUMIFS('Display - Promos'!$O:$O,'Display - Promos'!$A:$A,"p1")</f>
        <v>6</v>
      </c>
      <c r="M12" s="375">
        <f t="shared" si="4"/>
        <v>-0.16666666666666666</v>
      </c>
      <c r="N12" s="417">
        <f>SUMIFS('Display - Promos'!$Q:$Q,'Display - Promos'!$A:$A,"p1")</f>
        <v>0</v>
      </c>
      <c r="O12" s="417">
        <f>SUMIFS('Display - Promos'!$R:$R,'Display - Promos'!$A:$A,"p1")</f>
        <v>0</v>
      </c>
      <c r="P12" s="378" t="e">
        <f t="shared" si="5"/>
        <v>#DIV/0!</v>
      </c>
      <c r="Q12" s="379">
        <f t="shared" si="6"/>
        <v>0</v>
      </c>
      <c r="R12" s="379">
        <f t="shared" si="6"/>
        <v>0</v>
      </c>
      <c r="S12" s="378" t="e">
        <f t="shared" si="7"/>
        <v>#DIV/0!</v>
      </c>
      <c r="T12" s="374" t="e">
        <f t="shared" si="8"/>
        <v>#DIV/0!</v>
      </c>
      <c r="U12" s="374" t="e">
        <f t="shared" si="8"/>
        <v>#DIV/0!</v>
      </c>
      <c r="V12" s="375" t="e">
        <f t="shared" si="9"/>
        <v>#DIV/0!</v>
      </c>
      <c r="W12" s="374" t="e">
        <f t="shared" si="10"/>
        <v>#DIV/0!</v>
      </c>
      <c r="X12" s="374" t="e">
        <f t="shared" si="10"/>
        <v>#DIV/0!</v>
      </c>
      <c r="Y12" s="378" t="e">
        <f t="shared" si="11"/>
        <v>#DIV/0!</v>
      </c>
      <c r="Z12" s="419">
        <f>SUMIFS('Display - Promos'!$W:$W,'Display - Promos'!$A:$A,"p1")</f>
        <v>0</v>
      </c>
      <c r="AA12" s="417">
        <f>SUMIFS('Display - Promos'!$X:$X,'Display - Promos'!$A:$A,"p1")</f>
        <v>0</v>
      </c>
      <c r="AB12" s="378" t="e">
        <f t="shared" si="12"/>
        <v>#DIV/0!</v>
      </c>
      <c r="AC12" s="419">
        <f>SUMIFS('Display - Promos'!$Z:$Z,'Display - Promos'!$A:$A,"p1")</f>
        <v>0</v>
      </c>
      <c r="AD12" s="417">
        <f>SUMIFS('Display - Promos'!$AA:$AA,'Display - Promos'!$A:$A,"p1")</f>
        <v>0</v>
      </c>
      <c r="AE12" s="378" t="e">
        <f t="shared" si="13"/>
        <v>#DIV/0!</v>
      </c>
      <c r="AF12" s="379" t="e">
        <f t="shared" si="16"/>
        <v>#DIV/0!</v>
      </c>
      <c r="AG12" s="379" t="e">
        <f t="shared" si="16"/>
        <v>#DIV/0!</v>
      </c>
      <c r="AH12" s="378" t="e">
        <f t="shared" si="15"/>
        <v>#DIV/0!</v>
      </c>
    </row>
    <row r="13" spans="1:34" ht="19.5" outlineLevel="1" thickBot="1" x14ac:dyDescent="0.35">
      <c r="A13" s="373" t="s">
        <v>286</v>
      </c>
      <c r="B13" s="374">
        <f>SUMIFS('Display - Remarketing'!$D:$D,'Display - Remarketing'!$A:$A,"P1")</f>
        <v>0</v>
      </c>
      <c r="C13" s="374">
        <f>SUMIFS('Display - Remarketing'!$E:$E,'Display - Remarketing'!$A:$A,"P1")</f>
        <v>0</v>
      </c>
      <c r="D13" s="369" t="e">
        <f t="shared" si="0"/>
        <v>#DIV/0!</v>
      </c>
      <c r="E13" s="374">
        <f>SUMIFS('Display - Remarketing'!$H:$H,'Display - Remarketing'!$A:$A,"P1")</f>
        <v>0</v>
      </c>
      <c r="F13" s="374">
        <f>SUMIFS('Display - Remarketing'!$I:$I,'Display - Remarketing'!$A:$A,"P1")</f>
        <v>0</v>
      </c>
      <c r="G13" s="369" t="e">
        <f t="shared" si="1"/>
        <v>#DIV/0!</v>
      </c>
      <c r="H13" s="386" t="e">
        <f t="shared" si="2"/>
        <v>#DIV/0!</v>
      </c>
      <c r="I13" s="386" t="e">
        <f t="shared" si="2"/>
        <v>#DIV/0!</v>
      </c>
      <c r="J13" s="369" t="e">
        <f t="shared" si="3"/>
        <v>#DIV/0!</v>
      </c>
      <c r="K13" s="417">
        <f>SUMIFS('Display - Remarketing'!$P:$P,'Display - Remarketing'!$A:$A,"P1")</f>
        <v>0</v>
      </c>
      <c r="L13" s="417">
        <f>SUMIFS('Display - Remarketing'!$Q:$Q,'Display - Remarketing'!$A:$A,"P1")</f>
        <v>0</v>
      </c>
      <c r="M13" s="375" t="e">
        <f t="shared" si="4"/>
        <v>#DIV/0!</v>
      </c>
      <c r="N13" s="417">
        <f>SUMIFS('Display - Remarketing'!$T:$T,'Display - Remarketing'!$A:$A,"P1")</f>
        <v>0</v>
      </c>
      <c r="O13" s="417">
        <f>SUMIFS('Display - Remarketing'!$U:$U,'Display - Remarketing'!$A:$A,"P1")</f>
        <v>0</v>
      </c>
      <c r="P13" s="378" t="e">
        <f t="shared" si="5"/>
        <v>#DIV/0!</v>
      </c>
      <c r="Q13" s="379" t="e">
        <f t="shared" si="6"/>
        <v>#DIV/0!</v>
      </c>
      <c r="R13" s="379" t="e">
        <f t="shared" si="6"/>
        <v>#DIV/0!</v>
      </c>
      <c r="S13" s="378" t="e">
        <f t="shared" si="7"/>
        <v>#DIV/0!</v>
      </c>
      <c r="T13" s="374" t="e">
        <f t="shared" si="8"/>
        <v>#DIV/0!</v>
      </c>
      <c r="U13" s="374" t="e">
        <f t="shared" si="8"/>
        <v>#DIV/0!</v>
      </c>
      <c r="V13" s="375" t="e">
        <f t="shared" si="9"/>
        <v>#DIV/0!</v>
      </c>
      <c r="W13" s="374" t="e">
        <f t="shared" si="10"/>
        <v>#DIV/0!</v>
      </c>
      <c r="X13" s="374" t="e">
        <f t="shared" si="10"/>
        <v>#DIV/0!</v>
      </c>
      <c r="Y13" s="378" t="e">
        <f t="shared" si="11"/>
        <v>#DIV/0!</v>
      </c>
      <c r="Z13" s="419">
        <f>SUMIFS('Display - Remarketing'!$AB:$AB,'Display - Remarketing'!$A:$A,"P1")</f>
        <v>0</v>
      </c>
      <c r="AA13" s="417">
        <f>SUMIFS('Display - Remarketing'!$AC:$AC,'Display - Remarketing'!$A:$A,"P1")</f>
        <v>0</v>
      </c>
      <c r="AB13" s="378" t="e">
        <f t="shared" si="12"/>
        <v>#DIV/0!</v>
      </c>
      <c r="AC13" s="419">
        <f>SUMIFS('Display - Remarketing'!$AF:$AF,'Display - Remarketing'!$A:$A,"P1")</f>
        <v>0</v>
      </c>
      <c r="AD13" s="417">
        <f>SUMIFS('Display - Remarketing'!$AG:$AG,'Display - Remarketing'!$A:$A,"P1")</f>
        <v>0</v>
      </c>
      <c r="AE13" s="378" t="e">
        <f t="shared" si="13"/>
        <v>#DIV/0!</v>
      </c>
      <c r="AF13" s="379" t="e">
        <f t="shared" si="16"/>
        <v>#DIV/0!</v>
      </c>
      <c r="AG13" s="379" t="e">
        <f t="shared" si="16"/>
        <v>#DIV/0!</v>
      </c>
      <c r="AH13" s="378" t="e">
        <f t="shared" si="15"/>
        <v>#DIV/0!</v>
      </c>
    </row>
    <row r="14" spans="1:34" s="395" customFormat="1" ht="22.5" thickTop="1" thickBot="1" x14ac:dyDescent="0.4">
      <c r="A14" s="387" t="s">
        <v>16</v>
      </c>
      <c r="B14" s="388">
        <f>B3+B7+B8+B11</f>
        <v>115431</v>
      </c>
      <c r="C14" s="388">
        <f>C3+C7+C8+C11</f>
        <v>31819</v>
      </c>
      <c r="D14" s="389">
        <f t="shared" si="0"/>
        <v>2.6277381438763001</v>
      </c>
      <c r="E14" s="388">
        <f>E3+E7+E8+E11</f>
        <v>27550.965000000004</v>
      </c>
      <c r="F14" s="388">
        <f>F3+F7+F8+F11</f>
        <v>10256.34</v>
      </c>
      <c r="G14" s="390">
        <f t="shared" si="1"/>
        <v>1.6862374882267948</v>
      </c>
      <c r="H14" s="391">
        <f t="shared" si="2"/>
        <v>4.1897262037826986</v>
      </c>
      <c r="I14" s="391">
        <f t="shared" si="2"/>
        <v>3.1023737512601959</v>
      </c>
      <c r="J14" s="390">
        <f t="shared" si="3"/>
        <v>0.35049047590762267</v>
      </c>
      <c r="K14" s="392">
        <f>K3+K7+K8+K11</f>
        <v>52428</v>
      </c>
      <c r="L14" s="392">
        <f>L3+L7+L8+L11</f>
        <v>20006</v>
      </c>
      <c r="M14" s="390">
        <f t="shared" si="4"/>
        <v>1.6206138158552434</v>
      </c>
      <c r="N14" s="392">
        <f>N3+N7+N8+N11</f>
        <v>1112</v>
      </c>
      <c r="O14" s="392">
        <f>O3+O7+O8+O11</f>
        <v>313</v>
      </c>
      <c r="P14" s="389">
        <f t="shared" si="5"/>
        <v>2.5527156549520766</v>
      </c>
      <c r="Q14" s="393">
        <f t="shared" si="6"/>
        <v>2.1210040436408027E-2</v>
      </c>
      <c r="R14" s="393">
        <f t="shared" si="6"/>
        <v>1.5645306408077576E-2</v>
      </c>
      <c r="S14" s="389">
        <f t="shared" si="7"/>
        <v>0.35568073153603513</v>
      </c>
      <c r="T14" s="388">
        <f t="shared" si="8"/>
        <v>24.776047661870507</v>
      </c>
      <c r="U14" s="388">
        <f t="shared" si="8"/>
        <v>32.767859424920125</v>
      </c>
      <c r="V14" s="390">
        <f t="shared" si="9"/>
        <v>-0.24389178613760179</v>
      </c>
      <c r="W14" s="388">
        <f t="shared" si="10"/>
        <v>103.80485611510791</v>
      </c>
      <c r="X14" s="388">
        <f t="shared" si="10"/>
        <v>101.65814696485623</v>
      </c>
      <c r="Y14" s="389">
        <f t="shared" si="11"/>
        <v>2.111694157669242E-2</v>
      </c>
      <c r="Z14" s="444">
        <f>Z3+Z7+Z8+Z11</f>
        <v>34122</v>
      </c>
      <c r="AA14" s="394">
        <f>AA3+AA7+AA8+AA11</f>
        <v>13203</v>
      </c>
      <c r="AB14" s="389">
        <f t="shared" si="12"/>
        <v>1.584412633492388</v>
      </c>
      <c r="AC14" s="444">
        <f>AC3+AC7+AC8+AC11</f>
        <v>4980899</v>
      </c>
      <c r="AD14" s="392">
        <f>AD3+AD7+AD8+AD11</f>
        <v>93054</v>
      </c>
      <c r="AE14" s="389">
        <f t="shared" si="13"/>
        <v>52.526973585230081</v>
      </c>
      <c r="AF14" s="393">
        <f t="shared" si="16"/>
        <v>6.8505705496136344E-3</v>
      </c>
      <c r="AG14" s="393">
        <f t="shared" si="16"/>
        <v>0.14188535688954801</v>
      </c>
      <c r="AH14" s="389">
        <f>(AF14-AG14)/AG14</f>
        <v>-0.95171756480165515</v>
      </c>
    </row>
    <row r="15" spans="1:34" x14ac:dyDescent="0.3">
      <c r="A15" s="359" t="s">
        <v>18</v>
      </c>
      <c r="B15" s="360" t="s">
        <v>1</v>
      </c>
      <c r="C15" s="360" t="s">
        <v>117</v>
      </c>
      <c r="D15" s="361" t="s">
        <v>24</v>
      </c>
      <c r="E15" s="360" t="s">
        <v>2</v>
      </c>
      <c r="F15" s="360" t="s">
        <v>99</v>
      </c>
      <c r="G15" s="361" t="s">
        <v>24</v>
      </c>
      <c r="H15" s="362" t="s">
        <v>3</v>
      </c>
      <c r="I15" s="362" t="s">
        <v>100</v>
      </c>
      <c r="J15" s="361" t="s">
        <v>24</v>
      </c>
      <c r="K15" s="362" t="s">
        <v>4</v>
      </c>
      <c r="L15" s="363" t="s">
        <v>101</v>
      </c>
      <c r="M15" s="361" t="s">
        <v>24</v>
      </c>
      <c r="N15" s="363" t="s">
        <v>5</v>
      </c>
      <c r="O15" s="363" t="s">
        <v>102</v>
      </c>
      <c r="P15" s="361" t="s">
        <v>24</v>
      </c>
      <c r="Q15" s="363" t="s">
        <v>109</v>
      </c>
      <c r="R15" s="363" t="s">
        <v>110</v>
      </c>
      <c r="S15" s="361" t="s">
        <v>24</v>
      </c>
      <c r="T15" s="364" t="s">
        <v>149</v>
      </c>
      <c r="U15" s="364" t="s">
        <v>150</v>
      </c>
      <c r="V15" s="361" t="s">
        <v>24</v>
      </c>
      <c r="W15" s="364" t="s">
        <v>6</v>
      </c>
      <c r="X15" s="364" t="s">
        <v>103</v>
      </c>
      <c r="Y15" s="361" t="s">
        <v>24</v>
      </c>
      <c r="Z15" s="446" t="s">
        <v>7</v>
      </c>
      <c r="AA15" s="363" t="s">
        <v>104</v>
      </c>
      <c r="AB15" s="361" t="s">
        <v>24</v>
      </c>
      <c r="AC15" s="442" t="s">
        <v>25</v>
      </c>
      <c r="AD15" s="365" t="s">
        <v>105</v>
      </c>
      <c r="AE15" s="361" t="s">
        <v>24</v>
      </c>
      <c r="AF15" s="366" t="s">
        <v>9</v>
      </c>
      <c r="AG15" s="366" t="s">
        <v>106</v>
      </c>
      <c r="AH15" s="361" t="s">
        <v>24</v>
      </c>
    </row>
    <row r="16" spans="1:34" s="367" customFormat="1" ht="20.100000000000001" customHeight="1" x14ac:dyDescent="0.3">
      <c r="A16" s="367" t="s">
        <v>10</v>
      </c>
      <c r="B16" s="368">
        <f>SUM(B17:B19)</f>
        <v>63344</v>
      </c>
      <c r="C16" s="368">
        <f>SUM(C17:C19)</f>
        <v>15220</v>
      </c>
      <c r="D16" s="369">
        <f t="shared" ref="D16:D27" si="17">(B16-C16)/C16</f>
        <v>3.1618922470433639</v>
      </c>
      <c r="E16" s="368">
        <f>SUM(E17:E19)</f>
        <v>7600.76</v>
      </c>
      <c r="F16" s="368">
        <f>SUM(F17:F19)</f>
        <v>8824.0400000000009</v>
      </c>
      <c r="G16" s="369">
        <f t="shared" ref="G16:G27" si="18">(E16-F16)/F16</f>
        <v>-0.13863037792213095</v>
      </c>
      <c r="H16" s="370">
        <f t="shared" ref="H16:H27" si="19">B16/E16</f>
        <v>8.3339034517600865</v>
      </c>
      <c r="I16" s="370">
        <f t="shared" ref="I16:I27" si="20">C16/F16</f>
        <v>1.7248335229668041</v>
      </c>
      <c r="J16" s="369">
        <f t="shared" ref="J16:J27" si="21">(H16-I16)/I16</f>
        <v>3.8317146790058527</v>
      </c>
      <c r="K16" s="416">
        <f>SUM(K17:K19)</f>
        <v>28216</v>
      </c>
      <c r="L16" s="416">
        <f>SUM(L17:L19)</f>
        <v>19447</v>
      </c>
      <c r="M16" s="369">
        <f t="shared" ref="M16:M27" si="22">(K16-L16)/L16</f>
        <v>0.4509178793644264</v>
      </c>
      <c r="N16" s="416">
        <f>SUM(N17:N19)</f>
        <v>572</v>
      </c>
      <c r="O16" s="416">
        <f>SUM(O17:O19)</f>
        <v>162</v>
      </c>
      <c r="P16" s="369">
        <f t="shared" ref="P16:P27" si="23">(N16-O16)/O16</f>
        <v>2.5308641975308643</v>
      </c>
      <c r="Q16" s="372">
        <f t="shared" ref="Q16:Q27" si="24">N16/K16</f>
        <v>2.0272185993762404E-2</v>
      </c>
      <c r="R16" s="372">
        <f t="shared" ref="R16:R27" si="25">O16/L16</f>
        <v>8.3303337275672344E-3</v>
      </c>
      <c r="S16" s="369">
        <f t="shared" ref="S16:S27" si="26">(Q16-R16)/R16</f>
        <v>1.4335382779055399</v>
      </c>
      <c r="T16" s="368">
        <f t="shared" ref="T16:T27" si="27">E16/N16</f>
        <v>13.288041958041958</v>
      </c>
      <c r="U16" s="368">
        <f t="shared" ref="U16:U27" si="28">F16/O16</f>
        <v>54.469382716049388</v>
      </c>
      <c r="V16" s="369">
        <f t="shared" ref="V16:V27" si="29">(T16-U16)/U16</f>
        <v>-0.75604566647444971</v>
      </c>
      <c r="W16" s="368">
        <f t="shared" ref="W16:W27" si="30">B16/N16</f>
        <v>110.74125874125875</v>
      </c>
      <c r="X16" s="368">
        <f t="shared" ref="X16:X27" si="31">C16/O16</f>
        <v>93.950617283950621</v>
      </c>
      <c r="Y16" s="369">
        <f t="shared" ref="Y16:Y27" si="32">(W16-X16)/X16</f>
        <v>0.17871773430249122</v>
      </c>
      <c r="Z16" s="420">
        <f>SUM(Z17:Z19)</f>
        <v>21202</v>
      </c>
      <c r="AA16" s="416">
        <f>SUM(AA17:AA19)</f>
        <v>18016</v>
      </c>
      <c r="AB16" s="369">
        <f t="shared" ref="AB16:AB27" si="33">(Z16-AA16)/AA16</f>
        <v>0.17684280639431615</v>
      </c>
      <c r="AC16" s="420">
        <f>SUM(AC17:AC19)</f>
        <v>108051</v>
      </c>
      <c r="AD16" s="416">
        <f>SUM(AD17:AD19)</f>
        <v>148070</v>
      </c>
      <c r="AE16" s="369">
        <f t="shared" ref="AE16:AE27" si="34">(AC16-AD16)/AD16</f>
        <v>-0.27027081785641927</v>
      </c>
      <c r="AF16" s="372">
        <f t="shared" ref="AF16:AF19" si="35">Z16/AC16</f>
        <v>0.196222154353037</v>
      </c>
      <c r="AG16" s="372">
        <f t="shared" ref="AG16:AG19" si="36">AA16/AD16</f>
        <v>0.12167218207604512</v>
      </c>
      <c r="AH16" s="369">
        <f>(AF16-AG16)/AG16</f>
        <v>0.61271172263844287</v>
      </c>
    </row>
    <row r="17" spans="1:34" outlineLevel="1" x14ac:dyDescent="0.3">
      <c r="A17" s="373" t="s">
        <v>29</v>
      </c>
      <c r="B17" s="374">
        <f>SUMIFS(Search!$E:$E,Search!$A:$A,"P2",Search!$D:$D,"Brand")</f>
        <v>60634</v>
      </c>
      <c r="C17" s="374">
        <f>SUMIFS(Search!$F:$F,Search!$A:$A,"P2",Search!$D:$D,"Brand")</f>
        <v>13611</v>
      </c>
      <c r="D17" s="369">
        <f t="shared" si="17"/>
        <v>3.4547792226875322</v>
      </c>
      <c r="E17" s="374">
        <f>SUMIFS(Search!$I:$I,Search!$A:$A,"P2",Search!$D:$D,"Brand")</f>
        <v>2506.38</v>
      </c>
      <c r="F17" s="374">
        <f>SUMIFS(Search!$J:$J,Search!$A:$A,"P2",Search!$D:$D,"Brand")</f>
        <v>3020.34</v>
      </c>
      <c r="G17" s="375">
        <f t="shared" si="18"/>
        <v>-0.17016627267128867</v>
      </c>
      <c r="H17" s="376">
        <f t="shared" si="19"/>
        <v>24.191862367238805</v>
      </c>
      <c r="I17" s="376">
        <f t="shared" si="20"/>
        <v>4.5064462941258263</v>
      </c>
      <c r="J17" s="375">
        <f t="shared" si="21"/>
        <v>4.3682793022016062</v>
      </c>
      <c r="K17" s="417">
        <f>SUMIFS(Search!$Q:$Q,Search!$A:$A,"P2",Search!$D:$D,"Brand")</f>
        <v>23594</v>
      </c>
      <c r="L17" s="417">
        <f>SUMIFS(Search!$R:$R,Search!$A:$A,"P2",Search!$D:$D,"Brand")</f>
        <v>12853</v>
      </c>
      <c r="M17" s="375">
        <f t="shared" si="22"/>
        <v>0.83568038590212401</v>
      </c>
      <c r="N17" s="417">
        <f>SUMIFS(Search!$U:$U,Search!$A:$A,"P2",Search!$D:$D,"Brand")</f>
        <v>545</v>
      </c>
      <c r="O17" s="417">
        <f>SUMIFS(Search!$V:$V,Search!$A:$A,"P2",Search!$D:$D,"Brand")</f>
        <v>138</v>
      </c>
      <c r="P17" s="378">
        <f t="shared" si="23"/>
        <v>2.9492753623188408</v>
      </c>
      <c r="Q17" s="379">
        <f t="shared" si="24"/>
        <v>2.3099092989743154E-2</v>
      </c>
      <c r="R17" s="379">
        <f t="shared" si="25"/>
        <v>1.0736792966622579E-2</v>
      </c>
      <c r="S17" s="378">
        <f t="shared" si="26"/>
        <v>1.151395957950498</v>
      </c>
      <c r="T17" s="374">
        <f t="shared" si="27"/>
        <v>4.5988623853211008</v>
      </c>
      <c r="U17" s="374">
        <f t="shared" si="28"/>
        <v>21.886521739130437</v>
      </c>
      <c r="V17" s="375">
        <f t="shared" si="29"/>
        <v>-0.78987696445621625</v>
      </c>
      <c r="W17" s="374">
        <f t="shared" si="30"/>
        <v>111.25504587155963</v>
      </c>
      <c r="X17" s="374">
        <f t="shared" si="31"/>
        <v>98.630434782608702</v>
      </c>
      <c r="Y17" s="378">
        <f t="shared" si="32"/>
        <v>0.12799914262546674</v>
      </c>
      <c r="Z17" s="419">
        <f>SUMIFS(Search!$AG:$AG,Search!$A:$A,"P2",Search!$D:$D,"Brand")</f>
        <v>16901</v>
      </c>
      <c r="AA17" s="417">
        <f>SUMIFS(Search!$AH:$AH,Search!$A:$A,"P2",Search!$D:$D,"Brand")</f>
        <v>11731</v>
      </c>
      <c r="AB17" s="378">
        <f t="shared" si="33"/>
        <v>0.44071264171852359</v>
      </c>
      <c r="AC17" s="419">
        <f>SUMIFS(Search!$AK:$AK,Search!$A:$A,"P2",Search!$D:$D,"Brand")</f>
        <v>43791</v>
      </c>
      <c r="AD17" s="417">
        <f>SUMIFS(Search!$AL:$AL,Search!$A:$A,"P2",Search!$D:$D,"Brand")</f>
        <v>45622</v>
      </c>
      <c r="AE17" s="378">
        <f t="shared" si="34"/>
        <v>-4.0134145806847571E-2</v>
      </c>
      <c r="AF17" s="379">
        <f t="shared" si="35"/>
        <v>0.38594688406293531</v>
      </c>
      <c r="AG17" s="379">
        <f t="shared" si="36"/>
        <v>0.2571347157073342</v>
      </c>
      <c r="AH17" s="378">
        <f>(AF17-AG17)/AG17</f>
        <v>0.50095207098450545</v>
      </c>
    </row>
    <row r="18" spans="1:34" outlineLevel="1" x14ac:dyDescent="0.3">
      <c r="A18" s="373" t="s">
        <v>30</v>
      </c>
      <c r="B18" s="374">
        <f>SUMIFS(Search!$E:$E,Search!$A:$A,"P2",Search!$D:$D,"Non-Brand")</f>
        <v>2710</v>
      </c>
      <c r="C18" s="374">
        <f>SUMIFS(Search!$F:$F,Search!$A:$A,"P2",Search!$D:$D,"Non-Brand")</f>
        <v>1609</v>
      </c>
      <c r="D18" s="369">
        <f t="shared" si="17"/>
        <v>0.68427594779366063</v>
      </c>
      <c r="E18" s="374">
        <f>SUMIFS(Search!$I:$I,Search!$A:$A,"P2",Search!$D:$D,"Non-Brand")</f>
        <v>5094.38</v>
      </c>
      <c r="F18" s="374">
        <f>SUMIFS(Search!$J:$J,Search!$A:$A,"P2",Search!$D:$D,"Non-Brand")</f>
        <v>5803.7000000000007</v>
      </c>
      <c r="G18" s="375">
        <f t="shared" si="18"/>
        <v>-0.1222185846959699</v>
      </c>
      <c r="H18" s="376">
        <f t="shared" si="19"/>
        <v>0.531958746697341</v>
      </c>
      <c r="I18" s="376">
        <f t="shared" si="20"/>
        <v>0.27723693505866942</v>
      </c>
      <c r="J18" s="375">
        <f t="shared" si="21"/>
        <v>0.91878743207418179</v>
      </c>
      <c r="K18" s="417">
        <f>SUMIFS(Search!$Q:$Q,Search!$A:$A,"P2",Search!$D:$D,"Non-Brand")</f>
        <v>4622</v>
      </c>
      <c r="L18" s="417">
        <f>SUMIFS(Search!$R:$R,Search!$A:$A,"P2",Search!$D:$D,"Non-Brand")</f>
        <v>6594</v>
      </c>
      <c r="M18" s="375">
        <f t="shared" si="22"/>
        <v>-0.29905975128905066</v>
      </c>
      <c r="N18" s="417">
        <f>SUMIFS(Search!$U:$U,Search!$A:$A,"P2",Search!$D:$D,"Non-Brand")</f>
        <v>27</v>
      </c>
      <c r="O18" s="417">
        <f>SUMIFS(Search!$V:$V,Search!$A:$A,"P2",Search!$D:$D,"Non-Brand")</f>
        <v>24</v>
      </c>
      <c r="P18" s="378">
        <f t="shared" si="23"/>
        <v>0.125</v>
      </c>
      <c r="Q18" s="379">
        <f t="shared" si="24"/>
        <v>5.841627001298139E-3</v>
      </c>
      <c r="R18" s="379">
        <f t="shared" si="25"/>
        <v>3.6396724294813468E-3</v>
      </c>
      <c r="S18" s="378">
        <f t="shared" si="26"/>
        <v>0.6049870186066636</v>
      </c>
      <c r="T18" s="374">
        <f t="shared" si="27"/>
        <v>188.68074074074073</v>
      </c>
      <c r="U18" s="374">
        <f t="shared" si="28"/>
        <v>241.82083333333335</v>
      </c>
      <c r="V18" s="375">
        <f t="shared" si="29"/>
        <v>-0.21974985306308439</v>
      </c>
      <c r="W18" s="374">
        <f t="shared" si="30"/>
        <v>100.37037037037037</v>
      </c>
      <c r="X18" s="374">
        <f t="shared" si="31"/>
        <v>67.041666666666671</v>
      </c>
      <c r="Y18" s="378">
        <f t="shared" si="32"/>
        <v>0.49713417581658709</v>
      </c>
      <c r="Z18" s="419">
        <f>SUMIFS(Search!$AG:$AG,Search!$A:$A,"P2",Search!$D:$D,"Non-Brand")</f>
        <v>4301</v>
      </c>
      <c r="AA18" s="417">
        <f>SUMIFS(Search!$AH:$AH,Search!$A:$A,"P2",Search!$D:$D,"Non-Brand")</f>
        <v>6285</v>
      </c>
      <c r="AB18" s="378">
        <f t="shared" si="33"/>
        <v>-0.31567223548130469</v>
      </c>
      <c r="AC18" s="419">
        <f>SUMIFS(Search!$AK:$AK,Search!$A:$A,"P2",Search!$D:$D,"Non-Brand")</f>
        <v>64260</v>
      </c>
      <c r="AD18" s="417">
        <f>SUMIFS(Search!$AL:$AL,Search!$A:$A,"P2",Search!$D:$D,"Non-Brand")</f>
        <v>102448</v>
      </c>
      <c r="AE18" s="378">
        <f t="shared" si="34"/>
        <v>-0.37275495861315011</v>
      </c>
      <c r="AF18" s="379">
        <f t="shared" si="35"/>
        <v>6.6931216931216925E-2</v>
      </c>
      <c r="AG18" s="379">
        <f t="shared" si="36"/>
        <v>6.1348196158050913E-2</v>
      </c>
      <c r="AH18" s="378">
        <f>(AF18-AG18)/AG18</f>
        <v>9.1005459374592132E-2</v>
      </c>
    </row>
    <row r="19" spans="1:34" outlineLevel="1" x14ac:dyDescent="0.3">
      <c r="A19" s="373" t="s">
        <v>228</v>
      </c>
      <c r="B19" s="374">
        <f>SUMIFS(Search!$E:$E,Search!$A:$A,"P2",Search!$D:$D,"Shopping Campaigns")</f>
        <v>0</v>
      </c>
      <c r="C19" s="374">
        <f>SUMIFS(Search!$F:$F,Search!$A:$A,"P2",Search!$D:$D,"Shopping Campaigns")</f>
        <v>0</v>
      </c>
      <c r="D19" s="369" t="e">
        <f t="shared" si="17"/>
        <v>#DIV/0!</v>
      </c>
      <c r="E19" s="374">
        <f>SUMIFS(Search!$I:$I,Search!$A:$A,"P2",Search!$D:$D,"Shopping Campaigns")</f>
        <v>0</v>
      </c>
      <c r="F19" s="374">
        <f>SUMIFS(Search!$J:$J,Search!$A:$A,"P2",Search!$D:$D,"Shopping Campaigns")</f>
        <v>0</v>
      </c>
      <c r="G19" s="375" t="e">
        <f t="shared" si="18"/>
        <v>#DIV/0!</v>
      </c>
      <c r="H19" s="376" t="e">
        <f t="shared" si="19"/>
        <v>#DIV/0!</v>
      </c>
      <c r="I19" s="376" t="e">
        <f t="shared" si="20"/>
        <v>#DIV/0!</v>
      </c>
      <c r="J19" s="375" t="e">
        <f t="shared" si="21"/>
        <v>#DIV/0!</v>
      </c>
      <c r="K19" s="417">
        <f>SUMIFS(Search!$Q:$Q,Search!$A:$A,"P2",Search!$D:$D,"Shopping Campaigns")</f>
        <v>0</v>
      </c>
      <c r="L19" s="417">
        <f>SUMIFS(Search!$R:$R,Search!$A:$A,"P2",Search!$D:$D,"Shopping Campaigns")</f>
        <v>0</v>
      </c>
      <c r="M19" s="375" t="e">
        <f t="shared" si="22"/>
        <v>#DIV/0!</v>
      </c>
      <c r="N19" s="417">
        <f>SUMIFS(Search!$U:$U,Search!$A:$A,"P2",Search!$D:$D,"Shopping Campaigns")</f>
        <v>0</v>
      </c>
      <c r="O19" s="417">
        <f>SUMIFS(Search!$V:$V,Search!$A:$A,"P2",Search!$D:$D,"Shopping Campaigns")</f>
        <v>0</v>
      </c>
      <c r="P19" s="378" t="e">
        <f t="shared" si="23"/>
        <v>#DIV/0!</v>
      </c>
      <c r="Q19" s="379" t="e">
        <f t="shared" si="24"/>
        <v>#DIV/0!</v>
      </c>
      <c r="R19" s="379" t="e">
        <f t="shared" si="25"/>
        <v>#DIV/0!</v>
      </c>
      <c r="S19" s="378" t="e">
        <f t="shared" si="26"/>
        <v>#DIV/0!</v>
      </c>
      <c r="T19" s="374" t="e">
        <f t="shared" si="27"/>
        <v>#DIV/0!</v>
      </c>
      <c r="U19" s="374" t="e">
        <f t="shared" si="28"/>
        <v>#DIV/0!</v>
      </c>
      <c r="V19" s="375" t="e">
        <f t="shared" si="29"/>
        <v>#DIV/0!</v>
      </c>
      <c r="W19" s="374" t="e">
        <f t="shared" si="30"/>
        <v>#DIV/0!</v>
      </c>
      <c r="X19" s="374" t="e">
        <f t="shared" si="31"/>
        <v>#DIV/0!</v>
      </c>
      <c r="Y19" s="378" t="e">
        <f t="shared" si="32"/>
        <v>#DIV/0!</v>
      </c>
      <c r="Z19" s="419">
        <f>SUMIFS(Search!$AG:$AG,Search!$A:$A,"P2",Search!$D:$D,"Shopping Campaigns")</f>
        <v>0</v>
      </c>
      <c r="AA19" s="417">
        <f>SUMIFS(Search!$AH:$AH,Search!$A:$A,"P2",Search!$D:$D,"Shopping Campaigns")</f>
        <v>0</v>
      </c>
      <c r="AB19" s="378" t="e">
        <f t="shared" si="33"/>
        <v>#DIV/0!</v>
      </c>
      <c r="AC19" s="419">
        <f>SUMIFS(Search!$AK:$AK,Search!$A:$A,"P2",Search!$D:$D,"Shopping Campaigns")</f>
        <v>0</v>
      </c>
      <c r="AD19" s="417">
        <f>SUMIFS(Search!$AL:$AL,Search!$A:$A,"P2",Search!$D:$D,"Shopping Campaigns")</f>
        <v>0</v>
      </c>
      <c r="AE19" s="378" t="e">
        <f t="shared" si="34"/>
        <v>#DIV/0!</v>
      </c>
      <c r="AF19" s="379" t="e">
        <f t="shared" si="35"/>
        <v>#DIV/0!</v>
      </c>
      <c r="AG19" s="379" t="e">
        <f t="shared" si="36"/>
        <v>#DIV/0!</v>
      </c>
      <c r="AH19" s="378" t="e">
        <f t="shared" ref="AH19:AH26" si="37">(AF19-AG19)/AG19</f>
        <v>#DIV/0!</v>
      </c>
    </row>
    <row r="20" spans="1:34" s="367" customFormat="1" ht="21" customHeight="1" x14ac:dyDescent="0.3">
      <c r="A20" s="380" t="s">
        <v>13</v>
      </c>
      <c r="B20" s="368">
        <f>SUMIFS(Affiliate!D:D,Affiliate!$A:$A,"P2")</f>
        <v>139877</v>
      </c>
      <c r="C20" s="368">
        <f>SUMIFS(Affiliate!E:E,Affiliate!$A:$A,"P2")</f>
        <v>48666</v>
      </c>
      <c r="D20" s="369">
        <f t="shared" si="17"/>
        <v>1.8742243044425266</v>
      </c>
      <c r="E20" s="368">
        <f>SUMIFS(Affiliate!H:H,Affiliate!$A:$A,"P2")</f>
        <v>7904.11</v>
      </c>
      <c r="F20" s="368">
        <f>SUMIFS(Affiliate!I:I,Affiliate!$A:$A,"P2")</f>
        <v>12453.779999999999</v>
      </c>
      <c r="G20" s="369">
        <f t="shared" si="18"/>
        <v>-0.36532442358866141</v>
      </c>
      <c r="H20" s="370">
        <f t="shared" si="19"/>
        <v>17.69674258075862</v>
      </c>
      <c r="I20" s="370">
        <f t="shared" si="20"/>
        <v>3.9077292195622539</v>
      </c>
      <c r="J20" s="369">
        <f t="shared" si="21"/>
        <v>3.5286511900998656</v>
      </c>
      <c r="K20" s="416">
        <f>SUMIFS(Affiliate!$AF:$AF,Affiliate!$A:$A,"P2")</f>
        <v>13533</v>
      </c>
      <c r="L20" s="416">
        <f>SUMIFS(Affiliate!$AG:$AG,Affiliate!$A:$A,"P2")</f>
        <v>9405</v>
      </c>
      <c r="M20" s="369">
        <f t="shared" si="22"/>
        <v>0.43891547049441787</v>
      </c>
      <c r="N20" s="416">
        <f>SUMIFS(Affiliate!$AJ:$AJ,Affiliate!$A:$A,"P2")</f>
        <v>1264</v>
      </c>
      <c r="O20" s="416">
        <f>SUMIFS(Affiliate!$AK:$AK,Affiliate!$A:$A,"P2")</f>
        <v>474</v>
      </c>
      <c r="P20" s="381">
        <f t="shared" si="23"/>
        <v>1.6666666666666667</v>
      </c>
      <c r="Q20" s="382">
        <f t="shared" si="24"/>
        <v>9.3401315303332594E-2</v>
      </c>
      <c r="R20" s="382">
        <f t="shared" si="25"/>
        <v>5.0398724082934609E-2</v>
      </c>
      <c r="S20" s="381">
        <f t="shared" si="26"/>
        <v>0.85324761693637774</v>
      </c>
      <c r="T20" s="383">
        <f t="shared" si="27"/>
        <v>6.2532515822784811</v>
      </c>
      <c r="U20" s="383">
        <f t="shared" si="28"/>
        <v>26.273797468354427</v>
      </c>
      <c r="V20" s="369">
        <f t="shared" si="29"/>
        <v>-0.76199665884574808</v>
      </c>
      <c r="W20" s="383">
        <f t="shared" si="30"/>
        <v>110.6621835443038</v>
      </c>
      <c r="X20" s="383">
        <f t="shared" si="31"/>
        <v>102.67088607594937</v>
      </c>
      <c r="Y20" s="381">
        <f t="shared" si="32"/>
        <v>7.7834114165947488E-2</v>
      </c>
      <c r="Z20" s="443"/>
      <c r="AA20" s="384"/>
      <c r="AB20" s="381" t="e">
        <f t="shared" si="33"/>
        <v>#DIV/0!</v>
      </c>
      <c r="AC20" s="443"/>
      <c r="AD20" s="384"/>
      <c r="AE20" s="381" t="e">
        <f t="shared" si="34"/>
        <v>#DIV/0!</v>
      </c>
      <c r="AF20" s="385"/>
      <c r="AG20" s="385"/>
      <c r="AH20" s="381" t="e">
        <f t="shared" si="37"/>
        <v>#DIV/0!</v>
      </c>
    </row>
    <row r="21" spans="1:34" s="367" customFormat="1" ht="20.100000000000001" customHeight="1" x14ac:dyDescent="0.3">
      <c r="A21" s="367" t="s">
        <v>14</v>
      </c>
      <c r="B21" s="368">
        <f>SUM(B22:B23)</f>
        <v>447</v>
      </c>
      <c r="C21" s="368">
        <f>SUM(C22:C23)</f>
        <v>225</v>
      </c>
      <c r="D21" s="369">
        <f t="shared" si="17"/>
        <v>0.98666666666666669</v>
      </c>
      <c r="E21" s="368">
        <f>SUM(E22:E23)</f>
        <v>0</v>
      </c>
      <c r="F21" s="368">
        <f>SUM(F22:F23)</f>
        <v>5425</v>
      </c>
      <c r="G21" s="369">
        <f t="shared" si="18"/>
        <v>-1</v>
      </c>
      <c r="H21" s="370" t="e">
        <f t="shared" si="19"/>
        <v>#DIV/0!</v>
      </c>
      <c r="I21" s="370">
        <f t="shared" si="20"/>
        <v>4.1474654377880185E-2</v>
      </c>
      <c r="J21" s="369" t="e">
        <f t="shared" si="21"/>
        <v>#DIV/0!</v>
      </c>
      <c r="K21" s="416">
        <f>SUM(K22:K23)</f>
        <v>151</v>
      </c>
      <c r="L21" s="416">
        <f>SUM(L22:L23)</f>
        <v>1000</v>
      </c>
      <c r="M21" s="369">
        <f t="shared" si="22"/>
        <v>-0.84899999999999998</v>
      </c>
      <c r="N21" s="416">
        <f>SUM(N22:N23)</f>
        <v>4</v>
      </c>
      <c r="O21" s="416">
        <f>SUM(O22:O23)</f>
        <v>2</v>
      </c>
      <c r="P21" s="381">
        <f t="shared" si="23"/>
        <v>1</v>
      </c>
      <c r="Q21" s="382">
        <f t="shared" si="24"/>
        <v>2.6490066225165563E-2</v>
      </c>
      <c r="R21" s="382">
        <f t="shared" si="25"/>
        <v>2E-3</v>
      </c>
      <c r="S21" s="381">
        <f t="shared" si="26"/>
        <v>12.245033112582782</v>
      </c>
      <c r="T21" s="383">
        <f t="shared" si="27"/>
        <v>0</v>
      </c>
      <c r="U21" s="383">
        <f t="shared" si="28"/>
        <v>2712.5</v>
      </c>
      <c r="V21" s="369">
        <f t="shared" si="29"/>
        <v>-1</v>
      </c>
      <c r="W21" s="383">
        <f t="shared" si="30"/>
        <v>111.75</v>
      </c>
      <c r="X21" s="383">
        <f t="shared" si="31"/>
        <v>112.5</v>
      </c>
      <c r="Y21" s="381">
        <f t="shared" si="32"/>
        <v>-6.6666666666666671E-3</v>
      </c>
      <c r="Z21" s="420">
        <f>SUM(Z22:Z23)</f>
        <v>0</v>
      </c>
      <c r="AA21" s="416">
        <f>SUM(AA22:AA23)</f>
        <v>2502</v>
      </c>
      <c r="AB21" s="381">
        <f t="shared" si="33"/>
        <v>-1</v>
      </c>
      <c r="AC21" s="420">
        <f>SUM(AC22:AC23)</f>
        <v>0</v>
      </c>
      <c r="AD21" s="416">
        <f>SUM(AD22:AD23)</f>
        <v>673115</v>
      </c>
      <c r="AE21" s="381">
        <f t="shared" si="34"/>
        <v>-1</v>
      </c>
      <c r="AF21" s="382" t="e">
        <f t="shared" ref="AF21:AF27" si="38">Z21/AC21</f>
        <v>#DIV/0!</v>
      </c>
      <c r="AG21" s="382">
        <f t="shared" ref="AG21:AG27" si="39">AA21/AD21</f>
        <v>3.717046864205968E-3</v>
      </c>
      <c r="AH21" s="381" t="e">
        <f t="shared" si="37"/>
        <v>#DIV/0!</v>
      </c>
    </row>
    <row r="22" spans="1:34" outlineLevel="1" x14ac:dyDescent="0.3">
      <c r="A22" s="373" t="s">
        <v>285</v>
      </c>
      <c r="B22" s="374">
        <f>SUMIFS('Social - Promos'!$E:$E,'Social - Promos'!$A:$A,"P2")</f>
        <v>447</v>
      </c>
      <c r="C22" s="374">
        <f>SUMIFS('Social - Promos'!$F:$F,'Social - Promos'!$A:$A,"P2")</f>
        <v>225</v>
      </c>
      <c r="D22" s="369">
        <f t="shared" si="17"/>
        <v>0.98666666666666669</v>
      </c>
      <c r="E22" s="374">
        <f>SUMIFS('Social - Promos'!$K:$K,'Social - Promos'!$A:$A,"p2")</f>
        <v>0</v>
      </c>
      <c r="F22" s="374">
        <f>SUMIFS('Social - Promos'!$L:$L,'Social - Promos'!$A:$A,"p2")</f>
        <v>5425</v>
      </c>
      <c r="G22" s="375">
        <f t="shared" si="18"/>
        <v>-1</v>
      </c>
      <c r="H22" s="386" t="e">
        <f t="shared" si="19"/>
        <v>#DIV/0!</v>
      </c>
      <c r="I22" s="386">
        <f t="shared" si="20"/>
        <v>4.1474654377880185E-2</v>
      </c>
      <c r="J22" s="375" t="e">
        <f t="shared" si="21"/>
        <v>#DIV/0!</v>
      </c>
      <c r="K22" s="417">
        <f>SUMIFS('Social - Promos'!$T:$T,'Social - Promos'!$A:$A,"p2")</f>
        <v>151</v>
      </c>
      <c r="L22" s="417">
        <f>SUMIFS('Social - Promos'!$U:$U,'Social - Promos'!$A:$A,"p2")</f>
        <v>1000</v>
      </c>
      <c r="M22" s="375">
        <f t="shared" si="22"/>
        <v>-0.84899999999999998</v>
      </c>
      <c r="N22" s="417">
        <f>SUMIFS('Social - Promos'!$W:$W,'Social - Promos'!$A:$A,"p2")</f>
        <v>4</v>
      </c>
      <c r="O22" s="417">
        <f>SUMIFS('Social - Promos'!$X:$X,'Social - Promos'!$A:$A,"p2")</f>
        <v>2</v>
      </c>
      <c r="P22" s="378">
        <f t="shared" si="23"/>
        <v>1</v>
      </c>
      <c r="Q22" s="379">
        <f t="shared" si="24"/>
        <v>2.6490066225165563E-2</v>
      </c>
      <c r="R22" s="379">
        <f t="shared" si="25"/>
        <v>2E-3</v>
      </c>
      <c r="S22" s="378">
        <f t="shared" si="26"/>
        <v>12.245033112582782</v>
      </c>
      <c r="T22" s="374">
        <f t="shared" si="27"/>
        <v>0</v>
      </c>
      <c r="U22" s="374">
        <f t="shared" si="28"/>
        <v>2712.5</v>
      </c>
      <c r="V22" s="375">
        <f t="shared" si="29"/>
        <v>-1</v>
      </c>
      <c r="W22" s="374">
        <f t="shared" si="30"/>
        <v>111.75</v>
      </c>
      <c r="X22" s="374">
        <f t="shared" si="31"/>
        <v>112.5</v>
      </c>
      <c r="Y22" s="378">
        <f t="shared" si="32"/>
        <v>-6.6666666666666671E-3</v>
      </c>
      <c r="Z22" s="419">
        <f>SUMIFS('Social - Promos'!$AF:$AF,'Social - Promos'!$A:$A,"p2")</f>
        <v>0</v>
      </c>
      <c r="AA22" s="417">
        <f>SUMIFS('Social - Promos'!$AG:$AG,'Social - Promos'!$A:$A,"p2")</f>
        <v>2502</v>
      </c>
      <c r="AB22" s="378">
        <f t="shared" si="33"/>
        <v>-1</v>
      </c>
      <c r="AC22" s="419">
        <f>SUMIFS('Social - Promos'!$AI:$AI,'Social - Promos'!$A:$A,"p2")</f>
        <v>0</v>
      </c>
      <c r="AD22" s="417">
        <f>SUMIFS('Social - Promos'!$AJ:$AJ,'Social - Promos'!$A:$A,"p2")</f>
        <v>673115</v>
      </c>
      <c r="AE22" s="378">
        <f t="shared" si="34"/>
        <v>-1</v>
      </c>
      <c r="AF22" s="379" t="e">
        <f t="shared" si="38"/>
        <v>#DIV/0!</v>
      </c>
      <c r="AG22" s="379">
        <f t="shared" si="39"/>
        <v>3.717046864205968E-3</v>
      </c>
      <c r="AH22" s="378" t="e">
        <f t="shared" si="37"/>
        <v>#DIV/0!</v>
      </c>
    </row>
    <row r="23" spans="1:34" outlineLevel="1" x14ac:dyDescent="0.3">
      <c r="A23" s="373" t="s">
        <v>286</v>
      </c>
      <c r="B23" s="374">
        <f>SUMIFS('Social - Remarketing'!$D:$D,'Social - Remarketing'!A:A,"P2")</f>
        <v>0</v>
      </c>
      <c r="C23" s="374">
        <f>SUMIFS('Social - Remarketing'!$E:$E,'Social - Remarketing'!$A:$A,"P2")</f>
        <v>0</v>
      </c>
      <c r="D23" s="369" t="e">
        <f t="shared" si="17"/>
        <v>#DIV/0!</v>
      </c>
      <c r="E23" s="374">
        <f>SUMIFS('Social - Remarketing'!$H:$H,'Social - Remarketing'!$A:$A,"P2")</f>
        <v>0</v>
      </c>
      <c r="F23" s="374">
        <f>SUMIFS('Social - Remarketing'!$I:$I,'Social - Remarketing'!$A:$A,"P2")</f>
        <v>0</v>
      </c>
      <c r="G23" s="369" t="e">
        <f t="shared" si="18"/>
        <v>#DIV/0!</v>
      </c>
      <c r="H23" s="386" t="e">
        <f t="shared" si="19"/>
        <v>#DIV/0!</v>
      </c>
      <c r="I23" s="386" t="e">
        <f t="shared" si="20"/>
        <v>#DIV/0!</v>
      </c>
      <c r="J23" s="369" t="e">
        <f t="shared" si="21"/>
        <v>#DIV/0!</v>
      </c>
      <c r="K23" s="417">
        <f>SUMIFS('Social - Remarketing'!$X:$X,'Social - Remarketing'!$A:$A,"P2")</f>
        <v>0</v>
      </c>
      <c r="L23" s="417">
        <f>SUMIFS('Social - Remarketing'!$Y:$Y,'Social - Remarketing'!$A:$A,"P2")</f>
        <v>0</v>
      </c>
      <c r="M23" s="375" t="e">
        <f t="shared" si="22"/>
        <v>#DIV/0!</v>
      </c>
      <c r="N23" s="417">
        <f>SUMIFS('Social - Remarketing'!$AB:$AB,'Social - Remarketing'!$A:$A,"P2")</f>
        <v>0</v>
      </c>
      <c r="O23" s="417">
        <f>SUMIFS('Social - Remarketing'!$AC:$AC,'Social - Remarketing'!$A:$A,"P2")</f>
        <v>0</v>
      </c>
      <c r="P23" s="378" t="e">
        <f t="shared" si="23"/>
        <v>#DIV/0!</v>
      </c>
      <c r="Q23" s="379" t="e">
        <f t="shared" si="24"/>
        <v>#DIV/0!</v>
      </c>
      <c r="R23" s="379" t="e">
        <f t="shared" si="25"/>
        <v>#DIV/0!</v>
      </c>
      <c r="S23" s="378" t="e">
        <f t="shared" si="26"/>
        <v>#DIV/0!</v>
      </c>
      <c r="T23" s="374" t="e">
        <f t="shared" si="27"/>
        <v>#DIV/0!</v>
      </c>
      <c r="U23" s="374" t="e">
        <f t="shared" si="28"/>
        <v>#DIV/0!</v>
      </c>
      <c r="V23" s="375" t="e">
        <f t="shared" si="29"/>
        <v>#DIV/0!</v>
      </c>
      <c r="W23" s="374" t="e">
        <f t="shared" si="30"/>
        <v>#DIV/0!</v>
      </c>
      <c r="X23" s="374" t="e">
        <f t="shared" si="31"/>
        <v>#DIV/0!</v>
      </c>
      <c r="Y23" s="378" t="e">
        <f t="shared" si="32"/>
        <v>#DIV/0!</v>
      </c>
      <c r="Z23" s="419">
        <f>SUMIFS('Social - Remarketing'!$AN:$AN,'Social - Remarketing'!$A:$A,"P2")</f>
        <v>0</v>
      </c>
      <c r="AA23" s="417">
        <f>SUMIFS('Social - Remarketing'!$AO:$AO,'Social - Remarketing'!$A:$A,"P2")</f>
        <v>0</v>
      </c>
      <c r="AB23" s="378" t="e">
        <f t="shared" si="33"/>
        <v>#DIV/0!</v>
      </c>
      <c r="AC23" s="419">
        <f>SUMIFS('Social - Remarketing'!$AR:$AR,'Social - Remarketing'!$A:$A,"P2")</f>
        <v>0</v>
      </c>
      <c r="AD23" s="417">
        <f>SUMIFS('Social - Remarketing'!$AS:$AS,'Social - Remarketing'!$A:$A,"P2")</f>
        <v>0</v>
      </c>
      <c r="AE23" s="378" t="e">
        <f t="shared" si="34"/>
        <v>#DIV/0!</v>
      </c>
      <c r="AF23" s="379" t="e">
        <f t="shared" si="38"/>
        <v>#DIV/0!</v>
      </c>
      <c r="AG23" s="379" t="e">
        <f t="shared" si="39"/>
        <v>#DIV/0!</v>
      </c>
      <c r="AH23" s="378" t="e">
        <f t="shared" si="37"/>
        <v>#DIV/0!</v>
      </c>
    </row>
    <row r="24" spans="1:34" s="367" customFormat="1" ht="21" customHeight="1" x14ac:dyDescent="0.3">
      <c r="A24" s="367" t="s">
        <v>15</v>
      </c>
      <c r="B24" s="368">
        <f>SUM(B25:B26)</f>
        <v>0</v>
      </c>
      <c r="C24" s="368">
        <f>SUM(C25:C26)</f>
        <v>0</v>
      </c>
      <c r="D24" s="369" t="e">
        <f t="shared" si="17"/>
        <v>#DIV/0!</v>
      </c>
      <c r="E24" s="368">
        <f>SUM(E25:E26)</f>
        <v>0</v>
      </c>
      <c r="F24" s="368">
        <f>SUM(F25:F26)</f>
        <v>0</v>
      </c>
      <c r="G24" s="369" t="e">
        <f t="shared" si="18"/>
        <v>#DIV/0!</v>
      </c>
      <c r="H24" s="370" t="e">
        <f t="shared" si="19"/>
        <v>#DIV/0!</v>
      </c>
      <c r="I24" s="370" t="e">
        <f t="shared" si="20"/>
        <v>#DIV/0!</v>
      </c>
      <c r="J24" s="369" t="e">
        <f t="shared" si="21"/>
        <v>#DIV/0!</v>
      </c>
      <c r="K24" s="416">
        <f>SUM(K25:K26)</f>
        <v>1</v>
      </c>
      <c r="L24" s="416">
        <f>SUM(L25:L26)</f>
        <v>0</v>
      </c>
      <c r="M24" s="369" t="e">
        <f t="shared" si="22"/>
        <v>#DIV/0!</v>
      </c>
      <c r="N24" s="416">
        <f>SUM(N25:N26)</f>
        <v>0</v>
      </c>
      <c r="O24" s="416">
        <f>SUM(O25:O26)</f>
        <v>0</v>
      </c>
      <c r="P24" s="381" t="e">
        <f t="shared" si="23"/>
        <v>#DIV/0!</v>
      </c>
      <c r="Q24" s="382">
        <f t="shared" si="24"/>
        <v>0</v>
      </c>
      <c r="R24" s="382" t="e">
        <f t="shared" si="25"/>
        <v>#DIV/0!</v>
      </c>
      <c r="S24" s="381" t="e">
        <f t="shared" si="26"/>
        <v>#DIV/0!</v>
      </c>
      <c r="T24" s="383" t="e">
        <f t="shared" si="27"/>
        <v>#DIV/0!</v>
      </c>
      <c r="U24" s="383" t="e">
        <f t="shared" si="28"/>
        <v>#DIV/0!</v>
      </c>
      <c r="V24" s="369" t="e">
        <f t="shared" si="29"/>
        <v>#DIV/0!</v>
      </c>
      <c r="W24" s="383" t="e">
        <f t="shared" si="30"/>
        <v>#DIV/0!</v>
      </c>
      <c r="X24" s="383" t="e">
        <f t="shared" si="31"/>
        <v>#DIV/0!</v>
      </c>
      <c r="Y24" s="381" t="e">
        <f t="shared" si="32"/>
        <v>#DIV/0!</v>
      </c>
      <c r="Z24" s="420">
        <f>SUM(Z25:Z26)</f>
        <v>0</v>
      </c>
      <c r="AA24" s="371">
        <f>SUM(AA25:AA26)</f>
        <v>0</v>
      </c>
      <c r="AB24" s="381" t="e">
        <f t="shared" si="33"/>
        <v>#DIV/0!</v>
      </c>
      <c r="AC24" s="420">
        <f>SUM(AC25:AC26)</f>
        <v>0</v>
      </c>
      <c r="AD24" s="371">
        <f>SUM(AD25:AD26)</f>
        <v>0</v>
      </c>
      <c r="AE24" s="381" t="e">
        <f t="shared" si="34"/>
        <v>#DIV/0!</v>
      </c>
      <c r="AF24" s="382" t="e">
        <f t="shared" si="38"/>
        <v>#DIV/0!</v>
      </c>
      <c r="AG24" s="382" t="e">
        <f t="shared" si="39"/>
        <v>#DIV/0!</v>
      </c>
      <c r="AH24" s="381" t="e">
        <f t="shared" si="37"/>
        <v>#DIV/0!</v>
      </c>
    </row>
    <row r="25" spans="1:34" outlineLevel="1" x14ac:dyDescent="0.3">
      <c r="A25" s="373" t="s">
        <v>285</v>
      </c>
      <c r="B25" s="374">
        <f>SUMIFS('Display - Promos'!$E:$E,'Display - Promos'!$A:$A,"p2")</f>
        <v>0</v>
      </c>
      <c r="C25" s="374">
        <f>SUMIFS('Display - Promos'!$F:$F,'Display - Promos'!$A:$A,"p2")</f>
        <v>0</v>
      </c>
      <c r="D25" s="375" t="e">
        <f t="shared" si="17"/>
        <v>#DIV/0!</v>
      </c>
      <c r="E25" s="374">
        <f>SUMIFS('Display - Promos'!$H:$H,'Display - Promos'!$A:$A,"p2")</f>
        <v>0</v>
      </c>
      <c r="F25" s="374">
        <f>SUMIFS('Display - Promos'!$I:$I,'Display - Promos'!$A:$A,"p2")</f>
        <v>0</v>
      </c>
      <c r="G25" s="375" t="e">
        <f t="shared" si="18"/>
        <v>#DIV/0!</v>
      </c>
      <c r="H25" s="386" t="e">
        <f t="shared" si="19"/>
        <v>#DIV/0!</v>
      </c>
      <c r="I25" s="386" t="e">
        <f t="shared" si="20"/>
        <v>#DIV/0!</v>
      </c>
      <c r="J25" s="369" t="e">
        <f t="shared" si="21"/>
        <v>#DIV/0!</v>
      </c>
      <c r="K25" s="417">
        <f>SUMIFS('Display - Promos'!$N:$N,'Display - Promos'!$A:$A,"p2")</f>
        <v>1</v>
      </c>
      <c r="L25" s="417">
        <f>SUMIFS('Display - Promos'!$O:$O,'Display - Promos'!$A:$A,"p2")</f>
        <v>0</v>
      </c>
      <c r="M25" s="375" t="e">
        <f t="shared" si="22"/>
        <v>#DIV/0!</v>
      </c>
      <c r="N25" s="417">
        <f>SUMIFS('Display - Promos'!$Q:$Q,'Display - Promos'!$A:$A,"p2")</f>
        <v>0</v>
      </c>
      <c r="O25" s="417">
        <f>SUMIFS('Display - Promos'!$R:$R,'Display - Promos'!$A:$A,"p2")</f>
        <v>0</v>
      </c>
      <c r="P25" s="378" t="e">
        <f t="shared" si="23"/>
        <v>#DIV/0!</v>
      </c>
      <c r="Q25" s="379">
        <f t="shared" si="24"/>
        <v>0</v>
      </c>
      <c r="R25" s="379" t="e">
        <f t="shared" si="25"/>
        <v>#DIV/0!</v>
      </c>
      <c r="S25" s="378" t="e">
        <f t="shared" si="26"/>
        <v>#DIV/0!</v>
      </c>
      <c r="T25" s="374" t="e">
        <f t="shared" si="27"/>
        <v>#DIV/0!</v>
      </c>
      <c r="U25" s="374" t="e">
        <f t="shared" si="28"/>
        <v>#DIV/0!</v>
      </c>
      <c r="V25" s="375" t="e">
        <f t="shared" si="29"/>
        <v>#DIV/0!</v>
      </c>
      <c r="W25" s="374" t="e">
        <f t="shared" si="30"/>
        <v>#DIV/0!</v>
      </c>
      <c r="X25" s="374" t="e">
        <f t="shared" si="31"/>
        <v>#DIV/0!</v>
      </c>
      <c r="Y25" s="378" t="e">
        <f t="shared" si="32"/>
        <v>#DIV/0!</v>
      </c>
      <c r="Z25" s="419">
        <f>SUMIFS('Display - Promos'!$W:$W,'Display - Promos'!$A:$A,"p2")</f>
        <v>0</v>
      </c>
      <c r="AA25" s="417">
        <f>SUMIFS('Display - Promos'!$X:$X,'Display - Promos'!$A:$A,"p2")</f>
        <v>0</v>
      </c>
      <c r="AB25" s="378" t="e">
        <f t="shared" si="33"/>
        <v>#DIV/0!</v>
      </c>
      <c r="AC25" s="419">
        <f>SUMIFS('Display - Promos'!$Z:$Z,'Display - Promos'!$A:$A,"p2")</f>
        <v>0</v>
      </c>
      <c r="AD25" s="417">
        <f>SUMIFS('Display - Promos'!$AA:$AA,'Display - Promos'!$A:$A,"p2")</f>
        <v>0</v>
      </c>
      <c r="AE25" s="378" t="e">
        <f t="shared" si="34"/>
        <v>#DIV/0!</v>
      </c>
      <c r="AF25" s="379" t="e">
        <f t="shared" si="38"/>
        <v>#DIV/0!</v>
      </c>
      <c r="AG25" s="379" t="e">
        <f t="shared" si="39"/>
        <v>#DIV/0!</v>
      </c>
      <c r="AH25" s="378" t="e">
        <f t="shared" si="37"/>
        <v>#DIV/0!</v>
      </c>
    </row>
    <row r="26" spans="1:34" ht="19.5" outlineLevel="1" thickBot="1" x14ac:dyDescent="0.35">
      <c r="A26" s="373" t="s">
        <v>286</v>
      </c>
      <c r="B26" s="374">
        <f>SUMIFS('Display - Remarketing'!$D:$D,'Display - Remarketing'!$A:$A,"P2")</f>
        <v>0</v>
      </c>
      <c r="C26" s="374">
        <f>SUMIFS('Display - Remarketing'!$E:$E,'Display - Remarketing'!$A:$A,"P2")</f>
        <v>0</v>
      </c>
      <c r="D26" s="369" t="e">
        <f t="shared" si="17"/>
        <v>#DIV/0!</v>
      </c>
      <c r="E26" s="374">
        <f>SUMIFS('Display - Remarketing'!$H:$H,'Display - Remarketing'!$A:$A,"P2")</f>
        <v>0</v>
      </c>
      <c r="F26" s="374">
        <f>SUMIFS('Display - Remarketing'!$I:$I,'Display - Remarketing'!$A:$A,"P2")</f>
        <v>0</v>
      </c>
      <c r="G26" s="369" t="e">
        <f t="shared" si="18"/>
        <v>#DIV/0!</v>
      </c>
      <c r="H26" s="386" t="e">
        <f t="shared" si="19"/>
        <v>#DIV/0!</v>
      </c>
      <c r="I26" s="386" t="e">
        <f t="shared" si="20"/>
        <v>#DIV/0!</v>
      </c>
      <c r="J26" s="369" t="e">
        <f t="shared" si="21"/>
        <v>#DIV/0!</v>
      </c>
      <c r="K26" s="417">
        <f>SUMIFS('Display - Remarketing'!$P:$P,'Display - Remarketing'!$A:$A,"P2")</f>
        <v>0</v>
      </c>
      <c r="L26" s="417">
        <f>SUMIFS('Display - Remarketing'!$Q:$Q,'Display - Remarketing'!$A:$A,"P2")</f>
        <v>0</v>
      </c>
      <c r="M26" s="375" t="e">
        <f t="shared" si="22"/>
        <v>#DIV/0!</v>
      </c>
      <c r="N26" s="417">
        <f>SUMIFS('Display - Remarketing'!$T:$T,'Display - Remarketing'!$A:$A,"P2")</f>
        <v>0</v>
      </c>
      <c r="O26" s="417">
        <f>SUMIFS('Display - Remarketing'!$U:$U,'Display - Remarketing'!$A:$A,"P2")</f>
        <v>0</v>
      </c>
      <c r="P26" s="378" t="e">
        <f t="shared" si="23"/>
        <v>#DIV/0!</v>
      </c>
      <c r="Q26" s="379" t="e">
        <f t="shared" si="24"/>
        <v>#DIV/0!</v>
      </c>
      <c r="R26" s="379" t="e">
        <f t="shared" si="25"/>
        <v>#DIV/0!</v>
      </c>
      <c r="S26" s="378" t="e">
        <f t="shared" si="26"/>
        <v>#DIV/0!</v>
      </c>
      <c r="T26" s="374" t="e">
        <f t="shared" si="27"/>
        <v>#DIV/0!</v>
      </c>
      <c r="U26" s="374" t="e">
        <f t="shared" si="28"/>
        <v>#DIV/0!</v>
      </c>
      <c r="V26" s="375" t="e">
        <f t="shared" si="29"/>
        <v>#DIV/0!</v>
      </c>
      <c r="W26" s="374" t="e">
        <f t="shared" si="30"/>
        <v>#DIV/0!</v>
      </c>
      <c r="X26" s="374" t="e">
        <f t="shared" si="31"/>
        <v>#DIV/0!</v>
      </c>
      <c r="Y26" s="378" t="e">
        <f t="shared" si="32"/>
        <v>#DIV/0!</v>
      </c>
      <c r="Z26" s="419">
        <f>SUMIFS('Display - Remarketing'!$AB:$AB,'Display - Remarketing'!$A:$A,"p2")</f>
        <v>0</v>
      </c>
      <c r="AA26" s="417">
        <f>SUMIFS('Display - Remarketing'!$AC:$AC,'Display - Remarketing'!$A:$A,"P2")</f>
        <v>0</v>
      </c>
      <c r="AB26" s="378" t="e">
        <f t="shared" si="33"/>
        <v>#DIV/0!</v>
      </c>
      <c r="AC26" s="419">
        <f>SUMIFS('Display - Remarketing'!$AF:$AF,'Display - Remarketing'!$A:$A,"P2")</f>
        <v>0</v>
      </c>
      <c r="AD26" s="417">
        <f>SUMIFS('Display - Remarketing'!$AG:$AG,'Display - Remarketing'!$A:$A,"P2")</f>
        <v>0</v>
      </c>
      <c r="AE26" s="378" t="e">
        <f t="shared" si="34"/>
        <v>#DIV/0!</v>
      </c>
      <c r="AF26" s="379" t="e">
        <f t="shared" si="38"/>
        <v>#DIV/0!</v>
      </c>
      <c r="AG26" s="379" t="e">
        <f t="shared" si="39"/>
        <v>#DIV/0!</v>
      </c>
      <c r="AH26" s="378" t="e">
        <f t="shared" si="37"/>
        <v>#DIV/0!</v>
      </c>
    </row>
    <row r="27" spans="1:34" s="395" customFormat="1" ht="22.5" thickTop="1" thickBot="1" x14ac:dyDescent="0.4">
      <c r="A27" s="387" t="s">
        <v>16</v>
      </c>
      <c r="B27" s="388">
        <f>B16+B20+B21+B24</f>
        <v>203668</v>
      </c>
      <c r="C27" s="388">
        <f>C16+C20+C21+C24</f>
        <v>64111</v>
      </c>
      <c r="D27" s="389">
        <f t="shared" si="17"/>
        <v>2.1768027327603687</v>
      </c>
      <c r="E27" s="388">
        <f>E16+E20+E21+E24</f>
        <v>15504.869999999999</v>
      </c>
      <c r="F27" s="388">
        <f>F16+F20+F21+F24</f>
        <v>26702.82</v>
      </c>
      <c r="G27" s="390">
        <f t="shared" si="18"/>
        <v>-0.41935458502135731</v>
      </c>
      <c r="H27" s="391">
        <f t="shared" si="19"/>
        <v>13.13574380178615</v>
      </c>
      <c r="I27" s="391">
        <f t="shared" si="20"/>
        <v>2.4009074696979571</v>
      </c>
      <c r="J27" s="390">
        <f t="shared" si="21"/>
        <v>4.4711578715853948</v>
      </c>
      <c r="K27" s="392">
        <f>K16+K20+K21+K24</f>
        <v>41901</v>
      </c>
      <c r="L27" s="392">
        <f>L16+L20+L21+L24</f>
        <v>29852</v>
      </c>
      <c r="M27" s="390">
        <f t="shared" si="22"/>
        <v>0.4036245477689937</v>
      </c>
      <c r="N27" s="392">
        <f>N16+N20+N21+N24</f>
        <v>1840</v>
      </c>
      <c r="O27" s="392">
        <f>O16+O20+O21+O24</f>
        <v>638</v>
      </c>
      <c r="P27" s="389">
        <f t="shared" si="23"/>
        <v>1.8840125391849529</v>
      </c>
      <c r="Q27" s="393">
        <f t="shared" si="24"/>
        <v>4.391303310183528E-2</v>
      </c>
      <c r="R27" s="393">
        <f t="shared" si="25"/>
        <v>2.137210237170039E-2</v>
      </c>
      <c r="S27" s="389">
        <f t="shared" si="26"/>
        <v>1.0546894422507629</v>
      </c>
      <c r="T27" s="388">
        <f t="shared" si="27"/>
        <v>8.4265597826086953</v>
      </c>
      <c r="U27" s="388">
        <f t="shared" si="28"/>
        <v>41.853949843260189</v>
      </c>
      <c r="V27" s="390">
        <f t="shared" si="29"/>
        <v>-0.79866751371936184</v>
      </c>
      <c r="W27" s="388">
        <f t="shared" si="30"/>
        <v>110.68913043478261</v>
      </c>
      <c r="X27" s="388">
        <f t="shared" si="31"/>
        <v>100.48746081504702</v>
      </c>
      <c r="Y27" s="389">
        <f t="shared" si="32"/>
        <v>0.10152181712017144</v>
      </c>
      <c r="Z27" s="444">
        <f>Z16+Z20+Z21+Z24</f>
        <v>21202</v>
      </c>
      <c r="AA27" s="394">
        <f>AA16+AA20+AA21+AA24</f>
        <v>20518</v>
      </c>
      <c r="AB27" s="389">
        <f t="shared" si="33"/>
        <v>3.3336582512915491E-2</v>
      </c>
      <c r="AC27" s="444">
        <f>AC16+AC20+AC21+AC24</f>
        <v>108051</v>
      </c>
      <c r="AD27" s="392">
        <f>AD16+AD20+AD21+AD24</f>
        <v>821185</v>
      </c>
      <c r="AE27" s="389">
        <f t="shared" si="34"/>
        <v>-0.86842063603207564</v>
      </c>
      <c r="AF27" s="393">
        <f t="shared" si="38"/>
        <v>0.196222154353037</v>
      </c>
      <c r="AG27" s="393">
        <f t="shared" si="39"/>
        <v>2.4985843628415036E-2</v>
      </c>
      <c r="AH27" s="389">
        <f>(AF27-AG27)/AG27</f>
        <v>6.8533331622184761</v>
      </c>
    </row>
    <row r="28" spans="1:34" x14ac:dyDescent="0.3">
      <c r="A28" s="359" t="s">
        <v>38</v>
      </c>
      <c r="B28" s="360" t="s">
        <v>1</v>
      </c>
      <c r="C28" s="360" t="s">
        <v>117</v>
      </c>
      <c r="D28" s="361" t="s">
        <v>24</v>
      </c>
      <c r="E28" s="360" t="s">
        <v>2</v>
      </c>
      <c r="F28" s="360" t="s">
        <v>99</v>
      </c>
      <c r="G28" s="361" t="s">
        <v>24</v>
      </c>
      <c r="H28" s="362" t="s">
        <v>3</v>
      </c>
      <c r="I28" s="362" t="s">
        <v>100</v>
      </c>
      <c r="J28" s="361" t="s">
        <v>24</v>
      </c>
      <c r="K28" s="362" t="s">
        <v>4</v>
      </c>
      <c r="L28" s="363" t="s">
        <v>101</v>
      </c>
      <c r="M28" s="361" t="s">
        <v>24</v>
      </c>
      <c r="N28" s="363" t="s">
        <v>5</v>
      </c>
      <c r="O28" s="363" t="s">
        <v>102</v>
      </c>
      <c r="P28" s="361" t="s">
        <v>24</v>
      </c>
      <c r="Q28" s="363" t="s">
        <v>109</v>
      </c>
      <c r="R28" s="363" t="s">
        <v>110</v>
      </c>
      <c r="S28" s="361" t="s">
        <v>24</v>
      </c>
      <c r="T28" s="364" t="s">
        <v>149</v>
      </c>
      <c r="U28" s="364" t="s">
        <v>150</v>
      </c>
      <c r="V28" s="361" t="s">
        <v>24</v>
      </c>
      <c r="W28" s="364" t="s">
        <v>6</v>
      </c>
      <c r="X28" s="364" t="s">
        <v>103</v>
      </c>
      <c r="Y28" s="361" t="s">
        <v>24</v>
      </c>
      <c r="Z28" s="446" t="s">
        <v>7</v>
      </c>
      <c r="AA28" s="363" t="s">
        <v>104</v>
      </c>
      <c r="AB28" s="361" t="s">
        <v>24</v>
      </c>
      <c r="AC28" s="442" t="s">
        <v>25</v>
      </c>
      <c r="AD28" s="365" t="s">
        <v>105</v>
      </c>
      <c r="AE28" s="361" t="s">
        <v>24</v>
      </c>
      <c r="AF28" s="366" t="s">
        <v>9</v>
      </c>
      <c r="AG28" s="366" t="s">
        <v>106</v>
      </c>
      <c r="AH28" s="361" t="s">
        <v>24</v>
      </c>
    </row>
    <row r="29" spans="1:34" s="367" customFormat="1" ht="20.100000000000001" customHeight="1" x14ac:dyDescent="0.3">
      <c r="A29" s="367" t="s">
        <v>10</v>
      </c>
      <c r="B29" s="368">
        <f>SUM(B30:B32)</f>
        <v>155421</v>
      </c>
      <c r="C29" s="368">
        <f>SUM(C30:C32)</f>
        <v>18271</v>
      </c>
      <c r="D29" s="369">
        <f t="shared" ref="D29:D40" si="40">(B29-C29)/C29</f>
        <v>7.5064309561600346</v>
      </c>
      <c r="E29" s="368">
        <f>SUM(E30:E32)</f>
        <v>13575.74</v>
      </c>
      <c r="F29" s="368">
        <f>SUM(F30:F32)</f>
        <v>10037.709999999999</v>
      </c>
      <c r="G29" s="369">
        <f t="shared" ref="G29:G40" si="41">(E29-F29)/F29</f>
        <v>0.35247382122017878</v>
      </c>
      <c r="H29" s="370">
        <f t="shared" ref="H29:H40" si="42">B29/E29</f>
        <v>11.448436696636795</v>
      </c>
      <c r="I29" s="370">
        <f t="shared" ref="I29:I40" si="43">C29/F29</f>
        <v>1.8202358904570866</v>
      </c>
      <c r="J29" s="369">
        <f t="shared" ref="J29:J40" si="44">(H29-I29)/I29</f>
        <v>5.2895346458430366</v>
      </c>
      <c r="K29" s="416">
        <f>SUM(K30:K32)</f>
        <v>80088</v>
      </c>
      <c r="L29" s="416">
        <f>SUM(L30:L32)</f>
        <v>19470</v>
      </c>
      <c r="M29" s="369">
        <f t="shared" ref="M29:M40" si="45">(K29-L29)/L29</f>
        <v>3.1134052388289675</v>
      </c>
      <c r="N29" s="416">
        <f>SUM(N30:N32)</f>
        <v>2248</v>
      </c>
      <c r="O29" s="416">
        <f>SUM(O30:O32)</f>
        <v>164</v>
      </c>
      <c r="P29" s="369">
        <f t="shared" ref="P29:P40" si="46">(N29-O29)/O29</f>
        <v>12.707317073170731</v>
      </c>
      <c r="Q29" s="372">
        <f t="shared" ref="Q29:Q40" si="47">N29/K29</f>
        <v>2.8069123963639996E-2</v>
      </c>
      <c r="R29" s="372">
        <f t="shared" ref="R29:R40" si="48">O29/L29</f>
        <v>8.4232152028762206E-3</v>
      </c>
      <c r="S29" s="369">
        <f t="shared" ref="S29:S40" si="49">(Q29-R29)/R29</f>
        <v>2.3323527047077479</v>
      </c>
      <c r="T29" s="368">
        <f t="shared" ref="T29:T40" si="50">E29/N29</f>
        <v>6.0390302491103203</v>
      </c>
      <c r="U29" s="368">
        <f t="shared" ref="U29:U40" si="51">F29/O29</f>
        <v>61.205548780487803</v>
      </c>
      <c r="V29" s="369">
        <f t="shared" ref="V29:V40" si="52">(T29-U29)/U29</f>
        <v>-0.90133198101418632</v>
      </c>
      <c r="W29" s="368">
        <f t="shared" ref="W29:W40" si="53">B29/N29</f>
        <v>69.137455516014228</v>
      </c>
      <c r="X29" s="368">
        <f t="shared" ref="X29:X40" si="54">C29/O29</f>
        <v>111.40853658536585</v>
      </c>
      <c r="Y29" s="369">
        <f t="shared" ref="Y29:Y40" si="55">(W29-X29)/X29</f>
        <v>-0.37942407615202595</v>
      </c>
      <c r="Z29" s="420">
        <f>SUM(Z30:Z32)</f>
        <v>64237</v>
      </c>
      <c r="AA29" s="416">
        <f>SUM(AA30:AA32)</f>
        <v>17241.18</v>
      </c>
      <c r="AB29" s="369">
        <f t="shared" ref="AB29:AB40" si="56">(Z29-AA29)/AA29</f>
        <v>2.7257890701216505</v>
      </c>
      <c r="AC29" s="420">
        <f>SUM(AC30:AC32)</f>
        <v>222812</v>
      </c>
      <c r="AD29" s="416">
        <f>SUM(AD30:AD32)</f>
        <v>148739</v>
      </c>
      <c r="AE29" s="369">
        <f t="shared" ref="AE29:AE40" si="57">(AC29-AD29)/AD29</f>
        <v>0.49800657527615488</v>
      </c>
      <c r="AF29" s="372">
        <f t="shared" ref="AF29:AF32" si="58">Z29/AC29</f>
        <v>0.2883013482218193</v>
      </c>
      <c r="AG29" s="372">
        <f t="shared" ref="AG29:AG32" si="59">AA29/AD29</f>
        <v>0.11591566435164953</v>
      </c>
      <c r="AH29" s="369">
        <f>(AF29-AG29)/AG29</f>
        <v>1.4871646971474797</v>
      </c>
    </row>
    <row r="30" spans="1:34" outlineLevel="1" x14ac:dyDescent="0.3">
      <c r="A30" s="373" t="s">
        <v>29</v>
      </c>
      <c r="B30" s="374">
        <f>SUMIFS(Search!$E:$E,Search!$A:$A,"P3",Search!$D:$D,"Brand")</f>
        <v>152715</v>
      </c>
      <c r="C30" s="374">
        <f>SUMIFS(Search!$F:$F,Search!$A:$A,"P3",Search!$D:$D,"Brand")</f>
        <v>16307</v>
      </c>
      <c r="D30" s="369">
        <f t="shared" si="40"/>
        <v>8.3649966272153069</v>
      </c>
      <c r="E30" s="374">
        <f>SUMIFS(Search!$I:$I,Search!$A:$A,"P3",Search!$D:$D,"Brand")</f>
        <v>5851.87</v>
      </c>
      <c r="F30" s="374">
        <f>SUMIFS(Search!$J:$J,Search!$A:$A,"P3",Search!$D:$D,"Brand")</f>
        <v>2724.56</v>
      </c>
      <c r="G30" s="375">
        <f t="shared" si="41"/>
        <v>1.14782203364947</v>
      </c>
      <c r="H30" s="376">
        <f t="shared" si="42"/>
        <v>26.096786155536606</v>
      </c>
      <c r="I30" s="376">
        <f t="shared" si="43"/>
        <v>5.9851865989370765</v>
      </c>
      <c r="J30" s="375">
        <f t="shared" si="44"/>
        <v>3.3602293302219177</v>
      </c>
      <c r="K30" s="417">
        <f>SUMIFS(Search!$Q:$Q,Search!$A:$A,"P3",Search!$D:$D,"Brand")</f>
        <v>71763</v>
      </c>
      <c r="L30" s="417">
        <f>SUMIFS(Search!$R:$R,Search!$A:$A,"P3",Search!$D:$D,"Brand")</f>
        <v>11822</v>
      </c>
      <c r="M30" s="375">
        <f t="shared" si="45"/>
        <v>5.0702926746743362</v>
      </c>
      <c r="N30" s="417">
        <f>SUMIFS(Search!$U:$U,Search!$A:$A,"P3",Search!$D:$D,"Brand")</f>
        <v>2210</v>
      </c>
      <c r="O30" s="417">
        <f>SUMIFS(Search!$V:$V,Search!$A:$A,"P3",Search!$D:$D,"Brand")</f>
        <v>140</v>
      </c>
      <c r="P30" s="378">
        <f t="shared" si="46"/>
        <v>14.785714285714286</v>
      </c>
      <c r="Q30" s="379">
        <f t="shared" si="47"/>
        <v>3.0795813998857349E-2</v>
      </c>
      <c r="R30" s="379">
        <f t="shared" si="48"/>
        <v>1.1842327863305701E-2</v>
      </c>
      <c r="S30" s="378">
        <f t="shared" si="49"/>
        <v>1.6004865221035114</v>
      </c>
      <c r="T30" s="374">
        <f t="shared" si="50"/>
        <v>2.6479049773755654</v>
      </c>
      <c r="U30" s="374">
        <f t="shared" si="51"/>
        <v>19.461142857142857</v>
      </c>
      <c r="V30" s="375">
        <f t="shared" si="52"/>
        <v>-0.8639388756964137</v>
      </c>
      <c r="W30" s="374">
        <f t="shared" si="53"/>
        <v>69.101809954751133</v>
      </c>
      <c r="X30" s="374">
        <f t="shared" si="54"/>
        <v>116.47857142857143</v>
      </c>
      <c r="Y30" s="378">
        <f t="shared" si="55"/>
        <v>-0.4067422951085326</v>
      </c>
      <c r="Z30" s="419">
        <f>SUMIFS(Search!$AG:$AG,Search!$A:$A,"P3",Search!$D:$D,"Brand")</f>
        <v>56959</v>
      </c>
      <c r="AA30" s="417">
        <f>SUMIFS(Search!$AH:$AH,Search!$A:$A,"P3",Search!$D:$D,"Brand")</f>
        <v>9920</v>
      </c>
      <c r="AB30" s="378">
        <f t="shared" si="56"/>
        <v>4.7418346774193552</v>
      </c>
      <c r="AC30" s="419">
        <f>SUMIFS(Search!$AK:$AK,Search!$A:$A,"P3",Search!$D:$D,"Brand")</f>
        <v>117467</v>
      </c>
      <c r="AD30" s="417">
        <f>SUMIFS(Search!$AL:$AL,Search!$A:$A,"P3",Search!$D:$D,"Brand")</f>
        <v>32240</v>
      </c>
      <c r="AE30" s="378">
        <f t="shared" si="57"/>
        <v>2.6435173697270473</v>
      </c>
      <c r="AF30" s="379">
        <f t="shared" si="58"/>
        <v>0.48489362970025623</v>
      </c>
      <c r="AG30" s="379">
        <f t="shared" si="59"/>
        <v>0.30769230769230771</v>
      </c>
      <c r="AH30" s="378">
        <f>(AF30-AG30)/AG30</f>
        <v>0.57590429652583264</v>
      </c>
    </row>
    <row r="31" spans="1:34" outlineLevel="1" x14ac:dyDescent="0.3">
      <c r="A31" s="373" t="s">
        <v>30</v>
      </c>
      <c r="B31" s="374">
        <f>SUMIFS(Search!$E:$E,Search!$A:$A,"P3",Search!$D:$D,"Non-Brand")</f>
        <v>2706</v>
      </c>
      <c r="C31" s="374">
        <f>SUMIFS(Search!$F:$F,Search!$A:$A,"P3",Search!$D:$D,"Non-Brand")</f>
        <v>1964</v>
      </c>
      <c r="D31" s="369">
        <f t="shared" si="40"/>
        <v>0.37780040733197556</v>
      </c>
      <c r="E31" s="374">
        <f>SUMIFS(Search!$I:$I,Search!$A:$A,"P3",Search!$D:$D,"Non-Brand")</f>
        <v>7723.87</v>
      </c>
      <c r="F31" s="374">
        <f>SUMIFS(Search!$J:$J,Search!$A:$A,"P3",Search!$D:$D,"Non-Brand")</f>
        <v>7313.15</v>
      </c>
      <c r="G31" s="375">
        <f t="shared" si="41"/>
        <v>5.6161845442798286E-2</v>
      </c>
      <c r="H31" s="376">
        <f t="shared" si="42"/>
        <v>0.35034250964866059</v>
      </c>
      <c r="I31" s="376">
        <f t="shared" si="43"/>
        <v>0.26855732481899047</v>
      </c>
      <c r="J31" s="375">
        <f t="shared" si="44"/>
        <v>0.30453529757489917</v>
      </c>
      <c r="K31" s="417">
        <f>SUMIFS(Search!$Q:$Q,Search!$A:$A,"P3",Search!$D:$D,"Non-Brand")</f>
        <v>8325</v>
      </c>
      <c r="L31" s="417">
        <f>SUMIFS(Search!$R:$R,Search!$A:$A,"P3",Search!$D:$D,"Non-Brand")</f>
        <v>7648</v>
      </c>
      <c r="M31" s="375">
        <f t="shared" si="45"/>
        <v>8.8519874476987448E-2</v>
      </c>
      <c r="N31" s="417">
        <f>SUMIFS(Search!$U:$U,Search!$A:$A,"P3",Search!$D:$D,"Non-Brand")</f>
        <v>38</v>
      </c>
      <c r="O31" s="417">
        <f>SUMIFS(Search!$V:$V,Search!$A:$A,"P3",Search!$D:$D,"Non-Brand")</f>
        <v>24</v>
      </c>
      <c r="P31" s="378">
        <f t="shared" si="46"/>
        <v>0.58333333333333337</v>
      </c>
      <c r="Q31" s="379">
        <f t="shared" si="47"/>
        <v>4.5645645645645645E-3</v>
      </c>
      <c r="R31" s="379">
        <f t="shared" si="48"/>
        <v>3.1380753138075313E-3</v>
      </c>
      <c r="S31" s="378">
        <f t="shared" si="49"/>
        <v>0.45457457457457456</v>
      </c>
      <c r="T31" s="374">
        <f t="shared" si="50"/>
        <v>203.25973684210527</v>
      </c>
      <c r="U31" s="374">
        <f t="shared" si="51"/>
        <v>304.71458333333334</v>
      </c>
      <c r="V31" s="375">
        <f t="shared" si="52"/>
        <v>-0.33295041340454845</v>
      </c>
      <c r="W31" s="374">
        <f t="shared" si="53"/>
        <v>71.21052631578948</v>
      </c>
      <c r="X31" s="374">
        <f t="shared" si="54"/>
        <v>81.833333333333329</v>
      </c>
      <c r="Y31" s="378">
        <f t="shared" si="55"/>
        <v>-0.129810269053489</v>
      </c>
      <c r="Z31" s="419">
        <f>SUMIFS(Search!$AG:$AG,Search!$A:$A,"P3",Search!$D:$D,"Non-Brand")</f>
        <v>7278</v>
      </c>
      <c r="AA31" s="417">
        <f>SUMIFS(Search!$AH:$AH,Search!$A:$A,"P3",Search!$D:$D,"Non-Brand")</f>
        <v>7321.18</v>
      </c>
      <c r="AB31" s="378">
        <f t="shared" si="56"/>
        <v>-5.8979563403714005E-3</v>
      </c>
      <c r="AC31" s="419">
        <f>SUMIFS(Search!$AK:$AK,Search!$A:$A,"P3",Search!$D:$D,"Non-Brand")</f>
        <v>105345</v>
      </c>
      <c r="AD31" s="417">
        <f>SUMIFS(Search!$AL:$AL,Search!$A:$A,"P3",Search!$D:$D,"Non-Brand")</f>
        <v>116499</v>
      </c>
      <c r="AE31" s="378">
        <f t="shared" si="57"/>
        <v>-9.5743311101382844E-2</v>
      </c>
      <c r="AF31" s="379">
        <f t="shared" si="58"/>
        <v>6.9087284636195359E-2</v>
      </c>
      <c r="AG31" s="379">
        <f t="shared" si="59"/>
        <v>6.2843286208465313E-2</v>
      </c>
      <c r="AH31" s="378">
        <f>(AF31-AG31)/AG31</f>
        <v>9.9358241817865789E-2</v>
      </c>
    </row>
    <row r="32" spans="1:34" outlineLevel="1" x14ac:dyDescent="0.3">
      <c r="A32" s="373" t="s">
        <v>228</v>
      </c>
      <c r="B32" s="374">
        <f>SUMIFS(Search!$E:$E,Search!$A:$A,"P3",Search!$D:$D,"Shopping Campaigns")</f>
        <v>0</v>
      </c>
      <c r="C32" s="374">
        <f>SUMIFS(Search!$F:$F,Search!$A:$A,"P3",Search!$D:$D,"Shopping Campaigns")</f>
        <v>0</v>
      </c>
      <c r="D32" s="369" t="e">
        <f t="shared" si="40"/>
        <v>#DIV/0!</v>
      </c>
      <c r="E32" s="374">
        <f>SUMIFS(Search!$I:$I,Search!$A:$A,"P3",Search!$D:$D,"Shopping Campaigns")</f>
        <v>0</v>
      </c>
      <c r="F32" s="374">
        <f>SUMIFS(Search!$J:$J,Search!$A:$A,"P3",Search!$D:$D,"Shopping Campaigns")</f>
        <v>0</v>
      </c>
      <c r="G32" s="375" t="e">
        <f t="shared" si="41"/>
        <v>#DIV/0!</v>
      </c>
      <c r="H32" s="376" t="e">
        <f t="shared" si="42"/>
        <v>#DIV/0!</v>
      </c>
      <c r="I32" s="376" t="e">
        <f t="shared" si="43"/>
        <v>#DIV/0!</v>
      </c>
      <c r="J32" s="375" t="e">
        <f t="shared" si="44"/>
        <v>#DIV/0!</v>
      </c>
      <c r="K32" s="417">
        <f>SUMIFS(Search!$Q:$Q,Search!$A:$A,"P3",Search!$D:$D,"Shopping Campaigns")</f>
        <v>0</v>
      </c>
      <c r="L32" s="417">
        <f>SUMIFS(Search!$R:$R,Search!$A:$A,"P3",Search!$D:$D,"Shopping Campaigns")</f>
        <v>0</v>
      </c>
      <c r="M32" s="375" t="e">
        <f t="shared" si="45"/>
        <v>#DIV/0!</v>
      </c>
      <c r="N32" s="417">
        <f>SUMIFS(Search!$U:$U,Search!$A:$A,"P3",Search!$D:$D,"Shopping Campaigns")</f>
        <v>0</v>
      </c>
      <c r="O32" s="417">
        <f>SUMIFS(Search!$V:$V,Search!$A:$A,"P3",Search!$D:$D,"Shopping Campaigns")</f>
        <v>0</v>
      </c>
      <c r="P32" s="378" t="e">
        <f t="shared" si="46"/>
        <v>#DIV/0!</v>
      </c>
      <c r="Q32" s="379" t="e">
        <f t="shared" si="47"/>
        <v>#DIV/0!</v>
      </c>
      <c r="R32" s="379" t="e">
        <f t="shared" si="48"/>
        <v>#DIV/0!</v>
      </c>
      <c r="S32" s="378" t="e">
        <f t="shared" si="49"/>
        <v>#DIV/0!</v>
      </c>
      <c r="T32" s="374" t="e">
        <f t="shared" si="50"/>
        <v>#DIV/0!</v>
      </c>
      <c r="U32" s="374" t="e">
        <f t="shared" si="51"/>
        <v>#DIV/0!</v>
      </c>
      <c r="V32" s="375" t="e">
        <f t="shared" si="52"/>
        <v>#DIV/0!</v>
      </c>
      <c r="W32" s="374" t="e">
        <f t="shared" si="53"/>
        <v>#DIV/0!</v>
      </c>
      <c r="X32" s="374" t="e">
        <f t="shared" si="54"/>
        <v>#DIV/0!</v>
      </c>
      <c r="Y32" s="378" t="e">
        <f t="shared" si="55"/>
        <v>#DIV/0!</v>
      </c>
      <c r="Z32" s="419">
        <f>SUMIFS(Search!$AG:$AG,Search!$A:$A,"P3",Search!$D:$D,"Shopping Campaigns")</f>
        <v>0</v>
      </c>
      <c r="AA32" s="417">
        <f>SUMIFS(Search!$AH:$AH,Search!$A:$A,"P3",Search!$D:$D,"Shopping Campaigns")</f>
        <v>0</v>
      </c>
      <c r="AB32" s="378" t="e">
        <f t="shared" si="56"/>
        <v>#DIV/0!</v>
      </c>
      <c r="AC32" s="419">
        <f>SUMIFS(Search!$AK:$AK,Search!$A:$A,"P3",Search!$D:$D,"Shopping Campaigns")</f>
        <v>0</v>
      </c>
      <c r="AD32" s="417">
        <f>SUMIFS(Search!$AL:$AL,Search!$A:$A,"P3",Search!$D:$D,"Shopping Campaigns")</f>
        <v>0</v>
      </c>
      <c r="AE32" s="378" t="e">
        <f t="shared" si="57"/>
        <v>#DIV/0!</v>
      </c>
      <c r="AF32" s="379" t="e">
        <f t="shared" si="58"/>
        <v>#DIV/0!</v>
      </c>
      <c r="AG32" s="379" t="e">
        <f t="shared" si="59"/>
        <v>#DIV/0!</v>
      </c>
      <c r="AH32" s="378" t="e">
        <f t="shared" ref="AH32:AH39" si="60">(AF32-AG32)/AG32</f>
        <v>#DIV/0!</v>
      </c>
    </row>
    <row r="33" spans="1:34" s="367" customFormat="1" ht="21" customHeight="1" x14ac:dyDescent="0.3">
      <c r="A33" s="380" t="s">
        <v>13</v>
      </c>
      <c r="B33" s="368">
        <f>SUMIFS(Affiliate!D:D,Affiliate!$A:$A,"P3")</f>
        <v>148005</v>
      </c>
      <c r="C33" s="368">
        <f>SUMIFS(Affiliate!E:E,Affiliate!$A:$A,"P3")</f>
        <v>56066</v>
      </c>
      <c r="D33" s="369">
        <f t="shared" si="40"/>
        <v>1.6398351942353655</v>
      </c>
      <c r="E33" s="368">
        <f>SUMIFS(Affiliate!H:H,Affiliate!$A:$A,"P3")</f>
        <v>12854.72</v>
      </c>
      <c r="F33" s="368">
        <f>SUMIFS(Affiliate!I:I,Affiliate!$A:$A,"P3")</f>
        <v>13837.11</v>
      </c>
      <c r="G33" s="369">
        <f t="shared" si="41"/>
        <v>-7.099676160701196E-2</v>
      </c>
      <c r="H33" s="370">
        <f t="shared" si="42"/>
        <v>11.513669687087701</v>
      </c>
      <c r="I33" s="370">
        <f t="shared" si="43"/>
        <v>4.0518576494658207</v>
      </c>
      <c r="J33" s="369">
        <f t="shared" si="44"/>
        <v>1.8415780323885793</v>
      </c>
      <c r="K33" s="416">
        <f>SUMIFS(Affiliate!$AF:$AF,Affiliate!$A:$A,"P3")</f>
        <v>16738</v>
      </c>
      <c r="L33" s="416">
        <f>SUMIFS(Affiliate!$AG:$AG,Affiliate!$A:$A,"P3")</f>
        <v>10002</v>
      </c>
      <c r="M33" s="369">
        <f t="shared" si="45"/>
        <v>0.67346530693861228</v>
      </c>
      <c r="N33" s="416">
        <f>SUMIFS(Affiliate!$AJ:$AJ,Affiliate!$A:$A,"P3")</f>
        <v>1583</v>
      </c>
      <c r="O33" s="416">
        <f>SUMIFS(Affiliate!$AK:$AK,Affiliate!$A:$A,"P3")</f>
        <v>429</v>
      </c>
      <c r="P33" s="381">
        <f t="shared" si="46"/>
        <v>2.6899766899766901</v>
      </c>
      <c r="Q33" s="382">
        <f t="shared" si="47"/>
        <v>9.4575218066674627E-2</v>
      </c>
      <c r="R33" s="382">
        <f t="shared" si="48"/>
        <v>4.2891421715656866E-2</v>
      </c>
      <c r="S33" s="381">
        <f t="shared" si="49"/>
        <v>1.2049914477922603</v>
      </c>
      <c r="T33" s="383">
        <f t="shared" si="50"/>
        <v>8.1204801010739107</v>
      </c>
      <c r="U33" s="383">
        <f t="shared" si="51"/>
        <v>32.254335664335663</v>
      </c>
      <c r="V33" s="369">
        <f t="shared" si="52"/>
        <v>-0.74823601435843845</v>
      </c>
      <c r="W33" s="383">
        <f t="shared" si="53"/>
        <v>93.49652558433354</v>
      </c>
      <c r="X33" s="383">
        <f t="shared" si="54"/>
        <v>130.6899766899767</v>
      </c>
      <c r="Y33" s="381">
        <f t="shared" si="55"/>
        <v>-0.28459298905434516</v>
      </c>
      <c r="Z33" s="443"/>
      <c r="AA33" s="384"/>
      <c r="AB33" s="381" t="e">
        <f t="shared" si="56"/>
        <v>#DIV/0!</v>
      </c>
      <c r="AC33" s="443"/>
      <c r="AD33" s="384"/>
      <c r="AE33" s="381" t="e">
        <f t="shared" si="57"/>
        <v>#DIV/0!</v>
      </c>
      <c r="AF33" s="385"/>
      <c r="AG33" s="385"/>
      <c r="AH33" s="381" t="e">
        <f t="shared" si="60"/>
        <v>#DIV/0!</v>
      </c>
    </row>
    <row r="34" spans="1:34" s="367" customFormat="1" ht="20.100000000000001" customHeight="1" x14ac:dyDescent="0.3">
      <c r="A34" s="367" t="s">
        <v>14</v>
      </c>
      <c r="B34" s="368">
        <f>SUM(B35:B36)</f>
        <v>661</v>
      </c>
      <c r="C34" s="368">
        <f>SUM(C35:C36)</f>
        <v>0</v>
      </c>
      <c r="D34" s="369" t="e">
        <f t="shared" si="40"/>
        <v>#DIV/0!</v>
      </c>
      <c r="E34" s="368">
        <f>SUM(E35:E36)</f>
        <v>24817.205000000002</v>
      </c>
      <c r="F34" s="368">
        <f>SUM(F35:F36)</f>
        <v>0</v>
      </c>
      <c r="G34" s="369" t="e">
        <f t="shared" si="41"/>
        <v>#DIV/0!</v>
      </c>
      <c r="H34" s="370">
        <f t="shared" si="42"/>
        <v>2.6634747950061256E-2</v>
      </c>
      <c r="I34" s="370" t="e">
        <f t="shared" si="43"/>
        <v>#DIV/0!</v>
      </c>
      <c r="J34" s="369" t="e">
        <f t="shared" si="44"/>
        <v>#DIV/0!</v>
      </c>
      <c r="K34" s="416">
        <f>SUM(K35:K36)</f>
        <v>11076</v>
      </c>
      <c r="L34" s="416">
        <f>SUM(L35:L36)</f>
        <v>71</v>
      </c>
      <c r="M34" s="369">
        <f t="shared" si="45"/>
        <v>155</v>
      </c>
      <c r="N34" s="416">
        <f>SUM(N35:N36)</f>
        <v>9</v>
      </c>
      <c r="O34" s="416">
        <f>SUM(O35:O36)</f>
        <v>0</v>
      </c>
      <c r="P34" s="381" t="e">
        <f t="shared" si="46"/>
        <v>#DIV/0!</v>
      </c>
      <c r="Q34" s="382">
        <f t="shared" si="47"/>
        <v>8.1256771397616469E-4</v>
      </c>
      <c r="R34" s="382">
        <f t="shared" si="48"/>
        <v>0</v>
      </c>
      <c r="S34" s="381" t="e">
        <f t="shared" si="49"/>
        <v>#DIV/0!</v>
      </c>
      <c r="T34" s="383">
        <f t="shared" si="50"/>
        <v>2757.4672222222225</v>
      </c>
      <c r="U34" s="383" t="e">
        <f t="shared" si="51"/>
        <v>#DIV/0!</v>
      </c>
      <c r="V34" s="369" t="e">
        <f t="shared" si="52"/>
        <v>#DIV/0!</v>
      </c>
      <c r="W34" s="383">
        <f t="shared" si="53"/>
        <v>73.444444444444443</v>
      </c>
      <c r="X34" s="383" t="e">
        <f t="shared" si="54"/>
        <v>#DIV/0!</v>
      </c>
      <c r="Y34" s="381" t="e">
        <f t="shared" si="55"/>
        <v>#DIV/0!</v>
      </c>
      <c r="Z34" s="420">
        <f>SUM(Z35:Z36)</f>
        <v>27077</v>
      </c>
      <c r="AA34" s="416">
        <f>SUM(AA35:AA36)</f>
        <v>0</v>
      </c>
      <c r="AB34" s="381" t="e">
        <f t="shared" si="56"/>
        <v>#DIV/0!</v>
      </c>
      <c r="AC34" s="420">
        <f>SUM(AC35:AC36)</f>
        <v>7072879</v>
      </c>
      <c r="AD34" s="416">
        <f>SUM(AD35:AD36)</f>
        <v>0</v>
      </c>
      <c r="AE34" s="381" t="e">
        <f t="shared" si="57"/>
        <v>#DIV/0!</v>
      </c>
      <c r="AF34" s="382">
        <f t="shared" ref="AF34:AF40" si="61">Z34/AC34</f>
        <v>3.8282854831816013E-3</v>
      </c>
      <c r="AG34" s="382" t="e">
        <f t="shared" ref="AG34:AG40" si="62">AA34/AD34</f>
        <v>#DIV/0!</v>
      </c>
      <c r="AH34" s="381" t="e">
        <f t="shared" si="60"/>
        <v>#DIV/0!</v>
      </c>
    </row>
    <row r="35" spans="1:34" outlineLevel="1" x14ac:dyDescent="0.3">
      <c r="A35" s="373" t="s">
        <v>285</v>
      </c>
      <c r="B35" s="374">
        <f>SUMIFS('Social - Promos'!$E:$E,'Social - Promos'!$A:$A,"p3")</f>
        <v>661</v>
      </c>
      <c r="C35" s="374">
        <f>SUMIFS('Social - Promos'!$F:$F,'Social - Promos'!$A:$A,"p3")</f>
        <v>0</v>
      </c>
      <c r="D35" s="369" t="e">
        <f t="shared" si="40"/>
        <v>#DIV/0!</v>
      </c>
      <c r="E35" s="374">
        <f>SUMIFS('Social - Promos'!$K:$K,'Social - Promos'!$A:$A,"p3")</f>
        <v>24817.205000000002</v>
      </c>
      <c r="F35" s="374">
        <f>SUMIFS('Social - Promos'!$L:$L,'Social - Promos'!$A:$A,"p3")</f>
        <v>0</v>
      </c>
      <c r="G35" s="375" t="e">
        <f t="shared" si="41"/>
        <v>#DIV/0!</v>
      </c>
      <c r="H35" s="386">
        <f t="shared" si="42"/>
        <v>2.6634747950061256E-2</v>
      </c>
      <c r="I35" s="386" t="e">
        <f t="shared" si="43"/>
        <v>#DIV/0!</v>
      </c>
      <c r="J35" s="375" t="e">
        <f t="shared" si="44"/>
        <v>#DIV/0!</v>
      </c>
      <c r="K35" s="417">
        <f>SUMIFS('Social - Promos'!$T:$T,'Social - Promos'!$A:$A,"p3")</f>
        <v>11076</v>
      </c>
      <c r="L35" s="417">
        <f>SUMIFS('Social - Promos'!$U:$U,'Social - Promos'!$A:$A,"p3")</f>
        <v>71</v>
      </c>
      <c r="M35" s="375">
        <f t="shared" si="45"/>
        <v>155</v>
      </c>
      <c r="N35" s="417">
        <f>SUMIFS('Social - Promos'!$W:$W,'Social - Promos'!$A:$A,"p3")</f>
        <v>9</v>
      </c>
      <c r="O35" s="417">
        <f>SUMIFS('Social - Promos'!$X:$X,'Social - Promos'!$A:$A,"p3")</f>
        <v>0</v>
      </c>
      <c r="P35" s="378" t="e">
        <f t="shared" si="46"/>
        <v>#DIV/0!</v>
      </c>
      <c r="Q35" s="379">
        <f t="shared" si="47"/>
        <v>8.1256771397616469E-4</v>
      </c>
      <c r="R35" s="379">
        <f t="shared" si="48"/>
        <v>0</v>
      </c>
      <c r="S35" s="378" t="e">
        <f t="shared" si="49"/>
        <v>#DIV/0!</v>
      </c>
      <c r="T35" s="374">
        <f t="shared" si="50"/>
        <v>2757.4672222222225</v>
      </c>
      <c r="U35" s="374" t="e">
        <f t="shared" si="51"/>
        <v>#DIV/0!</v>
      </c>
      <c r="V35" s="375" t="e">
        <f t="shared" si="52"/>
        <v>#DIV/0!</v>
      </c>
      <c r="W35" s="374">
        <f t="shared" si="53"/>
        <v>73.444444444444443</v>
      </c>
      <c r="X35" s="374" t="e">
        <f t="shared" si="54"/>
        <v>#DIV/0!</v>
      </c>
      <c r="Y35" s="378" t="e">
        <f t="shared" si="55"/>
        <v>#DIV/0!</v>
      </c>
      <c r="Z35" s="419">
        <f>SUMIFS('Social - Promos'!$AF:$AF,'Social - Promos'!$A:$A,"p3")</f>
        <v>27077</v>
      </c>
      <c r="AA35" s="417">
        <f>SUMIFS('Social - Promos'!$AG:$AG,'Social - Promos'!$A:$A,"p3")</f>
        <v>0</v>
      </c>
      <c r="AB35" s="378" t="e">
        <f t="shared" si="56"/>
        <v>#DIV/0!</v>
      </c>
      <c r="AC35" s="419">
        <f>SUMIFS('Social - Promos'!$AI:$AI,'Social - Promos'!$A:$A,"p3")</f>
        <v>7072879</v>
      </c>
      <c r="AD35" s="417">
        <f>SUMIFS('Social - Promos'!$AJ:$AJ,'Social - Promos'!$A:$A,"p3")</f>
        <v>0</v>
      </c>
      <c r="AE35" s="378" t="e">
        <f t="shared" si="57"/>
        <v>#DIV/0!</v>
      </c>
      <c r="AF35" s="379">
        <f t="shared" si="61"/>
        <v>3.8282854831816013E-3</v>
      </c>
      <c r="AG35" s="379" t="e">
        <f t="shared" si="62"/>
        <v>#DIV/0!</v>
      </c>
      <c r="AH35" s="378" t="e">
        <f t="shared" si="60"/>
        <v>#DIV/0!</v>
      </c>
    </row>
    <row r="36" spans="1:34" outlineLevel="1" x14ac:dyDescent="0.3">
      <c r="A36" s="373" t="s">
        <v>286</v>
      </c>
      <c r="B36" s="374">
        <f>SUMIFS('Social - Remarketing'!$D:$D,'Social - Remarketing'!$A:$A,"P3")</f>
        <v>0</v>
      </c>
      <c r="C36" s="374">
        <f>SUMIFS('Social - Remarketing'!$E:$E,'Social - Remarketing'!$A:$A,"P3")</f>
        <v>0</v>
      </c>
      <c r="D36" s="369" t="e">
        <f t="shared" si="40"/>
        <v>#DIV/0!</v>
      </c>
      <c r="E36" s="374">
        <f>SUMIFS('Social - Remarketing'!$H:$H,'Social - Remarketing'!$A:$A,"P3")</f>
        <v>0</v>
      </c>
      <c r="F36" s="374">
        <f>SUMIFS('Social - Remarketing'!$I:$I,'Social - Remarketing'!$A:$A,"P3")</f>
        <v>0</v>
      </c>
      <c r="G36" s="369" t="e">
        <f t="shared" si="41"/>
        <v>#DIV/0!</v>
      </c>
      <c r="H36" s="386" t="e">
        <f t="shared" si="42"/>
        <v>#DIV/0!</v>
      </c>
      <c r="I36" s="386" t="e">
        <f t="shared" si="43"/>
        <v>#DIV/0!</v>
      </c>
      <c r="J36" s="369" t="e">
        <f t="shared" si="44"/>
        <v>#DIV/0!</v>
      </c>
      <c r="K36" s="417">
        <f>SUMIFS('Social - Remarketing'!$X:$X,'Social - Remarketing'!$A:$A,"P3")</f>
        <v>0</v>
      </c>
      <c r="L36" s="417">
        <f>SUMIFS('Social - Remarketing'!$Y:$Y,'Social - Remarketing'!$A:$A,"P3")</f>
        <v>0</v>
      </c>
      <c r="M36" s="375" t="e">
        <f t="shared" si="45"/>
        <v>#DIV/0!</v>
      </c>
      <c r="N36" s="417">
        <f>SUMIFS('Social - Remarketing'!$AB:$AB,'Social - Remarketing'!$A:$A,"P3")</f>
        <v>0</v>
      </c>
      <c r="O36" s="417">
        <f>SUMIFS('Social - Remarketing'!$AC:$AC,'Social - Remarketing'!$A:$A,"P3")</f>
        <v>0</v>
      </c>
      <c r="P36" s="378" t="e">
        <f t="shared" si="46"/>
        <v>#DIV/0!</v>
      </c>
      <c r="Q36" s="379" t="e">
        <f t="shared" si="47"/>
        <v>#DIV/0!</v>
      </c>
      <c r="R36" s="379" t="e">
        <f t="shared" si="48"/>
        <v>#DIV/0!</v>
      </c>
      <c r="S36" s="378" t="e">
        <f t="shared" si="49"/>
        <v>#DIV/0!</v>
      </c>
      <c r="T36" s="374" t="e">
        <f t="shared" si="50"/>
        <v>#DIV/0!</v>
      </c>
      <c r="U36" s="374" t="e">
        <f t="shared" si="51"/>
        <v>#DIV/0!</v>
      </c>
      <c r="V36" s="375" t="e">
        <f t="shared" si="52"/>
        <v>#DIV/0!</v>
      </c>
      <c r="W36" s="374" t="e">
        <f t="shared" si="53"/>
        <v>#DIV/0!</v>
      </c>
      <c r="X36" s="374" t="e">
        <f t="shared" si="54"/>
        <v>#DIV/0!</v>
      </c>
      <c r="Y36" s="378" t="e">
        <f t="shared" si="55"/>
        <v>#DIV/0!</v>
      </c>
      <c r="Z36" s="419">
        <f>SUMIFS('Social - Remarketing'!$AN:$AN,'Social - Remarketing'!$A:$A,"P3")</f>
        <v>0</v>
      </c>
      <c r="AA36" s="417">
        <f>SUMIFS('Social - Remarketing'!$AO:$AO,'Social - Remarketing'!$A:$A,"P3")</f>
        <v>0</v>
      </c>
      <c r="AB36" s="378" t="e">
        <f t="shared" si="56"/>
        <v>#DIV/0!</v>
      </c>
      <c r="AC36" s="419">
        <f>SUMIFS('Social - Remarketing'!$AR:$AR,'Social - Remarketing'!$A:$A,"P3")</f>
        <v>0</v>
      </c>
      <c r="AD36" s="417">
        <f>SUMIFS('Social - Remarketing'!$AS:$AS,'Social - Remarketing'!$A:$A,"P3")</f>
        <v>0</v>
      </c>
      <c r="AE36" s="378" t="e">
        <f t="shared" si="57"/>
        <v>#DIV/0!</v>
      </c>
      <c r="AF36" s="379" t="e">
        <f t="shared" si="61"/>
        <v>#DIV/0!</v>
      </c>
      <c r="AG36" s="379" t="e">
        <f t="shared" si="62"/>
        <v>#DIV/0!</v>
      </c>
      <c r="AH36" s="378" t="e">
        <f t="shared" si="60"/>
        <v>#DIV/0!</v>
      </c>
    </row>
    <row r="37" spans="1:34" s="367" customFormat="1" ht="21" customHeight="1" x14ac:dyDescent="0.3">
      <c r="A37" s="367" t="s">
        <v>15</v>
      </c>
      <c r="B37" s="368">
        <f>SUM(B38:B39)</f>
        <v>0</v>
      </c>
      <c r="C37" s="368">
        <f>SUM(C38:C39)</f>
        <v>0</v>
      </c>
      <c r="D37" s="369" t="e">
        <f t="shared" si="40"/>
        <v>#DIV/0!</v>
      </c>
      <c r="E37" s="368">
        <f>SUM(E38:E39)</f>
        <v>0</v>
      </c>
      <c r="F37" s="368">
        <f>SUM(F38:F39)</f>
        <v>0</v>
      </c>
      <c r="G37" s="369" t="e">
        <f t="shared" si="41"/>
        <v>#DIV/0!</v>
      </c>
      <c r="H37" s="370" t="e">
        <f t="shared" si="42"/>
        <v>#DIV/0!</v>
      </c>
      <c r="I37" s="370" t="e">
        <f t="shared" si="43"/>
        <v>#DIV/0!</v>
      </c>
      <c r="J37" s="369" t="e">
        <f t="shared" si="44"/>
        <v>#DIV/0!</v>
      </c>
      <c r="K37" s="416">
        <f>SUM(K38:K39)</f>
        <v>0</v>
      </c>
      <c r="L37" s="416">
        <f>SUM(L38:L39)</f>
        <v>3</v>
      </c>
      <c r="M37" s="369">
        <f t="shared" si="45"/>
        <v>-1</v>
      </c>
      <c r="N37" s="416">
        <f>SUM(N38:N39)</f>
        <v>0</v>
      </c>
      <c r="O37" s="416">
        <f>SUM(O38:O39)</f>
        <v>0</v>
      </c>
      <c r="P37" s="381" t="e">
        <f t="shared" si="46"/>
        <v>#DIV/0!</v>
      </c>
      <c r="Q37" s="382" t="e">
        <f t="shared" si="47"/>
        <v>#DIV/0!</v>
      </c>
      <c r="R37" s="382">
        <f t="shared" si="48"/>
        <v>0</v>
      </c>
      <c r="S37" s="381" t="e">
        <f t="shared" si="49"/>
        <v>#DIV/0!</v>
      </c>
      <c r="T37" s="383" t="e">
        <f t="shared" si="50"/>
        <v>#DIV/0!</v>
      </c>
      <c r="U37" s="383" t="e">
        <f t="shared" si="51"/>
        <v>#DIV/0!</v>
      </c>
      <c r="V37" s="369" t="e">
        <f t="shared" si="52"/>
        <v>#DIV/0!</v>
      </c>
      <c r="W37" s="383" t="e">
        <f t="shared" si="53"/>
        <v>#DIV/0!</v>
      </c>
      <c r="X37" s="383" t="e">
        <f t="shared" si="54"/>
        <v>#DIV/0!</v>
      </c>
      <c r="Y37" s="381" t="e">
        <f t="shared" si="55"/>
        <v>#DIV/0!</v>
      </c>
      <c r="Z37" s="420">
        <f>SUM(Z38:Z39)</f>
        <v>0</v>
      </c>
      <c r="AA37" s="371">
        <f>SUM(AA38:AA39)</f>
        <v>0</v>
      </c>
      <c r="AB37" s="381" t="e">
        <f t="shared" si="56"/>
        <v>#DIV/0!</v>
      </c>
      <c r="AC37" s="420">
        <f>SUM(AC38:AC39)</f>
        <v>0</v>
      </c>
      <c r="AD37" s="371">
        <f>SUM(AD38:AD39)</f>
        <v>0</v>
      </c>
      <c r="AE37" s="381" t="e">
        <f t="shared" si="57"/>
        <v>#DIV/0!</v>
      </c>
      <c r="AF37" s="382" t="e">
        <f t="shared" si="61"/>
        <v>#DIV/0!</v>
      </c>
      <c r="AG37" s="382" t="e">
        <f t="shared" si="62"/>
        <v>#DIV/0!</v>
      </c>
      <c r="AH37" s="381" t="e">
        <f t="shared" si="60"/>
        <v>#DIV/0!</v>
      </c>
    </row>
    <row r="38" spans="1:34" outlineLevel="1" x14ac:dyDescent="0.3">
      <c r="A38" s="373" t="s">
        <v>285</v>
      </c>
      <c r="B38" s="374">
        <f>SUMIFS('Display - Promos'!$E:$E,'Display - Promos'!$A:$A,"P3")</f>
        <v>0</v>
      </c>
      <c r="C38" s="374">
        <f>SUMIFS('Display - Promos'!$F:$F,'Display - Promos'!$A:$A,"P3")</f>
        <v>0</v>
      </c>
      <c r="D38" s="375" t="e">
        <f t="shared" si="40"/>
        <v>#DIV/0!</v>
      </c>
      <c r="E38" s="374">
        <f>SUMIFS('Display - Promos'!$H:$H,'Display - Promos'!$A:$A,"p3")</f>
        <v>0</v>
      </c>
      <c r="F38" s="374">
        <f>SUMIFS('Display - Promos'!$I:$I,'Display - Promos'!$A:$A,"p3")</f>
        <v>0</v>
      </c>
      <c r="G38" s="375" t="e">
        <f t="shared" si="41"/>
        <v>#DIV/0!</v>
      </c>
      <c r="H38" s="386" t="e">
        <f t="shared" si="42"/>
        <v>#DIV/0!</v>
      </c>
      <c r="I38" s="386" t="e">
        <f t="shared" si="43"/>
        <v>#DIV/0!</v>
      </c>
      <c r="J38" s="369" t="e">
        <f t="shared" si="44"/>
        <v>#DIV/0!</v>
      </c>
      <c r="K38" s="417">
        <f>SUMIFS('Display - Promos'!$N:$N,'Display - Promos'!$A:$A,"p3")</f>
        <v>0</v>
      </c>
      <c r="L38" s="417">
        <f>SUMIFS('Display - Promos'!$O:$O,'Display - Promos'!$A:$A,"p3")</f>
        <v>3</v>
      </c>
      <c r="M38" s="375">
        <f t="shared" si="45"/>
        <v>-1</v>
      </c>
      <c r="N38" s="417">
        <f>SUMIFS('Display - Promos'!$Q:$Q,'Display - Promos'!$A:$A,"p3")</f>
        <v>0</v>
      </c>
      <c r="O38" s="417">
        <f>SUMIFS('Display - Promos'!$R:$R,'Display - Promos'!$A:$A,"p3")</f>
        <v>0</v>
      </c>
      <c r="P38" s="378" t="e">
        <f t="shared" si="46"/>
        <v>#DIV/0!</v>
      </c>
      <c r="Q38" s="379" t="e">
        <f t="shared" si="47"/>
        <v>#DIV/0!</v>
      </c>
      <c r="R38" s="379">
        <f t="shared" si="48"/>
        <v>0</v>
      </c>
      <c r="S38" s="378" t="e">
        <f t="shared" si="49"/>
        <v>#DIV/0!</v>
      </c>
      <c r="T38" s="374" t="e">
        <f t="shared" si="50"/>
        <v>#DIV/0!</v>
      </c>
      <c r="U38" s="374" t="e">
        <f t="shared" si="51"/>
        <v>#DIV/0!</v>
      </c>
      <c r="V38" s="375" t="e">
        <f t="shared" si="52"/>
        <v>#DIV/0!</v>
      </c>
      <c r="W38" s="374" t="e">
        <f t="shared" si="53"/>
        <v>#DIV/0!</v>
      </c>
      <c r="X38" s="374" t="e">
        <f t="shared" si="54"/>
        <v>#DIV/0!</v>
      </c>
      <c r="Y38" s="378" t="e">
        <f t="shared" si="55"/>
        <v>#DIV/0!</v>
      </c>
      <c r="Z38" s="419">
        <f>SUMIFS('Display - Promos'!$W:$W,'Display - Promos'!$A:$A,"p3")</f>
        <v>0</v>
      </c>
      <c r="AA38" s="417">
        <f>SUMIFS('Display - Promos'!$X:$X,'Display - Promos'!$A:$A,"p3")</f>
        <v>0</v>
      </c>
      <c r="AB38" s="378" t="e">
        <f t="shared" si="56"/>
        <v>#DIV/0!</v>
      </c>
      <c r="AC38" s="419">
        <f>SUMIFS('Display - Promos'!$Z:$Z,'Display - Promos'!$A:$A,"p3")</f>
        <v>0</v>
      </c>
      <c r="AD38" s="417">
        <f>SUMIFS('Display - Promos'!$AA:$AA,'Display - Promos'!$A:$A,"p3")</f>
        <v>0</v>
      </c>
      <c r="AE38" s="378" t="e">
        <f t="shared" si="57"/>
        <v>#DIV/0!</v>
      </c>
      <c r="AF38" s="379" t="e">
        <f t="shared" si="61"/>
        <v>#DIV/0!</v>
      </c>
      <c r="AG38" s="379" t="e">
        <f t="shared" si="62"/>
        <v>#DIV/0!</v>
      </c>
      <c r="AH38" s="378" t="e">
        <f t="shared" si="60"/>
        <v>#DIV/0!</v>
      </c>
    </row>
    <row r="39" spans="1:34" ht="19.5" outlineLevel="1" thickBot="1" x14ac:dyDescent="0.35">
      <c r="A39" s="373" t="s">
        <v>286</v>
      </c>
      <c r="B39" s="374">
        <f>SUMIFS('Display - Remarketing'!$D:$D,'Display - Remarketing'!$A:$A,"P3")</f>
        <v>0</v>
      </c>
      <c r="C39" s="374">
        <f>SUMIFS('Display - Remarketing'!$E:$E,'Display - Remarketing'!$A:$A,"P3")</f>
        <v>0</v>
      </c>
      <c r="D39" s="369" t="e">
        <f t="shared" si="40"/>
        <v>#DIV/0!</v>
      </c>
      <c r="E39" s="374">
        <f>SUMIFS('Display - Remarketing'!$H:$H,'Display - Remarketing'!$A:$A,"P3")</f>
        <v>0</v>
      </c>
      <c r="F39" s="374">
        <f>SUMIFS('Display - Remarketing'!$I:$I,'Display - Remarketing'!$A:$A,"P3")</f>
        <v>0</v>
      </c>
      <c r="G39" s="369" t="e">
        <f t="shared" si="41"/>
        <v>#DIV/0!</v>
      </c>
      <c r="H39" s="386" t="e">
        <f t="shared" si="42"/>
        <v>#DIV/0!</v>
      </c>
      <c r="I39" s="386" t="e">
        <f t="shared" si="43"/>
        <v>#DIV/0!</v>
      </c>
      <c r="J39" s="369" t="e">
        <f t="shared" si="44"/>
        <v>#DIV/0!</v>
      </c>
      <c r="K39" s="417">
        <f>SUMIFS('Display - Remarketing'!$P:$P,'Display - Remarketing'!$A:$A,"P3")</f>
        <v>0</v>
      </c>
      <c r="L39" s="417">
        <f>SUMIFS('Display - Remarketing'!$Q:$Q,'Display - Remarketing'!$A:$A,"P3")</f>
        <v>0</v>
      </c>
      <c r="M39" s="375" t="e">
        <f t="shared" si="45"/>
        <v>#DIV/0!</v>
      </c>
      <c r="N39" s="417">
        <f>SUMIFS('Display - Remarketing'!$T:$T,'Display - Remarketing'!$A:$A,"P3")</f>
        <v>0</v>
      </c>
      <c r="O39" s="417">
        <f>SUMIFS('Display - Remarketing'!$U:$U,'Display - Remarketing'!$A:$A,"P3")</f>
        <v>0</v>
      </c>
      <c r="P39" s="378" t="e">
        <f t="shared" si="46"/>
        <v>#DIV/0!</v>
      </c>
      <c r="Q39" s="379" t="e">
        <f t="shared" si="47"/>
        <v>#DIV/0!</v>
      </c>
      <c r="R39" s="379" t="e">
        <f t="shared" si="48"/>
        <v>#DIV/0!</v>
      </c>
      <c r="S39" s="378" t="e">
        <f t="shared" si="49"/>
        <v>#DIV/0!</v>
      </c>
      <c r="T39" s="374" t="e">
        <f t="shared" si="50"/>
        <v>#DIV/0!</v>
      </c>
      <c r="U39" s="374" t="e">
        <f t="shared" si="51"/>
        <v>#DIV/0!</v>
      </c>
      <c r="V39" s="375" t="e">
        <f t="shared" si="52"/>
        <v>#DIV/0!</v>
      </c>
      <c r="W39" s="374" t="e">
        <f t="shared" si="53"/>
        <v>#DIV/0!</v>
      </c>
      <c r="X39" s="374" t="e">
        <f t="shared" si="54"/>
        <v>#DIV/0!</v>
      </c>
      <c r="Y39" s="378" t="e">
        <f t="shared" si="55"/>
        <v>#DIV/0!</v>
      </c>
      <c r="Z39" s="419">
        <f>SUMIFS('Display - Remarketing'!$AB:$AB,'Display - Remarketing'!$A:$A,"p3")</f>
        <v>0</v>
      </c>
      <c r="AA39" s="417">
        <f>SUMIFS('Display - Remarketing'!$AC:$AC,'Display - Remarketing'!$A:$A,"P3")</f>
        <v>0</v>
      </c>
      <c r="AB39" s="378" t="e">
        <f t="shared" si="56"/>
        <v>#DIV/0!</v>
      </c>
      <c r="AC39" s="419">
        <f>SUMIFS('Display - Remarketing'!$AF:$AF,'Display - Remarketing'!$A:$A,"P3")</f>
        <v>0</v>
      </c>
      <c r="AD39" s="417">
        <f>SUMIFS('Display - Remarketing'!$AG:$AG,'Display - Remarketing'!$A:$A,"P3")</f>
        <v>0</v>
      </c>
      <c r="AE39" s="378" t="e">
        <f t="shared" si="57"/>
        <v>#DIV/0!</v>
      </c>
      <c r="AF39" s="379" t="e">
        <f t="shared" si="61"/>
        <v>#DIV/0!</v>
      </c>
      <c r="AG39" s="379" t="e">
        <f t="shared" si="62"/>
        <v>#DIV/0!</v>
      </c>
      <c r="AH39" s="378" t="e">
        <f t="shared" si="60"/>
        <v>#DIV/0!</v>
      </c>
    </row>
    <row r="40" spans="1:34" s="395" customFormat="1" ht="22.5" thickTop="1" thickBot="1" x14ac:dyDescent="0.4">
      <c r="A40" s="387" t="s">
        <v>16</v>
      </c>
      <c r="B40" s="388">
        <f>B29+B33+B34+B37</f>
        <v>304087</v>
      </c>
      <c r="C40" s="388">
        <f>C29+C33+C34+C37</f>
        <v>74337</v>
      </c>
      <c r="D40" s="389">
        <f t="shared" si="40"/>
        <v>3.0906547210675708</v>
      </c>
      <c r="E40" s="388">
        <f>E29+E33+E34+E37</f>
        <v>51247.665000000001</v>
      </c>
      <c r="F40" s="388">
        <f>F29+F33+F34+F37</f>
        <v>23874.82</v>
      </c>
      <c r="G40" s="390">
        <f t="shared" si="41"/>
        <v>1.1465152407431765</v>
      </c>
      <c r="H40" s="391">
        <f t="shared" si="42"/>
        <v>5.9336752220808497</v>
      </c>
      <c r="I40" s="391">
        <f t="shared" si="43"/>
        <v>3.1136150974122527</v>
      </c>
      <c r="J40" s="390">
        <f t="shared" si="44"/>
        <v>0.90571892685527144</v>
      </c>
      <c r="K40" s="392">
        <f>K29+K33+K34+K37</f>
        <v>107902</v>
      </c>
      <c r="L40" s="392">
        <f>L29+L33+L34+L37</f>
        <v>29546</v>
      </c>
      <c r="M40" s="390">
        <f t="shared" si="45"/>
        <v>2.6520002707642321</v>
      </c>
      <c r="N40" s="392">
        <f>N29+N33+N34+N37</f>
        <v>3840</v>
      </c>
      <c r="O40" s="392">
        <f>O29+O33+O34+O37</f>
        <v>593</v>
      </c>
      <c r="P40" s="389">
        <f t="shared" si="46"/>
        <v>5.4755480607082632</v>
      </c>
      <c r="Q40" s="393">
        <f t="shared" si="47"/>
        <v>3.558784823265556E-2</v>
      </c>
      <c r="R40" s="393">
        <f t="shared" si="48"/>
        <v>2.0070398700331685E-2</v>
      </c>
      <c r="S40" s="389">
        <f t="shared" si="49"/>
        <v>0.77315103521423478</v>
      </c>
      <c r="T40" s="388">
        <f t="shared" si="50"/>
        <v>13.34574609375</v>
      </c>
      <c r="U40" s="388">
        <f t="shared" si="51"/>
        <v>40.26107925801012</v>
      </c>
      <c r="V40" s="390">
        <f t="shared" si="52"/>
        <v>-0.66851991204148342</v>
      </c>
      <c r="W40" s="388">
        <f t="shared" si="53"/>
        <v>79.189322916666669</v>
      </c>
      <c r="X40" s="388">
        <f t="shared" si="54"/>
        <v>125.35750421585161</v>
      </c>
      <c r="Y40" s="389">
        <f t="shared" si="55"/>
        <v>-0.36829212250180482</v>
      </c>
      <c r="Z40" s="444">
        <f>Z29+Z33+Z34+Z37</f>
        <v>91314</v>
      </c>
      <c r="AA40" s="394">
        <f>AA29+AA33+AA34+AA37</f>
        <v>17241.18</v>
      </c>
      <c r="AB40" s="389">
        <f t="shared" si="56"/>
        <v>4.2962732249184805</v>
      </c>
      <c r="AC40" s="444">
        <f>AC29+AC33+AC34+AC37</f>
        <v>7295691</v>
      </c>
      <c r="AD40" s="392">
        <f>AD29+AD33+AD34+AD37</f>
        <v>148739</v>
      </c>
      <c r="AE40" s="389">
        <f t="shared" si="57"/>
        <v>48.050289433168167</v>
      </c>
      <c r="AF40" s="393">
        <f t="shared" si="61"/>
        <v>1.251615508387074E-2</v>
      </c>
      <c r="AG40" s="393">
        <f t="shared" si="62"/>
        <v>0.11591566435164953</v>
      </c>
      <c r="AH40" s="389">
        <f>(AF40-AG40)/AG40</f>
        <v>-0.89202360911376999</v>
      </c>
    </row>
    <row r="41" spans="1:34" x14ac:dyDescent="0.3">
      <c r="A41" s="359" t="s">
        <v>43</v>
      </c>
      <c r="B41" s="360" t="s">
        <v>1</v>
      </c>
      <c r="C41" s="360" t="s">
        <v>117</v>
      </c>
      <c r="D41" s="361" t="s">
        <v>24</v>
      </c>
      <c r="E41" s="360" t="s">
        <v>2</v>
      </c>
      <c r="F41" s="360" t="s">
        <v>99</v>
      </c>
      <c r="G41" s="361" t="s">
        <v>24</v>
      </c>
      <c r="H41" s="362" t="s">
        <v>3</v>
      </c>
      <c r="I41" s="362" t="s">
        <v>100</v>
      </c>
      <c r="J41" s="361" t="s">
        <v>24</v>
      </c>
      <c r="K41" s="362" t="s">
        <v>4</v>
      </c>
      <c r="L41" s="363" t="s">
        <v>101</v>
      </c>
      <c r="M41" s="361" t="s">
        <v>24</v>
      </c>
      <c r="N41" s="363" t="s">
        <v>5</v>
      </c>
      <c r="O41" s="363" t="s">
        <v>102</v>
      </c>
      <c r="P41" s="361" t="s">
        <v>24</v>
      </c>
      <c r="Q41" s="363" t="s">
        <v>109</v>
      </c>
      <c r="R41" s="363" t="s">
        <v>110</v>
      </c>
      <c r="S41" s="361" t="s">
        <v>24</v>
      </c>
      <c r="T41" s="364" t="s">
        <v>149</v>
      </c>
      <c r="U41" s="364" t="s">
        <v>150</v>
      </c>
      <c r="V41" s="361" t="s">
        <v>24</v>
      </c>
      <c r="W41" s="364" t="s">
        <v>6</v>
      </c>
      <c r="X41" s="364" t="s">
        <v>103</v>
      </c>
      <c r="Y41" s="361" t="s">
        <v>24</v>
      </c>
      <c r="Z41" s="446" t="s">
        <v>7</v>
      </c>
      <c r="AA41" s="363" t="s">
        <v>104</v>
      </c>
      <c r="AB41" s="361" t="s">
        <v>24</v>
      </c>
      <c r="AC41" s="442" t="s">
        <v>25</v>
      </c>
      <c r="AD41" s="365" t="s">
        <v>105</v>
      </c>
      <c r="AE41" s="361" t="s">
        <v>24</v>
      </c>
      <c r="AF41" s="366" t="s">
        <v>9</v>
      </c>
      <c r="AG41" s="366" t="s">
        <v>106</v>
      </c>
      <c r="AH41" s="361" t="s">
        <v>24</v>
      </c>
    </row>
    <row r="42" spans="1:34" s="367" customFormat="1" ht="20.100000000000001" customHeight="1" x14ac:dyDescent="0.3">
      <c r="A42" s="367" t="s">
        <v>10</v>
      </c>
      <c r="B42" s="368">
        <f>SUM(B43:B45)</f>
        <v>83820</v>
      </c>
      <c r="C42" s="368">
        <f>SUM(C43:C45)</f>
        <v>13118</v>
      </c>
      <c r="D42" s="369">
        <f t="shared" ref="D42:D53" si="63">(B42-C42)/C42</f>
        <v>5.3896935508461654</v>
      </c>
      <c r="E42" s="368">
        <f>SUM(E43:E45)</f>
        <v>4762.7199999999993</v>
      </c>
      <c r="F42" s="368">
        <f>SUM(F43:F45)</f>
        <v>12326.06</v>
      </c>
      <c r="G42" s="369">
        <f t="shared" ref="G42:G53" si="64">(E42-F42)/F42</f>
        <v>-0.61360564527513262</v>
      </c>
      <c r="H42" s="370">
        <f t="shared" ref="H42:H53" si="65">B42/E42</f>
        <v>17.599187019182317</v>
      </c>
      <c r="I42" s="370">
        <f t="shared" ref="I42:I53" si="66">C42/F42</f>
        <v>1.0642492410389046</v>
      </c>
      <c r="J42" s="369">
        <f t="shared" ref="J42:J53" si="67">(H42-I42)/I42</f>
        <v>15.536715593052476</v>
      </c>
      <c r="K42" s="416">
        <f>SUM(K43:K45)</f>
        <v>34282</v>
      </c>
      <c r="L42" s="416">
        <f>SUM(L43:L45)</f>
        <v>24364</v>
      </c>
      <c r="M42" s="369">
        <f t="shared" ref="M42:M53" si="68">(K42-L42)/L42</f>
        <v>0.40707601379083896</v>
      </c>
      <c r="N42" s="416">
        <f>SUM(N43:N45)</f>
        <v>1102</v>
      </c>
      <c r="O42" s="416">
        <f>SUM(O43:O45)</f>
        <v>143</v>
      </c>
      <c r="P42" s="369">
        <f t="shared" ref="P42:P53" si="69">(N42-O42)/O42</f>
        <v>6.7062937062937067</v>
      </c>
      <c r="Q42" s="372">
        <f t="shared" ref="Q42:Q53" si="70">N42/K42</f>
        <v>3.2145149057814598E-2</v>
      </c>
      <c r="R42" s="372">
        <f t="shared" ref="R42:R53" si="71">O42/L42</f>
        <v>5.8693153833524869E-3</v>
      </c>
      <c r="S42" s="369">
        <f t="shared" ref="S42:S53" si="72">(Q42-R42)/R42</f>
        <v>4.4768140674447192</v>
      </c>
      <c r="T42" s="368">
        <f t="shared" ref="T42:T53" si="73">E42/N42</f>
        <v>4.3218874773139744</v>
      </c>
      <c r="U42" s="368">
        <f t="shared" ref="U42:U53" si="74">F42/O42</f>
        <v>86.196223776223775</v>
      </c>
      <c r="V42" s="369">
        <f t="shared" ref="V42:V53" si="75">(T42-U42)/U42</f>
        <v>-0.94985989770811607</v>
      </c>
      <c r="W42" s="368">
        <f t="shared" ref="W42:W53" si="76">B42/N42</f>
        <v>76.061705989110706</v>
      </c>
      <c r="X42" s="368">
        <f t="shared" ref="X42:X53" si="77">C42/O42</f>
        <v>91.734265734265733</v>
      </c>
      <c r="Y42" s="369">
        <f t="shared" ref="Y42:Y53" si="78">(W42-X42)/X42</f>
        <v>-0.17084738859255746</v>
      </c>
      <c r="Z42" s="420">
        <f>SUM(Z43:Z45)</f>
        <v>24149</v>
      </c>
      <c r="AA42" s="416">
        <f>SUM(AA43:AA45)</f>
        <v>21282</v>
      </c>
      <c r="AB42" s="369">
        <f t="shared" ref="AB42:AB53" si="79">(Z42-AA42)/AA42</f>
        <v>0.13471478244525889</v>
      </c>
      <c r="AC42" s="420">
        <f>SUM(AC43:AC45)</f>
        <v>85925</v>
      </c>
      <c r="AD42" s="416">
        <f>SUM(AD43:AD45)</f>
        <v>167510</v>
      </c>
      <c r="AE42" s="369">
        <f t="shared" ref="AE42:AE53" si="80">(AC42-AD42)/AD42</f>
        <v>-0.48704554951943169</v>
      </c>
      <c r="AF42" s="372">
        <f t="shared" ref="AF42:AF45" si="81">Z42/AC42</f>
        <v>0.28104742508001163</v>
      </c>
      <c r="AG42" s="372">
        <f t="shared" ref="AG42:AG45" si="82">AA42/AD42</f>
        <v>0.1270491313951406</v>
      </c>
      <c r="AH42" s="369">
        <f>(AF42-AG42)/AG42</f>
        <v>1.2121160687507162</v>
      </c>
    </row>
    <row r="43" spans="1:34" outlineLevel="1" x14ac:dyDescent="0.3">
      <c r="A43" s="373" t="s">
        <v>29</v>
      </c>
      <c r="B43" s="374">
        <f>SUMIFS(Search!$E:$E,Search!$A:$A,"P4",Search!$D:$D,"Brand")</f>
        <v>82991</v>
      </c>
      <c r="C43" s="374">
        <f>SUMIFS(Search!$F:$F,Search!$A:$A,"P4",Search!$D:$D,"Brand")</f>
        <v>11215</v>
      </c>
      <c r="D43" s="369">
        <f t="shared" si="63"/>
        <v>6.4</v>
      </c>
      <c r="E43" s="374">
        <f>SUMIFS(Search!$I:$I,Search!$A:$A,"P4",Search!$D:$D,"Brand")</f>
        <v>2130.41</v>
      </c>
      <c r="F43" s="374">
        <f>SUMIFS(Search!$J:$J,Search!$A:$A,"P4",Search!$D:$D,"Brand")</f>
        <v>2092.1799999999998</v>
      </c>
      <c r="G43" s="375">
        <f t="shared" si="64"/>
        <v>1.8272806355093742E-2</v>
      </c>
      <c r="H43" s="376">
        <f t="shared" si="65"/>
        <v>38.955412338470062</v>
      </c>
      <c r="I43" s="376">
        <f t="shared" si="66"/>
        <v>5.360437438461318</v>
      </c>
      <c r="J43" s="375">
        <f t="shared" si="67"/>
        <v>6.2672077205796066</v>
      </c>
      <c r="K43" s="417">
        <f>SUMIFS(Search!$Q:$Q,Search!$A:$A,"P4",Search!$D:$D,"Brand")</f>
        <v>31480</v>
      </c>
      <c r="L43" s="417">
        <f>SUMIFS(Search!$R:$R,Search!$A:$A,"P4",Search!$D:$D,"Brand")</f>
        <v>13558</v>
      </c>
      <c r="M43" s="375">
        <f t="shared" si="68"/>
        <v>1.3218763829473374</v>
      </c>
      <c r="N43" s="417">
        <f>SUMIFS(Search!$U:$U,Search!$A:$A,"P4",Search!$D:$D,"Brand")</f>
        <v>1092</v>
      </c>
      <c r="O43" s="417">
        <f>SUMIFS(Search!$V:$V,Search!$A:$A,"P4",Search!$D:$D,"Brand")</f>
        <v>118</v>
      </c>
      <c r="P43" s="378">
        <f t="shared" si="69"/>
        <v>8.2542372881355934</v>
      </c>
      <c r="Q43" s="379">
        <f t="shared" si="70"/>
        <v>3.4688691232528587E-2</v>
      </c>
      <c r="R43" s="379">
        <f t="shared" si="71"/>
        <v>8.7033485764862074E-3</v>
      </c>
      <c r="S43" s="378">
        <f t="shared" si="72"/>
        <v>2.9856718282256152</v>
      </c>
      <c r="T43" s="374">
        <f t="shared" si="73"/>
        <v>1.9509249084249083</v>
      </c>
      <c r="U43" s="374">
        <f t="shared" si="74"/>
        <v>17.730338983050846</v>
      </c>
      <c r="V43" s="375">
        <f t="shared" si="75"/>
        <v>-0.88996685792133601</v>
      </c>
      <c r="W43" s="374">
        <f t="shared" si="76"/>
        <v>75.999084249084248</v>
      </c>
      <c r="X43" s="374">
        <f t="shared" si="77"/>
        <v>95.042372881355931</v>
      </c>
      <c r="Y43" s="378">
        <f t="shared" si="78"/>
        <v>-0.20036630036630038</v>
      </c>
      <c r="Z43" s="419">
        <f>SUMIFS(Search!$AG:$AG,Search!$A:$A,"P4",Search!$D:$D,"Brand")</f>
        <v>21824</v>
      </c>
      <c r="AA43" s="417">
        <f>SUMIFS(Search!$AH:$AH,Search!$A:$A,"P4",Search!$D:$D,"Brand")</f>
        <v>10570</v>
      </c>
      <c r="AB43" s="378">
        <f t="shared" si="79"/>
        <v>1.0647114474929045</v>
      </c>
      <c r="AC43" s="419">
        <f>SUMIFS(Search!$AK:$AK,Search!$A:$A,"P4",Search!$D:$D,"Brand")</f>
        <v>53204</v>
      </c>
      <c r="AD43" s="417">
        <f>SUMIFS(Search!$AL:$AL,Search!$A:$A,"P4",Search!$D:$D,"Brand")</f>
        <v>28573</v>
      </c>
      <c r="AE43" s="378">
        <f t="shared" si="80"/>
        <v>0.86203758793266372</v>
      </c>
      <c r="AF43" s="379">
        <f t="shared" si="81"/>
        <v>0.41019472220133824</v>
      </c>
      <c r="AG43" s="379">
        <f t="shared" si="82"/>
        <v>0.3699296538690372</v>
      </c>
      <c r="AH43" s="378">
        <f>(AF43-AG43)/AG43</f>
        <v>0.10884520316545293</v>
      </c>
    </row>
    <row r="44" spans="1:34" outlineLevel="1" x14ac:dyDescent="0.3">
      <c r="A44" s="373" t="s">
        <v>30</v>
      </c>
      <c r="B44" s="374">
        <f>SUMIFS(Search!$E:$E,Search!$A:$A,"P4",Search!$D:$D,"Non-Brand")</f>
        <v>829</v>
      </c>
      <c r="C44" s="374">
        <f>SUMIFS(Search!$F:$F,Search!$A:$A,"P4",Search!$D:$D,"Non-Brand")</f>
        <v>1903</v>
      </c>
      <c r="D44" s="369">
        <f t="shared" si="63"/>
        <v>-0.56437204414083031</v>
      </c>
      <c r="E44" s="374">
        <f>SUMIFS(Search!$I:$I,Search!$A:$A,"P4",Search!$D:$D,"Non-Brand")</f>
        <v>2632.31</v>
      </c>
      <c r="F44" s="374">
        <f>SUMIFS(Search!$J:$J,Search!$A:$A,"P4",Search!$D:$D,"Non-Brand")</f>
        <v>10233.879999999999</v>
      </c>
      <c r="G44" s="375">
        <f t="shared" si="64"/>
        <v>-0.74278475026089819</v>
      </c>
      <c r="H44" s="376">
        <f t="shared" si="65"/>
        <v>0.31493251174823633</v>
      </c>
      <c r="I44" s="376">
        <f t="shared" si="66"/>
        <v>0.18595097851450282</v>
      </c>
      <c r="J44" s="375">
        <f t="shared" si="67"/>
        <v>0.69363191451920159</v>
      </c>
      <c r="K44" s="417">
        <f>SUMIFS(Search!$Q:$Q,Search!$A:$A,"P4",Search!$D:$D,"Non-Brand")</f>
        <v>2802</v>
      </c>
      <c r="L44" s="417">
        <f>SUMIFS(Search!$R:$R,Search!$A:$A,"P4",Search!$D:$D,"Non-Brand")</f>
        <v>10806</v>
      </c>
      <c r="M44" s="375">
        <f t="shared" si="68"/>
        <v>-0.74069961132704054</v>
      </c>
      <c r="N44" s="417">
        <f>SUMIFS(Search!$U:$U,Search!$A:$A,"P4",Search!$D:$D,"Non-Brand")</f>
        <v>10</v>
      </c>
      <c r="O44" s="417">
        <f>SUMIFS(Search!$V:$V,Search!$A:$A,"P4",Search!$D:$D,"Non-Brand")</f>
        <v>25</v>
      </c>
      <c r="P44" s="378">
        <f t="shared" si="69"/>
        <v>-0.6</v>
      </c>
      <c r="Q44" s="379">
        <f t="shared" si="70"/>
        <v>3.5688793718772305E-3</v>
      </c>
      <c r="R44" s="379">
        <f t="shared" si="71"/>
        <v>2.3135295206366834E-3</v>
      </c>
      <c r="S44" s="378">
        <f t="shared" si="72"/>
        <v>0.54261241970021401</v>
      </c>
      <c r="T44" s="374">
        <f t="shared" si="73"/>
        <v>263.23099999999999</v>
      </c>
      <c r="U44" s="374">
        <f t="shared" si="74"/>
        <v>409.35519999999997</v>
      </c>
      <c r="V44" s="375">
        <f t="shared" si="75"/>
        <v>-0.35696187565224524</v>
      </c>
      <c r="W44" s="374">
        <f t="shared" si="76"/>
        <v>82.9</v>
      </c>
      <c r="X44" s="374">
        <f t="shared" si="77"/>
        <v>76.12</v>
      </c>
      <c r="Y44" s="378">
        <f t="shared" si="78"/>
        <v>8.9069889647924338E-2</v>
      </c>
      <c r="Z44" s="419">
        <f>SUMIFS(Search!$AG:$AG,Search!$A:$A,"P4",Search!$D:$D,"Non-Brand")</f>
        <v>2325</v>
      </c>
      <c r="AA44" s="417">
        <f>SUMIFS(Search!$AH:$AH,Search!$A:$A,"P4",Search!$D:$D,"Non-Brand")</f>
        <v>10712</v>
      </c>
      <c r="AB44" s="378">
        <f t="shared" si="79"/>
        <v>-0.78295369678864823</v>
      </c>
      <c r="AC44" s="419">
        <f>SUMIFS(Search!$AK:$AK,Search!$A:$A,"P4",Search!$D:$D,"Non-Brand")</f>
        <v>32721</v>
      </c>
      <c r="AD44" s="417">
        <f>SUMIFS(Search!$AL:$AL,Search!$A:$A,"P4",Search!$D:$D,"Non-Brand")</f>
        <v>138937</v>
      </c>
      <c r="AE44" s="378">
        <f t="shared" si="80"/>
        <v>-0.76449038053218366</v>
      </c>
      <c r="AF44" s="379">
        <f t="shared" si="81"/>
        <v>7.1055285596405976E-2</v>
      </c>
      <c r="AG44" s="379">
        <f t="shared" si="82"/>
        <v>7.7099692666460343E-2</v>
      </c>
      <c r="AH44" s="378">
        <f>(AF44-AG44)/AG44</f>
        <v>-7.8397291364091071E-2</v>
      </c>
    </row>
    <row r="45" spans="1:34" outlineLevel="1" x14ac:dyDescent="0.3">
      <c r="A45" s="373" t="s">
        <v>228</v>
      </c>
      <c r="B45" s="374">
        <f>SUMIFS(Search!$E:$E,Search!$A:$A,"P4",Search!$D:$D,"Shopping Campaigns")</f>
        <v>0</v>
      </c>
      <c r="C45" s="374">
        <f>SUMIFS(Search!$F:$F,Search!$A:$A,"P4",Search!$D:$D,"Shopping Campaigns")</f>
        <v>0</v>
      </c>
      <c r="D45" s="369" t="e">
        <f t="shared" si="63"/>
        <v>#DIV/0!</v>
      </c>
      <c r="E45" s="374">
        <f>SUMIFS(Search!$I:$I,Search!$A:$A,"P4",Search!$D:$D,"Shopping Campaigns")</f>
        <v>0</v>
      </c>
      <c r="F45" s="374">
        <f>SUMIFS(Search!$J:$J,Search!$A:$A,"P4",Search!$D:$D,"Shopping Campaigns")</f>
        <v>0</v>
      </c>
      <c r="G45" s="375" t="e">
        <f t="shared" si="64"/>
        <v>#DIV/0!</v>
      </c>
      <c r="H45" s="376" t="e">
        <f t="shared" si="65"/>
        <v>#DIV/0!</v>
      </c>
      <c r="I45" s="376" t="e">
        <f t="shared" si="66"/>
        <v>#DIV/0!</v>
      </c>
      <c r="J45" s="375" t="e">
        <f t="shared" si="67"/>
        <v>#DIV/0!</v>
      </c>
      <c r="K45" s="417">
        <f>SUMIFS(Search!$Q:$Q,Search!$A:$A,"P4",Search!$D:$D,"Shopping Campaigns")</f>
        <v>0</v>
      </c>
      <c r="L45" s="417">
        <f>SUMIFS(Search!$R:$R,Search!$A:$A,"P4",Search!$D:$D,"Shopping Campaigns")</f>
        <v>0</v>
      </c>
      <c r="M45" s="375" t="e">
        <f t="shared" si="68"/>
        <v>#DIV/0!</v>
      </c>
      <c r="N45" s="417">
        <f>SUMIFS(Search!$U:$U,Search!$A:$A,"P4",Search!$D:$D,"Shopping Campaigns")</f>
        <v>0</v>
      </c>
      <c r="O45" s="417">
        <f>SUMIFS(Search!$V:$V,Search!$A:$A,"P4",Search!$D:$D,"Shopping Campaigns")</f>
        <v>0</v>
      </c>
      <c r="P45" s="378" t="e">
        <f t="shared" si="69"/>
        <v>#DIV/0!</v>
      </c>
      <c r="Q45" s="379" t="e">
        <f t="shared" si="70"/>
        <v>#DIV/0!</v>
      </c>
      <c r="R45" s="379" t="e">
        <f t="shared" si="71"/>
        <v>#DIV/0!</v>
      </c>
      <c r="S45" s="378" t="e">
        <f t="shared" si="72"/>
        <v>#DIV/0!</v>
      </c>
      <c r="T45" s="374" t="e">
        <f t="shared" si="73"/>
        <v>#DIV/0!</v>
      </c>
      <c r="U45" s="374" t="e">
        <f t="shared" si="74"/>
        <v>#DIV/0!</v>
      </c>
      <c r="V45" s="375" t="e">
        <f t="shared" si="75"/>
        <v>#DIV/0!</v>
      </c>
      <c r="W45" s="374" t="e">
        <f t="shared" si="76"/>
        <v>#DIV/0!</v>
      </c>
      <c r="X45" s="374" t="e">
        <f t="shared" si="77"/>
        <v>#DIV/0!</v>
      </c>
      <c r="Y45" s="378" t="e">
        <f t="shared" si="78"/>
        <v>#DIV/0!</v>
      </c>
      <c r="Z45" s="419">
        <f>SUMIFS(Search!$AG:$AG,Search!$A:$A,"P4",Search!$D:$D,"Shopping Campaigns")</f>
        <v>0</v>
      </c>
      <c r="AA45" s="417">
        <f>SUMIFS(Search!$AH:$AH,Search!$A:$A,"P4",Search!$D:$D,"Shopping Campaigns")</f>
        <v>0</v>
      </c>
      <c r="AB45" s="378" t="e">
        <f t="shared" si="79"/>
        <v>#DIV/0!</v>
      </c>
      <c r="AC45" s="419">
        <f>SUMIFS(Search!$AK:$AK,Search!$A:$A,"P4",Search!$D:$D,"Shopping Campaigns")</f>
        <v>0</v>
      </c>
      <c r="AD45" s="417">
        <f>SUMIFS(Search!$AL:$AL,Search!$A:$A,"P4",Search!$D:$D,"Shopping Campaigns")</f>
        <v>0</v>
      </c>
      <c r="AE45" s="378" t="e">
        <f t="shared" si="80"/>
        <v>#DIV/0!</v>
      </c>
      <c r="AF45" s="379" t="e">
        <f t="shared" si="81"/>
        <v>#DIV/0!</v>
      </c>
      <c r="AG45" s="379" t="e">
        <f t="shared" si="82"/>
        <v>#DIV/0!</v>
      </c>
      <c r="AH45" s="378" t="e">
        <f t="shared" ref="AH45:AH52" si="83">(AF45-AG45)/AG45</f>
        <v>#DIV/0!</v>
      </c>
    </row>
    <row r="46" spans="1:34" s="367" customFormat="1" ht="21" customHeight="1" x14ac:dyDescent="0.3">
      <c r="A46" s="380" t="s">
        <v>13</v>
      </c>
      <c r="B46" s="368">
        <f>SUMIFS(Affiliate!D:D,Affiliate!$A:$A,"P4")</f>
        <v>109964</v>
      </c>
      <c r="C46" s="368">
        <f>SUMIFS(Affiliate!E:E,Affiliate!$A:$A,"P4")</f>
        <v>60574</v>
      </c>
      <c r="D46" s="369">
        <f t="shared" si="63"/>
        <v>0.81536632878792881</v>
      </c>
      <c r="E46" s="368">
        <f>SUMIFS(Affiliate!H:H,Affiliate!$A:$A,"P4")</f>
        <v>9537.93</v>
      </c>
      <c r="F46" s="368">
        <f>SUMIFS(Affiliate!I:I,Affiliate!$A:$A,"P4")</f>
        <v>14169.769999999999</v>
      </c>
      <c r="G46" s="369">
        <f t="shared" si="64"/>
        <v>-0.32688180542097711</v>
      </c>
      <c r="H46" s="370">
        <f t="shared" si="65"/>
        <v>11.529126340830766</v>
      </c>
      <c r="I46" s="370">
        <f t="shared" si="66"/>
        <v>4.274875315548524</v>
      </c>
      <c r="J46" s="369">
        <f t="shared" si="67"/>
        <v>1.6969503178015906</v>
      </c>
      <c r="K46" s="416">
        <f>SUMIFS(Affiliate!$AF:$AF,Affiliate!$A:$A,"P4")</f>
        <v>10663</v>
      </c>
      <c r="L46" s="416">
        <f>SUMIFS(Affiliate!$AG:$AG,Affiliate!$A:$A,"P4")</f>
        <v>11655</v>
      </c>
      <c r="M46" s="369">
        <f t="shared" si="68"/>
        <v>-8.5113685113685111E-2</v>
      </c>
      <c r="N46" s="416">
        <f>SUMIFS(Affiliate!$AJ:$AJ,Affiliate!$A:$A,"P4")</f>
        <v>1176</v>
      </c>
      <c r="O46" s="416">
        <f>SUMIFS(Affiliate!$AK:$AK,Affiliate!$A:$A,"P4")</f>
        <v>557</v>
      </c>
      <c r="P46" s="381">
        <f t="shared" si="69"/>
        <v>1.111310592459605</v>
      </c>
      <c r="Q46" s="382">
        <f t="shared" si="70"/>
        <v>0.11028791146956766</v>
      </c>
      <c r="R46" s="382">
        <f t="shared" si="71"/>
        <v>4.7790647790647789E-2</v>
      </c>
      <c r="S46" s="381">
        <f t="shared" si="72"/>
        <v>1.3077299967285658</v>
      </c>
      <c r="T46" s="383">
        <f t="shared" si="73"/>
        <v>8.1104846938775506</v>
      </c>
      <c r="U46" s="383">
        <f t="shared" si="74"/>
        <v>25.4394434470377</v>
      </c>
      <c r="V46" s="369">
        <f t="shared" si="75"/>
        <v>-0.68118466464241867</v>
      </c>
      <c r="W46" s="383">
        <f t="shared" si="76"/>
        <v>93.506802721088434</v>
      </c>
      <c r="X46" s="383">
        <f t="shared" si="77"/>
        <v>108.75044883303411</v>
      </c>
      <c r="Y46" s="381">
        <f t="shared" si="78"/>
        <v>-0.14017087998735006</v>
      </c>
      <c r="Z46" s="443"/>
      <c r="AA46" s="384"/>
      <c r="AB46" s="381" t="e">
        <f t="shared" si="79"/>
        <v>#DIV/0!</v>
      </c>
      <c r="AC46" s="443"/>
      <c r="AD46" s="384"/>
      <c r="AE46" s="381" t="e">
        <f t="shared" si="80"/>
        <v>#DIV/0!</v>
      </c>
      <c r="AF46" s="385"/>
      <c r="AG46" s="385"/>
      <c r="AH46" s="381" t="e">
        <f t="shared" si="83"/>
        <v>#DIV/0!</v>
      </c>
    </row>
    <row r="47" spans="1:34" s="367" customFormat="1" ht="20.100000000000001" customHeight="1" x14ac:dyDescent="0.3">
      <c r="A47" s="367" t="s">
        <v>14</v>
      </c>
      <c r="B47" s="368">
        <f>SUM(B48:B49)</f>
        <v>1232</v>
      </c>
      <c r="C47" s="368">
        <f>SUM(C48:C49)</f>
        <v>0</v>
      </c>
      <c r="D47" s="369" t="e">
        <f t="shared" si="63"/>
        <v>#DIV/0!</v>
      </c>
      <c r="E47" s="368">
        <f>SUM(E48:E49)</f>
        <v>4703.4749999999995</v>
      </c>
      <c r="F47" s="368">
        <f>SUM(F48:F49)</f>
        <v>5435.3942999999999</v>
      </c>
      <c r="G47" s="369">
        <f t="shared" si="64"/>
        <v>-0.13465799528104161</v>
      </c>
      <c r="H47" s="370">
        <f t="shared" si="65"/>
        <v>0.2619339956096291</v>
      </c>
      <c r="I47" s="370">
        <f t="shared" si="66"/>
        <v>0</v>
      </c>
      <c r="J47" s="369" t="e">
        <f t="shared" si="67"/>
        <v>#DIV/0!</v>
      </c>
      <c r="K47" s="416">
        <f>SUM(K48:K49)</f>
        <v>1283</v>
      </c>
      <c r="L47" s="416">
        <f>SUM(L48:L49)</f>
        <v>1776</v>
      </c>
      <c r="M47" s="369">
        <f t="shared" si="68"/>
        <v>-0.27759009009009011</v>
      </c>
      <c r="N47" s="416">
        <f>SUM(N48:N49)</f>
        <v>0</v>
      </c>
      <c r="O47" s="416">
        <f>SUM(O48:O49)</f>
        <v>0</v>
      </c>
      <c r="P47" s="381" t="e">
        <f t="shared" si="69"/>
        <v>#DIV/0!</v>
      </c>
      <c r="Q47" s="382">
        <f t="shared" si="70"/>
        <v>0</v>
      </c>
      <c r="R47" s="382">
        <f t="shared" si="71"/>
        <v>0</v>
      </c>
      <c r="S47" s="381" t="e">
        <f t="shared" si="72"/>
        <v>#DIV/0!</v>
      </c>
      <c r="T47" s="383" t="e">
        <f t="shared" si="73"/>
        <v>#DIV/0!</v>
      </c>
      <c r="U47" s="383" t="e">
        <f t="shared" si="74"/>
        <v>#DIV/0!</v>
      </c>
      <c r="V47" s="369" t="e">
        <f t="shared" si="75"/>
        <v>#DIV/0!</v>
      </c>
      <c r="W47" s="383" t="e">
        <f t="shared" si="76"/>
        <v>#DIV/0!</v>
      </c>
      <c r="X47" s="383" t="e">
        <f t="shared" si="77"/>
        <v>#DIV/0!</v>
      </c>
      <c r="Y47" s="381" t="e">
        <f t="shared" si="78"/>
        <v>#DIV/0!</v>
      </c>
      <c r="Z47" s="420">
        <f>SUM(Z48:Z49)</f>
        <v>6685</v>
      </c>
      <c r="AA47" s="416">
        <f>SUM(AA48:AA49)</f>
        <v>6587</v>
      </c>
      <c r="AB47" s="381">
        <f t="shared" si="79"/>
        <v>1.487778958554729E-2</v>
      </c>
      <c r="AC47" s="420">
        <f>SUM(AC48:AC49)</f>
        <v>902048</v>
      </c>
      <c r="AD47" s="416">
        <f>SUM(AD48:AD49)</f>
        <v>804372</v>
      </c>
      <c r="AE47" s="381">
        <f t="shared" si="80"/>
        <v>0.12143137752184313</v>
      </c>
      <c r="AF47" s="382">
        <f t="shared" ref="AF47:AF53" si="84">Z47/AC47</f>
        <v>7.410913831636454E-3</v>
      </c>
      <c r="AG47" s="382">
        <f t="shared" ref="AG47:AG53" si="85">AA47/AD47</f>
        <v>8.1889971306808289E-3</v>
      </c>
      <c r="AH47" s="381">
        <f t="shared" si="83"/>
        <v>-9.5015700534222258E-2</v>
      </c>
    </row>
    <row r="48" spans="1:34" outlineLevel="1" x14ac:dyDescent="0.3">
      <c r="A48" s="373" t="s">
        <v>285</v>
      </c>
      <c r="B48" s="374">
        <f>SUMIFS('Social - Promos'!$E:$E,'Social - Promos'!$A:$A,"p1")</f>
        <v>1232</v>
      </c>
      <c r="C48" s="374">
        <f>SUMIFS('Social - Promos'!$F:$F,'Social - Promos'!$A:$A,"p1")</f>
        <v>0</v>
      </c>
      <c r="D48" s="369" t="e">
        <f t="shared" si="63"/>
        <v>#DIV/0!</v>
      </c>
      <c r="E48" s="374">
        <f>SUMIFS('Social - Promos'!$K:$K,'Social - Promos'!$A:$A,"p4")</f>
        <v>4703.4749999999995</v>
      </c>
      <c r="F48" s="374">
        <f>SUMIFS('Social - Promos'!$L:$L,'Social - Promos'!$A:$A,"p4")</f>
        <v>5435.3942999999999</v>
      </c>
      <c r="G48" s="375">
        <f t="shared" si="64"/>
        <v>-0.13465799528104161</v>
      </c>
      <c r="H48" s="386">
        <f t="shared" si="65"/>
        <v>0.2619339956096291</v>
      </c>
      <c r="I48" s="386">
        <f t="shared" si="66"/>
        <v>0</v>
      </c>
      <c r="J48" s="375" t="e">
        <f t="shared" si="67"/>
        <v>#DIV/0!</v>
      </c>
      <c r="K48" s="417">
        <f>SUMIFS('Social - Promos'!$T:$T,'Social - Promos'!$A:$A,"p4")</f>
        <v>1283</v>
      </c>
      <c r="L48" s="417">
        <f>SUMIFS('Social - Promos'!$U:$U,'Social - Promos'!$A:$A,"p4")</f>
        <v>1776</v>
      </c>
      <c r="M48" s="375">
        <f t="shared" si="68"/>
        <v>-0.27759009009009011</v>
      </c>
      <c r="N48" s="417">
        <f>SUMIFS('Social - Promos'!$W:$W,'Social - Promos'!$A:$A,"p4")</f>
        <v>0</v>
      </c>
      <c r="O48" s="417">
        <f>SUMIFS('Social - Promos'!$X:$X,'Social - Promos'!$A:$A,"p4")</f>
        <v>0</v>
      </c>
      <c r="P48" s="378" t="e">
        <f t="shared" si="69"/>
        <v>#DIV/0!</v>
      </c>
      <c r="Q48" s="379">
        <f t="shared" si="70"/>
        <v>0</v>
      </c>
      <c r="R48" s="379">
        <f t="shared" si="71"/>
        <v>0</v>
      </c>
      <c r="S48" s="378" t="e">
        <f t="shared" si="72"/>
        <v>#DIV/0!</v>
      </c>
      <c r="T48" s="374" t="e">
        <f t="shared" si="73"/>
        <v>#DIV/0!</v>
      </c>
      <c r="U48" s="374" t="e">
        <f t="shared" si="74"/>
        <v>#DIV/0!</v>
      </c>
      <c r="V48" s="375" t="e">
        <f t="shared" si="75"/>
        <v>#DIV/0!</v>
      </c>
      <c r="W48" s="374" t="e">
        <f t="shared" si="76"/>
        <v>#DIV/0!</v>
      </c>
      <c r="X48" s="374" t="e">
        <f t="shared" si="77"/>
        <v>#DIV/0!</v>
      </c>
      <c r="Y48" s="378" t="e">
        <f t="shared" si="78"/>
        <v>#DIV/0!</v>
      </c>
      <c r="Z48" s="419">
        <f>SUMIFS('Social - Promos'!$AF:$AF,'Social - Promos'!$A:$A,"p4")</f>
        <v>6685</v>
      </c>
      <c r="AA48" s="417">
        <f>SUMIFS('Social - Promos'!$AG:$AG,'Social - Promos'!$A:$A,"p4")</f>
        <v>6587</v>
      </c>
      <c r="AB48" s="378">
        <f t="shared" si="79"/>
        <v>1.487778958554729E-2</v>
      </c>
      <c r="AC48" s="419">
        <f>SUMIFS('Social - Promos'!$AI:$AI,'Social - Promos'!$A:$A,"p4")</f>
        <v>902048</v>
      </c>
      <c r="AD48" s="417">
        <f>SUMIFS('Social - Promos'!$AJ:$AJ,'Social - Promos'!$A:$A,"p4")</f>
        <v>804372</v>
      </c>
      <c r="AE48" s="378">
        <f t="shared" si="80"/>
        <v>0.12143137752184313</v>
      </c>
      <c r="AF48" s="379">
        <f t="shared" si="84"/>
        <v>7.410913831636454E-3</v>
      </c>
      <c r="AG48" s="379">
        <f t="shared" si="85"/>
        <v>8.1889971306808289E-3</v>
      </c>
      <c r="AH48" s="378">
        <f t="shared" si="83"/>
        <v>-9.5015700534222258E-2</v>
      </c>
    </row>
    <row r="49" spans="1:34" outlineLevel="1" x14ac:dyDescent="0.3">
      <c r="A49" s="373" t="s">
        <v>286</v>
      </c>
      <c r="B49" s="374">
        <f>SUMIFS('Social - Remarketing'!$D:$D,'Social - Remarketing'!A:A,"P1")</f>
        <v>0</v>
      </c>
      <c r="C49" s="374">
        <f>SUMIFS('Social - Remarketing'!$E:$E,'Social - Remarketing'!$B:$B,"P1")</f>
        <v>0</v>
      </c>
      <c r="D49" s="369" t="e">
        <f t="shared" si="63"/>
        <v>#DIV/0!</v>
      </c>
      <c r="E49" s="374">
        <f>SUMIFS('Social - Remarketing'!$H:$H,'Social - Remarketing'!$A:$A,"P4")</f>
        <v>0</v>
      </c>
      <c r="F49" s="374">
        <f>SUMIFS('Social - Remarketing'!$I:$I,'Social - Remarketing'!$A:$A,"P4")</f>
        <v>0</v>
      </c>
      <c r="G49" s="369" t="e">
        <f t="shared" si="64"/>
        <v>#DIV/0!</v>
      </c>
      <c r="H49" s="386" t="e">
        <f t="shared" si="65"/>
        <v>#DIV/0!</v>
      </c>
      <c r="I49" s="386" t="e">
        <f t="shared" si="66"/>
        <v>#DIV/0!</v>
      </c>
      <c r="J49" s="369" t="e">
        <f t="shared" si="67"/>
        <v>#DIV/0!</v>
      </c>
      <c r="K49" s="417">
        <f>SUMIFS('Social - Remarketing'!$X:$X,'Social - Remarketing'!$A:$A,"P4")</f>
        <v>0</v>
      </c>
      <c r="L49" s="417">
        <f>SUMIFS('Social - Remarketing'!$Y:$Y,'Social - Remarketing'!$A:$A,"P4")</f>
        <v>0</v>
      </c>
      <c r="M49" s="375" t="e">
        <f t="shared" si="68"/>
        <v>#DIV/0!</v>
      </c>
      <c r="N49" s="417">
        <f>SUMIFS('Social - Remarketing'!$AB:$AB,'Social - Remarketing'!$A:$A,"P4")</f>
        <v>0</v>
      </c>
      <c r="O49" s="417">
        <f>SUMIFS('Social - Remarketing'!$AC:$AC,'Social - Remarketing'!$A:$A,"P4")</f>
        <v>0</v>
      </c>
      <c r="P49" s="378" t="e">
        <f t="shared" si="69"/>
        <v>#DIV/0!</v>
      </c>
      <c r="Q49" s="379" t="e">
        <f t="shared" si="70"/>
        <v>#DIV/0!</v>
      </c>
      <c r="R49" s="379" t="e">
        <f t="shared" si="71"/>
        <v>#DIV/0!</v>
      </c>
      <c r="S49" s="378" t="e">
        <f t="shared" si="72"/>
        <v>#DIV/0!</v>
      </c>
      <c r="T49" s="374" t="e">
        <f t="shared" si="73"/>
        <v>#DIV/0!</v>
      </c>
      <c r="U49" s="374" t="e">
        <f t="shared" si="74"/>
        <v>#DIV/0!</v>
      </c>
      <c r="V49" s="375" t="e">
        <f t="shared" si="75"/>
        <v>#DIV/0!</v>
      </c>
      <c r="W49" s="374" t="e">
        <f t="shared" si="76"/>
        <v>#DIV/0!</v>
      </c>
      <c r="X49" s="374" t="e">
        <f t="shared" si="77"/>
        <v>#DIV/0!</v>
      </c>
      <c r="Y49" s="378" t="e">
        <f t="shared" si="78"/>
        <v>#DIV/0!</v>
      </c>
      <c r="Z49" s="419">
        <f>SUMIFS('Social - Remarketing'!$AN:$AN,'Social - Remarketing'!$A:$A,"P4")</f>
        <v>0</v>
      </c>
      <c r="AA49" s="417">
        <f>SUMIFS('Social - Remarketing'!$AO:$AO,'Social - Remarketing'!$A:$A,"P4")</f>
        <v>0</v>
      </c>
      <c r="AB49" s="378" t="e">
        <f t="shared" si="79"/>
        <v>#DIV/0!</v>
      </c>
      <c r="AC49" s="419">
        <f>SUMIFS('Social - Remarketing'!$AR:$AR,'Social - Remarketing'!$A:$A,"P4")</f>
        <v>0</v>
      </c>
      <c r="AD49" s="417">
        <f>SUMIFS('Social - Remarketing'!$AS:$AS,'Social - Remarketing'!$A:$A,"P4")</f>
        <v>0</v>
      </c>
      <c r="AE49" s="378" t="e">
        <f t="shared" si="80"/>
        <v>#DIV/0!</v>
      </c>
      <c r="AF49" s="379" t="e">
        <f t="shared" si="84"/>
        <v>#DIV/0!</v>
      </c>
      <c r="AG49" s="379" t="e">
        <f t="shared" si="85"/>
        <v>#DIV/0!</v>
      </c>
      <c r="AH49" s="378" t="e">
        <f t="shared" si="83"/>
        <v>#DIV/0!</v>
      </c>
    </row>
    <row r="50" spans="1:34" s="367" customFormat="1" ht="21" customHeight="1" x14ac:dyDescent="0.3">
      <c r="A50" s="367" t="s">
        <v>15</v>
      </c>
      <c r="B50" s="368">
        <f>SUM(B51:B52)</f>
        <v>0</v>
      </c>
      <c r="C50" s="368">
        <f>SUM(C51:C52)</f>
        <v>0</v>
      </c>
      <c r="D50" s="369" t="e">
        <f t="shared" si="63"/>
        <v>#DIV/0!</v>
      </c>
      <c r="E50" s="368">
        <f>SUM(E51:E52)</f>
        <v>0</v>
      </c>
      <c r="F50" s="368">
        <f>SUM(F51:F52)</f>
        <v>0</v>
      </c>
      <c r="G50" s="369" t="e">
        <f t="shared" si="64"/>
        <v>#DIV/0!</v>
      </c>
      <c r="H50" s="370" t="e">
        <f t="shared" si="65"/>
        <v>#DIV/0!</v>
      </c>
      <c r="I50" s="370" t="e">
        <f t="shared" si="66"/>
        <v>#DIV/0!</v>
      </c>
      <c r="J50" s="369" t="e">
        <f t="shared" si="67"/>
        <v>#DIV/0!</v>
      </c>
      <c r="K50" s="416">
        <f>SUM(K51:K52)</f>
        <v>4</v>
      </c>
      <c r="L50" s="416">
        <f>SUM(L51:L52)</f>
        <v>1</v>
      </c>
      <c r="M50" s="369">
        <f t="shared" si="68"/>
        <v>3</v>
      </c>
      <c r="N50" s="416">
        <f>SUM(N51:N52)</f>
        <v>0</v>
      </c>
      <c r="O50" s="416">
        <f>SUM(O51:O52)</f>
        <v>0</v>
      </c>
      <c r="P50" s="381" t="e">
        <f t="shared" si="69"/>
        <v>#DIV/0!</v>
      </c>
      <c r="Q50" s="382">
        <f t="shared" si="70"/>
        <v>0</v>
      </c>
      <c r="R50" s="382">
        <f t="shared" si="71"/>
        <v>0</v>
      </c>
      <c r="S50" s="381" t="e">
        <f t="shared" si="72"/>
        <v>#DIV/0!</v>
      </c>
      <c r="T50" s="383" t="e">
        <f t="shared" si="73"/>
        <v>#DIV/0!</v>
      </c>
      <c r="U50" s="383" t="e">
        <f t="shared" si="74"/>
        <v>#DIV/0!</v>
      </c>
      <c r="V50" s="369" t="e">
        <f t="shared" si="75"/>
        <v>#DIV/0!</v>
      </c>
      <c r="W50" s="383" t="e">
        <f t="shared" si="76"/>
        <v>#DIV/0!</v>
      </c>
      <c r="X50" s="383" t="e">
        <f t="shared" si="77"/>
        <v>#DIV/0!</v>
      </c>
      <c r="Y50" s="381" t="e">
        <f t="shared" si="78"/>
        <v>#DIV/0!</v>
      </c>
      <c r="Z50" s="420">
        <f>SUM(Z51:Z52)</f>
        <v>0</v>
      </c>
      <c r="AA50" s="416">
        <f>SUM(AA51:AA52)</f>
        <v>0</v>
      </c>
      <c r="AB50" s="381" t="e">
        <f t="shared" si="79"/>
        <v>#DIV/0!</v>
      </c>
      <c r="AC50" s="420">
        <f>SUM(AC51:AC52)</f>
        <v>0</v>
      </c>
      <c r="AD50" s="416">
        <f>SUM(AD51:AD52)</f>
        <v>0</v>
      </c>
      <c r="AE50" s="381" t="e">
        <f t="shared" si="80"/>
        <v>#DIV/0!</v>
      </c>
      <c r="AF50" s="382" t="e">
        <f t="shared" si="84"/>
        <v>#DIV/0!</v>
      </c>
      <c r="AG50" s="382" t="e">
        <f t="shared" si="85"/>
        <v>#DIV/0!</v>
      </c>
      <c r="AH50" s="381" t="e">
        <f t="shared" si="83"/>
        <v>#DIV/0!</v>
      </c>
    </row>
    <row r="51" spans="1:34" outlineLevel="1" x14ac:dyDescent="0.3">
      <c r="A51" s="373" t="s">
        <v>285</v>
      </c>
      <c r="B51" s="374">
        <f>SUMIFS('Display - Promos'!$E:$E,'Display - Promos'!$A:$A,"P4")</f>
        <v>0</v>
      </c>
      <c r="C51" s="374">
        <f>SUMIFS('Display - Promos'!$F:$F,'Display - Promos'!$A:$A,"P4")</f>
        <v>0</v>
      </c>
      <c r="D51" s="375" t="e">
        <f t="shared" si="63"/>
        <v>#DIV/0!</v>
      </c>
      <c r="E51" s="374">
        <f>SUMIFS('Display - Promos'!$H:$H,'Display - Promos'!$A:$A,"p4")</f>
        <v>0</v>
      </c>
      <c r="F51" s="374">
        <f>SUMIFS('Display - Promos'!$I:$I,'Display - Promos'!$A:$A,"p4")</f>
        <v>0</v>
      </c>
      <c r="G51" s="375" t="e">
        <f t="shared" si="64"/>
        <v>#DIV/0!</v>
      </c>
      <c r="H51" s="386" t="e">
        <f t="shared" si="65"/>
        <v>#DIV/0!</v>
      </c>
      <c r="I51" s="386" t="e">
        <f t="shared" si="66"/>
        <v>#DIV/0!</v>
      </c>
      <c r="J51" s="369" t="e">
        <f t="shared" si="67"/>
        <v>#DIV/0!</v>
      </c>
      <c r="K51" s="417">
        <f>SUMIFS('Display - Promos'!$N:$N,'Display - Promos'!$A:$A,"p4")</f>
        <v>4</v>
      </c>
      <c r="L51" s="417">
        <f>SUMIFS('Display - Promos'!$O:$O,'Display - Promos'!$A:$A,"p4")</f>
        <v>1</v>
      </c>
      <c r="M51" s="375">
        <f t="shared" si="68"/>
        <v>3</v>
      </c>
      <c r="N51" s="417">
        <f>SUMIFS('Display - Promos'!$Q:$Q,'Display - Promos'!$A:$A,"p4")</f>
        <v>0</v>
      </c>
      <c r="O51" s="417">
        <f>SUMIFS('Display - Promos'!$R:$R,'Display - Promos'!$A:$A,"p4")</f>
        <v>0</v>
      </c>
      <c r="P51" s="378" t="e">
        <f t="shared" si="69"/>
        <v>#DIV/0!</v>
      </c>
      <c r="Q51" s="379">
        <f t="shared" si="70"/>
        <v>0</v>
      </c>
      <c r="R51" s="379">
        <f t="shared" si="71"/>
        <v>0</v>
      </c>
      <c r="S51" s="378" t="e">
        <f t="shared" si="72"/>
        <v>#DIV/0!</v>
      </c>
      <c r="T51" s="374" t="e">
        <f t="shared" si="73"/>
        <v>#DIV/0!</v>
      </c>
      <c r="U51" s="374" t="e">
        <f t="shared" si="74"/>
        <v>#DIV/0!</v>
      </c>
      <c r="V51" s="375" t="e">
        <f t="shared" si="75"/>
        <v>#DIV/0!</v>
      </c>
      <c r="W51" s="374" t="e">
        <f t="shared" si="76"/>
        <v>#DIV/0!</v>
      </c>
      <c r="X51" s="374" t="e">
        <f t="shared" si="77"/>
        <v>#DIV/0!</v>
      </c>
      <c r="Y51" s="378" t="e">
        <f t="shared" si="78"/>
        <v>#DIV/0!</v>
      </c>
      <c r="Z51" s="419">
        <f>SUMIFS('Display - Promos'!$W:$W,'Display - Promos'!$A:$A,"p4")</f>
        <v>0</v>
      </c>
      <c r="AA51" s="417">
        <f>SUMIFS('Display - Promos'!$X:$X,'Display - Promos'!$A:$A,"p4")</f>
        <v>0</v>
      </c>
      <c r="AB51" s="378" t="e">
        <f t="shared" si="79"/>
        <v>#DIV/0!</v>
      </c>
      <c r="AC51" s="419">
        <f>SUMIFS('Display - Promos'!$Z:$Z,'Display - Promos'!$A:$A,"p4")</f>
        <v>0</v>
      </c>
      <c r="AD51" s="417">
        <f>SUMIFS('Display - Promos'!$AA:$AA,'Display - Promos'!$A:$A,"p4")</f>
        <v>0</v>
      </c>
      <c r="AE51" s="378" t="e">
        <f t="shared" si="80"/>
        <v>#DIV/0!</v>
      </c>
      <c r="AF51" s="379" t="e">
        <f t="shared" si="84"/>
        <v>#DIV/0!</v>
      </c>
      <c r="AG51" s="379" t="e">
        <f t="shared" si="85"/>
        <v>#DIV/0!</v>
      </c>
      <c r="AH51" s="378" t="e">
        <f t="shared" si="83"/>
        <v>#DIV/0!</v>
      </c>
    </row>
    <row r="52" spans="1:34" ht="19.5" outlineLevel="1" thickBot="1" x14ac:dyDescent="0.35">
      <c r="A52" s="373" t="s">
        <v>286</v>
      </c>
      <c r="B52" s="374">
        <f>SUMIFS('Display - Remarketing'!$D:$D,'Display - Remarketing'!$A:$A,"P4")</f>
        <v>0</v>
      </c>
      <c r="C52" s="374">
        <f>SUMIFS('Display - Remarketing'!$E:$E,'Display - Remarketing'!$A:$A,"P4")</f>
        <v>0</v>
      </c>
      <c r="D52" s="369" t="e">
        <f t="shared" si="63"/>
        <v>#DIV/0!</v>
      </c>
      <c r="E52" s="374">
        <f>SUMIFS('Display - Remarketing'!$H:$H,'Display - Remarketing'!$A:$A,"P4")</f>
        <v>0</v>
      </c>
      <c r="F52" s="374">
        <f>SUMIFS('Display - Remarketing'!$I:$I,'Display - Remarketing'!$A:$A,"P4")</f>
        <v>0</v>
      </c>
      <c r="G52" s="369" t="e">
        <f t="shared" si="64"/>
        <v>#DIV/0!</v>
      </c>
      <c r="H52" s="386" t="e">
        <f t="shared" si="65"/>
        <v>#DIV/0!</v>
      </c>
      <c r="I52" s="386" t="e">
        <f t="shared" si="66"/>
        <v>#DIV/0!</v>
      </c>
      <c r="J52" s="369" t="e">
        <f t="shared" si="67"/>
        <v>#DIV/0!</v>
      </c>
      <c r="K52" s="417">
        <f>SUMIFS('Display - Remarketing'!$P:$P,'Display - Remarketing'!$A:$A,"P4")</f>
        <v>0</v>
      </c>
      <c r="L52" s="417">
        <f>SUMIFS('Display - Remarketing'!$Q:$Q,'Display - Remarketing'!$A:$A,"P4")</f>
        <v>0</v>
      </c>
      <c r="M52" s="375" t="e">
        <f t="shared" si="68"/>
        <v>#DIV/0!</v>
      </c>
      <c r="N52" s="417">
        <f>SUMIFS('Display - Remarketing'!$T:$T,'Display - Remarketing'!$A:$A,"P4")</f>
        <v>0</v>
      </c>
      <c r="O52" s="417">
        <f>SUMIFS('Display - Remarketing'!$U:$U,'Display - Remarketing'!$A:$A,"P4")</f>
        <v>0</v>
      </c>
      <c r="P52" s="378" t="e">
        <f t="shared" si="69"/>
        <v>#DIV/0!</v>
      </c>
      <c r="Q52" s="379" t="e">
        <f t="shared" si="70"/>
        <v>#DIV/0!</v>
      </c>
      <c r="R52" s="379" t="e">
        <f t="shared" si="71"/>
        <v>#DIV/0!</v>
      </c>
      <c r="S52" s="378" t="e">
        <f t="shared" si="72"/>
        <v>#DIV/0!</v>
      </c>
      <c r="T52" s="374" t="e">
        <f t="shared" si="73"/>
        <v>#DIV/0!</v>
      </c>
      <c r="U52" s="374" t="e">
        <f t="shared" si="74"/>
        <v>#DIV/0!</v>
      </c>
      <c r="V52" s="375" t="e">
        <f t="shared" si="75"/>
        <v>#DIV/0!</v>
      </c>
      <c r="W52" s="374" t="e">
        <f t="shared" si="76"/>
        <v>#DIV/0!</v>
      </c>
      <c r="X52" s="374" t="e">
        <f t="shared" si="77"/>
        <v>#DIV/0!</v>
      </c>
      <c r="Y52" s="378" t="e">
        <f t="shared" si="78"/>
        <v>#DIV/0!</v>
      </c>
      <c r="Z52" s="419">
        <f>SUMIFS('Display - Remarketing'!$AB:$AB,'Display - Remarketing'!$A:$A,"p4")</f>
        <v>0</v>
      </c>
      <c r="AA52" s="417">
        <f>SUMIFS('Display - Remarketing'!$AC:$AC,'Display - Remarketing'!$A:$A,"P4")</f>
        <v>0</v>
      </c>
      <c r="AB52" s="378" t="e">
        <f t="shared" si="79"/>
        <v>#DIV/0!</v>
      </c>
      <c r="AC52" s="419">
        <f>SUMIFS('Display - Remarketing'!$AF:$AF,'Display - Remarketing'!$A:$A,"P4")</f>
        <v>0</v>
      </c>
      <c r="AD52" s="417">
        <f>SUMIFS('Display - Remarketing'!$AG:$AG,'Display - Remarketing'!$A:$A,"P4")</f>
        <v>0</v>
      </c>
      <c r="AE52" s="378" t="e">
        <f t="shared" si="80"/>
        <v>#DIV/0!</v>
      </c>
      <c r="AF52" s="379" t="e">
        <f t="shared" si="84"/>
        <v>#DIV/0!</v>
      </c>
      <c r="AG52" s="379" t="e">
        <f t="shared" si="85"/>
        <v>#DIV/0!</v>
      </c>
      <c r="AH52" s="378" t="e">
        <f t="shared" si="83"/>
        <v>#DIV/0!</v>
      </c>
    </row>
    <row r="53" spans="1:34" s="395" customFormat="1" ht="22.5" thickTop="1" thickBot="1" x14ac:dyDescent="0.4">
      <c r="A53" s="387" t="s">
        <v>16</v>
      </c>
      <c r="B53" s="388">
        <f>B42+B46+B47+B50</f>
        <v>195016</v>
      </c>
      <c r="C53" s="388">
        <f>C42+C46+C47+C50</f>
        <v>73692</v>
      </c>
      <c r="D53" s="389">
        <f t="shared" si="63"/>
        <v>1.6463659555989796</v>
      </c>
      <c r="E53" s="388">
        <f>E42+E46+E47+E50</f>
        <v>19004.125</v>
      </c>
      <c r="F53" s="388">
        <f>F42+F46+F47+F50</f>
        <v>31931.224299999998</v>
      </c>
      <c r="G53" s="390">
        <f t="shared" si="64"/>
        <v>-0.40484195590333188</v>
      </c>
      <c r="H53" s="391">
        <f t="shared" si="65"/>
        <v>10.261772115264449</v>
      </c>
      <c r="I53" s="391">
        <f t="shared" si="66"/>
        <v>2.307835092937542</v>
      </c>
      <c r="J53" s="390">
        <f t="shared" si="67"/>
        <v>3.4464927960700562</v>
      </c>
      <c r="K53" s="392">
        <f>K42+K46+K47+K50</f>
        <v>46232</v>
      </c>
      <c r="L53" s="392">
        <f>L42+L46+L47+L50</f>
        <v>37796</v>
      </c>
      <c r="M53" s="390">
        <f t="shared" si="68"/>
        <v>0.22319822203407769</v>
      </c>
      <c r="N53" s="392">
        <f>N42+N46+N47+N50</f>
        <v>2278</v>
      </c>
      <c r="O53" s="392">
        <f>O42+O46+O47+O50</f>
        <v>700</v>
      </c>
      <c r="P53" s="389">
        <f t="shared" si="69"/>
        <v>2.2542857142857144</v>
      </c>
      <c r="Q53" s="393">
        <f t="shared" si="70"/>
        <v>4.9273230662744416E-2</v>
      </c>
      <c r="R53" s="393">
        <f t="shared" si="71"/>
        <v>1.8520478357498149E-2</v>
      </c>
      <c r="S53" s="389">
        <f t="shared" si="72"/>
        <v>1.6604728944701255</v>
      </c>
      <c r="T53" s="388">
        <f t="shared" si="73"/>
        <v>8.3424604916593506</v>
      </c>
      <c r="U53" s="388">
        <f t="shared" si="74"/>
        <v>45.616034714285711</v>
      </c>
      <c r="V53" s="390">
        <f t="shared" si="75"/>
        <v>-0.8171156141932977</v>
      </c>
      <c r="W53" s="388">
        <f t="shared" si="76"/>
        <v>85.608428446005263</v>
      </c>
      <c r="X53" s="388">
        <f t="shared" si="77"/>
        <v>105.27428571428571</v>
      </c>
      <c r="Y53" s="389">
        <f t="shared" si="78"/>
        <v>-0.18680589599680175</v>
      </c>
      <c r="Z53" s="444">
        <f>Z42+Z46+Z47+Z50</f>
        <v>30834</v>
      </c>
      <c r="AA53" s="394">
        <f>AA42+AA46+AA47+AA50</f>
        <v>27869</v>
      </c>
      <c r="AB53" s="389">
        <f t="shared" si="79"/>
        <v>0.10639061322616528</v>
      </c>
      <c r="AC53" s="444">
        <f>AC42+AC46+AC47+AC50</f>
        <v>987973</v>
      </c>
      <c r="AD53" s="392">
        <f>AD42+AD46+AD47+AD50</f>
        <v>971882</v>
      </c>
      <c r="AE53" s="389">
        <f t="shared" si="80"/>
        <v>1.6556536698899661E-2</v>
      </c>
      <c r="AF53" s="393">
        <f t="shared" si="84"/>
        <v>3.120935491152086E-2</v>
      </c>
      <c r="AG53" s="393">
        <f t="shared" si="85"/>
        <v>2.8675291856418782E-2</v>
      </c>
      <c r="AH53" s="389">
        <f>(AF53-AG53)/AG53</f>
        <v>8.8370959493297874E-2</v>
      </c>
    </row>
    <row r="54" spans="1:34" x14ac:dyDescent="0.3">
      <c r="A54" s="359" t="s">
        <v>48</v>
      </c>
      <c r="B54" s="360" t="s">
        <v>1</v>
      </c>
      <c r="C54" s="360" t="s">
        <v>117</v>
      </c>
      <c r="D54" s="361" t="s">
        <v>24</v>
      </c>
      <c r="E54" s="360" t="s">
        <v>2</v>
      </c>
      <c r="F54" s="360" t="s">
        <v>99</v>
      </c>
      <c r="G54" s="361" t="s">
        <v>24</v>
      </c>
      <c r="H54" s="362" t="s">
        <v>3</v>
      </c>
      <c r="I54" s="362" t="s">
        <v>100</v>
      </c>
      <c r="J54" s="361" t="s">
        <v>24</v>
      </c>
      <c r="K54" s="362" t="s">
        <v>4</v>
      </c>
      <c r="L54" s="363" t="s">
        <v>101</v>
      </c>
      <c r="M54" s="361" t="s">
        <v>24</v>
      </c>
      <c r="N54" s="363" t="s">
        <v>5</v>
      </c>
      <c r="O54" s="363" t="s">
        <v>102</v>
      </c>
      <c r="P54" s="361" t="s">
        <v>24</v>
      </c>
      <c r="Q54" s="363" t="s">
        <v>109</v>
      </c>
      <c r="R54" s="363" t="s">
        <v>110</v>
      </c>
      <c r="S54" s="361" t="s">
        <v>24</v>
      </c>
      <c r="T54" s="364" t="s">
        <v>149</v>
      </c>
      <c r="U54" s="364" t="s">
        <v>150</v>
      </c>
      <c r="V54" s="361" t="s">
        <v>24</v>
      </c>
      <c r="W54" s="364" t="s">
        <v>6</v>
      </c>
      <c r="X54" s="364" t="s">
        <v>103</v>
      </c>
      <c r="Y54" s="361" t="s">
        <v>24</v>
      </c>
      <c r="Z54" s="446" t="s">
        <v>7</v>
      </c>
      <c r="AA54" s="363" t="s">
        <v>104</v>
      </c>
      <c r="AB54" s="361" t="s">
        <v>24</v>
      </c>
      <c r="AC54" s="442" t="s">
        <v>25</v>
      </c>
      <c r="AD54" s="365" t="s">
        <v>105</v>
      </c>
      <c r="AE54" s="361" t="s">
        <v>24</v>
      </c>
      <c r="AF54" s="366" t="s">
        <v>9</v>
      </c>
      <c r="AG54" s="366" t="s">
        <v>106</v>
      </c>
      <c r="AH54" s="361" t="s">
        <v>24</v>
      </c>
    </row>
    <row r="55" spans="1:34" s="367" customFormat="1" ht="20.100000000000001" customHeight="1" x14ac:dyDescent="0.3">
      <c r="A55" s="367" t="s">
        <v>10</v>
      </c>
      <c r="B55" s="368">
        <f>SUM(B56:B58)</f>
        <v>71293</v>
      </c>
      <c r="C55" s="368">
        <f>SUM(C56:C58)</f>
        <v>16676</v>
      </c>
      <c r="D55" s="369">
        <f t="shared" ref="D55:D66" si="86">(B55-C55)/C55</f>
        <v>3.2751858958982969</v>
      </c>
      <c r="E55" s="368">
        <f>SUM(E56:E58)</f>
        <v>6357.0399999999991</v>
      </c>
      <c r="F55" s="368">
        <f>SUM(F56:F58)</f>
        <v>11300.25</v>
      </c>
      <c r="G55" s="369">
        <f t="shared" ref="G55:G66" si="87">(E55-F55)/F55</f>
        <v>-0.43744253445720238</v>
      </c>
      <c r="H55" s="370">
        <f t="shared" ref="H55:H66" si="88">B55/E55</f>
        <v>11.214810666599551</v>
      </c>
      <c r="I55" s="370">
        <f t="shared" ref="I55:I66" si="89">C55/F55</f>
        <v>1.4757195637264662</v>
      </c>
      <c r="J55" s="369">
        <f t="shared" ref="J55:J66" si="90">(H55-I55)/I55</f>
        <v>6.5995541038163577</v>
      </c>
      <c r="K55" s="416">
        <f>SUM(K56:K58)</f>
        <v>24318</v>
      </c>
      <c r="L55" s="416">
        <f>SUM(L56:L58)</f>
        <v>21164</v>
      </c>
      <c r="M55" s="369">
        <f t="shared" ref="M55:M66" si="91">(K55-L55)/L55</f>
        <v>0.14902664902664903</v>
      </c>
      <c r="N55" s="416">
        <f>SUM(N56:N58)</f>
        <v>565</v>
      </c>
      <c r="O55" s="416">
        <f>SUM(O56:O58)</f>
        <v>173</v>
      </c>
      <c r="P55" s="369">
        <f t="shared" ref="P55:P66" si="92">(N55-O55)/O55</f>
        <v>2.2658959537572256</v>
      </c>
      <c r="Q55" s="372">
        <f t="shared" ref="Q55:Q66" si="93">N55/K55</f>
        <v>2.3233818570606135E-2</v>
      </c>
      <c r="R55" s="372">
        <f t="shared" ref="R55:R66" si="94">O55/L55</f>
        <v>8.1742581742581741E-3</v>
      </c>
      <c r="S55" s="369">
        <f t="shared" ref="S55:S66" si="95">(Q55-R55)/R55</f>
        <v>1.8423152383139205</v>
      </c>
      <c r="T55" s="368">
        <f t="shared" ref="T55:T66" si="96">E55/N55</f>
        <v>11.251398230088494</v>
      </c>
      <c r="U55" s="368">
        <f t="shared" ref="U55:U66" si="97">F55/O55</f>
        <v>65.319364161849705</v>
      </c>
      <c r="V55" s="369">
        <f t="shared" ref="V55:V66" si="98">(T55-U55)/U55</f>
        <v>-0.82774789108158575</v>
      </c>
      <c r="W55" s="368">
        <f t="shared" ref="W55:W66" si="99">B55/N55</f>
        <v>126.18230088495575</v>
      </c>
      <c r="X55" s="368">
        <f t="shared" ref="X55:X66" si="100">C55/O55</f>
        <v>96.393063583815035</v>
      </c>
      <c r="Y55" s="369">
        <f t="shared" ref="Y55:Y66" si="101">(W55-X55)/X55</f>
        <v>0.30903922122195632</v>
      </c>
      <c r="Z55" s="420">
        <f>SUM(Z56:Z58)</f>
        <v>18692</v>
      </c>
      <c r="AA55" s="416">
        <f>SUM(AA56:AA58)</f>
        <v>18166</v>
      </c>
      <c r="AB55" s="369">
        <f t="shared" ref="AB55:AB66" si="102">(Z55-AA55)/AA55</f>
        <v>2.895519101618408E-2</v>
      </c>
      <c r="AC55" s="420">
        <f>SUM(AC56:AC58)</f>
        <v>91602</v>
      </c>
      <c r="AD55" s="416">
        <f>SUM(AD56:AD58)</f>
        <v>152010</v>
      </c>
      <c r="AE55" s="369">
        <f t="shared" ref="AE55:AE66" si="103">(AC55-AD55)/AD55</f>
        <v>-0.39739490822972173</v>
      </c>
      <c r="AF55" s="372">
        <f t="shared" ref="AF55:AF58" si="104">Z55/AC55</f>
        <v>0.20405667998515317</v>
      </c>
      <c r="AG55" s="372">
        <f t="shared" ref="AG55:AG58" si="105">AA55/AD55</f>
        <v>0.11950529570422999</v>
      </c>
      <c r="AH55" s="369">
        <f>(AF55-AG55)/AG55</f>
        <v>0.70751161095140003</v>
      </c>
    </row>
    <row r="56" spans="1:34" outlineLevel="1" x14ac:dyDescent="0.3">
      <c r="A56" s="373" t="s">
        <v>29</v>
      </c>
      <c r="B56" s="374">
        <f>SUMIFS(Search!$E:$E,Search!$A:$A,"P5",Search!$D:$D,"Brand")</f>
        <v>69806</v>
      </c>
      <c r="C56" s="374">
        <f>SUMIFS(Search!$F:$F,Search!$A:$A,"P5",Search!$D:$D,"Brand")</f>
        <v>15182</v>
      </c>
      <c r="D56" s="369">
        <f t="shared" si="86"/>
        <v>3.5979449347912</v>
      </c>
      <c r="E56" s="374">
        <f>SUMIFS(Search!$I:$I,Search!$A:$A,"P5",Search!$D:$D,"Brand")</f>
        <v>1761.81</v>
      </c>
      <c r="F56" s="374">
        <f>SUMIFS(Search!$J:$J,Search!$A:$A,"P5",Search!$D:$D,"Brand")</f>
        <v>2114.52</v>
      </c>
      <c r="G56" s="375">
        <f t="shared" si="87"/>
        <v>-0.16680381363146249</v>
      </c>
      <c r="H56" s="376">
        <f t="shared" si="88"/>
        <v>39.621752629398173</v>
      </c>
      <c r="I56" s="376">
        <f t="shared" si="89"/>
        <v>7.1798800673438894</v>
      </c>
      <c r="J56" s="375">
        <f t="shared" si="90"/>
        <v>4.5184421268551587</v>
      </c>
      <c r="K56" s="417">
        <f>SUMIFS(Search!$Q:$Q,Search!$A:$A,"P5",Search!$D:$D,"Brand")</f>
        <v>20772</v>
      </c>
      <c r="L56" s="417">
        <f>SUMIFS(Search!$R:$R,Search!$A:$A,"P5",Search!$D:$D,"Brand")</f>
        <v>11979</v>
      </c>
      <c r="M56" s="375">
        <f t="shared" si="91"/>
        <v>0.73403456048084148</v>
      </c>
      <c r="N56" s="417">
        <f>SUMIFS(Search!$U:$U,Search!$A:$A,"P5",Search!$D:$D,"Brand")</f>
        <v>549</v>
      </c>
      <c r="O56" s="417">
        <f>SUMIFS(Search!$V:$V,Search!$A:$A,"P5",Search!$D:$D,"Brand")</f>
        <v>151</v>
      </c>
      <c r="P56" s="378">
        <f t="shared" si="92"/>
        <v>2.6357615894039736</v>
      </c>
      <c r="Q56" s="379">
        <f t="shared" si="93"/>
        <v>2.6429809358752165E-2</v>
      </c>
      <c r="R56" s="379">
        <f t="shared" si="94"/>
        <v>1.2605392770682027E-2</v>
      </c>
      <c r="S56" s="378">
        <f t="shared" si="95"/>
        <v>1.0967065318443192</v>
      </c>
      <c r="T56" s="374">
        <f t="shared" si="96"/>
        <v>3.2091256830601091</v>
      </c>
      <c r="U56" s="374">
        <f t="shared" si="97"/>
        <v>14.003443708609272</v>
      </c>
      <c r="V56" s="375">
        <f t="shared" si="98"/>
        <v>-0.77083310721011089</v>
      </c>
      <c r="W56" s="374">
        <f t="shared" si="99"/>
        <v>127.1511839708561</v>
      </c>
      <c r="X56" s="374">
        <f t="shared" si="100"/>
        <v>100.54304635761589</v>
      </c>
      <c r="Y56" s="378">
        <f t="shared" si="101"/>
        <v>0.26464423525222441</v>
      </c>
      <c r="Z56" s="419">
        <f>SUMIFS(Search!$AG:$AG,Search!$A:$A,"P5",Search!$D:$D,"Brand")</f>
        <v>15399</v>
      </c>
      <c r="AA56" s="417">
        <f>SUMIFS(Search!$AH:$AH,Search!$A:$A,"P5",Search!$D:$D,"Brand")</f>
        <v>9061</v>
      </c>
      <c r="AB56" s="378">
        <f t="shared" si="102"/>
        <v>0.6994812934554685</v>
      </c>
      <c r="AC56" s="419">
        <f>SUMIFS(Search!$AK:$AK,Search!$A:$A,"P5",Search!$D:$D,"Brand")</f>
        <v>43534</v>
      </c>
      <c r="AD56" s="417">
        <f>SUMIFS(Search!$AL:$AL,Search!$A:$A,"P5",Search!$D:$D,"Brand")</f>
        <v>26489</v>
      </c>
      <c r="AE56" s="378">
        <f t="shared" si="103"/>
        <v>0.64347464985465663</v>
      </c>
      <c r="AF56" s="379">
        <f t="shared" si="104"/>
        <v>0.35372352643910504</v>
      </c>
      <c r="AG56" s="379">
        <f t="shared" si="105"/>
        <v>0.34206651817735662</v>
      </c>
      <c r="AH56" s="378">
        <f>(AF56-AG56)/AG56</f>
        <v>3.4078191352549837E-2</v>
      </c>
    </row>
    <row r="57" spans="1:34" outlineLevel="1" x14ac:dyDescent="0.3">
      <c r="A57" s="373" t="s">
        <v>30</v>
      </c>
      <c r="B57" s="374">
        <f>SUMIFS(Search!$E:$E,Search!$A:$A,"P5",Search!$D:$D,"Non-Brand")</f>
        <v>1487</v>
      </c>
      <c r="C57" s="374">
        <f>SUMIFS(Search!$F:$F,Search!$A:$A,"P5",Search!$D:$D,"Non-Brand")</f>
        <v>1494</v>
      </c>
      <c r="D57" s="369">
        <f t="shared" si="86"/>
        <v>-4.6854082998661313E-3</v>
      </c>
      <c r="E57" s="374">
        <f>SUMIFS(Search!$I:$I,Search!$A:$A,"P5",Search!$D:$D,"Non-Brand")</f>
        <v>4595.2299999999996</v>
      </c>
      <c r="F57" s="374">
        <f>SUMIFS(Search!$J:$J,Search!$A:$A,"P5",Search!$D:$D,"Non-Brand")</f>
        <v>9185.73</v>
      </c>
      <c r="G57" s="375">
        <f t="shared" si="87"/>
        <v>-0.4997425354326766</v>
      </c>
      <c r="H57" s="376">
        <f t="shared" si="88"/>
        <v>0.32359642498852076</v>
      </c>
      <c r="I57" s="376">
        <f t="shared" si="89"/>
        <v>0.16264357868128065</v>
      </c>
      <c r="J57" s="375">
        <f t="shared" si="90"/>
        <v>0.98960467798514362</v>
      </c>
      <c r="K57" s="417">
        <f>SUMIFS(Search!$Q:$Q,Search!$A:$A,"P5",Search!$D:$D,"Non-Brand")</f>
        <v>3546</v>
      </c>
      <c r="L57" s="417">
        <f>SUMIFS(Search!$R:$R,Search!$A:$A,"P5",Search!$D:$D,"Non-Brand")</f>
        <v>9185</v>
      </c>
      <c r="M57" s="375">
        <f t="shared" si="91"/>
        <v>-0.61393576483396839</v>
      </c>
      <c r="N57" s="417">
        <f>SUMIFS(Search!$U:$U,Search!$A:$A,"P5",Search!$D:$D,"Non-Brand")</f>
        <v>16</v>
      </c>
      <c r="O57" s="417">
        <f>SUMIFS(Search!$V:$V,Search!$A:$A,"P5",Search!$D:$D,"Non-Brand")</f>
        <v>22</v>
      </c>
      <c r="P57" s="378">
        <f t="shared" si="92"/>
        <v>-0.27272727272727271</v>
      </c>
      <c r="Q57" s="379">
        <f t="shared" si="93"/>
        <v>4.5121263395375075E-3</v>
      </c>
      <c r="R57" s="379">
        <f t="shared" si="94"/>
        <v>2.3952095808383233E-3</v>
      </c>
      <c r="S57" s="378">
        <f t="shared" si="95"/>
        <v>0.88381274675690935</v>
      </c>
      <c r="T57" s="374">
        <f t="shared" si="96"/>
        <v>287.20187499999997</v>
      </c>
      <c r="U57" s="374">
        <f t="shared" si="97"/>
        <v>417.53318181818179</v>
      </c>
      <c r="V57" s="375">
        <f t="shared" si="98"/>
        <v>-0.31214598621993028</v>
      </c>
      <c r="W57" s="374">
        <f t="shared" si="99"/>
        <v>92.9375</v>
      </c>
      <c r="X57" s="374">
        <f t="shared" si="100"/>
        <v>67.909090909090907</v>
      </c>
      <c r="Y57" s="378">
        <f t="shared" si="101"/>
        <v>0.3685575635876841</v>
      </c>
      <c r="Z57" s="419">
        <f>SUMIFS(Search!$AG:$AG,Search!$A:$A,"P5",Search!$D:$D,"Non-Brand")</f>
        <v>3293</v>
      </c>
      <c r="AA57" s="417">
        <f>SUMIFS(Search!$AH:$AH,Search!$A:$A,"P5",Search!$D:$D,"Non-Brand")</f>
        <v>9105</v>
      </c>
      <c r="AB57" s="378">
        <f t="shared" si="102"/>
        <v>-0.63833058758923666</v>
      </c>
      <c r="AC57" s="419">
        <f>SUMIFS(Search!$AK:$AK,Search!$A:$A,"P5",Search!$D:$D,"Non-Brand")</f>
        <v>48068</v>
      </c>
      <c r="AD57" s="417">
        <f>SUMIFS(Search!$AL:$AL,Search!$A:$A,"P5",Search!$D:$D,"Non-Brand")</f>
        <v>125521</v>
      </c>
      <c r="AE57" s="378">
        <f t="shared" si="103"/>
        <v>-0.61705212673576537</v>
      </c>
      <c r="AF57" s="379">
        <f t="shared" si="104"/>
        <v>6.8507114920529244E-2</v>
      </c>
      <c r="AG57" s="379">
        <f t="shared" si="105"/>
        <v>7.2537663020530427E-2</v>
      </c>
      <c r="AH57" s="378">
        <f>(AF57-AG57)/AG57</f>
        <v>-5.5564901489318891E-2</v>
      </c>
    </row>
    <row r="58" spans="1:34" outlineLevel="1" x14ac:dyDescent="0.3">
      <c r="A58" s="373" t="s">
        <v>228</v>
      </c>
      <c r="B58" s="374">
        <f>SUMIFS(Search!$E:$E,Search!$A:$A,"P5",Search!$D:$D,"Shopping Campaigns")</f>
        <v>0</v>
      </c>
      <c r="C58" s="374">
        <f>SUMIFS(Search!$F:$F,Search!$A:$A,"P5",Search!$D:$D,"Shopping Campaigns")</f>
        <v>0</v>
      </c>
      <c r="D58" s="369" t="e">
        <f t="shared" si="86"/>
        <v>#DIV/0!</v>
      </c>
      <c r="E58" s="374">
        <f>SUMIFS(Search!$I:$I,Search!$A:$A,"P5",Search!$D:$D,"Shopping Campaigns")</f>
        <v>0</v>
      </c>
      <c r="F58" s="374">
        <f>SUMIFS(Search!$J:$J,Search!$A:$A,"P5",Search!$D:$D,"Shopping Campaigns")</f>
        <v>0</v>
      </c>
      <c r="G58" s="375" t="e">
        <f t="shared" si="87"/>
        <v>#DIV/0!</v>
      </c>
      <c r="H58" s="376" t="e">
        <f t="shared" si="88"/>
        <v>#DIV/0!</v>
      </c>
      <c r="I58" s="376" t="e">
        <f t="shared" si="89"/>
        <v>#DIV/0!</v>
      </c>
      <c r="J58" s="375" t="e">
        <f t="shared" si="90"/>
        <v>#DIV/0!</v>
      </c>
      <c r="K58" s="417">
        <f>SUMIFS(Search!$Q:$Q,Search!$A:$A,"P5",Search!$D:$D,"Shopping Campaigns")</f>
        <v>0</v>
      </c>
      <c r="L58" s="417">
        <f>SUMIFS(Search!$R:$R,Search!$A:$A,"P5",Search!$D:$D,"Shopping Campaigns")</f>
        <v>0</v>
      </c>
      <c r="M58" s="375" t="e">
        <f t="shared" si="91"/>
        <v>#DIV/0!</v>
      </c>
      <c r="N58" s="417">
        <f>SUMIFS(Search!$U:$U,Search!$A:$A,"P5",Search!$D:$D,"Shopping Campaigns")</f>
        <v>0</v>
      </c>
      <c r="O58" s="417">
        <f>SUMIFS(Search!$V:$V,Search!$A:$A,"P5",Search!$D:$D,"Shopping Campaigns")</f>
        <v>0</v>
      </c>
      <c r="P58" s="378" t="e">
        <f t="shared" si="92"/>
        <v>#DIV/0!</v>
      </c>
      <c r="Q58" s="379" t="e">
        <f t="shared" si="93"/>
        <v>#DIV/0!</v>
      </c>
      <c r="R58" s="379" t="e">
        <f t="shared" si="94"/>
        <v>#DIV/0!</v>
      </c>
      <c r="S58" s="378" t="e">
        <f t="shared" si="95"/>
        <v>#DIV/0!</v>
      </c>
      <c r="T58" s="374" t="e">
        <f t="shared" si="96"/>
        <v>#DIV/0!</v>
      </c>
      <c r="U58" s="374" t="e">
        <f t="shared" si="97"/>
        <v>#DIV/0!</v>
      </c>
      <c r="V58" s="375" t="e">
        <f t="shared" si="98"/>
        <v>#DIV/0!</v>
      </c>
      <c r="W58" s="374" t="e">
        <f t="shared" si="99"/>
        <v>#DIV/0!</v>
      </c>
      <c r="X58" s="374" t="e">
        <f t="shared" si="100"/>
        <v>#DIV/0!</v>
      </c>
      <c r="Y58" s="378" t="e">
        <f t="shared" si="101"/>
        <v>#DIV/0!</v>
      </c>
      <c r="Z58" s="419">
        <f>SUMIFS(Search!$AG:$AG,Search!$A:$A,"P5",Search!$D:$D,"Shopping Campaigns")</f>
        <v>0</v>
      </c>
      <c r="AA58" s="417">
        <f>SUMIFS(Search!$AH:$AH,Search!$A:$A,"P5",Search!$D:$D,"Shopping Campaigns")</f>
        <v>0</v>
      </c>
      <c r="AB58" s="378" t="e">
        <f t="shared" si="102"/>
        <v>#DIV/0!</v>
      </c>
      <c r="AC58" s="419">
        <f>SUMIFS(Search!$AK:$AK,Search!$A:$A,"P5",Search!$D:$D,"Shopping Campaigns")</f>
        <v>0</v>
      </c>
      <c r="AD58" s="417">
        <f>SUMIFS(Search!$AL:$AL,Search!$A:$A,"P5",Search!$D:$D,"Shopping Campaigns")</f>
        <v>0</v>
      </c>
      <c r="AE58" s="378" t="e">
        <f t="shared" si="103"/>
        <v>#DIV/0!</v>
      </c>
      <c r="AF58" s="379" t="e">
        <f t="shared" si="104"/>
        <v>#DIV/0!</v>
      </c>
      <c r="AG58" s="379" t="e">
        <f t="shared" si="105"/>
        <v>#DIV/0!</v>
      </c>
      <c r="AH58" s="378" t="e">
        <f t="shared" ref="AH58:AH65" si="106">(AF58-AG58)/AG58</f>
        <v>#DIV/0!</v>
      </c>
    </row>
    <row r="59" spans="1:34" s="367" customFormat="1" ht="21" customHeight="1" x14ac:dyDescent="0.3">
      <c r="A59" s="380" t="s">
        <v>13</v>
      </c>
      <c r="B59" s="368">
        <f>SUMIFS(Affiliate!D:D,Affiliate!$A:$A,"P5")</f>
        <v>147873</v>
      </c>
      <c r="C59" s="368">
        <f>SUMIFS(Affiliate!E:E,Affiliate!$A:$A,"P5")</f>
        <v>38012</v>
      </c>
      <c r="D59" s="369">
        <f t="shared" si="86"/>
        <v>2.8901662632852783</v>
      </c>
      <c r="E59" s="368">
        <f>SUMIFS(Affiliate!H:H,Affiliate!$A:$A,"P5")</f>
        <v>7952.58</v>
      </c>
      <c r="F59" s="368">
        <f>SUMIFS(Affiliate!I:I,Affiliate!$A:$A,"P5")</f>
        <v>10847.41</v>
      </c>
      <c r="G59" s="369">
        <f t="shared" si="87"/>
        <v>-0.26686831234368386</v>
      </c>
      <c r="H59" s="370">
        <f t="shared" si="88"/>
        <v>18.594342967942481</v>
      </c>
      <c r="I59" s="370">
        <f t="shared" si="89"/>
        <v>3.5042466358328856</v>
      </c>
      <c r="J59" s="369">
        <f t="shared" si="90"/>
        <v>4.3062312389216286</v>
      </c>
      <c r="K59" s="416">
        <f>SUMIFS(Affiliate!$AF:$AF,Affiliate!$A:$A,"P5")</f>
        <v>9549</v>
      </c>
      <c r="L59" s="416">
        <f>SUMIFS(Affiliate!$AG:$AG,Affiliate!$A:$A,"P5")</f>
        <v>6504</v>
      </c>
      <c r="M59" s="369">
        <f t="shared" si="91"/>
        <v>0.46817343173431736</v>
      </c>
      <c r="N59" s="416">
        <f>SUMIFS(Affiliate!$AJ:$AJ,Affiliate!$A:$A,"P5")</f>
        <v>1198</v>
      </c>
      <c r="O59" s="416">
        <f>SUMIFS(Affiliate!$AK:$AK,Affiliate!$A:$A,"P5")</f>
        <v>352</v>
      </c>
      <c r="P59" s="381">
        <f t="shared" si="92"/>
        <v>2.4034090909090908</v>
      </c>
      <c r="Q59" s="382">
        <f t="shared" si="93"/>
        <v>0.12545816315844591</v>
      </c>
      <c r="R59" s="382">
        <f t="shared" si="94"/>
        <v>5.4120541205412057E-2</v>
      </c>
      <c r="S59" s="381">
        <f t="shared" si="95"/>
        <v>1.3181246965412845</v>
      </c>
      <c r="T59" s="383">
        <f t="shared" si="96"/>
        <v>6.6382136894824706</v>
      </c>
      <c r="U59" s="383">
        <f t="shared" si="97"/>
        <v>30.816505681818182</v>
      </c>
      <c r="V59" s="369">
        <f t="shared" si="98"/>
        <v>-0.78458901998745978</v>
      </c>
      <c r="W59" s="383">
        <f t="shared" si="99"/>
        <v>123.43322203672788</v>
      </c>
      <c r="X59" s="383">
        <f t="shared" si="100"/>
        <v>107.98863636363636</v>
      </c>
      <c r="Y59" s="381">
        <f t="shared" si="101"/>
        <v>0.14302047134926382</v>
      </c>
      <c r="Z59" s="443"/>
      <c r="AA59" s="384"/>
      <c r="AB59" s="381" t="e">
        <f t="shared" si="102"/>
        <v>#DIV/0!</v>
      </c>
      <c r="AC59" s="443"/>
      <c r="AD59" s="384"/>
      <c r="AE59" s="381" t="e">
        <f t="shared" si="103"/>
        <v>#DIV/0!</v>
      </c>
      <c r="AF59" s="385"/>
      <c r="AG59" s="385"/>
      <c r="AH59" s="381" t="e">
        <f t="shared" si="106"/>
        <v>#DIV/0!</v>
      </c>
    </row>
    <row r="60" spans="1:34" s="367" customFormat="1" ht="20.100000000000001" customHeight="1" x14ac:dyDescent="0.3">
      <c r="A60" s="367" t="s">
        <v>14</v>
      </c>
      <c r="B60" s="368">
        <f>SUM(B61:B62)</f>
        <v>2787</v>
      </c>
      <c r="C60" s="368">
        <f>SUM(C61:C62)</f>
        <v>598</v>
      </c>
      <c r="D60" s="369">
        <f t="shared" si="86"/>
        <v>3.6605351170568561</v>
      </c>
      <c r="E60" s="368">
        <f>SUM(E61:E62)</f>
        <v>8673.49</v>
      </c>
      <c r="F60" s="368">
        <f>SUM(F61:F62)</f>
        <v>5425</v>
      </c>
      <c r="G60" s="369">
        <f t="shared" si="87"/>
        <v>0.5988</v>
      </c>
      <c r="H60" s="370">
        <f t="shared" si="88"/>
        <v>0.32132394226545485</v>
      </c>
      <c r="I60" s="370">
        <f t="shared" si="89"/>
        <v>0.11023041474654378</v>
      </c>
      <c r="J60" s="369">
        <f t="shared" si="90"/>
        <v>1.9150207136958071</v>
      </c>
      <c r="K60" s="416">
        <f>SUM(K61:K62)</f>
        <v>12236</v>
      </c>
      <c r="L60" s="416">
        <f>SUM(L61:L62)</f>
        <v>702</v>
      </c>
      <c r="M60" s="369">
        <f t="shared" si="91"/>
        <v>16.43019943019943</v>
      </c>
      <c r="N60" s="416">
        <f>SUM(N61:N62)</f>
        <v>24</v>
      </c>
      <c r="O60" s="416">
        <f>SUM(O61:O62)</f>
        <v>5</v>
      </c>
      <c r="P60" s="381">
        <f t="shared" si="92"/>
        <v>3.8</v>
      </c>
      <c r="Q60" s="382">
        <f t="shared" si="93"/>
        <v>1.9614253023864008E-3</v>
      </c>
      <c r="R60" s="382">
        <f t="shared" si="94"/>
        <v>7.1225071225071226E-3</v>
      </c>
      <c r="S60" s="381">
        <f t="shared" si="95"/>
        <v>-0.72461588754494932</v>
      </c>
      <c r="T60" s="383">
        <f t="shared" si="96"/>
        <v>361.39541666666668</v>
      </c>
      <c r="U60" s="383">
        <f t="shared" si="97"/>
        <v>1085</v>
      </c>
      <c r="V60" s="369">
        <f t="shared" si="98"/>
        <v>-0.6669166666666666</v>
      </c>
      <c r="W60" s="383">
        <f t="shared" si="99"/>
        <v>116.125</v>
      </c>
      <c r="X60" s="383">
        <f t="shared" si="100"/>
        <v>119.6</v>
      </c>
      <c r="Y60" s="381">
        <f t="shared" si="101"/>
        <v>-2.9055183946488247E-2</v>
      </c>
      <c r="Z60" s="420">
        <f>SUM(Z61:Z62)</f>
        <v>13078</v>
      </c>
      <c r="AA60" s="416">
        <f>SUM(AA61:AA62)</f>
        <v>2982</v>
      </c>
      <c r="AB60" s="381">
        <f t="shared" si="102"/>
        <v>3.385647216633132</v>
      </c>
      <c r="AC60" s="420">
        <f>SUM(AC61:AC62)</f>
        <v>826124</v>
      </c>
      <c r="AD60" s="416">
        <f>SUM(AD61:AD62)</f>
        <v>670740</v>
      </c>
      <c r="AE60" s="381">
        <f t="shared" si="103"/>
        <v>0.23166055401496854</v>
      </c>
      <c r="AF60" s="382">
        <f t="shared" ref="AF60:AF66" si="107">Z60/AC60</f>
        <v>1.5830553282558068E-2</v>
      </c>
      <c r="AG60" s="382">
        <f t="shared" ref="AG60:AG66" si="108">AA60/AD60</f>
        <v>4.4458359423919852E-3</v>
      </c>
      <c r="AH60" s="381">
        <f t="shared" si="106"/>
        <v>2.5607596608796102</v>
      </c>
    </row>
    <row r="61" spans="1:34" outlineLevel="1" x14ac:dyDescent="0.3">
      <c r="A61" s="373" t="s">
        <v>285</v>
      </c>
      <c r="B61" s="374">
        <f>SUMIFS('Social - Promos'!$E:$E,'Social - Promos'!$A:$A,"p5")</f>
        <v>2787</v>
      </c>
      <c r="C61" s="374">
        <f>SUMIFS('Social - Promos'!$F:$F,'Social - Promos'!$A:$A,"p5")</f>
        <v>598</v>
      </c>
      <c r="D61" s="369">
        <f t="shared" si="86"/>
        <v>3.6605351170568561</v>
      </c>
      <c r="E61" s="374">
        <f>SUMIFS('Social - Promos'!$K:$K,'Social - Promos'!$A:$A,"p5")</f>
        <v>8673.49</v>
      </c>
      <c r="F61" s="374">
        <f>SUMIFS('Social - Promos'!$L:$L,'Social - Promos'!$A:$A,"p5")</f>
        <v>5425</v>
      </c>
      <c r="G61" s="375">
        <f t="shared" si="87"/>
        <v>0.5988</v>
      </c>
      <c r="H61" s="386">
        <f t="shared" si="88"/>
        <v>0.32132394226545485</v>
      </c>
      <c r="I61" s="386">
        <f t="shared" si="89"/>
        <v>0.11023041474654378</v>
      </c>
      <c r="J61" s="375">
        <f t="shared" si="90"/>
        <v>1.9150207136958071</v>
      </c>
      <c r="K61" s="417">
        <f>SUMIFS('Social - Promos'!$T:$T,'Social - Promos'!$A:$A,"p5")</f>
        <v>12236</v>
      </c>
      <c r="L61" s="417">
        <f>SUMIFS('Social - Promos'!$U:$U,'Social - Promos'!$A:$A,"p5")</f>
        <v>702</v>
      </c>
      <c r="M61" s="375">
        <f t="shared" si="91"/>
        <v>16.43019943019943</v>
      </c>
      <c r="N61" s="417">
        <f>SUMIFS('Social - Promos'!$W:$W,'Social - Promos'!$A:$A,"p5")</f>
        <v>24</v>
      </c>
      <c r="O61" s="417">
        <f>SUMIFS('Social - Promos'!$X:$X,'Social - Promos'!$A:$A,"p5")</f>
        <v>5</v>
      </c>
      <c r="P61" s="378">
        <f t="shared" si="92"/>
        <v>3.8</v>
      </c>
      <c r="Q61" s="379">
        <f t="shared" si="93"/>
        <v>1.9614253023864008E-3</v>
      </c>
      <c r="R61" s="379">
        <f t="shared" si="94"/>
        <v>7.1225071225071226E-3</v>
      </c>
      <c r="S61" s="378">
        <f t="shared" si="95"/>
        <v>-0.72461588754494932</v>
      </c>
      <c r="T61" s="374">
        <f t="shared" si="96"/>
        <v>361.39541666666668</v>
      </c>
      <c r="U61" s="374">
        <f t="shared" si="97"/>
        <v>1085</v>
      </c>
      <c r="V61" s="375">
        <f t="shared" si="98"/>
        <v>-0.6669166666666666</v>
      </c>
      <c r="W61" s="374">
        <f t="shared" si="99"/>
        <v>116.125</v>
      </c>
      <c r="X61" s="374">
        <f t="shared" si="100"/>
        <v>119.6</v>
      </c>
      <c r="Y61" s="378">
        <f t="shared" si="101"/>
        <v>-2.9055183946488247E-2</v>
      </c>
      <c r="Z61" s="419">
        <f>SUMIFS('Social - Promos'!$AF:$AF,'Social - Promos'!$A:$A,"p5")</f>
        <v>13078</v>
      </c>
      <c r="AA61" s="417">
        <f>SUMIFS('Social - Promos'!$AG:$AG,'Social - Promos'!$A:$A,"p5")</f>
        <v>2982</v>
      </c>
      <c r="AB61" s="378">
        <f t="shared" si="102"/>
        <v>3.385647216633132</v>
      </c>
      <c r="AC61" s="419">
        <f>SUMIFS('Social - Promos'!$AI:$AI,'Social - Promos'!$A:$A,"p5")</f>
        <v>826124</v>
      </c>
      <c r="AD61" s="417">
        <f>SUMIFS('Social - Promos'!$AJ:$AJ,'Social - Promos'!$A:$A,"p5")</f>
        <v>670740</v>
      </c>
      <c r="AE61" s="378">
        <f t="shared" si="103"/>
        <v>0.23166055401496854</v>
      </c>
      <c r="AF61" s="379">
        <f t="shared" si="107"/>
        <v>1.5830553282558068E-2</v>
      </c>
      <c r="AG61" s="379">
        <f t="shared" si="108"/>
        <v>4.4458359423919852E-3</v>
      </c>
      <c r="AH61" s="378">
        <f t="shared" si="106"/>
        <v>2.5607596608796102</v>
      </c>
    </row>
    <row r="62" spans="1:34" outlineLevel="1" x14ac:dyDescent="0.3">
      <c r="A62" s="373" t="s">
        <v>286</v>
      </c>
      <c r="B62" s="374">
        <f>SUMIFS('Social - Remarketing'!$D:$D,'Social - Remarketing'!$A:$A,"P5")</f>
        <v>0</v>
      </c>
      <c r="C62" s="374">
        <f>SUMIFS('Social - Remarketing'!$E:$E,'Social - Remarketing'!$A:$A,"P5")</f>
        <v>0</v>
      </c>
      <c r="D62" s="369" t="e">
        <f t="shared" si="86"/>
        <v>#DIV/0!</v>
      </c>
      <c r="E62" s="374">
        <f>SUMIFS('Social - Remarketing'!$H:$H,'Social - Remarketing'!$A:$A,"P5")</f>
        <v>0</v>
      </c>
      <c r="F62" s="374">
        <f>SUMIFS('Social - Remarketing'!$I:$I,'Social - Remarketing'!$A:$A,"P5")</f>
        <v>0</v>
      </c>
      <c r="G62" s="369" t="e">
        <f t="shared" si="87"/>
        <v>#DIV/0!</v>
      </c>
      <c r="H62" s="386" t="e">
        <f t="shared" si="88"/>
        <v>#DIV/0!</v>
      </c>
      <c r="I62" s="386" t="e">
        <f t="shared" si="89"/>
        <v>#DIV/0!</v>
      </c>
      <c r="J62" s="369" t="e">
        <f t="shared" si="90"/>
        <v>#DIV/0!</v>
      </c>
      <c r="K62" s="417">
        <f>SUMIFS('Social - Remarketing'!$X:$X,'Social - Remarketing'!$A:$A,"P5")</f>
        <v>0</v>
      </c>
      <c r="L62" s="417">
        <f>SUMIFS('Social - Remarketing'!$Y:$Y,'Social - Remarketing'!$A:$A,"P5")</f>
        <v>0</v>
      </c>
      <c r="M62" s="375" t="e">
        <f t="shared" si="91"/>
        <v>#DIV/0!</v>
      </c>
      <c r="N62" s="417">
        <f>SUMIFS('Social - Remarketing'!$AB:$AB,'Social - Remarketing'!$A:$A,"P5")</f>
        <v>0</v>
      </c>
      <c r="O62" s="417">
        <f>SUMIFS('Social - Remarketing'!$AC:$AC,'Social - Remarketing'!$A:$A,"P5")</f>
        <v>0</v>
      </c>
      <c r="P62" s="378" t="e">
        <f t="shared" si="92"/>
        <v>#DIV/0!</v>
      </c>
      <c r="Q62" s="379" t="e">
        <f t="shared" si="93"/>
        <v>#DIV/0!</v>
      </c>
      <c r="R62" s="379" t="e">
        <f t="shared" si="94"/>
        <v>#DIV/0!</v>
      </c>
      <c r="S62" s="378" t="e">
        <f t="shared" si="95"/>
        <v>#DIV/0!</v>
      </c>
      <c r="T62" s="374" t="e">
        <f t="shared" si="96"/>
        <v>#DIV/0!</v>
      </c>
      <c r="U62" s="374" t="e">
        <f t="shared" si="97"/>
        <v>#DIV/0!</v>
      </c>
      <c r="V62" s="375" t="e">
        <f t="shared" si="98"/>
        <v>#DIV/0!</v>
      </c>
      <c r="W62" s="374" t="e">
        <f t="shared" si="99"/>
        <v>#DIV/0!</v>
      </c>
      <c r="X62" s="374" t="e">
        <f t="shared" si="100"/>
        <v>#DIV/0!</v>
      </c>
      <c r="Y62" s="378" t="e">
        <f t="shared" si="101"/>
        <v>#DIV/0!</v>
      </c>
      <c r="Z62" s="419">
        <f>SUMIFS('Social - Remarketing'!$AN:$AN,'Social - Remarketing'!$A:$A,"P5")</f>
        <v>0</v>
      </c>
      <c r="AA62" s="417">
        <f>SUMIFS('Social - Remarketing'!$AO:$AO,'Social - Remarketing'!$A:$A,"P5")</f>
        <v>0</v>
      </c>
      <c r="AB62" s="378" t="e">
        <f t="shared" si="102"/>
        <v>#DIV/0!</v>
      </c>
      <c r="AC62" s="419">
        <f>SUMIFS('Social - Remarketing'!$AR:$AR,'Social - Remarketing'!$A:$A,"P5")</f>
        <v>0</v>
      </c>
      <c r="AD62" s="417">
        <f>SUMIFS('Social - Remarketing'!$AS:$AS,'Social - Remarketing'!$A:$A,"P5")</f>
        <v>0</v>
      </c>
      <c r="AE62" s="378" t="e">
        <f t="shared" si="103"/>
        <v>#DIV/0!</v>
      </c>
      <c r="AF62" s="379" t="e">
        <f t="shared" si="107"/>
        <v>#DIV/0!</v>
      </c>
      <c r="AG62" s="379" t="e">
        <f t="shared" si="108"/>
        <v>#DIV/0!</v>
      </c>
      <c r="AH62" s="378" t="e">
        <f t="shared" si="106"/>
        <v>#DIV/0!</v>
      </c>
    </row>
    <row r="63" spans="1:34" s="367" customFormat="1" ht="21" customHeight="1" x14ac:dyDescent="0.3">
      <c r="A63" s="367" t="s">
        <v>15</v>
      </c>
      <c r="B63" s="368">
        <f>SUM(B64:B65)</f>
        <v>0</v>
      </c>
      <c r="C63" s="368">
        <f>SUM(C64:C65)</f>
        <v>0</v>
      </c>
      <c r="D63" s="369" t="e">
        <f t="shared" si="86"/>
        <v>#DIV/0!</v>
      </c>
      <c r="E63" s="368">
        <f>SUM(E64:E65)</f>
        <v>0</v>
      </c>
      <c r="F63" s="368">
        <f>SUM(F64:F65)</f>
        <v>0</v>
      </c>
      <c r="G63" s="369" t="e">
        <f t="shared" si="87"/>
        <v>#DIV/0!</v>
      </c>
      <c r="H63" s="370" t="e">
        <f t="shared" si="88"/>
        <v>#DIV/0!</v>
      </c>
      <c r="I63" s="370" t="e">
        <f t="shared" si="89"/>
        <v>#DIV/0!</v>
      </c>
      <c r="J63" s="369" t="e">
        <f t="shared" si="90"/>
        <v>#DIV/0!</v>
      </c>
      <c r="K63" s="416">
        <f>SUM(K64:K65)</f>
        <v>5</v>
      </c>
      <c r="L63" s="416">
        <f>SUM(L64:L65)</f>
        <v>0</v>
      </c>
      <c r="M63" s="369" t="e">
        <f t="shared" si="91"/>
        <v>#DIV/0!</v>
      </c>
      <c r="N63" s="416">
        <f>SUM(N64:N65)</f>
        <v>0</v>
      </c>
      <c r="O63" s="416">
        <f>SUM(O64:O65)</f>
        <v>0</v>
      </c>
      <c r="P63" s="381" t="e">
        <f t="shared" si="92"/>
        <v>#DIV/0!</v>
      </c>
      <c r="Q63" s="382">
        <f t="shared" si="93"/>
        <v>0</v>
      </c>
      <c r="R63" s="382" t="e">
        <f t="shared" si="94"/>
        <v>#DIV/0!</v>
      </c>
      <c r="S63" s="381" t="e">
        <f t="shared" si="95"/>
        <v>#DIV/0!</v>
      </c>
      <c r="T63" s="383" t="e">
        <f t="shared" si="96"/>
        <v>#DIV/0!</v>
      </c>
      <c r="U63" s="383" t="e">
        <f t="shared" si="97"/>
        <v>#DIV/0!</v>
      </c>
      <c r="V63" s="369" t="e">
        <f t="shared" si="98"/>
        <v>#DIV/0!</v>
      </c>
      <c r="W63" s="383" t="e">
        <f t="shared" si="99"/>
        <v>#DIV/0!</v>
      </c>
      <c r="X63" s="383" t="e">
        <f t="shared" si="100"/>
        <v>#DIV/0!</v>
      </c>
      <c r="Y63" s="381" t="e">
        <f t="shared" si="101"/>
        <v>#DIV/0!</v>
      </c>
      <c r="Z63" s="420">
        <f>SUM(Z64:Z65)</f>
        <v>0</v>
      </c>
      <c r="AA63" s="416">
        <f>SUM(AA64:AA65)</f>
        <v>0</v>
      </c>
      <c r="AB63" s="381" t="e">
        <f t="shared" si="102"/>
        <v>#DIV/0!</v>
      </c>
      <c r="AC63" s="420">
        <f>SUM(AC64:AC65)</f>
        <v>0</v>
      </c>
      <c r="AD63" s="416">
        <f>SUM(AD64:AD65)</f>
        <v>0</v>
      </c>
      <c r="AE63" s="381" t="e">
        <f t="shared" si="103"/>
        <v>#DIV/0!</v>
      </c>
      <c r="AF63" s="382" t="e">
        <f t="shared" si="107"/>
        <v>#DIV/0!</v>
      </c>
      <c r="AG63" s="382" t="e">
        <f t="shared" si="108"/>
        <v>#DIV/0!</v>
      </c>
      <c r="AH63" s="381" t="e">
        <f t="shared" si="106"/>
        <v>#DIV/0!</v>
      </c>
    </row>
    <row r="64" spans="1:34" outlineLevel="1" x14ac:dyDescent="0.3">
      <c r="A64" s="373" t="s">
        <v>285</v>
      </c>
      <c r="B64" s="374">
        <f>SUMIFS('Display - Promos'!$E:$E,'Display - Promos'!$A:$A,"P5")</f>
        <v>0</v>
      </c>
      <c r="C64" s="374">
        <f>SUMIFS('Display - Promos'!$F:$F,'Display - Promos'!$A:$A,"P5")</f>
        <v>0</v>
      </c>
      <c r="D64" s="375" t="e">
        <f t="shared" si="86"/>
        <v>#DIV/0!</v>
      </c>
      <c r="E64" s="374">
        <f>SUMIFS('Display - Promos'!$H:$H,'Display - Promos'!$A:$A,"p5")</f>
        <v>0</v>
      </c>
      <c r="F64" s="374">
        <f>SUMIFS('Display - Promos'!$I:$I,'Display - Promos'!$A:$A,"p5")</f>
        <v>0</v>
      </c>
      <c r="G64" s="375" t="e">
        <f t="shared" si="87"/>
        <v>#DIV/0!</v>
      </c>
      <c r="H64" s="386" t="e">
        <f t="shared" si="88"/>
        <v>#DIV/0!</v>
      </c>
      <c r="I64" s="386" t="e">
        <f t="shared" si="89"/>
        <v>#DIV/0!</v>
      </c>
      <c r="J64" s="369" t="e">
        <f t="shared" si="90"/>
        <v>#DIV/0!</v>
      </c>
      <c r="K64" s="417">
        <f>SUMIFS('Display - Promos'!$N:$N,'Display - Promos'!$A:$A,"p5")</f>
        <v>5</v>
      </c>
      <c r="L64" s="417">
        <f>SUMIFS('Display - Promos'!$O:$O,'Display - Promos'!$A:$A,"p5")</f>
        <v>0</v>
      </c>
      <c r="M64" s="375" t="e">
        <f t="shared" si="91"/>
        <v>#DIV/0!</v>
      </c>
      <c r="N64" s="417">
        <f>SUMIFS('Display - Promos'!$Q:$Q,'Display - Promos'!$A:$A,"p5")</f>
        <v>0</v>
      </c>
      <c r="O64" s="417">
        <f>SUMIFS('Display - Promos'!$R:$R,'Display - Promos'!$A:$A,"p5")</f>
        <v>0</v>
      </c>
      <c r="P64" s="378" t="e">
        <f t="shared" si="92"/>
        <v>#DIV/0!</v>
      </c>
      <c r="Q64" s="379">
        <f t="shared" si="93"/>
        <v>0</v>
      </c>
      <c r="R64" s="379" t="e">
        <f t="shared" si="94"/>
        <v>#DIV/0!</v>
      </c>
      <c r="S64" s="378" t="e">
        <f t="shared" si="95"/>
        <v>#DIV/0!</v>
      </c>
      <c r="T64" s="374" t="e">
        <f t="shared" si="96"/>
        <v>#DIV/0!</v>
      </c>
      <c r="U64" s="374" t="e">
        <f t="shared" si="97"/>
        <v>#DIV/0!</v>
      </c>
      <c r="V64" s="375" t="e">
        <f t="shared" si="98"/>
        <v>#DIV/0!</v>
      </c>
      <c r="W64" s="374" t="e">
        <f t="shared" si="99"/>
        <v>#DIV/0!</v>
      </c>
      <c r="X64" s="374" t="e">
        <f t="shared" si="100"/>
        <v>#DIV/0!</v>
      </c>
      <c r="Y64" s="378" t="e">
        <f t="shared" si="101"/>
        <v>#DIV/0!</v>
      </c>
      <c r="Z64" s="419">
        <f>SUMIFS('Display - Promos'!$W:$W,'Display - Promos'!$A:$A,"p5")</f>
        <v>0</v>
      </c>
      <c r="AA64" s="417">
        <f>SUMIFS('Display - Promos'!$X:$X,'Display - Promos'!$A:$A,"p5")</f>
        <v>0</v>
      </c>
      <c r="AB64" s="378" t="e">
        <f t="shared" si="102"/>
        <v>#DIV/0!</v>
      </c>
      <c r="AC64" s="419">
        <f>SUMIFS('Display - Promos'!$Z:$Z,'Display - Promos'!$A:$A,"p5")</f>
        <v>0</v>
      </c>
      <c r="AD64" s="417">
        <f>SUMIFS('Display - Promos'!$AA:$AA,'Display - Promos'!$A:$A,"p5")</f>
        <v>0</v>
      </c>
      <c r="AE64" s="378" t="e">
        <f t="shared" si="103"/>
        <v>#DIV/0!</v>
      </c>
      <c r="AF64" s="379" t="e">
        <f t="shared" si="107"/>
        <v>#DIV/0!</v>
      </c>
      <c r="AG64" s="379" t="e">
        <f t="shared" si="108"/>
        <v>#DIV/0!</v>
      </c>
      <c r="AH64" s="378" t="e">
        <f t="shared" si="106"/>
        <v>#DIV/0!</v>
      </c>
    </row>
    <row r="65" spans="1:34" ht="19.5" outlineLevel="1" thickBot="1" x14ac:dyDescent="0.35">
      <c r="A65" s="373" t="s">
        <v>286</v>
      </c>
      <c r="B65" s="374">
        <f>SUMIFS('Display - Remarketing'!$D:$D,'Display - Remarketing'!$A:$A,"P5")</f>
        <v>0</v>
      </c>
      <c r="C65" s="374">
        <f>SUMIFS('Display - Remarketing'!$E:$E,'Display - Remarketing'!$A:$A,"P5")</f>
        <v>0</v>
      </c>
      <c r="D65" s="369" t="e">
        <f t="shared" si="86"/>
        <v>#DIV/0!</v>
      </c>
      <c r="E65" s="374">
        <f>SUMIFS('Display - Remarketing'!$H:$H,'Display - Remarketing'!$A:$A,"P5")</f>
        <v>0</v>
      </c>
      <c r="F65" s="374">
        <f>SUMIFS('Display - Remarketing'!$I:$I,'Display - Remarketing'!$A:$A,"P5")</f>
        <v>0</v>
      </c>
      <c r="G65" s="369" t="e">
        <f t="shared" si="87"/>
        <v>#DIV/0!</v>
      </c>
      <c r="H65" s="386" t="e">
        <f t="shared" si="88"/>
        <v>#DIV/0!</v>
      </c>
      <c r="I65" s="386" t="e">
        <f t="shared" si="89"/>
        <v>#DIV/0!</v>
      </c>
      <c r="J65" s="369" t="e">
        <f t="shared" si="90"/>
        <v>#DIV/0!</v>
      </c>
      <c r="K65" s="417">
        <f>SUMIFS('Display - Remarketing'!$P:$P,'Display - Remarketing'!$A:$A,"P5")</f>
        <v>0</v>
      </c>
      <c r="L65" s="417">
        <f>SUMIFS('Display - Remarketing'!$Q:$Q,'Display - Remarketing'!$A:$A,"P5")</f>
        <v>0</v>
      </c>
      <c r="M65" s="375" t="e">
        <f t="shared" si="91"/>
        <v>#DIV/0!</v>
      </c>
      <c r="N65" s="417">
        <f>SUMIFS('Display - Remarketing'!$T:$T,'Display - Remarketing'!$A:$A,"P5")</f>
        <v>0</v>
      </c>
      <c r="O65" s="417">
        <f>SUMIFS('Display - Remarketing'!$U:$U,'Display - Remarketing'!$A:$A,"P5")</f>
        <v>0</v>
      </c>
      <c r="P65" s="378" t="e">
        <f t="shared" si="92"/>
        <v>#DIV/0!</v>
      </c>
      <c r="Q65" s="379" t="e">
        <f t="shared" si="93"/>
        <v>#DIV/0!</v>
      </c>
      <c r="R65" s="379" t="e">
        <f t="shared" si="94"/>
        <v>#DIV/0!</v>
      </c>
      <c r="S65" s="378" t="e">
        <f t="shared" si="95"/>
        <v>#DIV/0!</v>
      </c>
      <c r="T65" s="374" t="e">
        <f t="shared" si="96"/>
        <v>#DIV/0!</v>
      </c>
      <c r="U65" s="374" t="e">
        <f t="shared" si="97"/>
        <v>#DIV/0!</v>
      </c>
      <c r="V65" s="375" t="e">
        <f t="shared" si="98"/>
        <v>#DIV/0!</v>
      </c>
      <c r="W65" s="374" t="e">
        <f t="shared" si="99"/>
        <v>#DIV/0!</v>
      </c>
      <c r="X65" s="374" t="e">
        <f t="shared" si="100"/>
        <v>#DIV/0!</v>
      </c>
      <c r="Y65" s="378" t="e">
        <f t="shared" si="101"/>
        <v>#DIV/0!</v>
      </c>
      <c r="Z65" s="419">
        <f>SUMIFS('Display - Remarketing'!$AB:$AB,'Display - Remarketing'!$A:$A,"p5")</f>
        <v>0</v>
      </c>
      <c r="AA65" s="417">
        <f>SUMIFS('Display - Remarketing'!$AC:$AC,'Display - Remarketing'!$A:$A,"P5")</f>
        <v>0</v>
      </c>
      <c r="AB65" s="378" t="e">
        <f t="shared" si="102"/>
        <v>#DIV/0!</v>
      </c>
      <c r="AC65" s="419">
        <f>SUMIFS('Display - Remarketing'!$AF:$AF,'Display - Remarketing'!$A:$A,"P5")</f>
        <v>0</v>
      </c>
      <c r="AD65" s="417">
        <f>SUMIFS('Display - Remarketing'!$AG:$AG,'Display - Remarketing'!$A:$A,"P5")</f>
        <v>0</v>
      </c>
      <c r="AE65" s="378" t="e">
        <f t="shared" si="103"/>
        <v>#DIV/0!</v>
      </c>
      <c r="AF65" s="379" t="e">
        <f t="shared" si="107"/>
        <v>#DIV/0!</v>
      </c>
      <c r="AG65" s="379" t="e">
        <f t="shared" si="108"/>
        <v>#DIV/0!</v>
      </c>
      <c r="AH65" s="378" t="e">
        <f t="shared" si="106"/>
        <v>#DIV/0!</v>
      </c>
    </row>
    <row r="66" spans="1:34" s="395" customFormat="1" ht="22.5" thickTop="1" thickBot="1" x14ac:dyDescent="0.4">
      <c r="A66" s="387" t="s">
        <v>16</v>
      </c>
      <c r="B66" s="388">
        <f>B55+B59+B60+B63</f>
        <v>221953</v>
      </c>
      <c r="C66" s="388">
        <f>C55+C59+C60+C63</f>
        <v>55286</v>
      </c>
      <c r="D66" s="389">
        <f t="shared" si="86"/>
        <v>3.0146329993126653</v>
      </c>
      <c r="E66" s="388">
        <f>E55+E59+E60+E63</f>
        <v>22983.11</v>
      </c>
      <c r="F66" s="388">
        <f>F55+F59+F60+F63</f>
        <v>27572.66</v>
      </c>
      <c r="G66" s="390">
        <f t="shared" si="87"/>
        <v>-0.16645292837180015</v>
      </c>
      <c r="H66" s="391">
        <f t="shared" si="88"/>
        <v>9.6572221949074777</v>
      </c>
      <c r="I66" s="391">
        <f t="shared" si="89"/>
        <v>2.0051021555410324</v>
      </c>
      <c r="J66" s="390">
        <f t="shared" si="90"/>
        <v>3.8163242796483305</v>
      </c>
      <c r="K66" s="392">
        <f>K55+K59+K60+K63</f>
        <v>46108</v>
      </c>
      <c r="L66" s="392">
        <f>L55+L59+L60+L63</f>
        <v>28370</v>
      </c>
      <c r="M66" s="390">
        <f t="shared" si="91"/>
        <v>0.62523792738808603</v>
      </c>
      <c r="N66" s="392">
        <f>N55+N59+N60+N63</f>
        <v>1787</v>
      </c>
      <c r="O66" s="392">
        <f>O55+O59+O60+O63</f>
        <v>530</v>
      </c>
      <c r="P66" s="389">
        <f t="shared" si="92"/>
        <v>2.3716981132075472</v>
      </c>
      <c r="Q66" s="393">
        <f t="shared" si="93"/>
        <v>3.8756831786241001E-2</v>
      </c>
      <c r="R66" s="393">
        <f t="shared" si="94"/>
        <v>1.8681706027493833E-2</v>
      </c>
      <c r="S66" s="389">
        <f t="shared" si="95"/>
        <v>1.0745873920295417</v>
      </c>
      <c r="T66" s="388">
        <f t="shared" si="96"/>
        <v>12.861281477336318</v>
      </c>
      <c r="U66" s="388">
        <f t="shared" si="97"/>
        <v>52.023886792452828</v>
      </c>
      <c r="V66" s="390">
        <f t="shared" si="98"/>
        <v>-0.75278122665755676</v>
      </c>
      <c r="W66" s="388">
        <f t="shared" si="99"/>
        <v>124.20425293788472</v>
      </c>
      <c r="X66" s="388">
        <f t="shared" si="100"/>
        <v>104.31320754716981</v>
      </c>
      <c r="Y66" s="389">
        <f t="shared" si="101"/>
        <v>0.1906857804340864</v>
      </c>
      <c r="Z66" s="444">
        <f>Z55+Z59+Z60+Z63</f>
        <v>31770</v>
      </c>
      <c r="AA66" s="394">
        <f>AA55+AA59+AA60+AA63</f>
        <v>21148</v>
      </c>
      <c r="AB66" s="389">
        <f t="shared" si="102"/>
        <v>0.50226971817665977</v>
      </c>
      <c r="AC66" s="444">
        <f>AC55+AC59+AC60+AC63</f>
        <v>917726</v>
      </c>
      <c r="AD66" s="392">
        <f>AD55+AD59+AD60+AD63</f>
        <v>822750</v>
      </c>
      <c r="AE66" s="389">
        <f t="shared" si="103"/>
        <v>0.11543725311455484</v>
      </c>
      <c r="AF66" s="393">
        <f t="shared" si="107"/>
        <v>3.4618175795389908E-2</v>
      </c>
      <c r="AG66" s="393">
        <f t="shared" si="108"/>
        <v>2.5704041324825282E-2</v>
      </c>
      <c r="AH66" s="389">
        <f>(AF66-AG66)/AG66</f>
        <v>0.34679894721283555</v>
      </c>
    </row>
    <row r="67" spans="1:34" x14ac:dyDescent="0.3">
      <c r="A67" s="359" t="s">
        <v>53</v>
      </c>
      <c r="B67" s="360" t="s">
        <v>1</v>
      </c>
      <c r="C67" s="360" t="s">
        <v>117</v>
      </c>
      <c r="D67" s="361" t="s">
        <v>24</v>
      </c>
      <c r="E67" s="360" t="s">
        <v>2</v>
      </c>
      <c r="F67" s="360" t="s">
        <v>99</v>
      </c>
      <c r="G67" s="361" t="s">
        <v>24</v>
      </c>
      <c r="H67" s="362" t="s">
        <v>3</v>
      </c>
      <c r="I67" s="362" t="s">
        <v>100</v>
      </c>
      <c r="J67" s="361" t="s">
        <v>24</v>
      </c>
      <c r="K67" s="362" t="s">
        <v>4</v>
      </c>
      <c r="L67" s="363" t="s">
        <v>101</v>
      </c>
      <c r="M67" s="361" t="s">
        <v>24</v>
      </c>
      <c r="N67" s="363" t="s">
        <v>5</v>
      </c>
      <c r="O67" s="363" t="s">
        <v>102</v>
      </c>
      <c r="P67" s="361" t="s">
        <v>24</v>
      </c>
      <c r="Q67" s="363" t="s">
        <v>109</v>
      </c>
      <c r="R67" s="363" t="s">
        <v>110</v>
      </c>
      <c r="S67" s="361" t="s">
        <v>24</v>
      </c>
      <c r="T67" s="364" t="s">
        <v>149</v>
      </c>
      <c r="U67" s="364" t="s">
        <v>150</v>
      </c>
      <c r="V67" s="361" t="s">
        <v>24</v>
      </c>
      <c r="W67" s="364" t="s">
        <v>6</v>
      </c>
      <c r="X67" s="364" t="s">
        <v>103</v>
      </c>
      <c r="Y67" s="361" t="s">
        <v>24</v>
      </c>
      <c r="Z67" s="446" t="s">
        <v>7</v>
      </c>
      <c r="AA67" s="363" t="s">
        <v>104</v>
      </c>
      <c r="AB67" s="361" t="s">
        <v>24</v>
      </c>
      <c r="AC67" s="442" t="s">
        <v>25</v>
      </c>
      <c r="AD67" s="365" t="s">
        <v>105</v>
      </c>
      <c r="AE67" s="361" t="s">
        <v>24</v>
      </c>
      <c r="AF67" s="366" t="s">
        <v>9</v>
      </c>
      <c r="AG67" s="366" t="s">
        <v>106</v>
      </c>
      <c r="AH67" s="361" t="s">
        <v>24</v>
      </c>
    </row>
    <row r="68" spans="1:34" s="367" customFormat="1" ht="20.100000000000001" customHeight="1" x14ac:dyDescent="0.3">
      <c r="A68" s="367" t="s">
        <v>10</v>
      </c>
      <c r="B68" s="368">
        <f>SUM(B69:B71)</f>
        <v>40670</v>
      </c>
      <c r="C68" s="368">
        <f>SUM(C69:C71)</f>
        <v>17918</v>
      </c>
      <c r="D68" s="369">
        <f t="shared" ref="D68:D79" si="109">(B68-C68)/C68</f>
        <v>1.2697845741712244</v>
      </c>
      <c r="E68" s="368">
        <f>SUM(E69:E71)</f>
        <v>15207.599999999999</v>
      </c>
      <c r="F68" s="368">
        <f>SUM(F69:F71)</f>
        <v>8330.61</v>
      </c>
      <c r="G68" s="369">
        <f t="shared" ref="G68:G79" si="110">(E68-F68)/F68</f>
        <v>0.82550857620270279</v>
      </c>
      <c r="H68" s="370">
        <f t="shared" ref="H68:H79" si="111">B68/E68</f>
        <v>2.6743207343696573</v>
      </c>
      <c r="I68" s="370">
        <f t="shared" ref="I68:I79" si="112">C68/F68</f>
        <v>2.1508629019963723</v>
      </c>
      <c r="J68" s="369">
        <f t="shared" ref="J68:J79" si="113">(H68-I68)/I68</f>
        <v>0.24337108231650922</v>
      </c>
      <c r="K68" s="416">
        <f>SUM(K69:K71)</f>
        <v>35833</v>
      </c>
      <c r="L68" s="416">
        <f>SUM(L69:L71)</f>
        <v>17306</v>
      </c>
      <c r="M68" s="369">
        <f t="shared" ref="M68:M79" si="114">(K68-L68)/L68</f>
        <v>1.0705535652374898</v>
      </c>
      <c r="N68" s="416">
        <f>SUM(N69:N71)</f>
        <v>381</v>
      </c>
      <c r="O68" s="416">
        <f>SUM(O69:O71)</f>
        <v>148</v>
      </c>
      <c r="P68" s="369">
        <f t="shared" ref="P68:P79" si="115">(N68-O68)/O68</f>
        <v>1.5743243243243243</v>
      </c>
      <c r="Q68" s="372">
        <f t="shared" ref="Q68:Q79" si="116">N68/K68</f>
        <v>1.0632657047972539E-2</v>
      </c>
      <c r="R68" s="372">
        <f t="shared" ref="R68:R79" si="117">O68/L68</f>
        <v>8.5519473015139257E-3</v>
      </c>
      <c r="S68" s="369">
        <f t="shared" ref="S68:S79" si="118">(Q68-R68)/R68</f>
        <v>0.24330245183927546</v>
      </c>
      <c r="T68" s="368">
        <f t="shared" ref="T68:T79" si="119">E68/N68</f>
        <v>39.914960629921254</v>
      </c>
      <c r="U68" s="368">
        <f t="shared" ref="U68:U79" si="120">F68/O68</f>
        <v>56.287905405405411</v>
      </c>
      <c r="V68" s="369">
        <f t="shared" ref="V68:V79" si="121">(T68-U68)/U68</f>
        <v>-0.29087855832545939</v>
      </c>
      <c r="W68" s="368">
        <f t="shared" ref="W68:W79" si="122">B68/N68</f>
        <v>106.74540682414698</v>
      </c>
      <c r="X68" s="368">
        <f t="shared" ref="X68:X79" si="123">C68/O68</f>
        <v>121.06756756756756</v>
      </c>
      <c r="Y68" s="369">
        <f t="shared" ref="Y68:Y79" si="124">(W68-X68)/X68</f>
        <v>-0.11829890557128285</v>
      </c>
      <c r="Z68" s="420">
        <f>SUM(Z69:Z71)</f>
        <v>29857</v>
      </c>
      <c r="AA68" s="416">
        <f>SUM(AA69:AA71)</f>
        <v>13870</v>
      </c>
      <c r="AB68" s="369">
        <f t="shared" ref="AB68:AB79" si="125">(Z68-AA68)/AA68</f>
        <v>1.1526315789473685</v>
      </c>
      <c r="AC68" s="420">
        <f>SUM(AC69:AC71)</f>
        <v>916723</v>
      </c>
      <c r="AD68" s="416">
        <f>SUM(AD69:AD71)</f>
        <v>107789</v>
      </c>
      <c r="AE68" s="369">
        <f t="shared" ref="AE68:AE79" si="126">(AC68-AD68)/AD68</f>
        <v>7.5047917691044539</v>
      </c>
      <c r="AF68" s="372">
        <f t="shared" ref="AF68:AF71" si="127">Z68/AC68</f>
        <v>3.2569271197515501E-2</v>
      </c>
      <c r="AG68" s="372">
        <f t="shared" ref="AG68:AG71" si="128">AA68/AD68</f>
        <v>0.12867732328901835</v>
      </c>
      <c r="AH68" s="369">
        <f>(AF68-AG68)/AG68</f>
        <v>-0.74689191253720266</v>
      </c>
    </row>
    <row r="69" spans="1:34" outlineLevel="1" x14ac:dyDescent="0.3">
      <c r="A69" s="373" t="s">
        <v>29</v>
      </c>
      <c r="B69" s="374">
        <f>SUMIFS(Search!$E:$E,Search!$A:$A,"P6",Search!$D:$D,"Brand")</f>
        <v>36593</v>
      </c>
      <c r="C69" s="374">
        <f>SUMIFS(Search!$F:$F,Search!$A:$A,"P6",Search!$D:$D,"Brand")</f>
        <v>15862</v>
      </c>
      <c r="D69" s="369">
        <f t="shared" si="109"/>
        <v>1.3069600302610012</v>
      </c>
      <c r="E69" s="374">
        <f>SUMIFS(Search!$I:$I,Search!$A:$A,"P6",Search!$D:$D,"Brand")</f>
        <v>2706.49</v>
      </c>
      <c r="F69" s="374">
        <f>SUMIFS(Search!$J:$J,Search!$A:$A,"P6",Search!$D:$D,"Brand")</f>
        <v>1946.6600000000003</v>
      </c>
      <c r="G69" s="375">
        <f t="shared" si="110"/>
        <v>0.39032496686632456</v>
      </c>
      <c r="H69" s="376">
        <f t="shared" si="111"/>
        <v>13.520463774113336</v>
      </c>
      <c r="I69" s="376">
        <f t="shared" si="112"/>
        <v>8.1483155764232063</v>
      </c>
      <c r="J69" s="375">
        <f t="shared" si="113"/>
        <v>0.65929554977401772</v>
      </c>
      <c r="K69" s="417">
        <f>SUMIFS(Search!$Q:$Q,Search!$A:$A,"P6",Search!$D:$D,"Brand")</f>
        <v>15851</v>
      </c>
      <c r="L69" s="417">
        <f>SUMIFS(Search!$R:$R,Search!$A:$A,"P6",Search!$D:$D,"Brand")</f>
        <v>10057</v>
      </c>
      <c r="M69" s="375">
        <f t="shared" si="114"/>
        <v>0.57611613801332406</v>
      </c>
      <c r="N69" s="417">
        <f>SUMIFS(Search!$U:$U,Search!$A:$A,"P6",Search!$D:$D,"Brand")</f>
        <v>324</v>
      </c>
      <c r="O69" s="417">
        <f>SUMIFS(Search!$V:$V,Search!$A:$A,"P6",Search!$D:$D,"Brand")</f>
        <v>129</v>
      </c>
      <c r="P69" s="378">
        <f t="shared" si="115"/>
        <v>1.5116279069767442</v>
      </c>
      <c r="Q69" s="379">
        <f t="shared" si="116"/>
        <v>2.0440350766513155E-2</v>
      </c>
      <c r="R69" s="379">
        <f t="shared" si="117"/>
        <v>1.2826886745550364E-2</v>
      </c>
      <c r="S69" s="378">
        <f t="shared" si="118"/>
        <v>0.59355509813040919</v>
      </c>
      <c r="T69" s="374">
        <f t="shared" si="119"/>
        <v>8.3533641975308637</v>
      </c>
      <c r="U69" s="374">
        <f t="shared" si="120"/>
        <v>15.090387596899227</v>
      </c>
      <c r="V69" s="375">
        <f t="shared" si="121"/>
        <v>-0.44644468911803742</v>
      </c>
      <c r="W69" s="374">
        <f t="shared" si="122"/>
        <v>112.94135802469135</v>
      </c>
      <c r="X69" s="374">
        <f t="shared" si="123"/>
        <v>122.96124031007751</v>
      </c>
      <c r="Y69" s="378">
        <f t="shared" si="124"/>
        <v>-8.1488136099786584E-2</v>
      </c>
      <c r="Z69" s="419">
        <f>SUMIFS(Search!$AG:$AG,Search!$A:$A,"P6",Search!$D:$D,"Brand")</f>
        <v>13990</v>
      </c>
      <c r="AA69" s="417">
        <f>SUMIFS(Search!$AH:$AH,Search!$A:$A,"P6",Search!$D:$D,"Brand")</f>
        <v>7887</v>
      </c>
      <c r="AB69" s="378">
        <f t="shared" si="125"/>
        <v>0.77380499556231774</v>
      </c>
      <c r="AC69" s="419">
        <f>SUMIFS(Search!$AK:$AK,Search!$A:$A,"P6",Search!$D:$D,"Brand")</f>
        <v>44130</v>
      </c>
      <c r="AD69" s="417">
        <f>SUMIFS(Search!$AL:$AL,Search!$A:$A,"P6",Search!$D:$D,"Brand")</f>
        <v>22033</v>
      </c>
      <c r="AE69" s="378">
        <f t="shared" si="126"/>
        <v>1.0029047338083783</v>
      </c>
      <c r="AF69" s="379">
        <f t="shared" si="127"/>
        <v>0.31701790165420352</v>
      </c>
      <c r="AG69" s="379">
        <f t="shared" si="128"/>
        <v>0.35796305541687468</v>
      </c>
      <c r="AH69" s="378">
        <f>(AF69-AG69)/AG69</f>
        <v>-0.11438374196182753</v>
      </c>
    </row>
    <row r="70" spans="1:34" outlineLevel="1" x14ac:dyDescent="0.3">
      <c r="A70" s="373" t="s">
        <v>30</v>
      </c>
      <c r="B70" s="374">
        <f>SUMIFS(Search!$E:$E,Search!$A:$A,"P6",Search!$D:$D,"Non-Brand")</f>
        <v>1613</v>
      </c>
      <c r="C70" s="374">
        <f>SUMIFS(Search!$F:$F,Search!$A:$A,"P6",Search!$D:$D,"Non-Brand")</f>
        <v>2056</v>
      </c>
      <c r="D70" s="369">
        <f t="shared" si="109"/>
        <v>-0.21546692607003892</v>
      </c>
      <c r="E70" s="374">
        <f>SUMIFS(Search!$I:$I,Search!$A:$A,"P6",Search!$D:$D,"Non-Brand")</f>
        <v>4426.1099999999997</v>
      </c>
      <c r="F70" s="374">
        <f>SUMIFS(Search!$J:$J,Search!$A:$A,"P6",Search!$D:$D,"Non-Brand")</f>
        <v>6383.95</v>
      </c>
      <c r="G70" s="375">
        <f t="shared" si="110"/>
        <v>-0.30668159994987432</v>
      </c>
      <c r="H70" s="376">
        <f t="shared" si="111"/>
        <v>0.36442835808418683</v>
      </c>
      <c r="I70" s="376">
        <f t="shared" si="112"/>
        <v>0.3220576602260356</v>
      </c>
      <c r="J70" s="375">
        <f t="shared" si="113"/>
        <v>0.1315624594316851</v>
      </c>
      <c r="K70" s="417">
        <f>SUMIFS(Search!$Q:$Q,Search!$A:$A,"P6",Search!$D:$D,"Non-Brand")</f>
        <v>9920</v>
      </c>
      <c r="L70" s="417">
        <f>SUMIFS(Search!$R:$R,Search!$A:$A,"P6",Search!$D:$D,"Non-Brand")</f>
        <v>7249</v>
      </c>
      <c r="M70" s="375">
        <f t="shared" si="114"/>
        <v>0.36846461580907713</v>
      </c>
      <c r="N70" s="417">
        <f>SUMIFS(Search!$U:$U,Search!$A:$A,"P6",Search!$D:$D,"Non-Brand")</f>
        <v>20</v>
      </c>
      <c r="O70" s="417">
        <f>SUMIFS(Search!$V:$V,Search!$A:$A,"P6",Search!$D:$D,"Non-Brand")</f>
        <v>19</v>
      </c>
      <c r="P70" s="378">
        <f t="shared" si="115"/>
        <v>5.2631578947368418E-2</v>
      </c>
      <c r="Q70" s="379">
        <f t="shared" si="116"/>
        <v>2.0161290322580645E-3</v>
      </c>
      <c r="R70" s="379">
        <f t="shared" si="117"/>
        <v>2.6210511794730307E-3</v>
      </c>
      <c r="S70" s="378">
        <f t="shared" si="118"/>
        <v>-0.23079371816638372</v>
      </c>
      <c r="T70" s="374">
        <f t="shared" si="119"/>
        <v>221.30549999999999</v>
      </c>
      <c r="U70" s="374">
        <f t="shared" si="120"/>
        <v>335.99736842105261</v>
      </c>
      <c r="V70" s="375">
        <f t="shared" si="121"/>
        <v>-0.34134751995238055</v>
      </c>
      <c r="W70" s="374">
        <f t="shared" si="122"/>
        <v>80.650000000000006</v>
      </c>
      <c r="X70" s="374">
        <f t="shared" si="123"/>
        <v>108.21052631578948</v>
      </c>
      <c r="Y70" s="378">
        <f t="shared" si="124"/>
        <v>-0.25469357976653695</v>
      </c>
      <c r="Z70" s="419">
        <f>SUMIFS(Search!$AG:$AG,Search!$A:$A,"P6",Search!$D:$D,"Non-Brand")</f>
        <v>3361</v>
      </c>
      <c r="AA70" s="417">
        <f>SUMIFS(Search!$AH:$AH,Search!$A:$A,"P6",Search!$D:$D,"Non-Brand")</f>
        <v>5983</v>
      </c>
      <c r="AB70" s="378">
        <f t="shared" si="125"/>
        <v>-0.43824168477352499</v>
      </c>
      <c r="AC70" s="419">
        <f>SUMIFS(Search!$AK:$AK,Search!$A:$A,"P6",Search!$D:$D,"Non-Brand")</f>
        <v>55939</v>
      </c>
      <c r="AD70" s="417">
        <f>SUMIFS(Search!$AL:$AL,Search!$A:$A,"P6",Search!$D:$D,"Non-Brand")</f>
        <v>85756</v>
      </c>
      <c r="AE70" s="378">
        <f t="shared" si="126"/>
        <v>-0.34769578804981577</v>
      </c>
      <c r="AF70" s="379">
        <f t="shared" si="127"/>
        <v>6.0083305028691969E-2</v>
      </c>
      <c r="AG70" s="379">
        <f t="shared" si="128"/>
        <v>6.9767713046317459E-2</v>
      </c>
      <c r="AH70" s="378">
        <f>(AF70-AG70)/AG70</f>
        <v>-0.13880930870123542</v>
      </c>
    </row>
    <row r="71" spans="1:34" outlineLevel="1" x14ac:dyDescent="0.3">
      <c r="A71" s="373" t="s">
        <v>228</v>
      </c>
      <c r="B71" s="374">
        <f>SUMIFS(Search!$E:$E,Search!$A:$A,"P6",Search!$D:$D,"Shopping Campaigns")</f>
        <v>2464</v>
      </c>
      <c r="C71" s="374">
        <f>SUMIFS(Search!$F:$F,Search!$A:$A,"P6",Search!$D:$D,"Shopping Campaigns")</f>
        <v>0</v>
      </c>
      <c r="D71" s="369" t="e">
        <f t="shared" si="109"/>
        <v>#DIV/0!</v>
      </c>
      <c r="E71" s="374">
        <f>SUMIFS(Search!$I:$I,Search!$A:$A,"P6",Search!$D:$D,"Shopping Campaigns")</f>
        <v>8075</v>
      </c>
      <c r="F71" s="374">
        <f>SUMIFS(Search!$J:$J,Search!$A:$A,"P6",Search!$D:$D,"Shopping Campaigns")</f>
        <v>0</v>
      </c>
      <c r="G71" s="375" t="e">
        <f t="shared" si="110"/>
        <v>#DIV/0!</v>
      </c>
      <c r="H71" s="376">
        <f t="shared" si="111"/>
        <v>0.30513931888544893</v>
      </c>
      <c r="I71" s="376" t="e">
        <f t="shared" si="112"/>
        <v>#DIV/0!</v>
      </c>
      <c r="J71" s="375" t="e">
        <f t="shared" si="113"/>
        <v>#DIV/0!</v>
      </c>
      <c r="K71" s="417">
        <f>SUMIFS(Search!$Q:$Q,Search!$A:$A,"P6",Search!$D:$D,"Shopping Campaigns")</f>
        <v>10062</v>
      </c>
      <c r="L71" s="417">
        <f>SUMIFS(Search!$R:$R,Search!$A:$A,"P6",Search!$D:$D,"Shopping Campaigns")</f>
        <v>0</v>
      </c>
      <c r="M71" s="375" t="e">
        <f t="shared" si="114"/>
        <v>#DIV/0!</v>
      </c>
      <c r="N71" s="417">
        <f>SUMIFS(Search!$U:$U,Search!$A:$A,"P6",Search!$D:$D,"Shopping Campaigns")</f>
        <v>37</v>
      </c>
      <c r="O71" s="417">
        <f>SUMIFS(Search!$V:$V,Search!$A:$A,"P6",Search!$D:$D,"Shopping Campaigns")</f>
        <v>0</v>
      </c>
      <c r="P71" s="378" t="e">
        <f t="shared" si="115"/>
        <v>#DIV/0!</v>
      </c>
      <c r="Q71" s="379">
        <f t="shared" si="116"/>
        <v>3.6772013516199564E-3</v>
      </c>
      <c r="R71" s="379" t="e">
        <f t="shared" si="117"/>
        <v>#DIV/0!</v>
      </c>
      <c r="S71" s="378" t="e">
        <f t="shared" si="118"/>
        <v>#DIV/0!</v>
      </c>
      <c r="T71" s="374">
        <f t="shared" si="119"/>
        <v>218.24324324324326</v>
      </c>
      <c r="U71" s="374" t="e">
        <f t="shared" si="120"/>
        <v>#DIV/0!</v>
      </c>
      <c r="V71" s="375" t="e">
        <f t="shared" si="121"/>
        <v>#DIV/0!</v>
      </c>
      <c r="W71" s="374">
        <f t="shared" si="122"/>
        <v>66.594594594594597</v>
      </c>
      <c r="X71" s="374" t="e">
        <f t="shared" si="123"/>
        <v>#DIV/0!</v>
      </c>
      <c r="Y71" s="378" t="e">
        <f t="shared" si="124"/>
        <v>#DIV/0!</v>
      </c>
      <c r="Z71" s="419">
        <f>SUMIFS(Search!$AG:$AG,Search!$A:$A,"P6",Search!$D:$D,"Shopping Campaigns")</f>
        <v>12506</v>
      </c>
      <c r="AA71" s="417">
        <f>SUMIFS(Search!$AH:$AH,Search!$A:$A,"P6",Search!$D:$D,"Shopping Campaigns")</f>
        <v>0</v>
      </c>
      <c r="AB71" s="378" t="e">
        <f t="shared" si="125"/>
        <v>#DIV/0!</v>
      </c>
      <c r="AC71" s="419">
        <f>SUMIFS(Search!$AK:$AK,Search!$A:$A,"P6",Search!$D:$D,"Shopping Campaigns")</f>
        <v>816654</v>
      </c>
      <c r="AD71" s="417">
        <f>SUMIFS(Search!$AL:$AL,Search!$A:$A,"P6",Search!$D:$D,"Shopping Campaigns")</f>
        <v>0</v>
      </c>
      <c r="AE71" s="378" t="e">
        <f t="shared" si="126"/>
        <v>#DIV/0!</v>
      </c>
      <c r="AF71" s="379">
        <f t="shared" si="127"/>
        <v>1.5313706906474468E-2</v>
      </c>
      <c r="AG71" s="379" t="e">
        <f t="shared" si="128"/>
        <v>#DIV/0!</v>
      </c>
      <c r="AH71" s="378" t="e">
        <f t="shared" ref="AH71:AH78" si="129">(AF71-AG71)/AG71</f>
        <v>#DIV/0!</v>
      </c>
    </row>
    <row r="72" spans="1:34" s="367" customFormat="1" ht="21" customHeight="1" x14ac:dyDescent="0.3">
      <c r="A72" s="380" t="s">
        <v>13</v>
      </c>
      <c r="B72" s="368">
        <f>SUMIFS(Affiliate!D:D,Affiliate!$A:$A,"P6")</f>
        <v>92592</v>
      </c>
      <c r="C72" s="368">
        <f>SUMIFS(Affiliate!E:E,Affiliate!$A:$A,"P6")</f>
        <v>68207</v>
      </c>
      <c r="D72" s="369">
        <f t="shared" si="109"/>
        <v>0.35751462459864825</v>
      </c>
      <c r="E72" s="368">
        <f>SUMIFS(Affiliate!H:H,Affiliate!$A:$A,"P6")</f>
        <v>7736.5599999999995</v>
      </c>
      <c r="F72" s="368">
        <f>SUMIFS(Affiliate!I:I,Affiliate!$A:$A,"P6")</f>
        <v>15226.37</v>
      </c>
      <c r="G72" s="369">
        <f t="shared" si="110"/>
        <v>-0.49189728083581319</v>
      </c>
      <c r="H72" s="370">
        <f t="shared" si="111"/>
        <v>11.968109857611136</v>
      </c>
      <c r="I72" s="370">
        <f t="shared" si="112"/>
        <v>4.4795312342994418</v>
      </c>
      <c r="J72" s="369">
        <f t="shared" si="113"/>
        <v>1.6717326504997214</v>
      </c>
      <c r="K72" s="416">
        <f>SUMIFS(Affiliate!$AF:$AF,Affiliate!$A:$A,"P6")</f>
        <v>7821</v>
      </c>
      <c r="L72" s="416">
        <f>SUMIFS(Affiliate!$AG:$AG,Affiliate!$A:$A,"P6")</f>
        <v>12444</v>
      </c>
      <c r="M72" s="369">
        <f t="shared" si="114"/>
        <v>-0.37150433944069433</v>
      </c>
      <c r="N72" s="416">
        <f>SUMIFS(Affiliate!$AJ:$AJ,Affiliate!$A:$A,"P6")</f>
        <v>879</v>
      </c>
      <c r="O72" s="416">
        <f>SUMIFS(Affiliate!$AK:$AK,Affiliate!$A:$A,"P6")</f>
        <v>608</v>
      </c>
      <c r="P72" s="381">
        <f t="shared" si="115"/>
        <v>0.44572368421052633</v>
      </c>
      <c r="Q72" s="382">
        <f t="shared" si="116"/>
        <v>0.11238971998465669</v>
      </c>
      <c r="R72" s="382">
        <f t="shared" si="117"/>
        <v>4.885888781742205E-2</v>
      </c>
      <c r="S72" s="381">
        <f t="shared" si="118"/>
        <v>1.300292229422809</v>
      </c>
      <c r="T72" s="383">
        <f t="shared" si="119"/>
        <v>8.8015472127417507</v>
      </c>
      <c r="U72" s="383">
        <f t="shared" si="120"/>
        <v>25.043371710526316</v>
      </c>
      <c r="V72" s="369">
        <f t="shared" si="121"/>
        <v>-0.64854783475332689</v>
      </c>
      <c r="W72" s="383">
        <f t="shared" si="122"/>
        <v>105.33788395904436</v>
      </c>
      <c r="X72" s="383">
        <f t="shared" si="123"/>
        <v>112.18256578947368</v>
      </c>
      <c r="Y72" s="381">
        <f t="shared" si="124"/>
        <v>-6.1013775021640425E-2</v>
      </c>
      <c r="Z72" s="443"/>
      <c r="AA72" s="384"/>
      <c r="AB72" s="381" t="e">
        <f t="shared" si="125"/>
        <v>#DIV/0!</v>
      </c>
      <c r="AC72" s="443"/>
      <c r="AD72" s="384"/>
      <c r="AE72" s="381" t="e">
        <f t="shared" si="126"/>
        <v>#DIV/0!</v>
      </c>
      <c r="AF72" s="385"/>
      <c r="AG72" s="385"/>
      <c r="AH72" s="381" t="e">
        <f t="shared" si="129"/>
        <v>#DIV/0!</v>
      </c>
    </row>
    <row r="73" spans="1:34" s="367" customFormat="1" ht="20.100000000000001" customHeight="1" x14ac:dyDescent="0.3">
      <c r="A73" s="367" t="s">
        <v>14</v>
      </c>
      <c r="B73" s="368">
        <f>SUM(B74:B75)</f>
        <v>917</v>
      </c>
      <c r="C73" s="368">
        <f>SUM(C74:C75)</f>
        <v>199</v>
      </c>
      <c r="D73" s="369">
        <f t="shared" si="109"/>
        <v>3.608040201005025</v>
      </c>
      <c r="E73" s="368">
        <f>SUM(E74:E75)</f>
        <v>3410.1549999999997</v>
      </c>
      <c r="F73" s="368">
        <f>SUM(F74:F75)</f>
        <v>12720.11685</v>
      </c>
      <c r="G73" s="369">
        <f t="shared" si="110"/>
        <v>-0.73190851623348097</v>
      </c>
      <c r="H73" s="370">
        <f t="shared" si="111"/>
        <v>0.26890273316022295</v>
      </c>
      <c r="I73" s="370">
        <f t="shared" si="112"/>
        <v>1.564451037255998E-2</v>
      </c>
      <c r="J73" s="369">
        <f t="shared" si="113"/>
        <v>16.188312497901538</v>
      </c>
      <c r="K73" s="416">
        <f>SUM(K74:K75)</f>
        <v>2699</v>
      </c>
      <c r="L73" s="416">
        <f>SUM(L74:L75)</f>
        <v>4212</v>
      </c>
      <c r="M73" s="369">
        <f t="shared" si="114"/>
        <v>-0.35921177587844255</v>
      </c>
      <c r="N73" s="416">
        <f>SUM(N74:N75)</f>
        <v>7</v>
      </c>
      <c r="O73" s="416">
        <f>SUM(O74:O75)</f>
        <v>1</v>
      </c>
      <c r="P73" s="381">
        <f t="shared" si="115"/>
        <v>6</v>
      </c>
      <c r="Q73" s="382">
        <f t="shared" si="116"/>
        <v>2.5935531678399409E-3</v>
      </c>
      <c r="R73" s="382">
        <f t="shared" si="117"/>
        <v>2.3741690408357076E-4</v>
      </c>
      <c r="S73" s="381">
        <f t="shared" si="118"/>
        <v>9.9240459429418308</v>
      </c>
      <c r="T73" s="383">
        <f t="shared" si="119"/>
        <v>487.16499999999996</v>
      </c>
      <c r="U73" s="383">
        <f t="shared" si="120"/>
        <v>12720.11685</v>
      </c>
      <c r="V73" s="369">
        <f t="shared" si="121"/>
        <v>-0.96170121660478303</v>
      </c>
      <c r="W73" s="383">
        <f t="shared" si="122"/>
        <v>131</v>
      </c>
      <c r="X73" s="383">
        <f t="shared" si="123"/>
        <v>199</v>
      </c>
      <c r="Y73" s="381">
        <f t="shared" si="124"/>
        <v>-0.34170854271356782</v>
      </c>
      <c r="Z73" s="420">
        <f>SUM(Z74:Z75)</f>
        <v>3172</v>
      </c>
      <c r="AA73" s="416">
        <f>SUM(AA74:AA75)</f>
        <v>17768</v>
      </c>
      <c r="AB73" s="381">
        <f t="shared" si="125"/>
        <v>-0.82147681224673574</v>
      </c>
      <c r="AC73" s="420">
        <f>SUM(AC74:AC75)</f>
        <v>177167</v>
      </c>
      <c r="AD73" s="416">
        <f>SUM(AD74:AD75)</f>
        <v>2676899</v>
      </c>
      <c r="AE73" s="381">
        <f t="shared" si="126"/>
        <v>-0.93381633001469233</v>
      </c>
      <c r="AF73" s="382">
        <f t="shared" ref="AF73:AF79" si="130">Z73/AC73</f>
        <v>1.7904011469404572E-2</v>
      </c>
      <c r="AG73" s="382">
        <f t="shared" ref="AG73:AG79" si="131">AA73/AD73</f>
        <v>6.6375309639997628E-3</v>
      </c>
      <c r="AH73" s="381">
        <f t="shared" si="129"/>
        <v>1.6973902745631262</v>
      </c>
    </row>
    <row r="74" spans="1:34" outlineLevel="1" x14ac:dyDescent="0.3">
      <c r="A74" s="373" t="s">
        <v>285</v>
      </c>
      <c r="B74" s="374">
        <f>SUMIFS('Social - Promos'!$E:$E,'Social - Promos'!$A:$A,"p6")</f>
        <v>917</v>
      </c>
      <c r="C74" s="374">
        <f>SUMIFS('Social - Promos'!$F:$F,'Social - Promos'!$A:$A,"p6")</f>
        <v>199</v>
      </c>
      <c r="D74" s="369">
        <f t="shared" si="109"/>
        <v>3.608040201005025</v>
      </c>
      <c r="E74" s="374">
        <f>SUMIFS('Social - Promos'!$K:$K,'Social - Promos'!$A:$A,"P6")</f>
        <v>3410.1549999999997</v>
      </c>
      <c r="F74" s="374">
        <f>SUMIFS('Social - Promos'!$L:$L,'Social - Promos'!$A:$A,"p6")</f>
        <v>12720.11685</v>
      </c>
      <c r="G74" s="375">
        <f t="shared" si="110"/>
        <v>-0.73190851623348097</v>
      </c>
      <c r="H74" s="386">
        <f t="shared" si="111"/>
        <v>0.26890273316022295</v>
      </c>
      <c r="I74" s="386">
        <f t="shared" si="112"/>
        <v>1.564451037255998E-2</v>
      </c>
      <c r="J74" s="375">
        <f t="shared" si="113"/>
        <v>16.188312497901538</v>
      </c>
      <c r="K74" s="417">
        <f>SUMIFS('Social - Promos'!$T:$T,'Social - Promos'!$A:$A,"p6")</f>
        <v>2699</v>
      </c>
      <c r="L74" s="417">
        <f>SUMIFS('Social - Promos'!$U:$U,'Social - Promos'!$A:$A,"p6")</f>
        <v>4212</v>
      </c>
      <c r="M74" s="375">
        <f t="shared" si="114"/>
        <v>-0.35921177587844255</v>
      </c>
      <c r="N74" s="417">
        <f>SUMIFS('Social - Promos'!$W:$W,'Social - Promos'!$A:$A,"p6")</f>
        <v>7</v>
      </c>
      <c r="O74" s="417">
        <f>SUMIFS('Social - Promos'!$X:$X,'Social - Promos'!$A:$A,"p6")</f>
        <v>1</v>
      </c>
      <c r="P74" s="378">
        <f t="shared" si="115"/>
        <v>6</v>
      </c>
      <c r="Q74" s="379">
        <f t="shared" si="116"/>
        <v>2.5935531678399409E-3</v>
      </c>
      <c r="R74" s="379">
        <f t="shared" si="117"/>
        <v>2.3741690408357076E-4</v>
      </c>
      <c r="S74" s="378">
        <f t="shared" si="118"/>
        <v>9.9240459429418308</v>
      </c>
      <c r="T74" s="374">
        <f t="shared" si="119"/>
        <v>487.16499999999996</v>
      </c>
      <c r="U74" s="374">
        <f t="shared" si="120"/>
        <v>12720.11685</v>
      </c>
      <c r="V74" s="375">
        <f t="shared" si="121"/>
        <v>-0.96170121660478303</v>
      </c>
      <c r="W74" s="374">
        <f t="shared" si="122"/>
        <v>131</v>
      </c>
      <c r="X74" s="374">
        <f t="shared" si="123"/>
        <v>199</v>
      </c>
      <c r="Y74" s="378">
        <f t="shared" si="124"/>
        <v>-0.34170854271356782</v>
      </c>
      <c r="Z74" s="419">
        <f>SUMIFS('Social - Promos'!$AF:$AF,'Social - Promos'!$A:$A,"p6")</f>
        <v>3172</v>
      </c>
      <c r="AA74" s="417">
        <f>SUMIFS('Social - Promos'!$AG:$AG,'Social - Promos'!$A:$A,"p6")</f>
        <v>17768</v>
      </c>
      <c r="AB74" s="378">
        <f t="shared" si="125"/>
        <v>-0.82147681224673574</v>
      </c>
      <c r="AC74" s="419">
        <f>SUMIFS('Social - Promos'!$AI:$AI,'Social - Promos'!$A:$A,"p6")</f>
        <v>177167</v>
      </c>
      <c r="AD74" s="417">
        <f>SUMIFS('Social - Promos'!$AJ:$AJ,'Social - Promos'!$A:$A,"p6")</f>
        <v>2676899</v>
      </c>
      <c r="AE74" s="378">
        <f t="shared" si="126"/>
        <v>-0.93381633001469233</v>
      </c>
      <c r="AF74" s="379">
        <f t="shared" si="130"/>
        <v>1.7904011469404572E-2</v>
      </c>
      <c r="AG74" s="379">
        <f t="shared" si="131"/>
        <v>6.6375309639997628E-3</v>
      </c>
      <c r="AH74" s="378">
        <f t="shared" si="129"/>
        <v>1.6973902745631262</v>
      </c>
    </row>
    <row r="75" spans="1:34" outlineLevel="1" x14ac:dyDescent="0.3">
      <c r="A75" s="373" t="s">
        <v>286</v>
      </c>
      <c r="B75" s="374">
        <f>SUMIFS('Social - Remarketing'!$D:$D,'Social - Remarketing'!$A:$A,"P6")</f>
        <v>0</v>
      </c>
      <c r="C75" s="374">
        <f>SUMIFS('Social - Remarketing'!$E:$E,'Social - Remarketing'!$A:$A,"P6")</f>
        <v>0</v>
      </c>
      <c r="D75" s="369" t="e">
        <f t="shared" si="109"/>
        <v>#DIV/0!</v>
      </c>
      <c r="E75" s="374">
        <f>SUMIFS('Social - Remarketing'!$H:$H,'Social - Remarketing'!$A:$A,"P6")</f>
        <v>0</v>
      </c>
      <c r="F75" s="374">
        <f>SUMIFS('Social - Remarketing'!$I:$I,'Social - Remarketing'!$A:$A,"P6")</f>
        <v>0</v>
      </c>
      <c r="G75" s="369" t="e">
        <f t="shared" si="110"/>
        <v>#DIV/0!</v>
      </c>
      <c r="H75" s="386" t="e">
        <f t="shared" si="111"/>
        <v>#DIV/0!</v>
      </c>
      <c r="I75" s="386" t="e">
        <f t="shared" si="112"/>
        <v>#DIV/0!</v>
      </c>
      <c r="J75" s="369" t="e">
        <f t="shared" si="113"/>
        <v>#DIV/0!</v>
      </c>
      <c r="K75" s="417">
        <f>SUMIFS('Social - Remarketing'!$X:$X,'Social - Remarketing'!$A:$A,"P6")</f>
        <v>0</v>
      </c>
      <c r="L75" s="417">
        <f>SUMIFS('Social - Remarketing'!$Y:$Y,'Social - Remarketing'!$A:$A,"P6")</f>
        <v>0</v>
      </c>
      <c r="M75" s="375" t="e">
        <f t="shared" si="114"/>
        <v>#DIV/0!</v>
      </c>
      <c r="N75" s="417">
        <f>SUMIFS('Social - Remarketing'!$AB:$AB,'Social - Remarketing'!$A:$A,"P6")</f>
        <v>0</v>
      </c>
      <c r="O75" s="417">
        <f>SUMIFS('Social - Remarketing'!$AC:$AC,'Social - Remarketing'!$A:$A,"P6")</f>
        <v>0</v>
      </c>
      <c r="P75" s="378" t="e">
        <f t="shared" si="115"/>
        <v>#DIV/0!</v>
      </c>
      <c r="Q75" s="379" t="e">
        <f t="shared" si="116"/>
        <v>#DIV/0!</v>
      </c>
      <c r="R75" s="379" t="e">
        <f t="shared" si="117"/>
        <v>#DIV/0!</v>
      </c>
      <c r="S75" s="378" t="e">
        <f t="shared" si="118"/>
        <v>#DIV/0!</v>
      </c>
      <c r="T75" s="374" t="e">
        <f t="shared" si="119"/>
        <v>#DIV/0!</v>
      </c>
      <c r="U75" s="374" t="e">
        <f t="shared" si="120"/>
        <v>#DIV/0!</v>
      </c>
      <c r="V75" s="375" t="e">
        <f t="shared" si="121"/>
        <v>#DIV/0!</v>
      </c>
      <c r="W75" s="374" t="e">
        <f t="shared" si="122"/>
        <v>#DIV/0!</v>
      </c>
      <c r="X75" s="374" t="e">
        <f t="shared" si="123"/>
        <v>#DIV/0!</v>
      </c>
      <c r="Y75" s="378" t="e">
        <f t="shared" si="124"/>
        <v>#DIV/0!</v>
      </c>
      <c r="Z75" s="419">
        <f>SUMIFS('Social - Remarketing'!$AN:$AN,'Social - Remarketing'!$A:$A,"P6")</f>
        <v>0</v>
      </c>
      <c r="AA75" s="417">
        <f>SUMIFS('Social - Remarketing'!$AO:$AO,'Social - Remarketing'!$A:$A,"P6")</f>
        <v>0</v>
      </c>
      <c r="AB75" s="378" t="e">
        <f t="shared" si="125"/>
        <v>#DIV/0!</v>
      </c>
      <c r="AC75" s="419">
        <f>SUMIFS('Social - Remarketing'!$AR:$AR,'Social - Remarketing'!$A:$A,"P6")</f>
        <v>0</v>
      </c>
      <c r="AD75" s="417">
        <f>SUMIFS('Social - Remarketing'!$AS:$AS,'Social - Remarketing'!$A:$A,"P6")</f>
        <v>0</v>
      </c>
      <c r="AE75" s="378" t="e">
        <f t="shared" si="126"/>
        <v>#DIV/0!</v>
      </c>
      <c r="AF75" s="379" t="e">
        <f t="shared" si="130"/>
        <v>#DIV/0!</v>
      </c>
      <c r="AG75" s="379" t="e">
        <f t="shared" si="131"/>
        <v>#DIV/0!</v>
      </c>
      <c r="AH75" s="378" t="e">
        <f t="shared" si="129"/>
        <v>#DIV/0!</v>
      </c>
    </row>
    <row r="76" spans="1:34" s="367" customFormat="1" ht="21" customHeight="1" x14ac:dyDescent="0.3">
      <c r="A76" s="367" t="s">
        <v>15</v>
      </c>
      <c r="B76" s="368">
        <f>SUM(B77:B78)</f>
        <v>0</v>
      </c>
      <c r="C76" s="368">
        <f>SUM(C77:C78)</f>
        <v>0</v>
      </c>
      <c r="D76" s="369" t="e">
        <f t="shared" si="109"/>
        <v>#DIV/0!</v>
      </c>
      <c r="E76" s="368">
        <f>SUM(E77:E78)</f>
        <v>0</v>
      </c>
      <c r="F76" s="368">
        <f>SUM(F77:F78)</f>
        <v>0</v>
      </c>
      <c r="G76" s="369" t="e">
        <f t="shared" si="110"/>
        <v>#DIV/0!</v>
      </c>
      <c r="H76" s="370" t="e">
        <f t="shared" si="111"/>
        <v>#DIV/0!</v>
      </c>
      <c r="I76" s="370" t="e">
        <f t="shared" si="112"/>
        <v>#DIV/0!</v>
      </c>
      <c r="J76" s="369" t="e">
        <f t="shared" si="113"/>
        <v>#DIV/0!</v>
      </c>
      <c r="K76" s="416">
        <f>SUM(K77:K78)</f>
        <v>5430</v>
      </c>
      <c r="L76" s="416">
        <f>SUM(L77:L78)</f>
        <v>0</v>
      </c>
      <c r="M76" s="369" t="e">
        <f t="shared" si="114"/>
        <v>#DIV/0!</v>
      </c>
      <c r="N76" s="416">
        <f>SUM(N77:N78)</f>
        <v>0</v>
      </c>
      <c r="O76" s="416">
        <f>SUM(O77:O78)</f>
        <v>0</v>
      </c>
      <c r="P76" s="381" t="e">
        <f t="shared" si="115"/>
        <v>#DIV/0!</v>
      </c>
      <c r="Q76" s="382">
        <f t="shared" si="116"/>
        <v>0</v>
      </c>
      <c r="R76" s="382" t="e">
        <f t="shared" si="117"/>
        <v>#DIV/0!</v>
      </c>
      <c r="S76" s="381" t="e">
        <f t="shared" si="118"/>
        <v>#DIV/0!</v>
      </c>
      <c r="T76" s="383" t="e">
        <f t="shared" si="119"/>
        <v>#DIV/0!</v>
      </c>
      <c r="U76" s="383" t="e">
        <f t="shared" si="120"/>
        <v>#DIV/0!</v>
      </c>
      <c r="V76" s="369" t="e">
        <f t="shared" si="121"/>
        <v>#DIV/0!</v>
      </c>
      <c r="W76" s="383" t="e">
        <f t="shared" si="122"/>
        <v>#DIV/0!</v>
      </c>
      <c r="X76" s="383" t="e">
        <f t="shared" si="123"/>
        <v>#DIV/0!</v>
      </c>
      <c r="Y76" s="381" t="e">
        <f t="shared" si="124"/>
        <v>#DIV/0!</v>
      </c>
      <c r="Z76" s="420">
        <f>SUM(Z77:Z78)</f>
        <v>0</v>
      </c>
      <c r="AA76" s="416">
        <f>SUM(AA77:AA78)</f>
        <v>0</v>
      </c>
      <c r="AB76" s="381" t="e">
        <f t="shared" si="125"/>
        <v>#DIV/0!</v>
      </c>
      <c r="AC76" s="420">
        <f>SUM(AC77:AC78)</f>
        <v>0</v>
      </c>
      <c r="AD76" s="416">
        <f>SUM(AD77:AD78)</f>
        <v>0</v>
      </c>
      <c r="AE76" s="381" t="e">
        <f t="shared" si="126"/>
        <v>#DIV/0!</v>
      </c>
      <c r="AF76" s="382" t="e">
        <f t="shared" si="130"/>
        <v>#DIV/0!</v>
      </c>
      <c r="AG76" s="382" t="e">
        <f t="shared" si="131"/>
        <v>#DIV/0!</v>
      </c>
      <c r="AH76" s="381" t="e">
        <f t="shared" si="129"/>
        <v>#DIV/0!</v>
      </c>
    </row>
    <row r="77" spans="1:34" outlineLevel="1" x14ac:dyDescent="0.3">
      <c r="A77" s="373" t="s">
        <v>285</v>
      </c>
      <c r="B77" s="374">
        <f>SUMIFS('Display - Promos'!$E:$E,'Display - Promos'!$A:$A,"P6")</f>
        <v>0</v>
      </c>
      <c r="C77" s="374">
        <f>SUMIFS('Display - Promos'!$F:$F,'Display - Promos'!$A:$A,"P6")</f>
        <v>0</v>
      </c>
      <c r="D77" s="375" t="e">
        <f t="shared" si="109"/>
        <v>#DIV/0!</v>
      </c>
      <c r="E77" s="374">
        <f>SUMIFS('Display - Promos'!$H:$H,'Display - Promos'!$A:$A,"p6")</f>
        <v>0</v>
      </c>
      <c r="F77" s="374">
        <f>SUMIFS('Display - Promos'!$I:$I,'Display - Promos'!$A:$A,"p6")</f>
        <v>0</v>
      </c>
      <c r="G77" s="375" t="e">
        <f t="shared" si="110"/>
        <v>#DIV/0!</v>
      </c>
      <c r="H77" s="386" t="e">
        <f t="shared" si="111"/>
        <v>#DIV/0!</v>
      </c>
      <c r="I77" s="386" t="e">
        <f t="shared" si="112"/>
        <v>#DIV/0!</v>
      </c>
      <c r="J77" s="369" t="e">
        <f t="shared" si="113"/>
        <v>#DIV/0!</v>
      </c>
      <c r="K77" s="417">
        <f>SUMIFS('Display - Promos'!$N:$N,'Display - Promos'!$A:$A,"p6")</f>
        <v>5430</v>
      </c>
      <c r="L77" s="417">
        <f>SUMIFS('Display - Promos'!$O:$O,'Display - Promos'!$A:$A,"p6")</f>
        <v>0</v>
      </c>
      <c r="M77" s="375" t="e">
        <f t="shared" si="114"/>
        <v>#DIV/0!</v>
      </c>
      <c r="N77" s="417">
        <f>SUMIFS('Display - Promos'!$Q:$Q,'Display - Promos'!$A:$A,"p6")</f>
        <v>0</v>
      </c>
      <c r="O77" s="417">
        <f>SUMIFS('Display - Promos'!$R:$R,'Display - Promos'!$A:$A,"p6")</f>
        <v>0</v>
      </c>
      <c r="P77" s="378" t="e">
        <f t="shared" si="115"/>
        <v>#DIV/0!</v>
      </c>
      <c r="Q77" s="379">
        <f t="shared" si="116"/>
        <v>0</v>
      </c>
      <c r="R77" s="379" t="e">
        <f t="shared" si="117"/>
        <v>#DIV/0!</v>
      </c>
      <c r="S77" s="378" t="e">
        <f t="shared" si="118"/>
        <v>#DIV/0!</v>
      </c>
      <c r="T77" s="374" t="e">
        <f t="shared" si="119"/>
        <v>#DIV/0!</v>
      </c>
      <c r="U77" s="374" t="e">
        <f t="shared" si="120"/>
        <v>#DIV/0!</v>
      </c>
      <c r="V77" s="375" t="e">
        <f t="shared" si="121"/>
        <v>#DIV/0!</v>
      </c>
      <c r="W77" s="374" t="e">
        <f t="shared" si="122"/>
        <v>#DIV/0!</v>
      </c>
      <c r="X77" s="374" t="e">
        <f t="shared" si="123"/>
        <v>#DIV/0!</v>
      </c>
      <c r="Y77" s="378" t="e">
        <f t="shared" si="124"/>
        <v>#DIV/0!</v>
      </c>
      <c r="Z77" s="419">
        <f>SUMIFS('Display - Promos'!$W:$W,'Display - Promos'!$A:$A,"p6")</f>
        <v>0</v>
      </c>
      <c r="AA77" s="417">
        <f>SUMIFS('Display - Promos'!$X:$X,'Display - Promos'!$A:$A,"p6")</f>
        <v>0</v>
      </c>
      <c r="AB77" s="378" t="e">
        <f t="shared" si="125"/>
        <v>#DIV/0!</v>
      </c>
      <c r="AC77" s="419">
        <f>SUMIFS('Display - Promos'!$Z:$Z,'Display - Promos'!$A:$A,"p6")</f>
        <v>0</v>
      </c>
      <c r="AD77" s="417">
        <f>SUMIFS('Display - Promos'!$AA:$AA,'Display - Promos'!$A:$A,"p6")</f>
        <v>0</v>
      </c>
      <c r="AE77" s="378" t="e">
        <f t="shared" si="126"/>
        <v>#DIV/0!</v>
      </c>
      <c r="AF77" s="379" t="e">
        <f t="shared" si="130"/>
        <v>#DIV/0!</v>
      </c>
      <c r="AG77" s="379" t="e">
        <f t="shared" si="131"/>
        <v>#DIV/0!</v>
      </c>
      <c r="AH77" s="378" t="e">
        <f t="shared" si="129"/>
        <v>#DIV/0!</v>
      </c>
    </row>
    <row r="78" spans="1:34" ht="19.5" outlineLevel="1" thickBot="1" x14ac:dyDescent="0.35">
      <c r="A78" s="373" t="s">
        <v>286</v>
      </c>
      <c r="B78" s="374">
        <f>SUMIFS('Display - Remarketing'!$D:$D,'Display - Remarketing'!$A:$A,"P6")</f>
        <v>0</v>
      </c>
      <c r="C78" s="374">
        <f>SUMIFS('Display - Remarketing'!$E:$E,'Display - Remarketing'!$A:$A,"P6")</f>
        <v>0</v>
      </c>
      <c r="D78" s="369" t="e">
        <f t="shared" si="109"/>
        <v>#DIV/0!</v>
      </c>
      <c r="E78" s="374">
        <f>SUMIFS('Display - Remarketing'!$H:$H,'Display - Remarketing'!$A:$A,"P6")</f>
        <v>0</v>
      </c>
      <c r="F78" s="374">
        <f>SUMIFS('Display - Remarketing'!$I:$I,'Display - Remarketing'!$A:$A,"P6")</f>
        <v>0</v>
      </c>
      <c r="G78" s="369" t="e">
        <f t="shared" si="110"/>
        <v>#DIV/0!</v>
      </c>
      <c r="H78" s="386" t="e">
        <f t="shared" si="111"/>
        <v>#DIV/0!</v>
      </c>
      <c r="I78" s="386" t="e">
        <f t="shared" si="112"/>
        <v>#DIV/0!</v>
      </c>
      <c r="J78" s="369" t="e">
        <f t="shared" si="113"/>
        <v>#DIV/0!</v>
      </c>
      <c r="K78" s="417">
        <f>SUMIFS('Display - Remarketing'!$P:$P,'Display - Remarketing'!$A:$A,"P6")</f>
        <v>0</v>
      </c>
      <c r="L78" s="417">
        <f>SUMIFS('Display - Remarketing'!$Q:$Q,'Display - Remarketing'!$A:$A,"P6")</f>
        <v>0</v>
      </c>
      <c r="M78" s="375" t="e">
        <f t="shared" si="114"/>
        <v>#DIV/0!</v>
      </c>
      <c r="N78" s="417">
        <f>SUMIFS('Display - Remarketing'!$T:$T,'Display - Remarketing'!$A:$A,"P6")</f>
        <v>0</v>
      </c>
      <c r="O78" s="417">
        <f>SUMIFS('Display - Remarketing'!$U:$U,'Display - Remarketing'!$A:$A,"P6")</f>
        <v>0</v>
      </c>
      <c r="P78" s="378" t="e">
        <f t="shared" si="115"/>
        <v>#DIV/0!</v>
      </c>
      <c r="Q78" s="379" t="e">
        <f t="shared" si="116"/>
        <v>#DIV/0!</v>
      </c>
      <c r="R78" s="379" t="e">
        <f t="shared" si="117"/>
        <v>#DIV/0!</v>
      </c>
      <c r="S78" s="378" t="e">
        <f t="shared" si="118"/>
        <v>#DIV/0!</v>
      </c>
      <c r="T78" s="374" t="e">
        <f t="shared" si="119"/>
        <v>#DIV/0!</v>
      </c>
      <c r="U78" s="374" t="e">
        <f t="shared" si="120"/>
        <v>#DIV/0!</v>
      </c>
      <c r="V78" s="375" t="e">
        <f t="shared" si="121"/>
        <v>#DIV/0!</v>
      </c>
      <c r="W78" s="374" t="e">
        <f t="shared" si="122"/>
        <v>#DIV/0!</v>
      </c>
      <c r="X78" s="374" t="e">
        <f t="shared" si="123"/>
        <v>#DIV/0!</v>
      </c>
      <c r="Y78" s="378" t="e">
        <f t="shared" si="124"/>
        <v>#DIV/0!</v>
      </c>
      <c r="Z78" s="419">
        <f>SUMIFS('Display - Remarketing'!$AB:$AB,'Display - Remarketing'!$A:$A,"p6")</f>
        <v>0</v>
      </c>
      <c r="AA78" s="417">
        <f>SUMIFS('Display - Remarketing'!$AC:$AC,'Display - Remarketing'!$A:$A,"P6")</f>
        <v>0</v>
      </c>
      <c r="AB78" s="378" t="e">
        <f t="shared" si="125"/>
        <v>#DIV/0!</v>
      </c>
      <c r="AC78" s="419">
        <f>SUMIFS('Display - Remarketing'!$AF:$AF,'Display - Remarketing'!$A:$A,"P6")</f>
        <v>0</v>
      </c>
      <c r="AD78" s="417">
        <f>SUMIFS('Display - Remarketing'!$AG:$AG,'Display - Remarketing'!$A:$A,"P6")</f>
        <v>0</v>
      </c>
      <c r="AE78" s="378" t="e">
        <f t="shared" si="126"/>
        <v>#DIV/0!</v>
      </c>
      <c r="AF78" s="379" t="e">
        <f t="shared" si="130"/>
        <v>#DIV/0!</v>
      </c>
      <c r="AG78" s="379" t="e">
        <f t="shared" si="131"/>
        <v>#DIV/0!</v>
      </c>
      <c r="AH78" s="378" t="e">
        <f t="shared" si="129"/>
        <v>#DIV/0!</v>
      </c>
    </row>
    <row r="79" spans="1:34" s="395" customFormat="1" ht="22.5" thickTop="1" thickBot="1" x14ac:dyDescent="0.4">
      <c r="A79" s="387" t="s">
        <v>16</v>
      </c>
      <c r="B79" s="388">
        <f>B68+B72+B73+B76</f>
        <v>134179</v>
      </c>
      <c r="C79" s="388">
        <f>C68+C72+C73+C76</f>
        <v>86324</v>
      </c>
      <c r="D79" s="389">
        <f t="shared" si="109"/>
        <v>0.55436495065103564</v>
      </c>
      <c r="E79" s="388">
        <f>E68+E72+E73+E76</f>
        <v>26354.314999999995</v>
      </c>
      <c r="F79" s="388">
        <f>F68+F72+F73+F76</f>
        <v>36277.096850000002</v>
      </c>
      <c r="G79" s="390">
        <f t="shared" si="110"/>
        <v>-0.2735274515220753</v>
      </c>
      <c r="H79" s="391">
        <f t="shared" si="111"/>
        <v>5.0913484186555422</v>
      </c>
      <c r="I79" s="391">
        <f t="shared" si="112"/>
        <v>2.3795729949652791</v>
      </c>
      <c r="J79" s="390">
        <f t="shared" si="113"/>
        <v>1.1396058996415999</v>
      </c>
      <c r="K79" s="392">
        <f>K68+K72+K73+K76</f>
        <v>51783</v>
      </c>
      <c r="L79" s="392">
        <f>L68+L72+L73+L76</f>
        <v>33962</v>
      </c>
      <c r="M79" s="390">
        <f t="shared" si="114"/>
        <v>0.52473352570519993</v>
      </c>
      <c r="N79" s="392">
        <f>N68+N72+N73+N76</f>
        <v>1267</v>
      </c>
      <c r="O79" s="392">
        <f>O68+O72+O73+O76</f>
        <v>757</v>
      </c>
      <c r="P79" s="389">
        <f t="shared" si="115"/>
        <v>0.67371202113606343</v>
      </c>
      <c r="Q79" s="393">
        <f t="shared" si="116"/>
        <v>2.4467489330475253E-2</v>
      </c>
      <c r="R79" s="393">
        <f t="shared" si="117"/>
        <v>2.2289617808138509E-2</v>
      </c>
      <c r="S79" s="389">
        <f t="shared" si="118"/>
        <v>9.7707889883223931E-2</v>
      </c>
      <c r="T79" s="388">
        <f t="shared" si="119"/>
        <v>20.800564325177582</v>
      </c>
      <c r="U79" s="388">
        <f t="shared" si="120"/>
        <v>47.922188705416119</v>
      </c>
      <c r="V79" s="390">
        <f t="shared" si="121"/>
        <v>-0.5659512871367095</v>
      </c>
      <c r="W79" s="388">
        <f t="shared" si="122"/>
        <v>105.90292028413576</v>
      </c>
      <c r="X79" s="388">
        <f t="shared" si="123"/>
        <v>114.0343461030383</v>
      </c>
      <c r="Y79" s="389">
        <f t="shared" si="124"/>
        <v>-7.1306813225860993E-2</v>
      </c>
      <c r="Z79" s="444">
        <f>Z68+Z72+Z73+Z76</f>
        <v>33029</v>
      </c>
      <c r="AA79" s="394">
        <f>AA68+AA72+AA73+AA76</f>
        <v>31638</v>
      </c>
      <c r="AB79" s="389">
        <f t="shared" si="125"/>
        <v>4.3966116695113473E-2</v>
      </c>
      <c r="AC79" s="444">
        <f>AC68+AC72+AC73+AC76</f>
        <v>1093890</v>
      </c>
      <c r="AD79" s="392">
        <f>AD68+AD72+AD73+AD76</f>
        <v>2784688</v>
      </c>
      <c r="AE79" s="389">
        <f t="shared" si="126"/>
        <v>-0.60717681837247117</v>
      </c>
      <c r="AF79" s="393">
        <f t="shared" si="130"/>
        <v>3.0194078015156917E-2</v>
      </c>
      <c r="AG79" s="393">
        <f t="shared" si="131"/>
        <v>1.1361416431571509E-2</v>
      </c>
      <c r="AH79" s="389">
        <f>(AF79-AG79)/AG79</f>
        <v>1.657598037798574</v>
      </c>
    </row>
    <row r="80" spans="1:34" x14ac:dyDescent="0.3">
      <c r="A80" s="359" t="s">
        <v>58</v>
      </c>
      <c r="B80" s="360" t="s">
        <v>1</v>
      </c>
      <c r="C80" s="360" t="s">
        <v>117</v>
      </c>
      <c r="D80" s="361" t="s">
        <v>24</v>
      </c>
      <c r="E80" s="360" t="s">
        <v>2</v>
      </c>
      <c r="F80" s="360" t="s">
        <v>99</v>
      </c>
      <c r="G80" s="361" t="s">
        <v>24</v>
      </c>
      <c r="H80" s="362" t="s">
        <v>3</v>
      </c>
      <c r="I80" s="362" t="s">
        <v>100</v>
      </c>
      <c r="J80" s="361" t="s">
        <v>24</v>
      </c>
      <c r="K80" s="362" t="s">
        <v>4</v>
      </c>
      <c r="L80" s="363" t="s">
        <v>101</v>
      </c>
      <c r="M80" s="361" t="s">
        <v>24</v>
      </c>
      <c r="N80" s="363" t="s">
        <v>5</v>
      </c>
      <c r="O80" s="363" t="s">
        <v>102</v>
      </c>
      <c r="P80" s="361" t="s">
        <v>24</v>
      </c>
      <c r="Q80" s="363" t="s">
        <v>109</v>
      </c>
      <c r="R80" s="363" t="s">
        <v>110</v>
      </c>
      <c r="S80" s="361" t="s">
        <v>24</v>
      </c>
      <c r="T80" s="364" t="s">
        <v>149</v>
      </c>
      <c r="U80" s="364" t="s">
        <v>150</v>
      </c>
      <c r="V80" s="361" t="s">
        <v>24</v>
      </c>
      <c r="W80" s="364" t="s">
        <v>6</v>
      </c>
      <c r="X80" s="364" t="s">
        <v>103</v>
      </c>
      <c r="Y80" s="361" t="s">
        <v>24</v>
      </c>
      <c r="Z80" s="446" t="s">
        <v>7</v>
      </c>
      <c r="AA80" s="363" t="s">
        <v>104</v>
      </c>
      <c r="AB80" s="361" t="s">
        <v>24</v>
      </c>
      <c r="AC80" s="442" t="s">
        <v>25</v>
      </c>
      <c r="AD80" s="365" t="s">
        <v>105</v>
      </c>
      <c r="AE80" s="361" t="s">
        <v>24</v>
      </c>
      <c r="AF80" s="366" t="s">
        <v>9</v>
      </c>
      <c r="AG80" s="366" t="s">
        <v>106</v>
      </c>
      <c r="AH80" s="361" t="s">
        <v>24</v>
      </c>
    </row>
    <row r="81" spans="1:34" s="367" customFormat="1" ht="20.100000000000001" customHeight="1" x14ac:dyDescent="0.3">
      <c r="A81" s="367" t="s">
        <v>10</v>
      </c>
      <c r="B81" s="368">
        <f>SUM(B82:B84)</f>
        <v>37123</v>
      </c>
      <c r="C81" s="368">
        <f>SUM(C82:C84)</f>
        <v>10492</v>
      </c>
      <c r="D81" s="369">
        <f t="shared" ref="D81:D92" si="132">(B81-C81)/C81</f>
        <v>2.5382195958825773</v>
      </c>
      <c r="E81" s="368">
        <f>SUM(E82:E84)</f>
        <v>10748</v>
      </c>
      <c r="F81" s="368">
        <f>SUM(F82:F84)</f>
        <v>9251.9800000000014</v>
      </c>
      <c r="G81" s="369">
        <f t="shared" ref="G81:G92" si="133">(E81-F81)/F81</f>
        <v>0.16169727993359242</v>
      </c>
      <c r="H81" s="370">
        <f t="shared" ref="H81:H92" si="134">B81/E81</f>
        <v>3.4539449199851133</v>
      </c>
      <c r="I81" s="370">
        <f t="shared" ref="I81:I92" si="135">C81/F81</f>
        <v>1.1340275270806897</v>
      </c>
      <c r="J81" s="369">
        <f t="shared" ref="J81:J92" si="136">(H81-I81)/I81</f>
        <v>2.0457328746477197</v>
      </c>
      <c r="K81" s="416">
        <f>SUM(K82:K84)</f>
        <v>28272</v>
      </c>
      <c r="L81" s="416">
        <f>SUM(L82:L84)</f>
        <v>18326</v>
      </c>
      <c r="M81" s="369">
        <f t="shared" ref="M81:M92" si="137">(K81-L81)/L81</f>
        <v>0.54272618138164352</v>
      </c>
      <c r="N81" s="416">
        <f>SUM(N82:N84)</f>
        <v>328</v>
      </c>
      <c r="O81" s="416">
        <f>SUM(O82:O84)</f>
        <v>111</v>
      </c>
      <c r="P81" s="369">
        <f t="shared" ref="P81:P92" si="138">(N81-O81)/O81</f>
        <v>1.954954954954955</v>
      </c>
      <c r="Q81" s="372">
        <f t="shared" ref="Q81:Q92" si="139">N81/K81</f>
        <v>1.1601584606677985E-2</v>
      </c>
      <c r="R81" s="372">
        <f t="shared" ref="R81:R92" si="140">O81/L81</f>
        <v>6.0569682418421915E-3</v>
      </c>
      <c r="S81" s="369">
        <f t="shared" ref="S81:S92" si="141">(Q81-R81)/R81</f>
        <v>0.91541116668451139</v>
      </c>
      <c r="T81" s="368">
        <f t="shared" ref="T81:T92" si="142">E81/N81</f>
        <v>32.768292682926827</v>
      </c>
      <c r="U81" s="368">
        <f t="shared" ref="U81:U92" si="143">F81/O81</f>
        <v>83.351171171171188</v>
      </c>
      <c r="V81" s="369">
        <f t="shared" ref="V81:V92" si="144">(T81-U81)/U81</f>
        <v>-0.60686464002247331</v>
      </c>
      <c r="W81" s="368">
        <f t="shared" ref="W81:W92" si="145">B81/N81</f>
        <v>113.17987804878049</v>
      </c>
      <c r="X81" s="368">
        <f t="shared" ref="X81:X92" si="146">C81/O81</f>
        <v>94.522522522522522</v>
      </c>
      <c r="Y81" s="369">
        <f t="shared" ref="Y81:Y92" si="147">(W81-X81)/X81</f>
        <v>0.19738529007001859</v>
      </c>
      <c r="Z81" s="420">
        <f>SUM(Z82:Z84)</f>
        <v>22799</v>
      </c>
      <c r="AA81" s="416">
        <f>SUM(AA82:AA84)</f>
        <v>15266</v>
      </c>
      <c r="AB81" s="369">
        <f t="shared" ref="AB81:AB92" si="148">(Z81-AA81)/AA81</f>
        <v>0.49344949561116208</v>
      </c>
      <c r="AC81" s="420">
        <f>SUM(AC82:AC84)</f>
        <v>591137</v>
      </c>
      <c r="AD81" s="416">
        <f>SUM(AD82:AD84)</f>
        <v>134526</v>
      </c>
      <c r="AE81" s="369">
        <f t="shared" ref="AE81:AE92" si="149">(AC81-AD81)/AD81</f>
        <v>3.3942211914425466</v>
      </c>
      <c r="AF81" s="372">
        <f t="shared" ref="AF81:AF84" si="150">Z81/AC81</f>
        <v>3.8568047677611114E-2</v>
      </c>
      <c r="AG81" s="372">
        <f t="shared" ref="AG81:AG84" si="151">AA81/AD81</f>
        <v>0.11347992209684374</v>
      </c>
      <c r="AH81" s="369">
        <f>(AF81-AG81)/AG81</f>
        <v>-0.66013329085036598</v>
      </c>
    </row>
    <row r="82" spans="1:34" outlineLevel="1" x14ac:dyDescent="0.3">
      <c r="A82" s="373" t="s">
        <v>29</v>
      </c>
      <c r="B82" s="374">
        <f>SUMIFS(Search!$E:$E,Search!$A:$A,"P7",Search!$D:$D,"Brand")</f>
        <v>33287</v>
      </c>
      <c r="C82" s="374">
        <f>SUMIFS(Search!$F:$F,Search!$A:$A,"P7",Search!$D:$D,"Brand")</f>
        <v>9111</v>
      </c>
      <c r="D82" s="369">
        <f t="shared" si="132"/>
        <v>2.6534957743387113</v>
      </c>
      <c r="E82" s="374">
        <f>SUMIFS(Search!$I:$I,Search!$A:$A,"P7",Search!$D:$D,"Brand")</f>
        <v>2587.9700000000003</v>
      </c>
      <c r="F82" s="374">
        <f>SUMIFS(Search!$J:$J,Search!$A:$A,"P7",Search!$D:$D,"Brand")</f>
        <v>1208.1200000000001</v>
      </c>
      <c r="G82" s="375">
        <f t="shared" si="133"/>
        <v>1.1421464755156772</v>
      </c>
      <c r="H82" s="376">
        <f t="shared" si="134"/>
        <v>12.862204739622173</v>
      </c>
      <c r="I82" s="376">
        <f t="shared" si="135"/>
        <v>7.5414693904579009</v>
      </c>
      <c r="J82" s="375">
        <f t="shared" si="136"/>
        <v>0.70553032488556044</v>
      </c>
      <c r="K82" s="417">
        <f>SUMIFS(Search!$Q:$Q,Search!$A:$A,"P7",Search!$D:$D,"Brand")</f>
        <v>15434</v>
      </c>
      <c r="L82" s="417">
        <f>SUMIFS(Search!$R:$R,Search!$A:$A,"P7",Search!$D:$D,"Brand")</f>
        <v>9381</v>
      </c>
      <c r="M82" s="375">
        <f t="shared" si="137"/>
        <v>0.64524037949045943</v>
      </c>
      <c r="N82" s="417">
        <f>SUMIFS(Search!$U:$U,Search!$A:$A,"P7",Search!$D:$D,"Brand")</f>
        <v>288</v>
      </c>
      <c r="O82" s="417">
        <f>SUMIFS(Search!$V:$V,Search!$A:$A,"P7",Search!$D:$D,"Brand")</f>
        <v>92</v>
      </c>
      <c r="P82" s="378">
        <f t="shared" si="138"/>
        <v>2.1304347826086958</v>
      </c>
      <c r="Q82" s="379">
        <f t="shared" si="139"/>
        <v>1.8660101075547494E-2</v>
      </c>
      <c r="R82" s="379">
        <f t="shared" si="140"/>
        <v>9.8070568169704719E-3</v>
      </c>
      <c r="S82" s="378">
        <f t="shared" si="141"/>
        <v>0.90272182814903312</v>
      </c>
      <c r="T82" s="374">
        <f t="shared" si="142"/>
        <v>8.9860069444444459</v>
      </c>
      <c r="U82" s="374">
        <f t="shared" si="143"/>
        <v>13.131739130434784</v>
      </c>
      <c r="V82" s="375">
        <f t="shared" si="144"/>
        <v>-0.31570320921026973</v>
      </c>
      <c r="W82" s="374">
        <f t="shared" si="145"/>
        <v>115.57986111111111</v>
      </c>
      <c r="X82" s="374">
        <f t="shared" si="146"/>
        <v>99.032608695652172</v>
      </c>
      <c r="Y82" s="378">
        <f t="shared" si="147"/>
        <v>0.1670889279137551</v>
      </c>
      <c r="Z82" s="419">
        <f>SUMIFS(Search!$AG:$AG,Search!$A:$A,"P7",Search!$D:$D,"Brand")</f>
        <v>11787</v>
      </c>
      <c r="AA82" s="417">
        <f>SUMIFS(Search!$AH:$AH,Search!$A:$A,"P7",Search!$D:$D,"Brand")</f>
        <v>7498</v>
      </c>
      <c r="AB82" s="378">
        <f t="shared" si="148"/>
        <v>0.57201920512136573</v>
      </c>
      <c r="AC82" s="419">
        <f>SUMIFS(Search!$AK:$AK,Search!$A:$A,"P7",Search!$D:$D,"Brand")</f>
        <v>38737</v>
      </c>
      <c r="AD82" s="417">
        <f>SUMIFS(Search!$AL:$AL,Search!$A:$A,"P7",Search!$D:$D,"Brand")</f>
        <v>19723</v>
      </c>
      <c r="AE82" s="378">
        <f t="shared" si="149"/>
        <v>0.96405212188815093</v>
      </c>
      <c r="AF82" s="379">
        <f t="shared" si="150"/>
        <v>0.30428272710844928</v>
      </c>
      <c r="AG82" s="379">
        <f t="shared" si="151"/>
        <v>0.38016528925619836</v>
      </c>
      <c r="AH82" s="378">
        <f>(AF82-AG82)/AG82</f>
        <v>-0.19960413086690518</v>
      </c>
    </row>
    <row r="83" spans="1:34" outlineLevel="1" x14ac:dyDescent="0.3">
      <c r="A83" s="373" t="s">
        <v>30</v>
      </c>
      <c r="B83" s="374">
        <f>SUMIFS(Search!$E:$E,Search!$A:$A,"P7",Search!$D:$D,"Non-Brand")</f>
        <v>1079</v>
      </c>
      <c r="C83" s="374">
        <f>SUMIFS(Search!$F:$F,Search!$A:$A,"P7",Search!$D:$D,"Non-Brand")</f>
        <v>1381</v>
      </c>
      <c r="D83" s="369">
        <f t="shared" si="132"/>
        <v>-0.21868211440984794</v>
      </c>
      <c r="E83" s="374">
        <f>SUMIFS(Search!$I:$I,Search!$A:$A,"P7",Search!$D:$D,"Non-Brand")</f>
        <v>3161.0299999999997</v>
      </c>
      <c r="F83" s="374">
        <f>SUMIFS(Search!$J:$J,Search!$A:$A,"P7",Search!$D:$D,"Non-Brand")</f>
        <v>8043.8600000000006</v>
      </c>
      <c r="G83" s="375">
        <f t="shared" si="133"/>
        <v>-0.60702573142744909</v>
      </c>
      <c r="H83" s="376">
        <f t="shared" si="134"/>
        <v>0.34134443519991903</v>
      </c>
      <c r="I83" s="376">
        <f t="shared" si="135"/>
        <v>0.17168374387420962</v>
      </c>
      <c r="J83" s="375">
        <f t="shared" si="136"/>
        <v>0.98821640009212242</v>
      </c>
      <c r="K83" s="417">
        <f>SUMIFS(Search!$Q:$Q,Search!$A:$A,"P7",Search!$D:$D,"Non-Brand")</f>
        <v>4042</v>
      </c>
      <c r="L83" s="417">
        <f>SUMIFS(Search!$R:$R,Search!$A:$A,"P7",Search!$D:$D,"Non-Brand")</f>
        <v>8945</v>
      </c>
      <c r="M83" s="375">
        <f t="shared" si="137"/>
        <v>-0.54812744550027948</v>
      </c>
      <c r="N83" s="417">
        <f>SUMIFS(Search!$U:$U,Search!$A:$A,"P7",Search!$D:$D,"Non-Brand")</f>
        <v>9</v>
      </c>
      <c r="O83" s="417">
        <f>SUMIFS(Search!$V:$V,Search!$A:$A,"P7",Search!$D:$D,"Non-Brand")</f>
        <v>19</v>
      </c>
      <c r="P83" s="378">
        <f t="shared" si="138"/>
        <v>-0.52631578947368418</v>
      </c>
      <c r="Q83" s="379">
        <f t="shared" si="139"/>
        <v>2.2266204849084609E-3</v>
      </c>
      <c r="R83" s="379">
        <f t="shared" si="140"/>
        <v>2.1240916713247625E-3</v>
      </c>
      <c r="S83" s="378">
        <f t="shared" si="141"/>
        <v>4.8269486184535908E-2</v>
      </c>
      <c r="T83" s="374">
        <f t="shared" si="142"/>
        <v>351.2255555555555</v>
      </c>
      <c r="U83" s="374">
        <f t="shared" si="143"/>
        <v>423.36105263157896</v>
      </c>
      <c r="V83" s="375">
        <f t="shared" si="144"/>
        <v>-0.17038765523572583</v>
      </c>
      <c r="W83" s="374">
        <f t="shared" si="145"/>
        <v>119.88888888888889</v>
      </c>
      <c r="X83" s="374">
        <f t="shared" si="146"/>
        <v>72.684210526315795</v>
      </c>
      <c r="Y83" s="378">
        <f t="shared" si="147"/>
        <v>0.64944886957920978</v>
      </c>
      <c r="Z83" s="419">
        <f>SUMIFS(Search!$AG:$AG,Search!$A:$A,"P7",Search!$D:$D,"Non-Brand")</f>
        <v>2517</v>
      </c>
      <c r="AA83" s="417">
        <f>SUMIFS(Search!$AH:$AH,Search!$A:$A,"P7",Search!$D:$D,"Non-Brand")</f>
        <v>7768</v>
      </c>
      <c r="AB83" s="378">
        <f t="shared" si="148"/>
        <v>-0.6759783728115345</v>
      </c>
      <c r="AC83" s="419">
        <f>SUMIFS(Search!$AK:$AK,Search!$A:$A,"P7",Search!$D:$D,"Non-Brand")</f>
        <v>38119</v>
      </c>
      <c r="AD83" s="417">
        <f>SUMIFS(Search!$AL:$AL,Search!$A:$A,"P7",Search!$D:$D,"Non-Brand")</f>
        <v>114803</v>
      </c>
      <c r="AE83" s="378">
        <f t="shared" si="149"/>
        <v>-0.66796163863313673</v>
      </c>
      <c r="AF83" s="379">
        <f t="shared" si="150"/>
        <v>6.6030063747737344E-2</v>
      </c>
      <c r="AG83" s="379">
        <f t="shared" si="151"/>
        <v>6.766373701035687E-2</v>
      </c>
      <c r="AH83" s="378">
        <f>(AF83-AG83)/AG83</f>
        <v>-2.4143999944452807E-2</v>
      </c>
    </row>
    <row r="84" spans="1:34" outlineLevel="1" x14ac:dyDescent="0.3">
      <c r="A84" s="373" t="s">
        <v>228</v>
      </c>
      <c r="B84" s="374">
        <f>SUMIFS(Search!$E:$E,Search!$A:$A,"P7",Search!$D:$D,"Shopping Campaigns")</f>
        <v>2757</v>
      </c>
      <c r="C84" s="374">
        <f>SUMIFS(Search!$F:$F,Search!$A:$A,"P7",Search!$D:$D,"Shopping Campaigns")</f>
        <v>0</v>
      </c>
      <c r="D84" s="369" t="e">
        <f t="shared" si="132"/>
        <v>#DIV/0!</v>
      </c>
      <c r="E84" s="374">
        <f>SUMIFS(Search!$I:$I,Search!$A:$A,"P7",Search!$D:$D,"Shopping Campaigns")</f>
        <v>4999</v>
      </c>
      <c r="F84" s="374">
        <f>SUMIFS(Search!$J:$J,Search!$A:$A,"P7",Search!$D:$D,"Shopping Campaigns")</f>
        <v>0</v>
      </c>
      <c r="G84" s="375" t="e">
        <f t="shared" si="133"/>
        <v>#DIV/0!</v>
      </c>
      <c r="H84" s="376">
        <f t="shared" si="134"/>
        <v>0.55151030206041207</v>
      </c>
      <c r="I84" s="376" t="e">
        <f t="shared" si="135"/>
        <v>#DIV/0!</v>
      </c>
      <c r="J84" s="375" t="e">
        <f t="shared" si="136"/>
        <v>#DIV/0!</v>
      </c>
      <c r="K84" s="417">
        <f>SUMIFS(Search!$Q:$Q,Search!$A:$A,"P7",Search!$D:$D,"Shopping Campaigns")</f>
        <v>8796</v>
      </c>
      <c r="L84" s="417">
        <f>SUMIFS(Search!$R:$R,Search!$A:$A,"P7",Search!$D:$D,"Shopping Campaigns")</f>
        <v>0</v>
      </c>
      <c r="M84" s="375" t="e">
        <f t="shared" si="137"/>
        <v>#DIV/0!</v>
      </c>
      <c r="N84" s="417">
        <f>SUMIFS(Search!$U:$U,Search!$A:$A,"P7",Search!$D:$D,"Shopping Campaigns")</f>
        <v>31</v>
      </c>
      <c r="O84" s="417">
        <f>SUMIFS(Search!$V:$V,Search!$A:$A,"P7",Search!$D:$D,"Shopping Campaigns")</f>
        <v>0</v>
      </c>
      <c r="P84" s="378" t="e">
        <f t="shared" si="138"/>
        <v>#DIV/0!</v>
      </c>
      <c r="Q84" s="379">
        <f t="shared" si="139"/>
        <v>3.5243292405638927E-3</v>
      </c>
      <c r="R84" s="379" t="e">
        <f t="shared" si="140"/>
        <v>#DIV/0!</v>
      </c>
      <c r="S84" s="378" t="e">
        <f t="shared" si="141"/>
        <v>#DIV/0!</v>
      </c>
      <c r="T84" s="374">
        <f t="shared" si="142"/>
        <v>161.25806451612902</v>
      </c>
      <c r="U84" s="374" t="e">
        <f t="shared" si="143"/>
        <v>#DIV/0!</v>
      </c>
      <c r="V84" s="375" t="e">
        <f t="shared" si="144"/>
        <v>#DIV/0!</v>
      </c>
      <c r="W84" s="374">
        <f t="shared" si="145"/>
        <v>88.935483870967744</v>
      </c>
      <c r="X84" s="374" t="e">
        <f t="shared" si="146"/>
        <v>#DIV/0!</v>
      </c>
      <c r="Y84" s="378" t="e">
        <f t="shared" si="147"/>
        <v>#DIV/0!</v>
      </c>
      <c r="Z84" s="419">
        <f>SUMIFS(Search!$AG:$AG,Search!$A:$A,"P7",Search!$D:$D,"Shopping Campaigns")</f>
        <v>8495</v>
      </c>
      <c r="AA84" s="417">
        <f>SUMIFS(Search!$AH:$AH,Search!$A:$A,"P7",Search!$D:$D,"Shopping Campaigns")</f>
        <v>0</v>
      </c>
      <c r="AB84" s="378" t="e">
        <f t="shared" si="148"/>
        <v>#DIV/0!</v>
      </c>
      <c r="AC84" s="419">
        <f>SUMIFS(Search!$AK:$AK,Search!$A:$A,"P7",Search!$D:$D,"Shopping Campaigns")</f>
        <v>514281</v>
      </c>
      <c r="AD84" s="417">
        <f>SUMIFS(Search!$AL:$AL,Search!$A:$A,"P7",Search!$D:$D,"Shopping Campaigns")</f>
        <v>0</v>
      </c>
      <c r="AE84" s="378" t="e">
        <f t="shared" si="149"/>
        <v>#DIV/0!</v>
      </c>
      <c r="AF84" s="379">
        <f t="shared" si="150"/>
        <v>1.6518206972452803E-2</v>
      </c>
      <c r="AG84" s="379" t="e">
        <f t="shared" si="151"/>
        <v>#DIV/0!</v>
      </c>
      <c r="AH84" s="378" t="e">
        <f t="shared" ref="AH84:AH91" si="152">(AF84-AG84)/AG84</f>
        <v>#DIV/0!</v>
      </c>
    </row>
    <row r="85" spans="1:34" s="367" customFormat="1" ht="21" customHeight="1" x14ac:dyDescent="0.3">
      <c r="A85" s="380" t="s">
        <v>13</v>
      </c>
      <c r="B85" s="368">
        <f>SUMIFS(Affiliate!D:D,Affiliate!$A:$A,"P7")</f>
        <v>67466</v>
      </c>
      <c r="C85" s="368">
        <f>SUMIFS(Affiliate!E:E,Affiliate!$A:$A,"P7")</f>
        <v>62494</v>
      </c>
      <c r="D85" s="369">
        <f t="shared" si="132"/>
        <v>7.9559637725221621E-2</v>
      </c>
      <c r="E85" s="368">
        <f>SUMIFS(Affiliate!H:H,Affiliate!$A:$A,"P7")</f>
        <v>6779.71</v>
      </c>
      <c r="F85" s="368">
        <f>SUMIFS(Affiliate!I:I,Affiliate!$A:$A,"P7")</f>
        <v>15146.03</v>
      </c>
      <c r="G85" s="369">
        <f t="shared" si="133"/>
        <v>-0.55237709155468462</v>
      </c>
      <c r="H85" s="370">
        <f t="shared" si="134"/>
        <v>9.9511631028465821</v>
      </c>
      <c r="I85" s="370">
        <f t="shared" si="135"/>
        <v>4.1260977299001782</v>
      </c>
      <c r="J85" s="369">
        <f t="shared" si="136"/>
        <v>1.4117613673409837</v>
      </c>
      <c r="K85" s="416">
        <f>SUMIFS(Affiliate!$AF:$AF,Affiliate!$A:$A,"P7")</f>
        <v>6494</v>
      </c>
      <c r="L85" s="416">
        <f>SUMIFS(Affiliate!$AG:$AG,Affiliate!$A:$A,"P7")</f>
        <v>11779</v>
      </c>
      <c r="M85" s="369">
        <f t="shared" si="137"/>
        <v>-0.44867985397741744</v>
      </c>
      <c r="N85" s="416">
        <f>SUMIFS(Affiliate!$AJ:$AJ,Affiliate!$A:$A,"P7")</f>
        <v>601</v>
      </c>
      <c r="O85" s="416">
        <f>SUMIFS(Affiliate!$AK:$AK,Affiliate!$A:$A,"P7")</f>
        <v>580</v>
      </c>
      <c r="P85" s="381">
        <f t="shared" si="138"/>
        <v>3.6206896551724141E-2</v>
      </c>
      <c r="Q85" s="382">
        <f t="shared" si="139"/>
        <v>9.2546966430551283E-2</v>
      </c>
      <c r="R85" s="382">
        <f t="shared" si="140"/>
        <v>4.9240173189574667E-2</v>
      </c>
      <c r="S85" s="381">
        <f t="shared" si="141"/>
        <v>0.87950123721631646</v>
      </c>
      <c r="T85" s="383">
        <f t="shared" si="142"/>
        <v>11.28071547420965</v>
      </c>
      <c r="U85" s="383">
        <f t="shared" si="143"/>
        <v>26.11384482758621</v>
      </c>
      <c r="V85" s="369">
        <f t="shared" si="144"/>
        <v>-0.56801782546042778</v>
      </c>
      <c r="W85" s="383">
        <f t="shared" si="145"/>
        <v>112.25623960066555</v>
      </c>
      <c r="X85" s="383">
        <f t="shared" si="146"/>
        <v>107.74827586206897</v>
      </c>
      <c r="Y85" s="381">
        <f t="shared" si="147"/>
        <v>4.1837919934490035E-2</v>
      </c>
      <c r="Z85" s="443"/>
      <c r="AA85" s="384"/>
      <c r="AB85" s="381" t="e">
        <f t="shared" si="148"/>
        <v>#DIV/0!</v>
      </c>
      <c r="AC85" s="443"/>
      <c r="AD85" s="384"/>
      <c r="AE85" s="381" t="e">
        <f t="shared" si="149"/>
        <v>#DIV/0!</v>
      </c>
      <c r="AF85" s="385"/>
      <c r="AG85" s="385"/>
      <c r="AH85" s="381" t="e">
        <f t="shared" si="152"/>
        <v>#DIV/0!</v>
      </c>
    </row>
    <row r="86" spans="1:34" s="367" customFormat="1" ht="20.100000000000001" customHeight="1" x14ac:dyDescent="0.3">
      <c r="A86" s="367" t="s">
        <v>14</v>
      </c>
      <c r="B86" s="368">
        <f>SUM(B87:B88)</f>
        <v>0</v>
      </c>
      <c r="C86" s="368">
        <f>SUM(C87:C88)</f>
        <v>692</v>
      </c>
      <c r="D86" s="369">
        <f t="shared" si="132"/>
        <v>-1</v>
      </c>
      <c r="E86" s="368">
        <f>SUM(E87:E88)</f>
        <v>5995.71</v>
      </c>
      <c r="F86" s="368">
        <f>SUM(F87:F88)</f>
        <v>4457.36445</v>
      </c>
      <c r="G86" s="369">
        <f t="shared" si="133"/>
        <v>0.34512447148000203</v>
      </c>
      <c r="H86" s="370">
        <f t="shared" si="134"/>
        <v>0</v>
      </c>
      <c r="I86" s="370">
        <f t="shared" si="135"/>
        <v>0.15524869185870588</v>
      </c>
      <c r="J86" s="369">
        <f t="shared" si="136"/>
        <v>-1</v>
      </c>
      <c r="K86" s="416">
        <f>SUM(K87:K88)</f>
        <v>218</v>
      </c>
      <c r="L86" s="416">
        <f>SUM(L87:L88)</f>
        <v>2205</v>
      </c>
      <c r="M86" s="369">
        <f t="shared" si="137"/>
        <v>-0.90113378684807255</v>
      </c>
      <c r="N86" s="416">
        <f>SUM(N87:N88)</f>
        <v>0</v>
      </c>
      <c r="O86" s="416">
        <f>SUM(O87:O88)</f>
        <v>7</v>
      </c>
      <c r="P86" s="381">
        <f t="shared" si="138"/>
        <v>-1</v>
      </c>
      <c r="Q86" s="382">
        <f t="shared" si="139"/>
        <v>0</v>
      </c>
      <c r="R86" s="382">
        <f t="shared" si="140"/>
        <v>3.1746031746031746E-3</v>
      </c>
      <c r="S86" s="381">
        <f t="shared" si="141"/>
        <v>-1</v>
      </c>
      <c r="T86" s="383" t="e">
        <f t="shared" si="142"/>
        <v>#DIV/0!</v>
      </c>
      <c r="U86" s="383">
        <f t="shared" si="143"/>
        <v>636.76634999999999</v>
      </c>
      <c r="V86" s="369" t="e">
        <f t="shared" si="144"/>
        <v>#DIV/0!</v>
      </c>
      <c r="W86" s="383" t="e">
        <f t="shared" si="145"/>
        <v>#DIV/0!</v>
      </c>
      <c r="X86" s="383">
        <f t="shared" si="146"/>
        <v>98.857142857142861</v>
      </c>
      <c r="Y86" s="381" t="e">
        <f t="shared" si="147"/>
        <v>#DIV/0!</v>
      </c>
      <c r="Z86" s="420">
        <f>SUM(Z87:Z88)</f>
        <v>5488</v>
      </c>
      <c r="AA86" s="416">
        <f>SUM(AA87:AA88)</f>
        <v>3442</v>
      </c>
      <c r="AB86" s="381">
        <f t="shared" si="148"/>
        <v>0.5944218477629285</v>
      </c>
      <c r="AC86" s="420">
        <f>SUM(AC87:AC88)</f>
        <v>571766</v>
      </c>
      <c r="AD86" s="416">
        <f>SUM(AD87:AD88)</f>
        <v>867680</v>
      </c>
      <c r="AE86" s="381">
        <f t="shared" si="149"/>
        <v>-0.3410404757514291</v>
      </c>
      <c r="AF86" s="382">
        <f t="shared" ref="AF86:AF92" si="153">Z86/AC86</f>
        <v>9.5983321848448488E-3</v>
      </c>
      <c r="AG86" s="382">
        <f t="shared" ref="AG86:AG92" si="154">AA86/AD86</f>
        <v>3.9669002397197126E-3</v>
      </c>
      <c r="AH86" s="381">
        <f t="shared" si="152"/>
        <v>1.4196051336856996</v>
      </c>
    </row>
    <row r="87" spans="1:34" outlineLevel="1" x14ac:dyDescent="0.3">
      <c r="A87" s="373" t="s">
        <v>285</v>
      </c>
      <c r="B87" s="374">
        <f>SUMIFS('Social - Promos'!$E:$E,'Social - Promos'!$A:$A,"p7")</f>
        <v>0</v>
      </c>
      <c r="C87" s="374">
        <f>SUMIFS('Social - Promos'!$F:$F,'Social - Promos'!$A:$A,"p7")</f>
        <v>692</v>
      </c>
      <c r="D87" s="369">
        <f t="shared" si="132"/>
        <v>-1</v>
      </c>
      <c r="E87" s="374">
        <f>SUMIFS('Social - Promos'!$K:$K,'Social - Promos'!$A:$A,"P7")</f>
        <v>5995.71</v>
      </c>
      <c r="F87" s="374">
        <f>SUMIFS('Social - Promos'!$L:$L,'Social - Promos'!$A:$A,"p7")</f>
        <v>4457.36445</v>
      </c>
      <c r="G87" s="375">
        <f t="shared" si="133"/>
        <v>0.34512447148000203</v>
      </c>
      <c r="H87" s="386">
        <f t="shared" si="134"/>
        <v>0</v>
      </c>
      <c r="I87" s="386">
        <f t="shared" si="135"/>
        <v>0.15524869185870588</v>
      </c>
      <c r="J87" s="375">
        <f t="shared" si="136"/>
        <v>-1</v>
      </c>
      <c r="K87" s="417">
        <f>SUMIFS('Social - Promos'!$T:$T,'Social - Promos'!$A:$A,"p7")</f>
        <v>218</v>
      </c>
      <c r="L87" s="417">
        <f>SUMIFS('Social - Promos'!$U:$U,'Social - Promos'!$A:$A,"p7")</f>
        <v>2205</v>
      </c>
      <c r="M87" s="375">
        <f t="shared" si="137"/>
        <v>-0.90113378684807255</v>
      </c>
      <c r="N87" s="417">
        <f>SUMIFS('Social - Promos'!$W:$W,'Social - Promos'!$A:$A,"p7")</f>
        <v>0</v>
      </c>
      <c r="O87" s="417">
        <f>SUMIFS('Social - Promos'!$X:$X,'Social - Promos'!$A:$A,"p7")</f>
        <v>7</v>
      </c>
      <c r="P87" s="378">
        <f t="shared" si="138"/>
        <v>-1</v>
      </c>
      <c r="Q87" s="379">
        <f t="shared" si="139"/>
        <v>0</v>
      </c>
      <c r="R87" s="379">
        <f t="shared" si="140"/>
        <v>3.1746031746031746E-3</v>
      </c>
      <c r="S87" s="378">
        <f t="shared" si="141"/>
        <v>-1</v>
      </c>
      <c r="T87" s="374" t="e">
        <f t="shared" si="142"/>
        <v>#DIV/0!</v>
      </c>
      <c r="U87" s="374">
        <f t="shared" si="143"/>
        <v>636.76634999999999</v>
      </c>
      <c r="V87" s="375" t="e">
        <f t="shared" si="144"/>
        <v>#DIV/0!</v>
      </c>
      <c r="W87" s="374" t="e">
        <f t="shared" si="145"/>
        <v>#DIV/0!</v>
      </c>
      <c r="X87" s="374">
        <f t="shared" si="146"/>
        <v>98.857142857142861</v>
      </c>
      <c r="Y87" s="378" t="e">
        <f t="shared" si="147"/>
        <v>#DIV/0!</v>
      </c>
      <c r="Z87" s="419">
        <f>SUMIFS('Social - Promos'!$AF:$AF,'Social - Promos'!$A:$A,"p7")</f>
        <v>5488</v>
      </c>
      <c r="AA87" s="417">
        <f>SUMIFS('Social - Promos'!$AG:$AG,'Social - Promos'!$A:$A,"p7")</f>
        <v>3442</v>
      </c>
      <c r="AB87" s="378">
        <f t="shared" si="148"/>
        <v>0.5944218477629285</v>
      </c>
      <c r="AC87" s="419">
        <f>SUMIFS('Social - Promos'!$AI:$AI,'Social - Promos'!$A:$A,"p7")</f>
        <v>571766</v>
      </c>
      <c r="AD87" s="417">
        <f>SUMIFS('Social - Promos'!$AJ:$AJ,'Social - Promos'!$A:$A,"p7")</f>
        <v>867680</v>
      </c>
      <c r="AE87" s="378">
        <f t="shared" si="149"/>
        <v>-0.3410404757514291</v>
      </c>
      <c r="AF87" s="379">
        <f t="shared" si="153"/>
        <v>9.5983321848448488E-3</v>
      </c>
      <c r="AG87" s="379">
        <f t="shared" si="154"/>
        <v>3.9669002397197126E-3</v>
      </c>
      <c r="AH87" s="378">
        <f t="shared" si="152"/>
        <v>1.4196051336856996</v>
      </c>
    </row>
    <row r="88" spans="1:34" outlineLevel="1" x14ac:dyDescent="0.3">
      <c r="A88" s="373" t="s">
        <v>286</v>
      </c>
      <c r="B88" s="374">
        <f>SUMIFS('Social - Remarketing'!$D:$D,'Social - Remarketing'!$A:$A,"P7")</f>
        <v>0</v>
      </c>
      <c r="C88" s="374">
        <f>SUMIFS('Social - Remarketing'!$E:$E,'Social - Remarketing'!$A:$A,"P7")</f>
        <v>0</v>
      </c>
      <c r="D88" s="369" t="e">
        <f t="shared" si="132"/>
        <v>#DIV/0!</v>
      </c>
      <c r="E88" s="374">
        <f>SUMIFS('Social - Remarketing'!$H:$H,'Social - Remarketing'!$A:$A,"P7")</f>
        <v>0</v>
      </c>
      <c r="F88" s="374">
        <f>SUMIFS('Social - Remarketing'!$I:$I,'Social - Remarketing'!$A:$A,"P7")</f>
        <v>0</v>
      </c>
      <c r="G88" s="369" t="e">
        <f t="shared" si="133"/>
        <v>#DIV/0!</v>
      </c>
      <c r="H88" s="386" t="e">
        <f t="shared" si="134"/>
        <v>#DIV/0!</v>
      </c>
      <c r="I88" s="386" t="e">
        <f t="shared" si="135"/>
        <v>#DIV/0!</v>
      </c>
      <c r="J88" s="369" t="e">
        <f t="shared" si="136"/>
        <v>#DIV/0!</v>
      </c>
      <c r="K88" s="417">
        <f>SUMIFS('Social - Remarketing'!$X:$X,'Social - Remarketing'!$A:$A,"P7")</f>
        <v>0</v>
      </c>
      <c r="L88" s="417">
        <f>SUMIFS('Social - Remarketing'!$Y:$Y,'Social - Remarketing'!$A:$A,"P7")</f>
        <v>0</v>
      </c>
      <c r="M88" s="375" t="e">
        <f t="shared" si="137"/>
        <v>#DIV/0!</v>
      </c>
      <c r="N88" s="417">
        <f>SUMIFS('Social - Remarketing'!$AB:$AB,'Social - Remarketing'!$A:$A,"P7")</f>
        <v>0</v>
      </c>
      <c r="O88" s="417">
        <f>SUMIFS('Social - Remarketing'!$AC:$AC,'Social - Remarketing'!$A:$A,"P7")</f>
        <v>0</v>
      </c>
      <c r="P88" s="378" t="e">
        <f t="shared" si="138"/>
        <v>#DIV/0!</v>
      </c>
      <c r="Q88" s="379" t="e">
        <f t="shared" si="139"/>
        <v>#DIV/0!</v>
      </c>
      <c r="R88" s="379" t="e">
        <f t="shared" si="140"/>
        <v>#DIV/0!</v>
      </c>
      <c r="S88" s="378" t="e">
        <f t="shared" si="141"/>
        <v>#DIV/0!</v>
      </c>
      <c r="T88" s="374" t="e">
        <f t="shared" si="142"/>
        <v>#DIV/0!</v>
      </c>
      <c r="U88" s="374" t="e">
        <f t="shared" si="143"/>
        <v>#DIV/0!</v>
      </c>
      <c r="V88" s="375" t="e">
        <f t="shared" si="144"/>
        <v>#DIV/0!</v>
      </c>
      <c r="W88" s="374" t="e">
        <f t="shared" si="145"/>
        <v>#DIV/0!</v>
      </c>
      <c r="X88" s="374" t="e">
        <f t="shared" si="146"/>
        <v>#DIV/0!</v>
      </c>
      <c r="Y88" s="378" t="e">
        <f t="shared" si="147"/>
        <v>#DIV/0!</v>
      </c>
      <c r="Z88" s="419">
        <f>SUMIFS('Social - Remarketing'!$AN:$AN,'Social - Remarketing'!$A:$A,"P7")</f>
        <v>0</v>
      </c>
      <c r="AA88" s="417">
        <f>SUMIFS('Social - Remarketing'!$AO:$AO,'Social - Remarketing'!$A:$A,"P7")</f>
        <v>0</v>
      </c>
      <c r="AB88" s="378" t="e">
        <f t="shared" si="148"/>
        <v>#DIV/0!</v>
      </c>
      <c r="AC88" s="419">
        <f>SUMIFS('Social - Remarketing'!$AR:$AR,'Social - Remarketing'!$A:$A,"P7")</f>
        <v>0</v>
      </c>
      <c r="AD88" s="417">
        <f>SUMIFS('Social - Remarketing'!$AS:$AS,'Social - Remarketing'!$A:$A,"P7")</f>
        <v>0</v>
      </c>
      <c r="AE88" s="378" t="e">
        <f t="shared" si="149"/>
        <v>#DIV/0!</v>
      </c>
      <c r="AF88" s="379" t="e">
        <f t="shared" si="153"/>
        <v>#DIV/0!</v>
      </c>
      <c r="AG88" s="379" t="e">
        <f t="shared" si="154"/>
        <v>#DIV/0!</v>
      </c>
      <c r="AH88" s="378" t="e">
        <f t="shared" si="152"/>
        <v>#DIV/0!</v>
      </c>
    </row>
    <row r="89" spans="1:34" s="367" customFormat="1" ht="21" customHeight="1" x14ac:dyDescent="0.3">
      <c r="A89" s="367" t="s">
        <v>15</v>
      </c>
      <c r="B89" s="368">
        <f>SUM(B90:B91)</f>
        <v>0</v>
      </c>
      <c r="C89" s="368">
        <f>SUM(C90:C91)</f>
        <v>0</v>
      </c>
      <c r="D89" s="369" t="e">
        <f t="shared" si="132"/>
        <v>#DIV/0!</v>
      </c>
      <c r="E89" s="368">
        <f>SUM(E90:E91)</f>
        <v>0</v>
      </c>
      <c r="F89" s="368">
        <f>SUM(F90:F91)</f>
        <v>1735.64</v>
      </c>
      <c r="G89" s="369">
        <f t="shared" si="133"/>
        <v>-1</v>
      </c>
      <c r="H89" s="370" t="e">
        <f t="shared" si="134"/>
        <v>#DIV/0!</v>
      </c>
      <c r="I89" s="370">
        <f t="shared" si="135"/>
        <v>0</v>
      </c>
      <c r="J89" s="369" t="e">
        <f t="shared" si="136"/>
        <v>#DIV/0!</v>
      </c>
      <c r="K89" s="416">
        <f>SUM(K90:K91)</f>
        <v>768</v>
      </c>
      <c r="L89" s="416">
        <f>SUM(L90:L91)</f>
        <v>0</v>
      </c>
      <c r="M89" s="369" t="e">
        <f t="shared" si="137"/>
        <v>#DIV/0!</v>
      </c>
      <c r="N89" s="416">
        <f>SUM(N90:N91)</f>
        <v>0</v>
      </c>
      <c r="O89" s="416">
        <f>SUM(O90:O91)</f>
        <v>0</v>
      </c>
      <c r="P89" s="381" t="e">
        <f t="shared" si="138"/>
        <v>#DIV/0!</v>
      </c>
      <c r="Q89" s="382">
        <f t="shared" si="139"/>
        <v>0</v>
      </c>
      <c r="R89" s="382" t="e">
        <f t="shared" si="140"/>
        <v>#DIV/0!</v>
      </c>
      <c r="S89" s="381" t="e">
        <f t="shared" si="141"/>
        <v>#DIV/0!</v>
      </c>
      <c r="T89" s="383" t="e">
        <f t="shared" si="142"/>
        <v>#DIV/0!</v>
      </c>
      <c r="U89" s="383" t="e">
        <f t="shared" si="143"/>
        <v>#DIV/0!</v>
      </c>
      <c r="V89" s="369" t="e">
        <f t="shared" si="144"/>
        <v>#DIV/0!</v>
      </c>
      <c r="W89" s="383" t="e">
        <f t="shared" si="145"/>
        <v>#DIV/0!</v>
      </c>
      <c r="X89" s="383" t="e">
        <f t="shared" si="146"/>
        <v>#DIV/0!</v>
      </c>
      <c r="Y89" s="381" t="e">
        <f t="shared" si="147"/>
        <v>#DIV/0!</v>
      </c>
      <c r="Z89" s="420">
        <f>SUM(Z90:Z91)</f>
        <v>0</v>
      </c>
      <c r="AA89" s="416">
        <f>SUM(AA90:AA91)</f>
        <v>2718</v>
      </c>
      <c r="AB89" s="381">
        <f t="shared" si="148"/>
        <v>-1</v>
      </c>
      <c r="AC89" s="420">
        <f>SUM(AC90:AC91)</f>
        <v>0</v>
      </c>
      <c r="AD89" s="416">
        <f>SUM(AD90:AD91)</f>
        <v>510959</v>
      </c>
      <c r="AE89" s="381">
        <f t="shared" si="149"/>
        <v>-1</v>
      </c>
      <c r="AF89" s="382" t="e">
        <f t="shared" si="153"/>
        <v>#DIV/0!</v>
      </c>
      <c r="AG89" s="382">
        <f t="shared" si="154"/>
        <v>5.3194091893870154E-3</v>
      </c>
      <c r="AH89" s="381" t="e">
        <f t="shared" si="152"/>
        <v>#DIV/0!</v>
      </c>
    </row>
    <row r="90" spans="1:34" outlineLevel="1" x14ac:dyDescent="0.3">
      <c r="A90" s="373" t="s">
        <v>285</v>
      </c>
      <c r="B90" s="374">
        <f>SUMIFS('Display - Promos'!$E:$E,'Display - Promos'!$A:$A,"P7")</f>
        <v>0</v>
      </c>
      <c r="C90" s="374">
        <f>SUMIFS('Display - Promos'!$F:$F,'Display - Promos'!$A:$A,"P7")</f>
        <v>0</v>
      </c>
      <c r="D90" s="375" t="e">
        <f t="shared" si="132"/>
        <v>#DIV/0!</v>
      </c>
      <c r="E90" s="374">
        <f>SUMIFS('Display - Promos'!$H:$H,'Display - Promos'!$A:$A,"p7")</f>
        <v>0</v>
      </c>
      <c r="F90" s="374">
        <f>SUMIFS('Display - Promos'!$I:$I,'Display - Promos'!$A:$A,"p7")</f>
        <v>1735.64</v>
      </c>
      <c r="G90" s="375">
        <f t="shared" si="133"/>
        <v>-1</v>
      </c>
      <c r="H90" s="386" t="e">
        <f t="shared" si="134"/>
        <v>#DIV/0!</v>
      </c>
      <c r="I90" s="386">
        <f t="shared" si="135"/>
        <v>0</v>
      </c>
      <c r="J90" s="369" t="e">
        <f t="shared" si="136"/>
        <v>#DIV/0!</v>
      </c>
      <c r="K90" s="417">
        <f>SUMIFS('Display - Promos'!$N:$N,'Display - Promos'!$A:$A,"p7")</f>
        <v>768</v>
      </c>
      <c r="L90" s="417">
        <f>SUMIFS('Display - Promos'!$O:$O,'Display - Promos'!$A:$A,"p7")</f>
        <v>0</v>
      </c>
      <c r="M90" s="375" t="e">
        <f t="shared" si="137"/>
        <v>#DIV/0!</v>
      </c>
      <c r="N90" s="417">
        <f>SUMIFS('Display - Promos'!$Q:$Q,'Display - Promos'!$A:$A,"p7")</f>
        <v>0</v>
      </c>
      <c r="O90" s="417">
        <f>SUMIFS('Display - Promos'!$R:$R,'Display - Promos'!$A:$A,"p7")</f>
        <v>0</v>
      </c>
      <c r="P90" s="378" t="e">
        <f t="shared" si="138"/>
        <v>#DIV/0!</v>
      </c>
      <c r="Q90" s="379">
        <f t="shared" si="139"/>
        <v>0</v>
      </c>
      <c r="R90" s="379" t="e">
        <f t="shared" si="140"/>
        <v>#DIV/0!</v>
      </c>
      <c r="S90" s="378" t="e">
        <f t="shared" si="141"/>
        <v>#DIV/0!</v>
      </c>
      <c r="T90" s="374" t="e">
        <f t="shared" si="142"/>
        <v>#DIV/0!</v>
      </c>
      <c r="U90" s="374" t="e">
        <f t="shared" si="143"/>
        <v>#DIV/0!</v>
      </c>
      <c r="V90" s="375" t="e">
        <f t="shared" si="144"/>
        <v>#DIV/0!</v>
      </c>
      <c r="W90" s="374" t="e">
        <f t="shared" si="145"/>
        <v>#DIV/0!</v>
      </c>
      <c r="X90" s="374" t="e">
        <f t="shared" si="146"/>
        <v>#DIV/0!</v>
      </c>
      <c r="Y90" s="378" t="e">
        <f t="shared" si="147"/>
        <v>#DIV/0!</v>
      </c>
      <c r="Z90" s="419">
        <f>SUMIFS('Display - Promos'!$W:$W,'Display - Promos'!$A:$A,"p7")</f>
        <v>0</v>
      </c>
      <c r="AA90" s="417">
        <f>SUMIFS('Display - Promos'!$X:$X,'Display - Promos'!$A:$A,"p7")</f>
        <v>2718</v>
      </c>
      <c r="AB90" s="378">
        <f t="shared" si="148"/>
        <v>-1</v>
      </c>
      <c r="AC90" s="419">
        <f>SUMIFS('Display - Promos'!$Z:$Z,'Display - Promos'!$A:$A,"p7")</f>
        <v>0</v>
      </c>
      <c r="AD90" s="417">
        <f>SUMIFS('Display - Promos'!$AA:$AA,'Display - Promos'!$A:$A,"p7")</f>
        <v>510959</v>
      </c>
      <c r="AE90" s="378">
        <f t="shared" si="149"/>
        <v>-1</v>
      </c>
      <c r="AF90" s="379" t="e">
        <f t="shared" si="153"/>
        <v>#DIV/0!</v>
      </c>
      <c r="AG90" s="379">
        <f t="shared" si="154"/>
        <v>5.3194091893870154E-3</v>
      </c>
      <c r="AH90" s="378" t="e">
        <f t="shared" si="152"/>
        <v>#DIV/0!</v>
      </c>
    </row>
    <row r="91" spans="1:34" ht="19.5" outlineLevel="1" thickBot="1" x14ac:dyDescent="0.35">
      <c r="A91" s="373" t="s">
        <v>286</v>
      </c>
      <c r="B91" s="374">
        <f>SUMIFS('Display - Remarketing'!$D:$D,'Display - Remarketing'!$A:$A,"P7")</f>
        <v>0</v>
      </c>
      <c r="C91" s="374">
        <f>SUMIFS('Display - Remarketing'!$E:$E,'Display - Remarketing'!$A:$A,"P7")</f>
        <v>0</v>
      </c>
      <c r="D91" s="369" t="e">
        <f t="shared" si="132"/>
        <v>#DIV/0!</v>
      </c>
      <c r="E91" s="374">
        <f>SUMIFS('Display - Remarketing'!$H:$H,'Display - Remarketing'!$A:$A,"P7")</f>
        <v>0</v>
      </c>
      <c r="F91" s="374">
        <f>SUMIFS('Display - Remarketing'!$I:$I,'Display - Remarketing'!$A:$A,"P7")</f>
        <v>0</v>
      </c>
      <c r="G91" s="369" t="e">
        <f t="shared" si="133"/>
        <v>#DIV/0!</v>
      </c>
      <c r="H91" s="386" t="e">
        <f t="shared" si="134"/>
        <v>#DIV/0!</v>
      </c>
      <c r="I91" s="386" t="e">
        <f t="shared" si="135"/>
        <v>#DIV/0!</v>
      </c>
      <c r="J91" s="369" t="e">
        <f t="shared" si="136"/>
        <v>#DIV/0!</v>
      </c>
      <c r="K91" s="417">
        <f>SUMIFS('Display - Remarketing'!$P:$P,'Display - Remarketing'!$A:$A,"P7")</f>
        <v>0</v>
      </c>
      <c r="L91" s="417">
        <f>SUMIFS('Display - Remarketing'!$Q:$Q,'Display - Remarketing'!$A:$A,"P7")</f>
        <v>0</v>
      </c>
      <c r="M91" s="375" t="e">
        <f t="shared" si="137"/>
        <v>#DIV/0!</v>
      </c>
      <c r="N91" s="417">
        <f>SUMIFS('Display - Remarketing'!$T:$T,'Display - Remarketing'!$A:$A,"P7")</f>
        <v>0</v>
      </c>
      <c r="O91" s="417">
        <f>SUMIFS('Display - Remarketing'!$U:$U,'Display - Remarketing'!$A:$A,"P7")</f>
        <v>0</v>
      </c>
      <c r="P91" s="378" t="e">
        <f t="shared" si="138"/>
        <v>#DIV/0!</v>
      </c>
      <c r="Q91" s="379" t="e">
        <f t="shared" si="139"/>
        <v>#DIV/0!</v>
      </c>
      <c r="R91" s="379" t="e">
        <f t="shared" si="140"/>
        <v>#DIV/0!</v>
      </c>
      <c r="S91" s="378" t="e">
        <f t="shared" si="141"/>
        <v>#DIV/0!</v>
      </c>
      <c r="T91" s="374" t="e">
        <f t="shared" si="142"/>
        <v>#DIV/0!</v>
      </c>
      <c r="U91" s="374" t="e">
        <f t="shared" si="143"/>
        <v>#DIV/0!</v>
      </c>
      <c r="V91" s="375" t="e">
        <f t="shared" si="144"/>
        <v>#DIV/0!</v>
      </c>
      <c r="W91" s="374" t="e">
        <f t="shared" si="145"/>
        <v>#DIV/0!</v>
      </c>
      <c r="X91" s="374" t="e">
        <f t="shared" si="146"/>
        <v>#DIV/0!</v>
      </c>
      <c r="Y91" s="378" t="e">
        <f t="shared" si="147"/>
        <v>#DIV/0!</v>
      </c>
      <c r="Z91" s="419">
        <f>SUMIFS('Display - Remarketing'!$AB:$AB,'Display - Remarketing'!$A:$A,"p7")</f>
        <v>0</v>
      </c>
      <c r="AA91" s="417">
        <f>SUMIFS('Display - Remarketing'!$AC:$AC,'Display - Remarketing'!$A:$A,"P7")</f>
        <v>0</v>
      </c>
      <c r="AB91" s="378" t="e">
        <f t="shared" si="148"/>
        <v>#DIV/0!</v>
      </c>
      <c r="AC91" s="419">
        <f>SUMIFS('Display - Remarketing'!$AF:$AF,'Display - Remarketing'!$A:$A,"P7")</f>
        <v>0</v>
      </c>
      <c r="AD91" s="417">
        <f>SUMIFS('Display - Remarketing'!$AG:$AG,'Display - Remarketing'!$A:$A,"P7")</f>
        <v>0</v>
      </c>
      <c r="AE91" s="378" t="e">
        <f t="shared" si="149"/>
        <v>#DIV/0!</v>
      </c>
      <c r="AF91" s="379" t="e">
        <f t="shared" si="153"/>
        <v>#DIV/0!</v>
      </c>
      <c r="AG91" s="379" t="e">
        <f t="shared" si="154"/>
        <v>#DIV/0!</v>
      </c>
      <c r="AH91" s="378" t="e">
        <f t="shared" si="152"/>
        <v>#DIV/0!</v>
      </c>
    </row>
    <row r="92" spans="1:34" s="395" customFormat="1" ht="22.5" thickTop="1" thickBot="1" x14ac:dyDescent="0.4">
      <c r="A92" s="387" t="s">
        <v>16</v>
      </c>
      <c r="B92" s="388">
        <f>B81+B85+B86+B89</f>
        <v>104589</v>
      </c>
      <c r="C92" s="388">
        <f>C81+C85+C86+C89</f>
        <v>73678</v>
      </c>
      <c r="D92" s="389">
        <f t="shared" si="132"/>
        <v>0.41954178995086727</v>
      </c>
      <c r="E92" s="388">
        <f>E81+E85+E86+E89</f>
        <v>23523.42</v>
      </c>
      <c r="F92" s="388">
        <f>F81+F85+F86+F89</f>
        <v>30591.014450000002</v>
      </c>
      <c r="G92" s="390">
        <f t="shared" si="133"/>
        <v>-0.23103498125411148</v>
      </c>
      <c r="H92" s="391">
        <f t="shared" si="134"/>
        <v>4.4461647158448905</v>
      </c>
      <c r="I92" s="391">
        <f t="shared" si="135"/>
        <v>2.4084850183842135</v>
      </c>
      <c r="J92" s="390">
        <f t="shared" si="136"/>
        <v>0.84604208949063775</v>
      </c>
      <c r="K92" s="392">
        <f>K81+K85+K86+K89</f>
        <v>35752</v>
      </c>
      <c r="L92" s="392">
        <f>L81+L85+L86+L89</f>
        <v>32310</v>
      </c>
      <c r="M92" s="390">
        <f t="shared" si="137"/>
        <v>0.10653048591767254</v>
      </c>
      <c r="N92" s="392">
        <f>N81+N85+N86+N89</f>
        <v>929</v>
      </c>
      <c r="O92" s="392">
        <f>O81+O85+O86+O89</f>
        <v>698</v>
      </c>
      <c r="P92" s="389">
        <f t="shared" si="138"/>
        <v>0.33094555873925502</v>
      </c>
      <c r="Q92" s="393">
        <f t="shared" si="139"/>
        <v>2.598456030431864E-2</v>
      </c>
      <c r="R92" s="393">
        <f t="shared" si="140"/>
        <v>2.1603218817703499E-2</v>
      </c>
      <c r="S92" s="389">
        <f t="shared" si="141"/>
        <v>0.20280966107813064</v>
      </c>
      <c r="T92" s="388">
        <f t="shared" si="142"/>
        <v>25.321227125941871</v>
      </c>
      <c r="U92" s="388">
        <f t="shared" si="143"/>
        <v>43.82666826647565</v>
      </c>
      <c r="V92" s="390">
        <f t="shared" si="144"/>
        <v>-0.42224156826196968</v>
      </c>
      <c r="W92" s="388">
        <f t="shared" si="145"/>
        <v>112.58234660925727</v>
      </c>
      <c r="X92" s="388">
        <f t="shared" si="146"/>
        <v>105.55587392550143</v>
      </c>
      <c r="Y92" s="389">
        <f t="shared" si="147"/>
        <v>6.6566382546507472E-2</v>
      </c>
      <c r="Z92" s="444">
        <f>Z81+Z85+Z86+Z89</f>
        <v>28287</v>
      </c>
      <c r="AA92" s="394">
        <f>AA81+AA85+AA86+AA89</f>
        <v>21426</v>
      </c>
      <c r="AB92" s="389">
        <f t="shared" si="148"/>
        <v>0.32021842621114532</v>
      </c>
      <c r="AC92" s="444">
        <f>AC81+AC85+AC86+AC89</f>
        <v>1162903</v>
      </c>
      <c r="AD92" s="392">
        <f>AD81+AD85+AD86+AD89</f>
        <v>1513165</v>
      </c>
      <c r="AE92" s="389">
        <f t="shared" si="149"/>
        <v>-0.23147640871947209</v>
      </c>
      <c r="AF92" s="393">
        <f t="shared" si="153"/>
        <v>2.4324470742615678E-2</v>
      </c>
      <c r="AG92" s="393">
        <f t="shared" si="154"/>
        <v>1.4159724815205216E-2</v>
      </c>
      <c r="AH92" s="389">
        <f>(AF92-AG92)/AG92</f>
        <v>0.71786323958041875</v>
      </c>
    </row>
    <row r="93" spans="1:34" x14ac:dyDescent="0.3">
      <c r="A93" s="359" t="s">
        <v>63</v>
      </c>
      <c r="B93" s="360" t="s">
        <v>1</v>
      </c>
      <c r="C93" s="360" t="s">
        <v>117</v>
      </c>
      <c r="D93" s="361" t="s">
        <v>24</v>
      </c>
      <c r="E93" s="360" t="s">
        <v>2</v>
      </c>
      <c r="F93" s="360" t="s">
        <v>99</v>
      </c>
      <c r="G93" s="361" t="s">
        <v>24</v>
      </c>
      <c r="H93" s="362" t="s">
        <v>3</v>
      </c>
      <c r="I93" s="362" t="s">
        <v>100</v>
      </c>
      <c r="J93" s="361" t="s">
        <v>24</v>
      </c>
      <c r="K93" s="362" t="s">
        <v>4</v>
      </c>
      <c r="L93" s="363" t="s">
        <v>101</v>
      </c>
      <c r="M93" s="361" t="s">
        <v>24</v>
      </c>
      <c r="N93" s="363" t="s">
        <v>5</v>
      </c>
      <c r="O93" s="363" t="s">
        <v>102</v>
      </c>
      <c r="P93" s="361" t="s">
        <v>24</v>
      </c>
      <c r="Q93" s="363" t="s">
        <v>109</v>
      </c>
      <c r="R93" s="363" t="s">
        <v>110</v>
      </c>
      <c r="S93" s="361" t="s">
        <v>24</v>
      </c>
      <c r="T93" s="364" t="s">
        <v>149</v>
      </c>
      <c r="U93" s="364" t="s">
        <v>150</v>
      </c>
      <c r="V93" s="361" t="s">
        <v>24</v>
      </c>
      <c r="W93" s="364" t="s">
        <v>6</v>
      </c>
      <c r="X93" s="364" t="s">
        <v>103</v>
      </c>
      <c r="Y93" s="361" t="s">
        <v>24</v>
      </c>
      <c r="Z93" s="446" t="s">
        <v>7</v>
      </c>
      <c r="AA93" s="363" t="s">
        <v>104</v>
      </c>
      <c r="AB93" s="361" t="s">
        <v>24</v>
      </c>
      <c r="AC93" s="442" t="s">
        <v>25</v>
      </c>
      <c r="AD93" s="365" t="s">
        <v>105</v>
      </c>
      <c r="AE93" s="361" t="s">
        <v>24</v>
      </c>
      <c r="AF93" s="366" t="s">
        <v>9</v>
      </c>
      <c r="AG93" s="366" t="s">
        <v>106</v>
      </c>
      <c r="AH93" s="361" t="s">
        <v>24</v>
      </c>
    </row>
    <row r="94" spans="1:34" s="367" customFormat="1" ht="20.100000000000001" customHeight="1" x14ac:dyDescent="0.3">
      <c r="A94" s="367" t="s">
        <v>10</v>
      </c>
      <c r="B94" s="368">
        <f>SUM(B95:B97)</f>
        <v>53706</v>
      </c>
      <c r="C94" s="368">
        <f>SUM(C95:C97)</f>
        <v>27160</v>
      </c>
      <c r="D94" s="369">
        <f t="shared" ref="D94:D105" si="155">(B94-C94)/C94</f>
        <v>0.97739322533136963</v>
      </c>
      <c r="E94" s="368">
        <f>SUM(E95:E97)</f>
        <v>12382.94</v>
      </c>
      <c r="F94" s="368">
        <f>SUM(F95:F97)</f>
        <v>8696.369999999999</v>
      </c>
      <c r="G94" s="369">
        <f t="shared" ref="G94:G105" si="156">(E94-F94)/F94</f>
        <v>0.42392055535815543</v>
      </c>
      <c r="H94" s="370">
        <f t="shared" ref="H94:H105" si="157">B94/E94</f>
        <v>4.3370960369669884</v>
      </c>
      <c r="I94" s="370">
        <f t="shared" ref="I94:I105" si="158">C94/F94</f>
        <v>3.1231421846126608</v>
      </c>
      <c r="J94" s="369">
        <f t="shared" ref="J94:J105" si="159">(H94-I94)/I94</f>
        <v>0.38869631307064073</v>
      </c>
      <c r="K94" s="371">
        <f>SUM(K95:K97)</f>
        <v>31018</v>
      </c>
      <c r="L94" s="371">
        <f>SUM(L95:L97)</f>
        <v>22862</v>
      </c>
      <c r="M94" s="369">
        <f t="shared" ref="M94:M105" si="160">(K94-L94)/L94</f>
        <v>0.35674919079695566</v>
      </c>
      <c r="N94" s="371">
        <f>SUM(N95:N97)</f>
        <v>462</v>
      </c>
      <c r="O94" s="371">
        <f>SUM(O95:O97)</f>
        <v>272</v>
      </c>
      <c r="P94" s="369">
        <f t="shared" ref="P94:P105" si="161">(N94-O94)/O94</f>
        <v>0.69852941176470584</v>
      </c>
      <c r="Q94" s="372">
        <f t="shared" ref="Q94:Q105" si="162">N94/K94</f>
        <v>1.4894577342188407E-2</v>
      </c>
      <c r="R94" s="372">
        <f t="shared" ref="R94:R105" si="163">O94/L94</f>
        <v>1.189747178724521E-2</v>
      </c>
      <c r="S94" s="369">
        <f t="shared" ref="S94:S105" si="164">(Q94-R94)/R94</f>
        <v>0.2519111294011448</v>
      </c>
      <c r="T94" s="368">
        <f t="shared" ref="T94:T105" si="165">E94/N94</f>
        <v>26.802900432900433</v>
      </c>
      <c r="U94" s="368">
        <f t="shared" ref="U94:U105" si="166">F94/O94</f>
        <v>31.971948529411762</v>
      </c>
      <c r="V94" s="369">
        <f t="shared" ref="V94:V105" si="167">(T94-U94)/U94</f>
        <v>-0.16167447823069644</v>
      </c>
      <c r="W94" s="368">
        <f t="shared" ref="W94:W105" si="168">B94/N94</f>
        <v>116.24675324675324</v>
      </c>
      <c r="X94" s="368">
        <f t="shared" ref="X94:X105" si="169">C94/O94</f>
        <v>99.852941176470594</v>
      </c>
      <c r="Y94" s="369">
        <f t="shared" ref="Y94:Y105" si="170">(W94-X94)/X94</f>
        <v>0.16417956123405303</v>
      </c>
      <c r="Z94" s="420">
        <f>SUM(Z95:Z97)</f>
        <v>26411</v>
      </c>
      <c r="AA94" s="371">
        <f>SUM(AA95:AA97)</f>
        <v>19626</v>
      </c>
      <c r="AB94" s="369">
        <f t="shared" ref="AB94:AB105" si="171">(Z94-AA94)/AA94</f>
        <v>0.34571486803220219</v>
      </c>
      <c r="AC94" s="420">
        <f>SUM(AC95:AC97)</f>
        <v>771322</v>
      </c>
      <c r="AD94" s="371">
        <f>SUM(AD95:AD97)</f>
        <v>134130</v>
      </c>
      <c r="AE94" s="369">
        <f t="shared" ref="AE94:AE105" si="172">(AC94-AD94)/AD94</f>
        <v>4.7505554312979941</v>
      </c>
      <c r="AF94" s="372">
        <f t="shared" ref="AF94:AF97" si="173">Z94/AC94</f>
        <v>3.4241211841487734E-2</v>
      </c>
      <c r="AG94" s="372">
        <f t="shared" ref="AG94:AG97" si="174">AA94/AD94</f>
        <v>0.14632073361664058</v>
      </c>
      <c r="AH94" s="369">
        <f>(AF94-AG94)/AG94</f>
        <v>-0.76598523671156882</v>
      </c>
    </row>
    <row r="95" spans="1:34" outlineLevel="1" x14ac:dyDescent="0.3">
      <c r="A95" s="373" t="s">
        <v>29</v>
      </c>
      <c r="B95" s="374">
        <f>Search!E115+Search!E119+Search!E123+Search!E127</f>
        <v>49395</v>
      </c>
      <c r="C95" s="374">
        <f>Search!F115+Search!F119+Search!F123+Search!F127</f>
        <v>24911</v>
      </c>
      <c r="D95" s="369">
        <f t="shared" si="155"/>
        <v>0.98285897796154309</v>
      </c>
      <c r="E95" s="374">
        <f>Search!I115+Search!I119+Search!I123+Search!I127</f>
        <v>2796.04</v>
      </c>
      <c r="F95" s="374">
        <f>Search!J115+Search!J119+Search!J123+Search!J127</f>
        <v>1073.21</v>
      </c>
      <c r="G95" s="375">
        <f t="shared" si="156"/>
        <v>1.6053055785913286</v>
      </c>
      <c r="H95" s="376">
        <f t="shared" si="157"/>
        <v>17.666056279595427</v>
      </c>
      <c r="I95" s="376">
        <f t="shared" si="158"/>
        <v>23.211673391041828</v>
      </c>
      <c r="J95" s="375">
        <f t="shared" si="159"/>
        <v>-0.23891500703204976</v>
      </c>
      <c r="K95" s="377">
        <f>Search!Q115+Search!Q119+Search!Q123+Search!Q127</f>
        <v>17289</v>
      </c>
      <c r="L95" s="377">
        <f>Search!R115+Search!R119+Search!R123+Search!R127</f>
        <v>14075</v>
      </c>
      <c r="M95" s="375">
        <f t="shared" si="160"/>
        <v>0.228348134991119</v>
      </c>
      <c r="N95" s="377">
        <f>Search!U115+Search!U119+Search!U123+Search!U127</f>
        <v>417</v>
      </c>
      <c r="O95" s="377">
        <f>Search!V115+Search!V119+Search!V123+Search!V127</f>
        <v>240</v>
      </c>
      <c r="P95" s="378">
        <f t="shared" si="161"/>
        <v>0.73750000000000004</v>
      </c>
      <c r="Q95" s="379">
        <f t="shared" si="162"/>
        <v>2.4119382266180808E-2</v>
      </c>
      <c r="R95" s="379">
        <f t="shared" si="163"/>
        <v>1.7051509769094138E-2</v>
      </c>
      <c r="S95" s="378">
        <f t="shared" si="164"/>
        <v>0.41450127248539531</v>
      </c>
      <c r="T95" s="374">
        <f t="shared" si="165"/>
        <v>6.7051318944844125</v>
      </c>
      <c r="U95" s="374">
        <f t="shared" si="166"/>
        <v>4.4717083333333338</v>
      </c>
      <c r="V95" s="375">
        <f t="shared" si="167"/>
        <v>0.49945644811011713</v>
      </c>
      <c r="W95" s="374">
        <f t="shared" si="168"/>
        <v>118.45323741007195</v>
      </c>
      <c r="X95" s="374">
        <f t="shared" si="169"/>
        <v>103.79583333333333</v>
      </c>
      <c r="Y95" s="378">
        <f t="shared" si="170"/>
        <v>0.14121380026563637</v>
      </c>
      <c r="Z95" s="419">
        <f>Search!AG115+Search!AG119+Search!AG123+Search!AG127</f>
        <v>12476</v>
      </c>
      <c r="AA95" s="377">
        <f>Search!AH115+Search!AH119+Search!AH123+Search!AH127</f>
        <v>11597</v>
      </c>
      <c r="AB95" s="378">
        <f t="shared" si="171"/>
        <v>7.5795464344226959E-2</v>
      </c>
      <c r="AC95" s="419">
        <f>Search!AK115+Search!AK119+Search!AK123+Search!AK127</f>
        <v>45516</v>
      </c>
      <c r="AD95" s="377">
        <f>Search!AL115+Search!AL119+Search!AL123+Search!AL127</f>
        <v>27227</v>
      </c>
      <c r="AE95" s="378">
        <f t="shared" si="172"/>
        <v>0.67172292209938667</v>
      </c>
      <c r="AF95" s="379">
        <f t="shared" si="173"/>
        <v>0.27410141488707268</v>
      </c>
      <c r="AG95" s="379">
        <f t="shared" si="174"/>
        <v>0.42593748852242258</v>
      </c>
      <c r="AH95" s="378">
        <f>(AF95-AG95)/AG95</f>
        <v>-0.35647501740705972</v>
      </c>
    </row>
    <row r="96" spans="1:34" outlineLevel="1" x14ac:dyDescent="0.3">
      <c r="A96" s="373" t="s">
        <v>30</v>
      </c>
      <c r="B96" s="374">
        <f>Search!E116+Search!E120+Search!E124+Search!E128</f>
        <v>1677</v>
      </c>
      <c r="C96" s="374">
        <f>Search!F116+Search!F120+Search!F124+Search!F128</f>
        <v>2249</v>
      </c>
      <c r="D96" s="369">
        <f t="shared" si="155"/>
        <v>-0.25433526011560692</v>
      </c>
      <c r="E96" s="374">
        <f>Search!I116+Search!I120+Search!I124+Search!I128</f>
        <v>2589.9</v>
      </c>
      <c r="F96" s="374">
        <f>Search!J116+Search!J120+Search!J124+Search!J128</f>
        <v>7623.16</v>
      </c>
      <c r="G96" s="375">
        <f t="shared" si="156"/>
        <v>-0.66025900020463957</v>
      </c>
      <c r="H96" s="376">
        <f t="shared" si="157"/>
        <v>0.64751534808293754</v>
      </c>
      <c r="I96" s="376">
        <f t="shared" si="158"/>
        <v>0.29502201186909366</v>
      </c>
      <c r="J96" s="375">
        <f t="shared" si="159"/>
        <v>1.1948035130688865</v>
      </c>
      <c r="K96" s="377">
        <f>Search!Q116+Search!Q120+Search!Q124+Search!Q128</f>
        <v>2049</v>
      </c>
      <c r="L96" s="377">
        <f>Search!R116+Search!R120+Search!R124+Search!R128</f>
        <v>8787</v>
      </c>
      <c r="M96" s="375">
        <f t="shared" si="160"/>
        <v>-0.76681461249573235</v>
      </c>
      <c r="N96" s="377">
        <f>Search!U116+Search!U120+Search!U124+Search!U128</f>
        <v>14</v>
      </c>
      <c r="O96" s="377">
        <f>Search!V116+Search!V120+Search!V124+Search!V128</f>
        <v>32</v>
      </c>
      <c r="P96" s="378">
        <f t="shared" si="161"/>
        <v>-0.5625</v>
      </c>
      <c r="Q96" s="379">
        <f t="shared" si="162"/>
        <v>6.8326012689116644E-3</v>
      </c>
      <c r="R96" s="379">
        <f t="shared" si="163"/>
        <v>3.641743484693297E-3</v>
      </c>
      <c r="S96" s="378">
        <f t="shared" si="164"/>
        <v>0.87618960468521234</v>
      </c>
      <c r="T96" s="374">
        <f t="shared" si="165"/>
        <v>184.99285714285716</v>
      </c>
      <c r="U96" s="374">
        <f t="shared" si="166"/>
        <v>238.22375</v>
      </c>
      <c r="V96" s="375">
        <f t="shared" si="167"/>
        <v>-0.2234491433248903</v>
      </c>
      <c r="W96" s="374">
        <f t="shared" si="168"/>
        <v>119.78571428571429</v>
      </c>
      <c r="X96" s="374">
        <f t="shared" si="169"/>
        <v>70.28125</v>
      </c>
      <c r="Y96" s="378">
        <f t="shared" si="170"/>
        <v>0.70437654830718421</v>
      </c>
      <c r="Z96" s="419">
        <f>Search!AG116+Search!AG120+Search!AG124+Search!AG128</f>
        <v>1795</v>
      </c>
      <c r="AA96" s="377">
        <f>Search!AH116+Search!AH120+Search!AH124+Search!AH128</f>
        <v>8029</v>
      </c>
      <c r="AB96" s="378">
        <f t="shared" si="171"/>
        <v>-0.77643542159671197</v>
      </c>
      <c r="AC96" s="419">
        <f>Search!AK116+Search!AK120+Search!AK124+Search!AK128</f>
        <v>27947</v>
      </c>
      <c r="AD96" s="377">
        <f>Search!AL116+Search!AL120+Search!AL124+Search!AL128</f>
        <v>106903</v>
      </c>
      <c r="AE96" s="378">
        <f t="shared" si="172"/>
        <v>-0.73857609234539723</v>
      </c>
      <c r="AF96" s="379">
        <f t="shared" si="173"/>
        <v>6.4228718646008515E-2</v>
      </c>
      <c r="AG96" s="379">
        <f t="shared" si="174"/>
        <v>7.5105469444262551E-2</v>
      </c>
      <c r="AH96" s="378">
        <f>(AF96-AG96)/AG96</f>
        <v>-0.14481968994716046</v>
      </c>
    </row>
    <row r="97" spans="1:34" outlineLevel="1" x14ac:dyDescent="0.3">
      <c r="A97" s="373" t="s">
        <v>228</v>
      </c>
      <c r="B97" s="374">
        <f>Search!E117+Search!E121+Search!E125+Search!E129</f>
        <v>2634</v>
      </c>
      <c r="C97" s="374">
        <f>Search!F117+Search!F121+Search!F125+Search!F129</f>
        <v>0</v>
      </c>
      <c r="D97" s="369" t="e">
        <f t="shared" si="155"/>
        <v>#DIV/0!</v>
      </c>
      <c r="E97" s="374">
        <f>Search!I117+Search!I121+Search!I125+Search!I129</f>
        <v>6997</v>
      </c>
      <c r="F97" s="374">
        <f>Search!J117+Search!J121+Search!J125+Search!J129</f>
        <v>0</v>
      </c>
      <c r="G97" s="375" t="e">
        <f t="shared" si="156"/>
        <v>#DIV/0!</v>
      </c>
      <c r="H97" s="376">
        <f t="shared" si="157"/>
        <v>0.37644704873517221</v>
      </c>
      <c r="I97" s="376" t="e">
        <f t="shared" si="158"/>
        <v>#DIV/0!</v>
      </c>
      <c r="J97" s="375" t="e">
        <f t="shared" si="159"/>
        <v>#DIV/0!</v>
      </c>
      <c r="K97" s="377">
        <f>Search!Q117+Search!Q121+Search!Q125+Search!Q129</f>
        <v>11680</v>
      </c>
      <c r="L97" s="377">
        <f>Search!R117+Search!R121+Search!R125+Search!R129</f>
        <v>0</v>
      </c>
      <c r="M97" s="375" t="e">
        <f t="shared" si="160"/>
        <v>#DIV/0!</v>
      </c>
      <c r="N97" s="377">
        <f>Search!U117+Search!U121+Search!U125+Search!U129</f>
        <v>31</v>
      </c>
      <c r="O97" s="377">
        <f>Search!V117+Search!V121+Search!V125+Search!V129</f>
        <v>0</v>
      </c>
      <c r="P97" s="378" t="e">
        <f t="shared" si="161"/>
        <v>#DIV/0!</v>
      </c>
      <c r="Q97" s="379">
        <f t="shared" si="162"/>
        <v>2.6541095890410958E-3</v>
      </c>
      <c r="R97" s="379" t="e">
        <f t="shared" si="163"/>
        <v>#DIV/0!</v>
      </c>
      <c r="S97" s="378" t="e">
        <f t="shared" si="164"/>
        <v>#DIV/0!</v>
      </c>
      <c r="T97" s="374">
        <f t="shared" si="165"/>
        <v>225.70967741935485</v>
      </c>
      <c r="U97" s="374" t="e">
        <f t="shared" si="166"/>
        <v>#DIV/0!</v>
      </c>
      <c r="V97" s="375" t="e">
        <f t="shared" si="167"/>
        <v>#DIV/0!</v>
      </c>
      <c r="W97" s="374">
        <f t="shared" si="168"/>
        <v>84.967741935483872</v>
      </c>
      <c r="X97" s="374" t="e">
        <f t="shared" si="169"/>
        <v>#DIV/0!</v>
      </c>
      <c r="Y97" s="378" t="e">
        <f t="shared" si="170"/>
        <v>#DIV/0!</v>
      </c>
      <c r="Z97" s="419">
        <f>Search!AG117+Search!AG121+Search!AG125+Search!AG129</f>
        <v>12140</v>
      </c>
      <c r="AA97" s="377">
        <f>Search!AH117+Search!AH121+Search!AH125+Search!AH129</f>
        <v>0</v>
      </c>
      <c r="AB97" s="378" t="e">
        <f t="shared" si="171"/>
        <v>#DIV/0!</v>
      </c>
      <c r="AC97" s="419">
        <f>Search!AK117+Search!AK121+Search!AK125+Search!AK129</f>
        <v>697859</v>
      </c>
      <c r="AD97" s="377">
        <f>Search!AL117+Search!AL121+Search!AL125+Search!AL129</f>
        <v>0</v>
      </c>
      <c r="AE97" s="378" t="e">
        <f t="shared" si="172"/>
        <v>#DIV/0!</v>
      </c>
      <c r="AF97" s="379">
        <f t="shared" si="173"/>
        <v>1.739606424793547E-2</v>
      </c>
      <c r="AG97" s="379" t="e">
        <f t="shared" si="174"/>
        <v>#DIV/0!</v>
      </c>
      <c r="AH97" s="378" t="e">
        <f t="shared" ref="AH97:AH104" si="175">(AF97-AG97)/AG97</f>
        <v>#DIV/0!</v>
      </c>
    </row>
    <row r="98" spans="1:34" s="367" customFormat="1" ht="21" customHeight="1" x14ac:dyDescent="0.3">
      <c r="A98" s="380" t="s">
        <v>13</v>
      </c>
      <c r="B98" s="368">
        <f>Affiliate!D30+Affiliate!D31+Affiliate!D32+Affiliate!D33</f>
        <v>95114</v>
      </c>
      <c r="C98" s="368">
        <f>Affiliate!E30+Affiliate!E31+Affiliate!E32+Affiliate!E33</f>
        <v>37423</v>
      </c>
      <c r="D98" s="369">
        <f t="shared" si="155"/>
        <v>1.5415920690484461</v>
      </c>
      <c r="E98" s="368">
        <f>Affiliate!H30+Affiliate!H31+Affiliate!H32+Affiliate!H33</f>
        <v>6193.9400000000005</v>
      </c>
      <c r="F98" s="368">
        <f>Affiliate!I30+Affiliate!I31+Affiliate!I32+Affiliate!I33</f>
        <v>11928.39</v>
      </c>
      <c r="G98" s="369">
        <f t="shared" si="156"/>
        <v>-0.48073964717786721</v>
      </c>
      <c r="H98" s="370">
        <f t="shared" si="157"/>
        <v>15.355976971039434</v>
      </c>
      <c r="I98" s="370">
        <f t="shared" si="158"/>
        <v>3.1373052021270267</v>
      </c>
      <c r="J98" s="369">
        <f t="shared" si="159"/>
        <v>3.8946391828976048</v>
      </c>
      <c r="K98" s="371">
        <f>Affiliate!AF30+Affiliate!AF31+Affiliate!AF32+Affiliate!AF33</f>
        <v>9478</v>
      </c>
      <c r="L98" s="371">
        <f>Affiliate!AG30+Affiliate!AG31+Affiliate!AG32+Affiliate!AG33</f>
        <v>8426</v>
      </c>
      <c r="M98" s="369">
        <f t="shared" si="160"/>
        <v>0.12485164965582721</v>
      </c>
      <c r="N98" s="371">
        <f>Affiliate!AJ30+Affiliate!AJ31+Affiliate!AJ32+Affiliate!AJ33</f>
        <v>840</v>
      </c>
      <c r="O98" s="371">
        <f>Affiliate!AK30+Affiliate!AK31+Affiliate!AK32+Affiliate!AK33</f>
        <v>361</v>
      </c>
      <c r="P98" s="381">
        <f t="shared" si="161"/>
        <v>1.3268698060941828</v>
      </c>
      <c r="Q98" s="382">
        <f t="shared" si="162"/>
        <v>8.8626292466765136E-2</v>
      </c>
      <c r="R98" s="382">
        <f t="shared" si="163"/>
        <v>4.2843579397104203E-2</v>
      </c>
      <c r="S98" s="381">
        <f t="shared" si="164"/>
        <v>1.0686014967450499</v>
      </c>
      <c r="T98" s="383">
        <f t="shared" si="165"/>
        <v>7.373738095238096</v>
      </c>
      <c r="U98" s="383">
        <f t="shared" si="166"/>
        <v>33.042631578947365</v>
      </c>
      <c r="V98" s="369">
        <f t="shared" si="167"/>
        <v>-0.77684168170382151</v>
      </c>
      <c r="W98" s="383">
        <f t="shared" si="168"/>
        <v>113.23095238095237</v>
      </c>
      <c r="X98" s="383">
        <f t="shared" si="169"/>
        <v>103.66481994459834</v>
      </c>
      <c r="Y98" s="381">
        <f t="shared" si="170"/>
        <v>9.2279448722010743E-2</v>
      </c>
      <c r="Z98" s="443"/>
      <c r="AA98" s="384"/>
      <c r="AB98" s="381" t="e">
        <f t="shared" si="171"/>
        <v>#DIV/0!</v>
      </c>
      <c r="AC98" s="443"/>
      <c r="AD98" s="384"/>
      <c r="AE98" s="381" t="e">
        <f t="shared" si="172"/>
        <v>#DIV/0!</v>
      </c>
      <c r="AF98" s="385"/>
      <c r="AG98" s="385"/>
      <c r="AH98" s="381" t="e">
        <f t="shared" si="175"/>
        <v>#DIV/0!</v>
      </c>
    </row>
    <row r="99" spans="1:34" s="367" customFormat="1" ht="20.100000000000001" customHeight="1" x14ac:dyDescent="0.3">
      <c r="A99" s="367" t="s">
        <v>14</v>
      </c>
      <c r="B99" s="368">
        <f>SUM(B100:B101)</f>
        <v>1482</v>
      </c>
      <c r="C99" s="368">
        <f>SUM(C100:C101)</f>
        <v>137</v>
      </c>
      <c r="D99" s="369">
        <f t="shared" si="155"/>
        <v>9.8175182481751833</v>
      </c>
      <c r="E99" s="368">
        <f>SUM(E100:E101)</f>
        <v>10277.5106</v>
      </c>
      <c r="F99" s="368">
        <f>SUM(F100:F101)</f>
        <v>13210.309000000001</v>
      </c>
      <c r="G99" s="369">
        <f t="shared" si="156"/>
        <v>-0.22200831184191083</v>
      </c>
      <c r="H99" s="370">
        <f t="shared" si="157"/>
        <v>0.14419834312795551</v>
      </c>
      <c r="I99" s="370">
        <f t="shared" si="158"/>
        <v>1.0370688528179014E-2</v>
      </c>
      <c r="J99" s="369">
        <f t="shared" si="159"/>
        <v>12.90441364969576</v>
      </c>
      <c r="K99" s="371">
        <f>SUM(K100:K101)</f>
        <v>5130</v>
      </c>
      <c r="L99" s="371">
        <f>SUM(L100:L101)</f>
        <v>916</v>
      </c>
      <c r="M99" s="369">
        <f t="shared" si="160"/>
        <v>4.6004366812227078</v>
      </c>
      <c r="N99" s="371">
        <f>SUM(N100:N101)</f>
        <v>10</v>
      </c>
      <c r="O99" s="371">
        <f>SUM(O100:O101)</f>
        <v>2</v>
      </c>
      <c r="P99" s="381">
        <f t="shared" si="161"/>
        <v>4</v>
      </c>
      <c r="Q99" s="382">
        <f t="shared" si="162"/>
        <v>1.9493177387914229E-3</v>
      </c>
      <c r="R99" s="382">
        <f t="shared" si="163"/>
        <v>2.1834061135371178E-3</v>
      </c>
      <c r="S99" s="381">
        <f t="shared" si="164"/>
        <v>-0.10721247563352827</v>
      </c>
      <c r="T99" s="383">
        <f t="shared" si="165"/>
        <v>1027.7510600000001</v>
      </c>
      <c r="U99" s="383">
        <f t="shared" si="166"/>
        <v>6605.1545000000006</v>
      </c>
      <c r="V99" s="369">
        <f t="shared" si="167"/>
        <v>-0.8444016623683821</v>
      </c>
      <c r="W99" s="383">
        <f t="shared" si="168"/>
        <v>148.19999999999999</v>
      </c>
      <c r="X99" s="383">
        <f t="shared" si="169"/>
        <v>68.5</v>
      </c>
      <c r="Y99" s="381">
        <f t="shared" si="170"/>
        <v>1.1635036496350364</v>
      </c>
      <c r="Z99" s="420">
        <f>SUM(Z100:Z101)</f>
        <v>10145</v>
      </c>
      <c r="AA99" s="371">
        <f>SUM(AA100:AA101)</f>
        <v>15693</v>
      </c>
      <c r="AB99" s="381">
        <f t="shared" si="171"/>
        <v>-0.3535334225450838</v>
      </c>
      <c r="AC99" s="420">
        <f>SUM(AC100:AC101)</f>
        <v>1036985</v>
      </c>
      <c r="AD99" s="371">
        <f>SUM(AD100:AD101)</f>
        <v>1730498</v>
      </c>
      <c r="AE99" s="381">
        <f t="shared" si="172"/>
        <v>-0.40075920342005594</v>
      </c>
      <c r="AF99" s="382">
        <f t="shared" ref="AF99:AF105" si="176">Z99/AC99</f>
        <v>9.7831694768969659E-3</v>
      </c>
      <c r="AG99" s="382">
        <f t="shared" ref="AG99:AG105" si="177">AA99/AD99</f>
        <v>9.0684877994658183E-3</v>
      </c>
      <c r="AH99" s="381">
        <f t="shared" si="175"/>
        <v>7.8809355345137708E-2</v>
      </c>
    </row>
    <row r="100" spans="1:34" outlineLevel="1" x14ac:dyDescent="0.3">
      <c r="A100" s="373" t="s">
        <v>285</v>
      </c>
      <c r="B100" s="374">
        <f>'Social - Promos'!E170+'Social - Promos'!E176+'Social - Promos'!E182+'Social - Promos'!E188</f>
        <v>1482</v>
      </c>
      <c r="C100" s="374">
        <f>'Social - Promos'!F170+'Social - Promos'!F176+'Social - Promos'!F182+'Social - Promos'!F188</f>
        <v>137</v>
      </c>
      <c r="D100" s="369">
        <f t="shared" si="155"/>
        <v>9.8175182481751833</v>
      </c>
      <c r="E100" s="374">
        <f>'Social - Promos'!K170+'Social - Promos'!K176+'Social - Promos'!K182+'Social - Promos'!K188</f>
        <v>10277.5106</v>
      </c>
      <c r="F100" s="374">
        <f>'Social - Promos'!L170+'Social - Promos'!L176+'Social - Promos'!L182+'Social - Promos'!L188</f>
        <v>13210.309000000001</v>
      </c>
      <c r="G100" s="375">
        <f t="shared" si="156"/>
        <v>-0.22200831184191083</v>
      </c>
      <c r="H100" s="386">
        <f t="shared" si="157"/>
        <v>0.14419834312795551</v>
      </c>
      <c r="I100" s="386">
        <f t="shared" si="158"/>
        <v>1.0370688528179014E-2</v>
      </c>
      <c r="J100" s="375">
        <f t="shared" si="159"/>
        <v>12.90441364969576</v>
      </c>
      <c r="K100" s="377">
        <f>'Social - Promos'!T170+'Social - Promos'!T176+'Social - Promos'!T182+'Social - Promos'!T188</f>
        <v>5130</v>
      </c>
      <c r="L100" s="377">
        <f>'Social - Promos'!U170+'Social - Promos'!U176+'Social - Promos'!U182+'Social - Promos'!U188</f>
        <v>916</v>
      </c>
      <c r="M100" s="375">
        <f t="shared" si="160"/>
        <v>4.6004366812227078</v>
      </c>
      <c r="N100" s="377">
        <f>'Social - Promos'!W170+'Social - Promos'!W176+'Social - Promos'!W182+'Social - Promos'!W188</f>
        <v>10</v>
      </c>
      <c r="O100" s="377">
        <f>'Social - Promos'!X170+'Social - Promos'!X176+'Social - Promos'!X182+'Social - Promos'!X188</f>
        <v>2</v>
      </c>
      <c r="P100" s="378">
        <f t="shared" si="161"/>
        <v>4</v>
      </c>
      <c r="Q100" s="379">
        <f t="shared" si="162"/>
        <v>1.9493177387914229E-3</v>
      </c>
      <c r="R100" s="379">
        <f t="shared" si="163"/>
        <v>2.1834061135371178E-3</v>
      </c>
      <c r="S100" s="378">
        <f t="shared" si="164"/>
        <v>-0.10721247563352827</v>
      </c>
      <c r="T100" s="374">
        <f t="shared" si="165"/>
        <v>1027.7510600000001</v>
      </c>
      <c r="U100" s="374">
        <f t="shared" si="166"/>
        <v>6605.1545000000006</v>
      </c>
      <c r="V100" s="375">
        <f t="shared" si="167"/>
        <v>-0.8444016623683821</v>
      </c>
      <c r="W100" s="374">
        <f t="shared" si="168"/>
        <v>148.19999999999999</v>
      </c>
      <c r="X100" s="374">
        <f t="shared" si="169"/>
        <v>68.5</v>
      </c>
      <c r="Y100" s="378">
        <f t="shared" si="170"/>
        <v>1.1635036496350364</v>
      </c>
      <c r="Z100" s="419">
        <f>'Social - Promos'!AF170+'Social - Promos'!AF176+'Social - Promos'!AF182+'Social - Promos'!AF188</f>
        <v>10145</v>
      </c>
      <c r="AA100" s="377">
        <f>'Social - Promos'!AG170+'Social - Promos'!AG176+'Social - Promos'!AG182+'Social - Promos'!AG188</f>
        <v>15693</v>
      </c>
      <c r="AB100" s="378">
        <f t="shared" si="171"/>
        <v>-0.3535334225450838</v>
      </c>
      <c r="AC100" s="419">
        <f>'Social - Promos'!AI170+'Social - Promos'!AI176+'Social - Promos'!AI182+'Social - Promos'!AI188</f>
        <v>1036985</v>
      </c>
      <c r="AD100" s="377">
        <f>'Social - Promos'!AJ170+'Social - Promos'!AJ176+'Social - Promos'!AJ182+'Social - Promos'!AJ188</f>
        <v>1730498</v>
      </c>
      <c r="AE100" s="378">
        <f t="shared" si="172"/>
        <v>-0.40075920342005594</v>
      </c>
      <c r="AF100" s="379">
        <f t="shared" si="176"/>
        <v>9.7831694768969659E-3</v>
      </c>
      <c r="AG100" s="379">
        <f t="shared" si="177"/>
        <v>9.0684877994658183E-3</v>
      </c>
      <c r="AH100" s="378">
        <f t="shared" si="175"/>
        <v>7.8809355345137708E-2</v>
      </c>
    </row>
    <row r="101" spans="1:34" outlineLevel="1" x14ac:dyDescent="0.3">
      <c r="A101" s="373" t="s">
        <v>286</v>
      </c>
      <c r="B101" s="374">
        <f>'Social - Remarketing'!D30+'Social - Remarketing'!D31+'Social - Remarketing'!D32+'Social - Remarketing'!D33</f>
        <v>0</v>
      </c>
      <c r="C101" s="374">
        <f>'Social - Remarketing'!E30+'Social - Remarketing'!E31+'Social - Remarketing'!E32+'Social - Remarketing'!E33</f>
        <v>0</v>
      </c>
      <c r="D101" s="369" t="e">
        <f t="shared" si="155"/>
        <v>#DIV/0!</v>
      </c>
      <c r="E101" s="374">
        <f>'Social - Remarketing'!H30+'Social - Remarketing'!H31+'Social - Remarketing'!H32+'Social - Remarketing'!H33</f>
        <v>0</v>
      </c>
      <c r="F101" s="374">
        <f>'Social - Remarketing'!I30+'Social - Remarketing'!I31+'Social - Remarketing'!I32+'Social - Remarketing'!I33</f>
        <v>0</v>
      </c>
      <c r="G101" s="369" t="e">
        <f t="shared" si="156"/>
        <v>#DIV/0!</v>
      </c>
      <c r="H101" s="386" t="e">
        <f t="shared" si="157"/>
        <v>#DIV/0!</v>
      </c>
      <c r="I101" s="386" t="e">
        <f t="shared" si="158"/>
        <v>#DIV/0!</v>
      </c>
      <c r="J101" s="369" t="e">
        <f t="shared" si="159"/>
        <v>#DIV/0!</v>
      </c>
      <c r="K101" s="377">
        <f>'Social - Remarketing'!X30+'Social - Remarketing'!X31+'Social - Remarketing'!X32+'Social - Remarketing'!X33</f>
        <v>0</v>
      </c>
      <c r="L101" s="377">
        <f>'Social - Remarketing'!Y30+'Social - Remarketing'!Y31+'Social - Remarketing'!Y32+'Social - Remarketing'!Y33</f>
        <v>0</v>
      </c>
      <c r="M101" s="375" t="e">
        <f t="shared" si="160"/>
        <v>#DIV/0!</v>
      </c>
      <c r="N101" s="377">
        <f>'Social - Remarketing'!AB30+'Social - Remarketing'!AB31+'Social - Remarketing'!AB32+'Social - Remarketing'!AB33</f>
        <v>0</v>
      </c>
      <c r="O101" s="377">
        <f>'Social - Remarketing'!AC30+'Social - Remarketing'!AC31+'Social - Remarketing'!AC32+'Social - Remarketing'!AC33</f>
        <v>0</v>
      </c>
      <c r="P101" s="378" t="e">
        <f t="shared" si="161"/>
        <v>#DIV/0!</v>
      </c>
      <c r="Q101" s="379" t="e">
        <f t="shared" si="162"/>
        <v>#DIV/0!</v>
      </c>
      <c r="R101" s="379" t="e">
        <f t="shared" si="163"/>
        <v>#DIV/0!</v>
      </c>
      <c r="S101" s="378" t="e">
        <f t="shared" si="164"/>
        <v>#DIV/0!</v>
      </c>
      <c r="T101" s="374" t="e">
        <f t="shared" si="165"/>
        <v>#DIV/0!</v>
      </c>
      <c r="U101" s="374" t="e">
        <f t="shared" si="166"/>
        <v>#DIV/0!</v>
      </c>
      <c r="V101" s="375" t="e">
        <f t="shared" si="167"/>
        <v>#DIV/0!</v>
      </c>
      <c r="W101" s="374" t="e">
        <f t="shared" si="168"/>
        <v>#DIV/0!</v>
      </c>
      <c r="X101" s="374" t="e">
        <f t="shared" si="169"/>
        <v>#DIV/0!</v>
      </c>
      <c r="Y101" s="378" t="e">
        <f t="shared" si="170"/>
        <v>#DIV/0!</v>
      </c>
      <c r="Z101" s="419">
        <f>'Social - Remarketing'!AN30+'Social - Remarketing'!AN31+'Social - Remarketing'!AN32+'Social - Remarketing'!AN33</f>
        <v>0</v>
      </c>
      <c r="AA101" s="377">
        <f>'Social - Remarketing'!AO30+'Social - Remarketing'!AO31+'Social - Remarketing'!AO32+'Social - Remarketing'!AO33</f>
        <v>0</v>
      </c>
      <c r="AB101" s="378" t="e">
        <f t="shared" si="171"/>
        <v>#DIV/0!</v>
      </c>
      <c r="AC101" s="419">
        <f>'Social - Remarketing'!AR30+'Social - Remarketing'!AR31+'Social - Remarketing'!AR32+'Social - Remarketing'!AR33</f>
        <v>0</v>
      </c>
      <c r="AD101" s="377">
        <f>'Social - Remarketing'!AS30+'Social - Remarketing'!AS31+'Social - Remarketing'!AS32+'Social - Remarketing'!AS33</f>
        <v>0</v>
      </c>
      <c r="AE101" s="378" t="e">
        <f t="shared" si="172"/>
        <v>#DIV/0!</v>
      </c>
      <c r="AF101" s="379" t="e">
        <f t="shared" si="176"/>
        <v>#DIV/0!</v>
      </c>
      <c r="AG101" s="379" t="e">
        <f t="shared" si="177"/>
        <v>#DIV/0!</v>
      </c>
      <c r="AH101" s="378" t="e">
        <f t="shared" si="175"/>
        <v>#DIV/0!</v>
      </c>
    </row>
    <row r="102" spans="1:34" s="367" customFormat="1" ht="21" customHeight="1" x14ac:dyDescent="0.3">
      <c r="A102" s="367" t="s">
        <v>15</v>
      </c>
      <c r="B102" s="368">
        <f>SUM(B103:B104)</f>
        <v>0</v>
      </c>
      <c r="C102" s="368">
        <f>SUM(C103:C104)</f>
        <v>0</v>
      </c>
      <c r="D102" s="369" t="e">
        <f t="shared" si="155"/>
        <v>#DIV/0!</v>
      </c>
      <c r="E102" s="368">
        <f>SUM(E103:E104)</f>
        <v>0</v>
      </c>
      <c r="F102" s="368">
        <f>SUM(F103:F104)</f>
        <v>634.04</v>
      </c>
      <c r="G102" s="369">
        <f t="shared" si="156"/>
        <v>-1</v>
      </c>
      <c r="H102" s="370" t="e">
        <f t="shared" si="157"/>
        <v>#DIV/0!</v>
      </c>
      <c r="I102" s="370">
        <f t="shared" si="158"/>
        <v>0</v>
      </c>
      <c r="J102" s="369" t="e">
        <f t="shared" si="159"/>
        <v>#DIV/0!</v>
      </c>
      <c r="K102" s="371">
        <f>SUM(K103:K104)</f>
        <v>2</v>
      </c>
      <c r="L102" s="371">
        <f>SUM(L103:L104)</f>
        <v>0</v>
      </c>
      <c r="M102" s="369" t="e">
        <f t="shared" si="160"/>
        <v>#DIV/0!</v>
      </c>
      <c r="N102" s="371">
        <f>SUM(N103:N104)</f>
        <v>0</v>
      </c>
      <c r="O102" s="371">
        <f>SUM(O103:O104)</f>
        <v>0</v>
      </c>
      <c r="P102" s="381" t="e">
        <f t="shared" si="161"/>
        <v>#DIV/0!</v>
      </c>
      <c r="Q102" s="382">
        <f t="shared" si="162"/>
        <v>0</v>
      </c>
      <c r="R102" s="382" t="e">
        <f t="shared" si="163"/>
        <v>#DIV/0!</v>
      </c>
      <c r="S102" s="381" t="e">
        <f t="shared" si="164"/>
        <v>#DIV/0!</v>
      </c>
      <c r="T102" s="383" t="e">
        <f t="shared" si="165"/>
        <v>#DIV/0!</v>
      </c>
      <c r="U102" s="383" t="e">
        <f t="shared" si="166"/>
        <v>#DIV/0!</v>
      </c>
      <c r="V102" s="369" t="e">
        <f t="shared" si="167"/>
        <v>#DIV/0!</v>
      </c>
      <c r="W102" s="383" t="e">
        <f t="shared" si="168"/>
        <v>#DIV/0!</v>
      </c>
      <c r="X102" s="383" t="e">
        <f t="shared" si="169"/>
        <v>#DIV/0!</v>
      </c>
      <c r="Y102" s="381" t="e">
        <f t="shared" si="170"/>
        <v>#DIV/0!</v>
      </c>
      <c r="Z102" s="420">
        <f>SUM(Z103:Z104)</f>
        <v>0</v>
      </c>
      <c r="AA102" s="371">
        <f>SUM(AA103:AA104)</f>
        <v>1255</v>
      </c>
      <c r="AB102" s="381">
        <f t="shared" si="171"/>
        <v>-1</v>
      </c>
      <c r="AC102" s="420">
        <f>SUM(AC103:AC104)</f>
        <v>0</v>
      </c>
      <c r="AD102" s="371">
        <f>SUM(AD103:AD104)</f>
        <v>205502</v>
      </c>
      <c r="AE102" s="381">
        <f t="shared" si="172"/>
        <v>-1</v>
      </c>
      <c r="AF102" s="382" t="e">
        <f t="shared" si="176"/>
        <v>#DIV/0!</v>
      </c>
      <c r="AG102" s="382">
        <f t="shared" si="177"/>
        <v>6.1069965255812599E-3</v>
      </c>
      <c r="AH102" s="381" t="e">
        <f t="shared" si="175"/>
        <v>#DIV/0!</v>
      </c>
    </row>
    <row r="103" spans="1:34" outlineLevel="1" x14ac:dyDescent="0.3">
      <c r="A103" s="373" t="s">
        <v>285</v>
      </c>
      <c r="B103" s="374">
        <f>'Display - Promos'!E114+'Display - Promos'!E118+'Display - Promos'!E122+'Display - Promos'!E126</f>
        <v>0</v>
      </c>
      <c r="C103" s="374">
        <f>'Display - Promos'!F114+'Display - Promos'!F118+'Display - Promos'!F122+'Display - Promos'!F126</f>
        <v>0</v>
      </c>
      <c r="D103" s="375" t="e">
        <f t="shared" si="155"/>
        <v>#DIV/0!</v>
      </c>
      <c r="E103" s="374">
        <f>'Display - Promos'!H114+'Display - Promos'!H118+'Display - Promos'!H122+'Display - Promos'!H126</f>
        <v>0</v>
      </c>
      <c r="F103" s="374">
        <f>'Display - Promos'!I114+'Display - Promos'!I118+'Display - Promos'!I122+'Display - Promos'!I126</f>
        <v>634.04</v>
      </c>
      <c r="G103" s="375">
        <f t="shared" si="156"/>
        <v>-1</v>
      </c>
      <c r="H103" s="386" t="e">
        <f t="shared" si="157"/>
        <v>#DIV/0!</v>
      </c>
      <c r="I103" s="386">
        <f t="shared" si="158"/>
        <v>0</v>
      </c>
      <c r="J103" s="369" t="e">
        <f t="shared" si="159"/>
        <v>#DIV/0!</v>
      </c>
      <c r="K103" s="377">
        <f>'Display - Promos'!N114+'Display - Promos'!N118+'Display - Promos'!N122+'Display - Promos'!N126</f>
        <v>2</v>
      </c>
      <c r="L103" s="377">
        <f>'Display - Promos'!O114+'Display - Promos'!O118+'Display - Promos'!O122+'Display - Promos'!O126</f>
        <v>0</v>
      </c>
      <c r="M103" s="375" t="e">
        <f t="shared" si="160"/>
        <v>#DIV/0!</v>
      </c>
      <c r="N103" s="377">
        <f>'Display - Promos'!Q114+'Display - Promos'!Q118+'Display - Promos'!Q122+'Display - Promos'!Q126</f>
        <v>0</v>
      </c>
      <c r="O103" s="377">
        <f>'Display - Promos'!R114+'Display - Promos'!R118+'Display - Promos'!R122+'Display - Promos'!R126</f>
        <v>0</v>
      </c>
      <c r="P103" s="378" t="e">
        <f t="shared" si="161"/>
        <v>#DIV/0!</v>
      </c>
      <c r="Q103" s="379">
        <f t="shared" si="162"/>
        <v>0</v>
      </c>
      <c r="R103" s="379" t="e">
        <f t="shared" si="163"/>
        <v>#DIV/0!</v>
      </c>
      <c r="S103" s="378" t="e">
        <f t="shared" si="164"/>
        <v>#DIV/0!</v>
      </c>
      <c r="T103" s="374" t="e">
        <f t="shared" si="165"/>
        <v>#DIV/0!</v>
      </c>
      <c r="U103" s="374" t="e">
        <f t="shared" si="166"/>
        <v>#DIV/0!</v>
      </c>
      <c r="V103" s="375" t="e">
        <f t="shared" si="167"/>
        <v>#DIV/0!</v>
      </c>
      <c r="W103" s="374" t="e">
        <f t="shared" si="168"/>
        <v>#DIV/0!</v>
      </c>
      <c r="X103" s="374" t="e">
        <f t="shared" si="169"/>
        <v>#DIV/0!</v>
      </c>
      <c r="Y103" s="378" t="e">
        <f t="shared" si="170"/>
        <v>#DIV/0!</v>
      </c>
      <c r="Z103" s="419">
        <f>'Display - Promos'!W114+'Display - Promos'!W118+'Display - Promos'!W122+'Display - Promos'!W126</f>
        <v>0</v>
      </c>
      <c r="AA103" s="377">
        <f>'Display - Promos'!X114+'Display - Promos'!X118+'Display - Promos'!X122+'Display - Promos'!X126</f>
        <v>1255</v>
      </c>
      <c r="AB103" s="378">
        <f t="shared" si="171"/>
        <v>-1</v>
      </c>
      <c r="AC103" s="419">
        <f>'Display - Promos'!Z114+'Display - Promos'!Z118+'Display - Promos'!Z122+'Display - Promos'!Z126</f>
        <v>0</v>
      </c>
      <c r="AD103" s="377">
        <f>'Display - Promos'!AA114+'Display - Promos'!AA118+'Display - Promos'!AA122+'Display - Promos'!AA126</f>
        <v>205502</v>
      </c>
      <c r="AE103" s="378">
        <f t="shared" si="172"/>
        <v>-1</v>
      </c>
      <c r="AF103" s="379" t="e">
        <f t="shared" si="176"/>
        <v>#DIV/0!</v>
      </c>
      <c r="AG103" s="379">
        <f t="shared" si="177"/>
        <v>6.1069965255812599E-3</v>
      </c>
      <c r="AH103" s="378" t="e">
        <f t="shared" si="175"/>
        <v>#DIV/0!</v>
      </c>
    </row>
    <row r="104" spans="1:34" ht="19.5" outlineLevel="1" thickBot="1" x14ac:dyDescent="0.35">
      <c r="A104" s="373" t="s">
        <v>286</v>
      </c>
      <c r="B104" s="374">
        <f>'Display - Remarketing'!D30+'Display - Remarketing'!D31+'Display - Remarketing'!D32+'Display - Remarketing'!D33</f>
        <v>0</v>
      </c>
      <c r="C104" s="374">
        <f>'Display - Remarketing'!E30+'Display - Remarketing'!E31+'Display - Remarketing'!E32+'Display - Remarketing'!E33</f>
        <v>0</v>
      </c>
      <c r="D104" s="369" t="e">
        <f t="shared" si="155"/>
        <v>#DIV/0!</v>
      </c>
      <c r="E104" s="374">
        <f>'Display - Remarketing'!H30+'Display - Remarketing'!H31+'Display - Remarketing'!H32+'Display - Remarketing'!H33</f>
        <v>0</v>
      </c>
      <c r="F104" s="374">
        <f>'Display - Remarketing'!I30+'Display - Remarketing'!I31+'Display - Remarketing'!I32+'Display - Remarketing'!I33</f>
        <v>0</v>
      </c>
      <c r="G104" s="369" t="e">
        <f t="shared" si="156"/>
        <v>#DIV/0!</v>
      </c>
      <c r="H104" s="386" t="e">
        <f t="shared" si="157"/>
        <v>#DIV/0!</v>
      </c>
      <c r="I104" s="386" t="e">
        <f t="shared" si="158"/>
        <v>#DIV/0!</v>
      </c>
      <c r="J104" s="369" t="e">
        <f t="shared" si="159"/>
        <v>#DIV/0!</v>
      </c>
      <c r="K104" s="377">
        <f>'Display - Remarketing'!P30+'Display - Remarketing'!P31+'Display - Remarketing'!P32+'Display - Remarketing'!P33</f>
        <v>0</v>
      </c>
      <c r="L104" s="377">
        <f>'Display - Remarketing'!Q30+'Display - Remarketing'!Q31+'Display - Remarketing'!Q32+'Display - Remarketing'!Q33</f>
        <v>0</v>
      </c>
      <c r="M104" s="375" t="e">
        <f t="shared" si="160"/>
        <v>#DIV/0!</v>
      </c>
      <c r="N104" s="377">
        <f>'Display - Remarketing'!T30+'Display - Remarketing'!T31+'Display - Remarketing'!T32+'Display - Remarketing'!T33</f>
        <v>0</v>
      </c>
      <c r="O104" s="377">
        <f>'Display - Remarketing'!U30+'Display - Remarketing'!U31+'Display - Remarketing'!U32+'Display - Remarketing'!U33</f>
        <v>0</v>
      </c>
      <c r="P104" s="378" t="e">
        <f t="shared" si="161"/>
        <v>#DIV/0!</v>
      </c>
      <c r="Q104" s="379" t="e">
        <f t="shared" si="162"/>
        <v>#DIV/0!</v>
      </c>
      <c r="R104" s="379" t="e">
        <f t="shared" si="163"/>
        <v>#DIV/0!</v>
      </c>
      <c r="S104" s="378" t="e">
        <f t="shared" si="164"/>
        <v>#DIV/0!</v>
      </c>
      <c r="T104" s="374" t="e">
        <f t="shared" si="165"/>
        <v>#DIV/0!</v>
      </c>
      <c r="U104" s="374" t="e">
        <f t="shared" si="166"/>
        <v>#DIV/0!</v>
      </c>
      <c r="V104" s="375" t="e">
        <f t="shared" si="167"/>
        <v>#DIV/0!</v>
      </c>
      <c r="W104" s="374" t="e">
        <f t="shared" si="168"/>
        <v>#DIV/0!</v>
      </c>
      <c r="X104" s="374" t="e">
        <f t="shared" si="169"/>
        <v>#DIV/0!</v>
      </c>
      <c r="Y104" s="378" t="e">
        <f t="shared" si="170"/>
        <v>#DIV/0!</v>
      </c>
      <c r="Z104" s="419">
        <f>'Display - Remarketing'!AB30+'Display - Remarketing'!AB31+'Display - Remarketing'!AB32+'Display - Remarketing'!AB33</f>
        <v>0</v>
      </c>
      <c r="AA104" s="377">
        <f>'Display - Remarketing'!AC30+'Display - Remarketing'!AC31+'Display - Remarketing'!AC32+'Display - Remarketing'!AC33</f>
        <v>0</v>
      </c>
      <c r="AB104" s="378" t="e">
        <f t="shared" si="171"/>
        <v>#DIV/0!</v>
      </c>
      <c r="AC104" s="419">
        <f>'Display - Remarketing'!AF30+'Display - Remarketing'!AF31+'Display - Remarketing'!AF32+'Display - Remarketing'!AF33</f>
        <v>0</v>
      </c>
      <c r="AD104" s="377">
        <f>'Display - Remarketing'!AG30+'Display - Remarketing'!AG31+'Display - Remarketing'!AG32+'Display - Remarketing'!AG33</f>
        <v>0</v>
      </c>
      <c r="AE104" s="378" t="e">
        <f t="shared" si="172"/>
        <v>#DIV/0!</v>
      </c>
      <c r="AF104" s="379" t="e">
        <f t="shared" si="176"/>
        <v>#DIV/0!</v>
      </c>
      <c r="AG104" s="379" t="e">
        <f t="shared" si="177"/>
        <v>#DIV/0!</v>
      </c>
      <c r="AH104" s="378" t="e">
        <f t="shared" si="175"/>
        <v>#DIV/0!</v>
      </c>
    </row>
    <row r="105" spans="1:34" s="395" customFormat="1" ht="22.5" thickTop="1" thickBot="1" x14ac:dyDescent="0.4">
      <c r="A105" s="387" t="s">
        <v>16</v>
      </c>
      <c r="B105" s="388">
        <f>B94+B98+B99+B102</f>
        <v>150302</v>
      </c>
      <c r="C105" s="388">
        <f>C94+C98+C99+C102</f>
        <v>64720</v>
      </c>
      <c r="D105" s="389">
        <f t="shared" si="155"/>
        <v>1.3223423980222497</v>
      </c>
      <c r="E105" s="388">
        <f>E94+E98+E99+E102</f>
        <v>28854.390599999999</v>
      </c>
      <c r="F105" s="388">
        <f>F94+F98+F99+F102</f>
        <v>34469.109000000004</v>
      </c>
      <c r="G105" s="390">
        <f t="shared" si="156"/>
        <v>-0.16289131233418319</v>
      </c>
      <c r="H105" s="391">
        <f t="shared" si="157"/>
        <v>5.2089819564583006</v>
      </c>
      <c r="I105" s="391">
        <f t="shared" si="158"/>
        <v>1.8776232365043144</v>
      </c>
      <c r="J105" s="390">
        <f t="shared" si="159"/>
        <v>1.7742423800400871</v>
      </c>
      <c r="K105" s="392">
        <f>K94+K98+K99+K102</f>
        <v>45628</v>
      </c>
      <c r="L105" s="392">
        <f>L94+L98+L99+L102</f>
        <v>32204</v>
      </c>
      <c r="M105" s="390">
        <f t="shared" si="160"/>
        <v>0.41684262824493851</v>
      </c>
      <c r="N105" s="392">
        <f>N94+N98+N99+N102</f>
        <v>1312</v>
      </c>
      <c r="O105" s="392">
        <f>O94+O98+O99+O102</f>
        <v>635</v>
      </c>
      <c r="P105" s="389">
        <f t="shared" si="161"/>
        <v>1.0661417322834645</v>
      </c>
      <c r="Q105" s="393">
        <f t="shared" si="162"/>
        <v>2.8754273691592881E-2</v>
      </c>
      <c r="R105" s="393">
        <f t="shared" si="163"/>
        <v>1.9718047447522046E-2</v>
      </c>
      <c r="S105" s="389">
        <f t="shared" si="164"/>
        <v>0.45827185821111366</v>
      </c>
      <c r="T105" s="388">
        <f t="shared" si="165"/>
        <v>21.99267576219512</v>
      </c>
      <c r="U105" s="388">
        <f t="shared" si="166"/>
        <v>54.282061417322844</v>
      </c>
      <c r="V105" s="390">
        <f t="shared" si="167"/>
        <v>-0.59484449949101093</v>
      </c>
      <c r="W105" s="388">
        <f t="shared" si="168"/>
        <v>114.5594512195122</v>
      </c>
      <c r="X105" s="388">
        <f t="shared" si="169"/>
        <v>101.92125984251969</v>
      </c>
      <c r="Y105" s="389">
        <f t="shared" si="170"/>
        <v>0.12399956001839066</v>
      </c>
      <c r="Z105" s="444">
        <f>Z94+Z98+Z99+Z102</f>
        <v>36556</v>
      </c>
      <c r="AA105" s="394">
        <f>AA94+AA98+AA99+AA102</f>
        <v>36574</v>
      </c>
      <c r="AB105" s="389">
        <f t="shared" si="171"/>
        <v>-4.9215289549953524E-4</v>
      </c>
      <c r="AC105" s="444">
        <f>AC94+AC98+AC99+AC102</f>
        <v>1808307</v>
      </c>
      <c r="AD105" s="392">
        <f>AD94+AD98+AD99+AD102</f>
        <v>2070130</v>
      </c>
      <c r="AE105" s="389">
        <f t="shared" si="172"/>
        <v>-0.12647659808804279</v>
      </c>
      <c r="AF105" s="393">
        <f t="shared" si="176"/>
        <v>2.0215593922934545E-2</v>
      </c>
      <c r="AG105" s="393">
        <f t="shared" si="177"/>
        <v>1.766748948133692E-2</v>
      </c>
      <c r="AH105" s="389">
        <f>(AF105-AG105)/AG105</f>
        <v>0.14422560965944367</v>
      </c>
    </row>
    <row r="106" spans="1:34" x14ac:dyDescent="0.3">
      <c r="A106" s="359" t="s">
        <v>68</v>
      </c>
      <c r="B106" s="360" t="s">
        <v>1</v>
      </c>
      <c r="C106" s="360" t="s">
        <v>117</v>
      </c>
      <c r="D106" s="361" t="s">
        <v>24</v>
      </c>
      <c r="E106" s="360" t="s">
        <v>2</v>
      </c>
      <c r="F106" s="360" t="s">
        <v>99</v>
      </c>
      <c r="G106" s="361" t="s">
        <v>24</v>
      </c>
      <c r="H106" s="362" t="s">
        <v>3</v>
      </c>
      <c r="I106" s="362" t="s">
        <v>100</v>
      </c>
      <c r="J106" s="361" t="s">
        <v>24</v>
      </c>
      <c r="K106" s="362" t="s">
        <v>4</v>
      </c>
      <c r="L106" s="363" t="s">
        <v>101</v>
      </c>
      <c r="M106" s="361" t="s">
        <v>24</v>
      </c>
      <c r="N106" s="363" t="s">
        <v>5</v>
      </c>
      <c r="O106" s="363" t="s">
        <v>102</v>
      </c>
      <c r="P106" s="361" t="s">
        <v>24</v>
      </c>
      <c r="Q106" s="363" t="s">
        <v>109</v>
      </c>
      <c r="R106" s="363" t="s">
        <v>110</v>
      </c>
      <c r="S106" s="361" t="s">
        <v>24</v>
      </c>
      <c r="T106" s="364" t="s">
        <v>149</v>
      </c>
      <c r="U106" s="364" t="s">
        <v>150</v>
      </c>
      <c r="V106" s="361" t="s">
        <v>24</v>
      </c>
      <c r="W106" s="364" t="s">
        <v>6</v>
      </c>
      <c r="X106" s="364" t="s">
        <v>103</v>
      </c>
      <c r="Y106" s="361" t="s">
        <v>24</v>
      </c>
      <c r="Z106" s="446" t="s">
        <v>7</v>
      </c>
      <c r="AA106" s="363" t="s">
        <v>104</v>
      </c>
      <c r="AB106" s="361" t="s">
        <v>24</v>
      </c>
      <c r="AC106" s="442" t="s">
        <v>25</v>
      </c>
      <c r="AD106" s="365" t="s">
        <v>105</v>
      </c>
      <c r="AE106" s="361" t="s">
        <v>24</v>
      </c>
      <c r="AF106" s="366" t="s">
        <v>9</v>
      </c>
      <c r="AG106" s="366" t="s">
        <v>106</v>
      </c>
      <c r="AH106" s="361" t="s">
        <v>24</v>
      </c>
    </row>
    <row r="107" spans="1:34" s="367" customFormat="1" ht="20.100000000000001" customHeight="1" x14ac:dyDescent="0.3">
      <c r="A107" s="367" t="s">
        <v>10</v>
      </c>
      <c r="B107" s="368">
        <f>SUM(B108:B110)</f>
        <v>54380</v>
      </c>
      <c r="C107" s="368">
        <f>SUM(C108:C110)</f>
        <v>26016</v>
      </c>
      <c r="D107" s="369">
        <f t="shared" ref="D107:D118" si="178">(B107-C107)/C107</f>
        <v>1.0902521525215252</v>
      </c>
      <c r="E107" s="368">
        <f>SUM(E108:E110)</f>
        <v>11228.75</v>
      </c>
      <c r="F107" s="368">
        <f>SUM(F108:F110)</f>
        <v>11071.17</v>
      </c>
      <c r="G107" s="369">
        <f t="shared" ref="G107:G118" si="179">(E107-F107)/F107</f>
        <v>1.4233364676000813E-2</v>
      </c>
      <c r="H107" s="370">
        <f t="shared" ref="H107:H118" si="180">B107/E107</f>
        <v>4.8429255259935431</v>
      </c>
      <c r="I107" s="370">
        <f t="shared" ref="I107:I118" si="181">C107/F107</f>
        <v>2.3498871392996405</v>
      </c>
      <c r="J107" s="369">
        <f t="shared" ref="J107:J118" si="182">(H107-I107)/I107</f>
        <v>1.0609183500774113</v>
      </c>
      <c r="K107" s="371">
        <f>SUM(K108:K110)</f>
        <v>33640</v>
      </c>
      <c r="L107" s="371">
        <f>SUM(L108:L110)</f>
        <v>23602</v>
      </c>
      <c r="M107" s="369">
        <f t="shared" ref="M107:M118" si="183">(K107-L107)/L107</f>
        <v>0.4253029404287772</v>
      </c>
      <c r="N107" s="371">
        <f>SUM(N108:N110)</f>
        <v>469</v>
      </c>
      <c r="O107" s="371">
        <f>SUM(O108:O110)</f>
        <v>253</v>
      </c>
      <c r="P107" s="369">
        <f t="shared" ref="P107:P118" si="184">(N107-O107)/O107</f>
        <v>0.85375494071146241</v>
      </c>
      <c r="Q107" s="372">
        <f t="shared" ref="Q107:Q118" si="185">N107/K107</f>
        <v>1.3941736028537455E-2</v>
      </c>
      <c r="R107" s="372">
        <f t="shared" ref="R107:R118" si="186">O107/L107</f>
        <v>1.071943055673248E-2</v>
      </c>
      <c r="S107" s="369">
        <f t="shared" ref="S107:S118" si="187">(Q107-R107)/R107</f>
        <v>0.30060416500213843</v>
      </c>
      <c r="T107" s="368">
        <f t="shared" ref="T107:T118" si="188">E107/N107</f>
        <v>23.941897654584221</v>
      </c>
      <c r="U107" s="368">
        <f t="shared" ref="U107:U118" si="189">F107/O107</f>
        <v>43.759565217391305</v>
      </c>
      <c r="V107" s="369">
        <f t="shared" ref="V107:V118" si="190">(T107-U107)/U107</f>
        <v>-0.45287624464173093</v>
      </c>
      <c r="W107" s="368">
        <f t="shared" ref="W107:W118" si="191">B107/N107</f>
        <v>115.94882729211088</v>
      </c>
      <c r="X107" s="368">
        <f t="shared" ref="X107:X118" si="192">C107/O107</f>
        <v>102.8300395256917</v>
      </c>
      <c r="Y107" s="369">
        <f t="shared" ref="Y107:Y118" si="193">(W107-X107)/X107</f>
        <v>0.12757738718112127</v>
      </c>
      <c r="Z107" s="420">
        <f>SUM(Z108:Z110)</f>
        <v>27844</v>
      </c>
      <c r="AA107" s="371">
        <f>SUM(AA108:AA110)</f>
        <v>20091</v>
      </c>
      <c r="AB107" s="369">
        <f t="shared" ref="AB107:AB118" si="194">(Z107-AA107)/AA107</f>
        <v>0.385894181474292</v>
      </c>
      <c r="AC107" s="420">
        <f>SUM(AC108:AC110)</f>
        <v>745301</v>
      </c>
      <c r="AD107" s="371">
        <f>SUM(AD108:AD110)</f>
        <v>149575</v>
      </c>
      <c r="AE107" s="369">
        <f t="shared" ref="AE107:AE118" si="195">(AC107-AD107)/AD107</f>
        <v>3.9827912418519138</v>
      </c>
      <c r="AF107" s="372">
        <f t="shared" ref="AF107:AF110" si="196">Z107/AC107</f>
        <v>3.7359402442771444E-2</v>
      </c>
      <c r="AG107" s="372">
        <f t="shared" ref="AG107:AG110" si="197">AA107/AD107</f>
        <v>0.13432057496239344</v>
      </c>
      <c r="AH107" s="369">
        <f>(AF107-AG107)/AG107</f>
        <v>-0.72186388828940629</v>
      </c>
    </row>
    <row r="108" spans="1:34" outlineLevel="1" x14ac:dyDescent="0.3">
      <c r="A108" s="373" t="s">
        <v>29</v>
      </c>
      <c r="B108" s="374">
        <f>Search!E131+Search!E135+Search!E139+Search!E143</f>
        <v>48320</v>
      </c>
      <c r="C108" s="374">
        <f>Search!F131+Search!F135+Search!F139+Search!F143</f>
        <v>23221</v>
      </c>
      <c r="D108" s="369">
        <f t="shared" si="178"/>
        <v>1.0808750699797598</v>
      </c>
      <c r="E108" s="374">
        <f>Search!I131+Search!I135+Search!I139+Search!I143</f>
        <v>3646.74</v>
      </c>
      <c r="F108" s="374">
        <f>Search!J131+Search!J135+Search!J139+Search!J143</f>
        <v>1365.8999999999999</v>
      </c>
      <c r="G108" s="375">
        <f t="shared" si="179"/>
        <v>1.6698440588622889</v>
      </c>
      <c r="H108" s="376">
        <f t="shared" si="180"/>
        <v>13.250190581176613</v>
      </c>
      <c r="I108" s="376">
        <f t="shared" si="181"/>
        <v>17.000512482612198</v>
      </c>
      <c r="J108" s="375">
        <f t="shared" si="182"/>
        <v>-0.22060052044144807</v>
      </c>
      <c r="K108" s="377">
        <f>Search!Q131+Search!Q135+Search!Q139+Search!Q143</f>
        <v>18684</v>
      </c>
      <c r="L108" s="377">
        <f>Search!R131+Search!R135+Search!R139+Search!R143</f>
        <v>13298</v>
      </c>
      <c r="M108" s="375">
        <f t="shared" si="183"/>
        <v>0.40502331177620693</v>
      </c>
      <c r="N108" s="377">
        <f>Search!U131+Search!U135+Search!U139+Search!U143</f>
        <v>409</v>
      </c>
      <c r="O108" s="377">
        <f>Search!V131+Search!V135+Search!V139+Search!V143</f>
        <v>218</v>
      </c>
      <c r="P108" s="378">
        <f t="shared" si="184"/>
        <v>0.87614678899082565</v>
      </c>
      <c r="Q108" s="379">
        <f t="shared" si="185"/>
        <v>2.1890387497323912E-2</v>
      </c>
      <c r="R108" s="379">
        <f t="shared" si="186"/>
        <v>1.6393442622950821E-2</v>
      </c>
      <c r="S108" s="378">
        <f t="shared" si="187"/>
        <v>0.33531363733675856</v>
      </c>
      <c r="T108" s="374">
        <f t="shared" si="188"/>
        <v>8.9162347188264057</v>
      </c>
      <c r="U108" s="374">
        <f t="shared" si="189"/>
        <v>6.2655963302752289</v>
      </c>
      <c r="V108" s="375">
        <f t="shared" si="190"/>
        <v>0.42304646658185563</v>
      </c>
      <c r="W108" s="374">
        <f t="shared" si="191"/>
        <v>118.14180929095355</v>
      </c>
      <c r="X108" s="374">
        <f t="shared" si="192"/>
        <v>106.51834862385321</v>
      </c>
      <c r="Y108" s="378">
        <f t="shared" si="193"/>
        <v>0.10912167544153449</v>
      </c>
      <c r="Z108" s="419">
        <f>Search!AG131+Search!AG135+Search!AG139+Search!AG143</f>
        <v>13085</v>
      </c>
      <c r="AA108" s="377">
        <f>Search!AH131+Search!AH135+Search!AH139+Search!AH143</f>
        <v>10082</v>
      </c>
      <c r="AB108" s="378">
        <f t="shared" si="194"/>
        <v>0.2978575679428685</v>
      </c>
      <c r="AC108" s="419">
        <f>Search!AK131+Search!AK135+Search!AK139+Search!AK143</f>
        <v>37830</v>
      </c>
      <c r="AD108" s="377">
        <f>Search!AL131+Search!AL135+Search!AL139+Search!AL143</f>
        <v>26719</v>
      </c>
      <c r="AE108" s="378">
        <f t="shared" si="195"/>
        <v>0.41584640143717955</v>
      </c>
      <c r="AF108" s="379">
        <f t="shared" si="196"/>
        <v>0.34588950568332011</v>
      </c>
      <c r="AG108" s="379">
        <f t="shared" si="197"/>
        <v>0.3773344810808788</v>
      </c>
      <c r="AH108" s="378">
        <f>(AF108-AG108)/AG108</f>
        <v>-8.3334486971570199E-2</v>
      </c>
    </row>
    <row r="109" spans="1:34" outlineLevel="1" x14ac:dyDescent="0.3">
      <c r="A109" s="373" t="s">
        <v>30</v>
      </c>
      <c r="B109" s="374">
        <f>Search!E132+Search!E136+Search!E140+Search!E144</f>
        <v>1230</v>
      </c>
      <c r="C109" s="374">
        <f>Search!F132+Search!F136+Search!F140+Search!F144</f>
        <v>2795</v>
      </c>
      <c r="D109" s="369">
        <f t="shared" si="178"/>
        <v>-0.55992844364937389</v>
      </c>
      <c r="E109" s="374">
        <f>Search!I132+Search!I136+Search!I140+Search!I144</f>
        <v>2582.04</v>
      </c>
      <c r="F109" s="374">
        <f>Search!J132+Search!J136+Search!J140+Search!J144</f>
        <v>9705.27</v>
      </c>
      <c r="G109" s="375">
        <f t="shared" si="179"/>
        <v>-0.73395485133334781</v>
      </c>
      <c r="H109" s="376">
        <f t="shared" si="180"/>
        <v>0.47636752335362736</v>
      </c>
      <c r="I109" s="376">
        <f t="shared" si="181"/>
        <v>0.28798786638599438</v>
      </c>
      <c r="J109" s="375">
        <f t="shared" si="182"/>
        <v>0.65412358975966356</v>
      </c>
      <c r="K109" s="377">
        <f>Search!Q132+Search!Q136+Search!Q140+Search!Q144</f>
        <v>2089</v>
      </c>
      <c r="L109" s="377">
        <f>Search!R132+Search!R136+Search!R140+Search!R144</f>
        <v>10304</v>
      </c>
      <c r="M109" s="375">
        <f t="shared" si="183"/>
        <v>-0.79726319875776397</v>
      </c>
      <c r="N109" s="377">
        <f>Search!U132+Search!U136+Search!U140+Search!U144</f>
        <v>11</v>
      </c>
      <c r="O109" s="377">
        <f>Search!V132+Search!V136+Search!V140+Search!V144</f>
        <v>35</v>
      </c>
      <c r="P109" s="378">
        <f t="shared" si="184"/>
        <v>-0.68571428571428572</v>
      </c>
      <c r="Q109" s="379">
        <f t="shared" si="185"/>
        <v>5.2656773575873624E-3</v>
      </c>
      <c r="R109" s="379">
        <f t="shared" si="186"/>
        <v>3.3967391304347825E-3</v>
      </c>
      <c r="S109" s="378">
        <f t="shared" si="187"/>
        <v>0.55021541407371954</v>
      </c>
      <c r="T109" s="374">
        <f t="shared" si="188"/>
        <v>234.73090909090908</v>
      </c>
      <c r="U109" s="374">
        <f t="shared" si="189"/>
        <v>277.29342857142859</v>
      </c>
      <c r="V109" s="375">
        <f t="shared" si="190"/>
        <v>-0.15349270878792479</v>
      </c>
      <c r="W109" s="374">
        <f t="shared" si="191"/>
        <v>111.81818181818181</v>
      </c>
      <c r="X109" s="374">
        <f t="shared" si="192"/>
        <v>79.857142857142861</v>
      </c>
      <c r="Y109" s="378">
        <f t="shared" si="193"/>
        <v>0.40022767929744663</v>
      </c>
      <c r="Z109" s="419">
        <f>Search!AG132+Search!AG136+Search!AG140+Search!AG144</f>
        <v>1848</v>
      </c>
      <c r="AA109" s="377">
        <f>Search!AH132+Search!AH136+Search!AH140+Search!AH144</f>
        <v>10009</v>
      </c>
      <c r="AB109" s="378">
        <f t="shared" si="194"/>
        <v>-0.81536617044659809</v>
      </c>
      <c r="AC109" s="419">
        <f>Search!AK132+Search!AK136+Search!AK140+Search!AK144</f>
        <v>24726</v>
      </c>
      <c r="AD109" s="377">
        <f>Search!AL132+Search!AL136+Search!AL140+Search!AL144</f>
        <v>122856</v>
      </c>
      <c r="AE109" s="378">
        <f t="shared" si="195"/>
        <v>-0.79873998827896076</v>
      </c>
      <c r="AF109" s="379">
        <f t="shared" si="196"/>
        <v>7.4739140985197766E-2</v>
      </c>
      <c r="AG109" s="379">
        <f t="shared" si="197"/>
        <v>8.1469362505697723E-2</v>
      </c>
      <c r="AH109" s="378">
        <f>(AF109-AG109)/AG109</f>
        <v>-8.261046009816593E-2</v>
      </c>
    </row>
    <row r="110" spans="1:34" outlineLevel="1" x14ac:dyDescent="0.3">
      <c r="A110" s="373" t="s">
        <v>228</v>
      </c>
      <c r="B110" s="374">
        <f>Search!E133+Search!E137+Search!E141+Search!E145</f>
        <v>4830</v>
      </c>
      <c r="C110" s="374">
        <f>Search!F133+Search!F137+Search!F141+Search!F145</f>
        <v>0</v>
      </c>
      <c r="D110" s="369" t="e">
        <f t="shared" si="178"/>
        <v>#DIV/0!</v>
      </c>
      <c r="E110" s="374">
        <f>Search!I133+Search!I137+Search!I141+Search!I145</f>
        <v>4999.97</v>
      </c>
      <c r="F110" s="374">
        <f>Search!J133+Search!J137+Search!J141+Search!J145</f>
        <v>0</v>
      </c>
      <c r="G110" s="375" t="e">
        <f t="shared" si="179"/>
        <v>#DIV/0!</v>
      </c>
      <c r="H110" s="376">
        <f t="shared" si="180"/>
        <v>0.96600579603477621</v>
      </c>
      <c r="I110" s="376" t="e">
        <f t="shared" si="181"/>
        <v>#DIV/0!</v>
      </c>
      <c r="J110" s="375" t="e">
        <f t="shared" si="182"/>
        <v>#DIV/0!</v>
      </c>
      <c r="K110" s="377">
        <f>Search!Q133+Search!Q137+Search!Q141+Search!Q145</f>
        <v>12867</v>
      </c>
      <c r="L110" s="377">
        <f>Search!R133+Search!R137+Search!R141+Search!R145</f>
        <v>0</v>
      </c>
      <c r="M110" s="375" t="e">
        <f t="shared" si="183"/>
        <v>#DIV/0!</v>
      </c>
      <c r="N110" s="377">
        <f>Search!U133+Search!U137+Search!U141+Search!U145</f>
        <v>49</v>
      </c>
      <c r="O110" s="377">
        <f>Search!V133+Search!V137+Search!V141+Search!V145</f>
        <v>0</v>
      </c>
      <c r="P110" s="378" t="e">
        <f t="shared" si="184"/>
        <v>#DIV/0!</v>
      </c>
      <c r="Q110" s="379">
        <f t="shared" si="185"/>
        <v>3.8081914976295949E-3</v>
      </c>
      <c r="R110" s="379" t="e">
        <f t="shared" si="186"/>
        <v>#DIV/0!</v>
      </c>
      <c r="S110" s="378" t="e">
        <f t="shared" si="187"/>
        <v>#DIV/0!</v>
      </c>
      <c r="T110" s="374">
        <f t="shared" si="188"/>
        <v>102.04020408163265</v>
      </c>
      <c r="U110" s="374" t="e">
        <f t="shared" si="189"/>
        <v>#DIV/0!</v>
      </c>
      <c r="V110" s="375" t="e">
        <f t="shared" si="190"/>
        <v>#DIV/0!</v>
      </c>
      <c r="W110" s="374">
        <f t="shared" si="191"/>
        <v>98.571428571428569</v>
      </c>
      <c r="X110" s="374" t="e">
        <f t="shared" si="192"/>
        <v>#DIV/0!</v>
      </c>
      <c r="Y110" s="378" t="e">
        <f t="shared" si="193"/>
        <v>#DIV/0!</v>
      </c>
      <c r="Z110" s="419">
        <f>Search!AG133+Search!AG137+Search!AG141+Search!AG145</f>
        <v>12911</v>
      </c>
      <c r="AA110" s="377">
        <f>Search!AH133+Search!AH137+Search!AH141+Search!AH145</f>
        <v>0</v>
      </c>
      <c r="AB110" s="378" t="e">
        <f t="shared" si="194"/>
        <v>#DIV/0!</v>
      </c>
      <c r="AC110" s="419">
        <f>Search!AK133+Search!AK137+Search!AK141+Search!AK145</f>
        <v>682745</v>
      </c>
      <c r="AD110" s="377">
        <f>Search!AL133+Search!AL137+Search!AL141+Search!AL145</f>
        <v>0</v>
      </c>
      <c r="AE110" s="378" t="e">
        <f t="shared" si="195"/>
        <v>#DIV/0!</v>
      </c>
      <c r="AF110" s="379">
        <f t="shared" si="196"/>
        <v>1.8910427758533566E-2</v>
      </c>
      <c r="AG110" s="379" t="e">
        <f t="shared" si="197"/>
        <v>#DIV/0!</v>
      </c>
      <c r="AH110" s="378" t="e">
        <f t="shared" ref="AH110:AH117" si="198">(AF110-AG110)/AG110</f>
        <v>#DIV/0!</v>
      </c>
    </row>
    <row r="111" spans="1:34" s="367" customFormat="1" ht="21" customHeight="1" x14ac:dyDescent="0.3">
      <c r="A111" s="380" t="s">
        <v>13</v>
      </c>
      <c r="B111" s="368">
        <f>Affiliate!D34+Affiliate!D35+Affiliate!D36+Affiliate!D37</f>
        <v>101152</v>
      </c>
      <c r="C111" s="368">
        <f>Affiliate!E34+Affiliate!E35+Affiliate!E36+Affiliate!E37</f>
        <v>59287</v>
      </c>
      <c r="D111" s="369">
        <f t="shared" si="178"/>
        <v>0.70614131259804003</v>
      </c>
      <c r="E111" s="368">
        <f>Affiliate!H34+Affiliate!H35+Affiliate!H36+Affiliate!H37</f>
        <v>8951.4499999999989</v>
      </c>
      <c r="F111" s="368">
        <f>Affiliate!I34+Affiliate!I35+Affiliate!I36+Affiliate!I37</f>
        <v>14041.63</v>
      </c>
      <c r="G111" s="369">
        <f t="shared" si="179"/>
        <v>-0.36250634719758323</v>
      </c>
      <c r="H111" s="370">
        <f t="shared" si="180"/>
        <v>11.300068703952991</v>
      </c>
      <c r="I111" s="370">
        <f t="shared" si="181"/>
        <v>4.2222306099790412</v>
      </c>
      <c r="J111" s="369">
        <f t="shared" si="182"/>
        <v>1.6763267447414683</v>
      </c>
      <c r="K111" s="371">
        <f>Affiliate!AF34+Affiliate!AF35+Affiliate!AF36+Affiliate!AF37</f>
        <v>8318</v>
      </c>
      <c r="L111" s="371">
        <f>Affiliate!AG34+Affiliate!AG35+Affiliate!AG36+Affiliate!AG37</f>
        <v>9028</v>
      </c>
      <c r="M111" s="369">
        <f t="shared" si="183"/>
        <v>-7.8644217988480286E-2</v>
      </c>
      <c r="N111" s="371">
        <f>Affiliate!AJ34+Affiliate!AJ35+Affiliate!AJ36+Affiliate!AJ37</f>
        <v>840</v>
      </c>
      <c r="O111" s="371">
        <f>Affiliate!AK34+Affiliate!AK35+Affiliate!AK36+Affiliate!AK37</f>
        <v>513</v>
      </c>
      <c r="P111" s="381">
        <f t="shared" si="184"/>
        <v>0.63742690058479534</v>
      </c>
      <c r="Q111" s="382">
        <f t="shared" si="185"/>
        <v>0.10098581389757152</v>
      </c>
      <c r="R111" s="382">
        <f t="shared" si="186"/>
        <v>5.6823216659282236E-2</v>
      </c>
      <c r="S111" s="381">
        <f t="shared" si="187"/>
        <v>0.77719284184654125</v>
      </c>
      <c r="T111" s="383">
        <f t="shared" si="188"/>
        <v>10.656488095238094</v>
      </c>
      <c r="U111" s="383">
        <f t="shared" si="189"/>
        <v>27.371598440545807</v>
      </c>
      <c r="V111" s="369">
        <f t="shared" si="190"/>
        <v>-0.61067351918138124</v>
      </c>
      <c r="W111" s="383">
        <f t="shared" si="191"/>
        <v>120.41904761904762</v>
      </c>
      <c r="X111" s="383">
        <f t="shared" si="192"/>
        <v>115.5692007797271</v>
      </c>
      <c r="Y111" s="381">
        <f t="shared" si="193"/>
        <v>4.1964873050945851E-2</v>
      </c>
      <c r="Z111" s="443"/>
      <c r="AA111" s="384"/>
      <c r="AB111" s="381" t="e">
        <f t="shared" si="194"/>
        <v>#DIV/0!</v>
      </c>
      <c r="AC111" s="443"/>
      <c r="AD111" s="384"/>
      <c r="AE111" s="381" t="e">
        <f t="shared" si="195"/>
        <v>#DIV/0!</v>
      </c>
      <c r="AF111" s="385"/>
      <c r="AG111" s="385"/>
      <c r="AH111" s="381" t="e">
        <f t="shared" si="198"/>
        <v>#DIV/0!</v>
      </c>
    </row>
    <row r="112" spans="1:34" s="367" customFormat="1" ht="20.100000000000001" customHeight="1" x14ac:dyDescent="0.3">
      <c r="A112" s="367" t="s">
        <v>14</v>
      </c>
      <c r="B112" s="368">
        <f>SUM(B113:B114)</f>
        <v>0</v>
      </c>
      <c r="C112" s="368">
        <f>SUM(C113:C114)</f>
        <v>995</v>
      </c>
      <c r="D112" s="369">
        <f t="shared" si="178"/>
        <v>-1</v>
      </c>
      <c r="E112" s="368">
        <f>SUM(E113:E114)</f>
        <v>0</v>
      </c>
      <c r="F112" s="368">
        <f>SUM(F113:F114)</f>
        <v>18227.294750000001</v>
      </c>
      <c r="G112" s="369">
        <f t="shared" si="179"/>
        <v>-1</v>
      </c>
      <c r="H112" s="370" t="e">
        <f t="shared" si="180"/>
        <v>#DIV/0!</v>
      </c>
      <c r="I112" s="370">
        <f t="shared" si="181"/>
        <v>5.458846272291723E-2</v>
      </c>
      <c r="J112" s="369" t="e">
        <f t="shared" si="182"/>
        <v>#DIV/0!</v>
      </c>
      <c r="K112" s="371">
        <f>SUM(K113:K114)</f>
        <v>61</v>
      </c>
      <c r="L112" s="371">
        <f>SUM(L113:L114)</f>
        <v>7892</v>
      </c>
      <c r="M112" s="369">
        <f t="shared" si="183"/>
        <v>-0.99227065382665991</v>
      </c>
      <c r="N112" s="371">
        <f>SUM(N113:N114)</f>
        <v>0</v>
      </c>
      <c r="O112" s="371">
        <f>SUM(O113:O114)</f>
        <v>9</v>
      </c>
      <c r="P112" s="381">
        <f t="shared" si="184"/>
        <v>-1</v>
      </c>
      <c r="Q112" s="382">
        <f t="shared" si="185"/>
        <v>0</v>
      </c>
      <c r="R112" s="382">
        <f t="shared" si="186"/>
        <v>1.1403953370501775E-3</v>
      </c>
      <c r="S112" s="381">
        <f t="shared" si="187"/>
        <v>-1</v>
      </c>
      <c r="T112" s="383" t="e">
        <f t="shared" si="188"/>
        <v>#DIV/0!</v>
      </c>
      <c r="U112" s="383">
        <f t="shared" si="189"/>
        <v>2025.2549722222222</v>
      </c>
      <c r="V112" s="369" t="e">
        <f t="shared" si="190"/>
        <v>#DIV/0!</v>
      </c>
      <c r="W112" s="383" t="e">
        <f t="shared" si="191"/>
        <v>#DIV/0!</v>
      </c>
      <c r="X112" s="383">
        <f t="shared" si="192"/>
        <v>110.55555555555556</v>
      </c>
      <c r="Y112" s="381" t="e">
        <f t="shared" si="193"/>
        <v>#DIV/0!</v>
      </c>
      <c r="Z112" s="420">
        <f>SUM(Z113:Z114)</f>
        <v>0</v>
      </c>
      <c r="AA112" s="371">
        <f>SUM(AA113:AA114)</f>
        <v>24942</v>
      </c>
      <c r="AB112" s="381">
        <f t="shared" si="194"/>
        <v>-1</v>
      </c>
      <c r="AC112" s="420">
        <f>SUM(AC113:AC114)</f>
        <v>0</v>
      </c>
      <c r="AD112" s="371">
        <f>SUM(AD113:AD114)</f>
        <v>2761569</v>
      </c>
      <c r="AE112" s="381">
        <f t="shared" si="195"/>
        <v>-1</v>
      </c>
      <c r="AF112" s="382" t="e">
        <f t="shared" ref="AF112:AF118" si="199">Z112/AC112</f>
        <v>#DIV/0!</v>
      </c>
      <c r="AG112" s="382">
        <f t="shared" ref="AG112:AG118" si="200">AA112/AD112</f>
        <v>9.0318221272037737E-3</v>
      </c>
      <c r="AH112" s="381" t="e">
        <f t="shared" si="198"/>
        <v>#DIV/0!</v>
      </c>
    </row>
    <row r="113" spans="1:34" outlineLevel="1" x14ac:dyDescent="0.3">
      <c r="A113" s="373" t="s">
        <v>285</v>
      </c>
      <c r="B113" s="374">
        <f>'Social - Promos'!E194+'Social - Promos'!E200+'Social - Promos'!E206+'Social - Promos'!E212</f>
        <v>0</v>
      </c>
      <c r="C113" s="374">
        <f>'Social - Promos'!F194+'Social - Promos'!F200+'Social - Promos'!F206+'Social - Promos'!F212</f>
        <v>995</v>
      </c>
      <c r="D113" s="369">
        <f t="shared" si="178"/>
        <v>-1</v>
      </c>
      <c r="E113" s="374">
        <f>'Social - Promos'!K194+'Social - Promos'!K200+'Social - Promos'!K206+'Social - Promos'!K212</f>
        <v>0</v>
      </c>
      <c r="F113" s="374">
        <f>'Social - Promos'!L194+'Social - Promos'!L200+'Social - Promos'!L206+'Social - Promos'!L212</f>
        <v>18227.294750000001</v>
      </c>
      <c r="G113" s="375">
        <f t="shared" si="179"/>
        <v>-1</v>
      </c>
      <c r="H113" s="386" t="e">
        <f t="shared" si="180"/>
        <v>#DIV/0!</v>
      </c>
      <c r="I113" s="386">
        <f t="shared" si="181"/>
        <v>5.458846272291723E-2</v>
      </c>
      <c r="J113" s="375" t="e">
        <f t="shared" si="182"/>
        <v>#DIV/0!</v>
      </c>
      <c r="K113" s="377">
        <f>'Social - Promos'!T194+'Social - Promos'!T200+'Social - Promos'!T206+'Social - Promos'!T212</f>
        <v>61</v>
      </c>
      <c r="L113" s="377">
        <f>'Social - Promos'!U194+'Social - Promos'!U200+'Social - Promos'!U206+'Social - Promos'!U212</f>
        <v>7892</v>
      </c>
      <c r="M113" s="375">
        <f t="shared" si="183"/>
        <v>-0.99227065382665991</v>
      </c>
      <c r="N113" s="377">
        <f>'Social - Promos'!W194+'Social - Promos'!W200+'Social - Promos'!W206+'Social - Promos'!W212</f>
        <v>0</v>
      </c>
      <c r="O113" s="377">
        <f>'Social - Promos'!X194+'Social - Promos'!X200+'Social - Promos'!X206+'Social - Promos'!X212</f>
        <v>9</v>
      </c>
      <c r="P113" s="378">
        <f t="shared" si="184"/>
        <v>-1</v>
      </c>
      <c r="Q113" s="379">
        <f t="shared" si="185"/>
        <v>0</v>
      </c>
      <c r="R113" s="379">
        <f t="shared" si="186"/>
        <v>1.1403953370501775E-3</v>
      </c>
      <c r="S113" s="378">
        <f t="shared" si="187"/>
        <v>-1</v>
      </c>
      <c r="T113" s="374" t="e">
        <f t="shared" si="188"/>
        <v>#DIV/0!</v>
      </c>
      <c r="U113" s="374">
        <f t="shared" si="189"/>
        <v>2025.2549722222222</v>
      </c>
      <c r="V113" s="375" t="e">
        <f t="shared" si="190"/>
        <v>#DIV/0!</v>
      </c>
      <c r="W113" s="374" t="e">
        <f t="shared" si="191"/>
        <v>#DIV/0!</v>
      </c>
      <c r="X113" s="374">
        <f t="shared" si="192"/>
        <v>110.55555555555556</v>
      </c>
      <c r="Y113" s="378" t="e">
        <f t="shared" si="193"/>
        <v>#DIV/0!</v>
      </c>
      <c r="Z113" s="419">
        <f>'Social - Promos'!AF194+'Social - Promos'!AF200+'Social - Promos'!AF206+'Social - Promos'!AF212</f>
        <v>0</v>
      </c>
      <c r="AA113" s="377">
        <f>'Social - Promos'!AG194+'Social - Promos'!AG200+'Social - Promos'!AG206+'Social - Promos'!AG212</f>
        <v>24942</v>
      </c>
      <c r="AB113" s="378">
        <f t="shared" si="194"/>
        <v>-1</v>
      </c>
      <c r="AC113" s="419">
        <f>'Social - Promos'!AI194+'Social - Promos'!AI200+'Social - Promos'!AI206+'Social - Promos'!AI212</f>
        <v>0</v>
      </c>
      <c r="AD113" s="377">
        <f>'Social - Promos'!AJ194+'Social - Promos'!AJ200+'Social - Promos'!AJ206+'Social - Promos'!AJ212</f>
        <v>2761569</v>
      </c>
      <c r="AE113" s="378">
        <f t="shared" si="195"/>
        <v>-1</v>
      </c>
      <c r="AF113" s="379" t="e">
        <f t="shared" si="199"/>
        <v>#DIV/0!</v>
      </c>
      <c r="AG113" s="379">
        <f t="shared" si="200"/>
        <v>9.0318221272037737E-3</v>
      </c>
      <c r="AH113" s="378" t="e">
        <f t="shared" si="198"/>
        <v>#DIV/0!</v>
      </c>
    </row>
    <row r="114" spans="1:34" outlineLevel="1" x14ac:dyDescent="0.3">
      <c r="A114" s="373" t="s">
        <v>286</v>
      </c>
      <c r="B114" s="374">
        <f>'Social - Remarketing'!D34+'Social - Remarketing'!D35+'Social - Remarketing'!D36+'Social - Remarketing'!D37</f>
        <v>0</v>
      </c>
      <c r="C114" s="374">
        <f>'Social - Remarketing'!E34+'Social - Remarketing'!E35+'Social - Remarketing'!E36+'Social - Remarketing'!E37</f>
        <v>0</v>
      </c>
      <c r="D114" s="369" t="e">
        <f t="shared" si="178"/>
        <v>#DIV/0!</v>
      </c>
      <c r="E114" s="374">
        <f>'Social - Remarketing'!H34+'Social - Remarketing'!H35+'Social - Remarketing'!H36+'Social - Remarketing'!H37</f>
        <v>0</v>
      </c>
      <c r="F114" s="374">
        <f>'Social - Remarketing'!I34+'Social - Remarketing'!I35+'Social - Remarketing'!I36+'Social - Remarketing'!I37</f>
        <v>0</v>
      </c>
      <c r="G114" s="369" t="e">
        <f t="shared" si="179"/>
        <v>#DIV/0!</v>
      </c>
      <c r="H114" s="386" t="e">
        <f t="shared" si="180"/>
        <v>#DIV/0!</v>
      </c>
      <c r="I114" s="386" t="e">
        <f t="shared" si="181"/>
        <v>#DIV/0!</v>
      </c>
      <c r="J114" s="369" t="e">
        <f t="shared" si="182"/>
        <v>#DIV/0!</v>
      </c>
      <c r="K114" s="377">
        <f>'Social - Remarketing'!X34+'Social - Remarketing'!X35+'Social - Remarketing'!X36+'Social - Remarketing'!X37</f>
        <v>0</v>
      </c>
      <c r="L114" s="377">
        <f>'Social - Remarketing'!Y34+'Social - Remarketing'!Y35+'Social - Remarketing'!Y36+'Social - Remarketing'!Y37</f>
        <v>0</v>
      </c>
      <c r="M114" s="375" t="e">
        <f t="shared" si="183"/>
        <v>#DIV/0!</v>
      </c>
      <c r="N114" s="377">
        <f>'Social - Remarketing'!AB34+'Social - Remarketing'!AB35+'Social - Remarketing'!AB36+'Social - Remarketing'!AB37</f>
        <v>0</v>
      </c>
      <c r="O114" s="377">
        <f>'Social - Remarketing'!AC34+'Social - Remarketing'!AC35+'Social - Remarketing'!AC36+'Social - Remarketing'!AC37</f>
        <v>0</v>
      </c>
      <c r="P114" s="378" t="e">
        <f t="shared" si="184"/>
        <v>#DIV/0!</v>
      </c>
      <c r="Q114" s="379" t="e">
        <f t="shared" si="185"/>
        <v>#DIV/0!</v>
      </c>
      <c r="R114" s="379" t="e">
        <f t="shared" si="186"/>
        <v>#DIV/0!</v>
      </c>
      <c r="S114" s="378" t="e">
        <f t="shared" si="187"/>
        <v>#DIV/0!</v>
      </c>
      <c r="T114" s="374" t="e">
        <f t="shared" si="188"/>
        <v>#DIV/0!</v>
      </c>
      <c r="U114" s="374" t="e">
        <f t="shared" si="189"/>
        <v>#DIV/0!</v>
      </c>
      <c r="V114" s="375" t="e">
        <f t="shared" si="190"/>
        <v>#DIV/0!</v>
      </c>
      <c r="W114" s="374" t="e">
        <f t="shared" si="191"/>
        <v>#DIV/0!</v>
      </c>
      <c r="X114" s="374" t="e">
        <f t="shared" si="192"/>
        <v>#DIV/0!</v>
      </c>
      <c r="Y114" s="378" t="e">
        <f t="shared" si="193"/>
        <v>#DIV/0!</v>
      </c>
      <c r="Z114" s="419">
        <f>'Social - Remarketing'!AN34+'Social - Remarketing'!AN35+'Social - Remarketing'!AN36+'Social - Remarketing'!AN37</f>
        <v>0</v>
      </c>
      <c r="AA114" s="377">
        <f>'Social - Remarketing'!AO34+'Social - Remarketing'!AO35+'Social - Remarketing'!AO36+'Social - Remarketing'!AO37</f>
        <v>0</v>
      </c>
      <c r="AB114" s="378" t="e">
        <f t="shared" si="194"/>
        <v>#DIV/0!</v>
      </c>
      <c r="AC114" s="419">
        <f>'Social - Remarketing'!AR34+'Social - Remarketing'!AR35+'Social - Remarketing'!AR36+'Social - Remarketing'!AR37</f>
        <v>0</v>
      </c>
      <c r="AD114" s="377">
        <f>'Social - Remarketing'!AS34+'Social - Remarketing'!AS35+'Social - Remarketing'!AS36+'Social - Remarketing'!AS37</f>
        <v>0</v>
      </c>
      <c r="AE114" s="378" t="e">
        <f t="shared" si="195"/>
        <v>#DIV/0!</v>
      </c>
      <c r="AF114" s="379" t="e">
        <f t="shared" si="199"/>
        <v>#DIV/0!</v>
      </c>
      <c r="AG114" s="379" t="e">
        <f t="shared" si="200"/>
        <v>#DIV/0!</v>
      </c>
      <c r="AH114" s="378" t="e">
        <f t="shared" si="198"/>
        <v>#DIV/0!</v>
      </c>
    </row>
    <row r="115" spans="1:34" s="367" customFormat="1" ht="21" customHeight="1" x14ac:dyDescent="0.3">
      <c r="A115" s="367" t="s">
        <v>15</v>
      </c>
      <c r="B115" s="368">
        <f>SUM(B116:B117)</f>
        <v>0</v>
      </c>
      <c r="C115" s="368">
        <f>SUM(C116:C117)</f>
        <v>0</v>
      </c>
      <c r="D115" s="369" t="e">
        <f t="shared" si="178"/>
        <v>#DIV/0!</v>
      </c>
      <c r="E115" s="368">
        <f>SUM(E116:E117)</f>
        <v>0</v>
      </c>
      <c r="F115" s="368">
        <f>SUM(F116:F117)</f>
        <v>0</v>
      </c>
      <c r="G115" s="369" t="e">
        <f t="shared" si="179"/>
        <v>#DIV/0!</v>
      </c>
      <c r="H115" s="370" t="e">
        <f t="shared" si="180"/>
        <v>#DIV/0!</v>
      </c>
      <c r="I115" s="370" t="e">
        <f t="shared" si="181"/>
        <v>#DIV/0!</v>
      </c>
      <c r="J115" s="369" t="e">
        <f t="shared" si="182"/>
        <v>#DIV/0!</v>
      </c>
      <c r="K115" s="371">
        <f>SUM(K116:K117)</f>
        <v>0</v>
      </c>
      <c r="L115" s="371">
        <f>SUM(L116:L117)</f>
        <v>0</v>
      </c>
      <c r="M115" s="369" t="e">
        <f t="shared" si="183"/>
        <v>#DIV/0!</v>
      </c>
      <c r="N115" s="371">
        <f>SUM(N116:N117)</f>
        <v>0</v>
      </c>
      <c r="O115" s="371">
        <f>SUM(O116:O117)</f>
        <v>0</v>
      </c>
      <c r="P115" s="381" t="e">
        <f t="shared" si="184"/>
        <v>#DIV/0!</v>
      </c>
      <c r="Q115" s="382" t="e">
        <f t="shared" si="185"/>
        <v>#DIV/0!</v>
      </c>
      <c r="R115" s="382" t="e">
        <f t="shared" si="186"/>
        <v>#DIV/0!</v>
      </c>
      <c r="S115" s="381" t="e">
        <f t="shared" si="187"/>
        <v>#DIV/0!</v>
      </c>
      <c r="T115" s="383" t="e">
        <f t="shared" si="188"/>
        <v>#DIV/0!</v>
      </c>
      <c r="U115" s="383" t="e">
        <f t="shared" si="189"/>
        <v>#DIV/0!</v>
      </c>
      <c r="V115" s="369" t="e">
        <f t="shared" si="190"/>
        <v>#DIV/0!</v>
      </c>
      <c r="W115" s="383" t="e">
        <f t="shared" si="191"/>
        <v>#DIV/0!</v>
      </c>
      <c r="X115" s="383" t="e">
        <f t="shared" si="192"/>
        <v>#DIV/0!</v>
      </c>
      <c r="Y115" s="381" t="e">
        <f t="shared" si="193"/>
        <v>#DIV/0!</v>
      </c>
      <c r="Z115" s="420">
        <f>SUM(Z116:Z117)</f>
        <v>0</v>
      </c>
      <c r="AA115" s="371">
        <f>SUM(AA116:AA117)</f>
        <v>0</v>
      </c>
      <c r="AB115" s="381" t="e">
        <f t="shared" si="194"/>
        <v>#DIV/0!</v>
      </c>
      <c r="AC115" s="420">
        <f>SUM(AC116:AC117)</f>
        <v>0</v>
      </c>
      <c r="AD115" s="371">
        <f>SUM(AD116:AD117)</f>
        <v>0</v>
      </c>
      <c r="AE115" s="381" t="e">
        <f t="shared" si="195"/>
        <v>#DIV/0!</v>
      </c>
      <c r="AF115" s="382" t="e">
        <f t="shared" si="199"/>
        <v>#DIV/0!</v>
      </c>
      <c r="AG115" s="382" t="e">
        <f t="shared" si="200"/>
        <v>#DIV/0!</v>
      </c>
      <c r="AH115" s="381" t="e">
        <f t="shared" si="198"/>
        <v>#DIV/0!</v>
      </c>
    </row>
    <row r="116" spans="1:34" outlineLevel="1" x14ac:dyDescent="0.3">
      <c r="A116" s="373" t="s">
        <v>285</v>
      </c>
      <c r="B116" s="374">
        <f>'Display - Promos'!E130+'Display - Promos'!E134+'Display - Promos'!E138+'Display - Promos'!E142</f>
        <v>0</v>
      </c>
      <c r="C116" s="374">
        <f>'Display - Promos'!F130+'Display - Promos'!F134+'Display - Promos'!F138+'Display - Promos'!F142</f>
        <v>0</v>
      </c>
      <c r="D116" s="375" t="e">
        <f t="shared" si="178"/>
        <v>#DIV/0!</v>
      </c>
      <c r="E116" s="374">
        <f>'Display - Promos'!H130+'Display - Promos'!H134+'Display - Promos'!H138+'Display - Promos'!H142</f>
        <v>0</v>
      </c>
      <c r="F116" s="374">
        <f>'Display - Promos'!I130+'Display - Promos'!I134+'Display - Promos'!I138+'Display - Promos'!I142</f>
        <v>0</v>
      </c>
      <c r="G116" s="375" t="e">
        <f t="shared" si="179"/>
        <v>#DIV/0!</v>
      </c>
      <c r="H116" s="386" t="e">
        <f t="shared" si="180"/>
        <v>#DIV/0!</v>
      </c>
      <c r="I116" s="386" t="e">
        <f t="shared" si="181"/>
        <v>#DIV/0!</v>
      </c>
      <c r="J116" s="369" t="e">
        <f t="shared" si="182"/>
        <v>#DIV/0!</v>
      </c>
      <c r="K116" s="377">
        <f>'Display - Promos'!N130+'Display - Promos'!N134+'Display - Promos'!N138+'Display - Promos'!N142</f>
        <v>0</v>
      </c>
      <c r="L116" s="377">
        <f>'Display - Promos'!O130+'Display - Promos'!O134+'Display - Promos'!O138+'Display - Promos'!O142</f>
        <v>0</v>
      </c>
      <c r="M116" s="375" t="e">
        <f t="shared" si="183"/>
        <v>#DIV/0!</v>
      </c>
      <c r="N116" s="377">
        <f>'Display - Promos'!Q130+'Display - Promos'!Q134+'Display - Promos'!Q138+'Display - Promos'!Q142</f>
        <v>0</v>
      </c>
      <c r="O116" s="377">
        <f>'Display - Promos'!R130+'Display - Promos'!R134+'Display - Promos'!R138+'Display - Promos'!R142</f>
        <v>0</v>
      </c>
      <c r="P116" s="378" t="e">
        <f t="shared" si="184"/>
        <v>#DIV/0!</v>
      </c>
      <c r="Q116" s="379" t="e">
        <f t="shared" si="185"/>
        <v>#DIV/0!</v>
      </c>
      <c r="R116" s="379" t="e">
        <f t="shared" si="186"/>
        <v>#DIV/0!</v>
      </c>
      <c r="S116" s="378" t="e">
        <f t="shared" si="187"/>
        <v>#DIV/0!</v>
      </c>
      <c r="T116" s="374" t="e">
        <f t="shared" si="188"/>
        <v>#DIV/0!</v>
      </c>
      <c r="U116" s="374" t="e">
        <f t="shared" si="189"/>
        <v>#DIV/0!</v>
      </c>
      <c r="V116" s="375" t="e">
        <f t="shared" si="190"/>
        <v>#DIV/0!</v>
      </c>
      <c r="W116" s="374" t="e">
        <f t="shared" si="191"/>
        <v>#DIV/0!</v>
      </c>
      <c r="X116" s="374" t="e">
        <f t="shared" si="192"/>
        <v>#DIV/0!</v>
      </c>
      <c r="Y116" s="378" t="e">
        <f t="shared" si="193"/>
        <v>#DIV/0!</v>
      </c>
      <c r="Z116" s="419">
        <f>'Display - Promos'!W130+'Display - Promos'!W134+'Display - Promos'!W138+'Display - Promos'!W142</f>
        <v>0</v>
      </c>
      <c r="AA116" s="377">
        <f>'Display - Promos'!X130+'Display - Promos'!X134+'Display - Promos'!X138+'Display - Promos'!X142</f>
        <v>0</v>
      </c>
      <c r="AB116" s="378" t="e">
        <f t="shared" si="194"/>
        <v>#DIV/0!</v>
      </c>
      <c r="AC116" s="419">
        <f>'Display - Promos'!Z130+'Display - Promos'!Z134+'Display - Promos'!Z138+'Display - Promos'!Z142</f>
        <v>0</v>
      </c>
      <c r="AD116" s="377">
        <f>'Display - Promos'!AA130+'Display - Promos'!AA134+'Display - Promos'!AA138+'Display - Promos'!AA142</f>
        <v>0</v>
      </c>
      <c r="AE116" s="378" t="e">
        <f t="shared" si="195"/>
        <v>#DIV/0!</v>
      </c>
      <c r="AF116" s="379" t="e">
        <f t="shared" si="199"/>
        <v>#DIV/0!</v>
      </c>
      <c r="AG116" s="379" t="e">
        <f t="shared" si="200"/>
        <v>#DIV/0!</v>
      </c>
      <c r="AH116" s="378" t="e">
        <f t="shared" si="198"/>
        <v>#DIV/0!</v>
      </c>
    </row>
    <row r="117" spans="1:34" ht="19.5" outlineLevel="1" thickBot="1" x14ac:dyDescent="0.35">
      <c r="A117" s="373" t="s">
        <v>286</v>
      </c>
      <c r="B117" s="374">
        <f>'Display - Remarketing'!D34+'Display - Remarketing'!D35+'Display - Remarketing'!D36+'Display - Remarketing'!D37</f>
        <v>0</v>
      </c>
      <c r="C117" s="374">
        <f>'Display - Remarketing'!E34+'Display - Remarketing'!E35+'Display - Remarketing'!E36+'Display - Remarketing'!E37</f>
        <v>0</v>
      </c>
      <c r="D117" s="369" t="e">
        <f t="shared" si="178"/>
        <v>#DIV/0!</v>
      </c>
      <c r="E117" s="374">
        <f>'Display - Remarketing'!H34+'Display - Remarketing'!H35+'Display - Remarketing'!H36+'Display - Remarketing'!H37</f>
        <v>0</v>
      </c>
      <c r="F117" s="374">
        <f>'Display - Remarketing'!I34+'Display - Remarketing'!I35+'Display - Remarketing'!I36+'Display - Remarketing'!I37</f>
        <v>0</v>
      </c>
      <c r="G117" s="369" t="e">
        <f t="shared" si="179"/>
        <v>#DIV/0!</v>
      </c>
      <c r="H117" s="386" t="e">
        <f t="shared" si="180"/>
        <v>#DIV/0!</v>
      </c>
      <c r="I117" s="386" t="e">
        <f t="shared" si="181"/>
        <v>#DIV/0!</v>
      </c>
      <c r="J117" s="369" t="e">
        <f t="shared" si="182"/>
        <v>#DIV/0!</v>
      </c>
      <c r="K117" s="377">
        <f>'Display - Remarketing'!H34+'Display - Remarketing'!H35+'Display - Remarketing'!H36+'Display - Remarketing'!H37</f>
        <v>0</v>
      </c>
      <c r="L117" s="377">
        <f>'Display - Remarketing'!I34+'Display - Remarketing'!I35+'Display - Remarketing'!I36+'Display - Remarketing'!I37</f>
        <v>0</v>
      </c>
      <c r="M117" s="375" t="e">
        <f t="shared" si="183"/>
        <v>#DIV/0!</v>
      </c>
      <c r="N117" s="377">
        <f>'Display - Remarketing'!T34+'Display - Remarketing'!T35+'Display - Remarketing'!T36+'Display - Remarketing'!T37</f>
        <v>0</v>
      </c>
      <c r="O117" s="377">
        <f>'Display - Remarketing'!U34+'Display - Remarketing'!U35+'Display - Remarketing'!U36+'Display - Remarketing'!U37</f>
        <v>0</v>
      </c>
      <c r="P117" s="378" t="e">
        <f t="shared" si="184"/>
        <v>#DIV/0!</v>
      </c>
      <c r="Q117" s="379" t="e">
        <f t="shared" si="185"/>
        <v>#DIV/0!</v>
      </c>
      <c r="R117" s="379" t="e">
        <f t="shared" si="186"/>
        <v>#DIV/0!</v>
      </c>
      <c r="S117" s="378" t="e">
        <f t="shared" si="187"/>
        <v>#DIV/0!</v>
      </c>
      <c r="T117" s="374" t="e">
        <f t="shared" si="188"/>
        <v>#DIV/0!</v>
      </c>
      <c r="U117" s="374" t="e">
        <f t="shared" si="189"/>
        <v>#DIV/0!</v>
      </c>
      <c r="V117" s="375" t="e">
        <f t="shared" si="190"/>
        <v>#DIV/0!</v>
      </c>
      <c r="W117" s="374" t="e">
        <f t="shared" si="191"/>
        <v>#DIV/0!</v>
      </c>
      <c r="X117" s="374" t="e">
        <f t="shared" si="192"/>
        <v>#DIV/0!</v>
      </c>
      <c r="Y117" s="378" t="e">
        <f t="shared" si="193"/>
        <v>#DIV/0!</v>
      </c>
      <c r="Z117" s="419">
        <f>'Display - Remarketing'!AB34+'Display - Remarketing'!AB35+'Display - Remarketing'!AB36+'Display - Remarketing'!AB37</f>
        <v>0</v>
      </c>
      <c r="AA117" s="377">
        <f>'Display - Remarketing'!AC34+'Display - Remarketing'!AC35+'Display - Remarketing'!AC36+'Display - Remarketing'!AC37</f>
        <v>0</v>
      </c>
      <c r="AB117" s="378" t="e">
        <f t="shared" si="194"/>
        <v>#DIV/0!</v>
      </c>
      <c r="AC117" s="419">
        <f>'Display - Remarketing'!AF34+'Display - Remarketing'!AF35+'Display - Remarketing'!AF36+'Display - Remarketing'!AF37</f>
        <v>0</v>
      </c>
      <c r="AD117" s="377"/>
      <c r="AE117" s="378" t="e">
        <f t="shared" si="195"/>
        <v>#DIV/0!</v>
      </c>
      <c r="AF117" s="379" t="e">
        <f t="shared" si="199"/>
        <v>#DIV/0!</v>
      </c>
      <c r="AG117" s="379" t="e">
        <f t="shared" si="200"/>
        <v>#DIV/0!</v>
      </c>
      <c r="AH117" s="378" t="e">
        <f t="shared" si="198"/>
        <v>#DIV/0!</v>
      </c>
    </row>
    <row r="118" spans="1:34" s="395" customFormat="1" ht="22.5" thickTop="1" thickBot="1" x14ac:dyDescent="0.4">
      <c r="A118" s="387" t="s">
        <v>16</v>
      </c>
      <c r="B118" s="388">
        <f>B107+B111+B112+B115</f>
        <v>155532</v>
      </c>
      <c r="C118" s="388">
        <f>C107+C111+C112+C115</f>
        <v>86298</v>
      </c>
      <c r="D118" s="389">
        <f t="shared" si="178"/>
        <v>0.80226656469443092</v>
      </c>
      <c r="E118" s="388">
        <f>E107+E111+E112+E115</f>
        <v>20180.199999999997</v>
      </c>
      <c r="F118" s="388">
        <f>F107+F111+F112+F115</f>
        <v>43340.094750000004</v>
      </c>
      <c r="G118" s="390">
        <f t="shared" si="179"/>
        <v>-0.53437572953160206</v>
      </c>
      <c r="H118" s="391">
        <f t="shared" si="180"/>
        <v>7.7071585018979007</v>
      </c>
      <c r="I118" s="391">
        <f t="shared" si="181"/>
        <v>1.9911816182635362</v>
      </c>
      <c r="J118" s="390">
        <f t="shared" si="182"/>
        <v>2.8706456664757365</v>
      </c>
      <c r="K118" s="392">
        <f>K107+K111+K112+K115</f>
        <v>42019</v>
      </c>
      <c r="L118" s="392">
        <f>L107+L111+L112+L115</f>
        <v>40522</v>
      </c>
      <c r="M118" s="390">
        <f t="shared" si="183"/>
        <v>3.6942895217412765E-2</v>
      </c>
      <c r="N118" s="392">
        <f>N107+N111+N112+N115</f>
        <v>1309</v>
      </c>
      <c r="O118" s="392">
        <f>O107+O111+O112+O115</f>
        <v>775</v>
      </c>
      <c r="P118" s="389">
        <f t="shared" si="184"/>
        <v>0.68903225806451618</v>
      </c>
      <c r="Q118" s="393">
        <f t="shared" si="185"/>
        <v>3.1152573835645778E-2</v>
      </c>
      <c r="R118" s="393">
        <f t="shared" si="186"/>
        <v>1.9125413355708009E-2</v>
      </c>
      <c r="S118" s="389">
        <f t="shared" si="187"/>
        <v>0.62885754447488817</v>
      </c>
      <c r="T118" s="388">
        <f t="shared" si="188"/>
        <v>15.416501145912909</v>
      </c>
      <c r="U118" s="388">
        <f t="shared" si="189"/>
        <v>55.922702903225812</v>
      </c>
      <c r="V118" s="390">
        <f t="shared" si="190"/>
        <v>-0.72432482076928306</v>
      </c>
      <c r="W118" s="388">
        <f t="shared" si="191"/>
        <v>118.81741787624141</v>
      </c>
      <c r="X118" s="388">
        <f t="shared" si="192"/>
        <v>111.35225806451614</v>
      </c>
      <c r="Y118" s="389">
        <f t="shared" si="193"/>
        <v>6.7040937844296336E-2</v>
      </c>
      <c r="Z118" s="444">
        <f>Z107+Z111+Z112+Z115</f>
        <v>27844</v>
      </c>
      <c r="AA118" s="394">
        <f>AA107+AA111+AA112+AA115</f>
        <v>45033</v>
      </c>
      <c r="AB118" s="389">
        <f t="shared" si="194"/>
        <v>-0.38169786600937089</v>
      </c>
      <c r="AC118" s="444">
        <f>AC107+AC111+AC112+AC115</f>
        <v>745301</v>
      </c>
      <c r="AD118" s="392">
        <f>AD107+AD111+AD112+AD115</f>
        <v>2911144</v>
      </c>
      <c r="AE118" s="389">
        <f t="shared" si="195"/>
        <v>-0.74398346491963296</v>
      </c>
      <c r="AF118" s="393">
        <f t="shared" si="199"/>
        <v>3.7359402442771444E-2</v>
      </c>
      <c r="AG118" s="393">
        <f t="shared" si="200"/>
        <v>1.5469176378770683E-2</v>
      </c>
      <c r="AH118" s="389">
        <f>(AF118-AG118)/AG118</f>
        <v>1.4150867200688257</v>
      </c>
    </row>
    <row r="119" spans="1:34" x14ac:dyDescent="0.3">
      <c r="A119" s="359" t="s">
        <v>73</v>
      </c>
      <c r="B119" s="360" t="s">
        <v>1</v>
      </c>
      <c r="C119" s="360" t="s">
        <v>117</v>
      </c>
      <c r="D119" s="361" t="s">
        <v>24</v>
      </c>
      <c r="E119" s="360" t="s">
        <v>2</v>
      </c>
      <c r="F119" s="360" t="s">
        <v>99</v>
      </c>
      <c r="G119" s="361" t="s">
        <v>24</v>
      </c>
      <c r="H119" s="362" t="s">
        <v>3</v>
      </c>
      <c r="I119" s="362" t="s">
        <v>100</v>
      </c>
      <c r="J119" s="361" t="s">
        <v>24</v>
      </c>
      <c r="K119" s="362" t="s">
        <v>4</v>
      </c>
      <c r="L119" s="363" t="s">
        <v>101</v>
      </c>
      <c r="M119" s="361" t="s">
        <v>24</v>
      </c>
      <c r="N119" s="363" t="s">
        <v>5</v>
      </c>
      <c r="O119" s="363" t="s">
        <v>102</v>
      </c>
      <c r="P119" s="361" t="s">
        <v>24</v>
      </c>
      <c r="Q119" s="363" t="s">
        <v>109</v>
      </c>
      <c r="R119" s="363" t="s">
        <v>110</v>
      </c>
      <c r="S119" s="361" t="s">
        <v>24</v>
      </c>
      <c r="T119" s="364" t="s">
        <v>149</v>
      </c>
      <c r="U119" s="364" t="s">
        <v>150</v>
      </c>
      <c r="V119" s="361" t="s">
        <v>24</v>
      </c>
      <c r="W119" s="364" t="s">
        <v>6</v>
      </c>
      <c r="X119" s="364" t="s">
        <v>103</v>
      </c>
      <c r="Y119" s="361" t="s">
        <v>24</v>
      </c>
      <c r="Z119" s="446" t="s">
        <v>7</v>
      </c>
      <c r="AA119" s="363" t="s">
        <v>104</v>
      </c>
      <c r="AB119" s="361" t="s">
        <v>24</v>
      </c>
      <c r="AC119" s="442" t="s">
        <v>25</v>
      </c>
      <c r="AD119" s="365" t="s">
        <v>105</v>
      </c>
      <c r="AE119" s="361" t="s">
        <v>24</v>
      </c>
      <c r="AF119" s="366" t="s">
        <v>9</v>
      </c>
      <c r="AG119" s="366" t="s">
        <v>106</v>
      </c>
      <c r="AH119" s="361" t="s">
        <v>24</v>
      </c>
    </row>
    <row r="120" spans="1:34" s="367" customFormat="1" ht="20.100000000000001" customHeight="1" x14ac:dyDescent="0.3">
      <c r="A120" s="367" t="s">
        <v>10</v>
      </c>
      <c r="B120" s="368">
        <f>SUM(B121:B123)</f>
        <v>76720</v>
      </c>
      <c r="C120" s="368">
        <f>SUM(C121:C123)</f>
        <v>95238</v>
      </c>
      <c r="D120" s="369">
        <f t="shared" ref="D120:D131" si="201">(B120-C120)/C120</f>
        <v>-0.19443919443919444</v>
      </c>
      <c r="E120" s="368">
        <f>SUM(E121:E123)</f>
        <v>12897.28</v>
      </c>
      <c r="F120" s="368">
        <f>SUM(F121:F123)</f>
        <v>12056.14</v>
      </c>
      <c r="G120" s="369">
        <f t="shared" ref="G120:G131" si="202">(E120-F120)/F120</f>
        <v>6.976859923657168E-2</v>
      </c>
      <c r="H120" s="370">
        <f t="shared" ref="H120:H131" si="203">B120/E120</f>
        <v>5.9485410877332274</v>
      </c>
      <c r="I120" s="370">
        <f t="shared" ref="I120:I131" si="204">C120/F120</f>
        <v>7.8995433032463129</v>
      </c>
      <c r="J120" s="369">
        <f t="shared" ref="J120:J131" si="205">(H120-I120)/I120</f>
        <v>-0.24697658340721068</v>
      </c>
      <c r="K120" s="416">
        <f>SUM(K121:K123)</f>
        <v>41915</v>
      </c>
      <c r="L120" s="416">
        <f>SUM(L121:L123)</f>
        <v>27906</v>
      </c>
      <c r="M120" s="369">
        <f t="shared" ref="M120:M131" si="206">(K120-L120)/L120</f>
        <v>0.50200673690245823</v>
      </c>
      <c r="N120" s="416">
        <f>SUM(N121:N123)</f>
        <v>622</v>
      </c>
      <c r="O120" s="416">
        <f>SUM(O121:O123)</f>
        <v>652</v>
      </c>
      <c r="P120" s="369">
        <f t="shared" ref="P120:P131" si="207">(N120-O120)/O120</f>
        <v>-4.6012269938650305E-2</v>
      </c>
      <c r="Q120" s="372">
        <f t="shared" ref="Q120:Q131" si="208">N120/K120</f>
        <v>1.4839556244781105E-2</v>
      </c>
      <c r="R120" s="372">
        <f t="shared" ref="R120:R131" si="209">O120/L120</f>
        <v>2.3364151078621085E-2</v>
      </c>
      <c r="S120" s="369">
        <f t="shared" ref="S120:S131" si="210">(Q120-R120)/R120</f>
        <v>-0.36485788870113262</v>
      </c>
      <c r="T120" s="368">
        <f t="shared" ref="T120:T131" si="211">E120/N120</f>
        <v>20.735176848874598</v>
      </c>
      <c r="U120" s="368">
        <f t="shared" ref="U120:U131" si="212">F120/O120</f>
        <v>18.491012269938651</v>
      </c>
      <c r="V120" s="369">
        <f t="shared" ref="V120:V131" si="213">(T120-U120)/U120</f>
        <v>0.12136515546984672</v>
      </c>
      <c r="W120" s="368">
        <f t="shared" ref="W120:W131" si="214">B120/N120</f>
        <v>123.34405144694534</v>
      </c>
      <c r="X120" s="368">
        <f t="shared" ref="X120:X131" si="215">C120/O120</f>
        <v>146.07055214723925</v>
      </c>
      <c r="Y120" s="369">
        <f t="shared" ref="Y120:Y131" si="216">(W120-X120)/X120</f>
        <v>-0.15558577937999152</v>
      </c>
      <c r="Z120" s="420">
        <f>SUM(Z121:Z123)</f>
        <v>35787</v>
      </c>
      <c r="AA120" s="416">
        <f>SUM(AA121:AA123)</f>
        <v>23034</v>
      </c>
      <c r="AB120" s="369">
        <f t="shared" ref="AB120:AB131" si="217">(Z120-AA120)/AA120</f>
        <v>0.55365980724146913</v>
      </c>
      <c r="AC120" s="420">
        <f>SUM(AC121:AC123)</f>
        <v>1056012</v>
      </c>
      <c r="AD120" s="416">
        <f>SUM(AD121:AD123)</f>
        <v>152709</v>
      </c>
      <c r="AE120" s="369">
        <f t="shared" ref="AE120:AE131" si="218">(AC120-AD120)/AD120</f>
        <v>5.9151916389996657</v>
      </c>
      <c r="AF120" s="372">
        <f t="shared" ref="AF120:AF123" si="219">Z120/AC120</f>
        <v>3.388881944523358E-2</v>
      </c>
      <c r="AG120" s="372">
        <f t="shared" ref="AG120:AG123" si="220">AA120/AD120</f>
        <v>0.15083590358132135</v>
      </c>
      <c r="AH120" s="369">
        <f>(AF120-AG120)/AG120</f>
        <v>-0.77532657251618586</v>
      </c>
    </row>
    <row r="121" spans="1:34" outlineLevel="1" x14ac:dyDescent="0.3">
      <c r="A121" s="373" t="s">
        <v>29</v>
      </c>
      <c r="B121" s="374">
        <f>SUMIFS(Search!$E:$E,Search!$A:$A,"P10",Search!$D:$D,"Brand")</f>
        <v>69271</v>
      </c>
      <c r="C121" s="374">
        <f>SUMIFS(Search!$F:$F,Search!$A:$A,"P10",Search!$D:$D,"Brand")</f>
        <v>92742</v>
      </c>
      <c r="D121" s="369">
        <f t="shared" si="201"/>
        <v>-0.25307843264109031</v>
      </c>
      <c r="E121" s="374">
        <f>SUMIFS(Search!$I:$I,Search!$A:$A,"P10",Search!$D:$D,"Brand")</f>
        <v>3692.28</v>
      </c>
      <c r="F121" s="374">
        <f>SUMIFS(Search!$J:$J,Search!$A:$A,"P10",Search!$D:$D,"Brand")</f>
        <v>2588.0699999999997</v>
      </c>
      <c r="G121" s="375">
        <f t="shared" si="202"/>
        <v>0.42665383857469102</v>
      </c>
      <c r="H121" s="376">
        <f t="shared" si="203"/>
        <v>18.761036541107391</v>
      </c>
      <c r="I121" s="376">
        <f t="shared" si="204"/>
        <v>35.834424880316227</v>
      </c>
      <c r="J121" s="375">
        <f t="shared" si="205"/>
        <v>-0.47645213774833628</v>
      </c>
      <c r="K121" s="417">
        <f>SUMIFS(Search!$Q:$Q,Search!$A:$A,"P10",Search!$D:$D,"Brand")</f>
        <v>20225</v>
      </c>
      <c r="L121" s="417">
        <f>SUMIFS(Search!$R:$R,Search!$A:$A,"P10",Search!$D:$D,"Brand")</f>
        <v>18240</v>
      </c>
      <c r="M121" s="375">
        <f t="shared" si="206"/>
        <v>0.10882675438596491</v>
      </c>
      <c r="N121" s="417">
        <f>SUMIFS(Search!$U:$U,Search!$A:$A,"P10",Search!$D:$D,"Brand")</f>
        <v>542</v>
      </c>
      <c r="O121" s="417">
        <f>SUMIFS(Search!$V:$V,Search!$A:$A,"P10",Search!$D:$D,"Brand")</f>
        <v>621</v>
      </c>
      <c r="P121" s="378">
        <f t="shared" si="207"/>
        <v>-0.12721417069243157</v>
      </c>
      <c r="Q121" s="379">
        <f t="shared" si="208"/>
        <v>2.6798516687268233E-2</v>
      </c>
      <c r="R121" s="379">
        <f t="shared" si="209"/>
        <v>3.4046052631578949E-2</v>
      </c>
      <c r="S121" s="378">
        <f t="shared" si="210"/>
        <v>-0.21287448570729059</v>
      </c>
      <c r="T121" s="374">
        <f t="shared" si="211"/>
        <v>6.812324723247233</v>
      </c>
      <c r="U121" s="374">
        <f t="shared" si="212"/>
        <v>4.1675845410628014</v>
      </c>
      <c r="V121" s="375">
        <f t="shared" si="213"/>
        <v>0.63459784825624199</v>
      </c>
      <c r="W121" s="374">
        <f t="shared" si="214"/>
        <v>127.80627306273063</v>
      </c>
      <c r="X121" s="374">
        <f t="shared" si="215"/>
        <v>149.34299516908212</v>
      </c>
      <c r="Y121" s="378">
        <f t="shared" si="216"/>
        <v>-0.14420979090427505</v>
      </c>
      <c r="Z121" s="419">
        <f>SUMIFS(Search!$AG:$AG,Search!$A:$A,"P10",Search!$D:$D,"Brand")</f>
        <v>14056</v>
      </c>
      <c r="AA121" s="417">
        <f>SUMIFS(Search!$AH:$AH,Search!$A:$A,"P10",Search!$D:$D,"Brand")</f>
        <v>14013</v>
      </c>
      <c r="AB121" s="378">
        <f t="shared" si="217"/>
        <v>3.0685791764789839E-3</v>
      </c>
      <c r="AC121" s="419">
        <f>SUMIFS(Search!$AK:$AK,Search!$A:$A,"P10",Search!$D:$D,"Brand")</f>
        <v>39273</v>
      </c>
      <c r="AD121" s="417">
        <f>SUMIFS(Search!$AL:$AL,Search!$A:$A,"P10",Search!$D:$D,"Brand")</f>
        <v>35155</v>
      </c>
      <c r="AE121" s="378">
        <f t="shared" si="218"/>
        <v>0.11713838714265395</v>
      </c>
      <c r="AF121" s="379">
        <f t="shared" si="219"/>
        <v>0.35790492195656048</v>
      </c>
      <c r="AG121" s="379">
        <f t="shared" si="220"/>
        <v>0.39860617266391696</v>
      </c>
      <c r="AH121" s="378">
        <f>(AF121-AG121)/AG121</f>
        <v>-0.10210893232121007</v>
      </c>
    </row>
    <row r="122" spans="1:34" outlineLevel="1" x14ac:dyDescent="0.3">
      <c r="A122" s="373" t="s">
        <v>30</v>
      </c>
      <c r="B122" s="374">
        <f>SUMIFS(Search!$E:$E,Search!$A:$A,"P10",Search!$D:$D,"Non-Brand")</f>
        <v>817</v>
      </c>
      <c r="C122" s="374">
        <f>SUMIFS(Search!$F:$F,Search!$A:$A,"P10",Search!$D:$D,"Non-Brand")</f>
        <v>2496</v>
      </c>
      <c r="D122" s="369">
        <f t="shared" si="201"/>
        <v>-0.67267628205128205</v>
      </c>
      <c r="E122" s="374">
        <f>SUMIFS(Search!$I:$I,Search!$A:$A,"P10",Search!$D:$D,"Non-Brand")</f>
        <v>3319.84</v>
      </c>
      <c r="F122" s="374">
        <f>SUMIFS(Search!$J:$J,Search!$A:$A,"P10",Search!$D:$D,"Non-Brand")</f>
        <v>9468.07</v>
      </c>
      <c r="G122" s="375">
        <f t="shared" si="202"/>
        <v>-0.64936465404248167</v>
      </c>
      <c r="H122" s="376">
        <f t="shared" si="203"/>
        <v>0.24609619740710395</v>
      </c>
      <c r="I122" s="376">
        <f t="shared" si="204"/>
        <v>0.26362289252191839</v>
      </c>
      <c r="J122" s="375">
        <f t="shared" si="205"/>
        <v>-6.6483964830016506E-2</v>
      </c>
      <c r="K122" s="417">
        <f>SUMIFS(Search!$Q:$Q,Search!$A:$A,"P10",Search!$D:$D,"Non-Brand")</f>
        <v>2430</v>
      </c>
      <c r="L122" s="417">
        <f>SUMIFS(Search!$R:$R,Search!$A:$A,"P10",Search!$D:$D,"Non-Brand")</f>
        <v>9666</v>
      </c>
      <c r="M122" s="375">
        <f t="shared" si="206"/>
        <v>-0.74860335195530725</v>
      </c>
      <c r="N122" s="417">
        <f>SUMIFS(Search!$U:$U,Search!$A:$A,"P10",Search!$D:$D,"Non-Brand")</f>
        <v>8</v>
      </c>
      <c r="O122" s="417">
        <f>SUMIFS(Search!$V:$V,Search!$A:$A,"P10",Search!$D:$D,"Non-Brand")</f>
        <v>31</v>
      </c>
      <c r="P122" s="378">
        <f t="shared" si="207"/>
        <v>-0.74193548387096775</v>
      </c>
      <c r="Q122" s="379">
        <f t="shared" si="208"/>
        <v>3.2921810699588477E-3</v>
      </c>
      <c r="R122" s="379">
        <f t="shared" si="209"/>
        <v>3.2071177322573969E-3</v>
      </c>
      <c r="S122" s="378">
        <f t="shared" si="210"/>
        <v>2.6523297491039471E-2</v>
      </c>
      <c r="T122" s="374">
        <f t="shared" si="211"/>
        <v>414.98</v>
      </c>
      <c r="U122" s="374">
        <f t="shared" si="212"/>
        <v>305.42161290322582</v>
      </c>
      <c r="V122" s="375">
        <f t="shared" si="213"/>
        <v>0.35871196558538326</v>
      </c>
      <c r="W122" s="374">
        <f t="shared" si="214"/>
        <v>102.125</v>
      </c>
      <c r="X122" s="374">
        <f t="shared" si="215"/>
        <v>80.516129032258064</v>
      </c>
      <c r="Y122" s="378">
        <f t="shared" si="216"/>
        <v>0.26837940705128205</v>
      </c>
      <c r="Z122" s="419">
        <f>SUMIFS(Search!$AG:$AG,Search!$A:$A,"P10",Search!$D:$D,"Non-Brand")</f>
        <v>2203</v>
      </c>
      <c r="AA122" s="417">
        <f>SUMIFS(Search!$AH:$AH,Search!$A:$A,"P10",Search!$D:$D,"Non-Brand")</f>
        <v>9021</v>
      </c>
      <c r="AB122" s="378">
        <f t="shared" si="217"/>
        <v>-0.75579204079370355</v>
      </c>
      <c r="AC122" s="419">
        <f>SUMIFS(Search!$AK:$AK,Search!$A:$A,"P10",Search!$D:$D,"Non-Brand")</f>
        <v>31687</v>
      </c>
      <c r="AD122" s="417">
        <f>SUMIFS(Search!$AL:$AL,Search!$A:$A,"P10",Search!$D:$D,"Non-Brand")</f>
        <v>117554</v>
      </c>
      <c r="AE122" s="378">
        <f t="shared" si="218"/>
        <v>-0.73044728380148694</v>
      </c>
      <c r="AF122" s="379">
        <f t="shared" si="219"/>
        <v>6.9523779467920599E-2</v>
      </c>
      <c r="AG122" s="379">
        <f t="shared" si="220"/>
        <v>7.6739200707759844E-2</v>
      </c>
      <c r="AH122" s="378">
        <f>(AF122-AG122)/AG122</f>
        <v>-9.4025233170165451E-2</v>
      </c>
    </row>
    <row r="123" spans="1:34" outlineLevel="1" x14ac:dyDescent="0.3">
      <c r="A123" s="373" t="s">
        <v>228</v>
      </c>
      <c r="B123" s="374">
        <f>SUMIFS(Search!$E:$E,Search!$A:$A,"P10",Search!$D:$D,"Shopping Campaigns")</f>
        <v>6632</v>
      </c>
      <c r="C123" s="374">
        <f>SUMIFS(Search!$F:$F,Search!$A:$A,"P10",Search!$D:$D,"Shopping Campaigns")</f>
        <v>0</v>
      </c>
      <c r="D123" s="369" t="e">
        <f t="shared" si="201"/>
        <v>#DIV/0!</v>
      </c>
      <c r="E123" s="374">
        <f>SUMIFS(Search!$I:$I,Search!$A:$A,"P10",Search!$D:$D,"Shopping Campaigns")</f>
        <v>5885.16</v>
      </c>
      <c r="F123" s="374">
        <f>SUMIFS(Search!$J:$J,Search!$A:$A,"P10",Search!$D:$D,"Shopping Campaigns")</f>
        <v>0</v>
      </c>
      <c r="G123" s="375" t="e">
        <f t="shared" si="202"/>
        <v>#DIV/0!</v>
      </c>
      <c r="H123" s="376">
        <f t="shared" si="203"/>
        <v>1.1269022422499984</v>
      </c>
      <c r="I123" s="376" t="e">
        <f t="shared" si="204"/>
        <v>#DIV/0!</v>
      </c>
      <c r="J123" s="375" t="e">
        <f t="shared" si="205"/>
        <v>#DIV/0!</v>
      </c>
      <c r="K123" s="417">
        <f>SUMIFS(Search!$Q:$Q,Search!$A:$A,"P10",Search!$D:$D,"Shopping Campaigns")</f>
        <v>19260</v>
      </c>
      <c r="L123" s="417">
        <f>SUMIFS(Search!$R:$R,Search!$A:$A,"P10",Search!$D:$D,"Shopping Campaigns")</f>
        <v>0</v>
      </c>
      <c r="M123" s="375" t="e">
        <f t="shared" si="206"/>
        <v>#DIV/0!</v>
      </c>
      <c r="N123" s="417">
        <f>SUMIFS(Search!$U:$U,Search!$A:$A,"P10",Search!$D:$D,"Shopping Campaigns")</f>
        <v>72</v>
      </c>
      <c r="O123" s="417">
        <f>SUMIFS(Search!$V:$V,Search!$A:$A,"P10",Search!$D:$D,"Shopping Campaigns")</f>
        <v>0</v>
      </c>
      <c r="P123" s="378" t="e">
        <f t="shared" si="207"/>
        <v>#DIV/0!</v>
      </c>
      <c r="Q123" s="379">
        <f t="shared" si="208"/>
        <v>3.7383177570093459E-3</v>
      </c>
      <c r="R123" s="379" t="e">
        <f t="shared" si="209"/>
        <v>#DIV/0!</v>
      </c>
      <c r="S123" s="378" t="e">
        <f t="shared" si="210"/>
        <v>#DIV/0!</v>
      </c>
      <c r="T123" s="374">
        <f t="shared" si="211"/>
        <v>81.73833333333333</v>
      </c>
      <c r="U123" s="374" t="e">
        <f t="shared" si="212"/>
        <v>#DIV/0!</v>
      </c>
      <c r="V123" s="375" t="e">
        <f t="shared" si="213"/>
        <v>#DIV/0!</v>
      </c>
      <c r="W123" s="374">
        <f t="shared" si="214"/>
        <v>92.111111111111114</v>
      </c>
      <c r="X123" s="374" t="e">
        <f t="shared" si="215"/>
        <v>#DIV/0!</v>
      </c>
      <c r="Y123" s="378" t="e">
        <f t="shared" si="216"/>
        <v>#DIV/0!</v>
      </c>
      <c r="Z123" s="419">
        <f>SUMIFS(Search!$AG:$AG,Search!$A:$A,"P10",Search!$D:$D,"Shopping Campaigns")</f>
        <v>19528</v>
      </c>
      <c r="AA123" s="417">
        <f>SUMIFS(Search!$AH:$AH,Search!$A:$A,"P10",Search!$D:$D,"Shopping Campaigns")</f>
        <v>0</v>
      </c>
      <c r="AB123" s="378" t="e">
        <f t="shared" si="217"/>
        <v>#DIV/0!</v>
      </c>
      <c r="AC123" s="419">
        <f>SUMIFS(Search!$AK:$AK,Search!$A:$A,"P10",Search!$D:$D,"Shopping Campaigns")</f>
        <v>985052</v>
      </c>
      <c r="AD123" s="417">
        <f>SUMIFS(Search!$AL:$AL,Search!$A:$A,"P10",Search!$D:$D,"Shopping Campaigns")</f>
        <v>0</v>
      </c>
      <c r="AE123" s="378" t="e">
        <f t="shared" si="218"/>
        <v>#DIV/0!</v>
      </c>
      <c r="AF123" s="379">
        <f t="shared" si="219"/>
        <v>1.9824334146826765E-2</v>
      </c>
      <c r="AG123" s="379" t="e">
        <f t="shared" si="220"/>
        <v>#DIV/0!</v>
      </c>
      <c r="AH123" s="378" t="e">
        <f t="shared" ref="AH123:AH130" si="221">(AF123-AG123)/AG123</f>
        <v>#DIV/0!</v>
      </c>
    </row>
    <row r="124" spans="1:34" s="367" customFormat="1" ht="21" customHeight="1" x14ac:dyDescent="0.3">
      <c r="A124" s="380" t="s">
        <v>13</v>
      </c>
      <c r="B124" s="368">
        <f>SUMIFS(Affiliate!D:D,Affiliate!$A:$A,"P10")</f>
        <v>153096</v>
      </c>
      <c r="C124" s="368">
        <f>SUMIFS(Affiliate!E:E,Affiliate!$A:$A,"P10")</f>
        <v>189714</v>
      </c>
      <c r="D124" s="369">
        <f t="shared" si="201"/>
        <v>-0.19301685695309781</v>
      </c>
      <c r="E124" s="368">
        <f>SUMIFS(Affiliate!H:H,Affiliate!$A:$A,"P10")</f>
        <v>10962.64</v>
      </c>
      <c r="F124" s="368">
        <f>SUMIFS(Affiliate!I:I,Affiliate!$A:$A,"P10")</f>
        <v>32011.15</v>
      </c>
      <c r="G124" s="369">
        <f t="shared" si="202"/>
        <v>-0.65753682701183813</v>
      </c>
      <c r="H124" s="370">
        <f t="shared" si="203"/>
        <v>13.965249246531858</v>
      </c>
      <c r="I124" s="370">
        <f t="shared" si="204"/>
        <v>5.9264974860322104</v>
      </c>
      <c r="J124" s="369">
        <f t="shared" si="205"/>
        <v>1.3564085329396791</v>
      </c>
      <c r="K124" s="416">
        <f>SUMIFS(Affiliate!$AF:$AF,Affiliate!$A:$A,"P10")</f>
        <v>12068</v>
      </c>
      <c r="L124" s="416">
        <f>SUMIFS(Affiliate!$AG:$AG,Affiliate!$A:$A,"P10")</f>
        <v>14457</v>
      </c>
      <c r="M124" s="369">
        <f t="shared" si="206"/>
        <v>-0.16524866846510342</v>
      </c>
      <c r="N124" s="416">
        <f>SUMIFS(Affiliate!$AJ:$AJ,Affiliate!$A:$A,"P10")</f>
        <v>1122</v>
      </c>
      <c r="O124" s="416">
        <f>SUMIFS(Affiliate!$AK:$AK,Affiliate!$A:$A,"P10")</f>
        <v>1097</v>
      </c>
      <c r="P124" s="381">
        <f t="shared" si="207"/>
        <v>2.2789425706472195E-2</v>
      </c>
      <c r="Q124" s="382">
        <f t="shared" si="208"/>
        <v>9.2973152137885318E-2</v>
      </c>
      <c r="R124" s="382">
        <f t="shared" si="209"/>
        <v>7.58801964446289E-2</v>
      </c>
      <c r="S124" s="381">
        <f t="shared" si="210"/>
        <v>0.22526240698031724</v>
      </c>
      <c r="T124" s="383">
        <f t="shared" si="211"/>
        <v>9.7706238859180026</v>
      </c>
      <c r="U124" s="383">
        <f t="shared" si="212"/>
        <v>29.1806289881495</v>
      </c>
      <c r="V124" s="369">
        <f t="shared" si="213"/>
        <v>-0.66516746812119998</v>
      </c>
      <c r="W124" s="383">
        <f t="shared" si="214"/>
        <v>136.44919786096256</v>
      </c>
      <c r="X124" s="383">
        <f t="shared" si="215"/>
        <v>172.93892433910665</v>
      </c>
      <c r="Y124" s="381">
        <f t="shared" si="216"/>
        <v>-0.21099776477499854</v>
      </c>
      <c r="Z124" s="443"/>
      <c r="AA124" s="384"/>
      <c r="AB124" s="381" t="e">
        <f t="shared" si="217"/>
        <v>#DIV/0!</v>
      </c>
      <c r="AC124" s="443"/>
      <c r="AD124" s="384"/>
      <c r="AE124" s="381" t="e">
        <f t="shared" si="218"/>
        <v>#DIV/0!</v>
      </c>
      <c r="AF124" s="385"/>
      <c r="AG124" s="385"/>
      <c r="AH124" s="381" t="e">
        <f t="shared" si="221"/>
        <v>#DIV/0!</v>
      </c>
    </row>
    <row r="125" spans="1:34" s="367" customFormat="1" ht="20.100000000000001" customHeight="1" x14ac:dyDescent="0.3">
      <c r="A125" s="367" t="s">
        <v>14</v>
      </c>
      <c r="B125" s="368">
        <f>SUM(B126:B127)</f>
        <v>3282</v>
      </c>
      <c r="C125" s="368">
        <f>SUM(C126:C127)</f>
        <v>3617</v>
      </c>
      <c r="D125" s="369">
        <f t="shared" si="201"/>
        <v>-9.2618191871716896E-2</v>
      </c>
      <c r="E125" s="368">
        <f>SUM(E126:E127)</f>
        <v>9970.3688000000002</v>
      </c>
      <c r="F125" s="368">
        <f>SUM(F126:F127)</f>
        <v>17425.967999999997</v>
      </c>
      <c r="G125" s="369">
        <f t="shared" si="202"/>
        <v>-0.42784419207013341</v>
      </c>
      <c r="H125" s="370">
        <f t="shared" si="203"/>
        <v>0.32917538617026881</v>
      </c>
      <c r="I125" s="370">
        <f t="shared" si="204"/>
        <v>0.2075637921520343</v>
      </c>
      <c r="J125" s="369">
        <f t="shared" si="205"/>
        <v>0.58589984677654006</v>
      </c>
      <c r="K125" s="416">
        <f>SUM(K126:K127)</f>
        <v>4938</v>
      </c>
      <c r="L125" s="416">
        <f>SUM(L126:L127)</f>
        <v>7275</v>
      </c>
      <c r="M125" s="369">
        <f t="shared" si="206"/>
        <v>-0.32123711340206185</v>
      </c>
      <c r="N125" s="416">
        <f>SUM(N126:N127)</f>
        <v>24</v>
      </c>
      <c r="O125" s="416">
        <f>SUM(O126:O127)</f>
        <v>44</v>
      </c>
      <c r="P125" s="381">
        <f t="shared" si="207"/>
        <v>-0.45454545454545453</v>
      </c>
      <c r="Q125" s="382">
        <f t="shared" si="208"/>
        <v>4.8602673147023082E-3</v>
      </c>
      <c r="R125" s="382">
        <f t="shared" si="209"/>
        <v>6.0481099656357392E-3</v>
      </c>
      <c r="S125" s="381">
        <f t="shared" si="210"/>
        <v>-0.19639898376228887</v>
      </c>
      <c r="T125" s="383">
        <f t="shared" si="211"/>
        <v>415.43203333333332</v>
      </c>
      <c r="U125" s="383">
        <f t="shared" si="212"/>
        <v>396.04472727272719</v>
      </c>
      <c r="V125" s="369">
        <f t="shared" si="213"/>
        <v>4.8952314538088799E-2</v>
      </c>
      <c r="W125" s="383">
        <f t="shared" si="214"/>
        <v>136.75</v>
      </c>
      <c r="X125" s="383">
        <f t="shared" si="215"/>
        <v>82.204545454545453</v>
      </c>
      <c r="Y125" s="381">
        <f t="shared" si="216"/>
        <v>0.66353331490185241</v>
      </c>
      <c r="Z125" s="420">
        <f>SUM(Z126:Z127)</f>
        <v>19904</v>
      </c>
      <c r="AA125" s="416">
        <f>SUM(AA126:AA127)</f>
        <v>15156</v>
      </c>
      <c r="AB125" s="381">
        <f t="shared" si="217"/>
        <v>0.3132752705199261</v>
      </c>
      <c r="AC125" s="420">
        <f>SUM(AC126:AC127)</f>
        <v>964103</v>
      </c>
      <c r="AD125" s="416">
        <f>SUM(AD126:AD127)</f>
        <v>2340823</v>
      </c>
      <c r="AE125" s="381">
        <f t="shared" si="218"/>
        <v>-0.58813502772315551</v>
      </c>
      <c r="AF125" s="382">
        <f t="shared" ref="AF125:AF131" si="222">Z125/AC125</f>
        <v>2.0645097048759314E-2</v>
      </c>
      <c r="AG125" s="382">
        <f t="shared" ref="AG125:AG131" si="223">AA125/AD125</f>
        <v>6.4746458830932541E-3</v>
      </c>
      <c r="AH125" s="381">
        <f t="shared" si="221"/>
        <v>2.1886063611089948</v>
      </c>
    </row>
    <row r="126" spans="1:34" outlineLevel="1" x14ac:dyDescent="0.3">
      <c r="A126" s="373" t="s">
        <v>285</v>
      </c>
      <c r="B126" s="374">
        <f>SUMIFS('Social - Promos'!$E:$E,'Social - Promos'!$A:$A,"p10")</f>
        <v>3282</v>
      </c>
      <c r="C126" s="374">
        <f>SUMIFS('Social - Promos'!$F:$F,'Social - Promos'!$A:$A,"P10")</f>
        <v>3617</v>
      </c>
      <c r="D126" s="369">
        <f t="shared" si="201"/>
        <v>-9.2618191871716896E-2</v>
      </c>
      <c r="E126" s="374">
        <f>SUMIFS('Social - Promos'!$K:$K,'Social - Promos'!$A:$A,"P10")</f>
        <v>9970.3688000000002</v>
      </c>
      <c r="F126" s="374">
        <f>SUMIFS('Social - Promos'!$L:$L,'Social - Promos'!$A:$A,"p10")</f>
        <v>17425.967999999997</v>
      </c>
      <c r="G126" s="375">
        <f t="shared" si="202"/>
        <v>-0.42784419207013341</v>
      </c>
      <c r="H126" s="386">
        <f t="shared" si="203"/>
        <v>0.32917538617026881</v>
      </c>
      <c r="I126" s="386">
        <f t="shared" si="204"/>
        <v>0.2075637921520343</v>
      </c>
      <c r="J126" s="375">
        <f t="shared" si="205"/>
        <v>0.58589984677654006</v>
      </c>
      <c r="K126" s="417">
        <f>SUMIFS('Social - Promos'!$T:$T,'Social - Promos'!$A:$A,"p10")</f>
        <v>4938</v>
      </c>
      <c r="L126" s="417">
        <f>SUMIFS('Social - Promos'!$U:$U,'Social - Promos'!$A:$A,"p10")</f>
        <v>7275</v>
      </c>
      <c r="M126" s="375">
        <f t="shared" si="206"/>
        <v>-0.32123711340206185</v>
      </c>
      <c r="N126" s="417">
        <f>SUMIFS('Social - Promos'!$W:$W,'Social - Promos'!$A:$A,"p10")</f>
        <v>24</v>
      </c>
      <c r="O126" s="417">
        <f>SUMIFS('Social - Promos'!$X:$X,'Social - Promos'!$A:$A,"p10")</f>
        <v>44</v>
      </c>
      <c r="P126" s="378">
        <f t="shared" si="207"/>
        <v>-0.45454545454545453</v>
      </c>
      <c r="Q126" s="379">
        <f t="shared" si="208"/>
        <v>4.8602673147023082E-3</v>
      </c>
      <c r="R126" s="379">
        <f t="shared" si="209"/>
        <v>6.0481099656357392E-3</v>
      </c>
      <c r="S126" s="378">
        <f t="shared" si="210"/>
        <v>-0.19639898376228887</v>
      </c>
      <c r="T126" s="374">
        <f t="shared" si="211"/>
        <v>415.43203333333332</v>
      </c>
      <c r="U126" s="374">
        <f t="shared" si="212"/>
        <v>396.04472727272719</v>
      </c>
      <c r="V126" s="375">
        <f t="shared" si="213"/>
        <v>4.8952314538088799E-2</v>
      </c>
      <c r="W126" s="374">
        <f t="shared" si="214"/>
        <v>136.75</v>
      </c>
      <c r="X126" s="374">
        <f t="shared" si="215"/>
        <v>82.204545454545453</v>
      </c>
      <c r="Y126" s="378">
        <f t="shared" si="216"/>
        <v>0.66353331490185241</v>
      </c>
      <c r="Z126" s="419">
        <f>SUMIFS('Social - Promos'!$AF:$AF,'Social - Promos'!$A:$A,"p10")</f>
        <v>19904</v>
      </c>
      <c r="AA126" s="417">
        <f>SUMIFS('Social - Promos'!$AG:$AG,'Social - Promos'!$A:$A,"p10")</f>
        <v>15156</v>
      </c>
      <c r="AB126" s="378">
        <f t="shared" si="217"/>
        <v>0.3132752705199261</v>
      </c>
      <c r="AC126" s="419">
        <f>SUMIFS('Social - Promos'!$AI:$AI,'Social - Promos'!$A:$A,"p10")</f>
        <v>964103</v>
      </c>
      <c r="AD126" s="417">
        <f>SUMIFS('Social - Promos'!$AJ:$AJ,'Social - Promos'!$A:$A,"p10")</f>
        <v>2340823</v>
      </c>
      <c r="AE126" s="378">
        <f t="shared" si="218"/>
        <v>-0.58813502772315551</v>
      </c>
      <c r="AF126" s="379">
        <f t="shared" si="222"/>
        <v>2.0645097048759314E-2</v>
      </c>
      <c r="AG126" s="379">
        <f t="shared" si="223"/>
        <v>6.4746458830932541E-3</v>
      </c>
      <c r="AH126" s="378">
        <f t="shared" si="221"/>
        <v>2.1886063611089948</v>
      </c>
    </row>
    <row r="127" spans="1:34" outlineLevel="1" x14ac:dyDescent="0.3">
      <c r="A127" s="373" t="s">
        <v>286</v>
      </c>
      <c r="B127" s="374">
        <f>SUMIFS('Social - Remarketing'!$D:$D,'Social - Remarketing'!$A:$A,"P10")</f>
        <v>0</v>
      </c>
      <c r="C127" s="374">
        <f>SUMIFS('Social - Remarketing'!$E:$E,'Social - Remarketing'!$A:$A,"P10")</f>
        <v>0</v>
      </c>
      <c r="D127" s="369" t="e">
        <f t="shared" si="201"/>
        <v>#DIV/0!</v>
      </c>
      <c r="E127" s="374">
        <f>SUMIFS('Social - Remarketing'!$H:$H,'Social - Remarketing'!$A:$A,"P10")</f>
        <v>0</v>
      </c>
      <c r="F127" s="374">
        <f>SUMIFS('Social - Remarketing'!$I:$I,'Social - Remarketing'!$A:$A,"P10")</f>
        <v>0</v>
      </c>
      <c r="G127" s="369" t="e">
        <f t="shared" si="202"/>
        <v>#DIV/0!</v>
      </c>
      <c r="H127" s="386" t="e">
        <f t="shared" si="203"/>
        <v>#DIV/0!</v>
      </c>
      <c r="I127" s="386" t="e">
        <f t="shared" si="204"/>
        <v>#DIV/0!</v>
      </c>
      <c r="J127" s="369" t="e">
        <f t="shared" si="205"/>
        <v>#DIV/0!</v>
      </c>
      <c r="K127" s="417">
        <f>SUMIFS('Social - Remarketing'!$X:$X,'Social - Remarketing'!$A:$A,"P10")</f>
        <v>0</v>
      </c>
      <c r="L127" s="417">
        <f>SUMIFS('Social - Remarketing'!$Y:$Y,'Social - Remarketing'!$A:$A,"P10")</f>
        <v>0</v>
      </c>
      <c r="M127" s="375" t="e">
        <f t="shared" si="206"/>
        <v>#DIV/0!</v>
      </c>
      <c r="N127" s="417">
        <f>SUMIFS('Social - Remarketing'!$AB:$AB,'Social - Remarketing'!$A:$A,"P10")</f>
        <v>0</v>
      </c>
      <c r="O127" s="417">
        <f>SUMIFS('Social - Remarketing'!$AC:$AC,'Social - Remarketing'!$A:$A,"P10")</f>
        <v>0</v>
      </c>
      <c r="P127" s="378" t="e">
        <f t="shared" si="207"/>
        <v>#DIV/0!</v>
      </c>
      <c r="Q127" s="379" t="e">
        <f t="shared" si="208"/>
        <v>#DIV/0!</v>
      </c>
      <c r="R127" s="379" t="e">
        <f t="shared" si="209"/>
        <v>#DIV/0!</v>
      </c>
      <c r="S127" s="378" t="e">
        <f t="shared" si="210"/>
        <v>#DIV/0!</v>
      </c>
      <c r="T127" s="374" t="e">
        <f t="shared" si="211"/>
        <v>#DIV/0!</v>
      </c>
      <c r="U127" s="374" t="e">
        <f t="shared" si="212"/>
        <v>#DIV/0!</v>
      </c>
      <c r="V127" s="375" t="e">
        <f t="shared" si="213"/>
        <v>#DIV/0!</v>
      </c>
      <c r="W127" s="374" t="e">
        <f t="shared" si="214"/>
        <v>#DIV/0!</v>
      </c>
      <c r="X127" s="374" t="e">
        <f t="shared" si="215"/>
        <v>#DIV/0!</v>
      </c>
      <c r="Y127" s="378" t="e">
        <f t="shared" si="216"/>
        <v>#DIV/0!</v>
      </c>
      <c r="Z127" s="419">
        <f>SUMIFS('Social - Remarketing'!$AN:$AN,'Social - Remarketing'!$A:$A,"P10")</f>
        <v>0</v>
      </c>
      <c r="AA127" s="417">
        <f>SUMIFS('Social - Remarketing'!$AO:$AO,'Social - Remarketing'!$A:$A,"P10")</f>
        <v>0</v>
      </c>
      <c r="AB127" s="378" t="e">
        <f t="shared" si="217"/>
        <v>#DIV/0!</v>
      </c>
      <c r="AC127" s="419">
        <f>SUMIFS('Social - Remarketing'!$AR:$AR,'Social - Remarketing'!$A:$A,"P10")</f>
        <v>0</v>
      </c>
      <c r="AD127" s="417">
        <f>SUMIFS('Social - Remarketing'!$AS:$AS,'Social - Remarketing'!$A:$A,"P10")</f>
        <v>0</v>
      </c>
      <c r="AE127" s="378" t="e">
        <f t="shared" si="218"/>
        <v>#DIV/0!</v>
      </c>
      <c r="AF127" s="379" t="e">
        <f t="shared" si="222"/>
        <v>#DIV/0!</v>
      </c>
      <c r="AG127" s="379" t="e">
        <f t="shared" si="223"/>
        <v>#DIV/0!</v>
      </c>
      <c r="AH127" s="378" t="e">
        <f t="shared" si="221"/>
        <v>#DIV/0!</v>
      </c>
    </row>
    <row r="128" spans="1:34" s="367" customFormat="1" ht="21" customHeight="1" x14ac:dyDescent="0.3">
      <c r="A128" s="367" t="s">
        <v>15</v>
      </c>
      <c r="B128" s="368">
        <f>SUM(B129:B130)</f>
        <v>0</v>
      </c>
      <c r="C128" s="368">
        <f>SUM(C129:C130)</f>
        <v>180</v>
      </c>
      <c r="D128" s="369">
        <f t="shared" si="201"/>
        <v>-1</v>
      </c>
      <c r="E128" s="368">
        <f>SUM(E129:E130)</f>
        <v>0</v>
      </c>
      <c r="F128" s="368">
        <f>SUM(F129:F130)</f>
        <v>7391.29</v>
      </c>
      <c r="G128" s="369">
        <f t="shared" si="202"/>
        <v>-1</v>
      </c>
      <c r="H128" s="370" t="e">
        <f t="shared" si="203"/>
        <v>#DIV/0!</v>
      </c>
      <c r="I128" s="370">
        <f t="shared" si="204"/>
        <v>2.4352988449918758E-2</v>
      </c>
      <c r="J128" s="369" t="e">
        <f t="shared" si="205"/>
        <v>#DIV/0!</v>
      </c>
      <c r="K128" s="416">
        <f>SUM(K129:K130)</f>
        <v>2</v>
      </c>
      <c r="L128" s="416">
        <f>SUM(L129:L130)</f>
        <v>4050</v>
      </c>
      <c r="M128" s="369">
        <f t="shared" si="206"/>
        <v>-0.99950617283950616</v>
      </c>
      <c r="N128" s="416">
        <f>SUM(N129:N130)</f>
        <v>0</v>
      </c>
      <c r="O128" s="416">
        <f>SUM(O129:O130)</f>
        <v>1</v>
      </c>
      <c r="P128" s="381">
        <f t="shared" si="207"/>
        <v>-1</v>
      </c>
      <c r="Q128" s="382">
        <f t="shared" si="208"/>
        <v>0</v>
      </c>
      <c r="R128" s="382">
        <f t="shared" si="209"/>
        <v>2.4691358024691359E-4</v>
      </c>
      <c r="S128" s="381">
        <f t="shared" si="210"/>
        <v>-1</v>
      </c>
      <c r="T128" s="383" t="e">
        <f t="shared" si="211"/>
        <v>#DIV/0!</v>
      </c>
      <c r="U128" s="383">
        <f t="shared" si="212"/>
        <v>7391.29</v>
      </c>
      <c r="V128" s="369" t="e">
        <f t="shared" si="213"/>
        <v>#DIV/0!</v>
      </c>
      <c r="W128" s="383" t="e">
        <f t="shared" si="214"/>
        <v>#DIV/0!</v>
      </c>
      <c r="X128" s="383">
        <f t="shared" si="215"/>
        <v>180</v>
      </c>
      <c r="Y128" s="381" t="e">
        <f t="shared" si="216"/>
        <v>#DIV/0!</v>
      </c>
      <c r="Z128" s="420">
        <f>SUM(Z129:Z130)</f>
        <v>0</v>
      </c>
      <c r="AA128" s="416">
        <f>SUM(AA129:AA130)</f>
        <v>6145</v>
      </c>
      <c r="AB128" s="381">
        <f t="shared" si="217"/>
        <v>-1</v>
      </c>
      <c r="AC128" s="420">
        <f>SUM(AC129:AC130)</f>
        <v>0</v>
      </c>
      <c r="AD128" s="416">
        <f>SUM(AD129:AD130)</f>
        <v>1758745</v>
      </c>
      <c r="AE128" s="381">
        <f t="shared" si="218"/>
        <v>-1</v>
      </c>
      <c r="AF128" s="382" t="e">
        <f t="shared" si="222"/>
        <v>#DIV/0!</v>
      </c>
      <c r="AG128" s="382">
        <f t="shared" si="223"/>
        <v>3.4939687106431004E-3</v>
      </c>
      <c r="AH128" s="381" t="e">
        <f t="shared" si="221"/>
        <v>#DIV/0!</v>
      </c>
    </row>
    <row r="129" spans="1:34" outlineLevel="1" x14ac:dyDescent="0.3">
      <c r="A129" s="373" t="s">
        <v>285</v>
      </c>
      <c r="B129" s="374">
        <f>SUMIFS('Display - Promos'!$E:$E,'Display - Promos'!$A:$A,"P10")</f>
        <v>0</v>
      </c>
      <c r="C129" s="374">
        <f>SUMIFS('Display - Promos'!$F:$F,'Display - Promos'!$A:$A,"P10")</f>
        <v>180</v>
      </c>
      <c r="D129" s="375">
        <f t="shared" si="201"/>
        <v>-1</v>
      </c>
      <c r="E129" s="374">
        <f>SUMIFS('Display - Promos'!$H:$H,'Display - Promos'!$A:$A,"p10")</f>
        <v>0</v>
      </c>
      <c r="F129" s="374">
        <f>SUMIFS('Display - Promos'!$I:$I,'Display - Promos'!$A:$A,"p10")</f>
        <v>7391.29</v>
      </c>
      <c r="G129" s="375">
        <f t="shared" si="202"/>
        <v>-1</v>
      </c>
      <c r="H129" s="386" t="e">
        <f t="shared" si="203"/>
        <v>#DIV/0!</v>
      </c>
      <c r="I129" s="386">
        <f t="shared" si="204"/>
        <v>2.4352988449918758E-2</v>
      </c>
      <c r="J129" s="369" t="e">
        <f t="shared" si="205"/>
        <v>#DIV/0!</v>
      </c>
      <c r="K129" s="417">
        <f>SUMIFS('Display - Promos'!$N:$N,'Display - Promos'!$A:$A,"p10")</f>
        <v>2</v>
      </c>
      <c r="L129" s="417">
        <f>SUMIFS('Display - Promos'!$O:$O,'Display - Promos'!$A:$A,"p10")</f>
        <v>4050</v>
      </c>
      <c r="M129" s="375">
        <f t="shared" si="206"/>
        <v>-0.99950617283950616</v>
      </c>
      <c r="N129" s="417">
        <f>SUMIFS('Display - Promos'!$Q:$Q,'Display - Promos'!$A:$A,"p10")</f>
        <v>0</v>
      </c>
      <c r="O129" s="417">
        <f>SUMIFS('Display - Promos'!$R:$R,'Display - Promos'!$A:$A,"p10")</f>
        <v>1</v>
      </c>
      <c r="P129" s="378">
        <f t="shared" si="207"/>
        <v>-1</v>
      </c>
      <c r="Q129" s="379">
        <f t="shared" si="208"/>
        <v>0</v>
      </c>
      <c r="R129" s="379">
        <f t="shared" si="209"/>
        <v>2.4691358024691359E-4</v>
      </c>
      <c r="S129" s="378">
        <f t="shared" si="210"/>
        <v>-1</v>
      </c>
      <c r="T129" s="374" t="e">
        <f t="shared" si="211"/>
        <v>#DIV/0!</v>
      </c>
      <c r="U129" s="374">
        <f t="shared" si="212"/>
        <v>7391.29</v>
      </c>
      <c r="V129" s="375" t="e">
        <f t="shared" si="213"/>
        <v>#DIV/0!</v>
      </c>
      <c r="W129" s="374" t="e">
        <f t="shared" si="214"/>
        <v>#DIV/0!</v>
      </c>
      <c r="X129" s="374">
        <f t="shared" si="215"/>
        <v>180</v>
      </c>
      <c r="Y129" s="378" t="e">
        <f t="shared" si="216"/>
        <v>#DIV/0!</v>
      </c>
      <c r="Z129" s="419">
        <f>SUMIFS('Display - Promos'!$W:$W,'Display - Promos'!$A:$A,"p10")</f>
        <v>0</v>
      </c>
      <c r="AA129" s="417">
        <f>SUMIFS('Display - Promos'!$X:$X,'Display - Promos'!$A:$A,"p10")</f>
        <v>6145</v>
      </c>
      <c r="AB129" s="378">
        <f t="shared" si="217"/>
        <v>-1</v>
      </c>
      <c r="AC129" s="419">
        <f>SUMIFS('Display - Promos'!$Z:$Z,'Display - Promos'!$A:$A,"p10")</f>
        <v>0</v>
      </c>
      <c r="AD129" s="417">
        <f>SUMIFS('Display - Promos'!$AA:$AA,'Display - Promos'!$A:$A,"p10")</f>
        <v>1758745</v>
      </c>
      <c r="AE129" s="378">
        <f t="shared" si="218"/>
        <v>-1</v>
      </c>
      <c r="AF129" s="379" t="e">
        <f t="shared" si="222"/>
        <v>#DIV/0!</v>
      </c>
      <c r="AG129" s="379">
        <f t="shared" si="223"/>
        <v>3.4939687106431004E-3</v>
      </c>
      <c r="AH129" s="378" t="e">
        <f t="shared" si="221"/>
        <v>#DIV/0!</v>
      </c>
    </row>
    <row r="130" spans="1:34" ht="19.5" outlineLevel="1" thickBot="1" x14ac:dyDescent="0.35">
      <c r="A130" s="373" t="s">
        <v>286</v>
      </c>
      <c r="B130" s="374">
        <f>SUMIFS('Display - Remarketing'!$D:$D,'Display - Remarketing'!$A:$A,"P10")</f>
        <v>0</v>
      </c>
      <c r="C130" s="374">
        <f>SUMIFS('Display - Remarketing'!$E:$E,'Display - Remarketing'!$A:$A,"P10")</f>
        <v>0</v>
      </c>
      <c r="D130" s="369" t="e">
        <f t="shared" si="201"/>
        <v>#DIV/0!</v>
      </c>
      <c r="E130" s="374">
        <f>SUMIFS('Display - Remarketing'!$H:$H,'Display - Remarketing'!$A:$A,"P10")</f>
        <v>0</v>
      </c>
      <c r="F130" s="374">
        <f>SUMIFS('Display - Remarketing'!$I:$I,'Display - Remarketing'!$A:$A,"P10")</f>
        <v>0</v>
      </c>
      <c r="G130" s="369" t="e">
        <f t="shared" si="202"/>
        <v>#DIV/0!</v>
      </c>
      <c r="H130" s="386" t="e">
        <f t="shared" si="203"/>
        <v>#DIV/0!</v>
      </c>
      <c r="I130" s="386" t="e">
        <f t="shared" si="204"/>
        <v>#DIV/0!</v>
      </c>
      <c r="J130" s="369" t="e">
        <f t="shared" si="205"/>
        <v>#DIV/0!</v>
      </c>
      <c r="K130" s="417">
        <f>SUMIFS('Display - Remarketing'!$P:$P,'Display - Remarketing'!$A:$A,"P10")</f>
        <v>0</v>
      </c>
      <c r="L130" s="417">
        <f>SUMIFS('Display - Remarketing'!$Q:$Q,'Display - Remarketing'!$A:$A,"P10")</f>
        <v>0</v>
      </c>
      <c r="M130" s="375" t="e">
        <f t="shared" si="206"/>
        <v>#DIV/0!</v>
      </c>
      <c r="N130" s="417">
        <f>SUMIFS('Display - Remarketing'!$T:$T,'Display - Remarketing'!$A:$A,"P10")</f>
        <v>0</v>
      </c>
      <c r="O130" s="417">
        <f>SUMIFS('Display - Remarketing'!$U:$U,'Display - Remarketing'!$A:$A,"P10")</f>
        <v>0</v>
      </c>
      <c r="P130" s="378" t="e">
        <f t="shared" si="207"/>
        <v>#DIV/0!</v>
      </c>
      <c r="Q130" s="379" t="e">
        <f t="shared" si="208"/>
        <v>#DIV/0!</v>
      </c>
      <c r="R130" s="379" t="e">
        <f t="shared" si="209"/>
        <v>#DIV/0!</v>
      </c>
      <c r="S130" s="378" t="e">
        <f t="shared" si="210"/>
        <v>#DIV/0!</v>
      </c>
      <c r="T130" s="374" t="e">
        <f t="shared" si="211"/>
        <v>#DIV/0!</v>
      </c>
      <c r="U130" s="374" t="e">
        <f t="shared" si="212"/>
        <v>#DIV/0!</v>
      </c>
      <c r="V130" s="375" t="e">
        <f t="shared" si="213"/>
        <v>#DIV/0!</v>
      </c>
      <c r="W130" s="374" t="e">
        <f t="shared" si="214"/>
        <v>#DIV/0!</v>
      </c>
      <c r="X130" s="374" t="e">
        <f t="shared" si="215"/>
        <v>#DIV/0!</v>
      </c>
      <c r="Y130" s="378" t="e">
        <f t="shared" si="216"/>
        <v>#DIV/0!</v>
      </c>
      <c r="Z130" s="419">
        <f>SUMIFS('Display - Remarketing'!$AB:$AB,'Display - Remarketing'!$A:$A,"p10")</f>
        <v>0</v>
      </c>
      <c r="AA130" s="417">
        <f>SUMIFS('Display - Remarketing'!$AC:$AC,'Display - Remarketing'!$A:$A,"P10")</f>
        <v>0</v>
      </c>
      <c r="AB130" s="378" t="e">
        <f t="shared" si="217"/>
        <v>#DIV/0!</v>
      </c>
      <c r="AC130" s="419">
        <f>SUMIFS('Display - Remarketing'!$AF:$AF,'Display - Remarketing'!$A:$A,"P10")</f>
        <v>0</v>
      </c>
      <c r="AD130" s="417">
        <f>SUMIFS('Display - Remarketing'!$AG:$AG,'Display - Remarketing'!$A:$A,"P10")</f>
        <v>0</v>
      </c>
      <c r="AE130" s="378" t="e">
        <f t="shared" si="218"/>
        <v>#DIV/0!</v>
      </c>
      <c r="AF130" s="379" t="e">
        <f t="shared" si="222"/>
        <v>#DIV/0!</v>
      </c>
      <c r="AG130" s="379" t="e">
        <f t="shared" si="223"/>
        <v>#DIV/0!</v>
      </c>
      <c r="AH130" s="378" t="e">
        <f t="shared" si="221"/>
        <v>#DIV/0!</v>
      </c>
    </row>
    <row r="131" spans="1:34" s="395" customFormat="1" ht="22.5" thickTop="1" thickBot="1" x14ac:dyDescent="0.4">
      <c r="A131" s="387" t="s">
        <v>16</v>
      </c>
      <c r="B131" s="388">
        <f>B120+B124+B125+B128</f>
        <v>233098</v>
      </c>
      <c r="C131" s="388">
        <f>C120+C124+C125+C128</f>
        <v>288749</v>
      </c>
      <c r="D131" s="389">
        <f t="shared" si="201"/>
        <v>-0.19273140339879966</v>
      </c>
      <c r="E131" s="388">
        <f>E120+E124+E125+E128</f>
        <v>33830.288799999995</v>
      </c>
      <c r="F131" s="388">
        <f>F120+F124+F125+F128</f>
        <v>68884.547999999995</v>
      </c>
      <c r="G131" s="390">
        <f t="shared" si="202"/>
        <v>-0.50888421594927213</v>
      </c>
      <c r="H131" s="391">
        <f t="shared" si="203"/>
        <v>6.890216083523355</v>
      </c>
      <c r="I131" s="391">
        <f t="shared" si="204"/>
        <v>4.1917818782813239</v>
      </c>
      <c r="J131" s="390">
        <f t="shared" si="205"/>
        <v>0.64374394555768688</v>
      </c>
      <c r="K131" s="392">
        <f>K120+K124+K125+K128</f>
        <v>58923</v>
      </c>
      <c r="L131" s="392">
        <f>L120+L124+L125+L128</f>
        <v>53688</v>
      </c>
      <c r="M131" s="390">
        <f t="shared" si="206"/>
        <v>9.7507822977201605E-2</v>
      </c>
      <c r="N131" s="392">
        <f>N120+N124+N125+N128</f>
        <v>1768</v>
      </c>
      <c r="O131" s="392">
        <f>O120+O124+O125+O128</f>
        <v>1794</v>
      </c>
      <c r="P131" s="389">
        <f t="shared" si="207"/>
        <v>-1.4492753623188406E-2</v>
      </c>
      <c r="Q131" s="393">
        <f t="shared" si="208"/>
        <v>3.0005261103474026E-2</v>
      </c>
      <c r="R131" s="393">
        <f t="shared" si="209"/>
        <v>3.3415288332588285E-2</v>
      </c>
      <c r="S131" s="389">
        <f t="shared" si="210"/>
        <v>-0.10204991185991434</v>
      </c>
      <c r="T131" s="388">
        <f t="shared" si="211"/>
        <v>19.13477873303167</v>
      </c>
      <c r="U131" s="388">
        <f t="shared" si="212"/>
        <v>38.39718394648829</v>
      </c>
      <c r="V131" s="390">
        <f t="shared" si="213"/>
        <v>-0.50166192500734974</v>
      </c>
      <c r="W131" s="388">
        <f t="shared" si="214"/>
        <v>131.84276018099547</v>
      </c>
      <c r="X131" s="388">
        <f t="shared" si="215"/>
        <v>160.9526198439242</v>
      </c>
      <c r="Y131" s="389">
        <f t="shared" si="216"/>
        <v>-0.18085980638995852</v>
      </c>
      <c r="Z131" s="444">
        <f>Z120+Z124+Z125+Z128</f>
        <v>55691</v>
      </c>
      <c r="AA131" s="394">
        <f>AA120+AA124+AA125+AA128</f>
        <v>44335</v>
      </c>
      <c r="AB131" s="389">
        <f t="shared" si="217"/>
        <v>0.25614074658847413</v>
      </c>
      <c r="AC131" s="444">
        <f>AC120+AC124+AC125+AC128</f>
        <v>2020115</v>
      </c>
      <c r="AD131" s="392">
        <f>AD120+AD124+AD125+AD128</f>
        <v>4252277</v>
      </c>
      <c r="AE131" s="389">
        <f t="shared" si="218"/>
        <v>-0.52493334747477649</v>
      </c>
      <c r="AF131" s="393">
        <f t="shared" si="222"/>
        <v>2.7568232501615008E-2</v>
      </c>
      <c r="AG131" s="393">
        <f t="shared" si="223"/>
        <v>1.0426178727303042E-2</v>
      </c>
      <c r="AH131" s="389">
        <f>(AF131-AG131)/AG131</f>
        <v>1.6441358068629743</v>
      </c>
    </row>
    <row r="132" spans="1:34" x14ac:dyDescent="0.3">
      <c r="A132" s="359" t="s">
        <v>78</v>
      </c>
      <c r="B132" s="360" t="s">
        <v>1</v>
      </c>
      <c r="C132" s="360" t="s">
        <v>117</v>
      </c>
      <c r="D132" s="361" t="s">
        <v>24</v>
      </c>
      <c r="E132" s="360" t="s">
        <v>2</v>
      </c>
      <c r="F132" s="360" t="s">
        <v>99</v>
      </c>
      <c r="G132" s="361" t="s">
        <v>24</v>
      </c>
      <c r="H132" s="362" t="s">
        <v>3</v>
      </c>
      <c r="I132" s="362" t="s">
        <v>100</v>
      </c>
      <c r="J132" s="361" t="s">
        <v>24</v>
      </c>
      <c r="K132" s="362" t="s">
        <v>4</v>
      </c>
      <c r="L132" s="363" t="s">
        <v>101</v>
      </c>
      <c r="M132" s="361" t="s">
        <v>24</v>
      </c>
      <c r="N132" s="363" t="s">
        <v>5</v>
      </c>
      <c r="O132" s="363" t="s">
        <v>102</v>
      </c>
      <c r="P132" s="361" t="s">
        <v>24</v>
      </c>
      <c r="Q132" s="363" t="s">
        <v>109</v>
      </c>
      <c r="R132" s="363" t="s">
        <v>110</v>
      </c>
      <c r="S132" s="361" t="s">
        <v>24</v>
      </c>
      <c r="T132" s="364" t="s">
        <v>149</v>
      </c>
      <c r="U132" s="364" t="s">
        <v>150</v>
      </c>
      <c r="V132" s="361" t="s">
        <v>24</v>
      </c>
      <c r="W132" s="364" t="s">
        <v>6</v>
      </c>
      <c r="X132" s="364" t="s">
        <v>103</v>
      </c>
      <c r="Y132" s="361" t="s">
        <v>24</v>
      </c>
      <c r="Z132" s="446" t="s">
        <v>7</v>
      </c>
      <c r="AA132" s="363" t="s">
        <v>104</v>
      </c>
      <c r="AB132" s="361" t="s">
        <v>24</v>
      </c>
      <c r="AC132" s="442" t="s">
        <v>25</v>
      </c>
      <c r="AD132" s="365" t="s">
        <v>105</v>
      </c>
      <c r="AE132" s="361" t="s">
        <v>24</v>
      </c>
      <c r="AF132" s="366" t="s">
        <v>9</v>
      </c>
      <c r="AG132" s="366" t="s">
        <v>106</v>
      </c>
      <c r="AH132" s="361" t="s">
        <v>24</v>
      </c>
    </row>
    <row r="133" spans="1:34" s="367" customFormat="1" ht="20.100000000000001" customHeight="1" x14ac:dyDescent="0.3">
      <c r="A133" s="367" t="s">
        <v>10</v>
      </c>
      <c r="B133" s="368">
        <f>SUM(B134:B136)</f>
        <v>54076</v>
      </c>
      <c r="C133" s="368">
        <f>SUM(C134:C136)</f>
        <v>34376</v>
      </c>
      <c r="D133" s="369">
        <f t="shared" ref="D133:D144" si="224">(B133-C133)/C133</f>
        <v>0.57307423784035372</v>
      </c>
      <c r="E133" s="368">
        <f>SUM(E134:E136)</f>
        <v>12405.09</v>
      </c>
      <c r="F133" s="368">
        <f>SUM(F134:F136)</f>
        <v>13884.28</v>
      </c>
      <c r="G133" s="369">
        <f t="shared" ref="G133:G144" si="225">(E133-F133)/F133</f>
        <v>-0.10653703324911341</v>
      </c>
      <c r="H133" s="370">
        <f t="shared" ref="H133:H144" si="226">B133/E133</f>
        <v>4.3591783695241224</v>
      </c>
      <c r="I133" s="370">
        <f t="shared" ref="I133:I144" si="227">C133/F133</f>
        <v>2.4758936005324004</v>
      </c>
      <c r="J133" s="369">
        <f t="shared" ref="J133:J144" si="228">(H133-I133)/I133</f>
        <v>0.76064850629556635</v>
      </c>
      <c r="K133" s="416">
        <f>SUM(K134:K136)</f>
        <v>48876</v>
      </c>
      <c r="L133" s="416">
        <f>SUM(L134:L136)</f>
        <v>29602</v>
      </c>
      <c r="M133" s="369">
        <f t="shared" ref="M133:M144" si="229">(K133-L133)/L133</f>
        <v>0.65110465509087223</v>
      </c>
      <c r="N133" s="416">
        <f>SUM(N134:N136)</f>
        <v>608</v>
      </c>
      <c r="O133" s="416">
        <f>SUM(O134:O136)</f>
        <v>315</v>
      </c>
      <c r="P133" s="369">
        <f t="shared" ref="P133:P144" si="230">(N133-O133)/O133</f>
        <v>0.93015873015873018</v>
      </c>
      <c r="Q133" s="372">
        <f t="shared" ref="Q133:Q144" si="231">N133/K133</f>
        <v>1.2439643178656191E-2</v>
      </c>
      <c r="R133" s="372">
        <f t="shared" ref="R133:R144" si="232">O133/L133</f>
        <v>1.0641172893723396E-2</v>
      </c>
      <c r="S133" s="369">
        <f t="shared" ref="S133:S144" si="233">(Q133-R133)/R133</f>
        <v>0.16901053134787486</v>
      </c>
      <c r="T133" s="368">
        <f t="shared" ref="T133:T144" si="234">E133/N133</f>
        <v>20.403108552631579</v>
      </c>
      <c r="U133" s="368">
        <f t="shared" ref="U133:U144" si="235">F133/O133</f>
        <v>44.077079365079371</v>
      </c>
      <c r="V133" s="369">
        <f t="shared" ref="V133:V144" si="236">(T133-U133)/U133</f>
        <v>-0.53710389058136632</v>
      </c>
      <c r="W133" s="368">
        <f t="shared" ref="W133:W144" si="237">B133/N133</f>
        <v>88.940789473684205</v>
      </c>
      <c r="X133" s="368">
        <f t="shared" ref="X133:X144" si="238">C133/O133</f>
        <v>109.13015873015873</v>
      </c>
      <c r="Y133" s="369">
        <f t="shared" ref="Y133:Y144" si="239">(W133-X133)/X133</f>
        <v>-0.1850026563820536</v>
      </c>
      <c r="Z133" s="420">
        <f>SUM(Z134:Z136)</f>
        <v>41467</v>
      </c>
      <c r="AA133" s="416">
        <f>SUM(AA134:AA136)</f>
        <v>23895</v>
      </c>
      <c r="AB133" s="369">
        <f t="shared" ref="AB133:AB144" si="240">(Z133-AA133)/AA133</f>
        <v>0.73538397154216362</v>
      </c>
      <c r="AC133" s="420">
        <f>SUM(AC134:AC136)</f>
        <v>1239564</v>
      </c>
      <c r="AD133" s="416">
        <f>SUM(AD134:AD136)</f>
        <v>168074</v>
      </c>
      <c r="AE133" s="369">
        <f t="shared" ref="AE133:AE144" si="241">(AC133-AD133)/AD133</f>
        <v>6.3751085831241001</v>
      </c>
      <c r="AF133" s="372">
        <f t="shared" ref="AF133:AF136" si="242">Z133/AC133</f>
        <v>3.3452891500559877E-2</v>
      </c>
      <c r="AG133" s="372">
        <f t="shared" ref="AG133:AG136" si="243">AA133/AD133</f>
        <v>0.14216952056832111</v>
      </c>
      <c r="AH133" s="369">
        <f>(AF133-AG133)/AG133</f>
        <v>-0.76469716316948733</v>
      </c>
    </row>
    <row r="134" spans="1:34" outlineLevel="1" x14ac:dyDescent="0.3">
      <c r="A134" s="373" t="s">
        <v>29</v>
      </c>
      <c r="B134" s="374">
        <f>SUMIFS(Search!$E:$E,Search!$A:$A,"P11",Search!$D:$D,"Brand")</f>
        <v>44005</v>
      </c>
      <c r="C134" s="374">
        <f>SUMIFS(Search!$F:$F,Search!$A:$A,"P11",Search!$D:$D,"Brand")</f>
        <v>31967</v>
      </c>
      <c r="D134" s="369">
        <f t="shared" si="224"/>
        <v>0.37657584383895892</v>
      </c>
      <c r="E134" s="374">
        <f>SUMIFS(Search!$I:$I,Search!$A:$A,"P11",Search!$D:$D,"Brand")</f>
        <v>4391.3100000000004</v>
      </c>
      <c r="F134" s="374">
        <f>SUMIFS(Search!$J:$J,Search!$A:$A,"P11",Search!$D:$D,"Brand")</f>
        <v>2279.65</v>
      </c>
      <c r="G134" s="375">
        <f t="shared" si="225"/>
        <v>0.92630886320268468</v>
      </c>
      <c r="H134" s="376">
        <f t="shared" si="226"/>
        <v>10.020927695835638</v>
      </c>
      <c r="I134" s="376">
        <f t="shared" si="227"/>
        <v>14.022766652775644</v>
      </c>
      <c r="J134" s="375">
        <f t="shared" si="228"/>
        <v>-0.28538155529728421</v>
      </c>
      <c r="K134" s="417">
        <f>SUMIFS(Search!$Q:$Q,Search!$A:$A,"P11",Search!$D:$D,"Brand")</f>
        <v>21734</v>
      </c>
      <c r="L134" s="417">
        <f>SUMIFS(Search!$R:$R,Search!$A:$A,"P11",Search!$D:$D,"Brand")</f>
        <v>17550</v>
      </c>
      <c r="M134" s="375">
        <f t="shared" si="229"/>
        <v>0.2384045584045584</v>
      </c>
      <c r="N134" s="417">
        <f>SUMIFS(Search!$U:$U,Search!$A:$A,"P11",Search!$D:$D,"Brand")</f>
        <v>497</v>
      </c>
      <c r="O134" s="417">
        <f>SUMIFS(Search!$V:$V,Search!$A:$A,"P11",Search!$D:$D,"Brand")</f>
        <v>285</v>
      </c>
      <c r="P134" s="378">
        <f t="shared" si="230"/>
        <v>0.743859649122807</v>
      </c>
      <c r="Q134" s="379">
        <f t="shared" si="231"/>
        <v>2.2867396705622527E-2</v>
      </c>
      <c r="R134" s="379">
        <f t="shared" si="232"/>
        <v>1.6239316239316241E-2</v>
      </c>
      <c r="S134" s="378">
        <f t="shared" si="233"/>
        <v>0.40815021818833447</v>
      </c>
      <c r="T134" s="374">
        <f t="shared" si="234"/>
        <v>8.8356338028169024</v>
      </c>
      <c r="U134" s="374">
        <f t="shared" si="235"/>
        <v>7.9987719298245619</v>
      </c>
      <c r="V134" s="375">
        <f t="shared" si="236"/>
        <v>0.10462379479429607</v>
      </c>
      <c r="W134" s="374">
        <f t="shared" si="237"/>
        <v>88.541247484909462</v>
      </c>
      <c r="X134" s="374">
        <f t="shared" si="238"/>
        <v>112.16491228070176</v>
      </c>
      <c r="Y134" s="378">
        <f t="shared" si="239"/>
        <v>-0.2106154617824883</v>
      </c>
      <c r="Z134" s="419">
        <f>SUMIFS(Search!$AG:$AG,Search!$A:$A,"P11",Search!$D:$D,"Brand")</f>
        <v>14976</v>
      </c>
      <c r="AA134" s="417">
        <f>SUMIFS(Search!$AH:$AH,Search!$A:$A,"P11",Search!$D:$D,"Brand")</f>
        <v>12909</v>
      </c>
      <c r="AB134" s="378">
        <f t="shared" si="240"/>
        <v>0.16012084592145015</v>
      </c>
      <c r="AC134" s="419">
        <f>SUMIFS(Search!$AK:$AK,Search!$A:$A,"P11",Search!$D:$D,"Brand")</f>
        <v>48947</v>
      </c>
      <c r="AD134" s="417">
        <f>SUMIFS(Search!$AL:$AL,Search!$A:$A,"P11",Search!$D:$D,"Brand")</f>
        <v>33242</v>
      </c>
      <c r="AE134" s="378">
        <f t="shared" si="241"/>
        <v>0.47244449792431259</v>
      </c>
      <c r="AF134" s="379">
        <f t="shared" si="242"/>
        <v>0.30596359327435796</v>
      </c>
      <c r="AG134" s="379">
        <f t="shared" si="243"/>
        <v>0.38833403525660309</v>
      </c>
      <c r="AH134" s="378">
        <f>(AF134-AG134)/AG134</f>
        <v>-0.21211234273559476</v>
      </c>
    </row>
    <row r="135" spans="1:34" outlineLevel="1" x14ac:dyDescent="0.3">
      <c r="A135" s="373" t="s">
        <v>30</v>
      </c>
      <c r="B135" s="374">
        <f>SUMIFS(Search!$E:$E,Search!$A:$A,"P11",Search!$D:$D,"Non-Brand")</f>
        <v>441</v>
      </c>
      <c r="C135" s="374">
        <f>SUMIFS(Search!$F:$F,Search!$A:$A,"P11",Search!$D:$D,"Non-Brand")</f>
        <v>2409</v>
      </c>
      <c r="D135" s="369">
        <f t="shared" si="224"/>
        <v>-0.81693648816936493</v>
      </c>
      <c r="E135" s="374">
        <f>SUMIFS(Search!$I:$I,Search!$A:$A,"P11",Search!$D:$D,"Non-Brand")</f>
        <v>1013.21</v>
      </c>
      <c r="F135" s="374">
        <f>SUMIFS(Search!$J:$J,Search!$A:$A,"P11",Search!$D:$D,"Non-Brand")</f>
        <v>11604.630000000001</v>
      </c>
      <c r="G135" s="375">
        <f t="shared" si="225"/>
        <v>-0.91268915941309636</v>
      </c>
      <c r="H135" s="376">
        <f t="shared" si="226"/>
        <v>0.43525034296937454</v>
      </c>
      <c r="I135" s="376">
        <f t="shared" si="227"/>
        <v>0.20758955692684727</v>
      </c>
      <c r="J135" s="375">
        <f t="shared" si="228"/>
        <v>1.0966870849035673</v>
      </c>
      <c r="K135" s="417">
        <f>SUMIFS(Search!$Q:$Q,Search!$A:$A,"P11",Search!$D:$D,"Non-Brand")</f>
        <v>1145</v>
      </c>
      <c r="L135" s="417">
        <f>SUMIFS(Search!$R:$R,Search!$A:$A,"P11",Search!$D:$D,"Non-Brand")</f>
        <v>12052</v>
      </c>
      <c r="M135" s="375">
        <f t="shared" si="229"/>
        <v>-0.9049950215731829</v>
      </c>
      <c r="N135" s="417">
        <f>SUMIFS(Search!$U:$U,Search!$A:$A,"P11",Search!$D:$D,"Non-Brand")</f>
        <v>6</v>
      </c>
      <c r="O135" s="417">
        <f>SUMIFS(Search!$V:$V,Search!$A:$A,"P11",Search!$D:$D,"Non-Brand")</f>
        <v>30</v>
      </c>
      <c r="P135" s="378">
        <f t="shared" si="230"/>
        <v>-0.8</v>
      </c>
      <c r="Q135" s="379">
        <f t="shared" si="231"/>
        <v>5.2401746724890829E-3</v>
      </c>
      <c r="R135" s="379">
        <f t="shared" si="232"/>
        <v>2.4892134085628941E-3</v>
      </c>
      <c r="S135" s="378">
        <f t="shared" si="233"/>
        <v>1.1051528384279476</v>
      </c>
      <c r="T135" s="374">
        <f t="shared" si="234"/>
        <v>168.86833333333334</v>
      </c>
      <c r="U135" s="374">
        <f t="shared" si="235"/>
        <v>386.82100000000003</v>
      </c>
      <c r="V135" s="375">
        <f t="shared" si="236"/>
        <v>-0.56344579706548159</v>
      </c>
      <c r="W135" s="374">
        <f t="shared" si="237"/>
        <v>73.5</v>
      </c>
      <c r="X135" s="374">
        <f t="shared" si="238"/>
        <v>80.3</v>
      </c>
      <c r="Y135" s="378">
        <f t="shared" si="239"/>
        <v>-8.4682440846824372E-2</v>
      </c>
      <c r="Z135" s="419">
        <f>SUMIFS(Search!$AG:$AG,Search!$A:$A,"P11",Search!$D:$D,"Non-Brand")</f>
        <v>871</v>
      </c>
      <c r="AA135" s="417">
        <f>SUMIFS(Search!$AH:$AH,Search!$A:$A,"P11",Search!$D:$D,"Non-Brand")</f>
        <v>10986</v>
      </c>
      <c r="AB135" s="378">
        <f t="shared" si="240"/>
        <v>-0.92071727653377022</v>
      </c>
      <c r="AC135" s="419">
        <f>SUMIFS(Search!$AK:$AK,Search!$A:$A,"P11",Search!$D:$D,"Non-Brand")</f>
        <v>12470</v>
      </c>
      <c r="AD135" s="417">
        <f>SUMIFS(Search!$AL:$AL,Search!$A:$A,"P11",Search!$D:$D,"Non-Brand")</f>
        <v>134832</v>
      </c>
      <c r="AE135" s="378">
        <f t="shared" si="241"/>
        <v>-0.90751453660852022</v>
      </c>
      <c r="AF135" s="379">
        <f t="shared" si="242"/>
        <v>6.9847634322373703E-2</v>
      </c>
      <c r="AG135" s="379">
        <f t="shared" si="243"/>
        <v>8.1479174083303671E-2</v>
      </c>
      <c r="AH135" s="378">
        <f>(AF135-AG135)/AG135</f>
        <v>-0.14275475778679314</v>
      </c>
    </row>
    <row r="136" spans="1:34" outlineLevel="1" x14ac:dyDescent="0.3">
      <c r="A136" s="373" t="s">
        <v>228</v>
      </c>
      <c r="B136" s="374">
        <f>SUMIFS(Search!$E:$E,Search!$A:$A,"P11",Search!$D:$D,"Shopping Campaigns")</f>
        <v>9630</v>
      </c>
      <c r="C136" s="374">
        <f>SUMIFS(Search!$F:$F,Search!$A:$A,"P11",Search!$D:$D,"Shopping Campaigns")</f>
        <v>0</v>
      </c>
      <c r="D136" s="369" t="e">
        <f t="shared" si="224"/>
        <v>#DIV/0!</v>
      </c>
      <c r="E136" s="374">
        <f>SUMIFS(Search!$I:$I,Search!$A:$A,"P11",Search!$D:$D,"Shopping Campaigns")</f>
        <v>7000.57</v>
      </c>
      <c r="F136" s="374">
        <f>SUMIFS(Search!$J:$J,Search!$A:$A,"P11",Search!$D:$D,"Shopping Campaigns")</f>
        <v>0</v>
      </c>
      <c r="G136" s="375" t="e">
        <f t="shared" si="225"/>
        <v>#DIV/0!</v>
      </c>
      <c r="H136" s="376">
        <f t="shared" si="226"/>
        <v>1.3756022723863914</v>
      </c>
      <c r="I136" s="376" t="e">
        <f t="shared" si="227"/>
        <v>#DIV/0!</v>
      </c>
      <c r="J136" s="375" t="e">
        <f t="shared" si="228"/>
        <v>#DIV/0!</v>
      </c>
      <c r="K136" s="417">
        <f>SUMIFS(Search!$Q:$Q,Search!$A:$A,"P11",Search!$D:$D,"Shopping Campaigns")</f>
        <v>25997</v>
      </c>
      <c r="L136" s="417">
        <f>SUMIFS(Search!$R:$R,Search!$A:$A,"P11",Search!$D:$D,"Shopping Campaigns")</f>
        <v>0</v>
      </c>
      <c r="M136" s="375" t="e">
        <f t="shared" si="229"/>
        <v>#DIV/0!</v>
      </c>
      <c r="N136" s="417">
        <f>SUMIFS(Search!$U:$U,Search!$A:$A,"P11",Search!$D:$D,"Shopping Campaigns")</f>
        <v>105</v>
      </c>
      <c r="O136" s="417">
        <f>SUMIFS(Search!$V:$V,Search!$A:$A,"P11",Search!$D:$D,"Shopping Campaigns")</f>
        <v>0</v>
      </c>
      <c r="P136" s="378" t="e">
        <f t="shared" si="230"/>
        <v>#DIV/0!</v>
      </c>
      <c r="Q136" s="379">
        <f t="shared" si="231"/>
        <v>4.0389275685656038E-3</v>
      </c>
      <c r="R136" s="379" t="e">
        <f t="shared" si="232"/>
        <v>#DIV/0!</v>
      </c>
      <c r="S136" s="378" t="e">
        <f t="shared" si="233"/>
        <v>#DIV/0!</v>
      </c>
      <c r="T136" s="374">
        <f t="shared" si="234"/>
        <v>66.672095238095238</v>
      </c>
      <c r="U136" s="374" t="e">
        <f t="shared" si="235"/>
        <v>#DIV/0!</v>
      </c>
      <c r="V136" s="375" t="e">
        <f t="shared" si="236"/>
        <v>#DIV/0!</v>
      </c>
      <c r="W136" s="374">
        <f t="shared" si="237"/>
        <v>91.714285714285708</v>
      </c>
      <c r="X136" s="374" t="e">
        <f t="shared" si="238"/>
        <v>#DIV/0!</v>
      </c>
      <c r="Y136" s="378" t="e">
        <f t="shared" si="239"/>
        <v>#DIV/0!</v>
      </c>
      <c r="Z136" s="419">
        <f>SUMIFS(Search!$AG:$AG,Search!$A:$A,"P11",Search!$D:$D,"Shopping Campaigns")</f>
        <v>25620</v>
      </c>
      <c r="AA136" s="417">
        <f>SUMIFS(Search!$AH:$AH,Search!$A:$A,"P11",Search!$D:$D,"Shopping Campaigns")</f>
        <v>0</v>
      </c>
      <c r="AB136" s="378" t="e">
        <f t="shared" si="240"/>
        <v>#DIV/0!</v>
      </c>
      <c r="AC136" s="419">
        <f>SUMIFS(Search!$AK:$AK,Search!$A:$A,"P11",Search!$D:$D,"Shopping Campaigns")</f>
        <v>1178147</v>
      </c>
      <c r="AD136" s="417">
        <f>SUMIFS(Search!$AL:$AL,Search!$A:$A,"P11",Search!$D:$D,"Shopping Campaigns")</f>
        <v>0</v>
      </c>
      <c r="AE136" s="378" t="e">
        <f t="shared" si="241"/>
        <v>#DIV/0!</v>
      </c>
      <c r="AF136" s="379">
        <f t="shared" si="242"/>
        <v>2.1746013018748934E-2</v>
      </c>
      <c r="AG136" s="379" t="e">
        <f t="shared" si="243"/>
        <v>#DIV/0!</v>
      </c>
      <c r="AH136" s="378" t="e">
        <f t="shared" ref="AH136:AH143" si="244">(AF136-AG136)/AG136</f>
        <v>#DIV/0!</v>
      </c>
    </row>
    <row r="137" spans="1:34" s="367" customFormat="1" ht="21" customHeight="1" x14ac:dyDescent="0.3">
      <c r="A137" s="380" t="s">
        <v>13</v>
      </c>
      <c r="B137" s="368">
        <f>SUMIFS(Affiliate!D:D,Affiliate!$A:$A,"P11")</f>
        <v>195258</v>
      </c>
      <c r="C137" s="368">
        <f>SUMIFS(Affiliate!E:E,Affiliate!$A:$A,"P11")</f>
        <v>106573</v>
      </c>
      <c r="D137" s="369">
        <f t="shared" si="224"/>
        <v>0.83215260900978671</v>
      </c>
      <c r="E137" s="368">
        <f>SUMIFS(Affiliate!H:H,Affiliate!$A:$A,"P11")</f>
        <v>26380.920000000002</v>
      </c>
      <c r="F137" s="368">
        <f>SUMIFS(Affiliate!I:I,Affiliate!$A:$A,"P11")</f>
        <v>23828.299999999996</v>
      </c>
      <c r="G137" s="369">
        <f t="shared" si="225"/>
        <v>0.107125560782767</v>
      </c>
      <c r="H137" s="370">
        <f t="shared" si="226"/>
        <v>7.4014856191520231</v>
      </c>
      <c r="I137" s="370">
        <f t="shared" si="227"/>
        <v>4.4725389557794735</v>
      </c>
      <c r="J137" s="369">
        <f t="shared" si="228"/>
        <v>0.65487337110562815</v>
      </c>
      <c r="K137" s="416">
        <f>SUMIFS(Affiliate!$AF:$AF,Affiliate!$A:$A,"P11")</f>
        <v>21004</v>
      </c>
      <c r="L137" s="416">
        <f>SUMIFS(Affiliate!$AG:$AG,Affiliate!$A:$A,"P11")</f>
        <v>12830</v>
      </c>
      <c r="M137" s="369">
        <f t="shared" si="229"/>
        <v>0.63710054559625873</v>
      </c>
      <c r="N137" s="416">
        <f>SUMIFS(Affiliate!$AJ:$AJ,Affiliate!$A:$A,"P11")</f>
        <v>1524</v>
      </c>
      <c r="O137" s="416">
        <f>SUMIFS(Affiliate!$AK:$AK,Affiliate!$A:$A,"P11")</f>
        <v>819</v>
      </c>
      <c r="P137" s="381">
        <f t="shared" si="230"/>
        <v>0.86080586080586086</v>
      </c>
      <c r="Q137" s="382">
        <f t="shared" si="231"/>
        <v>7.2557608074652447E-2</v>
      </c>
      <c r="R137" s="382">
        <f t="shared" si="232"/>
        <v>6.3834762275915821E-2</v>
      </c>
      <c r="S137" s="381">
        <f t="shared" si="233"/>
        <v>0.13664726690816961</v>
      </c>
      <c r="T137" s="383">
        <f t="shared" si="234"/>
        <v>17.310314960629924</v>
      </c>
      <c r="U137" s="383">
        <f t="shared" si="235"/>
        <v>29.094383394383389</v>
      </c>
      <c r="V137" s="369">
        <f t="shared" si="236"/>
        <v>-0.40502898013052085</v>
      </c>
      <c r="W137" s="383">
        <f t="shared" si="237"/>
        <v>128.12204724409449</v>
      </c>
      <c r="X137" s="383">
        <f t="shared" si="238"/>
        <v>130.12576312576311</v>
      </c>
      <c r="Y137" s="381">
        <f t="shared" si="239"/>
        <v>-1.5398302638441301E-2</v>
      </c>
      <c r="Z137" s="443"/>
      <c r="AA137" s="384"/>
      <c r="AB137" s="381" t="e">
        <f t="shared" si="240"/>
        <v>#DIV/0!</v>
      </c>
      <c r="AC137" s="443"/>
      <c r="AD137" s="384"/>
      <c r="AE137" s="381" t="e">
        <f t="shared" si="241"/>
        <v>#DIV/0!</v>
      </c>
      <c r="AF137" s="385"/>
      <c r="AG137" s="385"/>
      <c r="AH137" s="381" t="e">
        <f t="shared" si="244"/>
        <v>#DIV/0!</v>
      </c>
    </row>
    <row r="138" spans="1:34" s="367" customFormat="1" ht="20.100000000000001" customHeight="1" x14ac:dyDescent="0.3">
      <c r="A138" s="367" t="s">
        <v>14</v>
      </c>
      <c r="B138" s="368">
        <f>SUM(B139:B140)</f>
        <v>1508</v>
      </c>
      <c r="C138" s="368">
        <f>SUM(C139:C140)</f>
        <v>29</v>
      </c>
      <c r="D138" s="369">
        <f t="shared" si="224"/>
        <v>51</v>
      </c>
      <c r="E138" s="368">
        <f>SUM(E139:E140)</f>
        <v>11991.69125</v>
      </c>
      <c r="F138" s="368">
        <f>SUM(F139:F140)</f>
        <v>0</v>
      </c>
      <c r="G138" s="369" t="e">
        <f t="shared" si="225"/>
        <v>#DIV/0!</v>
      </c>
      <c r="H138" s="370">
        <f t="shared" si="226"/>
        <v>0.12575373803090537</v>
      </c>
      <c r="I138" s="370" t="e">
        <f t="shared" si="227"/>
        <v>#DIV/0!</v>
      </c>
      <c r="J138" s="369" t="e">
        <f t="shared" si="228"/>
        <v>#DIV/0!</v>
      </c>
      <c r="K138" s="416">
        <f>SUM(K139:K140)</f>
        <v>6011</v>
      </c>
      <c r="L138" s="416">
        <f>SUM(L139:L140)</f>
        <v>729</v>
      </c>
      <c r="M138" s="369">
        <f t="shared" si="229"/>
        <v>7.2455418381344305</v>
      </c>
      <c r="N138" s="416">
        <f>SUM(N139:N140)</f>
        <v>17</v>
      </c>
      <c r="O138" s="416">
        <f>SUM(O139:O140)</f>
        <v>1</v>
      </c>
      <c r="P138" s="381">
        <f t="shared" si="230"/>
        <v>16</v>
      </c>
      <c r="Q138" s="382">
        <f t="shared" si="231"/>
        <v>2.828148394609882E-3</v>
      </c>
      <c r="R138" s="382">
        <f t="shared" si="232"/>
        <v>1.3717421124828531E-3</v>
      </c>
      <c r="S138" s="381">
        <f t="shared" si="233"/>
        <v>1.0617201796706042</v>
      </c>
      <c r="T138" s="383">
        <f t="shared" si="234"/>
        <v>705.39360294117648</v>
      </c>
      <c r="U138" s="383">
        <f t="shared" si="235"/>
        <v>0</v>
      </c>
      <c r="V138" s="369" t="e">
        <f t="shared" si="236"/>
        <v>#DIV/0!</v>
      </c>
      <c r="W138" s="383">
        <f t="shared" si="237"/>
        <v>88.705882352941174</v>
      </c>
      <c r="X138" s="383">
        <f t="shared" si="238"/>
        <v>29</v>
      </c>
      <c r="Y138" s="381">
        <f t="shared" si="239"/>
        <v>2.0588235294117645</v>
      </c>
      <c r="Z138" s="420">
        <f>SUM(Z139:Z140)</f>
        <v>11022</v>
      </c>
      <c r="AA138" s="416">
        <f>SUM(AA139:AA140)</f>
        <v>0</v>
      </c>
      <c r="AB138" s="381" t="e">
        <f t="shared" si="240"/>
        <v>#DIV/0!</v>
      </c>
      <c r="AC138" s="420">
        <f>SUM(AC139:AC140)</f>
        <v>938389</v>
      </c>
      <c r="AD138" s="416">
        <f>SUM(AD139:AD140)</f>
        <v>0</v>
      </c>
      <c r="AE138" s="381" t="e">
        <f t="shared" si="241"/>
        <v>#DIV/0!</v>
      </c>
      <c r="AF138" s="382">
        <f t="shared" ref="AF138:AF144" si="245">Z138/AC138</f>
        <v>1.174566198026618E-2</v>
      </c>
      <c r="AG138" s="382" t="e">
        <f t="shared" ref="AG138:AG144" si="246">AA138/AD138</f>
        <v>#DIV/0!</v>
      </c>
      <c r="AH138" s="381" t="e">
        <f t="shared" si="244"/>
        <v>#DIV/0!</v>
      </c>
    </row>
    <row r="139" spans="1:34" outlineLevel="1" x14ac:dyDescent="0.3">
      <c r="A139" s="373" t="s">
        <v>285</v>
      </c>
      <c r="B139" s="374">
        <f>SUMIFS('Social - Promos'!$E:$E,'Social - Promos'!$A:$A,"p11")</f>
        <v>360</v>
      </c>
      <c r="C139" s="374">
        <f>SUMIFS('Social - Promos'!$F:$F,'Social - Promos'!$A:$A,"P11")</f>
        <v>29</v>
      </c>
      <c r="D139" s="369">
        <f t="shared" si="224"/>
        <v>11.413793103448276</v>
      </c>
      <c r="E139" s="374">
        <f>SUMIFS('Social - Promos'!$K:$K,'Social - Promos'!$A:$A,"P11")</f>
        <v>6991.4253499999995</v>
      </c>
      <c r="F139" s="374">
        <f>SUMIFS('Social - Promos'!$L:$L,'Social - Promos'!$A:$A,"p11")</f>
        <v>0</v>
      </c>
      <c r="G139" s="375" t="e">
        <f t="shared" si="225"/>
        <v>#DIV/0!</v>
      </c>
      <c r="H139" s="386">
        <f t="shared" si="226"/>
        <v>5.149164612048672E-2</v>
      </c>
      <c r="I139" s="386" t="e">
        <f t="shared" si="227"/>
        <v>#DIV/0!</v>
      </c>
      <c r="J139" s="375" t="e">
        <f t="shared" si="228"/>
        <v>#DIV/0!</v>
      </c>
      <c r="K139" s="417">
        <f>SUMIFS('Social - Promos'!$T:$T,'Social - Promos'!$A:$A,"p11")</f>
        <v>2182</v>
      </c>
      <c r="L139" s="417">
        <f>SUMIFS('Social - Promos'!$U:$U,'Social - Promos'!$A:$A,"p11")</f>
        <v>729</v>
      </c>
      <c r="M139" s="375">
        <f t="shared" si="229"/>
        <v>1.9931412894375857</v>
      </c>
      <c r="N139" s="417">
        <f>SUMIFS('Social - Promos'!$W:$W,'Social - Promos'!$A:$A,"p11")</f>
        <v>3</v>
      </c>
      <c r="O139" s="417">
        <f>SUMIFS('Social - Promos'!$X:$X,'Social - Promos'!$A:$A,"p11")</f>
        <v>1</v>
      </c>
      <c r="P139" s="378">
        <f t="shared" si="230"/>
        <v>2</v>
      </c>
      <c r="Q139" s="379">
        <f t="shared" si="231"/>
        <v>1.3748854262144821E-3</v>
      </c>
      <c r="R139" s="379">
        <f t="shared" si="232"/>
        <v>1.3717421124828531E-3</v>
      </c>
      <c r="S139" s="378">
        <f t="shared" si="233"/>
        <v>2.2914757103574971E-3</v>
      </c>
      <c r="T139" s="374">
        <f t="shared" si="234"/>
        <v>2330.4751166666665</v>
      </c>
      <c r="U139" s="374">
        <f t="shared" si="235"/>
        <v>0</v>
      </c>
      <c r="V139" s="375" t="e">
        <f t="shared" si="236"/>
        <v>#DIV/0!</v>
      </c>
      <c r="W139" s="374">
        <f t="shared" si="237"/>
        <v>120</v>
      </c>
      <c r="X139" s="374">
        <f t="shared" si="238"/>
        <v>29</v>
      </c>
      <c r="Y139" s="378">
        <f t="shared" si="239"/>
        <v>3.1379310344827585</v>
      </c>
      <c r="Z139" s="419">
        <f>SUMIFS('Social - Promos'!$AF:$AF,'Social - Promos'!$A:$A,"p11")</f>
        <v>6215</v>
      </c>
      <c r="AA139" s="417">
        <f>SUMIFS('Social - Promos'!$AG:$AG,'Social - Promos'!$A:$A,"p11")</f>
        <v>0</v>
      </c>
      <c r="AB139" s="378" t="e">
        <f t="shared" si="240"/>
        <v>#DIV/0!</v>
      </c>
      <c r="AC139" s="419">
        <f>SUMIFS('Social - Promos'!$AI:$AI,'Social - Promos'!$A:$A,"p11")</f>
        <v>757633</v>
      </c>
      <c r="AD139" s="417">
        <f>SUMIFS('Social - Promos'!$AJ:$AJ,'Social - Promos'!$A:$A,"p11")</f>
        <v>0</v>
      </c>
      <c r="AE139" s="378" t="e">
        <f t="shared" si="241"/>
        <v>#DIV/0!</v>
      </c>
      <c r="AF139" s="379">
        <f t="shared" si="245"/>
        <v>8.2031801677065284E-3</v>
      </c>
      <c r="AG139" s="379" t="e">
        <f t="shared" si="246"/>
        <v>#DIV/0!</v>
      </c>
      <c r="AH139" s="378" t="e">
        <f t="shared" si="244"/>
        <v>#DIV/0!</v>
      </c>
    </row>
    <row r="140" spans="1:34" outlineLevel="1" x14ac:dyDescent="0.3">
      <c r="A140" s="373" t="s">
        <v>286</v>
      </c>
      <c r="B140" s="374">
        <f>SUMIFS('Social - Remarketing'!$D:$D,'Social - Remarketing'!$A:$A,"P11")</f>
        <v>1148</v>
      </c>
      <c r="C140" s="374">
        <f>SUMIFS('Social - Remarketing'!$E:$E,'Social - Remarketing'!$A:$A,"P11")</f>
        <v>0</v>
      </c>
      <c r="D140" s="369" t="e">
        <f t="shared" si="224"/>
        <v>#DIV/0!</v>
      </c>
      <c r="E140" s="374">
        <f>SUMIFS('Social - Remarketing'!$H:$H,'Social - Remarketing'!$A:$A,"P11")</f>
        <v>5000.2658999999994</v>
      </c>
      <c r="F140" s="374">
        <f>SUMIFS('Social - Remarketing'!$I:$I,'Social - Remarketing'!$A:$A,"P11")</f>
        <v>0</v>
      </c>
      <c r="G140" s="369" t="e">
        <f t="shared" si="225"/>
        <v>#DIV/0!</v>
      </c>
      <c r="H140" s="386">
        <f t="shared" si="226"/>
        <v>0.2295877905213001</v>
      </c>
      <c r="I140" s="386" t="e">
        <f t="shared" si="227"/>
        <v>#DIV/0!</v>
      </c>
      <c r="J140" s="369" t="e">
        <f t="shared" si="228"/>
        <v>#DIV/0!</v>
      </c>
      <c r="K140" s="417">
        <f>SUMIFS('Social - Remarketing'!$X:$X,'Social - Remarketing'!$A:$A,"P11")</f>
        <v>3829</v>
      </c>
      <c r="L140" s="417">
        <f>SUMIFS('Social - Remarketing'!$Y:$Y,'Social - Remarketing'!$A:$A,"P11")</f>
        <v>0</v>
      </c>
      <c r="M140" s="375" t="e">
        <f t="shared" si="229"/>
        <v>#DIV/0!</v>
      </c>
      <c r="N140" s="417">
        <f>SUMIFS('Social - Remarketing'!$AB:$AB,'Social - Remarketing'!$A:$A,"P11")</f>
        <v>14</v>
      </c>
      <c r="O140" s="417">
        <f>SUMIFS('Social - Remarketing'!$AC:$AC,'Social - Remarketing'!$A:$A,"P11")</f>
        <v>0</v>
      </c>
      <c r="P140" s="378" t="e">
        <f t="shared" si="230"/>
        <v>#DIV/0!</v>
      </c>
      <c r="Q140" s="379">
        <f t="shared" si="231"/>
        <v>3.6563071297989031E-3</v>
      </c>
      <c r="R140" s="379" t="e">
        <f t="shared" si="232"/>
        <v>#DIV/0!</v>
      </c>
      <c r="S140" s="378" t="e">
        <f t="shared" si="233"/>
        <v>#DIV/0!</v>
      </c>
      <c r="T140" s="374">
        <f t="shared" si="234"/>
        <v>357.16184999999996</v>
      </c>
      <c r="U140" s="374" t="e">
        <f t="shared" si="235"/>
        <v>#DIV/0!</v>
      </c>
      <c r="V140" s="375" t="e">
        <f t="shared" si="236"/>
        <v>#DIV/0!</v>
      </c>
      <c r="W140" s="374">
        <f t="shared" si="237"/>
        <v>82</v>
      </c>
      <c r="X140" s="374" t="e">
        <f t="shared" si="238"/>
        <v>#DIV/0!</v>
      </c>
      <c r="Y140" s="378" t="e">
        <f t="shared" si="239"/>
        <v>#DIV/0!</v>
      </c>
      <c r="Z140" s="419">
        <f>SUMIFS('Social - Remarketing'!$AN:$AN,'Social - Remarketing'!$A:$A,"P11")</f>
        <v>4807</v>
      </c>
      <c r="AA140" s="417">
        <f>SUMIFS('Social - Remarketing'!$AO:$AO,'Social - Remarketing'!$A:$A,"P11")</f>
        <v>0</v>
      </c>
      <c r="AB140" s="378" t="e">
        <f t="shared" si="240"/>
        <v>#DIV/0!</v>
      </c>
      <c r="AC140" s="419">
        <f>SUMIFS('Social - Remarketing'!$AR:$AR,'Social - Remarketing'!$A:$A,"P11")</f>
        <v>180756</v>
      </c>
      <c r="AD140" s="417">
        <f>SUMIFS('Social - Remarketing'!$AS:$AS,'Social - Remarketing'!$A:$A,"P11")</f>
        <v>0</v>
      </c>
      <c r="AE140" s="378" t="e">
        <f t="shared" si="241"/>
        <v>#DIV/0!</v>
      </c>
      <c r="AF140" s="379">
        <f t="shared" si="245"/>
        <v>2.6593861337936224E-2</v>
      </c>
      <c r="AG140" s="379" t="e">
        <f t="shared" si="246"/>
        <v>#DIV/0!</v>
      </c>
      <c r="AH140" s="378" t="e">
        <f t="shared" si="244"/>
        <v>#DIV/0!</v>
      </c>
    </row>
    <row r="141" spans="1:34" s="367" customFormat="1" ht="21" customHeight="1" x14ac:dyDescent="0.3">
      <c r="A141" s="367" t="s">
        <v>15</v>
      </c>
      <c r="B141" s="368">
        <f>SUM(B142:B143)</f>
        <v>0</v>
      </c>
      <c r="C141" s="368">
        <f>SUM(C142:C143)</f>
        <v>0</v>
      </c>
      <c r="D141" s="369" t="e">
        <f t="shared" si="224"/>
        <v>#DIV/0!</v>
      </c>
      <c r="E141" s="368">
        <f>SUM(E142:E143)</f>
        <v>0</v>
      </c>
      <c r="F141" s="368">
        <f>SUM(F142:F143)</f>
        <v>0</v>
      </c>
      <c r="G141" s="369" t="e">
        <f t="shared" si="225"/>
        <v>#DIV/0!</v>
      </c>
      <c r="H141" s="370" t="e">
        <f t="shared" si="226"/>
        <v>#DIV/0!</v>
      </c>
      <c r="I141" s="370" t="e">
        <f t="shared" si="227"/>
        <v>#DIV/0!</v>
      </c>
      <c r="J141" s="369" t="e">
        <f t="shared" si="228"/>
        <v>#DIV/0!</v>
      </c>
      <c r="K141" s="416">
        <f>SUM(K142:K143)</f>
        <v>0</v>
      </c>
      <c r="L141" s="416">
        <f>SUM(L142:L143)</f>
        <v>33</v>
      </c>
      <c r="M141" s="369">
        <f t="shared" si="229"/>
        <v>-1</v>
      </c>
      <c r="N141" s="416">
        <f>SUM(N142:N143)</f>
        <v>0</v>
      </c>
      <c r="O141" s="416">
        <f>SUM(O142:O143)</f>
        <v>0</v>
      </c>
      <c r="P141" s="381" t="e">
        <f t="shared" si="230"/>
        <v>#DIV/0!</v>
      </c>
      <c r="Q141" s="382" t="e">
        <f t="shared" si="231"/>
        <v>#DIV/0!</v>
      </c>
      <c r="R141" s="382">
        <f t="shared" si="232"/>
        <v>0</v>
      </c>
      <c r="S141" s="381" t="e">
        <f t="shared" si="233"/>
        <v>#DIV/0!</v>
      </c>
      <c r="T141" s="383" t="e">
        <f t="shared" si="234"/>
        <v>#DIV/0!</v>
      </c>
      <c r="U141" s="383" t="e">
        <f t="shared" si="235"/>
        <v>#DIV/0!</v>
      </c>
      <c r="V141" s="369" t="e">
        <f t="shared" si="236"/>
        <v>#DIV/0!</v>
      </c>
      <c r="W141" s="383" t="e">
        <f t="shared" si="237"/>
        <v>#DIV/0!</v>
      </c>
      <c r="X141" s="383" t="e">
        <f t="shared" si="238"/>
        <v>#DIV/0!</v>
      </c>
      <c r="Y141" s="381" t="e">
        <f t="shared" si="239"/>
        <v>#DIV/0!</v>
      </c>
      <c r="Z141" s="420">
        <f>SUM(Z142:Z143)</f>
        <v>0</v>
      </c>
      <c r="AA141" s="416">
        <f>SUM(AA142:AA143)</f>
        <v>0</v>
      </c>
      <c r="AB141" s="381" t="e">
        <f t="shared" si="240"/>
        <v>#DIV/0!</v>
      </c>
      <c r="AC141" s="420">
        <f>SUM(AC142:AC143)</f>
        <v>0</v>
      </c>
      <c r="AD141" s="416">
        <f>SUM(AD142:AD143)</f>
        <v>0</v>
      </c>
      <c r="AE141" s="381" t="e">
        <f t="shared" si="241"/>
        <v>#DIV/0!</v>
      </c>
      <c r="AF141" s="382" t="e">
        <f t="shared" si="245"/>
        <v>#DIV/0!</v>
      </c>
      <c r="AG141" s="382" t="e">
        <f t="shared" si="246"/>
        <v>#DIV/0!</v>
      </c>
      <c r="AH141" s="381" t="e">
        <f t="shared" si="244"/>
        <v>#DIV/0!</v>
      </c>
    </row>
    <row r="142" spans="1:34" outlineLevel="1" x14ac:dyDescent="0.3">
      <c r="A142" s="373" t="s">
        <v>285</v>
      </c>
      <c r="B142" s="374">
        <f>SUMIFS('Display - Promos'!$E:$E,'Display - Promos'!$A:$A,"P11")</f>
        <v>0</v>
      </c>
      <c r="C142" s="374">
        <f>SUMIFS('Display - Promos'!$F:$F,'Display - Promos'!$A:$A,"P11")</f>
        <v>0</v>
      </c>
      <c r="D142" s="375" t="e">
        <f t="shared" si="224"/>
        <v>#DIV/0!</v>
      </c>
      <c r="E142" s="374">
        <f>SUMIFS('Display - Promos'!$H:$H,'Display - Promos'!$A:$A,"p11")</f>
        <v>0</v>
      </c>
      <c r="F142" s="374">
        <f>SUMIFS('Display - Promos'!$I:$I,'Display - Promos'!$A:$A,"p11")</f>
        <v>0</v>
      </c>
      <c r="G142" s="375" t="e">
        <f t="shared" si="225"/>
        <v>#DIV/0!</v>
      </c>
      <c r="H142" s="386" t="e">
        <f t="shared" si="226"/>
        <v>#DIV/0!</v>
      </c>
      <c r="I142" s="386" t="e">
        <f t="shared" si="227"/>
        <v>#DIV/0!</v>
      </c>
      <c r="J142" s="369" t="e">
        <f t="shared" si="228"/>
        <v>#DIV/0!</v>
      </c>
      <c r="K142" s="417">
        <f>SUMIFS('Display - Promos'!$N:$N,'Display - Promos'!$A:$A,"p11")</f>
        <v>0</v>
      </c>
      <c r="L142" s="417">
        <f>SUMIFS('Display - Promos'!$O:$O,'Display - Promos'!$A:$A,"p11")</f>
        <v>33</v>
      </c>
      <c r="M142" s="375">
        <f t="shared" si="229"/>
        <v>-1</v>
      </c>
      <c r="N142" s="417">
        <f>SUMIFS('Display - Promos'!$Q:$Q,'Display - Promos'!$A:$A,"p11")</f>
        <v>0</v>
      </c>
      <c r="O142" s="417">
        <f>SUMIFS('Display - Promos'!$R:$R,'Display - Promos'!$A:$A,"p11")</f>
        <v>0</v>
      </c>
      <c r="P142" s="378" t="e">
        <f t="shared" si="230"/>
        <v>#DIV/0!</v>
      </c>
      <c r="Q142" s="379" t="e">
        <f t="shared" si="231"/>
        <v>#DIV/0!</v>
      </c>
      <c r="R142" s="379">
        <f t="shared" si="232"/>
        <v>0</v>
      </c>
      <c r="S142" s="378" t="e">
        <f t="shared" si="233"/>
        <v>#DIV/0!</v>
      </c>
      <c r="T142" s="374" t="e">
        <f t="shared" si="234"/>
        <v>#DIV/0!</v>
      </c>
      <c r="U142" s="374" t="e">
        <f t="shared" si="235"/>
        <v>#DIV/0!</v>
      </c>
      <c r="V142" s="375" t="e">
        <f t="shared" si="236"/>
        <v>#DIV/0!</v>
      </c>
      <c r="W142" s="374" t="e">
        <f t="shared" si="237"/>
        <v>#DIV/0!</v>
      </c>
      <c r="X142" s="374" t="e">
        <f t="shared" si="238"/>
        <v>#DIV/0!</v>
      </c>
      <c r="Y142" s="378" t="e">
        <f t="shared" si="239"/>
        <v>#DIV/0!</v>
      </c>
      <c r="Z142" s="419">
        <f>SUMIFS('Display - Promos'!$W:$W,'Display - Promos'!$A:$A,"p11")</f>
        <v>0</v>
      </c>
      <c r="AA142" s="417">
        <f>SUMIFS('Display - Promos'!$X:$X,'Display - Promos'!$A:$A,"p11")</f>
        <v>0</v>
      </c>
      <c r="AB142" s="378" t="e">
        <f t="shared" si="240"/>
        <v>#DIV/0!</v>
      </c>
      <c r="AC142" s="419">
        <f>SUMIFS('Display - Promos'!$Z:$Z,'Display - Promos'!$A:$A,"p11")</f>
        <v>0</v>
      </c>
      <c r="AD142" s="417">
        <f>SUMIFS('Display - Promos'!$AA:$AA,'Display - Promos'!$A:$A,"p11")</f>
        <v>0</v>
      </c>
      <c r="AE142" s="378" t="e">
        <f t="shared" si="241"/>
        <v>#DIV/0!</v>
      </c>
      <c r="AF142" s="379" t="e">
        <f t="shared" si="245"/>
        <v>#DIV/0!</v>
      </c>
      <c r="AG142" s="379" t="e">
        <f t="shared" si="246"/>
        <v>#DIV/0!</v>
      </c>
      <c r="AH142" s="378" t="e">
        <f t="shared" si="244"/>
        <v>#DIV/0!</v>
      </c>
    </row>
    <row r="143" spans="1:34" ht="19.5" outlineLevel="1" thickBot="1" x14ac:dyDescent="0.35">
      <c r="A143" s="373" t="s">
        <v>286</v>
      </c>
      <c r="B143" s="374">
        <f>SUMIFS('Display - Remarketing'!$D:$D,'Display - Remarketing'!$A:$A,"P11")</f>
        <v>0</v>
      </c>
      <c r="C143" s="374">
        <f>SUMIFS('Display - Remarketing'!$E:$E,'Display - Remarketing'!$A:$A,"P11")</f>
        <v>0</v>
      </c>
      <c r="D143" s="369" t="e">
        <f t="shared" si="224"/>
        <v>#DIV/0!</v>
      </c>
      <c r="E143" s="374">
        <f>SUMIFS('Display - Remarketing'!$H:$H,'Display - Remarketing'!$A:$A,"P11")</f>
        <v>0</v>
      </c>
      <c r="F143" s="374">
        <f>SUMIFS('Display - Remarketing'!$I:$I,'Display - Remarketing'!$A:$A,"P11")</f>
        <v>0</v>
      </c>
      <c r="G143" s="369" t="e">
        <f t="shared" si="225"/>
        <v>#DIV/0!</v>
      </c>
      <c r="H143" s="386" t="e">
        <f t="shared" si="226"/>
        <v>#DIV/0!</v>
      </c>
      <c r="I143" s="386" t="e">
        <f t="shared" si="227"/>
        <v>#DIV/0!</v>
      </c>
      <c r="J143" s="369" t="e">
        <f t="shared" si="228"/>
        <v>#DIV/0!</v>
      </c>
      <c r="K143" s="417">
        <f>SUMIFS('Display - Remarketing'!$P:$P,'Display - Remarketing'!$A:$A,"P11")</f>
        <v>0</v>
      </c>
      <c r="L143" s="417">
        <f>SUMIFS('Display - Remarketing'!$Q:$Q,'Display - Remarketing'!$A:$A,"P11")</f>
        <v>0</v>
      </c>
      <c r="M143" s="375" t="e">
        <f t="shared" si="229"/>
        <v>#DIV/0!</v>
      </c>
      <c r="N143" s="417">
        <f>SUMIFS('Display - Remarketing'!$T:$T,'Display - Remarketing'!$A:$A,"P11")</f>
        <v>0</v>
      </c>
      <c r="O143" s="417">
        <f>SUMIFS('Display - Remarketing'!$U:$U,'Display - Remarketing'!$A:$A,"P11")</f>
        <v>0</v>
      </c>
      <c r="P143" s="378" t="e">
        <f t="shared" si="230"/>
        <v>#DIV/0!</v>
      </c>
      <c r="Q143" s="379" t="e">
        <f t="shared" si="231"/>
        <v>#DIV/0!</v>
      </c>
      <c r="R143" s="379" t="e">
        <f t="shared" si="232"/>
        <v>#DIV/0!</v>
      </c>
      <c r="S143" s="378" t="e">
        <f t="shared" si="233"/>
        <v>#DIV/0!</v>
      </c>
      <c r="T143" s="374" t="e">
        <f t="shared" si="234"/>
        <v>#DIV/0!</v>
      </c>
      <c r="U143" s="374" t="e">
        <f t="shared" si="235"/>
        <v>#DIV/0!</v>
      </c>
      <c r="V143" s="375" t="e">
        <f t="shared" si="236"/>
        <v>#DIV/0!</v>
      </c>
      <c r="W143" s="374" t="e">
        <f t="shared" si="237"/>
        <v>#DIV/0!</v>
      </c>
      <c r="X143" s="374" t="e">
        <f t="shared" si="238"/>
        <v>#DIV/0!</v>
      </c>
      <c r="Y143" s="378" t="e">
        <f t="shared" si="239"/>
        <v>#DIV/0!</v>
      </c>
      <c r="Z143" s="419">
        <f>SUMIFS('Display - Remarketing'!$AB:$AB,'Display - Remarketing'!$A:$A,"p11")</f>
        <v>0</v>
      </c>
      <c r="AA143" s="417">
        <f>SUMIFS('Display - Remarketing'!$AC:$AC,'Display - Remarketing'!$A:$A,"P11")</f>
        <v>0</v>
      </c>
      <c r="AB143" s="378" t="e">
        <f t="shared" si="240"/>
        <v>#DIV/0!</v>
      </c>
      <c r="AC143" s="419">
        <f>SUMIFS('Display - Remarketing'!$AF:$AF,'Display - Remarketing'!$A:$A,"P11")</f>
        <v>0</v>
      </c>
      <c r="AD143" s="417">
        <f>SUMIFS('Display - Remarketing'!$AG:$AG,'Display - Remarketing'!$A:$A,"P11")</f>
        <v>0</v>
      </c>
      <c r="AE143" s="378" t="e">
        <f t="shared" si="241"/>
        <v>#DIV/0!</v>
      </c>
      <c r="AF143" s="379" t="e">
        <f t="shared" si="245"/>
        <v>#DIV/0!</v>
      </c>
      <c r="AG143" s="379" t="e">
        <f t="shared" si="246"/>
        <v>#DIV/0!</v>
      </c>
      <c r="AH143" s="378" t="e">
        <f t="shared" si="244"/>
        <v>#DIV/0!</v>
      </c>
    </row>
    <row r="144" spans="1:34" s="395" customFormat="1" ht="22.5" thickTop="1" thickBot="1" x14ac:dyDescent="0.4">
      <c r="A144" s="387" t="s">
        <v>16</v>
      </c>
      <c r="B144" s="388">
        <f>B133+B137+B138+B141</f>
        <v>250842</v>
      </c>
      <c r="C144" s="388">
        <f>C133+C137+C138+C141</f>
        <v>140978</v>
      </c>
      <c r="D144" s="389">
        <f t="shared" si="224"/>
        <v>0.77929889770035043</v>
      </c>
      <c r="E144" s="388">
        <f>E133+E137+E138+E141</f>
        <v>50777.701249999998</v>
      </c>
      <c r="F144" s="388">
        <f>F133+F137+F138+F141</f>
        <v>37712.579999999994</v>
      </c>
      <c r="G144" s="390">
        <f t="shared" si="225"/>
        <v>0.34643933801399973</v>
      </c>
      <c r="H144" s="391">
        <f t="shared" si="226"/>
        <v>4.9400030687683012</v>
      </c>
      <c r="I144" s="391">
        <f t="shared" si="227"/>
        <v>3.7382220998934579</v>
      </c>
      <c r="J144" s="390">
        <f t="shared" si="228"/>
        <v>0.32148463541240502</v>
      </c>
      <c r="K144" s="392">
        <f>K133+K137+K138+K141</f>
        <v>75891</v>
      </c>
      <c r="L144" s="392">
        <f>L133+L137+L138+L141</f>
        <v>43194</v>
      </c>
      <c r="M144" s="390">
        <f t="shared" si="229"/>
        <v>0.75698013613001802</v>
      </c>
      <c r="N144" s="392">
        <f>N133+N137+N138+N141</f>
        <v>2149</v>
      </c>
      <c r="O144" s="392">
        <f>O133+O137+O138+O141</f>
        <v>1135</v>
      </c>
      <c r="P144" s="389">
        <f t="shared" si="230"/>
        <v>0.89339207048458147</v>
      </c>
      <c r="Q144" s="393">
        <f t="shared" si="231"/>
        <v>2.8316928226008353E-2</v>
      </c>
      <c r="R144" s="393">
        <f t="shared" si="232"/>
        <v>2.627679770338473E-2</v>
      </c>
      <c r="S144" s="389">
        <f t="shared" si="233"/>
        <v>7.7639998056568058E-2</v>
      </c>
      <c r="T144" s="388">
        <f t="shared" si="234"/>
        <v>23.628525476966029</v>
      </c>
      <c r="U144" s="388">
        <f t="shared" si="235"/>
        <v>33.226942731277525</v>
      </c>
      <c r="V144" s="390">
        <f t="shared" si="236"/>
        <v>-0.28887452366408106</v>
      </c>
      <c r="W144" s="388">
        <f t="shared" si="237"/>
        <v>116.72498836668218</v>
      </c>
      <c r="X144" s="388">
        <f t="shared" si="238"/>
        <v>124.20969162995594</v>
      </c>
      <c r="Y144" s="389">
        <f t="shared" si="239"/>
        <v>-6.0258609171755281E-2</v>
      </c>
      <c r="Z144" s="444">
        <f>Z133+Z137+Z138+Z141</f>
        <v>52489</v>
      </c>
      <c r="AA144" s="394">
        <f>AA133+AA137+AA138+AA141</f>
        <v>23895</v>
      </c>
      <c r="AB144" s="389">
        <f t="shared" si="240"/>
        <v>1.1966520192508894</v>
      </c>
      <c r="AC144" s="444">
        <f>AC133+AC137+AC138+AC141</f>
        <v>2177953</v>
      </c>
      <c r="AD144" s="392">
        <f>AD133+AD137+AD138+AD141</f>
        <v>168074</v>
      </c>
      <c r="AE144" s="389">
        <f t="shared" si="241"/>
        <v>11.958298130585337</v>
      </c>
      <c r="AF144" s="393">
        <f t="shared" si="245"/>
        <v>2.4100152758117371E-2</v>
      </c>
      <c r="AG144" s="393">
        <f t="shared" si="246"/>
        <v>0.14216952056832111</v>
      </c>
      <c r="AH144" s="389">
        <f>(AF144-AG144)/AG144</f>
        <v>-0.83048298494798833</v>
      </c>
    </row>
    <row r="145" spans="1:34" x14ac:dyDescent="0.3">
      <c r="A145" s="359" t="s">
        <v>83</v>
      </c>
      <c r="B145" s="360" t="s">
        <v>1</v>
      </c>
      <c r="C145" s="360" t="s">
        <v>117</v>
      </c>
      <c r="D145" s="361" t="s">
        <v>24</v>
      </c>
      <c r="E145" s="360" t="s">
        <v>2</v>
      </c>
      <c r="F145" s="360" t="s">
        <v>99</v>
      </c>
      <c r="G145" s="361" t="s">
        <v>24</v>
      </c>
      <c r="H145" s="362" t="s">
        <v>3</v>
      </c>
      <c r="I145" s="362" t="s">
        <v>100</v>
      </c>
      <c r="J145" s="361" t="s">
        <v>24</v>
      </c>
      <c r="K145" s="362" t="s">
        <v>4</v>
      </c>
      <c r="L145" s="363" t="s">
        <v>101</v>
      </c>
      <c r="M145" s="361" t="s">
        <v>24</v>
      </c>
      <c r="N145" s="363" t="s">
        <v>5</v>
      </c>
      <c r="O145" s="363" t="s">
        <v>102</v>
      </c>
      <c r="P145" s="361" t="s">
        <v>24</v>
      </c>
      <c r="Q145" s="363" t="s">
        <v>109</v>
      </c>
      <c r="R145" s="363" t="s">
        <v>110</v>
      </c>
      <c r="S145" s="361" t="s">
        <v>24</v>
      </c>
      <c r="T145" s="364" t="s">
        <v>149</v>
      </c>
      <c r="U145" s="364" t="s">
        <v>150</v>
      </c>
      <c r="V145" s="361" t="s">
        <v>24</v>
      </c>
      <c r="W145" s="364" t="s">
        <v>6</v>
      </c>
      <c r="X145" s="364" t="s">
        <v>103</v>
      </c>
      <c r="Y145" s="361" t="s">
        <v>24</v>
      </c>
      <c r="Z145" s="446" t="s">
        <v>7</v>
      </c>
      <c r="AA145" s="363" t="s">
        <v>104</v>
      </c>
      <c r="AB145" s="361" t="s">
        <v>24</v>
      </c>
      <c r="AC145" s="442" t="s">
        <v>25</v>
      </c>
      <c r="AD145" s="365" t="s">
        <v>105</v>
      </c>
      <c r="AE145" s="361" t="s">
        <v>24</v>
      </c>
      <c r="AF145" s="366" t="s">
        <v>9</v>
      </c>
      <c r="AG145" s="366" t="s">
        <v>106</v>
      </c>
      <c r="AH145" s="361" t="s">
        <v>24</v>
      </c>
    </row>
    <row r="146" spans="1:34" s="367" customFormat="1" ht="20.100000000000001" customHeight="1" x14ac:dyDescent="0.3">
      <c r="A146" s="367" t="s">
        <v>10</v>
      </c>
      <c r="B146" s="368">
        <f>SUM(B147:B149)</f>
        <v>159085</v>
      </c>
      <c r="C146" s="368">
        <f>SUM(C147:C149)</f>
        <v>90939</v>
      </c>
      <c r="D146" s="369">
        <f t="shared" ref="D146:D157" si="247">(B146-C146)/C146</f>
        <v>0.74935946073741744</v>
      </c>
      <c r="E146" s="368">
        <f>SUM(E147:E149)</f>
        <v>49141.369999999995</v>
      </c>
      <c r="F146" s="368">
        <f>SUM(F147:F149)</f>
        <v>32626.449999999997</v>
      </c>
      <c r="G146" s="369">
        <f t="shared" ref="G146:G157" si="248">(E146-F146)/F146</f>
        <v>0.50618194746900136</v>
      </c>
      <c r="H146" s="370">
        <f t="shared" ref="H146:H157" si="249">B146/E146</f>
        <v>3.2372927331899786</v>
      </c>
      <c r="I146" s="370">
        <f t="shared" ref="I146:I157" si="250">C146/F146</f>
        <v>2.7872784198096947</v>
      </c>
      <c r="J146" s="369">
        <f t="shared" ref="J146:J157" si="251">(H146-I146)/I146</f>
        <v>0.16145294642327451</v>
      </c>
      <c r="K146" s="416">
        <f>SUM(K147:K149)</f>
        <v>90141</v>
      </c>
      <c r="L146" s="416">
        <f>SUM(L147:L149)</f>
        <v>54167</v>
      </c>
      <c r="M146" s="369">
        <f t="shared" ref="M146:M157" si="252">(K146-L146)/L146</f>
        <v>0.66413129765355294</v>
      </c>
      <c r="N146" s="416">
        <f>SUM(N147:N149)</f>
        <v>1250</v>
      </c>
      <c r="O146" s="416">
        <f>SUM(O147:O149)</f>
        <v>725</v>
      </c>
      <c r="P146" s="369">
        <f t="shared" ref="P146:P157" si="253">(N146-O146)/O146</f>
        <v>0.72413793103448276</v>
      </c>
      <c r="Q146" s="372">
        <f t="shared" ref="Q146:Q157" si="254">N146/K146</f>
        <v>1.3867163665812449E-2</v>
      </c>
      <c r="R146" s="372">
        <f t="shared" ref="R146:R157" si="255">O146/L146</f>
        <v>1.3384533018258348E-2</v>
      </c>
      <c r="S146" s="369">
        <f t="shared" ref="S146:S157" si="256">(Q146-R146)/R146</f>
        <v>3.6058833498017855E-2</v>
      </c>
      <c r="T146" s="368">
        <f t="shared" ref="T146:T157" si="257">E146/N146</f>
        <v>39.313095999999994</v>
      </c>
      <c r="U146" s="368">
        <f t="shared" ref="U146:U157" si="258">F146/O146</f>
        <v>45.001999999999995</v>
      </c>
      <c r="V146" s="369">
        <f t="shared" ref="V146:V157" si="259">(T146-U146)/U146</f>
        <v>-0.12641447046797924</v>
      </c>
      <c r="W146" s="368">
        <f t="shared" ref="W146:W157" si="260">B146/N146</f>
        <v>127.268</v>
      </c>
      <c r="X146" s="368">
        <f t="shared" ref="X146:X157" si="261">C146/O146</f>
        <v>125.43310344827586</v>
      </c>
      <c r="Y146" s="369">
        <f t="shared" ref="Y146:Y157" si="262">(W146-X146)/X146</f>
        <v>1.4628487227702122E-2</v>
      </c>
      <c r="Z146" s="420">
        <f>SUM(Z147:Z149)</f>
        <v>79575</v>
      </c>
      <c r="AA146" s="416">
        <f>SUM(AA147:AA149)</f>
        <v>46539</v>
      </c>
      <c r="AB146" s="369">
        <f t="shared" ref="AB146:AB157" si="263">(Z146-AA146)/AA146</f>
        <v>0.70985624959711213</v>
      </c>
      <c r="AC146" s="420">
        <f>SUM(AC147:AC149)</f>
        <v>2736703</v>
      </c>
      <c r="AD146" s="416">
        <f>SUM(AD147:AD149)</f>
        <v>256833</v>
      </c>
      <c r="AE146" s="369">
        <f t="shared" ref="AE146:AE157" si="264">(AC146-AD146)/AD146</f>
        <v>9.6555738553846275</v>
      </c>
      <c r="AF146" s="372">
        <f t="shared" ref="AF146:AF149" si="265">Z146/AC146</f>
        <v>2.9076958661571971E-2</v>
      </c>
      <c r="AG146" s="372">
        <f t="shared" ref="AG146:AG149" si="266">AA146/AD146</f>
        <v>0.18120335003679433</v>
      </c>
      <c r="AH146" s="369">
        <f>(AF146-AG146)/AG146</f>
        <v>-0.83953409991775685</v>
      </c>
    </row>
    <row r="147" spans="1:34" outlineLevel="1" x14ac:dyDescent="0.3">
      <c r="A147" s="373" t="s">
        <v>29</v>
      </c>
      <c r="B147" s="374">
        <f>SUMIFS(Search!$E:$E,Search!$A:$A,"P12",Search!$D:$D,"Brand")</f>
        <v>131991</v>
      </c>
      <c r="C147" s="374">
        <f>SUMIFS(Search!$F:$F,Search!$A:$A,"P12",Search!$D:$D,"Brand")</f>
        <v>86033</v>
      </c>
      <c r="D147" s="369">
        <f t="shared" si="247"/>
        <v>0.53419036881196746</v>
      </c>
      <c r="E147" s="374">
        <f>SUMIFS(Search!$I:$I,Search!$A:$A,"P12",Search!$D:$D,"Brand")</f>
        <v>9607.23</v>
      </c>
      <c r="F147" s="374">
        <f>SUMIFS(Search!$J:$J,Search!$A:$A,"P12",Search!$D:$D,"Brand")</f>
        <v>6125.39</v>
      </c>
      <c r="G147" s="375">
        <f t="shared" si="248"/>
        <v>0.56842747971965846</v>
      </c>
      <c r="H147" s="376">
        <f t="shared" si="249"/>
        <v>13.738715529866569</v>
      </c>
      <c r="I147" s="376">
        <f t="shared" si="250"/>
        <v>14.045309768031096</v>
      </c>
      <c r="J147" s="375">
        <f t="shared" si="251"/>
        <v>-2.1828940993695568E-2</v>
      </c>
      <c r="K147" s="417">
        <f>SUMIFS(Search!$Q:$Q,Search!$A:$A,"P12",Search!$D:$D,"Brand")</f>
        <v>40024</v>
      </c>
      <c r="L147" s="417">
        <f>SUMIFS(Search!$R:$R,Search!$A:$A,"P12",Search!$D:$D,"Brand")</f>
        <v>33487</v>
      </c>
      <c r="M147" s="375">
        <f t="shared" si="252"/>
        <v>0.19521008152417357</v>
      </c>
      <c r="N147" s="417">
        <f>SUMIFS(Search!$U:$U,Search!$A:$A,"P12",Search!$D:$D,"Brand")</f>
        <v>990</v>
      </c>
      <c r="O147" s="417">
        <f>SUMIFS(Search!$V:$V,Search!$A:$A,"P12",Search!$D:$D,"Brand")</f>
        <v>673</v>
      </c>
      <c r="P147" s="378">
        <f t="shared" si="253"/>
        <v>0.47102526002971767</v>
      </c>
      <c r="Q147" s="379">
        <f t="shared" si="254"/>
        <v>2.4735158904657207E-2</v>
      </c>
      <c r="R147" s="379">
        <f t="shared" si="255"/>
        <v>2.0097351210917668E-2</v>
      </c>
      <c r="S147" s="378">
        <f t="shared" si="256"/>
        <v>0.23076711179830006</v>
      </c>
      <c r="T147" s="374">
        <f t="shared" si="257"/>
        <v>9.7042727272727269</v>
      </c>
      <c r="U147" s="374">
        <f t="shared" si="258"/>
        <v>9.1016196136701346</v>
      </c>
      <c r="V147" s="375">
        <f t="shared" si="259"/>
        <v>6.6213832173060747E-2</v>
      </c>
      <c r="W147" s="374">
        <f t="shared" si="260"/>
        <v>133.32424242424241</v>
      </c>
      <c r="X147" s="374">
        <f t="shared" si="261"/>
        <v>127.83506686478455</v>
      </c>
      <c r="Y147" s="378">
        <f t="shared" si="262"/>
        <v>4.2939513343892941E-2</v>
      </c>
      <c r="Z147" s="419">
        <f>SUMIFS(Search!$AG:$AG,Search!$A:$A,"P12",Search!$D:$D,"Brand")</f>
        <v>28077</v>
      </c>
      <c r="AA147" s="417">
        <f>SUMIFS(Search!$AH:$AH,Search!$A:$A,"P12",Search!$D:$D,"Brand")</f>
        <v>25921</v>
      </c>
      <c r="AB147" s="378">
        <f t="shared" si="263"/>
        <v>8.3175803402646506E-2</v>
      </c>
      <c r="AC147" s="419">
        <f>SUMIFS(Search!$AK:$AK,Search!$A:$A,"P12",Search!$D:$D,"Brand")</f>
        <v>78723</v>
      </c>
      <c r="AD147" s="417">
        <f>SUMIFS(Search!$AL:$AL,Search!$A:$A,"P13",Search!$D:$D,"Brand")</f>
        <v>56605</v>
      </c>
      <c r="AE147" s="378">
        <f t="shared" si="264"/>
        <v>0.39074286723787649</v>
      </c>
      <c r="AF147" s="379">
        <f t="shared" si="265"/>
        <v>0.35665561525856482</v>
      </c>
      <c r="AG147" s="379">
        <f t="shared" si="266"/>
        <v>0.45792774489886051</v>
      </c>
      <c r="AH147" s="378">
        <f>(AF147-AG147)/AG147</f>
        <v>-0.22115307658998257</v>
      </c>
    </row>
    <row r="148" spans="1:34" outlineLevel="1" x14ac:dyDescent="0.3">
      <c r="A148" s="373" t="s">
        <v>30</v>
      </c>
      <c r="B148" s="374">
        <f>SUMIFS(Search!$E:$E,Search!$A:$A,"P12",Search!$D:$D,"Non-Brand")</f>
        <v>3034</v>
      </c>
      <c r="C148" s="374">
        <f>SUMIFS(Search!$F:$F,Search!$A:$A,"P12",Search!$D:$D,"Non-Brand")</f>
        <v>4906</v>
      </c>
      <c r="D148" s="369">
        <f t="shared" si="247"/>
        <v>-0.38157358336730535</v>
      </c>
      <c r="E148" s="374">
        <f>SUMIFS(Search!$I:$I,Search!$A:$A,"P12",Search!$D:$D,"Non-Brand")</f>
        <v>8560.56</v>
      </c>
      <c r="F148" s="374">
        <f>SUMIFS(Search!$J:$J,Search!$A:$A,"P12",Search!$D:$D,"Non-Brand")</f>
        <v>26501.059999999998</v>
      </c>
      <c r="G148" s="375">
        <f t="shared" si="248"/>
        <v>-0.67697292108315676</v>
      </c>
      <c r="H148" s="376">
        <f t="shared" si="249"/>
        <v>0.35441606623865729</v>
      </c>
      <c r="I148" s="376">
        <f t="shared" si="250"/>
        <v>0.18512467048487874</v>
      </c>
      <c r="J148" s="375">
        <f t="shared" si="251"/>
        <v>0.91447236778528951</v>
      </c>
      <c r="K148" s="417">
        <f>SUMIFS(Search!$Q:$Q,Search!$A:$A,"P12",Search!$D:$D,"Non-Brand")</f>
        <v>5838</v>
      </c>
      <c r="L148" s="417">
        <f>SUMIFS(Search!$R:$R,Search!$A:$A,"P12",Search!$D:$D,"Non-Brand")</f>
        <v>20680</v>
      </c>
      <c r="M148" s="375">
        <f t="shared" si="252"/>
        <v>-0.71769825918762087</v>
      </c>
      <c r="N148" s="417">
        <f>SUMIFS(Search!$U:$U,Search!$A:$A,"P12",Search!$D:$D,"Non-Brand")</f>
        <v>21</v>
      </c>
      <c r="O148" s="417">
        <f>SUMIFS(Search!$V:$V,Search!$A:$A,"P12",Search!$D:$D,"Non-Brand")</f>
        <v>52</v>
      </c>
      <c r="P148" s="378">
        <f t="shared" si="253"/>
        <v>-0.59615384615384615</v>
      </c>
      <c r="Q148" s="379">
        <f t="shared" si="254"/>
        <v>3.5971223021582736E-3</v>
      </c>
      <c r="R148" s="379">
        <f t="shared" si="255"/>
        <v>2.5145067698259188E-3</v>
      </c>
      <c r="S148" s="378">
        <f t="shared" si="256"/>
        <v>0.43054786939679029</v>
      </c>
      <c r="T148" s="374">
        <f t="shared" si="257"/>
        <v>407.64571428571423</v>
      </c>
      <c r="U148" s="374">
        <f t="shared" si="258"/>
        <v>509.6357692307692</v>
      </c>
      <c r="V148" s="375">
        <f t="shared" si="259"/>
        <v>-0.20012342363448324</v>
      </c>
      <c r="W148" s="374">
        <f t="shared" si="260"/>
        <v>144.47619047619048</v>
      </c>
      <c r="X148" s="374">
        <f t="shared" si="261"/>
        <v>94.34615384615384</v>
      </c>
      <c r="Y148" s="378">
        <f t="shared" si="262"/>
        <v>0.53134160309048217</v>
      </c>
      <c r="Z148" s="419">
        <f>SUMIFS(Search!$AG:$AG,Search!$A:$A,"P12",Search!$D:$D,"Non-Brand")</f>
        <v>5656</v>
      </c>
      <c r="AA148" s="417">
        <f>SUMIFS(Search!$AH:$AH,Search!$A:$A,"P12",Search!$D:$D,"Non-Brand")</f>
        <v>20618</v>
      </c>
      <c r="AB148" s="378">
        <f t="shared" si="263"/>
        <v>-0.72567659326801826</v>
      </c>
      <c r="AC148" s="419">
        <f>SUMIFS(Search!$AK:$AK,Search!$A:$A,"P12",Search!$D:$D,"Non-Brand")</f>
        <v>69153</v>
      </c>
      <c r="AD148" s="417">
        <f>SUMIFS(Search!$AL:$AL,Search!$A:$A,"P13",Search!$D:$D,"Non-Brand")</f>
        <v>200228</v>
      </c>
      <c r="AE148" s="378">
        <f t="shared" si="264"/>
        <v>-0.65462872325548871</v>
      </c>
      <c r="AF148" s="379">
        <f t="shared" si="265"/>
        <v>8.1789654823362687E-2</v>
      </c>
      <c r="AG148" s="379">
        <f t="shared" si="266"/>
        <v>0.10297261122320554</v>
      </c>
      <c r="AH148" s="378">
        <f>(AF148-AG148)/AG148</f>
        <v>-0.2057144725011027</v>
      </c>
    </row>
    <row r="149" spans="1:34" outlineLevel="1" x14ac:dyDescent="0.3">
      <c r="A149" s="373" t="s">
        <v>228</v>
      </c>
      <c r="B149" s="374">
        <f>SUMIFS(Search!$E:$E,Search!$A:$A,"P12",Search!$D:$D,"Shopping Campaigns")</f>
        <v>24060</v>
      </c>
      <c r="C149" s="374">
        <f>SUMIFS(Search!$F:$F,Search!$A:$A,"P12",Search!$D:$D,"Shopping Campaigns")</f>
        <v>0</v>
      </c>
      <c r="D149" s="369" t="e">
        <f t="shared" si="247"/>
        <v>#DIV/0!</v>
      </c>
      <c r="E149" s="374">
        <f>SUMIFS(Search!$I:$I,Search!$A:$A,"P12",Search!$D:$D,"Shopping Campaigns")</f>
        <v>30973.579999999998</v>
      </c>
      <c r="F149" s="374">
        <f>SUMIFS(Search!$J:$J,Search!$A:$A,"P12",Search!$D:$D,"Shopping Campaigns")</f>
        <v>0</v>
      </c>
      <c r="G149" s="375" t="e">
        <f t="shared" si="248"/>
        <v>#DIV/0!</v>
      </c>
      <c r="H149" s="376">
        <f t="shared" si="249"/>
        <v>0.7767910587022876</v>
      </c>
      <c r="I149" s="376" t="e">
        <f t="shared" si="250"/>
        <v>#DIV/0!</v>
      </c>
      <c r="J149" s="375" t="e">
        <f t="shared" si="251"/>
        <v>#DIV/0!</v>
      </c>
      <c r="K149" s="417">
        <f>SUMIFS(Search!$Q:$Q,Search!$A:$A,"P12",Search!$D:$D,"Shopping Campaigns")</f>
        <v>44279</v>
      </c>
      <c r="L149" s="417">
        <f>SUMIFS(Search!$R:$R,Search!$A:$A,"P12",Search!$D:$D,"Shopping Campaigns")</f>
        <v>0</v>
      </c>
      <c r="M149" s="375" t="e">
        <f t="shared" si="252"/>
        <v>#DIV/0!</v>
      </c>
      <c r="N149" s="417">
        <f>SUMIFS(Search!$U:$U,Search!$A:$A,"P12",Search!$D:$D,"Shopping Campaigns")</f>
        <v>239</v>
      </c>
      <c r="O149" s="417">
        <f>SUMIFS(Search!$V:$V,Search!$A:$A,"P12",Search!$D:$D,"Shopping Campaigns")</f>
        <v>0</v>
      </c>
      <c r="P149" s="378" t="e">
        <f t="shared" si="253"/>
        <v>#DIV/0!</v>
      </c>
      <c r="Q149" s="379">
        <f t="shared" si="254"/>
        <v>5.3975925382235375E-3</v>
      </c>
      <c r="R149" s="379" t="e">
        <f t="shared" si="255"/>
        <v>#DIV/0!</v>
      </c>
      <c r="S149" s="378" t="e">
        <f t="shared" si="256"/>
        <v>#DIV/0!</v>
      </c>
      <c r="T149" s="374">
        <f t="shared" si="257"/>
        <v>129.59656903765691</v>
      </c>
      <c r="U149" s="374" t="e">
        <f t="shared" si="258"/>
        <v>#DIV/0!</v>
      </c>
      <c r="V149" s="375" t="e">
        <f t="shared" si="259"/>
        <v>#DIV/0!</v>
      </c>
      <c r="W149" s="374">
        <f t="shared" si="260"/>
        <v>100.66945606694561</v>
      </c>
      <c r="X149" s="374" t="e">
        <f t="shared" si="261"/>
        <v>#DIV/0!</v>
      </c>
      <c r="Y149" s="378" t="e">
        <f t="shared" si="262"/>
        <v>#DIV/0!</v>
      </c>
      <c r="Z149" s="419">
        <f>SUMIFS(Search!$AG:$AG,Search!$A:$A,"P12",Search!$D:$D,"Shopping Campaigns")</f>
        <v>45842</v>
      </c>
      <c r="AA149" s="417">
        <f>SUMIFS(Search!$AH:$AH,Search!$A:$A,"P12",Search!$D:$D,"Shopping Campaigns")</f>
        <v>0</v>
      </c>
      <c r="AB149" s="378" t="e">
        <f t="shared" si="263"/>
        <v>#DIV/0!</v>
      </c>
      <c r="AC149" s="419">
        <f>SUMIFS(Search!$AK:$AK,Search!$A:$A,"P12",Search!$D:$D,"Shopping Campaigns")</f>
        <v>2588827</v>
      </c>
      <c r="AD149" s="417">
        <f>SUMIFS(Search!$AL:$AL,Search!$A:$A,"P13",Search!$D:$D,"Shopping Campaigns")</f>
        <v>0</v>
      </c>
      <c r="AE149" s="378" t="e">
        <f t="shared" si="264"/>
        <v>#DIV/0!</v>
      </c>
      <c r="AF149" s="379">
        <f t="shared" si="265"/>
        <v>1.7707633611670458E-2</v>
      </c>
      <c r="AG149" s="379" t="e">
        <f t="shared" si="266"/>
        <v>#DIV/0!</v>
      </c>
      <c r="AH149" s="378" t="e">
        <f t="shared" ref="AH149:AH156" si="267">(AF149-AG149)/AG149</f>
        <v>#DIV/0!</v>
      </c>
    </row>
    <row r="150" spans="1:34" s="367" customFormat="1" ht="21" customHeight="1" x14ac:dyDescent="0.3">
      <c r="A150" s="380" t="s">
        <v>13</v>
      </c>
      <c r="B150" s="368">
        <f>SUMIFS(Affiliate!D:D,Affiliate!$A:$A,"P12")</f>
        <v>560942</v>
      </c>
      <c r="C150" s="368">
        <f>SUMIFS(Affiliate!E:E,Affiliate!$A:$A,"P12")</f>
        <v>275191</v>
      </c>
      <c r="D150" s="369">
        <f t="shared" si="247"/>
        <v>1.0383733479655948</v>
      </c>
      <c r="E150" s="368">
        <f>SUMIFS(Affiliate!H:H,Affiliate!$A:$A,"P12")</f>
        <v>117552.67000000001</v>
      </c>
      <c r="F150" s="368">
        <f>SUMIFS(Affiliate!I:I,Affiliate!$A:$A,"P12")</f>
        <v>86331.39</v>
      </c>
      <c r="G150" s="369">
        <f t="shared" si="248"/>
        <v>0.36164458837046426</v>
      </c>
      <c r="H150" s="370">
        <f t="shared" si="249"/>
        <v>4.7718354674547161</v>
      </c>
      <c r="I150" s="370">
        <f t="shared" si="250"/>
        <v>3.1876122925855821</v>
      </c>
      <c r="J150" s="369">
        <f t="shared" si="251"/>
        <v>0.49699368350224177</v>
      </c>
      <c r="K150" s="416">
        <f>SUMIFS(Affiliate!$AF:$AF,Affiliate!$A:$A,"P12")</f>
        <v>58219</v>
      </c>
      <c r="L150" s="416">
        <f>SUMIFS(Affiliate!$AG:$AG,Affiliate!$A:$A,"P12")</f>
        <v>32719</v>
      </c>
      <c r="M150" s="369">
        <f t="shared" si="252"/>
        <v>0.77936367248387783</v>
      </c>
      <c r="N150" s="416">
        <f>SUMIFS(Affiliate!$AJ:$AJ,Affiliate!$A:$A,"P12")</f>
        <v>4162</v>
      </c>
      <c r="O150" s="416">
        <f>SUMIFS(Affiliate!$AK:$AK,Affiliate!$A:$A,"P12")</f>
        <v>2115</v>
      </c>
      <c r="P150" s="381">
        <f t="shared" si="253"/>
        <v>0.96784869976359333</v>
      </c>
      <c r="Q150" s="382">
        <f t="shared" si="254"/>
        <v>7.1488689259520094E-2</v>
      </c>
      <c r="R150" s="382">
        <f t="shared" si="255"/>
        <v>6.464133989425104E-2</v>
      </c>
      <c r="S150" s="381">
        <f t="shared" si="256"/>
        <v>0.10592833280484075</v>
      </c>
      <c r="T150" s="383">
        <f t="shared" si="257"/>
        <v>28.244274387313794</v>
      </c>
      <c r="U150" s="383">
        <f t="shared" si="258"/>
        <v>40.818624113475174</v>
      </c>
      <c r="V150" s="369">
        <f t="shared" si="259"/>
        <v>-0.30805422767815183</v>
      </c>
      <c r="W150" s="383">
        <f t="shared" si="260"/>
        <v>134.77703027390677</v>
      </c>
      <c r="X150" s="383">
        <f t="shared" si="261"/>
        <v>130.11394799054372</v>
      </c>
      <c r="Y150" s="381">
        <f t="shared" si="262"/>
        <v>3.5838450491886942E-2</v>
      </c>
      <c r="Z150" s="443"/>
      <c r="AA150" s="384"/>
      <c r="AB150" s="381" t="e">
        <f t="shared" si="263"/>
        <v>#DIV/0!</v>
      </c>
      <c r="AC150" s="443"/>
      <c r="AD150" s="384"/>
      <c r="AE150" s="381" t="e">
        <f t="shared" si="264"/>
        <v>#DIV/0!</v>
      </c>
      <c r="AF150" s="385"/>
      <c r="AG150" s="385"/>
      <c r="AH150" s="381" t="e">
        <f t="shared" si="267"/>
        <v>#DIV/0!</v>
      </c>
    </row>
    <row r="151" spans="1:34" s="367" customFormat="1" ht="20.100000000000001" customHeight="1" x14ac:dyDescent="0.3">
      <c r="A151" s="367" t="s">
        <v>14</v>
      </c>
      <c r="B151" s="368">
        <f>SUM(B152:B153)</f>
        <v>7597</v>
      </c>
      <c r="C151" s="368">
        <f>SUM(C152:C153)</f>
        <v>8840</v>
      </c>
      <c r="D151" s="369">
        <f t="shared" si="247"/>
        <v>-0.14061085972850679</v>
      </c>
      <c r="E151" s="368">
        <f>SUM(E152:E153)</f>
        <v>37957.23575</v>
      </c>
      <c r="F151" s="368">
        <f>SUM(F152:F153)</f>
        <v>91045.029949999996</v>
      </c>
      <c r="G151" s="369">
        <f t="shared" si="248"/>
        <v>-0.58309381884057476</v>
      </c>
      <c r="H151" s="370">
        <f t="shared" si="249"/>
        <v>0.20014629226523695</v>
      </c>
      <c r="I151" s="370">
        <f t="shared" si="250"/>
        <v>9.7094811269266876E-2</v>
      </c>
      <c r="J151" s="369">
        <f t="shared" si="251"/>
        <v>1.0613490015463745</v>
      </c>
      <c r="K151" s="416">
        <f>SUM(K152:K153)</f>
        <v>35544</v>
      </c>
      <c r="L151" s="416">
        <f>SUM(L152:L153)</f>
        <v>101654</v>
      </c>
      <c r="M151" s="369">
        <f t="shared" si="252"/>
        <v>-0.650343321463002</v>
      </c>
      <c r="N151" s="416">
        <f>SUM(N152:N153)</f>
        <v>71</v>
      </c>
      <c r="O151" s="416">
        <f>SUM(O152:O153)</f>
        <v>99</v>
      </c>
      <c r="P151" s="381">
        <f t="shared" si="253"/>
        <v>-0.28282828282828282</v>
      </c>
      <c r="Q151" s="382">
        <f t="shared" si="254"/>
        <v>1.9975241953634933E-3</v>
      </c>
      <c r="R151" s="382">
        <f t="shared" si="255"/>
        <v>9.7389182914592635E-4</v>
      </c>
      <c r="S151" s="381">
        <f t="shared" si="256"/>
        <v>1.0510739854088944</v>
      </c>
      <c r="T151" s="383">
        <f t="shared" si="257"/>
        <v>534.60895422535214</v>
      </c>
      <c r="U151" s="383">
        <f t="shared" si="258"/>
        <v>919.6467671717171</v>
      </c>
      <c r="V151" s="369">
        <f t="shared" si="259"/>
        <v>-0.41868011359460411</v>
      </c>
      <c r="W151" s="383">
        <f t="shared" si="260"/>
        <v>107</v>
      </c>
      <c r="X151" s="383">
        <f t="shared" si="261"/>
        <v>89.292929292929287</v>
      </c>
      <c r="Y151" s="381">
        <f t="shared" si="262"/>
        <v>0.19830316742081455</v>
      </c>
      <c r="Z151" s="420">
        <f>SUM(Z152:Z153)</f>
        <v>58205</v>
      </c>
      <c r="AA151" s="416">
        <f>SUM(AA152:AA153)</f>
        <v>89213</v>
      </c>
      <c r="AB151" s="381">
        <f t="shared" si="263"/>
        <v>-0.34757266317689128</v>
      </c>
      <c r="AC151" s="420">
        <f>SUM(AC152:AC153)</f>
        <v>4490651</v>
      </c>
      <c r="AD151" s="416">
        <f>SUM(AD152:AD153)</f>
        <v>8394854</v>
      </c>
      <c r="AE151" s="381">
        <f t="shared" si="264"/>
        <v>-0.46507098277111192</v>
      </c>
      <c r="AF151" s="382">
        <f t="shared" ref="AF151:AF157" si="268">Z151/AC151</f>
        <v>1.2961372415714337E-2</v>
      </c>
      <c r="AG151" s="382">
        <f t="shared" ref="AG151:AG157" si="269">AA151/AD151</f>
        <v>1.0627105605410171E-2</v>
      </c>
      <c r="AH151" s="381">
        <f t="shared" si="267"/>
        <v>0.21965217030644824</v>
      </c>
    </row>
    <row r="152" spans="1:34" outlineLevel="1" x14ac:dyDescent="0.3">
      <c r="A152" s="373" t="s">
        <v>285</v>
      </c>
      <c r="B152" s="374">
        <f>SUMIFS('Social - Promos'!$E:$E,'Social - Promos'!$A:$A,"p12")</f>
        <v>3387</v>
      </c>
      <c r="C152" s="374">
        <f>SUMIFS('Social - Promos'!$F:$F,'Social - Promos'!$A:$A,"p12")</f>
        <v>8840</v>
      </c>
      <c r="D152" s="369">
        <f t="shared" si="247"/>
        <v>-0.61685520361990953</v>
      </c>
      <c r="E152" s="374">
        <f>SUMIFS('Social - Promos'!$K:$K,'Social - Promos'!$A:$A,"P12")</f>
        <v>19232.9676</v>
      </c>
      <c r="F152" s="374">
        <f>SUMIFS('Social - Promos'!$L:$L,'Social - Promos'!$A:$A,"p12")</f>
        <v>91045.029949999996</v>
      </c>
      <c r="G152" s="375">
        <f t="shared" si="248"/>
        <v>-0.78875323990159218</v>
      </c>
      <c r="H152" s="386">
        <f t="shared" si="249"/>
        <v>0.17610386865103439</v>
      </c>
      <c r="I152" s="386">
        <f t="shared" si="250"/>
        <v>9.7094811269266876E-2</v>
      </c>
      <c r="J152" s="375">
        <f t="shared" si="251"/>
        <v>0.81373099498238599</v>
      </c>
      <c r="K152" s="417">
        <f>SUMIFS('Social - Promos'!$T:$T,'Social - Promos'!$A:$A,"p12")</f>
        <v>26568</v>
      </c>
      <c r="L152" s="417">
        <f>SUMIFS('Social - Promos'!$U:$U,'Social - Promos'!$A:$A,"p12")</f>
        <v>101654</v>
      </c>
      <c r="M152" s="375">
        <f t="shared" si="252"/>
        <v>-0.73864284730556595</v>
      </c>
      <c r="N152" s="417">
        <f>SUMIFS('Social - Promos'!$W:$W,'Social - Promos'!$A:$A,"p12")</f>
        <v>33</v>
      </c>
      <c r="O152" s="417">
        <f>SUMIFS('Social - Promos'!$X:$X,'Social - Promos'!$A:$A,"p12")</f>
        <v>99</v>
      </c>
      <c r="P152" s="378">
        <f t="shared" si="253"/>
        <v>-0.66666666666666663</v>
      </c>
      <c r="Q152" s="379">
        <f t="shared" si="254"/>
        <v>1.2420957542908762E-3</v>
      </c>
      <c r="R152" s="379">
        <f t="shared" si="255"/>
        <v>9.7389182914592635E-4</v>
      </c>
      <c r="S152" s="378">
        <f t="shared" si="256"/>
        <v>0.27539395764328012</v>
      </c>
      <c r="T152" s="374">
        <f t="shared" si="257"/>
        <v>582.81719999999996</v>
      </c>
      <c r="U152" s="374">
        <f t="shared" si="258"/>
        <v>919.6467671717171</v>
      </c>
      <c r="V152" s="375">
        <f t="shared" si="259"/>
        <v>-0.36625971970477672</v>
      </c>
      <c r="W152" s="374">
        <f t="shared" si="260"/>
        <v>102.63636363636364</v>
      </c>
      <c r="X152" s="374">
        <f t="shared" si="261"/>
        <v>89.292929292929287</v>
      </c>
      <c r="Y152" s="378">
        <f t="shared" si="262"/>
        <v>0.1494343891402716</v>
      </c>
      <c r="Z152" s="419">
        <f>SUMIFS('Social - Promos'!$AF:$AF,'Social - Promos'!$A:$A,"p12")</f>
        <v>47075</v>
      </c>
      <c r="AA152" s="417">
        <f>SUMIFS('Social - Promos'!$AG:$AG,'Social - Promos'!$A:$A,"p12")</f>
        <v>89213</v>
      </c>
      <c r="AB152" s="378">
        <f t="shared" si="263"/>
        <v>-0.47233026576844184</v>
      </c>
      <c r="AC152" s="419">
        <f>SUMIFS('Social - Promos'!$AI:$AI,'Social - Promos'!$A:$A,"p12")</f>
        <v>4042464</v>
      </c>
      <c r="AD152" s="417">
        <f>SUMIFS('Social - Promos'!$AJ:$AJ,'Social - Promos'!$A:$A,"p13")</f>
        <v>8394854</v>
      </c>
      <c r="AE152" s="378">
        <f t="shared" si="264"/>
        <v>-0.51845928469988878</v>
      </c>
      <c r="AF152" s="379">
        <f t="shared" si="268"/>
        <v>1.1645125349291918E-2</v>
      </c>
      <c r="AG152" s="379">
        <f t="shared" si="269"/>
        <v>1.0627105605410171E-2</v>
      </c>
      <c r="AH152" s="378">
        <f t="shared" si="267"/>
        <v>9.5794638886761499E-2</v>
      </c>
    </row>
    <row r="153" spans="1:34" outlineLevel="1" x14ac:dyDescent="0.3">
      <c r="A153" s="373" t="s">
        <v>286</v>
      </c>
      <c r="B153" s="374">
        <f>SUMIFS('Social - Remarketing'!$D:$D,'Social - Remarketing'!$A:$A,"P12")</f>
        <v>4210</v>
      </c>
      <c r="C153" s="374">
        <f>SUMIFS('Social - Remarketing'!$E:$E,'Social - Remarketing'!$A:$A,"P12")</f>
        <v>0</v>
      </c>
      <c r="D153" s="369" t="e">
        <f t="shared" si="247"/>
        <v>#DIV/0!</v>
      </c>
      <c r="E153" s="374">
        <f>SUMIFS('Social - Remarketing'!$H:$H,'Social - Remarketing'!$A:$A,"P12")</f>
        <v>18724.26815</v>
      </c>
      <c r="F153" s="374">
        <f>SUMIFS('Social - Remarketing'!$I:$I,'Social - Remarketing'!$A:$A,"P12")</f>
        <v>0</v>
      </c>
      <c r="G153" s="369" t="e">
        <f t="shared" si="248"/>
        <v>#DIV/0!</v>
      </c>
      <c r="H153" s="386">
        <f t="shared" si="249"/>
        <v>0.22484189856039846</v>
      </c>
      <c r="I153" s="386" t="e">
        <f t="shared" si="250"/>
        <v>#DIV/0!</v>
      </c>
      <c r="J153" s="369" t="e">
        <f t="shared" si="251"/>
        <v>#DIV/0!</v>
      </c>
      <c r="K153" s="417">
        <f>SUMIFS('Social - Remarketing'!$X:$X,'Social - Remarketing'!$A:$A,"P12")</f>
        <v>8976</v>
      </c>
      <c r="L153" s="417">
        <f>SUMIFS('Social - Remarketing'!$Y:$Y,'Social - Remarketing'!$A:$A,"P12")</f>
        <v>0</v>
      </c>
      <c r="M153" s="375" t="e">
        <f t="shared" si="252"/>
        <v>#DIV/0!</v>
      </c>
      <c r="N153" s="417">
        <f>SUMIFS('Social - Remarketing'!$AB:$AB,'Social - Remarketing'!$A:$A,"P12")</f>
        <v>38</v>
      </c>
      <c r="O153" s="417">
        <f>SUMIFS('Social - Remarketing'!$AC:$AC,'Social - Remarketing'!$A:$A,"P12")</f>
        <v>0</v>
      </c>
      <c r="P153" s="378" t="e">
        <f t="shared" si="253"/>
        <v>#DIV/0!</v>
      </c>
      <c r="Q153" s="379">
        <f t="shared" si="254"/>
        <v>4.2335115864527628E-3</v>
      </c>
      <c r="R153" s="379" t="e">
        <f t="shared" si="255"/>
        <v>#DIV/0!</v>
      </c>
      <c r="S153" s="378" t="e">
        <f t="shared" si="256"/>
        <v>#DIV/0!</v>
      </c>
      <c r="T153" s="374">
        <f t="shared" si="257"/>
        <v>492.74389868421054</v>
      </c>
      <c r="U153" s="374" t="e">
        <f t="shared" si="258"/>
        <v>#DIV/0!</v>
      </c>
      <c r="V153" s="375" t="e">
        <f t="shared" si="259"/>
        <v>#DIV/0!</v>
      </c>
      <c r="W153" s="374">
        <f t="shared" si="260"/>
        <v>110.78947368421052</v>
      </c>
      <c r="X153" s="374" t="e">
        <f t="shared" si="261"/>
        <v>#DIV/0!</v>
      </c>
      <c r="Y153" s="378" t="e">
        <f t="shared" si="262"/>
        <v>#DIV/0!</v>
      </c>
      <c r="Z153" s="419">
        <f>SUMIFS('Social - Remarketing'!$AN:$AN,'Social - Remarketing'!$A:$A,"P12")</f>
        <v>11130</v>
      </c>
      <c r="AA153" s="417">
        <f>SUMIFS('Social - Remarketing'!$AO:$AO,'Social - Remarketing'!$A:$A,"P12")</f>
        <v>0</v>
      </c>
      <c r="AB153" s="378" t="e">
        <f t="shared" si="263"/>
        <v>#DIV/0!</v>
      </c>
      <c r="AC153" s="419">
        <f>SUMIFS('Social - Remarketing'!$AR:$AR,'Social - Remarketing'!$A:$A,"P12")</f>
        <v>448187</v>
      </c>
      <c r="AD153" s="417">
        <f>SUMIFS('Social - Remarketing'!$AS:$AS,'Social - Remarketing'!$A:$A,"P13")</f>
        <v>0</v>
      </c>
      <c r="AE153" s="378" t="e">
        <f t="shared" si="264"/>
        <v>#DIV/0!</v>
      </c>
      <c r="AF153" s="379">
        <f t="shared" si="268"/>
        <v>2.4833384279329834E-2</v>
      </c>
      <c r="AG153" s="379" t="e">
        <f t="shared" si="269"/>
        <v>#DIV/0!</v>
      </c>
      <c r="AH153" s="378" t="e">
        <f t="shared" si="267"/>
        <v>#DIV/0!</v>
      </c>
    </row>
    <row r="154" spans="1:34" s="367" customFormat="1" ht="21" customHeight="1" x14ac:dyDescent="0.3">
      <c r="A154" s="367" t="s">
        <v>15</v>
      </c>
      <c r="B154" s="368">
        <f>SUM(B155:B156)</f>
        <v>0</v>
      </c>
      <c r="C154" s="368">
        <f>SUM(C155:C156)</f>
        <v>0</v>
      </c>
      <c r="D154" s="369" t="e">
        <f t="shared" si="247"/>
        <v>#DIV/0!</v>
      </c>
      <c r="E154" s="368">
        <f>SUM(E155:E156)</f>
        <v>0</v>
      </c>
      <c r="F154" s="368">
        <f>SUM(F155:F156)</f>
        <v>0</v>
      </c>
      <c r="G154" s="369" t="e">
        <f t="shared" si="248"/>
        <v>#DIV/0!</v>
      </c>
      <c r="H154" s="370" t="e">
        <f t="shared" si="249"/>
        <v>#DIV/0!</v>
      </c>
      <c r="I154" s="370" t="e">
        <f t="shared" si="250"/>
        <v>#DIV/0!</v>
      </c>
      <c r="J154" s="369" t="e">
        <f t="shared" si="251"/>
        <v>#DIV/0!</v>
      </c>
      <c r="K154" s="416">
        <f>SUM(K155:K156)</f>
        <v>0</v>
      </c>
      <c r="L154" s="416">
        <f>SUM(L155:L156)</f>
        <v>19</v>
      </c>
      <c r="M154" s="369">
        <f t="shared" si="252"/>
        <v>-1</v>
      </c>
      <c r="N154" s="416">
        <f>SUM(N155:N156)</f>
        <v>0</v>
      </c>
      <c r="O154" s="416">
        <f>SUM(O155:O156)</f>
        <v>0</v>
      </c>
      <c r="P154" s="381" t="e">
        <f t="shared" si="253"/>
        <v>#DIV/0!</v>
      </c>
      <c r="Q154" s="382" t="e">
        <f t="shared" si="254"/>
        <v>#DIV/0!</v>
      </c>
      <c r="R154" s="382">
        <f t="shared" si="255"/>
        <v>0</v>
      </c>
      <c r="S154" s="381" t="e">
        <f t="shared" si="256"/>
        <v>#DIV/0!</v>
      </c>
      <c r="T154" s="383" t="e">
        <f t="shared" si="257"/>
        <v>#DIV/0!</v>
      </c>
      <c r="U154" s="383" t="e">
        <f t="shared" si="258"/>
        <v>#DIV/0!</v>
      </c>
      <c r="V154" s="369" t="e">
        <f t="shared" si="259"/>
        <v>#DIV/0!</v>
      </c>
      <c r="W154" s="383" t="e">
        <f t="shared" si="260"/>
        <v>#DIV/0!</v>
      </c>
      <c r="X154" s="383" t="e">
        <f t="shared" si="261"/>
        <v>#DIV/0!</v>
      </c>
      <c r="Y154" s="381" t="e">
        <f t="shared" si="262"/>
        <v>#DIV/0!</v>
      </c>
      <c r="Z154" s="420">
        <f>SUM(Z155:Z156)</f>
        <v>0</v>
      </c>
      <c r="AA154" s="416">
        <f>SUM(AA155:AA156)</f>
        <v>0</v>
      </c>
      <c r="AB154" s="381" t="e">
        <f t="shared" si="263"/>
        <v>#DIV/0!</v>
      </c>
      <c r="AC154" s="420">
        <f>SUM(AC155:AC156)</f>
        <v>0</v>
      </c>
      <c r="AD154" s="416">
        <f>SUM(AD155:AD156)</f>
        <v>0</v>
      </c>
      <c r="AE154" s="381" t="e">
        <f t="shared" si="264"/>
        <v>#DIV/0!</v>
      </c>
      <c r="AF154" s="382" t="e">
        <f t="shared" si="268"/>
        <v>#DIV/0!</v>
      </c>
      <c r="AG154" s="382" t="e">
        <f t="shared" si="269"/>
        <v>#DIV/0!</v>
      </c>
      <c r="AH154" s="381" t="e">
        <f t="shared" si="267"/>
        <v>#DIV/0!</v>
      </c>
    </row>
    <row r="155" spans="1:34" outlineLevel="1" x14ac:dyDescent="0.3">
      <c r="A155" s="373" t="s">
        <v>285</v>
      </c>
      <c r="B155" s="374">
        <f>SUMIFS('Display - Promos'!$E:$E,'Display - Promos'!$A:$A,"P12")</f>
        <v>0</v>
      </c>
      <c r="C155" s="374">
        <f>SUMIFS('Display - Promos'!$F:$F,'Display - Promos'!$A:$A,"P12")</f>
        <v>0</v>
      </c>
      <c r="D155" s="375" t="e">
        <f t="shared" si="247"/>
        <v>#DIV/0!</v>
      </c>
      <c r="E155" s="374">
        <f>SUMIFS('Display - Promos'!$H:$H,'Display - Promos'!$A:$A,"p12")</f>
        <v>0</v>
      </c>
      <c r="F155" s="374">
        <f>SUMIFS('Display - Promos'!$I:$I,'Display - Promos'!$A:$A,"p12")</f>
        <v>0</v>
      </c>
      <c r="G155" s="375" t="e">
        <f t="shared" si="248"/>
        <v>#DIV/0!</v>
      </c>
      <c r="H155" s="386" t="e">
        <f t="shared" si="249"/>
        <v>#DIV/0!</v>
      </c>
      <c r="I155" s="386" t="e">
        <f t="shared" si="250"/>
        <v>#DIV/0!</v>
      </c>
      <c r="J155" s="369" t="e">
        <f t="shared" si="251"/>
        <v>#DIV/0!</v>
      </c>
      <c r="K155" s="417">
        <f>SUMIFS('Display - Promos'!$N:$N,'Display - Promos'!$A:$A,"p12")</f>
        <v>0</v>
      </c>
      <c r="L155" s="417">
        <f>SUMIFS('Display - Promos'!$O:$O,'Display - Promos'!$A:$A,"p12")</f>
        <v>19</v>
      </c>
      <c r="M155" s="375">
        <f t="shared" si="252"/>
        <v>-1</v>
      </c>
      <c r="N155" s="417">
        <f>SUMIFS('Display - Promos'!$Q:$Q,'Display - Promos'!$A:$A,"p12")</f>
        <v>0</v>
      </c>
      <c r="O155" s="417">
        <f>SUMIFS('Display - Promos'!$R:$R,'Display - Promos'!$A:$A,"p12")</f>
        <v>0</v>
      </c>
      <c r="P155" s="378" t="e">
        <f t="shared" si="253"/>
        <v>#DIV/0!</v>
      </c>
      <c r="Q155" s="379" t="e">
        <f t="shared" si="254"/>
        <v>#DIV/0!</v>
      </c>
      <c r="R155" s="379">
        <f t="shared" si="255"/>
        <v>0</v>
      </c>
      <c r="S155" s="378" t="e">
        <f t="shared" si="256"/>
        <v>#DIV/0!</v>
      </c>
      <c r="T155" s="374" t="e">
        <f t="shared" si="257"/>
        <v>#DIV/0!</v>
      </c>
      <c r="U155" s="374" t="e">
        <f t="shared" si="258"/>
        <v>#DIV/0!</v>
      </c>
      <c r="V155" s="375" t="e">
        <f t="shared" si="259"/>
        <v>#DIV/0!</v>
      </c>
      <c r="W155" s="374" t="e">
        <f t="shared" si="260"/>
        <v>#DIV/0!</v>
      </c>
      <c r="X155" s="374" t="e">
        <f t="shared" si="261"/>
        <v>#DIV/0!</v>
      </c>
      <c r="Y155" s="378" t="e">
        <f t="shared" si="262"/>
        <v>#DIV/0!</v>
      </c>
      <c r="Z155" s="419">
        <f>SUMIFS('Display - Promos'!$W:$W,'Display - Promos'!$A:$A,"p12")</f>
        <v>0</v>
      </c>
      <c r="AA155" s="417">
        <f>SUMIFS('Display - Promos'!$X:$X,'Display - Promos'!$A:$A,"p12")</f>
        <v>0</v>
      </c>
      <c r="AB155" s="378" t="e">
        <f t="shared" si="263"/>
        <v>#DIV/0!</v>
      </c>
      <c r="AC155" s="419">
        <f>SUMIFS('Display - Promos'!$Z:$Z,'Display - Promos'!$A:$A,"p12")</f>
        <v>0</v>
      </c>
      <c r="AD155" s="417">
        <f>SUMIFS('Display - Promos'!$AA:$AA,'Display - Promos'!$A:$A,"p13")</f>
        <v>0</v>
      </c>
      <c r="AE155" s="378" t="e">
        <f t="shared" si="264"/>
        <v>#DIV/0!</v>
      </c>
      <c r="AF155" s="379" t="e">
        <f t="shared" si="268"/>
        <v>#DIV/0!</v>
      </c>
      <c r="AG155" s="379" t="e">
        <f t="shared" si="269"/>
        <v>#DIV/0!</v>
      </c>
      <c r="AH155" s="378" t="e">
        <f t="shared" si="267"/>
        <v>#DIV/0!</v>
      </c>
    </row>
    <row r="156" spans="1:34" ht="19.5" outlineLevel="1" thickBot="1" x14ac:dyDescent="0.35">
      <c r="A156" s="373" t="s">
        <v>286</v>
      </c>
      <c r="B156" s="374">
        <f>SUMIFS('Display - Remarketing'!$D:$D,'Display - Remarketing'!$A:$A,"P12")</f>
        <v>0</v>
      </c>
      <c r="C156" s="374">
        <f>SUMIFS('Display - Remarketing'!$E:$E,'Display - Remarketing'!$A:$A,"P12")</f>
        <v>0</v>
      </c>
      <c r="D156" s="369" t="e">
        <f t="shared" si="247"/>
        <v>#DIV/0!</v>
      </c>
      <c r="E156" s="374">
        <f>SUMIFS('Display - Remarketing'!$H:$H,'Display - Remarketing'!$A:$A,"P12")</f>
        <v>0</v>
      </c>
      <c r="F156" s="374">
        <f>SUMIFS('Display - Remarketing'!$I:$I,'Display - Remarketing'!$A:$A,"P12")</f>
        <v>0</v>
      </c>
      <c r="G156" s="369" t="e">
        <f t="shared" si="248"/>
        <v>#DIV/0!</v>
      </c>
      <c r="H156" s="386" t="e">
        <f t="shared" si="249"/>
        <v>#DIV/0!</v>
      </c>
      <c r="I156" s="386" t="e">
        <f t="shared" si="250"/>
        <v>#DIV/0!</v>
      </c>
      <c r="J156" s="369" t="e">
        <f t="shared" si="251"/>
        <v>#DIV/0!</v>
      </c>
      <c r="K156" s="417">
        <f>SUMIFS('Display - Remarketing'!$P:$P,'Display - Remarketing'!$A:$A,"P12")</f>
        <v>0</v>
      </c>
      <c r="L156" s="417">
        <f>SUMIFS('Display - Remarketing'!$Q:$Q,'Display - Remarketing'!$A:$A,"P12")</f>
        <v>0</v>
      </c>
      <c r="M156" s="375" t="e">
        <f t="shared" si="252"/>
        <v>#DIV/0!</v>
      </c>
      <c r="N156" s="417">
        <f>SUMIFS('Display - Remarketing'!$T:$T,'Display - Remarketing'!$A:$A,"P12")</f>
        <v>0</v>
      </c>
      <c r="O156" s="417">
        <f>SUMIFS('Display - Remarketing'!$U:$U,'Display - Remarketing'!$A:$A,"P12")</f>
        <v>0</v>
      </c>
      <c r="P156" s="378" t="e">
        <f t="shared" si="253"/>
        <v>#DIV/0!</v>
      </c>
      <c r="Q156" s="379" t="e">
        <f t="shared" si="254"/>
        <v>#DIV/0!</v>
      </c>
      <c r="R156" s="379" t="e">
        <f t="shared" si="255"/>
        <v>#DIV/0!</v>
      </c>
      <c r="S156" s="378" t="e">
        <f t="shared" si="256"/>
        <v>#DIV/0!</v>
      </c>
      <c r="T156" s="374" t="e">
        <f t="shared" si="257"/>
        <v>#DIV/0!</v>
      </c>
      <c r="U156" s="374" t="e">
        <f t="shared" si="258"/>
        <v>#DIV/0!</v>
      </c>
      <c r="V156" s="375" t="e">
        <f t="shared" si="259"/>
        <v>#DIV/0!</v>
      </c>
      <c r="W156" s="374" t="e">
        <f t="shared" si="260"/>
        <v>#DIV/0!</v>
      </c>
      <c r="X156" s="374" t="e">
        <f t="shared" si="261"/>
        <v>#DIV/0!</v>
      </c>
      <c r="Y156" s="378" t="e">
        <f t="shared" si="262"/>
        <v>#DIV/0!</v>
      </c>
      <c r="Z156" s="419">
        <f>SUMIFS('Display - Remarketing'!$AB:$AB,'Display - Remarketing'!$A:$A,"p12")</f>
        <v>0</v>
      </c>
      <c r="AA156" s="417">
        <f>SUMIFS('Display - Remarketing'!$AC:$AC,'Display - Remarketing'!$A:$A,"P12")</f>
        <v>0</v>
      </c>
      <c r="AB156" s="378" t="e">
        <f t="shared" si="263"/>
        <v>#DIV/0!</v>
      </c>
      <c r="AC156" s="419">
        <f>SUMIFS('Display - Remarketing'!$AF:$AF,'Display - Remarketing'!$A:$A,"P12")</f>
        <v>0</v>
      </c>
      <c r="AD156" s="417">
        <f>SUMIFS('Display - Remarketing'!$AG:$AG,'Display - Remarketing'!$A:$A,"P13")</f>
        <v>0</v>
      </c>
      <c r="AE156" s="378" t="e">
        <f t="shared" si="264"/>
        <v>#DIV/0!</v>
      </c>
      <c r="AF156" s="379" t="e">
        <f t="shared" si="268"/>
        <v>#DIV/0!</v>
      </c>
      <c r="AG156" s="379" t="e">
        <f t="shared" si="269"/>
        <v>#DIV/0!</v>
      </c>
      <c r="AH156" s="378" t="e">
        <f t="shared" si="267"/>
        <v>#DIV/0!</v>
      </c>
    </row>
    <row r="157" spans="1:34" s="395" customFormat="1" ht="22.5" thickTop="1" thickBot="1" x14ac:dyDescent="0.4">
      <c r="A157" s="387" t="s">
        <v>16</v>
      </c>
      <c r="B157" s="388">
        <f>B146+B150+B151+B154</f>
        <v>727624</v>
      </c>
      <c r="C157" s="388">
        <f>C146+C150+C151+C154</f>
        <v>374970</v>
      </c>
      <c r="D157" s="389">
        <f t="shared" si="247"/>
        <v>0.94048590553910982</v>
      </c>
      <c r="E157" s="388">
        <f>E146+E150+E151+E154</f>
        <v>204651.27575</v>
      </c>
      <c r="F157" s="388">
        <f>F146+F150+F151+F154</f>
        <v>210002.86994999999</v>
      </c>
      <c r="G157" s="390">
        <f t="shared" si="248"/>
        <v>-2.5483433637236312E-2</v>
      </c>
      <c r="H157" s="391">
        <f t="shared" si="249"/>
        <v>3.5554334920875763</v>
      </c>
      <c r="I157" s="391">
        <f t="shared" si="250"/>
        <v>1.7855470265205298</v>
      </c>
      <c r="J157" s="390">
        <f t="shared" si="251"/>
        <v>0.99122926435379266</v>
      </c>
      <c r="K157" s="392">
        <f>K146+K150+K151+K154</f>
        <v>183904</v>
      </c>
      <c r="L157" s="392">
        <f>L146+L150+L151+L154</f>
        <v>188559</v>
      </c>
      <c r="M157" s="390">
        <f t="shared" si="252"/>
        <v>-2.4687233173701601E-2</v>
      </c>
      <c r="N157" s="392">
        <f>N146+N150+N151+N154</f>
        <v>5483</v>
      </c>
      <c r="O157" s="392">
        <f>O146+O150+O151+O154</f>
        <v>2939</v>
      </c>
      <c r="P157" s="389">
        <f t="shared" si="253"/>
        <v>0.86560054440285816</v>
      </c>
      <c r="Q157" s="393">
        <f t="shared" si="254"/>
        <v>2.9814468418305203E-2</v>
      </c>
      <c r="R157" s="393">
        <f t="shared" si="255"/>
        <v>1.5586633361441246E-2</v>
      </c>
      <c r="S157" s="389">
        <f t="shared" si="256"/>
        <v>0.912822848073226</v>
      </c>
      <c r="T157" s="388">
        <f t="shared" si="257"/>
        <v>37.324690087543317</v>
      </c>
      <c r="U157" s="388">
        <f t="shared" si="258"/>
        <v>71.453851633208572</v>
      </c>
      <c r="V157" s="390">
        <f t="shared" si="259"/>
        <v>-0.4776392142002257</v>
      </c>
      <c r="W157" s="388">
        <f t="shared" si="260"/>
        <v>132.70545321904066</v>
      </c>
      <c r="X157" s="388">
        <f t="shared" si="261"/>
        <v>127.58421231711466</v>
      </c>
      <c r="Y157" s="389">
        <f t="shared" si="262"/>
        <v>4.0140083235353542E-2</v>
      </c>
      <c r="Z157" s="444">
        <f>Z146+Z150+Z151+Z154</f>
        <v>137780</v>
      </c>
      <c r="AA157" s="394">
        <f>AA146+AA150+AA151+AA154</f>
        <v>135752</v>
      </c>
      <c r="AB157" s="389">
        <f t="shared" si="263"/>
        <v>1.4939006423478108E-2</v>
      </c>
      <c r="AC157" s="444">
        <f>AC146+AC150+AC151+AC154</f>
        <v>7227354</v>
      </c>
      <c r="AD157" s="392">
        <f>AD146+AD150+AD151+AD154</f>
        <v>8651687</v>
      </c>
      <c r="AE157" s="389">
        <f t="shared" si="264"/>
        <v>-0.16463066682833072</v>
      </c>
      <c r="AF157" s="393">
        <f t="shared" si="268"/>
        <v>1.9063684994536038E-2</v>
      </c>
      <c r="AG157" s="393">
        <f t="shared" si="269"/>
        <v>1.5690812670407516E-2</v>
      </c>
      <c r="AH157" s="389">
        <f>(AF157-AG157)/AG157</f>
        <v>0.21495842152839381</v>
      </c>
    </row>
    <row r="158" spans="1:34" x14ac:dyDescent="0.3">
      <c r="A158" s="359" t="s">
        <v>88</v>
      </c>
      <c r="B158" s="360" t="s">
        <v>1</v>
      </c>
      <c r="C158" s="360" t="s">
        <v>117</v>
      </c>
      <c r="D158" s="361" t="s">
        <v>24</v>
      </c>
      <c r="E158" s="360" t="s">
        <v>2</v>
      </c>
      <c r="F158" s="360" t="s">
        <v>99</v>
      </c>
      <c r="G158" s="361" t="s">
        <v>24</v>
      </c>
      <c r="H158" s="362" t="s">
        <v>3</v>
      </c>
      <c r="I158" s="362" t="s">
        <v>100</v>
      </c>
      <c r="J158" s="361" t="s">
        <v>24</v>
      </c>
      <c r="K158" s="362" t="s">
        <v>4</v>
      </c>
      <c r="L158" s="363" t="s">
        <v>101</v>
      </c>
      <c r="M158" s="361" t="s">
        <v>24</v>
      </c>
      <c r="N158" s="363" t="s">
        <v>5</v>
      </c>
      <c r="O158" s="363" t="s">
        <v>102</v>
      </c>
      <c r="P158" s="361" t="s">
        <v>24</v>
      </c>
      <c r="Q158" s="363" t="s">
        <v>109</v>
      </c>
      <c r="R158" s="363" t="s">
        <v>110</v>
      </c>
      <c r="S158" s="361" t="s">
        <v>24</v>
      </c>
      <c r="T158" s="364" t="s">
        <v>149</v>
      </c>
      <c r="U158" s="364" t="s">
        <v>150</v>
      </c>
      <c r="V158" s="361" t="s">
        <v>24</v>
      </c>
      <c r="W158" s="364" t="s">
        <v>6</v>
      </c>
      <c r="X158" s="364" t="s">
        <v>103</v>
      </c>
      <c r="Y158" s="361" t="s">
        <v>24</v>
      </c>
      <c r="Z158" s="446" t="s">
        <v>7</v>
      </c>
      <c r="AA158" s="363" t="s">
        <v>104</v>
      </c>
      <c r="AB158" s="361" t="s">
        <v>24</v>
      </c>
      <c r="AC158" s="442" t="s">
        <v>25</v>
      </c>
      <c r="AD158" s="365" t="s">
        <v>105</v>
      </c>
      <c r="AE158" s="361" t="s">
        <v>24</v>
      </c>
      <c r="AF158" s="366" t="s">
        <v>9</v>
      </c>
      <c r="AG158" s="366" t="s">
        <v>106</v>
      </c>
      <c r="AH158" s="361" t="s">
        <v>24</v>
      </c>
    </row>
    <row r="159" spans="1:34" s="367" customFormat="1" ht="20.100000000000001" customHeight="1" x14ac:dyDescent="0.3">
      <c r="A159" s="367" t="s">
        <v>10</v>
      </c>
      <c r="B159" s="368">
        <f>SUM(B160:B162)</f>
        <v>0</v>
      </c>
      <c r="C159" s="368">
        <f>SUM(C160:C162)</f>
        <v>47856</v>
      </c>
      <c r="D159" s="369">
        <f t="shared" ref="D159:D170" si="270">(B159-C159)/C159</f>
        <v>-1</v>
      </c>
      <c r="E159" s="368">
        <f>SUM(E160:E162)</f>
        <v>0</v>
      </c>
      <c r="F159" s="368">
        <f>SUM(F160:F162)</f>
        <v>21845.21</v>
      </c>
      <c r="G159" s="369">
        <f t="shared" ref="G159:G170" si="271">(E159-F159)/F159</f>
        <v>-1</v>
      </c>
      <c r="H159" s="370" t="e">
        <f t="shared" ref="H159:H170" si="272">B159/E159</f>
        <v>#DIV/0!</v>
      </c>
      <c r="I159" s="370">
        <f t="shared" ref="I159:I170" si="273">C159/F159</f>
        <v>2.190686196195871</v>
      </c>
      <c r="J159" s="369" t="e">
        <f t="shared" ref="J159:J170" si="274">(H159-I159)/I159</f>
        <v>#DIV/0!</v>
      </c>
      <c r="K159" s="416">
        <f>SUM(K160:K162)</f>
        <v>0</v>
      </c>
      <c r="L159" s="416">
        <f>SUM(L160:L162)</f>
        <v>44414</v>
      </c>
      <c r="M159" s="369">
        <f t="shared" ref="M159:M170" si="275">(K159-L159)/L159</f>
        <v>-1</v>
      </c>
      <c r="N159" s="416">
        <f>SUM(N160:N162)</f>
        <v>0</v>
      </c>
      <c r="O159" s="416">
        <f>SUM(O160:O162)</f>
        <v>471</v>
      </c>
      <c r="P159" s="369">
        <f t="shared" ref="P159:P170" si="276">(N159-O159)/O159</f>
        <v>-1</v>
      </c>
      <c r="Q159" s="372" t="e">
        <f t="shared" ref="Q159:Q170" si="277">N159/K159</f>
        <v>#DIV/0!</v>
      </c>
      <c r="R159" s="372">
        <f t="shared" ref="R159:R170" si="278">O159/L159</f>
        <v>1.0604764263520512E-2</v>
      </c>
      <c r="S159" s="369" t="e">
        <f t="shared" ref="S159:S170" si="279">(Q159-R159)/R159</f>
        <v>#DIV/0!</v>
      </c>
      <c r="T159" s="368" t="e">
        <f t="shared" ref="T159:T170" si="280">E159/N159</f>
        <v>#DIV/0!</v>
      </c>
      <c r="U159" s="368">
        <f t="shared" ref="U159:U170" si="281">F159/O159</f>
        <v>46.380488322717618</v>
      </c>
      <c r="V159" s="369" t="e">
        <f t="shared" ref="V159:V170" si="282">(T159-U159)/U159</f>
        <v>#DIV/0!</v>
      </c>
      <c r="W159" s="368" t="e">
        <f t="shared" ref="W159:W170" si="283">B159/N159</f>
        <v>#DIV/0!</v>
      </c>
      <c r="X159" s="368">
        <f t="shared" ref="X159:X170" si="284">C159/O159</f>
        <v>101.60509554140127</v>
      </c>
      <c r="Y159" s="369" t="e">
        <f t="shared" ref="Y159:Y170" si="285">(W159-X159)/X159</f>
        <v>#DIV/0!</v>
      </c>
      <c r="Z159" s="420">
        <f>SUM(Z160:Z162)</f>
        <v>0</v>
      </c>
      <c r="AA159" s="416">
        <f>SUM(AA160:AA162)</f>
        <v>35641</v>
      </c>
      <c r="AB159" s="369">
        <f t="shared" ref="AB159:AB170" si="286">(Z159-AA159)/AA159</f>
        <v>-1</v>
      </c>
      <c r="AC159" s="420">
        <f>SUM(AC160:AC162)</f>
        <v>0</v>
      </c>
      <c r="AD159" s="416">
        <f>SUM(AD160:AD162)</f>
        <v>256833</v>
      </c>
      <c r="AE159" s="369">
        <f t="shared" ref="AE159:AE170" si="287">(AC159-AD159)/AD159</f>
        <v>-1</v>
      </c>
      <c r="AF159" s="372" t="e">
        <f t="shared" ref="AF159:AF162" si="288">Z159/AC159</f>
        <v>#DIV/0!</v>
      </c>
      <c r="AG159" s="372">
        <f t="shared" ref="AG159:AG162" si="289">AA159/AD159</f>
        <v>0.13877110807411819</v>
      </c>
      <c r="AH159" s="369" t="e">
        <f>(AF159-AG159)/AG159</f>
        <v>#DIV/0!</v>
      </c>
    </row>
    <row r="160" spans="1:34" outlineLevel="1" x14ac:dyDescent="0.3">
      <c r="A160" s="373" t="s">
        <v>29</v>
      </c>
      <c r="B160" s="374">
        <f>SUMIFS(Search!$E:$E,Search!$A:$A,"P13",Search!$D:$D,"Brand")</f>
        <v>0</v>
      </c>
      <c r="C160" s="374">
        <f>SUMIFS(Search!$F:$F,Search!$A:$A,"P13",Search!$D:$D,"Brand")</f>
        <v>43334</v>
      </c>
      <c r="D160" s="369">
        <f t="shared" si="270"/>
        <v>-1</v>
      </c>
      <c r="E160" s="374">
        <f>SUMIFS(Search!$I:$I,Search!$A:$A,"P13",Search!$D:$D,"Brand")</f>
        <v>0</v>
      </c>
      <c r="F160" s="374">
        <f>SUMIFS(Search!$J:$J,Search!$A:$A,"P13",Search!$D:$D,"Brand")</f>
        <v>3667.2799999999997</v>
      </c>
      <c r="G160" s="375">
        <f t="shared" si="271"/>
        <v>-1</v>
      </c>
      <c r="H160" s="376" t="e">
        <f t="shared" si="272"/>
        <v>#DIV/0!</v>
      </c>
      <c r="I160" s="376">
        <f t="shared" si="273"/>
        <v>11.816387077070745</v>
      </c>
      <c r="J160" s="375" t="e">
        <f t="shared" si="274"/>
        <v>#DIV/0!</v>
      </c>
      <c r="K160" s="417">
        <f>SUMIFS(Search!$Q:$Q,Search!$A:$A,"P13",Search!$D:$D,"Brand")</f>
        <v>0</v>
      </c>
      <c r="L160" s="417">
        <f>SUMIFS(Search!$R:$R,Search!$A:$A,"P13",Search!$D:$D,"Brand")</f>
        <v>28039</v>
      </c>
      <c r="M160" s="375">
        <f t="shared" si="275"/>
        <v>-1</v>
      </c>
      <c r="N160" s="417">
        <f>SUMIFS(Search!$U:$U,Search!$A:$A,"P13",Search!$D:$D,"Brand")</f>
        <v>0</v>
      </c>
      <c r="O160" s="417">
        <f>SUMIFS(Search!$V:$V,Search!$A:$A,"P13",Search!$D:$D,"Brand")</f>
        <v>408</v>
      </c>
      <c r="P160" s="378">
        <f t="shared" si="276"/>
        <v>-1</v>
      </c>
      <c r="Q160" s="379" t="e">
        <f t="shared" si="277"/>
        <v>#DIV/0!</v>
      </c>
      <c r="R160" s="379">
        <f t="shared" si="278"/>
        <v>1.4551160883055744E-2</v>
      </c>
      <c r="S160" s="378" t="e">
        <f t="shared" si="279"/>
        <v>#DIV/0!</v>
      </c>
      <c r="T160" s="374" t="e">
        <f t="shared" si="280"/>
        <v>#DIV/0!</v>
      </c>
      <c r="U160" s="374">
        <f t="shared" si="281"/>
        <v>8.9884313725490195</v>
      </c>
      <c r="V160" s="375" t="e">
        <f t="shared" si="282"/>
        <v>#DIV/0!</v>
      </c>
      <c r="W160" s="374" t="e">
        <f t="shared" si="283"/>
        <v>#DIV/0!</v>
      </c>
      <c r="X160" s="374">
        <f t="shared" si="284"/>
        <v>106.21078431372548</v>
      </c>
      <c r="Y160" s="378" t="e">
        <f t="shared" si="285"/>
        <v>#DIV/0!</v>
      </c>
      <c r="Z160" s="419">
        <f>SUMIFS(Search!$AG:$AG,Search!$A:$A,"P13",Search!$D:$D,"Brand")</f>
        <v>0</v>
      </c>
      <c r="AA160" s="417">
        <f>SUMIFS(Search!$AH:$AH,Search!$A:$A,"P13",Search!$D:$D,"Brand")</f>
        <v>20627</v>
      </c>
      <c r="AB160" s="378">
        <f t="shared" si="286"/>
        <v>-1</v>
      </c>
      <c r="AC160" s="419">
        <f>SUMIFS(Search!$AK:$AK,Search!$A:$A,"P13",Search!$D:$D,"Brand")</f>
        <v>0</v>
      </c>
      <c r="AD160" s="417">
        <f>SUMIFS(Search!$AL:$AL,Search!$A:$A,"P13",Search!$D:$D,"Brand")</f>
        <v>56605</v>
      </c>
      <c r="AE160" s="378">
        <f t="shared" si="287"/>
        <v>-1</v>
      </c>
      <c r="AF160" s="379" t="e">
        <f t="shared" si="288"/>
        <v>#DIV/0!</v>
      </c>
      <c r="AG160" s="379">
        <f t="shared" si="289"/>
        <v>0.3644024379471778</v>
      </c>
      <c r="AH160" s="378" t="e">
        <f>(AF160-AG160)/AG160</f>
        <v>#DIV/0!</v>
      </c>
    </row>
    <row r="161" spans="1:34" outlineLevel="1" x14ac:dyDescent="0.3">
      <c r="A161" s="373" t="s">
        <v>30</v>
      </c>
      <c r="B161" s="374">
        <f>SUMIFS(Search!$E:$E,Search!$A:$A,"P13",Search!$D:$D,"Non-Brand")</f>
        <v>0</v>
      </c>
      <c r="C161" s="374">
        <f>SUMIFS(Search!$F:$F,Search!$A:$A,"P13",Search!$D:$D,"Non-Brand")</f>
        <v>4522</v>
      </c>
      <c r="D161" s="369">
        <f t="shared" si="270"/>
        <v>-1</v>
      </c>
      <c r="E161" s="374">
        <f>SUMIFS(Search!$I:$I,Search!$A:$A,"P13",Search!$D:$D,"Non-Brand")</f>
        <v>0</v>
      </c>
      <c r="F161" s="374">
        <f>SUMIFS(Search!$J:$J,Search!$A:$A,"P13",Search!$D:$D,"Non-Brand")</f>
        <v>18177.93</v>
      </c>
      <c r="G161" s="375">
        <f t="shared" si="271"/>
        <v>-1</v>
      </c>
      <c r="H161" s="376" t="e">
        <f t="shared" si="272"/>
        <v>#DIV/0!</v>
      </c>
      <c r="I161" s="376">
        <f t="shared" si="273"/>
        <v>0.24876319800989441</v>
      </c>
      <c r="J161" s="375" t="e">
        <f t="shared" si="274"/>
        <v>#DIV/0!</v>
      </c>
      <c r="K161" s="417">
        <f>SUMIFS(Search!$Q:$Q,Search!$A:$A,"P13",Search!$D:$D,"Non-Brand")</f>
        <v>0</v>
      </c>
      <c r="L161" s="417">
        <f>SUMIFS(Search!$R:$R,Search!$A:$A,"P13",Search!$D:$D,"Non-Brand")</f>
        <v>16375</v>
      </c>
      <c r="M161" s="375">
        <f t="shared" si="275"/>
        <v>-1</v>
      </c>
      <c r="N161" s="417">
        <f>SUMIFS(Search!$U:$U,Search!$A:$A,"P13",Search!$D:$D,"Non-Brand")</f>
        <v>0</v>
      </c>
      <c r="O161" s="417">
        <f>SUMIFS(Search!$V:$V,Search!$A:$A,"P13",Search!$D:$D,"Non-Brand")</f>
        <v>63</v>
      </c>
      <c r="P161" s="378">
        <f t="shared" si="276"/>
        <v>-1</v>
      </c>
      <c r="Q161" s="379" t="e">
        <f t="shared" si="277"/>
        <v>#DIV/0!</v>
      </c>
      <c r="R161" s="379">
        <f t="shared" si="278"/>
        <v>3.8473282442748093E-3</v>
      </c>
      <c r="S161" s="378" t="e">
        <f t="shared" si="279"/>
        <v>#DIV/0!</v>
      </c>
      <c r="T161" s="374" t="e">
        <f t="shared" si="280"/>
        <v>#DIV/0!</v>
      </c>
      <c r="U161" s="374">
        <f t="shared" si="281"/>
        <v>288.53857142857146</v>
      </c>
      <c r="V161" s="375" t="e">
        <f t="shared" si="282"/>
        <v>#DIV/0!</v>
      </c>
      <c r="W161" s="374" t="e">
        <f t="shared" si="283"/>
        <v>#DIV/0!</v>
      </c>
      <c r="X161" s="374">
        <f t="shared" si="284"/>
        <v>71.777777777777771</v>
      </c>
      <c r="Y161" s="378" t="e">
        <f t="shared" si="285"/>
        <v>#DIV/0!</v>
      </c>
      <c r="Z161" s="419">
        <f>SUMIFS(Search!$AG:$AG,Search!$A:$A,"P13",Search!$D:$D,"Non-Brand")</f>
        <v>0</v>
      </c>
      <c r="AA161" s="417">
        <f>SUMIFS(Search!$AH:$AH,Search!$A:$A,"P13",Search!$D:$D,"Non-Brand")</f>
        <v>15014</v>
      </c>
      <c r="AB161" s="378">
        <f t="shared" si="286"/>
        <v>-1</v>
      </c>
      <c r="AC161" s="419">
        <f>SUMIFS(Search!$AK:$AK,Search!$A:$A,"P13",Search!$D:$D,"Non-Brand")</f>
        <v>0</v>
      </c>
      <c r="AD161" s="417">
        <f>SUMIFS(Search!$AL:$AL,Search!$A:$A,"P13",Search!$D:$D,"Non-Brand")</f>
        <v>200228</v>
      </c>
      <c r="AE161" s="378">
        <f t="shared" si="287"/>
        <v>-1</v>
      </c>
      <c r="AF161" s="379" t="e">
        <f t="shared" si="288"/>
        <v>#DIV/0!</v>
      </c>
      <c r="AG161" s="379">
        <f t="shared" si="289"/>
        <v>7.4984517649879137E-2</v>
      </c>
      <c r="AH161" s="378" t="e">
        <f>(AF161-AG161)/AG161</f>
        <v>#DIV/0!</v>
      </c>
    </row>
    <row r="162" spans="1:34" outlineLevel="1" x14ac:dyDescent="0.3">
      <c r="A162" s="373" t="s">
        <v>228</v>
      </c>
      <c r="B162" s="374">
        <f>SUMIFS(Search!$E:$E,Search!$A:$A,"P13",Search!$D:$D,"Shopping Campaigns")</f>
        <v>0</v>
      </c>
      <c r="C162" s="374">
        <f>SUMIFS(Search!$F:$F,Search!$A:$A,"P13",Search!$D:$D,"Shopping Campaigns")</f>
        <v>0</v>
      </c>
      <c r="D162" s="369" t="e">
        <f t="shared" si="270"/>
        <v>#DIV/0!</v>
      </c>
      <c r="E162" s="374">
        <f>SUMIFS(Search!$I:$I,Search!$A:$A,"P13",Search!$D:$D,"Shopping Campaigns")</f>
        <v>0</v>
      </c>
      <c r="F162" s="374">
        <f>SUMIFS(Search!$J:$J,Search!$A:$A,"P13",Search!$D:$D,"Shopping Campaigns")</f>
        <v>0</v>
      </c>
      <c r="G162" s="375" t="e">
        <f t="shared" si="271"/>
        <v>#DIV/0!</v>
      </c>
      <c r="H162" s="376" t="e">
        <f t="shared" si="272"/>
        <v>#DIV/0!</v>
      </c>
      <c r="I162" s="376" t="e">
        <f t="shared" si="273"/>
        <v>#DIV/0!</v>
      </c>
      <c r="J162" s="375" t="e">
        <f t="shared" si="274"/>
        <v>#DIV/0!</v>
      </c>
      <c r="K162" s="417">
        <f>SUMIFS(Search!$Q:$Q,Search!$A:$A,"P13",Search!$D:$D,"Shopping Campaigns")</f>
        <v>0</v>
      </c>
      <c r="L162" s="417">
        <f>SUMIFS(Search!$R:$R,Search!$A:$A,"P13",Search!$D:$D,"Shopping Campaigns")</f>
        <v>0</v>
      </c>
      <c r="M162" s="375" t="e">
        <f t="shared" si="275"/>
        <v>#DIV/0!</v>
      </c>
      <c r="N162" s="417">
        <f>SUMIFS(Search!$U:$U,Search!$A:$A,"P13",Search!$D:$D,"Shopping Campaigns")</f>
        <v>0</v>
      </c>
      <c r="O162" s="417">
        <f>SUMIFS(Search!$V:$V,Search!$A:$A,"P13",Search!$D:$D,"Shopping Campaigns")</f>
        <v>0</v>
      </c>
      <c r="P162" s="378" t="e">
        <f t="shared" si="276"/>
        <v>#DIV/0!</v>
      </c>
      <c r="Q162" s="379" t="e">
        <f t="shared" si="277"/>
        <v>#DIV/0!</v>
      </c>
      <c r="R162" s="379" t="e">
        <f t="shared" si="278"/>
        <v>#DIV/0!</v>
      </c>
      <c r="S162" s="378" t="e">
        <f t="shared" si="279"/>
        <v>#DIV/0!</v>
      </c>
      <c r="T162" s="374" t="e">
        <f t="shared" si="280"/>
        <v>#DIV/0!</v>
      </c>
      <c r="U162" s="374" t="e">
        <f t="shared" si="281"/>
        <v>#DIV/0!</v>
      </c>
      <c r="V162" s="375" t="e">
        <f t="shared" si="282"/>
        <v>#DIV/0!</v>
      </c>
      <c r="W162" s="374" t="e">
        <f t="shared" si="283"/>
        <v>#DIV/0!</v>
      </c>
      <c r="X162" s="374" t="e">
        <f t="shared" si="284"/>
        <v>#DIV/0!</v>
      </c>
      <c r="Y162" s="378" t="e">
        <f t="shared" si="285"/>
        <v>#DIV/0!</v>
      </c>
      <c r="Z162" s="419">
        <f>SUMIFS(Search!$AG:$AG,Search!$A:$A,"P13",Search!$D:$D,"Shopping Campaigns")</f>
        <v>0</v>
      </c>
      <c r="AA162" s="417">
        <f>SUMIFS(Search!$AH:$AH,Search!$A:$A,"P13",Search!$D:$D,"Shopping Campaigns")</f>
        <v>0</v>
      </c>
      <c r="AB162" s="378" t="e">
        <f t="shared" si="286"/>
        <v>#DIV/0!</v>
      </c>
      <c r="AC162" s="419">
        <f>SUMIFS(Search!$AK:$AK,Search!$A:$A,"P13",Search!$D:$D,"Shopping Campaigns")</f>
        <v>0</v>
      </c>
      <c r="AD162" s="417">
        <f>SUMIFS(Search!$AL:$AL,Search!$A:$A,"P13",Search!$D:$D,"Shopping Campaigns")</f>
        <v>0</v>
      </c>
      <c r="AE162" s="378" t="e">
        <f t="shared" si="287"/>
        <v>#DIV/0!</v>
      </c>
      <c r="AF162" s="379" t="e">
        <f t="shared" si="288"/>
        <v>#DIV/0!</v>
      </c>
      <c r="AG162" s="379" t="e">
        <f t="shared" si="289"/>
        <v>#DIV/0!</v>
      </c>
      <c r="AH162" s="378" t="e">
        <f t="shared" ref="AH162:AH169" si="290">(AF162-AG162)/AG162</f>
        <v>#DIV/0!</v>
      </c>
    </row>
    <row r="163" spans="1:34" s="367" customFormat="1" ht="21" customHeight="1" x14ac:dyDescent="0.3">
      <c r="A163" s="380" t="s">
        <v>13</v>
      </c>
      <c r="B163" s="368">
        <f>SUMIFS(Affiliate!D:D,Affiliate!$A:$A,"P13")</f>
        <v>0</v>
      </c>
      <c r="C163" s="368">
        <f>SUMIFS(Affiliate!E:E,Affiliate!$A:$A,"P13")</f>
        <v>140031</v>
      </c>
      <c r="D163" s="369">
        <f t="shared" si="270"/>
        <v>-1</v>
      </c>
      <c r="E163" s="368">
        <f>SUMIFS(Affiliate!H:H,Affiliate!$A:$A,"P13")</f>
        <v>20000</v>
      </c>
      <c r="F163" s="368">
        <f>SUMIFS(Affiliate!I:I,Affiliate!$A:$A,"P13")</f>
        <v>16820.48</v>
      </c>
      <c r="G163" s="369">
        <f t="shared" si="271"/>
        <v>0.18902671029602011</v>
      </c>
      <c r="H163" s="370">
        <f t="shared" si="272"/>
        <v>0</v>
      </c>
      <c r="I163" s="370">
        <f t="shared" si="273"/>
        <v>8.3250299634730993</v>
      </c>
      <c r="J163" s="369">
        <f t="shared" si="274"/>
        <v>-1</v>
      </c>
      <c r="K163" s="416">
        <f>SUMIFS(Affiliate!$AF:$AF,Affiliate!$A:$A,"P13")</f>
        <v>0</v>
      </c>
      <c r="L163" s="416">
        <f>SUMIFS(Affiliate!$AG:$AG,Affiliate!$A:$A,"P13")</f>
        <v>25509</v>
      </c>
      <c r="M163" s="369">
        <f t="shared" si="275"/>
        <v>-1</v>
      </c>
      <c r="N163" s="416">
        <f>SUMIFS(Affiliate!$AJ:$AJ,Affiliate!$A:$A,"P13")</f>
        <v>0</v>
      </c>
      <c r="O163" s="416">
        <f>SUMIFS(Affiliate!$AK:$AK,Affiliate!$A:$A,"P13")</f>
        <v>1285</v>
      </c>
      <c r="P163" s="381">
        <f t="shared" si="276"/>
        <v>-1</v>
      </c>
      <c r="Q163" s="382" t="e">
        <f t="shared" si="277"/>
        <v>#DIV/0!</v>
      </c>
      <c r="R163" s="382">
        <f t="shared" si="278"/>
        <v>5.0374377670626053E-2</v>
      </c>
      <c r="S163" s="381" t="e">
        <f t="shared" si="279"/>
        <v>#DIV/0!</v>
      </c>
      <c r="T163" s="383" t="e">
        <f t="shared" si="280"/>
        <v>#DIV/0!</v>
      </c>
      <c r="U163" s="383">
        <f t="shared" si="281"/>
        <v>13.089867704280156</v>
      </c>
      <c r="V163" s="369" t="e">
        <f t="shared" si="282"/>
        <v>#DIV/0!</v>
      </c>
      <c r="W163" s="383" t="e">
        <f t="shared" si="283"/>
        <v>#DIV/0!</v>
      </c>
      <c r="X163" s="383">
        <f t="shared" si="284"/>
        <v>108.97354085603112</v>
      </c>
      <c r="Y163" s="381" t="e">
        <f t="shared" si="285"/>
        <v>#DIV/0!</v>
      </c>
      <c r="Z163" s="443"/>
      <c r="AA163" s="384"/>
      <c r="AB163" s="381" t="e">
        <f t="shared" si="286"/>
        <v>#DIV/0!</v>
      </c>
      <c r="AC163" s="443"/>
      <c r="AD163" s="384"/>
      <c r="AE163" s="381" t="e">
        <f t="shared" si="287"/>
        <v>#DIV/0!</v>
      </c>
      <c r="AF163" s="385"/>
      <c r="AG163" s="385"/>
      <c r="AH163" s="381" t="e">
        <f t="shared" si="290"/>
        <v>#DIV/0!</v>
      </c>
    </row>
    <row r="164" spans="1:34" s="367" customFormat="1" ht="20.100000000000001" customHeight="1" x14ac:dyDescent="0.3">
      <c r="A164" s="367" t="s">
        <v>14</v>
      </c>
      <c r="B164" s="368">
        <f>SUM(B165:B166)</f>
        <v>0</v>
      </c>
      <c r="C164" s="368">
        <f>SUM(C165:C166)</f>
        <v>3338</v>
      </c>
      <c r="D164" s="369">
        <f t="shared" si="270"/>
        <v>-1</v>
      </c>
      <c r="E164" s="368">
        <f>SUM(E165:E166)</f>
        <v>0</v>
      </c>
      <c r="F164" s="368">
        <f>SUM(F165:F166)</f>
        <v>48381.235000000001</v>
      </c>
      <c r="G164" s="369">
        <f t="shared" si="271"/>
        <v>-1</v>
      </c>
      <c r="H164" s="370" t="e">
        <f t="shared" si="272"/>
        <v>#DIV/0!</v>
      </c>
      <c r="I164" s="370">
        <f t="shared" si="273"/>
        <v>6.899369145909566E-2</v>
      </c>
      <c r="J164" s="369" t="e">
        <f t="shared" si="274"/>
        <v>#DIV/0!</v>
      </c>
      <c r="K164" s="416">
        <f>SUM(K165:K166)</f>
        <v>0</v>
      </c>
      <c r="L164" s="416">
        <f>SUM(L165:L166)</f>
        <v>51076</v>
      </c>
      <c r="M164" s="369">
        <f t="shared" si="275"/>
        <v>-1</v>
      </c>
      <c r="N164" s="416">
        <f>SUM(N165:N166)</f>
        <v>0</v>
      </c>
      <c r="O164" s="416">
        <f>SUM(O165:O166)</f>
        <v>33</v>
      </c>
      <c r="P164" s="381">
        <f t="shared" si="276"/>
        <v>-1</v>
      </c>
      <c r="Q164" s="382" t="e">
        <f t="shared" si="277"/>
        <v>#DIV/0!</v>
      </c>
      <c r="R164" s="382">
        <f t="shared" si="278"/>
        <v>6.4609601378338164E-4</v>
      </c>
      <c r="S164" s="381" t="e">
        <f t="shared" si="279"/>
        <v>#DIV/0!</v>
      </c>
      <c r="T164" s="383" t="e">
        <f t="shared" si="280"/>
        <v>#DIV/0!</v>
      </c>
      <c r="U164" s="383">
        <f t="shared" si="281"/>
        <v>1466.0980303030303</v>
      </c>
      <c r="V164" s="369" t="e">
        <f t="shared" si="282"/>
        <v>#DIV/0!</v>
      </c>
      <c r="W164" s="383" t="e">
        <f t="shared" si="283"/>
        <v>#DIV/0!</v>
      </c>
      <c r="X164" s="383">
        <f t="shared" si="284"/>
        <v>101.15151515151516</v>
      </c>
      <c r="Y164" s="381" t="e">
        <f t="shared" si="285"/>
        <v>#DIV/0!</v>
      </c>
      <c r="Z164" s="420">
        <f>SUM(Z165:Z166)</f>
        <v>0</v>
      </c>
      <c r="AA164" s="416">
        <f>SUM(AA165:AA166)</f>
        <v>67769</v>
      </c>
      <c r="AB164" s="381">
        <f t="shared" si="286"/>
        <v>-1</v>
      </c>
      <c r="AC164" s="420">
        <f>SUM(AC165:AC166)</f>
        <v>0</v>
      </c>
      <c r="AD164" s="416">
        <f>SUM(AD165:AD166)</f>
        <v>8394854</v>
      </c>
      <c r="AE164" s="381">
        <f t="shared" si="287"/>
        <v>-1</v>
      </c>
      <c r="AF164" s="382" t="e">
        <f t="shared" ref="AF164:AF170" si="291">Z164/AC164</f>
        <v>#DIV/0!</v>
      </c>
      <c r="AG164" s="382">
        <f t="shared" ref="AG164:AG170" si="292">AA164/AD164</f>
        <v>8.0726835749615183E-3</v>
      </c>
      <c r="AH164" s="381" t="e">
        <f t="shared" si="290"/>
        <v>#DIV/0!</v>
      </c>
    </row>
    <row r="165" spans="1:34" outlineLevel="1" x14ac:dyDescent="0.3">
      <c r="A165" s="373" t="s">
        <v>285</v>
      </c>
      <c r="B165" s="374">
        <f>SUMIFS('Social - Promos'!$E:$E,'Social - Promos'!$A:$A,"p13")</f>
        <v>0</v>
      </c>
      <c r="C165" s="374">
        <f>SUMIFS('Social - Promos'!$F:$F,'Social - Promos'!$A:$A,"p13")</f>
        <v>3338</v>
      </c>
      <c r="D165" s="369">
        <f t="shared" si="270"/>
        <v>-1</v>
      </c>
      <c r="E165" s="374">
        <f>SUMIFS('Social - Promos'!$K:$K,'Social - Promos'!$A:$A,"P13")</f>
        <v>0</v>
      </c>
      <c r="F165" s="374">
        <f>SUMIFS('Social - Promos'!$L:$L,'Social - Promos'!$A:$A,"p13")</f>
        <v>48381.235000000001</v>
      </c>
      <c r="G165" s="375">
        <f t="shared" si="271"/>
        <v>-1</v>
      </c>
      <c r="H165" s="386" t="e">
        <f t="shared" si="272"/>
        <v>#DIV/0!</v>
      </c>
      <c r="I165" s="386">
        <f t="shared" si="273"/>
        <v>6.899369145909566E-2</v>
      </c>
      <c r="J165" s="375" t="e">
        <f t="shared" si="274"/>
        <v>#DIV/0!</v>
      </c>
      <c r="K165" s="417">
        <f>SUMIFS('Social - Promos'!$T:$T,'Social - Promos'!$A:$A,"p13")</f>
        <v>0</v>
      </c>
      <c r="L165" s="417">
        <f>SUMIFS('Social - Promos'!$U:$U,'Social - Promos'!$A:$A,"p13")</f>
        <v>51076</v>
      </c>
      <c r="M165" s="375">
        <f t="shared" si="275"/>
        <v>-1</v>
      </c>
      <c r="N165" s="417">
        <f>SUMIFS('Social - Promos'!$W:$W,'Social - Promos'!$A:$A,"p13")</f>
        <v>0</v>
      </c>
      <c r="O165" s="417">
        <f>SUMIFS('Social - Promos'!$X:$X,'Social - Promos'!$A:$A,"p13")</f>
        <v>33</v>
      </c>
      <c r="P165" s="378">
        <f t="shared" si="276"/>
        <v>-1</v>
      </c>
      <c r="Q165" s="379" t="e">
        <f t="shared" si="277"/>
        <v>#DIV/0!</v>
      </c>
      <c r="R165" s="379">
        <f t="shared" si="278"/>
        <v>6.4609601378338164E-4</v>
      </c>
      <c r="S165" s="378" t="e">
        <f t="shared" si="279"/>
        <v>#DIV/0!</v>
      </c>
      <c r="T165" s="374" t="e">
        <f t="shared" si="280"/>
        <v>#DIV/0!</v>
      </c>
      <c r="U165" s="374">
        <f t="shared" si="281"/>
        <v>1466.0980303030303</v>
      </c>
      <c r="V165" s="375" t="e">
        <f t="shared" si="282"/>
        <v>#DIV/0!</v>
      </c>
      <c r="W165" s="374" t="e">
        <f t="shared" si="283"/>
        <v>#DIV/0!</v>
      </c>
      <c r="X165" s="374">
        <f t="shared" si="284"/>
        <v>101.15151515151516</v>
      </c>
      <c r="Y165" s="378" t="e">
        <f t="shared" si="285"/>
        <v>#DIV/0!</v>
      </c>
      <c r="Z165" s="419">
        <f>SUMIFS('Social - Promos'!$AF:$AF,'Social - Promos'!$A:$A,"p13")</f>
        <v>0</v>
      </c>
      <c r="AA165" s="417">
        <f>SUMIFS('Social - Promos'!$AG:$AG,'Social - Promos'!$A:$A,"p13")</f>
        <v>67769</v>
      </c>
      <c r="AB165" s="378">
        <f t="shared" si="286"/>
        <v>-1</v>
      </c>
      <c r="AC165" s="419">
        <f>SUMIFS('Social - Promos'!$AI:$AI,'Social - Promos'!$A:$A,"p13")</f>
        <v>0</v>
      </c>
      <c r="AD165" s="417">
        <f>SUMIFS('Social - Promos'!$AJ:$AJ,'Social - Promos'!$A:$A,"p13")</f>
        <v>8394854</v>
      </c>
      <c r="AE165" s="378">
        <f t="shared" si="287"/>
        <v>-1</v>
      </c>
      <c r="AF165" s="379" t="e">
        <f t="shared" si="291"/>
        <v>#DIV/0!</v>
      </c>
      <c r="AG165" s="379">
        <f t="shared" si="292"/>
        <v>8.0726835749615183E-3</v>
      </c>
      <c r="AH165" s="378" t="e">
        <f t="shared" si="290"/>
        <v>#DIV/0!</v>
      </c>
    </row>
    <row r="166" spans="1:34" outlineLevel="1" x14ac:dyDescent="0.3">
      <c r="A166" s="373" t="s">
        <v>286</v>
      </c>
      <c r="B166" s="374">
        <f>SUMIFS('Social - Remarketing'!$D:$D,'Social - Remarketing'!$A:$A,"P13")</f>
        <v>0</v>
      </c>
      <c r="C166" s="374">
        <f>SUMIFS('Social - Remarketing'!$E:$E,'Social - Remarketing'!$A:$A,"P13")</f>
        <v>0</v>
      </c>
      <c r="D166" s="369" t="e">
        <f t="shared" si="270"/>
        <v>#DIV/0!</v>
      </c>
      <c r="E166" s="374">
        <f>SUMIFS('Social - Remarketing'!$H:$H,'Social - Remarketing'!$A:$A,"P13")</f>
        <v>0</v>
      </c>
      <c r="F166" s="374">
        <f>SUMIFS('Social - Remarketing'!$I:$I,'Social - Remarketing'!$A:$A,"P13")</f>
        <v>0</v>
      </c>
      <c r="G166" s="369" t="e">
        <f t="shared" si="271"/>
        <v>#DIV/0!</v>
      </c>
      <c r="H166" s="386" t="e">
        <f t="shared" si="272"/>
        <v>#DIV/0!</v>
      </c>
      <c r="I166" s="386" t="e">
        <f t="shared" si="273"/>
        <v>#DIV/0!</v>
      </c>
      <c r="J166" s="369" t="e">
        <f t="shared" si="274"/>
        <v>#DIV/0!</v>
      </c>
      <c r="K166" s="417">
        <f>SUMIFS('Social - Remarketing'!$X:$X,'Social - Remarketing'!$A:$A,"P13")</f>
        <v>0</v>
      </c>
      <c r="L166" s="417">
        <f>SUMIFS('Social - Remarketing'!$Y:$Y,'Social - Remarketing'!$A:$A,"P13")</f>
        <v>0</v>
      </c>
      <c r="M166" s="375" t="e">
        <f t="shared" si="275"/>
        <v>#DIV/0!</v>
      </c>
      <c r="N166" s="417">
        <f>SUMIFS('Social - Remarketing'!$AB:$AB,'Social - Remarketing'!$A:$A,"P13")</f>
        <v>0</v>
      </c>
      <c r="O166" s="417">
        <f>SUMIFS('Social - Remarketing'!$AC:$AC,'Social - Remarketing'!$A:$A,"P13")</f>
        <v>0</v>
      </c>
      <c r="P166" s="378" t="e">
        <f t="shared" si="276"/>
        <v>#DIV/0!</v>
      </c>
      <c r="Q166" s="379" t="e">
        <f t="shared" si="277"/>
        <v>#DIV/0!</v>
      </c>
      <c r="R166" s="379" t="e">
        <f t="shared" si="278"/>
        <v>#DIV/0!</v>
      </c>
      <c r="S166" s="378" t="e">
        <f t="shared" si="279"/>
        <v>#DIV/0!</v>
      </c>
      <c r="T166" s="374" t="e">
        <f t="shared" si="280"/>
        <v>#DIV/0!</v>
      </c>
      <c r="U166" s="374" t="e">
        <f t="shared" si="281"/>
        <v>#DIV/0!</v>
      </c>
      <c r="V166" s="375" t="e">
        <f t="shared" si="282"/>
        <v>#DIV/0!</v>
      </c>
      <c r="W166" s="374" t="e">
        <f t="shared" si="283"/>
        <v>#DIV/0!</v>
      </c>
      <c r="X166" s="374" t="e">
        <f t="shared" si="284"/>
        <v>#DIV/0!</v>
      </c>
      <c r="Y166" s="378" t="e">
        <f t="shared" si="285"/>
        <v>#DIV/0!</v>
      </c>
      <c r="Z166" s="419">
        <f>SUMIFS('Social - Remarketing'!$AN:$AN,'Social - Remarketing'!$A:$A,"P13")</f>
        <v>0</v>
      </c>
      <c r="AA166" s="417">
        <f>SUMIFS('Social - Remarketing'!$AO:$AO,'Social - Remarketing'!$A:$A,"P13")</f>
        <v>0</v>
      </c>
      <c r="AB166" s="378" t="e">
        <f t="shared" si="286"/>
        <v>#DIV/0!</v>
      </c>
      <c r="AC166" s="419">
        <f>SUMIFS('Social - Remarketing'!$AR:$AR,'Social - Remarketing'!$A:$A,"P13")</f>
        <v>0</v>
      </c>
      <c r="AD166" s="417">
        <f>SUMIFS('Social - Remarketing'!$AS:$AS,'Social - Remarketing'!$A:$A,"P13")</f>
        <v>0</v>
      </c>
      <c r="AE166" s="378" t="e">
        <f t="shared" si="287"/>
        <v>#DIV/0!</v>
      </c>
      <c r="AF166" s="379" t="e">
        <f t="shared" si="291"/>
        <v>#DIV/0!</v>
      </c>
      <c r="AG166" s="379" t="e">
        <f t="shared" si="292"/>
        <v>#DIV/0!</v>
      </c>
      <c r="AH166" s="378" t="e">
        <f t="shared" si="290"/>
        <v>#DIV/0!</v>
      </c>
    </row>
    <row r="167" spans="1:34" s="367" customFormat="1" ht="21" customHeight="1" x14ac:dyDescent="0.3">
      <c r="A167" s="367" t="s">
        <v>15</v>
      </c>
      <c r="B167" s="368">
        <f>SUM(B168:B169)</f>
        <v>0</v>
      </c>
      <c r="C167" s="368">
        <f>SUM(C168:C169)</f>
        <v>0</v>
      </c>
      <c r="D167" s="369" t="e">
        <f t="shared" si="270"/>
        <v>#DIV/0!</v>
      </c>
      <c r="E167" s="368">
        <f>SUM(E168:E169)</f>
        <v>0</v>
      </c>
      <c r="F167" s="368">
        <f>SUM(F168:F169)</f>
        <v>0</v>
      </c>
      <c r="G167" s="369" t="e">
        <f t="shared" si="271"/>
        <v>#DIV/0!</v>
      </c>
      <c r="H167" s="370" t="e">
        <f t="shared" si="272"/>
        <v>#DIV/0!</v>
      </c>
      <c r="I167" s="370" t="e">
        <f t="shared" si="273"/>
        <v>#DIV/0!</v>
      </c>
      <c r="J167" s="369" t="e">
        <f t="shared" si="274"/>
        <v>#DIV/0!</v>
      </c>
      <c r="K167" s="416">
        <f>SUM(K168:K169)</f>
        <v>0</v>
      </c>
      <c r="L167" s="416">
        <f>SUM(L168:L169)</f>
        <v>0</v>
      </c>
      <c r="M167" s="369" t="e">
        <f t="shared" si="275"/>
        <v>#DIV/0!</v>
      </c>
      <c r="N167" s="416">
        <f>SUM(N168:N169)</f>
        <v>0</v>
      </c>
      <c r="O167" s="416">
        <f>SUM(O168:O169)</f>
        <v>0</v>
      </c>
      <c r="P167" s="381" t="e">
        <f t="shared" si="276"/>
        <v>#DIV/0!</v>
      </c>
      <c r="Q167" s="382" t="e">
        <f t="shared" si="277"/>
        <v>#DIV/0!</v>
      </c>
      <c r="R167" s="382" t="e">
        <f t="shared" si="278"/>
        <v>#DIV/0!</v>
      </c>
      <c r="S167" s="381" t="e">
        <f t="shared" si="279"/>
        <v>#DIV/0!</v>
      </c>
      <c r="T167" s="383" t="e">
        <f t="shared" si="280"/>
        <v>#DIV/0!</v>
      </c>
      <c r="U167" s="383" t="e">
        <f t="shared" si="281"/>
        <v>#DIV/0!</v>
      </c>
      <c r="V167" s="369" t="e">
        <f t="shared" si="282"/>
        <v>#DIV/0!</v>
      </c>
      <c r="W167" s="383" t="e">
        <f t="shared" si="283"/>
        <v>#DIV/0!</v>
      </c>
      <c r="X167" s="383" t="e">
        <f t="shared" si="284"/>
        <v>#DIV/0!</v>
      </c>
      <c r="Y167" s="381" t="e">
        <f t="shared" si="285"/>
        <v>#DIV/0!</v>
      </c>
      <c r="Z167" s="420">
        <f>SUM(Z168:Z169)</f>
        <v>0</v>
      </c>
      <c r="AA167" s="416">
        <f>SUM(AA168:AA169)</f>
        <v>0</v>
      </c>
      <c r="AB167" s="381" t="e">
        <f t="shared" si="286"/>
        <v>#DIV/0!</v>
      </c>
      <c r="AC167" s="420">
        <f>SUM(AC168:AC169)</f>
        <v>0</v>
      </c>
      <c r="AD167" s="416">
        <f>SUM(AD168:AD169)</f>
        <v>0</v>
      </c>
      <c r="AE167" s="381" t="e">
        <f t="shared" si="287"/>
        <v>#DIV/0!</v>
      </c>
      <c r="AF167" s="382" t="e">
        <f t="shared" si="291"/>
        <v>#DIV/0!</v>
      </c>
      <c r="AG167" s="382" t="e">
        <f t="shared" si="292"/>
        <v>#DIV/0!</v>
      </c>
      <c r="AH167" s="381" t="e">
        <f t="shared" si="290"/>
        <v>#DIV/0!</v>
      </c>
    </row>
    <row r="168" spans="1:34" outlineLevel="1" x14ac:dyDescent="0.3">
      <c r="A168" s="373" t="s">
        <v>285</v>
      </c>
      <c r="B168" s="374">
        <f>SUMIFS('Display - Promos'!$E:$E,'Display - Promos'!$A:$A,"P13")</f>
        <v>0</v>
      </c>
      <c r="C168" s="374">
        <f>SUMIFS('Display - Promos'!$F:$F,'Display - Promos'!$A:$A,"P13")</f>
        <v>0</v>
      </c>
      <c r="D168" s="375" t="e">
        <f t="shared" si="270"/>
        <v>#DIV/0!</v>
      </c>
      <c r="E168" s="374">
        <f>SUMIFS('Display - Promos'!$H:$H,'Display - Promos'!$A:$A,"p13")</f>
        <v>0</v>
      </c>
      <c r="F168" s="374">
        <f>SUMIFS('Display - Promos'!$I:$I,'Display - Promos'!$A:$A,"p13")</f>
        <v>0</v>
      </c>
      <c r="G168" s="375" t="e">
        <f t="shared" si="271"/>
        <v>#DIV/0!</v>
      </c>
      <c r="H168" s="386" t="e">
        <f t="shared" si="272"/>
        <v>#DIV/0!</v>
      </c>
      <c r="I168" s="386" t="e">
        <f t="shared" si="273"/>
        <v>#DIV/0!</v>
      </c>
      <c r="J168" s="369" t="e">
        <f t="shared" si="274"/>
        <v>#DIV/0!</v>
      </c>
      <c r="K168" s="417">
        <f>SUMIFS('Display - Promos'!$N:$N,'Display - Promos'!$A:$A,"p13")</f>
        <v>0</v>
      </c>
      <c r="L168" s="417">
        <f>SUMIFS('Display - Promos'!$O:$O,'Display - Promos'!$A:$A,"p13")</f>
        <v>0</v>
      </c>
      <c r="M168" s="375" t="e">
        <f t="shared" si="275"/>
        <v>#DIV/0!</v>
      </c>
      <c r="N168" s="417">
        <f>SUMIFS('Display - Promos'!$Q:$Q,'Display - Promos'!$A:$A,"p13")</f>
        <v>0</v>
      </c>
      <c r="O168" s="417">
        <f>SUMIFS('Display - Promos'!$R:$R,'Display - Promos'!$A:$A,"p13")</f>
        <v>0</v>
      </c>
      <c r="P168" s="378" t="e">
        <f t="shared" si="276"/>
        <v>#DIV/0!</v>
      </c>
      <c r="Q168" s="379" t="e">
        <f t="shared" si="277"/>
        <v>#DIV/0!</v>
      </c>
      <c r="R168" s="379" t="e">
        <f t="shared" si="278"/>
        <v>#DIV/0!</v>
      </c>
      <c r="S168" s="378" t="e">
        <f t="shared" si="279"/>
        <v>#DIV/0!</v>
      </c>
      <c r="T168" s="374" t="e">
        <f t="shared" si="280"/>
        <v>#DIV/0!</v>
      </c>
      <c r="U168" s="374" t="e">
        <f t="shared" si="281"/>
        <v>#DIV/0!</v>
      </c>
      <c r="V168" s="375" t="e">
        <f t="shared" si="282"/>
        <v>#DIV/0!</v>
      </c>
      <c r="W168" s="374" t="e">
        <f t="shared" si="283"/>
        <v>#DIV/0!</v>
      </c>
      <c r="X168" s="374" t="e">
        <f t="shared" si="284"/>
        <v>#DIV/0!</v>
      </c>
      <c r="Y168" s="378" t="e">
        <f t="shared" si="285"/>
        <v>#DIV/0!</v>
      </c>
      <c r="Z168" s="419">
        <f>SUMIFS('Display - Promos'!$W:$W,'Display - Promos'!$A:$A,"p13")</f>
        <v>0</v>
      </c>
      <c r="AA168" s="417">
        <f>SUMIFS('Display - Promos'!$X:$X,'Display - Promos'!$A:$A,"p13")</f>
        <v>0</v>
      </c>
      <c r="AB168" s="378" t="e">
        <f t="shared" si="286"/>
        <v>#DIV/0!</v>
      </c>
      <c r="AC168" s="419">
        <f>SUMIFS('Display - Promos'!$Z:$Z,'Display - Promos'!$A:$A,"p13")</f>
        <v>0</v>
      </c>
      <c r="AD168" s="417">
        <f>SUMIFS('Display - Promos'!$AA:$AA,'Display - Promos'!$A:$A,"p13")</f>
        <v>0</v>
      </c>
      <c r="AE168" s="378" t="e">
        <f t="shared" si="287"/>
        <v>#DIV/0!</v>
      </c>
      <c r="AF168" s="379" t="e">
        <f t="shared" si="291"/>
        <v>#DIV/0!</v>
      </c>
      <c r="AG168" s="379" t="e">
        <f t="shared" si="292"/>
        <v>#DIV/0!</v>
      </c>
      <c r="AH168" s="378" t="e">
        <f t="shared" si="290"/>
        <v>#DIV/0!</v>
      </c>
    </row>
    <row r="169" spans="1:34" ht="19.5" outlineLevel="1" thickBot="1" x14ac:dyDescent="0.35">
      <c r="A169" s="373" t="s">
        <v>286</v>
      </c>
      <c r="B169" s="374">
        <f>SUMIFS('Display - Remarketing'!$D:$D,'Display - Remarketing'!$A:$A,"P13")</f>
        <v>0</v>
      </c>
      <c r="C169" s="374">
        <f>SUMIFS('Display - Remarketing'!$E:$E,'Display - Remarketing'!$A:$A,"P13")</f>
        <v>0</v>
      </c>
      <c r="D169" s="369" t="e">
        <f t="shared" si="270"/>
        <v>#DIV/0!</v>
      </c>
      <c r="E169" s="374">
        <f>SUMIFS('Display - Remarketing'!$H:$H,'Display - Remarketing'!$A:$A,"P13")</f>
        <v>0</v>
      </c>
      <c r="F169" s="374">
        <f>SUMIFS('Display - Remarketing'!$I:$I,'Display - Remarketing'!$A:$A,"P13")</f>
        <v>0</v>
      </c>
      <c r="G169" s="369" t="e">
        <f t="shared" si="271"/>
        <v>#DIV/0!</v>
      </c>
      <c r="H169" s="386" t="e">
        <f t="shared" si="272"/>
        <v>#DIV/0!</v>
      </c>
      <c r="I169" s="386" t="e">
        <f t="shared" si="273"/>
        <v>#DIV/0!</v>
      </c>
      <c r="J169" s="369" t="e">
        <f t="shared" si="274"/>
        <v>#DIV/0!</v>
      </c>
      <c r="K169" s="417">
        <f>SUMIFS('Display - Remarketing'!$P:$P,'Display - Remarketing'!$A:$A,"P13")</f>
        <v>0</v>
      </c>
      <c r="L169" s="417">
        <f>SUMIFS('Display - Remarketing'!$Q:$Q,'Display - Remarketing'!$A:$A,"P13")</f>
        <v>0</v>
      </c>
      <c r="M169" s="375" t="e">
        <f t="shared" si="275"/>
        <v>#DIV/0!</v>
      </c>
      <c r="N169" s="417">
        <f>SUMIFS('Display - Remarketing'!$T:$T,'Display - Remarketing'!$A:$A,"P13")</f>
        <v>0</v>
      </c>
      <c r="O169" s="417">
        <f>SUMIFS('Display - Remarketing'!$U:$U,'Display - Remarketing'!$A:$A,"P13")</f>
        <v>0</v>
      </c>
      <c r="P169" s="378" t="e">
        <f t="shared" si="276"/>
        <v>#DIV/0!</v>
      </c>
      <c r="Q169" s="379" t="e">
        <f t="shared" si="277"/>
        <v>#DIV/0!</v>
      </c>
      <c r="R169" s="379" t="e">
        <f t="shared" si="278"/>
        <v>#DIV/0!</v>
      </c>
      <c r="S169" s="378" t="e">
        <f t="shared" si="279"/>
        <v>#DIV/0!</v>
      </c>
      <c r="T169" s="374" t="e">
        <f t="shared" si="280"/>
        <v>#DIV/0!</v>
      </c>
      <c r="U169" s="374" t="e">
        <f t="shared" si="281"/>
        <v>#DIV/0!</v>
      </c>
      <c r="V169" s="375" t="e">
        <f t="shared" si="282"/>
        <v>#DIV/0!</v>
      </c>
      <c r="W169" s="374" t="e">
        <f t="shared" si="283"/>
        <v>#DIV/0!</v>
      </c>
      <c r="X169" s="374" t="e">
        <f t="shared" si="284"/>
        <v>#DIV/0!</v>
      </c>
      <c r="Y169" s="378" t="e">
        <f t="shared" si="285"/>
        <v>#DIV/0!</v>
      </c>
      <c r="Z169" s="419">
        <f>SUMIFS('Display - Remarketing'!$AB:$AB,'Display - Remarketing'!$A:$A,"p13")</f>
        <v>0</v>
      </c>
      <c r="AA169" s="417">
        <f>SUMIFS('Display - Remarketing'!$AC:$AC,'Display - Remarketing'!$A:$A,"P13")</f>
        <v>0</v>
      </c>
      <c r="AB169" s="378" t="e">
        <f t="shared" si="286"/>
        <v>#DIV/0!</v>
      </c>
      <c r="AC169" s="419">
        <f>SUMIFS('Display - Remarketing'!$AF:$AF,'Display - Remarketing'!$A:$A,"P13")</f>
        <v>0</v>
      </c>
      <c r="AD169" s="417">
        <f>SUMIFS('Display - Remarketing'!$AG:$AG,'Display - Remarketing'!$A:$A,"P13")</f>
        <v>0</v>
      </c>
      <c r="AE169" s="378" t="e">
        <f t="shared" si="287"/>
        <v>#DIV/0!</v>
      </c>
      <c r="AF169" s="379" t="e">
        <f t="shared" si="291"/>
        <v>#DIV/0!</v>
      </c>
      <c r="AG169" s="379" t="e">
        <f t="shared" si="292"/>
        <v>#DIV/0!</v>
      </c>
      <c r="AH169" s="378" t="e">
        <f t="shared" si="290"/>
        <v>#DIV/0!</v>
      </c>
    </row>
    <row r="170" spans="1:34" s="395" customFormat="1" ht="22.5" thickTop="1" thickBot="1" x14ac:dyDescent="0.4">
      <c r="A170" s="387" t="s">
        <v>16</v>
      </c>
      <c r="B170" s="388">
        <f>B159+B163+B164+B167</f>
        <v>0</v>
      </c>
      <c r="C170" s="388">
        <f>C159+C163+C164+C167</f>
        <v>191225</v>
      </c>
      <c r="D170" s="389">
        <f t="shared" si="270"/>
        <v>-1</v>
      </c>
      <c r="E170" s="388">
        <f>E159+E163+E164+E167</f>
        <v>20000</v>
      </c>
      <c r="F170" s="388">
        <f>F159+F163+F164+F167</f>
        <v>87046.925000000003</v>
      </c>
      <c r="G170" s="390">
        <f t="shared" si="271"/>
        <v>-0.77023886828856969</v>
      </c>
      <c r="H170" s="391">
        <f t="shared" si="272"/>
        <v>0</v>
      </c>
      <c r="I170" s="391">
        <f t="shared" si="273"/>
        <v>2.1968036205759134</v>
      </c>
      <c r="J170" s="390">
        <f t="shared" si="274"/>
        <v>-1</v>
      </c>
      <c r="K170" s="392">
        <f>K159+K163+K164+K167</f>
        <v>0</v>
      </c>
      <c r="L170" s="392">
        <f>L159+L163+L164+L167</f>
        <v>120999</v>
      </c>
      <c r="M170" s="390">
        <f t="shared" si="275"/>
        <v>-1</v>
      </c>
      <c r="N170" s="392">
        <f>N159+N163+N164+N167</f>
        <v>0</v>
      </c>
      <c r="O170" s="392">
        <f>O159+O163+O164+O167</f>
        <v>1789</v>
      </c>
      <c r="P170" s="389">
        <f t="shared" si="276"/>
        <v>-1</v>
      </c>
      <c r="Q170" s="393" t="e">
        <f t="shared" si="277"/>
        <v>#DIV/0!</v>
      </c>
      <c r="R170" s="393">
        <f t="shared" si="278"/>
        <v>1.4785246159059165E-2</v>
      </c>
      <c r="S170" s="389" t="e">
        <f t="shared" si="279"/>
        <v>#DIV/0!</v>
      </c>
      <c r="T170" s="388" t="e">
        <f t="shared" si="280"/>
        <v>#DIV/0!</v>
      </c>
      <c r="U170" s="388">
        <f t="shared" si="281"/>
        <v>48.656749580771383</v>
      </c>
      <c r="V170" s="390" t="e">
        <f t="shared" si="282"/>
        <v>#DIV/0!</v>
      </c>
      <c r="W170" s="388" t="e">
        <f t="shared" si="283"/>
        <v>#DIV/0!</v>
      </c>
      <c r="X170" s="388">
        <f t="shared" si="284"/>
        <v>106.88932364449413</v>
      </c>
      <c r="Y170" s="389" t="e">
        <f t="shared" si="285"/>
        <v>#DIV/0!</v>
      </c>
      <c r="Z170" s="444">
        <f>Z159+Z163+Z164+Z167</f>
        <v>0</v>
      </c>
      <c r="AA170" s="394">
        <f>AA159+AA163+AA164+AA167</f>
        <v>103410</v>
      </c>
      <c r="AB170" s="389">
        <f t="shared" si="286"/>
        <v>-1</v>
      </c>
      <c r="AC170" s="444">
        <f>AC159+AC163+AC164+AC167</f>
        <v>0</v>
      </c>
      <c r="AD170" s="392">
        <f>AD159+AD163+AD164+AD167</f>
        <v>8651687</v>
      </c>
      <c r="AE170" s="389">
        <f t="shared" si="287"/>
        <v>-1</v>
      </c>
      <c r="AF170" s="393" t="e">
        <f t="shared" si="291"/>
        <v>#DIV/0!</v>
      </c>
      <c r="AG170" s="393">
        <f t="shared" si="292"/>
        <v>1.1952582195819151E-2</v>
      </c>
      <c r="AH170" s="389" t="e">
        <f>(AF170-AG170)/AG170</f>
        <v>#DIV/0!</v>
      </c>
    </row>
  </sheetData>
  <autoFilter ref="A2:AF14"/>
  <mergeCells count="1">
    <mergeCell ref="A1:AH1"/>
  </mergeCells>
  <conditionalFormatting sqref="M3:M14 P3:P14 S3:S14 Y3:Y14 AB3:AB14 AE3:AE14 AH3:AH14 D3:D14 G10:G13 J3:J14">
    <cfRule type="cellIs" dxfId="3745" priority="91" operator="lessThan">
      <formula>0</formula>
    </cfRule>
    <cfRule type="cellIs" dxfId="3744" priority="92" operator="greaterThanOrEqual">
      <formula>0</formula>
    </cfRule>
  </conditionalFormatting>
  <conditionalFormatting sqref="G3:G9 G14 V3:V14">
    <cfRule type="cellIs" dxfId="3743" priority="89" operator="lessThanOrEqual">
      <formula>0</formula>
    </cfRule>
    <cfRule type="cellIs" dxfId="3742" priority="90" operator="greaterThanOrEqual">
      <formula>0</formula>
    </cfRule>
  </conditionalFormatting>
  <conditionalFormatting sqref="M94:M105 P94:P105 S94:S105 Y94:Y105 AB94:AB105 AE94:AE105 AH94:AH105 D94:D105 G101:G104 J94:J105">
    <cfRule type="cellIs" dxfId="3741" priority="63" operator="lessThan">
      <formula>0</formula>
    </cfRule>
    <cfRule type="cellIs" dxfId="3740" priority="64" operator="greaterThanOrEqual">
      <formula>0</formula>
    </cfRule>
  </conditionalFormatting>
  <conditionalFormatting sqref="G94:G100 G105 V94:V105">
    <cfRule type="cellIs" dxfId="3739" priority="61" operator="lessThanOrEqual">
      <formula>0</formula>
    </cfRule>
    <cfRule type="cellIs" dxfId="3738" priority="62" operator="greaterThanOrEqual">
      <formula>0</formula>
    </cfRule>
  </conditionalFormatting>
  <conditionalFormatting sqref="M107:M118 P107:P118 S107:S118 Y107:Y118 AB107:AB118 AE107:AE118 AH107:AH118 D107:D118 G114:G117 J107:J118">
    <cfRule type="cellIs" dxfId="3737" priority="59" operator="lessThan">
      <formula>0</formula>
    </cfRule>
    <cfRule type="cellIs" dxfId="3736" priority="60" operator="greaterThanOrEqual">
      <formula>0</formula>
    </cfRule>
  </conditionalFormatting>
  <conditionalFormatting sqref="G107:G113 G118 V107:V118">
    <cfRule type="cellIs" dxfId="3735" priority="57" operator="lessThanOrEqual">
      <formula>0</formula>
    </cfRule>
    <cfRule type="cellIs" dxfId="3734" priority="58" operator="greaterThanOrEqual">
      <formula>0</formula>
    </cfRule>
  </conditionalFormatting>
  <conditionalFormatting sqref="M16:M27 P16:P27 S16:S27 Y16:Y27 AB16:AB27 AE16:AE27 AH16:AH27 D16:D27 G23:G26 J16:J27">
    <cfRule type="cellIs" dxfId="3733" priority="39" operator="lessThan">
      <formula>0</formula>
    </cfRule>
    <cfRule type="cellIs" dxfId="3732" priority="40" operator="greaterThanOrEqual">
      <formula>0</formula>
    </cfRule>
  </conditionalFormatting>
  <conditionalFormatting sqref="G16:G22 G27 V16:V27">
    <cfRule type="cellIs" dxfId="3731" priority="37" operator="lessThanOrEqual">
      <formula>0</formula>
    </cfRule>
    <cfRule type="cellIs" dxfId="3730" priority="38" operator="greaterThanOrEqual">
      <formula>0</formula>
    </cfRule>
  </conditionalFormatting>
  <conditionalFormatting sqref="M29:M40 P29:P40 S29:S40 Y29:Y40 AB29:AB40 AE29:AE40 AH29:AH40 D29:D40 G36:G39 J29:J40">
    <cfRule type="cellIs" dxfId="3729" priority="35" operator="lessThan">
      <formula>0</formula>
    </cfRule>
    <cfRule type="cellIs" dxfId="3728" priority="36" operator="greaterThanOrEqual">
      <formula>0</formula>
    </cfRule>
  </conditionalFormatting>
  <conditionalFormatting sqref="G29:G35 G40 V29:V40">
    <cfRule type="cellIs" dxfId="3727" priority="33" operator="lessThanOrEqual">
      <formula>0</formula>
    </cfRule>
    <cfRule type="cellIs" dxfId="3726" priority="34" operator="greaterThanOrEqual">
      <formula>0</formula>
    </cfRule>
  </conditionalFormatting>
  <conditionalFormatting sqref="M42:M53 P42:P53 S42:S53 Y42:Y53 AB42:AB53 AE42:AE53 AH42:AH53 D42:D53 G49:G52 J42:J53">
    <cfRule type="cellIs" dxfId="3725" priority="31" operator="lessThan">
      <formula>0</formula>
    </cfRule>
    <cfRule type="cellIs" dxfId="3724" priority="32" operator="greaterThanOrEqual">
      <formula>0</formula>
    </cfRule>
  </conditionalFormatting>
  <conditionalFormatting sqref="G42:G48 G53 V42:V53">
    <cfRule type="cellIs" dxfId="3723" priority="29" operator="lessThanOrEqual">
      <formula>0</formula>
    </cfRule>
    <cfRule type="cellIs" dxfId="3722" priority="30" operator="greaterThanOrEqual">
      <formula>0</formula>
    </cfRule>
  </conditionalFormatting>
  <conditionalFormatting sqref="M55:M66 P55:P66 S55:S66 Y55:Y66 AB55:AB66 AE55:AE66 AH55:AH66 D55:D66 G62:G65 J55:J66">
    <cfRule type="cellIs" dxfId="3721" priority="27" operator="lessThan">
      <formula>0</formula>
    </cfRule>
    <cfRule type="cellIs" dxfId="3720" priority="28" operator="greaterThanOrEqual">
      <formula>0</formula>
    </cfRule>
  </conditionalFormatting>
  <conditionalFormatting sqref="G55:G61 G66 V55:V66">
    <cfRule type="cellIs" dxfId="3719" priority="25" operator="lessThanOrEqual">
      <formula>0</formula>
    </cfRule>
    <cfRule type="cellIs" dxfId="3718" priority="26" operator="greaterThanOrEqual">
      <formula>0</formula>
    </cfRule>
  </conditionalFormatting>
  <conditionalFormatting sqref="M68:M79 P68:P79 S68:S79 Y68:Y79 AB68:AB79 AE68:AE79 AH68:AH79 D68:D79 G75:G78 J68:J79">
    <cfRule type="cellIs" dxfId="3717" priority="23" operator="lessThan">
      <formula>0</formula>
    </cfRule>
    <cfRule type="cellIs" dxfId="3716" priority="24" operator="greaterThanOrEqual">
      <formula>0</formula>
    </cfRule>
  </conditionalFormatting>
  <conditionalFormatting sqref="G68:G74 G79 V68:V79">
    <cfRule type="cellIs" dxfId="3715" priority="21" operator="lessThanOrEqual">
      <formula>0</formula>
    </cfRule>
    <cfRule type="cellIs" dxfId="3714" priority="22" operator="greaterThanOrEqual">
      <formula>0</formula>
    </cfRule>
  </conditionalFormatting>
  <conditionalFormatting sqref="M81:M92 P81:P92 S81:S92 Y81:Y92 AB81:AB92 AE81:AE92 AH81:AH92 D81:D92 G88:G91 J81:J92">
    <cfRule type="cellIs" dxfId="3713" priority="19" operator="lessThan">
      <formula>0</formula>
    </cfRule>
    <cfRule type="cellIs" dxfId="3712" priority="20" operator="greaterThanOrEqual">
      <formula>0</formula>
    </cfRule>
  </conditionalFormatting>
  <conditionalFormatting sqref="G81:G87 G92 V81:V92">
    <cfRule type="cellIs" dxfId="3711" priority="17" operator="lessThanOrEqual">
      <formula>0</formula>
    </cfRule>
    <cfRule type="cellIs" dxfId="3710" priority="18" operator="greaterThanOrEqual">
      <formula>0</formula>
    </cfRule>
  </conditionalFormatting>
  <conditionalFormatting sqref="M120:M131 P120:P131 S120:S131 Y120:Y131 AB120:AB131 AE120:AE131 AH120:AH131 D120:D131 G127:G130 J120:J131">
    <cfRule type="cellIs" dxfId="3709" priority="15" operator="lessThan">
      <formula>0</formula>
    </cfRule>
    <cfRule type="cellIs" dxfId="3708" priority="16" operator="greaterThanOrEqual">
      <formula>0</formula>
    </cfRule>
  </conditionalFormatting>
  <conditionalFormatting sqref="G120:G126 G131 V120:V131">
    <cfRule type="cellIs" dxfId="3707" priority="13" operator="lessThanOrEqual">
      <formula>0</formula>
    </cfRule>
    <cfRule type="cellIs" dxfId="3706" priority="14" operator="greaterThanOrEqual">
      <formula>0</formula>
    </cfRule>
  </conditionalFormatting>
  <conditionalFormatting sqref="M133:M144 P133:P144 S133:S144 Y133:Y144 AB133:AB144 AE133:AE144 AH133:AH144 D133:D144 G140:G143 J133:J144">
    <cfRule type="cellIs" dxfId="3705" priority="11" operator="lessThan">
      <formula>0</formula>
    </cfRule>
    <cfRule type="cellIs" dxfId="3704" priority="12" operator="greaterThanOrEqual">
      <formula>0</formula>
    </cfRule>
  </conditionalFormatting>
  <conditionalFormatting sqref="G133:G139 G144 V133:V144">
    <cfRule type="cellIs" dxfId="3703" priority="9" operator="lessThanOrEqual">
      <formula>0</formula>
    </cfRule>
    <cfRule type="cellIs" dxfId="3702" priority="10" operator="greaterThanOrEqual">
      <formula>0</formula>
    </cfRule>
  </conditionalFormatting>
  <conditionalFormatting sqref="M146:M157 P146:P157 S146:S157 Y146:Y157 AB146:AB157 AE146:AE157 AH146:AH157 D146:D157 G153:G156 J146:J157">
    <cfRule type="cellIs" dxfId="3701" priority="7" operator="lessThan">
      <formula>0</formula>
    </cfRule>
    <cfRule type="cellIs" dxfId="3700" priority="8" operator="greaterThanOrEqual">
      <formula>0</formula>
    </cfRule>
  </conditionalFormatting>
  <conditionalFormatting sqref="G146:G152 G157 V146:V157">
    <cfRule type="cellIs" dxfId="3699" priority="5" operator="lessThanOrEqual">
      <formula>0</formula>
    </cfRule>
    <cfRule type="cellIs" dxfId="3698" priority="6" operator="greaterThanOrEqual">
      <formula>0</formula>
    </cfRule>
  </conditionalFormatting>
  <conditionalFormatting sqref="M159:M170 P159:P170 S159:S170 Y159:Y170 AB159:AB170 AE159:AE170 AH159:AH170 D159:D170 G166:G169 J159:J170">
    <cfRule type="cellIs" dxfId="3697" priority="3" operator="lessThan">
      <formula>0</formula>
    </cfRule>
    <cfRule type="cellIs" dxfId="3696" priority="4" operator="greaterThanOrEqual">
      <formula>0</formula>
    </cfRule>
  </conditionalFormatting>
  <conditionalFormatting sqref="G159:G165 G170 V159:V170">
    <cfRule type="cellIs" dxfId="3695" priority="1" operator="lessThanOrEqual">
      <formula>0</formula>
    </cfRule>
    <cfRule type="cellIs" dxfId="3694" priority="2" operator="greaterThanOrEqual">
      <formula>0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H20"/>
  <sheetViews>
    <sheetView zoomScale="73" zoomScaleNormal="73" zoomScalePageLayoutView="73" workbookViewId="0">
      <selection activeCell="H31" sqref="H31"/>
    </sheetView>
  </sheetViews>
  <sheetFormatPr defaultColWidth="8.625" defaultRowHeight="18.75" outlineLevelRow="1" outlineLevelCol="1" x14ac:dyDescent="0.3"/>
  <cols>
    <col min="1" max="1" width="30.875" style="358" customWidth="1"/>
    <col min="2" max="2" width="15.125" style="396" customWidth="1"/>
    <col min="3" max="3" width="13.875" style="396" customWidth="1" outlineLevel="1"/>
    <col min="4" max="4" width="11.375" style="396" bestFit="1" customWidth="1"/>
    <col min="5" max="5" width="14" style="396" bestFit="1" customWidth="1"/>
    <col min="6" max="6" width="14.5" style="396" customWidth="1" outlineLevel="1"/>
    <col min="7" max="7" width="11.75" style="396" bestFit="1" customWidth="1"/>
    <col min="8" max="8" width="12" style="386" customWidth="1"/>
    <col min="9" max="9" width="12.5" style="386" customWidth="1" outlineLevel="1"/>
    <col min="10" max="10" width="11.75" style="396" bestFit="1" customWidth="1"/>
    <col min="11" max="11" width="14.375" style="386" bestFit="1" customWidth="1"/>
    <col min="12" max="12" width="12.375" style="397" customWidth="1" outlineLevel="1"/>
    <col min="13" max="13" width="11.75" style="397" bestFit="1" customWidth="1"/>
    <col min="14" max="14" width="11.375" style="397" customWidth="1"/>
    <col min="15" max="15" width="12" style="397" customWidth="1" outlineLevel="1"/>
    <col min="16" max="16" width="9.875" style="397" customWidth="1"/>
    <col min="17" max="17" width="10" style="397" customWidth="1"/>
    <col min="18" max="18" width="12" style="397" customWidth="1" outlineLevel="1"/>
    <col min="19" max="19" width="9.875" style="397" customWidth="1"/>
    <col min="20" max="20" width="9.375" style="396" customWidth="1"/>
    <col min="21" max="21" width="8.875" style="396" customWidth="1" outlineLevel="1"/>
    <col min="22" max="22" width="8.5" style="397" customWidth="1"/>
    <col min="23" max="23" width="9.375" style="396" customWidth="1"/>
    <col min="24" max="24" width="8.875" style="396" customWidth="1" outlineLevel="1"/>
    <col min="25" max="25" width="9.875" style="397" customWidth="1"/>
    <col min="26" max="26" width="12.5" style="445" customWidth="1"/>
    <col min="27" max="27" width="13.875" style="397" customWidth="1" outlineLevel="1"/>
    <col min="28" max="28" width="11.75" style="397" bestFit="1" customWidth="1"/>
    <col min="29" max="29" width="14.875" style="445" customWidth="1"/>
    <col min="30" max="30" width="15.5" style="397" customWidth="1" outlineLevel="1"/>
    <col min="31" max="31" width="8.5" style="397" bestFit="1" customWidth="1"/>
    <col min="32" max="32" width="8.875" style="398" bestFit="1" customWidth="1"/>
    <col min="33" max="33" width="8.875" style="398" hidden="1" customWidth="1" outlineLevel="1"/>
    <col min="34" max="34" width="10" style="397" customWidth="1" collapsed="1"/>
    <col min="35" max="16384" width="8.625" style="358"/>
  </cols>
  <sheetData>
    <row r="1" spans="1:34" ht="29.1" customHeight="1" x14ac:dyDescent="0.3">
      <c r="A1" s="456" t="s">
        <v>287</v>
      </c>
      <c r="B1" s="456"/>
      <c r="C1" s="456"/>
      <c r="D1" s="456"/>
      <c r="E1" s="456"/>
      <c r="F1" s="456"/>
      <c r="G1" s="456"/>
      <c r="H1" s="456"/>
      <c r="I1" s="456"/>
      <c r="J1" s="456"/>
      <c r="K1" s="456"/>
      <c r="L1" s="456"/>
      <c r="M1" s="456"/>
      <c r="N1" s="456"/>
      <c r="O1" s="456"/>
      <c r="P1" s="456"/>
      <c r="Q1" s="456"/>
      <c r="R1" s="456"/>
      <c r="S1" s="456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</row>
    <row r="2" spans="1:34" x14ac:dyDescent="0.3">
      <c r="A2" s="359" t="s">
        <v>87</v>
      </c>
      <c r="B2" s="360" t="s">
        <v>1</v>
      </c>
      <c r="C2" s="360" t="s">
        <v>117</v>
      </c>
      <c r="D2" s="361" t="s">
        <v>24</v>
      </c>
      <c r="E2" s="360" t="s">
        <v>2</v>
      </c>
      <c r="F2" s="360" t="s">
        <v>99</v>
      </c>
      <c r="G2" s="361" t="s">
        <v>24</v>
      </c>
      <c r="H2" s="362" t="s">
        <v>3</v>
      </c>
      <c r="I2" s="362" t="s">
        <v>100</v>
      </c>
      <c r="J2" s="361" t="s">
        <v>24</v>
      </c>
      <c r="K2" s="362" t="s">
        <v>4</v>
      </c>
      <c r="L2" s="363" t="s">
        <v>101</v>
      </c>
      <c r="M2" s="361" t="s">
        <v>24</v>
      </c>
      <c r="N2" s="363" t="s">
        <v>5</v>
      </c>
      <c r="O2" s="363" t="s">
        <v>102</v>
      </c>
      <c r="P2" s="361" t="s">
        <v>24</v>
      </c>
      <c r="Q2" s="363" t="s">
        <v>109</v>
      </c>
      <c r="R2" s="363" t="s">
        <v>110</v>
      </c>
      <c r="S2" s="361" t="s">
        <v>24</v>
      </c>
      <c r="T2" s="364" t="s">
        <v>149</v>
      </c>
      <c r="U2" s="364" t="s">
        <v>150</v>
      </c>
      <c r="V2" s="361" t="s">
        <v>24</v>
      </c>
      <c r="W2" s="364" t="s">
        <v>6</v>
      </c>
      <c r="X2" s="364" t="s">
        <v>103</v>
      </c>
      <c r="Y2" s="361" t="s">
        <v>24</v>
      </c>
      <c r="Z2" s="446" t="s">
        <v>7</v>
      </c>
      <c r="AA2" s="363" t="s">
        <v>104</v>
      </c>
      <c r="AB2" s="361" t="s">
        <v>24</v>
      </c>
      <c r="AC2" s="442" t="s">
        <v>25</v>
      </c>
      <c r="AD2" s="365" t="s">
        <v>105</v>
      </c>
      <c r="AE2" s="361" t="s">
        <v>24</v>
      </c>
      <c r="AF2" s="366" t="s">
        <v>9</v>
      </c>
      <c r="AG2" s="366" t="s">
        <v>106</v>
      </c>
      <c r="AH2" s="361" t="s">
        <v>24</v>
      </c>
    </row>
    <row r="3" spans="1:34" s="367" customFormat="1" ht="20.100000000000001" customHeight="1" x14ac:dyDescent="0.3">
      <c r="A3" s="367" t="s">
        <v>10</v>
      </c>
      <c r="B3" s="368">
        <f>SUM(B4:B6)</f>
        <v>94517</v>
      </c>
      <c r="C3" s="368">
        <f>SUM(C4:C6)</f>
        <v>57475</v>
      </c>
      <c r="D3" s="369">
        <f t="shared" ref="D3:D14" si="0">(B3-C3)/C3</f>
        <v>0.64448890822096561</v>
      </c>
      <c r="E3" s="368">
        <f>SUM(E4:E6)</f>
        <v>31682.3</v>
      </c>
      <c r="F3" s="368">
        <f>SUM(F4:F6)</f>
        <v>12453.710000000001</v>
      </c>
      <c r="G3" s="369">
        <f t="shared" ref="G3:G14" si="1">(E3-F3)/F3</f>
        <v>1.5440049591647786</v>
      </c>
      <c r="H3" s="370">
        <f>B3/E3</f>
        <v>2.9832745728687629</v>
      </c>
      <c r="I3" s="370">
        <f t="shared" ref="H3:I14" si="2">C3/F3</f>
        <v>4.6150906035229662</v>
      </c>
      <c r="J3" s="369">
        <f t="shared" ref="J3:J14" si="3">(H3-I3)/I3</f>
        <v>-0.35358266409949646</v>
      </c>
      <c r="K3" s="420">
        <f>SUM(K4:K6)</f>
        <v>37977</v>
      </c>
      <c r="L3" s="420">
        <f>SUM(L4:L6)</f>
        <v>20618</v>
      </c>
      <c r="M3" s="369">
        <f t="shared" ref="M3:M14" si="4">(K3-L3)/L3</f>
        <v>0.84193423222427011</v>
      </c>
      <c r="N3" s="371">
        <f>SUM(N4:N6)</f>
        <v>690</v>
      </c>
      <c r="O3" s="371">
        <f>SUM(O4:O6)</f>
        <v>417</v>
      </c>
      <c r="P3" s="369">
        <f t="shared" ref="P3:P14" si="5">(N3-O3)/O3</f>
        <v>0.65467625899280579</v>
      </c>
      <c r="Q3" s="372">
        <f t="shared" ref="Q3:R14" si="6">N3/K3</f>
        <v>1.8168891697606444E-2</v>
      </c>
      <c r="R3" s="372">
        <f t="shared" si="6"/>
        <v>2.022504607624406E-2</v>
      </c>
      <c r="S3" s="369">
        <f t="shared" ref="S3:S14" si="7">(Q3-R3)/R3</f>
        <v>-0.10166376733513273</v>
      </c>
      <c r="T3" s="441">
        <f>E3/N3</f>
        <v>45.916376811594205</v>
      </c>
      <c r="U3" s="368">
        <f t="shared" ref="T3:U14" si="8">F3/O3</f>
        <v>29.865011990407677</v>
      </c>
      <c r="V3" s="369">
        <f t="shared" ref="V3:V14" si="9">(T3-U3)/U3</f>
        <v>0.53746386662567069</v>
      </c>
      <c r="W3" s="368">
        <f t="shared" ref="W3:X14" si="10">B3/N3</f>
        <v>136.98115942028986</v>
      </c>
      <c r="X3" s="368">
        <f t="shared" si="10"/>
        <v>137.82973621103116</v>
      </c>
      <c r="Y3" s="369">
        <f t="shared" ref="Y3:Y14" si="11">(W3-X3)/X3</f>
        <v>-6.156703292546745E-3</v>
      </c>
      <c r="Z3" s="420">
        <f>SUM(Z4:Z6)</f>
        <v>35515</v>
      </c>
      <c r="AA3" s="420">
        <f>SUM(AA4:AA6)</f>
        <v>17707</v>
      </c>
      <c r="AB3" s="369">
        <f t="shared" ref="AB3:AB14" si="12">(Z3-AA3)/AA3</f>
        <v>1.0057039588863161</v>
      </c>
      <c r="AC3" s="420">
        <f>SUM(AC4:AC6)</f>
        <v>1512946</v>
      </c>
      <c r="AD3" s="420">
        <f>SUM(AD4:AD6)</f>
        <v>134761</v>
      </c>
      <c r="AE3" s="369">
        <f t="shared" ref="AE3:AE14" si="13">(AC3-AD3)/AD3</f>
        <v>10.226883148685451</v>
      </c>
      <c r="AF3" s="372">
        <f t="shared" ref="AF3:AG6" si="14">Z3/AC3</f>
        <v>2.347406979495633E-2</v>
      </c>
      <c r="AG3" s="372">
        <f t="shared" si="14"/>
        <v>0.13139558180779307</v>
      </c>
      <c r="AH3" s="369">
        <f>(AF3-AG3)/AG3</f>
        <v>-0.82134810416004345</v>
      </c>
    </row>
    <row r="4" spans="1:34" outlineLevel="1" x14ac:dyDescent="0.3">
      <c r="A4" s="373" t="s">
        <v>29</v>
      </c>
      <c r="B4" s="374">
        <f>SUMIFS(Search!$E:$E,Search!$B:$B,'By Week'!$A$2,Search!$D:$D,"Brand")</f>
        <v>77287</v>
      </c>
      <c r="C4" s="374">
        <f>SUMIFS(Search!$F:$F,Search!$B:$B,'By Week'!$A$2,Search!$D:$D,"Brand")</f>
        <v>55521</v>
      </c>
      <c r="D4" s="369">
        <f t="shared" si="0"/>
        <v>0.39203184380684786</v>
      </c>
      <c r="E4" s="374">
        <f>SUMIFS(Search!$I:$I,Search!$B:$B,'By Week'!$A$2,Search!$D:$D,"Brand")</f>
        <v>4263.68</v>
      </c>
      <c r="F4" s="374">
        <f>SUMIFS(Search!$J:$J,Search!$B:$B,'By Week'!$A$2,Search!$D:$D,"Brand")</f>
        <v>2283.9500000000003</v>
      </c>
      <c r="G4" s="375">
        <f t="shared" si="1"/>
        <v>0.86680093697322613</v>
      </c>
      <c r="H4" s="376">
        <f t="shared" si="2"/>
        <v>18.126829405583909</v>
      </c>
      <c r="I4" s="376">
        <f t="shared" si="2"/>
        <v>24.309201164648961</v>
      </c>
      <c r="J4" s="375">
        <f t="shared" si="3"/>
        <v>-0.25432229208977913</v>
      </c>
      <c r="K4" s="419">
        <f>SUMIFS(Search!$Q:$Q,Search!$B:$B,'By Week'!$A$2,Search!$D:$D,"Brand")</f>
        <v>13795</v>
      </c>
      <c r="L4" s="419">
        <f>SUMIFS(Search!$R:$R,Search!$B:$B,'By Week'!$A$2,Search!$D:$D,"Brand")</f>
        <v>12799</v>
      </c>
      <c r="M4" s="375">
        <f t="shared" si="4"/>
        <v>7.781857957652942E-2</v>
      </c>
      <c r="N4" s="377">
        <f>SUMIFS(Search!$U:$U,Search!$B:$B,'By Week'!$A$2,Search!$D:$D,"Brand")</f>
        <v>540</v>
      </c>
      <c r="O4" s="377">
        <f>SUMIFS(Search!$V:$V,Search!$B:$B,'By Week'!$A$2,Search!$D:$D,"Brand")</f>
        <v>394</v>
      </c>
      <c r="P4" s="378">
        <f t="shared" si="5"/>
        <v>0.37055837563451777</v>
      </c>
      <c r="Q4" s="379">
        <f t="shared" si="6"/>
        <v>3.9144617615077926E-2</v>
      </c>
      <c r="R4" s="379">
        <f t="shared" si="6"/>
        <v>3.078365497304477E-2</v>
      </c>
      <c r="S4" s="378">
        <f t="shared" si="7"/>
        <v>0.27160396156188416</v>
      </c>
      <c r="T4" s="374">
        <f t="shared" si="8"/>
        <v>7.8957037037037043</v>
      </c>
      <c r="U4" s="374">
        <f t="shared" si="8"/>
        <v>5.7968274111675138</v>
      </c>
      <c r="V4" s="375">
        <f t="shared" si="9"/>
        <v>0.36207327623602048</v>
      </c>
      <c r="W4" s="374">
        <f t="shared" si="10"/>
        <v>143.12407407407409</v>
      </c>
      <c r="X4" s="374">
        <f t="shared" si="10"/>
        <v>140.91624365482232</v>
      </c>
      <c r="Y4" s="378">
        <f t="shared" si="11"/>
        <v>1.5667678629441021E-2</v>
      </c>
      <c r="Z4" s="419">
        <f>SUMIFS(Search!$AG:$AG,Search!$B:$B,'By Week'!$A$2,Search!$D:$D,"Brand")</f>
        <v>9767</v>
      </c>
      <c r="AA4" s="419">
        <f>SUMIFS(Search!$AH:$AH,Search!$B:$B,'By Week'!$A$2,Search!$D:$D,"Brand")</f>
        <v>9974</v>
      </c>
      <c r="AB4" s="378">
        <f t="shared" si="12"/>
        <v>-2.0753960296771606E-2</v>
      </c>
      <c r="AC4" s="419">
        <f>SUMIFS(Search!$AK:$AK,Search!$B:$B,'By Week'!$A$2,Search!$D:$D,"Brand")</f>
        <v>25350</v>
      </c>
      <c r="AD4" s="419">
        <f>SUMIFS(Search!$AL:$AL,Search!$B:$B,'By Week'!$A$2,Search!$D:$D,"Brand")</f>
        <v>38330</v>
      </c>
      <c r="AE4" s="378">
        <f t="shared" si="13"/>
        <v>-0.33863814244716933</v>
      </c>
      <c r="AF4" s="379">
        <f t="shared" si="14"/>
        <v>0.38528599605522684</v>
      </c>
      <c r="AG4" s="379">
        <f t="shared" si="14"/>
        <v>0.26021393164623013</v>
      </c>
      <c r="AH4" s="378">
        <f>(AF4-AG4)/AG4</f>
        <v>0.48065091525935866</v>
      </c>
    </row>
    <row r="5" spans="1:34" outlineLevel="1" x14ac:dyDescent="0.3">
      <c r="A5" s="373" t="s">
        <v>30</v>
      </c>
      <c r="B5" s="374">
        <f>SUMIFS(Search!$E:$E,Search!$B:$B,'By Week'!$A$2,Search!$D:$D,"Non-Brand")</f>
        <v>2298</v>
      </c>
      <c r="C5" s="374">
        <f>SUMIFS(Search!$F:$F,Search!$B:$B,'By Week'!$A$2,Search!$D:$D,"Non-Brand")</f>
        <v>1954</v>
      </c>
      <c r="D5" s="369">
        <f t="shared" si="0"/>
        <v>0.17604912998976457</v>
      </c>
      <c r="E5" s="374">
        <f>SUMIFS(Search!$I:$I,Search!$B:$B,'By Week'!$A$2,Search!$D:$D,"Non-Brand")</f>
        <v>5714.11</v>
      </c>
      <c r="F5" s="374">
        <f>SUMIFS(Search!$J:$J,Search!$B:$B,'By Week'!$A$2,Search!$D:$D,"Non-Brand")</f>
        <v>10169.76</v>
      </c>
      <c r="G5" s="375">
        <f t="shared" si="1"/>
        <v>-0.43812735010462395</v>
      </c>
      <c r="H5" s="376">
        <f t="shared" si="2"/>
        <v>0.40216236649276965</v>
      </c>
      <c r="I5" s="376">
        <f t="shared" si="2"/>
        <v>0.19213826088324601</v>
      </c>
      <c r="J5" s="375">
        <f t="shared" si="3"/>
        <v>1.0930884075043548</v>
      </c>
      <c r="K5" s="419">
        <f>SUMIFS(Search!$Q:$Q,Search!$B:$B,'By Week'!$A$2,Search!$D:$D,"Non-Brand")</f>
        <v>3323</v>
      </c>
      <c r="L5" s="419">
        <f>SUMIFS(Search!$R:$R,Search!$B:$B,'By Week'!$A$2,Search!$D:$D,"Non-Brand")</f>
        <v>7819</v>
      </c>
      <c r="M5" s="375">
        <f t="shared" si="4"/>
        <v>-0.5750095920194398</v>
      </c>
      <c r="N5" s="377">
        <f>SUMIFS(Search!$U:$U,Search!$B:$B,'By Week'!$A$2,Search!$D:$D,"Non-Brand")</f>
        <v>10</v>
      </c>
      <c r="O5" s="377">
        <f>SUMIFS(Search!$V:$V,Search!$B:$B,'By Week'!$A$2,Search!$D:$D,"Non-Brand")</f>
        <v>23</v>
      </c>
      <c r="P5" s="378">
        <f t="shared" si="5"/>
        <v>-0.56521739130434778</v>
      </c>
      <c r="Q5" s="379">
        <f t="shared" si="6"/>
        <v>3.0093289196509178E-3</v>
      </c>
      <c r="R5" s="379">
        <f t="shared" si="6"/>
        <v>2.9415526282133265E-3</v>
      </c>
      <c r="S5" s="378">
        <f t="shared" si="7"/>
        <v>2.3040992293501171E-2</v>
      </c>
      <c r="T5" s="374">
        <f t="shared" si="8"/>
        <v>571.41099999999994</v>
      </c>
      <c r="U5" s="374">
        <f t="shared" si="8"/>
        <v>442.16347826086957</v>
      </c>
      <c r="V5" s="375">
        <f t="shared" si="9"/>
        <v>0.29230709475936489</v>
      </c>
      <c r="W5" s="374">
        <f t="shared" si="10"/>
        <v>229.8</v>
      </c>
      <c r="X5" s="374">
        <f t="shared" si="10"/>
        <v>84.956521739130437</v>
      </c>
      <c r="Y5" s="378">
        <f t="shared" si="11"/>
        <v>1.7049129989764586</v>
      </c>
      <c r="Z5" s="419">
        <f>SUMIFS(Search!$AG:$AG,Search!$B:$B,'By Week'!$A$2,Search!$D:$D,"Non-Brand")</f>
        <v>3237</v>
      </c>
      <c r="AA5" s="419">
        <f>SUMIFS(Search!$AH:$AH,Search!$B:$B,'By Week'!$A$2,Search!$D:$D,"Non-Brand")</f>
        <v>7733</v>
      </c>
      <c r="AB5" s="378">
        <f t="shared" si="12"/>
        <v>-0.58140437087805508</v>
      </c>
      <c r="AC5" s="419">
        <f>SUMIFS(Search!$AK:$AK,Search!$B:$B,'By Week'!$A$2,Search!$D:$D,"Non-Brand")</f>
        <v>43213</v>
      </c>
      <c r="AD5" s="419">
        <f>SUMIFS(Search!$AL:$AL,Search!$B:$B,'By Week'!$A$2,Search!$D:$D,"Non-Brand")</f>
        <v>96431</v>
      </c>
      <c r="AE5" s="378">
        <f t="shared" si="13"/>
        <v>-0.55187647125924233</v>
      </c>
      <c r="AF5" s="379">
        <f t="shared" si="14"/>
        <v>7.4908013792145886E-2</v>
      </c>
      <c r="AG5" s="379">
        <f t="shared" si="14"/>
        <v>8.019205442233307E-2</v>
      </c>
      <c r="AH5" s="378">
        <f>(AF5-AG5)/AG5</f>
        <v>-6.5892321480612998E-2</v>
      </c>
    </row>
    <row r="6" spans="1:34" outlineLevel="1" x14ac:dyDescent="0.3">
      <c r="A6" s="373" t="s">
        <v>228</v>
      </c>
      <c r="B6" s="374">
        <f>SUMIFS(Search!$E:$E,Search!$B:$B,'By Week'!$A$2,Search!$D:$D,"Shopping Campaigns")</f>
        <v>14932</v>
      </c>
      <c r="C6" s="374">
        <f>SUMIFS(Search!$F:$F,Search!$B:$B,'By Week'!$A$2,Search!$D:$D,"Shopping Campaigns")</f>
        <v>0</v>
      </c>
      <c r="D6" s="369" t="e">
        <f t="shared" si="0"/>
        <v>#DIV/0!</v>
      </c>
      <c r="E6" s="374">
        <f>SUMIFS(Search!$I:$I,Search!$B:$B,'By Week'!$A$2,Search!$D:$D,"Shopping Campaigns")</f>
        <v>21704.51</v>
      </c>
      <c r="F6" s="374">
        <f>SUMIFS(Search!$J:$J,Search!$B:$B,'By Week'!$A$2,Search!$D:$D,"Shopping Campaigns")</f>
        <v>0</v>
      </c>
      <c r="G6" s="375" t="e">
        <f t="shared" si="1"/>
        <v>#DIV/0!</v>
      </c>
      <c r="H6" s="376">
        <f>B6/E6</f>
        <v>0.68796761594710043</v>
      </c>
      <c r="I6" s="376" t="e">
        <f t="shared" si="2"/>
        <v>#DIV/0!</v>
      </c>
      <c r="J6" s="375" t="e">
        <f t="shared" si="3"/>
        <v>#DIV/0!</v>
      </c>
      <c r="K6" s="419">
        <f>SUMIFS(Search!$Q:$Q,Search!$B:$B,'By Week'!$A$2,Search!$D:$D,"Shopping Campaigns")</f>
        <v>20859</v>
      </c>
      <c r="L6" s="419">
        <f>SUMIFS(Search!$R:$R,Search!$B:$B,'By Week'!$A$2,Search!$D:$D,"Shopping Campaigns")</f>
        <v>0</v>
      </c>
      <c r="M6" s="375" t="e">
        <f t="shared" si="4"/>
        <v>#DIV/0!</v>
      </c>
      <c r="N6" s="377">
        <f>SUMIFS(Search!$U:$U,Search!$B:$B,'By Week'!$A$2,Search!$D:$D,"Shopping Campaigns")</f>
        <v>140</v>
      </c>
      <c r="O6" s="377">
        <f>SUMIFS(Search!$V:$V,Search!$B:$B,'By Week'!$A$2,Search!$D:$D,"Shopping Campaigns")</f>
        <v>0</v>
      </c>
      <c r="P6" s="378" t="e">
        <f t="shared" si="5"/>
        <v>#DIV/0!</v>
      </c>
      <c r="Q6" s="379">
        <f t="shared" si="6"/>
        <v>6.7117311472266166E-3</v>
      </c>
      <c r="R6" s="379" t="e">
        <f t="shared" si="6"/>
        <v>#DIV/0!</v>
      </c>
      <c r="S6" s="378" t="e">
        <f t="shared" si="7"/>
        <v>#DIV/0!</v>
      </c>
      <c r="T6" s="374">
        <f t="shared" si="8"/>
        <v>155.03221428571428</v>
      </c>
      <c r="U6" s="374" t="e">
        <f t="shared" si="8"/>
        <v>#DIV/0!</v>
      </c>
      <c r="V6" s="375" t="e">
        <f t="shared" si="9"/>
        <v>#DIV/0!</v>
      </c>
      <c r="W6" s="374">
        <f t="shared" si="10"/>
        <v>106.65714285714286</v>
      </c>
      <c r="X6" s="374" t="e">
        <f t="shared" si="10"/>
        <v>#DIV/0!</v>
      </c>
      <c r="Y6" s="378" t="e">
        <f t="shared" si="11"/>
        <v>#DIV/0!</v>
      </c>
      <c r="Z6" s="419">
        <f>SUMIFS(Search!$AG:$AG,Search!$B:$B,'By Week'!$A$2,Search!$D:$D,"Shopping Campaigns")</f>
        <v>22511</v>
      </c>
      <c r="AA6" s="419">
        <f>SUMIFS(Search!$AH:$AH,Search!$B:$B,'By Week'!$A$2,Search!$D:$D,"Shopping Campaigns")</f>
        <v>0</v>
      </c>
      <c r="AB6" s="378" t="e">
        <f t="shared" si="12"/>
        <v>#DIV/0!</v>
      </c>
      <c r="AC6" s="419">
        <f>SUMIFS(Search!$AK:$AK,Search!$B:$B,'By Week'!$A$2,Search!$D:$D,"Shopping Campaigns")</f>
        <v>1444383</v>
      </c>
      <c r="AD6" s="419">
        <f>SUMIFS(Search!$AL:$AL,Search!$B:$B,'By Week'!$A$2,Search!$D:$D,"Shopping Campaigns")</f>
        <v>0</v>
      </c>
      <c r="AE6" s="378" t="e">
        <f t="shared" si="13"/>
        <v>#DIV/0!</v>
      </c>
      <c r="AF6" s="379">
        <f t="shared" si="14"/>
        <v>1.5585201432030148E-2</v>
      </c>
      <c r="AG6" s="379" t="e">
        <f t="shared" si="14"/>
        <v>#DIV/0!</v>
      </c>
      <c r="AH6" s="378" t="e">
        <f t="shared" ref="AH6:AH13" si="15">(AF6-AG6)/AG6</f>
        <v>#DIV/0!</v>
      </c>
    </row>
    <row r="7" spans="1:34" s="367" customFormat="1" ht="21" customHeight="1" x14ac:dyDescent="0.3">
      <c r="A7" s="380" t="s">
        <v>13</v>
      </c>
      <c r="B7" s="368">
        <f>SUMIFS(Affiliate!$D:$D,Affiliate!$B:$B,'By Week'!$A$2)</f>
        <v>312551</v>
      </c>
      <c r="C7" s="368">
        <f>SUMIFS(Affiliate!$E:$E,Affiliate!$B:$B,'By Week'!$A$2)</f>
        <v>168094</v>
      </c>
      <c r="D7" s="369">
        <f t="shared" si="0"/>
        <v>0.85938225040751004</v>
      </c>
      <c r="E7" s="368">
        <f>SUMIFS(Affiliate!$H:$H,Affiliate!$B:$B,'By Week'!$A$2)</f>
        <v>37667.29</v>
      </c>
      <c r="F7" s="368">
        <f>SUMIFS(Affiliate!$I:$I,Affiliate!$B:$B,'By Week'!$A$2)</f>
        <v>38085.64</v>
      </c>
      <c r="G7" s="369">
        <f t="shared" si="1"/>
        <v>-1.0984455033445639E-2</v>
      </c>
      <c r="H7" s="370">
        <f t="shared" si="2"/>
        <v>8.2976768437548856</v>
      </c>
      <c r="I7" s="370">
        <f t="shared" si="2"/>
        <v>4.4135795013553665</v>
      </c>
      <c r="J7" s="369">
        <f t="shared" si="3"/>
        <v>0.88003339267067726</v>
      </c>
      <c r="K7" s="420">
        <f>SUMIFS(Affiliate!$AF:$AF,Affiliate!$B:$B,'By Week'!$A$2)</f>
        <v>28217</v>
      </c>
      <c r="L7" s="420">
        <f>SUMIFS(Affiliate!$AG:$AG,Affiliate!$B:$B,'By Week'!$A$2)</f>
        <v>15087</v>
      </c>
      <c r="M7" s="369">
        <f t="shared" si="4"/>
        <v>0.87028567641015442</v>
      </c>
      <c r="N7" s="371">
        <f>SUMIFS(Affiliate!$AJ:$AJ,Affiliate!$B:$B,'By Week'!$A$2)</f>
        <v>2168</v>
      </c>
      <c r="O7" s="371">
        <f>SUMIFS(Affiliate!$AK:$AK,Affiliate!$B:$B,'By Week'!$A$2)</f>
        <v>1193</v>
      </c>
      <c r="P7" s="381">
        <f t="shared" si="5"/>
        <v>0.81726739312657171</v>
      </c>
      <c r="Q7" s="382">
        <f t="shared" si="6"/>
        <v>7.6833114788957005E-2</v>
      </c>
      <c r="R7" s="382">
        <f t="shared" si="6"/>
        <v>7.9074700072910453E-2</v>
      </c>
      <c r="S7" s="381">
        <f t="shared" si="7"/>
        <v>-2.8347692522217666E-2</v>
      </c>
      <c r="T7" s="383">
        <f t="shared" si="8"/>
        <v>17.374211254612547</v>
      </c>
      <c r="U7" s="383">
        <f t="shared" si="8"/>
        <v>31.92425817267393</v>
      </c>
      <c r="V7" s="369">
        <f t="shared" si="9"/>
        <v>-0.45576773747919769</v>
      </c>
      <c r="W7" s="383">
        <f t="shared" si="10"/>
        <v>144.16559040590406</v>
      </c>
      <c r="X7" s="383">
        <f t="shared" si="10"/>
        <v>140.90025146689018</v>
      </c>
      <c r="Y7" s="381">
        <f t="shared" si="11"/>
        <v>2.3174826907822708E-2</v>
      </c>
      <c r="Z7" s="443"/>
      <c r="AA7" s="384"/>
      <c r="AB7" s="381" t="e">
        <f t="shared" si="12"/>
        <v>#DIV/0!</v>
      </c>
      <c r="AC7" s="443"/>
      <c r="AD7" s="384"/>
      <c r="AE7" s="381" t="e">
        <f t="shared" si="13"/>
        <v>#DIV/0!</v>
      </c>
      <c r="AF7" s="385"/>
      <c r="AG7" s="385"/>
      <c r="AH7" s="381" t="e">
        <f t="shared" si="15"/>
        <v>#DIV/0!</v>
      </c>
    </row>
    <row r="8" spans="1:34" s="367" customFormat="1" ht="20.100000000000001" customHeight="1" x14ac:dyDescent="0.3">
      <c r="A8" s="367" t="s">
        <v>14</v>
      </c>
      <c r="B8" s="368">
        <f>SUM(B9:B10)</f>
        <v>4315</v>
      </c>
      <c r="C8" s="368">
        <f>SUM(C9:C10)</f>
        <v>3766</v>
      </c>
      <c r="D8" s="369">
        <f t="shared" si="0"/>
        <v>0.1457780138077536</v>
      </c>
      <c r="E8" s="368">
        <f>SUM(E9:E10)</f>
        <v>21586.411349999998</v>
      </c>
      <c r="F8" s="368">
        <f>SUM(F9:F10)</f>
        <v>33409.32</v>
      </c>
      <c r="G8" s="369">
        <f t="shared" si="1"/>
        <v>-0.35388055339049107</v>
      </c>
      <c r="H8" s="370">
        <f t="shared" si="2"/>
        <v>0.19989427283845401</v>
      </c>
      <c r="I8" s="370">
        <f t="shared" si="2"/>
        <v>0.11272303656584449</v>
      </c>
      <c r="J8" s="369">
        <f t="shared" si="3"/>
        <v>0.77332228556219296</v>
      </c>
      <c r="K8" s="420">
        <f>SUM(K9:K10)</f>
        <v>16149</v>
      </c>
      <c r="L8" s="420">
        <f>SUM(L9:L10)</f>
        <v>21268</v>
      </c>
      <c r="M8" s="369">
        <f t="shared" si="4"/>
        <v>-0.24069023885649801</v>
      </c>
      <c r="N8" s="371">
        <f>SUM(N9:N10)</f>
        <v>38</v>
      </c>
      <c r="O8" s="371">
        <f>SUM(O9:O10)</f>
        <v>30</v>
      </c>
      <c r="P8" s="381">
        <f t="shared" si="5"/>
        <v>0.26666666666666666</v>
      </c>
      <c r="Q8" s="382">
        <f t="shared" si="6"/>
        <v>2.3530868784444859E-3</v>
      </c>
      <c r="R8" s="382">
        <f t="shared" si="6"/>
        <v>1.4105698702275718E-3</v>
      </c>
      <c r="S8" s="381">
        <f t="shared" si="7"/>
        <v>0.6681817243585777</v>
      </c>
      <c r="T8" s="383">
        <f t="shared" si="8"/>
        <v>568.06345657894735</v>
      </c>
      <c r="U8" s="383">
        <f t="shared" si="8"/>
        <v>1113.644</v>
      </c>
      <c r="V8" s="369">
        <f t="shared" si="9"/>
        <v>-0.48990570004512451</v>
      </c>
      <c r="W8" s="383">
        <f t="shared" si="10"/>
        <v>113.55263157894737</v>
      </c>
      <c r="X8" s="383">
        <f t="shared" si="10"/>
        <v>125.53333333333333</v>
      </c>
      <c r="Y8" s="381">
        <f t="shared" si="11"/>
        <v>-9.5438410151773456E-2</v>
      </c>
      <c r="Z8" s="420">
        <f>SUM(Z9:Z10)</f>
        <v>26117</v>
      </c>
      <c r="AA8" s="420">
        <f>SUM(AA9:AA10)</f>
        <v>27604</v>
      </c>
      <c r="AB8" s="381">
        <f t="shared" si="12"/>
        <v>-5.3869004492102593E-2</v>
      </c>
      <c r="AC8" s="420">
        <f>SUM(AC9:AC10)</f>
        <v>1031011</v>
      </c>
      <c r="AD8" s="420">
        <f>SUM(AD9:AD10)</f>
        <v>2695863</v>
      </c>
      <c r="AE8" s="381">
        <f t="shared" si="13"/>
        <v>-0.6175580880779179</v>
      </c>
      <c r="AF8" s="382">
        <f t="shared" ref="AF8:AG14" si="16">Z8/AC8</f>
        <v>2.5331446512209858E-2</v>
      </c>
      <c r="AG8" s="382">
        <f t="shared" si="16"/>
        <v>1.0239392728784808E-2</v>
      </c>
      <c r="AH8" s="381">
        <f t="shared" si="15"/>
        <v>1.4739207864347779</v>
      </c>
    </row>
    <row r="9" spans="1:34" outlineLevel="1" x14ac:dyDescent="0.3">
      <c r="A9" s="373" t="s">
        <v>285</v>
      </c>
      <c r="B9" s="374">
        <f>SUMIFS('Social - Promos'!$E:$E,'Social - Promos'!$B:$B,'By Week'!$A$2)</f>
        <v>1899</v>
      </c>
      <c r="C9" s="374">
        <f>SUMIFS('Social - Promos'!$F:$F,'Social - Promos'!$B:$B,'By Week'!$A$2)</f>
        <v>3766</v>
      </c>
      <c r="D9" s="369">
        <f t="shared" si="0"/>
        <v>-0.4957514604354753</v>
      </c>
      <c r="E9" s="374">
        <f>SUMIFS('Social - Promos'!$K:$K,'Social - Promos'!$B:$B,'By Week'!$A$2)</f>
        <v>9381.8973499999993</v>
      </c>
      <c r="F9" s="374">
        <f>SUMIFS('Social - Promos'!$L:$L,'Social - Promos'!$B:$B,'By Week'!$A$2)</f>
        <v>33409.32</v>
      </c>
      <c r="G9" s="375">
        <f t="shared" si="1"/>
        <v>-0.71918322941023649</v>
      </c>
      <c r="H9" s="386">
        <f t="shared" si="2"/>
        <v>0.20241108265802973</v>
      </c>
      <c r="I9" s="386">
        <f t="shared" si="2"/>
        <v>0.11272303656584449</v>
      </c>
      <c r="J9" s="375">
        <f t="shared" si="3"/>
        <v>0.79564966332144615</v>
      </c>
      <c r="K9" s="419">
        <f>SUMIFS('Social - Promos'!$T:$T,'Social - Promos'!$B:$B,'By Week'!$A$2)</f>
        <v>12660</v>
      </c>
      <c r="L9" s="419">
        <f>SUMIFS('Social - Promos'!$U:$U,'Social - Promos'!$B:$B,'By Week'!$A$2)</f>
        <v>21268</v>
      </c>
      <c r="M9" s="375">
        <f t="shared" si="4"/>
        <v>-0.40473951476396464</v>
      </c>
      <c r="N9" s="377">
        <f>SUMIFS('Social - Promos'!$W:$W,'Social - Promos'!$B:$B,'By Week'!$A$2)</f>
        <v>18</v>
      </c>
      <c r="O9" s="377">
        <f>SUMIFS('Social - Promos'!$X:$X,'Social - Promos'!$B:$B,'By Week'!$A$2)</f>
        <v>30</v>
      </c>
      <c r="P9" s="378">
        <f t="shared" si="5"/>
        <v>-0.4</v>
      </c>
      <c r="Q9" s="379">
        <f t="shared" si="6"/>
        <v>1.4218009478672985E-3</v>
      </c>
      <c r="R9" s="379">
        <f t="shared" si="6"/>
        <v>1.4105698702275718E-3</v>
      </c>
      <c r="S9" s="378">
        <f t="shared" si="7"/>
        <v>7.9620853080569019E-3</v>
      </c>
      <c r="T9" s="374">
        <f t="shared" si="8"/>
        <v>521.21651944444443</v>
      </c>
      <c r="U9" s="374">
        <f t="shared" si="8"/>
        <v>1113.644</v>
      </c>
      <c r="V9" s="375">
        <f t="shared" si="9"/>
        <v>-0.53197204901706074</v>
      </c>
      <c r="W9" s="374">
        <f t="shared" si="10"/>
        <v>105.5</v>
      </c>
      <c r="X9" s="374">
        <f t="shared" si="10"/>
        <v>125.53333333333333</v>
      </c>
      <c r="Y9" s="378">
        <f t="shared" si="11"/>
        <v>-0.15958576739245883</v>
      </c>
      <c r="Z9" s="419">
        <f>SUMIFS('Social - Promos'!$AF:$AF,'Social - Promos'!$B:$B,'By Week'!$A$2)</f>
        <v>21645</v>
      </c>
      <c r="AA9" s="377">
        <f>SUMIFS('Social - Promos'!$AG:$AG,'Social - Promos'!$B:$B,'By Week'!$A$2)</f>
        <v>27604</v>
      </c>
      <c r="AB9" s="378">
        <f t="shared" si="12"/>
        <v>-0.21587451094044341</v>
      </c>
      <c r="AC9" s="419">
        <f>SUMIFS('Social - Promos'!$AI:$AI,'Social - Promos'!$B:$B,'By Week'!$A$2)</f>
        <v>810226</v>
      </c>
      <c r="AD9" s="419">
        <f>SUMIFS('Social - Promos'!$AJ:$AJ,'Social - Promos'!$B:$B,'By Week'!$A$2)</f>
        <v>2695863</v>
      </c>
      <c r="AE9" s="378">
        <f t="shared" si="13"/>
        <v>-0.69945579578784234</v>
      </c>
      <c r="AF9" s="379">
        <f t="shared" si="16"/>
        <v>2.6714768472006576E-2</v>
      </c>
      <c r="AG9" s="379">
        <f t="shared" si="16"/>
        <v>1.0239392728784808E-2</v>
      </c>
      <c r="AH9" s="378">
        <f t="shared" si="15"/>
        <v>1.609018833402734</v>
      </c>
    </row>
    <row r="10" spans="1:34" outlineLevel="1" x14ac:dyDescent="0.3">
      <c r="A10" s="373" t="s">
        <v>286</v>
      </c>
      <c r="B10" s="374">
        <f>SUMIFS('Social - Remarketing'!$D:$D,'Social - Remarketing'!$B:$B,'By Week'!$A$2)</f>
        <v>2416</v>
      </c>
      <c r="C10" s="374">
        <f>SUMIFS('Social - Remarketing'!$E:$E,'Social - Remarketing'!$B:$B,'By Week'!$A$2)</f>
        <v>0</v>
      </c>
      <c r="D10" s="369" t="e">
        <f t="shared" si="0"/>
        <v>#DIV/0!</v>
      </c>
      <c r="E10" s="374">
        <f>SUMIFS('Social - Remarketing'!$H:$H,'Social - Remarketing'!$B:$B,'By Week'!$A$2)</f>
        <v>12204.513999999999</v>
      </c>
      <c r="F10" s="374">
        <f>SUMIFS('Social - Remarketing'!$I:$I,'Social - Remarketing'!$B:$B,'By Week'!$A$2)</f>
        <v>0</v>
      </c>
      <c r="G10" s="369" t="e">
        <f t="shared" si="1"/>
        <v>#DIV/0!</v>
      </c>
      <c r="H10" s="386">
        <f t="shared" si="2"/>
        <v>0.19795954185475964</v>
      </c>
      <c r="I10" s="386" t="e">
        <f t="shared" si="2"/>
        <v>#DIV/0!</v>
      </c>
      <c r="J10" s="369" t="e">
        <f t="shared" si="3"/>
        <v>#DIV/0!</v>
      </c>
      <c r="K10" s="419">
        <f>SUMIFS('Social - Remarketing'!$X:$X,'Social - Remarketing'!$B:$B,'By Week'!$A$2)</f>
        <v>3489</v>
      </c>
      <c r="L10" s="419">
        <f>SUMIFS('Social - Remarketing'!$Y:$Y,'Social - Remarketing'!$B:$B,'By Week'!$A$2)</f>
        <v>0</v>
      </c>
      <c r="M10" s="375" t="e">
        <f t="shared" si="4"/>
        <v>#DIV/0!</v>
      </c>
      <c r="N10" s="377">
        <f>SUMIFS('Social - Remarketing'!$AB:$AB,'Social - Remarketing'!$B:$B,'By Week'!$A$2)</f>
        <v>20</v>
      </c>
      <c r="O10" s="377">
        <f>SUMIFS('Social - Remarketing'!$AC:$AC,'Social - Remarketing'!$B:$B,'By Week'!$A$2)</f>
        <v>0</v>
      </c>
      <c r="P10" s="378" t="e">
        <f t="shared" si="5"/>
        <v>#DIV/0!</v>
      </c>
      <c r="Q10" s="379">
        <f t="shared" si="6"/>
        <v>5.7323015190599022E-3</v>
      </c>
      <c r="R10" s="379" t="e">
        <f t="shared" si="6"/>
        <v>#DIV/0!</v>
      </c>
      <c r="S10" s="378" t="e">
        <f t="shared" si="7"/>
        <v>#DIV/0!</v>
      </c>
      <c r="T10" s="374">
        <f t="shared" si="8"/>
        <v>610.22569999999996</v>
      </c>
      <c r="U10" s="374" t="e">
        <f t="shared" si="8"/>
        <v>#DIV/0!</v>
      </c>
      <c r="V10" s="375" t="e">
        <f t="shared" si="9"/>
        <v>#DIV/0!</v>
      </c>
      <c r="W10" s="374">
        <f t="shared" si="10"/>
        <v>120.8</v>
      </c>
      <c r="X10" s="374" t="e">
        <f t="shared" si="10"/>
        <v>#DIV/0!</v>
      </c>
      <c r="Y10" s="378" t="e">
        <f t="shared" si="11"/>
        <v>#DIV/0!</v>
      </c>
      <c r="Z10" s="419">
        <f>SUMIFS('Social - Remarketing'!$AN:$AN,'Social - Remarketing'!$B:$B,'By Week'!$A$2)</f>
        <v>4472</v>
      </c>
      <c r="AA10" s="377">
        <f>SUMIFS('Social - Remarketing'!$AO:$AO,'Social - Remarketing'!$B:$B,'By Week'!$A$2)</f>
        <v>0</v>
      </c>
      <c r="AB10" s="378" t="e">
        <f t="shared" si="12"/>
        <v>#DIV/0!</v>
      </c>
      <c r="AC10" s="419">
        <f>SUMIFS('Social - Remarketing'!$AR:$AR,'Social - Remarketing'!$B:$B,'By Week'!$A$2)</f>
        <v>220785</v>
      </c>
      <c r="AD10" s="377">
        <f>SUMIFS('Social - Remarketing'!$AS:$AS,'Social - Remarketing'!$B:$B,'By Week'!$A$2)</f>
        <v>0</v>
      </c>
      <c r="AE10" s="378" t="e">
        <f t="shared" si="13"/>
        <v>#DIV/0!</v>
      </c>
      <c r="AF10" s="379">
        <f t="shared" si="16"/>
        <v>2.025499920737369E-2</v>
      </c>
      <c r="AG10" s="379" t="e">
        <f t="shared" si="16"/>
        <v>#DIV/0!</v>
      </c>
      <c r="AH10" s="378" t="e">
        <f t="shared" si="15"/>
        <v>#DIV/0!</v>
      </c>
    </row>
    <row r="11" spans="1:34" s="367" customFormat="1" ht="21" customHeight="1" x14ac:dyDescent="0.3">
      <c r="A11" s="367" t="s">
        <v>15</v>
      </c>
      <c r="B11" s="368">
        <f>SUM(B12:B13)</f>
        <v>0</v>
      </c>
      <c r="C11" s="368">
        <f>SUM(C12:C13)</f>
        <v>0</v>
      </c>
      <c r="D11" s="369" t="e">
        <f t="shared" si="0"/>
        <v>#DIV/0!</v>
      </c>
      <c r="E11" s="368">
        <f>SUM(E12:E13)</f>
        <v>0</v>
      </c>
      <c r="F11" s="368">
        <f>SUM(F12:F13)</f>
        <v>0</v>
      </c>
      <c r="G11" s="369" t="e">
        <f t="shared" si="1"/>
        <v>#DIV/0!</v>
      </c>
      <c r="H11" s="370" t="e">
        <f t="shared" si="2"/>
        <v>#DIV/0!</v>
      </c>
      <c r="I11" s="370" t="e">
        <f t="shared" si="2"/>
        <v>#DIV/0!</v>
      </c>
      <c r="J11" s="369" t="e">
        <f t="shared" si="3"/>
        <v>#DIV/0!</v>
      </c>
      <c r="K11" s="420">
        <f>SUM(K12:K13)</f>
        <v>0</v>
      </c>
      <c r="L11" s="420">
        <f>SUM(L12:L13)</f>
        <v>5</v>
      </c>
      <c r="M11" s="369">
        <f t="shared" si="4"/>
        <v>-1</v>
      </c>
      <c r="N11" s="371">
        <f>SUM(N12:N13)</f>
        <v>0</v>
      </c>
      <c r="O11" s="371">
        <f>SUM(O12:O13)</f>
        <v>0</v>
      </c>
      <c r="P11" s="381" t="e">
        <f t="shared" si="5"/>
        <v>#DIV/0!</v>
      </c>
      <c r="Q11" s="382" t="e">
        <f t="shared" si="6"/>
        <v>#DIV/0!</v>
      </c>
      <c r="R11" s="382">
        <f t="shared" si="6"/>
        <v>0</v>
      </c>
      <c r="S11" s="381" t="e">
        <f t="shared" si="7"/>
        <v>#DIV/0!</v>
      </c>
      <c r="T11" s="383" t="e">
        <f t="shared" si="8"/>
        <v>#DIV/0!</v>
      </c>
      <c r="U11" s="383" t="e">
        <f t="shared" si="8"/>
        <v>#DIV/0!</v>
      </c>
      <c r="V11" s="369" t="e">
        <f t="shared" si="9"/>
        <v>#DIV/0!</v>
      </c>
      <c r="W11" s="383" t="e">
        <f t="shared" si="10"/>
        <v>#DIV/0!</v>
      </c>
      <c r="X11" s="383" t="e">
        <f t="shared" si="10"/>
        <v>#DIV/0!</v>
      </c>
      <c r="Y11" s="381" t="e">
        <f t="shared" si="11"/>
        <v>#DIV/0!</v>
      </c>
      <c r="Z11" s="420">
        <f>SUM(Z12:Z13)</f>
        <v>0</v>
      </c>
      <c r="AA11" s="371">
        <f>SUM(AA12:AA13)</f>
        <v>0</v>
      </c>
      <c r="AB11" s="381" t="e">
        <f t="shared" si="12"/>
        <v>#DIV/0!</v>
      </c>
      <c r="AC11" s="420">
        <f>SUM(AC12:AC13)</f>
        <v>0</v>
      </c>
      <c r="AD11" s="371">
        <f>SUM(AD12:AD13)</f>
        <v>0</v>
      </c>
      <c r="AE11" s="381" t="e">
        <f t="shared" si="13"/>
        <v>#DIV/0!</v>
      </c>
      <c r="AF11" s="382" t="e">
        <f t="shared" si="16"/>
        <v>#DIV/0!</v>
      </c>
      <c r="AG11" s="382" t="e">
        <f t="shared" si="16"/>
        <v>#DIV/0!</v>
      </c>
      <c r="AH11" s="381" t="e">
        <f t="shared" si="15"/>
        <v>#DIV/0!</v>
      </c>
    </row>
    <row r="12" spans="1:34" outlineLevel="1" x14ac:dyDescent="0.3">
      <c r="A12" s="373" t="s">
        <v>285</v>
      </c>
      <c r="B12" s="374">
        <f>SUMIFS('Display - Promos'!$E:$E,'Display - Promos'!$B:$B,$A$2)</f>
        <v>0</v>
      </c>
      <c r="C12" s="374">
        <f>SUMIFS('Display - Promos'!$F:$F,'Display - Promos'!$B:$B,$A$2)</f>
        <v>0</v>
      </c>
      <c r="D12" s="375" t="e">
        <f t="shared" si="0"/>
        <v>#DIV/0!</v>
      </c>
      <c r="E12" s="374">
        <f>SUMIFS('Display - Promos'!$H:$H,'Display - Promos'!$B:$B,$A$2)</f>
        <v>0</v>
      </c>
      <c r="F12" s="374">
        <f>SUMIFS('Display - Promos'!$I:$I,'Display - Promos'!$B:$B,$A$2)</f>
        <v>0</v>
      </c>
      <c r="G12" s="375" t="e">
        <f t="shared" si="1"/>
        <v>#DIV/0!</v>
      </c>
      <c r="H12" s="386" t="e">
        <f t="shared" si="2"/>
        <v>#DIV/0!</v>
      </c>
      <c r="I12" s="386" t="e">
        <f t="shared" si="2"/>
        <v>#DIV/0!</v>
      </c>
      <c r="J12" s="369" t="e">
        <f t="shared" si="3"/>
        <v>#DIV/0!</v>
      </c>
      <c r="K12" s="419">
        <f>SUMIFS('Display - Promos'!$N:$N,'Display - Promos'!$B:$B,$A$2)</f>
        <v>0</v>
      </c>
      <c r="L12" s="419">
        <f>SUMIFS('Display - Promos'!$O:$O,'Display - Promos'!$B:$B,$A$2)</f>
        <v>5</v>
      </c>
      <c r="M12" s="375">
        <f t="shared" si="4"/>
        <v>-1</v>
      </c>
      <c r="N12" s="377">
        <f>SUMIFS('Display - Promos'!$Q:$Q,'Display - Promos'!$B:$B,$A$2)</f>
        <v>0</v>
      </c>
      <c r="O12" s="377">
        <f>SUMIFS('Display - Promos'!$R:$R,'Display - Promos'!$B:$B,$A$2)</f>
        <v>0</v>
      </c>
      <c r="P12" s="378" t="e">
        <f t="shared" si="5"/>
        <v>#DIV/0!</v>
      </c>
      <c r="Q12" s="379" t="e">
        <f t="shared" si="6"/>
        <v>#DIV/0!</v>
      </c>
      <c r="R12" s="379">
        <f t="shared" si="6"/>
        <v>0</v>
      </c>
      <c r="S12" s="378" t="e">
        <f t="shared" si="7"/>
        <v>#DIV/0!</v>
      </c>
      <c r="T12" s="374" t="e">
        <f t="shared" si="8"/>
        <v>#DIV/0!</v>
      </c>
      <c r="U12" s="374" t="e">
        <f t="shared" si="8"/>
        <v>#DIV/0!</v>
      </c>
      <c r="V12" s="375" t="e">
        <f t="shared" si="9"/>
        <v>#DIV/0!</v>
      </c>
      <c r="W12" s="374" t="e">
        <f t="shared" si="10"/>
        <v>#DIV/0!</v>
      </c>
      <c r="X12" s="374" t="e">
        <f t="shared" si="10"/>
        <v>#DIV/0!</v>
      </c>
      <c r="Y12" s="378" t="e">
        <f t="shared" si="11"/>
        <v>#DIV/0!</v>
      </c>
      <c r="Z12" s="419">
        <f>SUMIFS('Display - Promos'!$W:$W,'Display - Promos'!$B:$B,$A$2)</f>
        <v>0</v>
      </c>
      <c r="AA12" s="377">
        <f>SUMIFS('Display - Promos'!$X:$X,'Display - Promos'!$B:$B,$A$2)</f>
        <v>0</v>
      </c>
      <c r="AB12" s="378" t="e">
        <f t="shared" si="12"/>
        <v>#DIV/0!</v>
      </c>
      <c r="AC12" s="419">
        <f>SUMIFS('Display - Promos'!$Z:$Z,'Display - Promos'!$B:$B,$A$2)</f>
        <v>0</v>
      </c>
      <c r="AD12" s="418">
        <f>SUMIFS('Display - Promos'!$AA:$AA,'Display - Promos'!$B:$B,$A$2)</f>
        <v>0</v>
      </c>
      <c r="AE12" s="378" t="e">
        <f t="shared" si="13"/>
        <v>#DIV/0!</v>
      </c>
      <c r="AF12" s="379" t="e">
        <f t="shared" si="16"/>
        <v>#DIV/0!</v>
      </c>
      <c r="AG12" s="379" t="e">
        <f t="shared" si="16"/>
        <v>#DIV/0!</v>
      </c>
      <c r="AH12" s="378" t="e">
        <f t="shared" si="15"/>
        <v>#DIV/0!</v>
      </c>
    </row>
    <row r="13" spans="1:34" ht="19.5" outlineLevel="1" thickBot="1" x14ac:dyDescent="0.35">
      <c r="A13" s="373" t="s">
        <v>286</v>
      </c>
      <c r="B13" s="374">
        <f>SUMIFS('Display - Remarketing'!$E:$E,'Display - Remarketing'!$B:$B,'By Week'!$A$2)</f>
        <v>0</v>
      </c>
      <c r="C13" s="374">
        <f>SUMIFS('Display - Remarketing'!$D:$D,'Display - Remarketing'!$B:$B,'By Week'!$A$2)</f>
        <v>0</v>
      </c>
      <c r="D13" s="369" t="e">
        <f t="shared" si="0"/>
        <v>#DIV/0!</v>
      </c>
      <c r="E13" s="374">
        <f>SUMIFS('Display - Remarketing'!$H:$H,'Display - Remarketing'!$B:$B,'By Week'!$A$2)</f>
        <v>0</v>
      </c>
      <c r="F13" s="374">
        <f>SUMIFS('Display - Remarketing'!$I:$I,'Display - Remarketing'!$B:$B,'By Week'!$A$2)</f>
        <v>0</v>
      </c>
      <c r="G13" s="369" t="e">
        <f t="shared" si="1"/>
        <v>#DIV/0!</v>
      </c>
      <c r="H13" s="386" t="e">
        <f t="shared" si="2"/>
        <v>#DIV/0!</v>
      </c>
      <c r="I13" s="386" t="e">
        <f t="shared" si="2"/>
        <v>#DIV/0!</v>
      </c>
      <c r="J13" s="369" t="e">
        <f t="shared" si="3"/>
        <v>#DIV/0!</v>
      </c>
      <c r="K13" s="377">
        <f>SUMIFS('Display - Remarketing'!$P:$P,'Display - Remarketing'!$B:$B,'By Week'!$A$2)</f>
        <v>0</v>
      </c>
      <c r="L13" s="377">
        <f>SUMIFS('Display - Remarketing'!$Q:$Q,'Display - Remarketing'!$B:$B,'By Week'!$A$2)</f>
        <v>0</v>
      </c>
      <c r="M13" s="375" t="e">
        <f t="shared" si="4"/>
        <v>#DIV/0!</v>
      </c>
      <c r="N13" s="377">
        <f>SUMIFS('Display - Remarketing'!$T:$T,'Display - Remarketing'!$B:$B,'By Week'!$A$2)</f>
        <v>0</v>
      </c>
      <c r="O13" s="377">
        <f>SUMIFS('Display - Remarketing'!$U:$U,'Display - Remarketing'!$B:$B,'By Week'!$A$2)</f>
        <v>0</v>
      </c>
      <c r="P13" s="378" t="e">
        <f t="shared" si="5"/>
        <v>#DIV/0!</v>
      </c>
      <c r="Q13" s="379" t="e">
        <f t="shared" si="6"/>
        <v>#DIV/0!</v>
      </c>
      <c r="R13" s="379" t="e">
        <f t="shared" si="6"/>
        <v>#DIV/0!</v>
      </c>
      <c r="S13" s="378" t="e">
        <f t="shared" si="7"/>
        <v>#DIV/0!</v>
      </c>
      <c r="T13" s="374" t="e">
        <f t="shared" si="8"/>
        <v>#DIV/0!</v>
      </c>
      <c r="U13" s="374" t="e">
        <f t="shared" si="8"/>
        <v>#DIV/0!</v>
      </c>
      <c r="V13" s="375" t="e">
        <f t="shared" si="9"/>
        <v>#DIV/0!</v>
      </c>
      <c r="W13" s="374" t="e">
        <f t="shared" si="10"/>
        <v>#DIV/0!</v>
      </c>
      <c r="X13" s="374" t="e">
        <f t="shared" si="10"/>
        <v>#DIV/0!</v>
      </c>
      <c r="Y13" s="378" t="e">
        <f t="shared" si="11"/>
        <v>#DIV/0!</v>
      </c>
      <c r="Z13" s="419">
        <f>SUMIFS('Display - Remarketing'!$AB:$AB,'Display - Remarketing'!$B:$B,'By Week'!$A$2)</f>
        <v>0</v>
      </c>
      <c r="AA13" s="377">
        <f>SUMIFS('Display - Remarketing'!$AC:$AC,'Display - Remarketing'!$B:$B,'By Week'!$A$2)</f>
        <v>0</v>
      </c>
      <c r="AB13" s="378" t="e">
        <f t="shared" si="12"/>
        <v>#DIV/0!</v>
      </c>
      <c r="AC13" s="419">
        <f>SUMIFS('Display - Remarketing'!$AF:$AF,'Display - Remarketing'!$B:$B,'By Week'!$A$2)</f>
        <v>0</v>
      </c>
      <c r="AD13" s="377">
        <f>SUMIFS('Display - Remarketing'!$AG:$AG,'Display - Remarketing'!$B:$B,'By Week'!$A$2)</f>
        <v>0</v>
      </c>
      <c r="AE13" s="378" t="e">
        <f t="shared" si="13"/>
        <v>#DIV/0!</v>
      </c>
      <c r="AF13" s="379" t="e">
        <f t="shared" si="16"/>
        <v>#DIV/0!</v>
      </c>
      <c r="AG13" s="379" t="e">
        <f t="shared" si="16"/>
        <v>#DIV/0!</v>
      </c>
      <c r="AH13" s="378" t="e">
        <f t="shared" si="15"/>
        <v>#DIV/0!</v>
      </c>
    </row>
    <row r="14" spans="1:34" s="395" customFormat="1" ht="22.5" thickTop="1" thickBot="1" x14ac:dyDescent="0.4">
      <c r="A14" s="387" t="s">
        <v>16</v>
      </c>
      <c r="B14" s="388">
        <f>B3+B7+B8+B11</f>
        <v>411383</v>
      </c>
      <c r="C14" s="388">
        <f>C3+C7+C8+C11</f>
        <v>229335</v>
      </c>
      <c r="D14" s="389">
        <f t="shared" si="0"/>
        <v>0.79380818453354263</v>
      </c>
      <c r="E14" s="388">
        <f>E3+E7+E8+E11</f>
        <v>90936.001349999991</v>
      </c>
      <c r="F14" s="388">
        <f>F3+F7+F8+F11</f>
        <v>83948.67</v>
      </c>
      <c r="G14" s="390">
        <f t="shared" si="1"/>
        <v>8.3233377610389694E-2</v>
      </c>
      <c r="H14" s="391">
        <f t="shared" si="2"/>
        <v>4.5238738661560909</v>
      </c>
      <c r="I14" s="391">
        <f t="shared" si="2"/>
        <v>2.7318479256431343</v>
      </c>
      <c r="J14" s="390">
        <f t="shared" si="3"/>
        <v>0.65597573118608943</v>
      </c>
      <c r="K14" s="392">
        <f>K3+K7+K8+K11</f>
        <v>82343</v>
      </c>
      <c r="L14" s="392">
        <f>L3+L7+L8+L11</f>
        <v>56978</v>
      </c>
      <c r="M14" s="390">
        <f t="shared" si="4"/>
        <v>0.44517182070272737</v>
      </c>
      <c r="N14" s="392">
        <f>N3+N7+N8+N11</f>
        <v>2896</v>
      </c>
      <c r="O14" s="392">
        <f>O3+O7+O8+O11</f>
        <v>1640</v>
      </c>
      <c r="P14" s="389">
        <f t="shared" si="5"/>
        <v>0.76585365853658538</v>
      </c>
      <c r="Q14" s="393">
        <f t="shared" si="6"/>
        <v>3.5169959802290422E-2</v>
      </c>
      <c r="R14" s="393">
        <f t="shared" si="6"/>
        <v>2.8783039067710344E-2</v>
      </c>
      <c r="S14" s="389">
        <f t="shared" si="7"/>
        <v>0.22189876196030714</v>
      </c>
      <c r="T14" s="388">
        <f t="shared" si="8"/>
        <v>31.400552952348065</v>
      </c>
      <c r="U14" s="388">
        <f t="shared" si="8"/>
        <v>51.188213414634149</v>
      </c>
      <c r="V14" s="390">
        <f t="shared" si="9"/>
        <v>-0.38656673367367433</v>
      </c>
      <c r="W14" s="388">
        <f t="shared" si="10"/>
        <v>142.0521408839779</v>
      </c>
      <c r="X14" s="388">
        <f t="shared" si="10"/>
        <v>139.83841463414635</v>
      </c>
      <c r="Y14" s="389">
        <f t="shared" si="11"/>
        <v>1.5830601738608348E-2</v>
      </c>
      <c r="Z14" s="444">
        <f>Z3+Z7+Z8+Z11</f>
        <v>61632</v>
      </c>
      <c r="AA14" s="394">
        <f>AA3+AA7+AA8+AA11</f>
        <v>45311</v>
      </c>
      <c r="AB14" s="389">
        <f t="shared" si="12"/>
        <v>0.36019951005274659</v>
      </c>
      <c r="AC14" s="444">
        <f>AC3+AC7+AC8+AC11</f>
        <v>2543957</v>
      </c>
      <c r="AD14" s="392">
        <f>AD3+AD7+AD8+AD11</f>
        <v>2830624</v>
      </c>
      <c r="AE14" s="389">
        <f t="shared" si="13"/>
        <v>-0.10127342946290288</v>
      </c>
      <c r="AF14" s="393">
        <f t="shared" si="16"/>
        <v>2.4226824588623158E-2</v>
      </c>
      <c r="AG14" s="393">
        <f t="shared" si="16"/>
        <v>1.6007424511344494E-2</v>
      </c>
      <c r="AH14" s="389">
        <f>(AF14-AG14)/AG14</f>
        <v>0.51347423637409995</v>
      </c>
    </row>
    <row r="20" spans="4:4" x14ac:dyDescent="0.3">
      <c r="D20" s="421"/>
    </row>
  </sheetData>
  <autoFilter ref="A2:AF14"/>
  <mergeCells count="1">
    <mergeCell ref="A1:AH1"/>
  </mergeCells>
  <conditionalFormatting sqref="M3:M14 P3:P14 S3:S14 Y3:Y14 AB3:AB14 AE3:AE14 AH3:AH14 D3:D14 G10:G13 J3:J14">
    <cfRule type="cellIs" dxfId="3693" priority="7" operator="lessThan">
      <formula>0</formula>
    </cfRule>
    <cfRule type="cellIs" dxfId="3692" priority="8" operator="greaterThanOrEqual">
      <formula>0</formula>
    </cfRule>
  </conditionalFormatting>
  <conditionalFormatting sqref="G3:G9 G14 V3:V14">
    <cfRule type="cellIs" dxfId="3691" priority="5" operator="lessThanOrEqual">
      <formula>0</formula>
    </cfRule>
    <cfRule type="cellIs" dxfId="3690" priority="6" operator="greaterThanOrEqual">
      <formula>0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F16"/>
  <sheetViews>
    <sheetView workbookViewId="0">
      <selection activeCell="B21" sqref="B21"/>
    </sheetView>
  </sheetViews>
  <sheetFormatPr defaultColWidth="11" defaultRowHeight="18.75" x14ac:dyDescent="0.3"/>
  <cols>
    <col min="1" max="1" width="14" style="126" customWidth="1"/>
    <col min="2" max="2" width="15.5" style="131" bestFit="1" customWidth="1"/>
    <col min="3" max="3" width="13.5" style="131" bestFit="1" customWidth="1"/>
    <col min="4" max="4" width="16.625" style="139" bestFit="1" customWidth="1"/>
    <col min="5" max="5" width="14.125" style="121" bestFit="1" customWidth="1"/>
    <col min="6" max="6" width="10.875" style="121" bestFit="1" customWidth="1"/>
  </cols>
  <sheetData>
    <row r="1" spans="1:6" ht="23.25" x14ac:dyDescent="0.3">
      <c r="A1" s="457" t="s">
        <v>115</v>
      </c>
      <c r="B1" s="457"/>
      <c r="C1" s="457"/>
      <c r="D1" s="457"/>
      <c r="E1" s="457"/>
    </row>
    <row r="2" spans="1:6" x14ac:dyDescent="0.25">
      <c r="A2" s="122" t="s">
        <v>19</v>
      </c>
      <c r="B2" s="122" t="s">
        <v>111</v>
      </c>
      <c r="C2" s="123" t="s">
        <v>112</v>
      </c>
      <c r="D2" s="122" t="s">
        <v>113</v>
      </c>
      <c r="E2" s="122" t="s">
        <v>114</v>
      </c>
      <c r="F2" s="124"/>
    </row>
    <row r="3" spans="1:6" x14ac:dyDescent="0.3">
      <c r="A3" s="125">
        <v>1</v>
      </c>
      <c r="B3" s="127">
        <v>35000</v>
      </c>
      <c r="C3" s="128">
        <v>28865</v>
      </c>
      <c r="D3" s="127">
        <f>B3-C3</f>
        <v>6135</v>
      </c>
      <c r="E3" s="129">
        <f t="shared" ref="E3:E8" si="0">(B3-C3)/B3</f>
        <v>0.17528571428571429</v>
      </c>
      <c r="F3" s="130"/>
    </row>
    <row r="4" spans="1:6" x14ac:dyDescent="0.3">
      <c r="A4" s="125">
        <v>2</v>
      </c>
      <c r="B4" s="131">
        <v>25000</v>
      </c>
      <c r="C4" s="132">
        <v>14537</v>
      </c>
      <c r="D4" s="127">
        <f t="shared" ref="D4:D16" si="1">B4-C4</f>
        <v>10463</v>
      </c>
      <c r="E4" s="129">
        <f t="shared" si="0"/>
        <v>0.41852</v>
      </c>
    </row>
    <row r="5" spans="1:6" x14ac:dyDescent="0.3">
      <c r="A5" s="125">
        <v>3</v>
      </c>
      <c r="B5" s="131">
        <v>90000</v>
      </c>
      <c r="C5" s="132">
        <v>82673</v>
      </c>
      <c r="D5" s="127">
        <f t="shared" si="1"/>
        <v>7327</v>
      </c>
      <c r="E5" s="129">
        <f t="shared" si="0"/>
        <v>8.1411111111111115E-2</v>
      </c>
    </row>
    <row r="6" spans="1:6" x14ac:dyDescent="0.3">
      <c r="A6" s="125">
        <v>4</v>
      </c>
      <c r="B6" s="131">
        <v>40000</v>
      </c>
      <c r="C6" s="132">
        <v>18712</v>
      </c>
      <c r="D6" s="127">
        <f t="shared" si="1"/>
        <v>21288</v>
      </c>
      <c r="E6" s="129">
        <f t="shared" si="0"/>
        <v>0.53220000000000001</v>
      </c>
    </row>
    <row r="7" spans="1:6" x14ac:dyDescent="0.3">
      <c r="A7" s="125">
        <v>5</v>
      </c>
      <c r="B7" s="131">
        <v>35000</v>
      </c>
      <c r="C7" s="132">
        <v>22681</v>
      </c>
      <c r="D7" s="127">
        <f t="shared" si="1"/>
        <v>12319</v>
      </c>
      <c r="E7" s="129">
        <f t="shared" si="0"/>
        <v>0.35197142857142855</v>
      </c>
    </row>
    <row r="8" spans="1:6" x14ac:dyDescent="0.3">
      <c r="A8" s="125">
        <v>6</v>
      </c>
      <c r="B8" s="131">
        <v>28000</v>
      </c>
      <c r="C8" s="132">
        <v>25964</v>
      </c>
      <c r="D8" s="127">
        <f t="shared" si="1"/>
        <v>2036</v>
      </c>
      <c r="E8" s="129">
        <f t="shared" si="0"/>
        <v>7.2714285714285717E-2</v>
      </c>
    </row>
    <row r="9" spans="1:6" x14ac:dyDescent="0.3">
      <c r="A9" s="125">
        <v>7</v>
      </c>
      <c r="B9" s="131">
        <v>31000</v>
      </c>
      <c r="C9" s="132">
        <v>17529</v>
      </c>
      <c r="D9" s="127">
        <f t="shared" si="1"/>
        <v>13471</v>
      </c>
      <c r="E9" s="129">
        <f>(B9-C9)/B9</f>
        <v>0.43454838709677418</v>
      </c>
    </row>
    <row r="10" spans="1:6" x14ac:dyDescent="0.3">
      <c r="A10" s="125">
        <v>8</v>
      </c>
      <c r="B10" s="131">
        <v>31800</v>
      </c>
      <c r="C10" s="132">
        <v>28056</v>
      </c>
      <c r="D10" s="127">
        <f t="shared" si="1"/>
        <v>3744</v>
      </c>
      <c r="E10" s="129">
        <f t="shared" ref="E10:E15" si="2">(B10-C10)/B10</f>
        <v>0.11773584905660377</v>
      </c>
    </row>
    <row r="11" spans="1:6" x14ac:dyDescent="0.3">
      <c r="A11" s="125">
        <v>9</v>
      </c>
      <c r="B11" s="131">
        <v>21400</v>
      </c>
      <c r="C11" s="132">
        <v>13113</v>
      </c>
      <c r="D11" s="127">
        <f t="shared" si="1"/>
        <v>8287</v>
      </c>
      <c r="E11" s="129">
        <f t="shared" si="2"/>
        <v>0.38724299065420559</v>
      </c>
    </row>
    <row r="12" spans="1:6" x14ac:dyDescent="0.3">
      <c r="A12" s="125">
        <v>10</v>
      </c>
      <c r="C12" s="132"/>
      <c r="D12" s="127">
        <f t="shared" si="1"/>
        <v>0</v>
      </c>
      <c r="E12" s="129" t="e">
        <f t="shared" si="2"/>
        <v>#DIV/0!</v>
      </c>
    </row>
    <row r="13" spans="1:6" x14ac:dyDescent="0.3">
      <c r="A13" s="122">
        <v>11</v>
      </c>
      <c r="B13" s="133"/>
      <c r="C13" s="132"/>
      <c r="D13" s="127">
        <f t="shared" si="1"/>
        <v>0</v>
      </c>
      <c r="E13" s="129" t="e">
        <f t="shared" si="2"/>
        <v>#DIV/0!</v>
      </c>
      <c r="F13" s="124"/>
    </row>
    <row r="14" spans="1:6" x14ac:dyDescent="0.3">
      <c r="A14" s="125">
        <v>12</v>
      </c>
      <c r="B14" s="127"/>
      <c r="C14" s="128"/>
      <c r="D14" s="127">
        <f t="shared" si="1"/>
        <v>0</v>
      </c>
      <c r="E14" s="129" t="e">
        <f t="shared" si="2"/>
        <v>#DIV/0!</v>
      </c>
      <c r="F14" s="130"/>
    </row>
    <row r="15" spans="1:6" x14ac:dyDescent="0.3">
      <c r="A15" s="125">
        <v>13</v>
      </c>
      <c r="C15" s="132"/>
      <c r="D15" s="127">
        <f t="shared" si="1"/>
        <v>0</v>
      </c>
      <c r="E15" s="129" t="e">
        <f t="shared" si="2"/>
        <v>#DIV/0!</v>
      </c>
    </row>
    <row r="16" spans="1:6" x14ac:dyDescent="0.3">
      <c r="A16" s="134" t="s">
        <v>28</v>
      </c>
      <c r="B16" s="135"/>
      <c r="C16" s="136"/>
      <c r="D16" s="137">
        <f t="shared" si="1"/>
        <v>0</v>
      </c>
      <c r="E16" s="138" t="e">
        <f>D16/B16</f>
        <v>#DIV/0!</v>
      </c>
    </row>
  </sheetData>
  <mergeCells count="1">
    <mergeCell ref="A1:E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S1052"/>
  <sheetViews>
    <sheetView tabSelected="1" workbookViewId="0">
      <pane ySplit="1" topLeftCell="A186" activePane="bottomLeft" state="frozen"/>
      <selection pane="bottomLeft" activeCell="F204" sqref="F204"/>
    </sheetView>
  </sheetViews>
  <sheetFormatPr defaultColWidth="13.5" defaultRowHeight="15" customHeight="1" outlineLevelCol="1" x14ac:dyDescent="0.25"/>
  <cols>
    <col min="1" max="1" width="9.375" customWidth="1"/>
    <col min="2" max="2" width="9.5" customWidth="1"/>
    <col min="3" max="3" width="12" customWidth="1"/>
    <col min="4" max="4" width="18.375" customWidth="1"/>
    <col min="5" max="5" width="11.875" style="81" customWidth="1"/>
    <col min="6" max="6" width="13" style="81" customWidth="1" outlineLevel="1"/>
    <col min="7" max="7" width="7.625" style="81" customWidth="1" outlineLevel="1"/>
    <col min="8" max="8" width="7.625" style="81" customWidth="1"/>
    <col min="9" max="9" width="12.125" style="81" customWidth="1"/>
    <col min="10" max="10" width="12.125" style="81" customWidth="1" outlineLevel="1"/>
    <col min="11" max="11" width="6.5" style="81" customWidth="1" outlineLevel="1" collapsed="1"/>
    <col min="12" max="12" width="6.5" style="81" customWidth="1"/>
    <col min="13" max="13" width="9.875" style="81" customWidth="1"/>
    <col min="14" max="14" width="9.875" style="81" customWidth="1" outlineLevel="1"/>
    <col min="15" max="15" width="8.125" style="81" customWidth="1" outlineLevel="1" collapsed="1"/>
    <col min="16" max="16" width="8.125" style="81" customWidth="1"/>
    <col min="17" max="17" width="8.625" style="81" customWidth="1"/>
    <col min="18" max="18" width="10" style="81" customWidth="1" outlineLevel="1"/>
    <col min="19" max="19" width="6.5" style="81" customWidth="1" outlineLevel="1" collapsed="1"/>
    <col min="20" max="20" width="8" style="81" bestFit="1" customWidth="1"/>
    <col min="21" max="21" width="9.5" style="81" customWidth="1"/>
    <col min="22" max="22" width="7.375" style="81" customWidth="1" outlineLevel="1"/>
    <col min="23" max="23" width="6.5" style="81" customWidth="1" outlineLevel="1" collapsed="1"/>
    <col min="24" max="24" width="6.5" style="81" customWidth="1"/>
    <col min="25" max="25" width="9.625" style="81" customWidth="1"/>
    <col min="26" max="26" width="9.625" style="81" customWidth="1" outlineLevel="1"/>
    <col min="27" max="27" width="6.5" style="81" customWidth="1" outlineLevel="1" collapsed="1"/>
    <col min="28" max="28" width="8.125" style="81" customWidth="1"/>
    <col min="29" max="29" width="7.875" style="305" customWidth="1"/>
    <col min="30" max="30" width="8.625" style="81" customWidth="1" outlineLevel="1"/>
    <col min="31" max="31" width="7.375" style="81" customWidth="1" outlineLevel="1" collapsed="1"/>
    <col min="32" max="32" width="7.375" style="81" customWidth="1"/>
    <col min="33" max="33" width="11.125" style="81" bestFit="1" customWidth="1"/>
    <col min="34" max="34" width="11.125" style="81" customWidth="1" outlineLevel="1"/>
    <col min="35" max="35" width="6.5" style="81" customWidth="1" outlineLevel="1" collapsed="1"/>
    <col min="36" max="36" width="6.5" style="81" customWidth="1"/>
    <col min="37" max="37" width="12.125" style="81" bestFit="1" customWidth="1"/>
    <col min="38" max="38" width="13.125" style="81" customWidth="1" outlineLevel="1" collapsed="1"/>
    <col min="39" max="39" width="6.5" style="81" customWidth="1" outlineLevel="1" collapsed="1"/>
    <col min="40" max="40" width="8" style="81" bestFit="1" customWidth="1"/>
    <col min="41" max="42" width="10.125" style="81" customWidth="1"/>
    <col min="43" max="43" width="6.5" customWidth="1" outlineLevel="1" collapsed="1"/>
    <col min="44" max="44" width="6.5" customWidth="1"/>
    <col min="45" max="45" width="58.125" bestFit="1" customWidth="1"/>
  </cols>
  <sheetData>
    <row r="1" spans="1:45" ht="15.75" x14ac:dyDescent="0.25">
      <c r="A1" s="24" t="s">
        <v>19</v>
      </c>
      <c r="B1" s="24" t="s">
        <v>20</v>
      </c>
      <c r="C1" s="24" t="s">
        <v>21</v>
      </c>
      <c r="D1" s="24" t="s">
        <v>22</v>
      </c>
      <c r="E1" s="298" t="s">
        <v>1</v>
      </c>
      <c r="F1" s="298" t="s">
        <v>117</v>
      </c>
      <c r="G1" s="299" t="s">
        <v>23</v>
      </c>
      <c r="H1" s="299" t="s">
        <v>24</v>
      </c>
      <c r="I1" s="298" t="s">
        <v>2</v>
      </c>
      <c r="J1" s="298" t="s">
        <v>99</v>
      </c>
      <c r="K1" s="299" t="s">
        <v>23</v>
      </c>
      <c r="L1" s="299" t="s">
        <v>24</v>
      </c>
      <c r="M1" s="298" t="s">
        <v>3</v>
      </c>
      <c r="N1" s="298" t="s">
        <v>100</v>
      </c>
      <c r="O1" s="299" t="s">
        <v>23</v>
      </c>
      <c r="P1" s="299" t="s">
        <v>24</v>
      </c>
      <c r="Q1" s="298" t="s">
        <v>4</v>
      </c>
      <c r="R1" s="298" t="s">
        <v>101</v>
      </c>
      <c r="S1" s="299" t="s">
        <v>23</v>
      </c>
      <c r="T1" s="299" t="s">
        <v>24</v>
      </c>
      <c r="U1" s="298" t="s">
        <v>5</v>
      </c>
      <c r="V1" s="298" t="s">
        <v>102</v>
      </c>
      <c r="W1" s="299" t="s">
        <v>23</v>
      </c>
      <c r="X1" s="299" t="s">
        <v>24</v>
      </c>
      <c r="Y1" s="300" t="s">
        <v>109</v>
      </c>
      <c r="Z1" s="300" t="s">
        <v>110</v>
      </c>
      <c r="AA1" s="299" t="s">
        <v>23</v>
      </c>
      <c r="AB1" s="299" t="s">
        <v>24</v>
      </c>
      <c r="AC1" s="301" t="s">
        <v>6</v>
      </c>
      <c r="AD1" s="302" t="s">
        <v>103</v>
      </c>
      <c r="AE1" s="299" t="s">
        <v>23</v>
      </c>
      <c r="AF1" s="299" t="s">
        <v>24</v>
      </c>
      <c r="AG1" s="298" t="s">
        <v>7</v>
      </c>
      <c r="AH1" s="298" t="s">
        <v>104</v>
      </c>
      <c r="AI1" s="299" t="s">
        <v>23</v>
      </c>
      <c r="AJ1" s="299" t="s">
        <v>24</v>
      </c>
      <c r="AK1" s="303" t="s">
        <v>8</v>
      </c>
      <c r="AL1" s="303" t="s">
        <v>118</v>
      </c>
      <c r="AM1" s="299" t="s">
        <v>23</v>
      </c>
      <c r="AN1" s="299" t="s">
        <v>24</v>
      </c>
      <c r="AO1" s="304" t="s">
        <v>9</v>
      </c>
      <c r="AP1" s="304" t="s">
        <v>106</v>
      </c>
      <c r="AQ1" s="26" t="s">
        <v>23</v>
      </c>
      <c r="AR1" s="26" t="s">
        <v>24</v>
      </c>
      <c r="AS1" s="24" t="s">
        <v>26</v>
      </c>
    </row>
    <row r="2" spans="1:45" ht="15.75" customHeight="1" x14ac:dyDescent="0.3">
      <c r="A2" s="29" t="s">
        <v>17</v>
      </c>
      <c r="B2" s="29" t="s">
        <v>27</v>
      </c>
      <c r="C2" s="30">
        <v>42734</v>
      </c>
      <c r="D2" s="31" t="s">
        <v>28</v>
      </c>
      <c r="E2" s="32">
        <f>E3+E4</f>
        <v>8599</v>
      </c>
      <c r="F2" s="32">
        <f>F3+F4</f>
        <v>3597</v>
      </c>
      <c r="G2" s="33">
        <f>(E2-F194)/F194</f>
        <v>-0.2947014435695538</v>
      </c>
      <c r="H2" s="33">
        <f t="shared" ref="H2" si="0">(E2-F2)/F2</f>
        <v>1.3906032805115374</v>
      </c>
      <c r="I2" s="32">
        <f>I3+I4</f>
        <v>5350.3700000000008</v>
      </c>
      <c r="J2" s="34">
        <f>J3+J4</f>
        <v>2399.09</v>
      </c>
      <c r="K2" s="150">
        <f>(I2-J194)/J194</f>
        <v>-0.35324906408918977</v>
      </c>
      <c r="L2" s="33">
        <f t="shared" ref="L2:L6" si="1">(I2-J2)/J2</f>
        <v>1.2301664381077828</v>
      </c>
      <c r="M2" s="34">
        <f>E2/I2</f>
        <v>1.6071785689587821</v>
      </c>
      <c r="N2" s="34">
        <f t="shared" ref="M2:N4" si="2">F2/J2</f>
        <v>1.4993184915947295</v>
      </c>
      <c r="O2" s="33">
        <f>(M2-N194)/N194</f>
        <v>9.0525760797213514E-2</v>
      </c>
      <c r="P2" s="33">
        <f t="shared" ref="P2:P6" si="3">(M2-N2)/N2</f>
        <v>7.1939403114630221E-2</v>
      </c>
      <c r="Q2" s="35">
        <f>Q3+Q4</f>
        <v>10012</v>
      </c>
      <c r="R2" s="35">
        <f>R3+R4</f>
        <v>4774</v>
      </c>
      <c r="S2" s="33">
        <f>(Q2-R194)/R194</f>
        <v>-0.24964400809413176</v>
      </c>
      <c r="T2" s="149">
        <f t="shared" ref="T2:T6" si="4">(Q2-R2)/R2</f>
        <v>1.0971931294511941</v>
      </c>
      <c r="U2" s="35">
        <f>U3+U4</f>
        <v>97</v>
      </c>
      <c r="V2" s="35">
        <f>V3+V4</f>
        <v>40</v>
      </c>
      <c r="W2" s="33">
        <f>(U2-V194)/V194</f>
        <v>-0.27067669172932329</v>
      </c>
      <c r="X2" s="149">
        <f t="shared" ref="X2:X6" si="5">(U2-V2)/V2</f>
        <v>1.425</v>
      </c>
      <c r="Y2" s="87">
        <f>U2/Q2</f>
        <v>9.6883739512584905E-3</v>
      </c>
      <c r="Z2" s="87">
        <f>V2/R2</f>
        <v>8.378718056137411E-3</v>
      </c>
      <c r="AA2" s="33">
        <f>(Y2-Z194)/Z194</f>
        <v>-2.8030273446300408E-2</v>
      </c>
      <c r="AB2" s="149">
        <f t="shared" ref="AB2:AB6" si="6">(Y2-Z2)/Z2</f>
        <v>0.15630743108270084</v>
      </c>
      <c r="AC2" s="145">
        <f t="shared" ref="AC2:AD16" si="7">E2/U2</f>
        <v>88.649484536082468</v>
      </c>
      <c r="AD2" s="145">
        <f t="shared" si="7"/>
        <v>89.924999999999997</v>
      </c>
      <c r="AE2" s="33">
        <f>(AC2-AD194)/AD194</f>
        <v>-3.2941154585058342E-2</v>
      </c>
      <c r="AF2" s="267">
        <f t="shared" ref="AF2:AF6" si="8">(AC2-AD2)/AD2</f>
        <v>-1.418421422204647E-2</v>
      </c>
      <c r="AG2" s="35">
        <f>AG3+AG4</f>
        <v>8091</v>
      </c>
      <c r="AH2" s="35">
        <f>AH3+AH4</f>
        <v>4391</v>
      </c>
      <c r="AI2" s="33">
        <f>(AG2-AH194)/AH194</f>
        <v>-0.22942857142857143</v>
      </c>
      <c r="AJ2" s="149">
        <f t="shared" ref="AJ2:AJ6" si="9">(AG2-AH2)/AH2</f>
        <v>0.84263265770895013</v>
      </c>
      <c r="AK2" s="35">
        <f>AK3+AK4</f>
        <v>64161</v>
      </c>
      <c r="AL2" s="35">
        <f>AL3+AL4</f>
        <v>36293</v>
      </c>
      <c r="AM2" s="33">
        <f>(AK2-AL194)/AL194</f>
        <v>-0.30238550863306224</v>
      </c>
      <c r="AN2" s="267">
        <f t="shared" ref="AN2:AN6" si="10">(AK2-AL2)/AL2</f>
        <v>0.76786157110186537</v>
      </c>
      <c r="AO2" s="278">
        <f t="shared" ref="AO2:AP212" si="11">AG2/AK2</f>
        <v>0.12610464300743443</v>
      </c>
      <c r="AP2" s="278">
        <f>AH2/AL2</f>
        <v>0.1209875182542088</v>
      </c>
      <c r="AQ2" s="33">
        <f>(AO2-AP194)/AP194</f>
        <v>0.10458059301712</v>
      </c>
      <c r="AR2" s="149">
        <f t="shared" ref="AR2:AR6" si="12">(AO2-AP2)/AP2</f>
        <v>4.2294650118154857E-2</v>
      </c>
      <c r="AS2" s="36"/>
    </row>
    <row r="3" spans="1:45" ht="15.75" x14ac:dyDescent="0.25">
      <c r="A3" s="37" t="s">
        <v>17</v>
      </c>
      <c r="B3" s="37" t="s">
        <v>27</v>
      </c>
      <c r="C3" s="38">
        <v>42734</v>
      </c>
      <c r="D3" s="37" t="s">
        <v>29</v>
      </c>
      <c r="E3" s="109">
        <v>7841</v>
      </c>
      <c r="F3" s="109">
        <v>2442</v>
      </c>
      <c r="G3" s="33">
        <f t="shared" ref="G3:G5" si="13">(E3-F195)/F195</f>
        <v>-0.25479946778179052</v>
      </c>
      <c r="H3" s="33">
        <f t="shared" ref="H3:H6" si="14">(E3-F3)/F3</f>
        <v>2.2108927108927108</v>
      </c>
      <c r="I3" s="109">
        <f>554.6+22.88</f>
        <v>577.48</v>
      </c>
      <c r="J3" s="111">
        <v>452.2</v>
      </c>
      <c r="K3" s="150">
        <f>(I3-J195)/J195</f>
        <v>-0.55281253871886993</v>
      </c>
      <c r="L3" s="110">
        <f t="shared" si="1"/>
        <v>0.27704555506413098</v>
      </c>
      <c r="M3" s="111">
        <f t="shared" si="2"/>
        <v>13.577959409849692</v>
      </c>
      <c r="N3" s="111">
        <f t="shared" si="2"/>
        <v>5.4002653693056173</v>
      </c>
      <c r="O3" s="33">
        <f>(M3-N195)/N195</f>
        <v>0.66641642876862728</v>
      </c>
      <c r="P3" s="110">
        <f t="shared" si="3"/>
        <v>1.5143133681957537</v>
      </c>
      <c r="Q3" s="112">
        <v>5387</v>
      </c>
      <c r="R3" s="112">
        <v>2637</v>
      </c>
      <c r="S3" s="33">
        <f>(Q3-R195)/R195</f>
        <v>-0.30953601640604972</v>
      </c>
      <c r="T3" s="110">
        <f t="shared" si="4"/>
        <v>1.042851725445582</v>
      </c>
      <c r="U3" s="112">
        <v>84</v>
      </c>
      <c r="V3" s="112">
        <v>27</v>
      </c>
      <c r="W3" s="33">
        <f>(U3-V195)/V195</f>
        <v>-0.20754716981132076</v>
      </c>
      <c r="X3" s="110">
        <f t="shared" si="5"/>
        <v>2.1111111111111112</v>
      </c>
      <c r="Y3" s="113">
        <f t="shared" ref="Y3:Y87" si="15">U3/Q3</f>
        <v>1.5593094486727306E-2</v>
      </c>
      <c r="Z3" s="266">
        <f t="shared" ref="Z3:Z44" si="16">V3/R3</f>
        <v>1.0238907849829351E-2</v>
      </c>
      <c r="AA3" s="33">
        <f>(Y3-Z195)/Z195</f>
        <v>0.14771059608911738</v>
      </c>
      <c r="AB3" s="110">
        <f t="shared" si="6"/>
        <v>0.52292556153703362</v>
      </c>
      <c r="AC3" s="114">
        <f t="shared" ref="AC3:AD212" si="17">E3/U3</f>
        <v>93.345238095238102</v>
      </c>
      <c r="AD3" s="114">
        <f t="shared" si="7"/>
        <v>90.444444444444443</v>
      </c>
      <c r="AE3" s="33">
        <f>(AC3-AD195)/AD195</f>
        <v>-5.962789981987851E-2</v>
      </c>
      <c r="AF3" s="110">
        <f t="shared" si="8"/>
        <v>3.2072657072657162E-2</v>
      </c>
      <c r="AG3" s="112">
        <f>3733+134</f>
        <v>3867</v>
      </c>
      <c r="AH3" s="112">
        <v>2315</v>
      </c>
      <c r="AI3" s="33">
        <f>(AG3-AH195)/AH195</f>
        <v>-0.29305301645338211</v>
      </c>
      <c r="AJ3" s="110">
        <f t="shared" si="9"/>
        <v>0.6704103671706263</v>
      </c>
      <c r="AK3" s="112">
        <f>9049+364</f>
        <v>9413</v>
      </c>
      <c r="AL3" s="112">
        <v>7436</v>
      </c>
      <c r="AM3" s="33">
        <f>(AK3-AL195)/AL195</f>
        <v>-0.5712398651726337</v>
      </c>
      <c r="AN3" s="110">
        <f t="shared" si="10"/>
        <v>0.26586874663797738</v>
      </c>
      <c r="AO3" s="110">
        <f t="shared" si="11"/>
        <v>0.41081483055348983</v>
      </c>
      <c r="AP3" s="110">
        <f t="shared" ref="AP3:AP87" si="18">AH3/AL3</f>
        <v>0.31132329209252285</v>
      </c>
      <c r="AQ3" s="33">
        <f>(AO3-AP195)/AP195</f>
        <v>0.64881696343168471</v>
      </c>
      <c r="AR3" s="40">
        <f t="shared" si="12"/>
        <v>0.31957627645604769</v>
      </c>
      <c r="AS3" s="36"/>
    </row>
    <row r="4" spans="1:45" s="81" customFormat="1" ht="15.75" x14ac:dyDescent="0.25">
      <c r="A4" s="260" t="s">
        <v>17</v>
      </c>
      <c r="B4" s="260" t="s">
        <v>27</v>
      </c>
      <c r="C4" s="261">
        <v>42734</v>
      </c>
      <c r="D4" s="260" t="s">
        <v>30</v>
      </c>
      <c r="E4" s="109">
        <v>758</v>
      </c>
      <c r="F4" s="109">
        <v>1155</v>
      </c>
      <c r="G4" s="33">
        <f t="shared" si="13"/>
        <v>-0.54610778443113772</v>
      </c>
      <c r="H4" s="33">
        <f t="shared" si="14"/>
        <v>-0.34372294372294371</v>
      </c>
      <c r="I4" s="109">
        <f>4644.64+128.25</f>
        <v>4772.8900000000003</v>
      </c>
      <c r="J4" s="111">
        <v>1946.89</v>
      </c>
      <c r="K4" s="150">
        <f>(I4-J196)/J196</f>
        <v>-0.31633513957942105</v>
      </c>
      <c r="L4" s="110">
        <f t="shared" si="1"/>
        <v>1.451545798684055</v>
      </c>
      <c r="M4" s="111">
        <f t="shared" si="2"/>
        <v>0.15881363283042349</v>
      </c>
      <c r="N4" s="111">
        <f t="shared" si="2"/>
        <v>0.59325385615006498</v>
      </c>
      <c r="O4" s="33">
        <f>(M4-N196)/N196</f>
        <v>-0.33608959324070631</v>
      </c>
      <c r="P4" s="110">
        <f t="shared" si="3"/>
        <v>-0.73230071547946041</v>
      </c>
      <c r="Q4" s="112">
        <v>4625</v>
      </c>
      <c r="R4" s="112">
        <v>2137</v>
      </c>
      <c r="S4" s="33">
        <f>(Q4-R196)/R196</f>
        <v>-0.16531312037538351</v>
      </c>
      <c r="T4" s="110">
        <f t="shared" si="4"/>
        <v>1.1642489471221338</v>
      </c>
      <c r="U4" s="112">
        <v>13</v>
      </c>
      <c r="V4" s="112">
        <v>13</v>
      </c>
      <c r="W4" s="33">
        <f>(U4-V196)/V196</f>
        <v>-0.51851851851851849</v>
      </c>
      <c r="X4" s="110">
        <f t="shared" si="5"/>
        <v>0</v>
      </c>
      <c r="Y4" s="113">
        <f t="shared" si="15"/>
        <v>2.8108108108108108E-3</v>
      </c>
      <c r="Z4" s="266">
        <f t="shared" si="16"/>
        <v>6.0832943378568089E-3</v>
      </c>
      <c r="AA4" s="33">
        <f>(Y4-Z196)/Z196</f>
        <v>-0.42315915915915914</v>
      </c>
      <c r="AB4" s="110">
        <f t="shared" si="6"/>
        <v>-0.53794594594594591</v>
      </c>
      <c r="AC4" s="114">
        <f t="shared" si="17"/>
        <v>58.307692307692307</v>
      </c>
      <c r="AD4" s="114">
        <f t="shared" si="7"/>
        <v>88.84615384615384</v>
      </c>
      <c r="AE4" s="33">
        <f>(AC4-AD196)/AD196</f>
        <v>-5.7300783049286104E-2</v>
      </c>
      <c r="AF4" s="110">
        <f t="shared" si="8"/>
        <v>-0.34372294372294371</v>
      </c>
      <c r="AG4" s="112">
        <f>4072+152</f>
        <v>4224</v>
      </c>
      <c r="AH4" s="112">
        <v>2076</v>
      </c>
      <c r="AI4" s="33">
        <f>(AG4-AH196)/AH196</f>
        <v>-0.16023856858846919</v>
      </c>
      <c r="AJ4" s="110">
        <f t="shared" si="9"/>
        <v>1.0346820809248556</v>
      </c>
      <c r="AK4" s="112">
        <f>52615+2133</f>
        <v>54748</v>
      </c>
      <c r="AL4" s="112">
        <v>28857</v>
      </c>
      <c r="AM4" s="33">
        <f>(AK4-AL196)/AL196</f>
        <v>-0.21808677768573795</v>
      </c>
      <c r="AN4" s="110">
        <f t="shared" si="10"/>
        <v>0.89721731295699481</v>
      </c>
      <c r="AO4" s="110">
        <f t="shared" si="11"/>
        <v>7.7153503324322345E-2</v>
      </c>
      <c r="AP4" s="110">
        <f t="shared" si="18"/>
        <v>7.1940950202723772E-2</v>
      </c>
      <c r="AQ4" s="33">
        <f>(AO4-AP196)/AP196</f>
        <v>7.398290174202822E-2</v>
      </c>
      <c r="AR4" s="110">
        <f t="shared" si="12"/>
        <v>7.2455994908463411E-2</v>
      </c>
      <c r="AS4" s="68"/>
    </row>
    <row r="5" spans="1:45" s="81" customFormat="1" ht="15.75" x14ac:dyDescent="0.25">
      <c r="A5" s="260" t="s">
        <v>17</v>
      </c>
      <c r="B5" s="260" t="s">
        <v>27</v>
      </c>
      <c r="C5" s="261">
        <v>42734</v>
      </c>
      <c r="D5" s="260" t="s">
        <v>228</v>
      </c>
      <c r="E5" s="109"/>
      <c r="F5" s="109"/>
      <c r="G5" s="33" t="e">
        <f t="shared" si="13"/>
        <v>#DIV/0!</v>
      </c>
      <c r="H5" s="33" t="e">
        <f t="shared" si="14"/>
        <v>#DIV/0!</v>
      </c>
      <c r="I5" s="109"/>
      <c r="J5" s="111"/>
      <c r="K5" s="150"/>
      <c r="L5" s="110"/>
      <c r="M5" s="111"/>
      <c r="N5" s="111"/>
      <c r="O5" s="33"/>
      <c r="P5" s="110"/>
      <c r="Q5" s="112"/>
      <c r="R5" s="112"/>
      <c r="S5" s="33"/>
      <c r="T5" s="110"/>
      <c r="U5" s="112"/>
      <c r="V5" s="112"/>
      <c r="W5" s="33"/>
      <c r="X5" s="110"/>
      <c r="Y5" s="113"/>
      <c r="Z5" s="266"/>
      <c r="AA5" s="33"/>
      <c r="AB5" s="110"/>
      <c r="AC5" s="114"/>
      <c r="AD5" s="114"/>
      <c r="AE5" s="33"/>
      <c r="AF5" s="110"/>
      <c r="AG5" s="112"/>
      <c r="AH5" s="112"/>
      <c r="AI5" s="33"/>
      <c r="AJ5" s="110"/>
      <c r="AK5" s="112"/>
      <c r="AL5" s="112"/>
      <c r="AM5" s="33"/>
      <c r="AN5" s="110"/>
      <c r="AO5" s="110"/>
      <c r="AP5" s="110"/>
      <c r="AQ5" s="33"/>
      <c r="AR5" s="110"/>
      <c r="AS5" s="68"/>
    </row>
    <row r="6" spans="1:45" s="81" customFormat="1" ht="15.75" customHeight="1" x14ac:dyDescent="0.3">
      <c r="A6" s="29" t="s">
        <v>17</v>
      </c>
      <c r="B6" s="29" t="s">
        <v>31</v>
      </c>
      <c r="C6" s="30">
        <f t="shared" ref="C6:C37" si="19">C2+7</f>
        <v>42741</v>
      </c>
      <c r="D6" s="31" t="s">
        <v>28</v>
      </c>
      <c r="E6" s="32">
        <f>E7+E8</f>
        <v>6296</v>
      </c>
      <c r="F6" s="32">
        <f>F7+F8</f>
        <v>895</v>
      </c>
      <c r="G6" s="33">
        <f>(E6-E2)/E2</f>
        <v>-0.26782183974880802</v>
      </c>
      <c r="H6" s="33">
        <f t="shared" si="14"/>
        <v>6.03463687150838</v>
      </c>
      <c r="I6" s="32">
        <f>I7+I8</f>
        <v>2017.82</v>
      </c>
      <c r="J6" s="34">
        <f>J7+J8</f>
        <v>1171.48</v>
      </c>
      <c r="K6" s="33">
        <f>(I6-I2)/I2</f>
        <v>-0.62286346551733818</v>
      </c>
      <c r="L6" s="33">
        <f t="shared" si="1"/>
        <v>0.72245364837641268</v>
      </c>
      <c r="M6" s="34">
        <f t="shared" ref="M6:M47" si="20">E6/I6</f>
        <v>3.1201990266723496</v>
      </c>
      <c r="N6" s="34">
        <f t="shared" ref="N6:N47" si="21">F6/J6</f>
        <v>0.76399084918223104</v>
      </c>
      <c r="O6" s="33">
        <f>(M6-M2)/M2</f>
        <v>0.94141403260110956</v>
      </c>
      <c r="P6" s="33">
        <f t="shared" si="3"/>
        <v>3.0840790567219263</v>
      </c>
      <c r="Q6" s="35">
        <f>Q7+Q8</f>
        <v>6991</v>
      </c>
      <c r="R6" s="35">
        <f>R7+R8</f>
        <v>3109</v>
      </c>
      <c r="S6" s="33">
        <f>(Q6-Q2)/Q2</f>
        <v>-0.3017379145025969</v>
      </c>
      <c r="T6" s="33">
        <f t="shared" si="4"/>
        <v>1.2486330009649405</v>
      </c>
      <c r="U6" s="35">
        <f>U7+U8</f>
        <v>65</v>
      </c>
      <c r="V6" s="35">
        <f>V7+V8</f>
        <v>10</v>
      </c>
      <c r="W6" s="33">
        <f>(U6-U2)/U2</f>
        <v>-0.32989690721649484</v>
      </c>
      <c r="X6" s="33">
        <f t="shared" si="5"/>
        <v>5.5</v>
      </c>
      <c r="Y6" s="88">
        <f t="shared" si="15"/>
        <v>9.2976684308396507E-3</v>
      </c>
      <c r="Z6" s="146">
        <f t="shared" si="16"/>
        <v>3.2164683177870698E-3</v>
      </c>
      <c r="AA6" s="33">
        <f>(Y6-Y2)/Y2</f>
        <v>-4.0327254334365195E-2</v>
      </c>
      <c r="AB6" s="33">
        <f t="shared" si="6"/>
        <v>1.8906451151480475</v>
      </c>
      <c r="AC6" s="97">
        <f t="shared" si="17"/>
        <v>96.861538461538458</v>
      </c>
      <c r="AD6" s="145">
        <f t="shared" si="7"/>
        <v>89.5</v>
      </c>
      <c r="AE6" s="33">
        <f>(AC6-AC2)/AC2</f>
        <v>9.2635100682548099E-2</v>
      </c>
      <c r="AF6" s="33">
        <f t="shared" si="8"/>
        <v>8.2251826385904558E-2</v>
      </c>
      <c r="AG6" s="35">
        <f>AG7+AG8</f>
        <v>5323</v>
      </c>
      <c r="AH6" s="35">
        <f>AH7+AH8</f>
        <v>2840</v>
      </c>
      <c r="AI6" s="33">
        <f>(AG6-AG2)/AG2</f>
        <v>-0.34210851563465577</v>
      </c>
      <c r="AJ6" s="33">
        <f t="shared" si="9"/>
        <v>0.87429577464788732</v>
      </c>
      <c r="AK6" s="35">
        <f>AK7+AK8</f>
        <v>30929</v>
      </c>
      <c r="AL6" s="35">
        <f>AL7+AL8</f>
        <v>17219</v>
      </c>
      <c r="AM6" s="150">
        <f>(AK6-AK2)/AK2</f>
        <v>-0.51794703947881116</v>
      </c>
      <c r="AN6" s="267">
        <f t="shared" si="10"/>
        <v>0.79621348510366452</v>
      </c>
      <c r="AO6" s="33">
        <f t="shared" si="11"/>
        <v>0.17210385075495491</v>
      </c>
      <c r="AP6" s="33">
        <f t="shared" si="18"/>
        <v>0.16493408444160521</v>
      </c>
      <c r="AQ6" s="33">
        <f>(AO6-AO2)/AO2</f>
        <v>0.36477013574201717</v>
      </c>
      <c r="AR6" s="33">
        <f t="shared" si="12"/>
        <v>4.3470495123087503E-2</v>
      </c>
      <c r="AS6" s="68"/>
    </row>
    <row r="7" spans="1:45" s="81" customFormat="1" ht="15.75" x14ac:dyDescent="0.25">
      <c r="A7" s="260" t="s">
        <v>17</v>
      </c>
      <c r="B7" s="260" t="s">
        <v>31</v>
      </c>
      <c r="C7" s="261">
        <f t="shared" si="19"/>
        <v>42741</v>
      </c>
      <c r="D7" s="260" t="s">
        <v>29</v>
      </c>
      <c r="E7" s="262">
        <v>5762</v>
      </c>
      <c r="F7" s="262">
        <v>895</v>
      </c>
      <c r="G7" s="33">
        <f t="shared" ref="G7:G70" si="22">(E7-E3)/E3</f>
        <v>-0.265144751944905</v>
      </c>
      <c r="H7" s="33">
        <f t="shared" ref="H7:H70" si="23">(E7-F7)/F7</f>
        <v>5.4379888268156424</v>
      </c>
      <c r="I7" s="262">
        <f>387.69+40.3</f>
        <v>427.99</v>
      </c>
      <c r="J7" s="263">
        <v>677.62</v>
      </c>
      <c r="K7" s="33">
        <f t="shared" ref="K7:K70" si="24">(I7-I3)/I3</f>
        <v>-0.25886610791715731</v>
      </c>
      <c r="L7" s="33">
        <f t="shared" ref="L7:L70" si="25">(I7-J7)/J7</f>
        <v>-0.36839231427643809</v>
      </c>
      <c r="M7" s="111">
        <f t="shared" si="20"/>
        <v>13.462931376901329</v>
      </c>
      <c r="N7" s="111">
        <f t="shared" si="21"/>
        <v>1.3207992680263274</v>
      </c>
      <c r="O7" s="33">
        <f t="shared" ref="O7:O70" si="26">(M7-M3)/M3</f>
        <v>-8.4716730604540956E-3</v>
      </c>
      <c r="P7" s="33">
        <f t="shared" ref="P7:P70" si="27">(M7-N7)/N7</f>
        <v>9.1930185023641098</v>
      </c>
      <c r="Q7" s="264">
        <v>4934</v>
      </c>
      <c r="R7" s="264">
        <v>2450</v>
      </c>
      <c r="S7" s="33">
        <f t="shared" ref="S7:S70" si="28">(Q7-Q3)/Q3</f>
        <v>-8.4091330981993687E-2</v>
      </c>
      <c r="T7" s="33">
        <f t="shared" ref="T7:T70" si="29">(Q7-R7)/R7</f>
        <v>1.0138775510204081</v>
      </c>
      <c r="U7" s="264">
        <v>57</v>
      </c>
      <c r="V7" s="264">
        <v>10</v>
      </c>
      <c r="W7" s="33">
        <f t="shared" ref="W7:W70" si="30">(U7-U3)/U3</f>
        <v>-0.32142857142857145</v>
      </c>
      <c r="X7" s="33">
        <f t="shared" ref="X7:X70" si="31">(U7-V7)/V7</f>
        <v>4.7</v>
      </c>
      <c r="Y7" s="113">
        <f t="shared" si="15"/>
        <v>1.1552492906364006E-2</v>
      </c>
      <c r="Z7" s="113">
        <f t="shared" si="16"/>
        <v>4.0816326530612249E-3</v>
      </c>
      <c r="AA7" s="33">
        <f t="shared" ref="AA7:AA70" si="32">(Y7-Y3)/Y3</f>
        <v>-0.25912762754067975</v>
      </c>
      <c r="AB7" s="33">
        <f t="shared" ref="AB7:AB70" si="33">(Y7-Z7)/Z7</f>
        <v>1.8303607620591811</v>
      </c>
      <c r="AC7" s="114">
        <f t="shared" si="17"/>
        <v>101.08771929824562</v>
      </c>
      <c r="AD7" s="114">
        <f t="shared" si="7"/>
        <v>89.5</v>
      </c>
      <c r="AE7" s="33">
        <f t="shared" ref="AE7:AE70" si="34">(AC7-AC3)/AC3</f>
        <v>8.29445760811926E-2</v>
      </c>
      <c r="AF7" s="33">
        <f t="shared" ref="AF7:AF70" si="35">(AC7-AD7)/AD7</f>
        <v>0.12947172400274432</v>
      </c>
      <c r="AG7" s="264">
        <f>3380+149</f>
        <v>3529</v>
      </c>
      <c r="AH7" s="264">
        <v>2284</v>
      </c>
      <c r="AI7" s="33">
        <f t="shared" ref="AI7:AI70" si="36">(AG7-AG3)/AG3</f>
        <v>-8.7406258081199895E-2</v>
      </c>
      <c r="AJ7" s="33">
        <f t="shared" ref="AJ7:AJ70" si="37">(AG7-AH7)/AH7</f>
        <v>0.54509632224168125</v>
      </c>
      <c r="AK7" s="264">
        <f>7309+641</f>
        <v>7950</v>
      </c>
      <c r="AL7" s="264">
        <v>7398</v>
      </c>
      <c r="AM7" s="150">
        <f t="shared" ref="AM7:AM70" si="38">(AK7-AK3)/AK3</f>
        <v>-0.15542335068522256</v>
      </c>
      <c r="AN7" s="267">
        <f t="shared" ref="AN7:AN70" si="39">(AK7-AL7)/AL7</f>
        <v>7.4614760746147604E-2</v>
      </c>
      <c r="AO7" s="110">
        <f t="shared" si="11"/>
        <v>0.44389937106918237</v>
      </c>
      <c r="AP7" s="110">
        <f t="shared" si="18"/>
        <v>0.30873208975398758</v>
      </c>
      <c r="AQ7" s="33">
        <f t="shared" ref="AQ7:AQ70" si="40">(AO7-AO3)/AO3</f>
        <v>8.0533948764989371E-2</v>
      </c>
      <c r="AR7" s="33">
        <f t="shared" ref="AR7:AR70" si="41">(AO7-AP7)/AP7</f>
        <v>0.43781416250867383</v>
      </c>
      <c r="AS7" s="68"/>
    </row>
    <row r="8" spans="1:45" s="81" customFormat="1" ht="15.75" x14ac:dyDescent="0.25">
      <c r="A8" s="260" t="s">
        <v>17</v>
      </c>
      <c r="B8" s="260" t="s">
        <v>31</v>
      </c>
      <c r="C8" s="261">
        <f t="shared" si="19"/>
        <v>42741</v>
      </c>
      <c r="D8" s="260" t="s">
        <v>30</v>
      </c>
      <c r="E8" s="262">
        <v>534</v>
      </c>
      <c r="F8" s="262">
        <v>0</v>
      </c>
      <c r="G8" s="33">
        <f t="shared" si="22"/>
        <v>-0.29551451187335093</v>
      </c>
      <c r="H8" s="33" t="e">
        <f t="shared" si="23"/>
        <v>#DIV/0!</v>
      </c>
      <c r="I8" s="262">
        <f>1453.7+136.13</f>
        <v>1589.83</v>
      </c>
      <c r="J8" s="263">
        <v>493.86</v>
      </c>
      <c r="K8" s="33">
        <f t="shared" si="24"/>
        <v>-0.66690411888813694</v>
      </c>
      <c r="L8" s="33">
        <f t="shared" si="25"/>
        <v>2.219191673753695</v>
      </c>
      <c r="M8" s="111">
        <f t="shared" si="20"/>
        <v>0.33588496883314573</v>
      </c>
      <c r="N8" s="111">
        <f t="shared" si="21"/>
        <v>0</v>
      </c>
      <c r="O8" s="33">
        <f t="shared" si="26"/>
        <v>1.1149630724195685</v>
      </c>
      <c r="P8" s="33" t="e">
        <f t="shared" si="27"/>
        <v>#DIV/0!</v>
      </c>
      <c r="Q8" s="264">
        <v>2057</v>
      </c>
      <c r="R8" s="264">
        <v>659</v>
      </c>
      <c r="S8" s="33">
        <f t="shared" si="28"/>
        <v>-0.55524324324324326</v>
      </c>
      <c r="T8" s="33">
        <f t="shared" si="29"/>
        <v>2.1213960546282244</v>
      </c>
      <c r="U8" s="264">
        <v>8</v>
      </c>
      <c r="V8" s="264">
        <v>0</v>
      </c>
      <c r="W8" s="33">
        <f t="shared" si="30"/>
        <v>-0.38461538461538464</v>
      </c>
      <c r="X8" s="33" t="e">
        <f t="shared" si="31"/>
        <v>#DIV/0!</v>
      </c>
      <c r="Y8" s="113">
        <f t="shared" si="15"/>
        <v>3.889158969372873E-3</v>
      </c>
      <c r="Z8" s="113">
        <f t="shared" si="16"/>
        <v>0</v>
      </c>
      <c r="AA8" s="33">
        <f t="shared" si="32"/>
        <v>0.38364309487304132</v>
      </c>
      <c r="AB8" s="33" t="e">
        <f t="shared" si="33"/>
        <v>#DIV/0!</v>
      </c>
      <c r="AC8" s="114">
        <f t="shared" si="17"/>
        <v>66.75</v>
      </c>
      <c r="AD8" s="114" t="e">
        <f>F8/V8</f>
        <v>#DIV/0!</v>
      </c>
      <c r="AE8" s="33">
        <f t="shared" si="34"/>
        <v>0.14478891820580478</v>
      </c>
      <c r="AF8" s="33" t="e">
        <f t="shared" si="35"/>
        <v>#DIV/0!</v>
      </c>
      <c r="AG8" s="264">
        <f>1629+165</f>
        <v>1794</v>
      </c>
      <c r="AH8" s="264">
        <v>556</v>
      </c>
      <c r="AI8" s="33">
        <f t="shared" si="36"/>
        <v>-0.57528409090909094</v>
      </c>
      <c r="AJ8" s="33">
        <f t="shared" si="37"/>
        <v>2.2266187050359711</v>
      </c>
      <c r="AK8" s="264">
        <f>20836+2143</f>
        <v>22979</v>
      </c>
      <c r="AL8" s="264">
        <v>9821</v>
      </c>
      <c r="AM8" s="150">
        <f t="shared" si="38"/>
        <v>-0.58027690509242347</v>
      </c>
      <c r="AN8" s="267">
        <f t="shared" si="39"/>
        <v>1.3397820995825271</v>
      </c>
      <c r="AO8" s="110">
        <f t="shared" si="11"/>
        <v>7.8071282475303538E-2</v>
      </c>
      <c r="AP8" s="110">
        <f t="shared" si="18"/>
        <v>5.6613379492923326E-2</v>
      </c>
      <c r="AQ8" s="33">
        <f t="shared" si="40"/>
        <v>1.1895495491931434E-2</v>
      </c>
      <c r="AR8" s="33">
        <f t="shared" si="41"/>
        <v>0.37902529710423755</v>
      </c>
      <c r="AS8" s="68"/>
    </row>
    <row r="9" spans="1:45" s="81" customFormat="1" ht="15.75" x14ac:dyDescent="0.25">
      <c r="A9" s="260" t="s">
        <v>17</v>
      </c>
      <c r="B9" s="260" t="s">
        <v>31</v>
      </c>
      <c r="C9" s="261">
        <f t="shared" si="19"/>
        <v>42741</v>
      </c>
      <c r="D9" s="260" t="s">
        <v>228</v>
      </c>
      <c r="E9" s="262"/>
      <c r="F9" s="262"/>
      <c r="G9" s="33" t="e">
        <f t="shared" si="22"/>
        <v>#DIV/0!</v>
      </c>
      <c r="H9" s="33" t="e">
        <f t="shared" si="23"/>
        <v>#DIV/0!</v>
      </c>
      <c r="I9" s="262"/>
      <c r="J9" s="263"/>
      <c r="K9" s="33" t="e">
        <f t="shared" si="24"/>
        <v>#DIV/0!</v>
      </c>
      <c r="L9" s="33" t="e">
        <f t="shared" si="25"/>
        <v>#DIV/0!</v>
      </c>
      <c r="M9" s="111"/>
      <c r="N9" s="111"/>
      <c r="O9" s="33" t="e">
        <f t="shared" si="26"/>
        <v>#DIV/0!</v>
      </c>
      <c r="P9" s="33" t="e">
        <f t="shared" si="27"/>
        <v>#DIV/0!</v>
      </c>
      <c r="Q9" s="264"/>
      <c r="R9" s="264"/>
      <c r="S9" s="33" t="e">
        <f t="shared" si="28"/>
        <v>#DIV/0!</v>
      </c>
      <c r="T9" s="33" t="e">
        <f t="shared" si="29"/>
        <v>#DIV/0!</v>
      </c>
      <c r="U9" s="264"/>
      <c r="V9" s="264"/>
      <c r="W9" s="33" t="e">
        <f t="shared" si="30"/>
        <v>#DIV/0!</v>
      </c>
      <c r="X9" s="33" t="e">
        <f t="shared" si="31"/>
        <v>#DIV/0!</v>
      </c>
      <c r="Y9" s="113"/>
      <c r="Z9" s="113"/>
      <c r="AA9" s="33" t="e">
        <f t="shared" si="32"/>
        <v>#DIV/0!</v>
      </c>
      <c r="AB9" s="33" t="e">
        <f t="shared" si="33"/>
        <v>#DIV/0!</v>
      </c>
      <c r="AC9" s="114"/>
      <c r="AD9" s="114"/>
      <c r="AE9" s="33" t="e">
        <f t="shared" si="34"/>
        <v>#DIV/0!</v>
      </c>
      <c r="AF9" s="33" t="e">
        <f t="shared" si="35"/>
        <v>#DIV/0!</v>
      </c>
      <c r="AG9" s="264"/>
      <c r="AH9" s="264"/>
      <c r="AI9" s="33" t="e">
        <f t="shared" si="36"/>
        <v>#DIV/0!</v>
      </c>
      <c r="AJ9" s="33" t="e">
        <f t="shared" si="37"/>
        <v>#DIV/0!</v>
      </c>
      <c r="AK9" s="264"/>
      <c r="AL9" s="264"/>
      <c r="AM9" s="150" t="e">
        <f t="shared" si="38"/>
        <v>#DIV/0!</v>
      </c>
      <c r="AN9" s="267" t="e">
        <f t="shared" si="39"/>
        <v>#DIV/0!</v>
      </c>
      <c r="AO9" s="110"/>
      <c r="AP9" s="110"/>
      <c r="AQ9" s="33" t="e">
        <f t="shared" si="40"/>
        <v>#DIV/0!</v>
      </c>
      <c r="AR9" s="33" t="e">
        <f t="shared" si="41"/>
        <v>#DIV/0!</v>
      </c>
      <c r="AS9" s="68"/>
    </row>
    <row r="10" spans="1:45" s="81" customFormat="1" ht="15.75" customHeight="1" x14ac:dyDescent="0.3">
      <c r="A10" s="29" t="s">
        <v>17</v>
      </c>
      <c r="B10" s="29" t="s">
        <v>32</v>
      </c>
      <c r="C10" s="30">
        <f t="shared" si="19"/>
        <v>42748</v>
      </c>
      <c r="D10" s="31" t="s">
        <v>28</v>
      </c>
      <c r="E10" s="32">
        <f>E11+E12</f>
        <v>10562</v>
      </c>
      <c r="F10" s="32">
        <f>F11+F12</f>
        <v>1114</v>
      </c>
      <c r="G10" s="33">
        <f t="shared" si="22"/>
        <v>0.67757306226175351</v>
      </c>
      <c r="H10" s="33">
        <f t="shared" si="23"/>
        <v>8.4811490125673252</v>
      </c>
      <c r="I10" s="32">
        <f>I11+I12</f>
        <v>1486.73</v>
      </c>
      <c r="J10" s="34">
        <f>J11+J12</f>
        <v>1131.1300000000001</v>
      </c>
      <c r="K10" s="33">
        <f t="shared" si="24"/>
        <v>-0.26319988898910701</v>
      </c>
      <c r="L10" s="33">
        <f t="shared" si="25"/>
        <v>0.31437588959712842</v>
      </c>
      <c r="M10" s="34">
        <f t="shared" si="20"/>
        <v>7.1041816604225376</v>
      </c>
      <c r="N10" s="34">
        <f t="shared" si="21"/>
        <v>0.98485585211248916</v>
      </c>
      <c r="O10" s="33">
        <f t="shared" si="26"/>
        <v>1.2768360606788125</v>
      </c>
      <c r="P10" s="33">
        <f t="shared" si="27"/>
        <v>6.2134228021128779</v>
      </c>
      <c r="Q10" s="35">
        <f>Q11+Q12</f>
        <v>6293</v>
      </c>
      <c r="R10" s="35">
        <f>R11+R12</f>
        <v>3045</v>
      </c>
      <c r="S10" s="33">
        <f t="shared" si="28"/>
        <v>-9.9842654841939632E-2</v>
      </c>
      <c r="T10" s="33">
        <f t="shared" si="29"/>
        <v>1.0666666666666667</v>
      </c>
      <c r="U10" s="35">
        <f>U11+U12</f>
        <v>100</v>
      </c>
      <c r="V10" s="35">
        <f>V11+V12</f>
        <v>18</v>
      </c>
      <c r="W10" s="33">
        <f t="shared" si="30"/>
        <v>0.53846153846153844</v>
      </c>
      <c r="X10" s="33">
        <f t="shared" si="31"/>
        <v>4.5555555555555554</v>
      </c>
      <c r="Y10" s="88">
        <f t="shared" si="15"/>
        <v>1.589067217543302E-2</v>
      </c>
      <c r="Z10" s="88">
        <f t="shared" si="16"/>
        <v>5.9113300492610842E-3</v>
      </c>
      <c r="AA10" s="33">
        <f t="shared" si="32"/>
        <v>0.70910291043772689</v>
      </c>
      <c r="AB10" s="33">
        <f t="shared" si="33"/>
        <v>1.6881720430107525</v>
      </c>
      <c r="AC10" s="97">
        <f t="shared" si="17"/>
        <v>105.62</v>
      </c>
      <c r="AD10" s="145">
        <f t="shared" si="7"/>
        <v>61.888888888888886</v>
      </c>
      <c r="AE10" s="33">
        <f t="shared" si="34"/>
        <v>9.0422490470139852E-2</v>
      </c>
      <c r="AF10" s="33">
        <f t="shared" si="35"/>
        <v>0.70660682226211868</v>
      </c>
      <c r="AG10" s="35">
        <f>AG11+AG12</f>
        <v>4685</v>
      </c>
      <c r="AH10" s="35">
        <f>AH11+AH12</f>
        <v>2760</v>
      </c>
      <c r="AI10" s="33">
        <f t="shared" si="36"/>
        <v>-0.11985722337027992</v>
      </c>
      <c r="AJ10" s="33">
        <f t="shared" si="37"/>
        <v>0.69746376811594202</v>
      </c>
      <c r="AK10" s="35">
        <f>AK11+AK12</f>
        <v>22529</v>
      </c>
      <c r="AL10" s="35">
        <f>AL11+AL12</f>
        <v>17259</v>
      </c>
      <c r="AM10" s="150">
        <f t="shared" si="38"/>
        <v>-0.27158977011865887</v>
      </c>
      <c r="AN10" s="267">
        <f t="shared" si="39"/>
        <v>0.30534793441103192</v>
      </c>
      <c r="AO10" s="33">
        <f t="shared" si="11"/>
        <v>0.20795419237427315</v>
      </c>
      <c r="AP10" s="33">
        <f t="shared" si="18"/>
        <v>0.15991656527029377</v>
      </c>
      <c r="AQ10" s="33">
        <f t="shared" si="40"/>
        <v>0.20830644673001952</v>
      </c>
      <c r="AR10" s="33">
        <f t="shared" si="41"/>
        <v>0.30039181383607971</v>
      </c>
      <c r="AS10" s="68" t="s">
        <v>131</v>
      </c>
    </row>
    <row r="11" spans="1:45" s="81" customFormat="1" ht="15.75" x14ac:dyDescent="0.25">
      <c r="A11" s="260" t="s">
        <v>17</v>
      </c>
      <c r="B11" s="260" t="s">
        <v>32</v>
      </c>
      <c r="C11" s="261">
        <f t="shared" si="19"/>
        <v>42748</v>
      </c>
      <c r="D11" s="260" t="s">
        <v>29</v>
      </c>
      <c r="E11" s="262">
        <v>10381</v>
      </c>
      <c r="F11" s="262">
        <v>1069</v>
      </c>
      <c r="G11" s="33">
        <f t="shared" si="22"/>
        <v>0.80163137799375217</v>
      </c>
      <c r="H11" s="33">
        <f t="shared" si="23"/>
        <v>8.7109448082319929</v>
      </c>
      <c r="I11" s="262">
        <f>303.77+22.28</f>
        <v>326.04999999999995</v>
      </c>
      <c r="J11" s="263">
        <v>637.34</v>
      </c>
      <c r="K11" s="33">
        <f t="shared" si="24"/>
        <v>-0.23818313511997957</v>
      </c>
      <c r="L11" s="33">
        <f t="shared" si="25"/>
        <v>-0.48842062321523844</v>
      </c>
      <c r="M11" s="111">
        <f t="shared" si="20"/>
        <v>31.838675049838987</v>
      </c>
      <c r="N11" s="111">
        <f t="shared" si="21"/>
        <v>1.6772837104214391</v>
      </c>
      <c r="O11" s="33">
        <f t="shared" si="26"/>
        <v>1.3649140115551179</v>
      </c>
      <c r="P11" s="33">
        <f t="shared" si="27"/>
        <v>17.982283588647689</v>
      </c>
      <c r="Q11" s="264">
        <v>4950</v>
      </c>
      <c r="R11" s="264">
        <v>2458</v>
      </c>
      <c r="S11" s="33">
        <f t="shared" si="28"/>
        <v>3.2428050263477908E-3</v>
      </c>
      <c r="T11" s="33">
        <f t="shared" si="29"/>
        <v>1.0138323840520749</v>
      </c>
      <c r="U11" s="264">
        <v>97</v>
      </c>
      <c r="V11" s="264">
        <v>17</v>
      </c>
      <c r="W11" s="33">
        <f t="shared" si="30"/>
        <v>0.70175438596491224</v>
      </c>
      <c r="X11" s="33">
        <f t="shared" si="31"/>
        <v>4.7058823529411766</v>
      </c>
      <c r="Y11" s="113">
        <f t="shared" si="15"/>
        <v>1.9595959595959597E-2</v>
      </c>
      <c r="Z11" s="113">
        <f t="shared" si="16"/>
        <v>6.916192026037429E-3</v>
      </c>
      <c r="AA11" s="33">
        <f t="shared" si="32"/>
        <v>0.6962537657274499</v>
      </c>
      <c r="AB11" s="33">
        <f t="shared" si="33"/>
        <v>1.8333452168746287</v>
      </c>
      <c r="AC11" s="114">
        <f t="shared" si="17"/>
        <v>107.02061855670104</v>
      </c>
      <c r="AD11" s="114">
        <f t="shared" si="7"/>
        <v>62.882352941176471</v>
      </c>
      <c r="AE11" s="33">
        <f t="shared" si="34"/>
        <v>5.8690603563338946E-2</v>
      </c>
      <c r="AF11" s="33">
        <f t="shared" si="35"/>
        <v>0.70191816226746273</v>
      </c>
      <c r="AG11" s="264">
        <f>3314+145</f>
        <v>3459</v>
      </c>
      <c r="AH11" s="264">
        <v>2214</v>
      </c>
      <c r="AI11" s="33">
        <f t="shared" si="36"/>
        <v>-1.9835647492207426E-2</v>
      </c>
      <c r="AJ11" s="33">
        <f t="shared" si="37"/>
        <v>0.56233062330623307</v>
      </c>
      <c r="AK11" s="264">
        <f>5960+398</f>
        <v>6358</v>
      </c>
      <c r="AL11" s="264">
        <v>7450</v>
      </c>
      <c r="AM11" s="150">
        <f t="shared" si="38"/>
        <v>-0.20025157232704402</v>
      </c>
      <c r="AN11" s="267">
        <f t="shared" si="39"/>
        <v>-0.14657718120805369</v>
      </c>
      <c r="AO11" s="110">
        <f t="shared" si="11"/>
        <v>0.54403900597672228</v>
      </c>
      <c r="AP11" s="110">
        <f t="shared" si="18"/>
        <v>0.29718120805369125</v>
      </c>
      <c r="AQ11" s="33">
        <f t="shared" si="40"/>
        <v>0.22559084656133249</v>
      </c>
      <c r="AR11" s="33">
        <f t="shared" si="41"/>
        <v>0.83066422517009098</v>
      </c>
      <c r="AS11" s="68"/>
    </row>
    <row r="12" spans="1:45" s="81" customFormat="1" ht="15.75" x14ac:dyDescent="0.25">
      <c r="A12" s="260" t="s">
        <v>17</v>
      </c>
      <c r="B12" s="260" t="s">
        <v>32</v>
      </c>
      <c r="C12" s="261">
        <f t="shared" si="19"/>
        <v>42748</v>
      </c>
      <c r="D12" s="260" t="s">
        <v>30</v>
      </c>
      <c r="E12" s="262">
        <v>181</v>
      </c>
      <c r="F12" s="262">
        <v>45</v>
      </c>
      <c r="G12" s="33">
        <f t="shared" si="22"/>
        <v>-0.66104868913857673</v>
      </c>
      <c r="H12" s="33">
        <f t="shared" si="23"/>
        <v>3.0222222222222221</v>
      </c>
      <c r="I12" s="262">
        <f>1009.13+151.55</f>
        <v>1160.68</v>
      </c>
      <c r="J12" s="263">
        <v>493.79</v>
      </c>
      <c r="K12" s="33">
        <f t="shared" si="24"/>
        <v>-0.26993452130101953</v>
      </c>
      <c r="L12" s="33">
        <f t="shared" si="25"/>
        <v>1.3505538791794085</v>
      </c>
      <c r="M12" s="111">
        <f t="shared" si="20"/>
        <v>0.15594306785677362</v>
      </c>
      <c r="N12" s="111">
        <f t="shared" si="21"/>
        <v>9.1131857672289832E-2</v>
      </c>
      <c r="O12" s="33">
        <f t="shared" si="26"/>
        <v>-0.53572477983008548</v>
      </c>
      <c r="P12" s="33">
        <f t="shared" si="27"/>
        <v>0.71118061059991666</v>
      </c>
      <c r="Q12" s="264">
        <v>1343</v>
      </c>
      <c r="R12" s="264">
        <v>587</v>
      </c>
      <c r="S12" s="33">
        <f t="shared" si="28"/>
        <v>-0.34710743801652894</v>
      </c>
      <c r="T12" s="33">
        <f t="shared" si="29"/>
        <v>1.2879045996592844</v>
      </c>
      <c r="U12" s="264">
        <v>3</v>
      </c>
      <c r="V12" s="264">
        <v>1</v>
      </c>
      <c r="W12" s="33">
        <f t="shared" si="30"/>
        <v>-0.625</v>
      </c>
      <c r="X12" s="33">
        <f t="shared" si="31"/>
        <v>2</v>
      </c>
      <c r="Y12" s="113">
        <f t="shared" si="15"/>
        <v>2.2338049143708115E-3</v>
      </c>
      <c r="Z12" s="113">
        <f t="shared" si="16"/>
        <v>1.7035775127768314E-3</v>
      </c>
      <c r="AA12" s="33">
        <f t="shared" si="32"/>
        <v>-0.42563291139240506</v>
      </c>
      <c r="AB12" s="33">
        <f t="shared" si="33"/>
        <v>0.31124348473566638</v>
      </c>
      <c r="AC12" s="114">
        <f t="shared" si="17"/>
        <v>60.333333333333336</v>
      </c>
      <c r="AD12" s="114">
        <f t="shared" si="7"/>
        <v>45</v>
      </c>
      <c r="AE12" s="33">
        <f t="shared" si="34"/>
        <v>-9.6129837702871382E-2</v>
      </c>
      <c r="AF12" s="33">
        <f t="shared" si="35"/>
        <v>0.34074074074074079</v>
      </c>
      <c r="AG12" s="264">
        <f>1044+182</f>
        <v>1226</v>
      </c>
      <c r="AH12" s="264">
        <v>546</v>
      </c>
      <c r="AI12" s="33">
        <f t="shared" si="36"/>
        <v>-0.31661092530657747</v>
      </c>
      <c r="AJ12" s="33">
        <f t="shared" si="37"/>
        <v>1.2454212454212454</v>
      </c>
      <c r="AK12" s="264">
        <f>14201+1970</f>
        <v>16171</v>
      </c>
      <c r="AL12" s="264">
        <v>9809</v>
      </c>
      <c r="AM12" s="150">
        <f t="shared" si="38"/>
        <v>-0.29627050785499803</v>
      </c>
      <c r="AN12" s="267">
        <f t="shared" si="39"/>
        <v>0.64858803139973498</v>
      </c>
      <c r="AO12" s="110">
        <f t="shared" si="11"/>
        <v>7.5814730072351746E-2</v>
      </c>
      <c r="AP12" s="110">
        <f t="shared" si="18"/>
        <v>5.5663166479763486E-2</v>
      </c>
      <c r="AQ12" s="33">
        <f t="shared" si="40"/>
        <v>-2.890374451919132E-2</v>
      </c>
      <c r="AR12" s="33">
        <f t="shared" si="41"/>
        <v>0.36202689977966712</v>
      </c>
      <c r="AS12" s="68"/>
    </row>
    <row r="13" spans="1:45" s="81" customFormat="1" ht="15.75" x14ac:dyDescent="0.25">
      <c r="A13" s="260" t="s">
        <v>17</v>
      </c>
      <c r="B13" s="260" t="s">
        <v>32</v>
      </c>
      <c r="C13" s="261">
        <f t="shared" si="19"/>
        <v>42748</v>
      </c>
      <c r="D13" s="260" t="s">
        <v>228</v>
      </c>
      <c r="E13" s="262"/>
      <c r="F13" s="262"/>
      <c r="G13" s="33" t="e">
        <f t="shared" si="22"/>
        <v>#DIV/0!</v>
      </c>
      <c r="H13" s="33" t="e">
        <f t="shared" si="23"/>
        <v>#DIV/0!</v>
      </c>
      <c r="I13" s="262"/>
      <c r="J13" s="263"/>
      <c r="K13" s="33" t="e">
        <f t="shared" si="24"/>
        <v>#DIV/0!</v>
      </c>
      <c r="L13" s="33" t="e">
        <f t="shared" si="25"/>
        <v>#DIV/0!</v>
      </c>
      <c r="M13" s="111"/>
      <c r="N13" s="111"/>
      <c r="O13" s="33" t="e">
        <f t="shared" si="26"/>
        <v>#DIV/0!</v>
      </c>
      <c r="P13" s="33" t="e">
        <f t="shared" si="27"/>
        <v>#DIV/0!</v>
      </c>
      <c r="Q13" s="264"/>
      <c r="R13" s="264"/>
      <c r="S13" s="33" t="e">
        <f t="shared" si="28"/>
        <v>#DIV/0!</v>
      </c>
      <c r="T13" s="33" t="e">
        <f t="shared" si="29"/>
        <v>#DIV/0!</v>
      </c>
      <c r="U13" s="264"/>
      <c r="V13" s="264"/>
      <c r="W13" s="33" t="e">
        <f t="shared" si="30"/>
        <v>#DIV/0!</v>
      </c>
      <c r="X13" s="33" t="e">
        <f t="shared" si="31"/>
        <v>#DIV/0!</v>
      </c>
      <c r="Y13" s="113"/>
      <c r="Z13" s="113"/>
      <c r="AA13" s="33" t="e">
        <f t="shared" si="32"/>
        <v>#DIV/0!</v>
      </c>
      <c r="AB13" s="33" t="e">
        <f t="shared" si="33"/>
        <v>#DIV/0!</v>
      </c>
      <c r="AC13" s="114"/>
      <c r="AD13" s="114"/>
      <c r="AE13" s="33" t="e">
        <f t="shared" si="34"/>
        <v>#DIV/0!</v>
      </c>
      <c r="AF13" s="33" t="e">
        <f t="shared" si="35"/>
        <v>#DIV/0!</v>
      </c>
      <c r="AG13" s="264"/>
      <c r="AH13" s="264"/>
      <c r="AI13" s="33" t="e">
        <f t="shared" si="36"/>
        <v>#DIV/0!</v>
      </c>
      <c r="AJ13" s="33" t="e">
        <f t="shared" si="37"/>
        <v>#DIV/0!</v>
      </c>
      <c r="AK13" s="264"/>
      <c r="AL13" s="264"/>
      <c r="AM13" s="150" t="e">
        <f t="shared" si="38"/>
        <v>#DIV/0!</v>
      </c>
      <c r="AN13" s="267" t="e">
        <f t="shared" si="39"/>
        <v>#DIV/0!</v>
      </c>
      <c r="AO13" s="110"/>
      <c r="AP13" s="110"/>
      <c r="AQ13" s="33" t="e">
        <f t="shared" si="40"/>
        <v>#DIV/0!</v>
      </c>
      <c r="AR13" s="33" t="e">
        <f t="shared" si="41"/>
        <v>#DIV/0!</v>
      </c>
      <c r="AS13" s="68"/>
    </row>
    <row r="14" spans="1:45" s="81" customFormat="1" ht="15.75" customHeight="1" x14ac:dyDescent="0.3">
      <c r="A14" s="29" t="s">
        <v>17</v>
      </c>
      <c r="B14" s="29" t="s">
        <v>33</v>
      </c>
      <c r="C14" s="30">
        <f t="shared" si="19"/>
        <v>42755</v>
      </c>
      <c r="D14" s="31" t="s">
        <v>28</v>
      </c>
      <c r="E14" s="32">
        <f>E15+E16</f>
        <v>10903</v>
      </c>
      <c r="F14" s="32">
        <f>F15+F16</f>
        <v>4687</v>
      </c>
      <c r="G14" s="33">
        <f t="shared" si="22"/>
        <v>3.2285551978791897E-2</v>
      </c>
      <c r="H14" s="33">
        <f t="shared" si="23"/>
        <v>1.3262214636227865</v>
      </c>
      <c r="I14" s="32">
        <f>I15+I16</f>
        <v>1231.55</v>
      </c>
      <c r="J14" s="34">
        <f>J15+J16</f>
        <v>1428.1799999999998</v>
      </c>
      <c r="K14" s="33">
        <f t="shared" si="24"/>
        <v>-0.17163842795934706</v>
      </c>
      <c r="L14" s="33">
        <f t="shared" si="25"/>
        <v>-0.13767872397036782</v>
      </c>
      <c r="M14" s="34">
        <f t="shared" si="20"/>
        <v>8.853071332873208</v>
      </c>
      <c r="N14" s="34">
        <f t="shared" si="21"/>
        <v>3.2817992129843581</v>
      </c>
      <c r="O14" s="33">
        <f t="shared" si="26"/>
        <v>0.24617749883758619</v>
      </c>
      <c r="P14" s="33">
        <f t="shared" si="27"/>
        <v>1.6976273557036177</v>
      </c>
      <c r="Q14" s="35">
        <f>Q15+Q16</f>
        <v>5675</v>
      </c>
      <c r="R14" s="35">
        <f>R15+R16</f>
        <v>3381</v>
      </c>
      <c r="S14" s="33">
        <f t="shared" si="28"/>
        <v>-9.8204354044176073E-2</v>
      </c>
      <c r="T14" s="33">
        <f t="shared" si="29"/>
        <v>0.67849748595090209</v>
      </c>
      <c r="U14" s="35">
        <f>U15+U16</f>
        <v>94</v>
      </c>
      <c r="V14" s="35">
        <f>V15+V16</f>
        <v>43</v>
      </c>
      <c r="W14" s="33">
        <f t="shared" si="30"/>
        <v>-0.06</v>
      </c>
      <c r="X14" s="33">
        <f t="shared" si="31"/>
        <v>1.1860465116279071</v>
      </c>
      <c r="Y14" s="88">
        <f t="shared" si="15"/>
        <v>1.6563876651982379E-2</v>
      </c>
      <c r="Z14" s="88">
        <f t="shared" si="16"/>
        <v>1.2718130730553091E-2</v>
      </c>
      <c r="AA14" s="33">
        <f t="shared" si="32"/>
        <v>4.2364757709251175E-2</v>
      </c>
      <c r="AB14" s="33">
        <f t="shared" si="33"/>
        <v>0.30238295256633541</v>
      </c>
      <c r="AC14" s="97">
        <f t="shared" si="17"/>
        <v>115.98936170212765</v>
      </c>
      <c r="AD14" s="145">
        <f t="shared" si="7"/>
        <v>109</v>
      </c>
      <c r="AE14" s="33">
        <f t="shared" si="34"/>
        <v>9.8176119126374251E-2</v>
      </c>
      <c r="AF14" s="33">
        <f t="shared" si="35"/>
        <v>6.412258442318948E-2</v>
      </c>
      <c r="AG14" s="35">
        <f>AG15+AG16</f>
        <v>4178</v>
      </c>
      <c r="AH14" s="35">
        <f>AH15+AH16</f>
        <v>3212</v>
      </c>
      <c r="AI14" s="33">
        <f t="shared" si="36"/>
        <v>-0.10821771611526147</v>
      </c>
      <c r="AJ14" s="33">
        <f t="shared" si="37"/>
        <v>0.30074719800747196</v>
      </c>
      <c r="AK14" s="35">
        <f>AK15+AK16</f>
        <v>18893</v>
      </c>
      <c r="AL14" s="35">
        <f>AL15+AL16</f>
        <v>22283</v>
      </c>
      <c r="AM14" s="150">
        <f t="shared" si="38"/>
        <v>-0.16139198366549781</v>
      </c>
      <c r="AN14" s="267">
        <f t="shared" si="39"/>
        <v>-0.15213391374590496</v>
      </c>
      <c r="AO14" s="33">
        <f t="shared" si="11"/>
        <v>0.22114010480071986</v>
      </c>
      <c r="AP14" s="33">
        <f t="shared" si="18"/>
        <v>0.14414576134272764</v>
      </c>
      <c r="AQ14" s="33">
        <f t="shared" si="40"/>
        <v>6.3407773971273812E-2</v>
      </c>
      <c r="AR14" s="33">
        <f t="shared" si="41"/>
        <v>0.53414226502940243</v>
      </c>
      <c r="AS14" s="68" t="s">
        <v>129</v>
      </c>
    </row>
    <row r="15" spans="1:45" s="81" customFormat="1" ht="15.75" x14ac:dyDescent="0.25">
      <c r="A15" s="260" t="s">
        <v>17</v>
      </c>
      <c r="B15" s="260" t="s">
        <v>33</v>
      </c>
      <c r="C15" s="261">
        <f t="shared" si="19"/>
        <v>42755</v>
      </c>
      <c r="D15" s="260" t="s">
        <v>29</v>
      </c>
      <c r="E15" s="262">
        <v>10327</v>
      </c>
      <c r="F15" s="262">
        <v>3391</v>
      </c>
      <c r="G15" s="33">
        <f t="shared" si="22"/>
        <v>-5.2018110008669686E-3</v>
      </c>
      <c r="H15" s="33">
        <f t="shared" si="23"/>
        <v>2.045414332055441</v>
      </c>
      <c r="I15" s="262">
        <f>320.47+29.29</f>
        <v>349.76000000000005</v>
      </c>
      <c r="J15" s="263">
        <v>764.88</v>
      </c>
      <c r="K15" s="33">
        <f t="shared" si="24"/>
        <v>7.2718908142923158E-2</v>
      </c>
      <c r="L15" s="33">
        <f t="shared" si="25"/>
        <v>-0.54272565631210123</v>
      </c>
      <c r="M15" s="111">
        <f t="shared" si="20"/>
        <v>29.525960658737414</v>
      </c>
      <c r="N15" s="111">
        <f t="shared" si="21"/>
        <v>4.4333751699613009</v>
      </c>
      <c r="O15" s="33">
        <f t="shared" si="26"/>
        <v>-7.2638524922326128E-2</v>
      </c>
      <c r="P15" s="33">
        <f t="shared" si="27"/>
        <v>5.6599282773975448</v>
      </c>
      <c r="Q15" s="264">
        <v>4624</v>
      </c>
      <c r="R15" s="264">
        <v>2591</v>
      </c>
      <c r="S15" s="33">
        <f t="shared" si="28"/>
        <v>-6.5858585858585852E-2</v>
      </c>
      <c r="T15" s="33">
        <f t="shared" si="29"/>
        <v>0.78463913546893094</v>
      </c>
      <c r="U15" s="264">
        <v>90</v>
      </c>
      <c r="V15" s="264">
        <v>30</v>
      </c>
      <c r="W15" s="33">
        <f t="shared" si="30"/>
        <v>-7.2164948453608241E-2</v>
      </c>
      <c r="X15" s="33">
        <f t="shared" si="31"/>
        <v>2</v>
      </c>
      <c r="Y15" s="113">
        <f t="shared" si="15"/>
        <v>1.9463667820069204E-2</v>
      </c>
      <c r="Z15" s="113">
        <f t="shared" si="16"/>
        <v>1.1578541103820918E-2</v>
      </c>
      <c r="AA15" s="33">
        <f t="shared" si="32"/>
        <v>-6.7509720686334696E-3</v>
      </c>
      <c r="AB15" s="33">
        <f t="shared" si="33"/>
        <v>0.68101211072664358</v>
      </c>
      <c r="AC15" s="114">
        <f t="shared" si="17"/>
        <v>114.74444444444444</v>
      </c>
      <c r="AD15" s="114">
        <f t="shared" si="7"/>
        <v>113.03333333333333</v>
      </c>
      <c r="AE15" s="33">
        <f t="shared" si="34"/>
        <v>7.2171381476843266E-2</v>
      </c>
      <c r="AF15" s="33">
        <f t="shared" si="35"/>
        <v>1.5138110685146935E-2</v>
      </c>
      <c r="AG15" s="264">
        <f>3136+139</f>
        <v>3275</v>
      </c>
      <c r="AH15" s="264">
        <v>2485</v>
      </c>
      <c r="AI15" s="33">
        <f t="shared" si="36"/>
        <v>-5.3194564903151199E-2</v>
      </c>
      <c r="AJ15" s="33">
        <f t="shared" si="37"/>
        <v>0.31790744466800802</v>
      </c>
      <c r="AK15" s="264">
        <f>6718+410</f>
        <v>7128</v>
      </c>
      <c r="AL15" s="264">
        <v>8838</v>
      </c>
      <c r="AM15" s="150">
        <f t="shared" si="38"/>
        <v>0.12110726643598616</v>
      </c>
      <c r="AN15" s="267">
        <f t="shared" si="39"/>
        <v>-0.19348268839103869</v>
      </c>
      <c r="AO15" s="110">
        <f t="shared" si="11"/>
        <v>0.4594556677890011</v>
      </c>
      <c r="AP15" s="110">
        <f t="shared" si="18"/>
        <v>0.2811722109074451</v>
      </c>
      <c r="AQ15" s="33">
        <f t="shared" si="40"/>
        <v>-0.15547292980558866</v>
      </c>
      <c r="AR15" s="33">
        <f t="shared" si="41"/>
        <v>0.63407210942422221</v>
      </c>
      <c r="AS15" s="68"/>
    </row>
    <row r="16" spans="1:45" s="81" customFormat="1" ht="15.75" x14ac:dyDescent="0.25">
      <c r="A16" s="260" t="s">
        <v>17</v>
      </c>
      <c r="B16" s="260" t="s">
        <v>33</v>
      </c>
      <c r="C16" s="261">
        <f t="shared" si="19"/>
        <v>42755</v>
      </c>
      <c r="D16" s="260" t="s">
        <v>30</v>
      </c>
      <c r="E16" s="262">
        <v>576</v>
      </c>
      <c r="F16" s="262">
        <v>1296</v>
      </c>
      <c r="G16" s="33">
        <f t="shared" si="22"/>
        <v>2.1823204419889501</v>
      </c>
      <c r="H16" s="33">
        <f t="shared" si="23"/>
        <v>-0.55555555555555558</v>
      </c>
      <c r="I16" s="262">
        <f>714.16+167.63</f>
        <v>881.79</v>
      </c>
      <c r="J16" s="263">
        <v>663.3</v>
      </c>
      <c r="K16" s="33">
        <f t="shared" si="24"/>
        <v>-0.24028155908605309</v>
      </c>
      <c r="L16" s="33">
        <f t="shared" si="25"/>
        <v>0.32939846223428315</v>
      </c>
      <c r="M16" s="111">
        <f t="shared" si="20"/>
        <v>0.65321675228795972</v>
      </c>
      <c r="N16" s="111">
        <f t="shared" si="21"/>
        <v>1.9538670284938944</v>
      </c>
      <c r="O16" s="33">
        <f t="shared" si="26"/>
        <v>3.188815580362371</v>
      </c>
      <c r="P16" s="33">
        <f t="shared" si="27"/>
        <v>-0.66568003719706514</v>
      </c>
      <c r="Q16" s="264">
        <v>1051</v>
      </c>
      <c r="R16" s="264">
        <v>790</v>
      </c>
      <c r="S16" s="33">
        <f t="shared" si="28"/>
        <v>-0.21742367833209233</v>
      </c>
      <c r="T16" s="33">
        <f t="shared" si="29"/>
        <v>0.33037974683544302</v>
      </c>
      <c r="U16" s="264">
        <v>4</v>
      </c>
      <c r="V16" s="264">
        <v>13</v>
      </c>
      <c r="W16" s="33">
        <f t="shared" si="30"/>
        <v>0.33333333333333331</v>
      </c>
      <c r="X16" s="33">
        <f t="shared" si="31"/>
        <v>-0.69230769230769229</v>
      </c>
      <c r="Y16" s="113">
        <f t="shared" si="15"/>
        <v>3.8058991436726928E-3</v>
      </c>
      <c r="Z16" s="113">
        <f t="shared" si="16"/>
        <v>1.6455696202531647E-2</v>
      </c>
      <c r="AA16" s="33">
        <f t="shared" si="32"/>
        <v>0.70377418331747554</v>
      </c>
      <c r="AB16" s="33">
        <f t="shared" si="33"/>
        <v>-0.76871843665373629</v>
      </c>
      <c r="AC16" s="114">
        <f t="shared" si="17"/>
        <v>144</v>
      </c>
      <c r="AD16" s="114">
        <f t="shared" si="7"/>
        <v>99.692307692307693</v>
      </c>
      <c r="AE16" s="33">
        <f t="shared" si="34"/>
        <v>1.3867403314917124</v>
      </c>
      <c r="AF16" s="33">
        <f t="shared" si="35"/>
        <v>0.44444444444444442</v>
      </c>
      <c r="AG16" s="264">
        <f>723+180</f>
        <v>903</v>
      </c>
      <c r="AH16" s="264">
        <v>727</v>
      </c>
      <c r="AI16" s="33">
        <f t="shared" si="36"/>
        <v>-0.2634584013050571</v>
      </c>
      <c r="AJ16" s="33">
        <f t="shared" si="37"/>
        <v>0.24209078404401652</v>
      </c>
      <c r="AK16" s="264">
        <f>9658+2107</f>
        <v>11765</v>
      </c>
      <c r="AL16" s="264">
        <v>13445</v>
      </c>
      <c r="AM16" s="150">
        <f t="shared" si="38"/>
        <v>-0.27246305114093128</v>
      </c>
      <c r="AN16" s="267">
        <f t="shared" si="39"/>
        <v>-0.12495351431759018</v>
      </c>
      <c r="AO16" s="110">
        <f t="shared" si="11"/>
        <v>7.675308117297068E-2</v>
      </c>
      <c r="AP16" s="110">
        <f t="shared" si="18"/>
        <v>5.4072145779100037E-2</v>
      </c>
      <c r="AQ16" s="33">
        <f t="shared" si="40"/>
        <v>1.2376896939729834E-2</v>
      </c>
      <c r="AR16" s="33">
        <f t="shared" si="41"/>
        <v>0.41945691385225697</v>
      </c>
      <c r="AS16" s="68"/>
    </row>
    <row r="17" spans="1:45" s="81" customFormat="1" ht="15.75" x14ac:dyDescent="0.25">
      <c r="A17" s="260" t="s">
        <v>17</v>
      </c>
      <c r="B17" s="260" t="s">
        <v>33</v>
      </c>
      <c r="C17" s="261">
        <f t="shared" si="19"/>
        <v>42755</v>
      </c>
      <c r="D17" s="260" t="s">
        <v>228</v>
      </c>
      <c r="E17" s="262"/>
      <c r="F17" s="262"/>
      <c r="G17" s="33" t="e">
        <f t="shared" si="22"/>
        <v>#DIV/0!</v>
      </c>
      <c r="H17" s="33" t="e">
        <f t="shared" si="23"/>
        <v>#DIV/0!</v>
      </c>
      <c r="I17" s="262"/>
      <c r="J17" s="263"/>
      <c r="K17" s="33" t="e">
        <f t="shared" si="24"/>
        <v>#DIV/0!</v>
      </c>
      <c r="L17" s="33" t="e">
        <f t="shared" si="25"/>
        <v>#DIV/0!</v>
      </c>
      <c r="M17" s="111"/>
      <c r="N17" s="111"/>
      <c r="O17" s="33" t="e">
        <f t="shared" si="26"/>
        <v>#DIV/0!</v>
      </c>
      <c r="P17" s="33" t="e">
        <f t="shared" si="27"/>
        <v>#DIV/0!</v>
      </c>
      <c r="Q17" s="264"/>
      <c r="R17" s="264"/>
      <c r="S17" s="33" t="e">
        <f t="shared" si="28"/>
        <v>#DIV/0!</v>
      </c>
      <c r="T17" s="33" t="e">
        <f t="shared" si="29"/>
        <v>#DIV/0!</v>
      </c>
      <c r="U17" s="264"/>
      <c r="V17" s="264"/>
      <c r="W17" s="33" t="e">
        <f t="shared" si="30"/>
        <v>#DIV/0!</v>
      </c>
      <c r="X17" s="33" t="e">
        <f t="shared" si="31"/>
        <v>#DIV/0!</v>
      </c>
      <c r="Y17" s="113"/>
      <c r="Z17" s="113"/>
      <c r="AA17" s="33" t="e">
        <f t="shared" si="32"/>
        <v>#DIV/0!</v>
      </c>
      <c r="AB17" s="33" t="e">
        <f t="shared" si="33"/>
        <v>#DIV/0!</v>
      </c>
      <c r="AC17" s="114"/>
      <c r="AD17" s="114"/>
      <c r="AE17" s="33" t="e">
        <f t="shared" si="34"/>
        <v>#DIV/0!</v>
      </c>
      <c r="AF17" s="33" t="e">
        <f t="shared" si="35"/>
        <v>#DIV/0!</v>
      </c>
      <c r="AG17" s="264"/>
      <c r="AH17" s="264"/>
      <c r="AI17" s="33" t="e">
        <f t="shared" si="36"/>
        <v>#DIV/0!</v>
      </c>
      <c r="AJ17" s="33" t="e">
        <f t="shared" si="37"/>
        <v>#DIV/0!</v>
      </c>
      <c r="AK17" s="264"/>
      <c r="AL17" s="264"/>
      <c r="AM17" s="150" t="e">
        <f t="shared" si="38"/>
        <v>#DIV/0!</v>
      </c>
      <c r="AN17" s="267" t="e">
        <f t="shared" si="39"/>
        <v>#DIV/0!</v>
      </c>
      <c r="AO17" s="110"/>
      <c r="AP17" s="110"/>
      <c r="AQ17" s="33" t="e">
        <f t="shared" si="40"/>
        <v>#DIV/0!</v>
      </c>
      <c r="AR17" s="33" t="e">
        <f t="shared" si="41"/>
        <v>#DIV/0!</v>
      </c>
      <c r="AS17" s="68"/>
    </row>
    <row r="18" spans="1:45" s="108" customFormat="1" ht="15.75" customHeight="1" x14ac:dyDescent="0.3">
      <c r="A18" s="272" t="s">
        <v>18</v>
      </c>
      <c r="B18" s="272" t="s">
        <v>34</v>
      </c>
      <c r="C18" s="273">
        <f t="shared" si="19"/>
        <v>42762</v>
      </c>
      <c r="D18" s="274" t="s">
        <v>28</v>
      </c>
      <c r="E18" s="115">
        <f>E19+E20</f>
        <v>10807</v>
      </c>
      <c r="F18" s="115">
        <f>F19+F20</f>
        <v>2778</v>
      </c>
      <c r="G18" s="116">
        <f t="shared" si="22"/>
        <v>-8.8049160781436299E-3</v>
      </c>
      <c r="H18" s="116">
        <f t="shared" si="23"/>
        <v>2.8902087832973362</v>
      </c>
      <c r="I18" s="115">
        <f>I19+I20</f>
        <v>1239.6599999999999</v>
      </c>
      <c r="J18" s="117">
        <f>J19+J20</f>
        <v>2077.46</v>
      </c>
      <c r="K18" s="116">
        <f t="shared" si="24"/>
        <v>6.5851975153261343E-3</v>
      </c>
      <c r="L18" s="116">
        <f t="shared" si="25"/>
        <v>-0.40328092959671913</v>
      </c>
      <c r="M18" s="117">
        <f t="shared" si="20"/>
        <v>8.7177129212848694</v>
      </c>
      <c r="N18" s="117">
        <f t="shared" si="21"/>
        <v>1.3372098620430719</v>
      </c>
      <c r="O18" s="116">
        <f t="shared" si="26"/>
        <v>-1.5289429679135873E-2</v>
      </c>
      <c r="P18" s="116">
        <f t="shared" si="27"/>
        <v>5.5193304123299001</v>
      </c>
      <c r="Q18" s="118">
        <f>Q19+Q20</f>
        <v>6085</v>
      </c>
      <c r="R18" s="118">
        <f>R19+R20</f>
        <v>4568</v>
      </c>
      <c r="S18" s="116">
        <f t="shared" si="28"/>
        <v>7.2246696035242294E-2</v>
      </c>
      <c r="T18" s="116">
        <f t="shared" si="29"/>
        <v>0.33209281961471104</v>
      </c>
      <c r="U18" s="118">
        <f>U19+U20</f>
        <v>128</v>
      </c>
      <c r="V18" s="118">
        <f>V19+V20</f>
        <v>42</v>
      </c>
      <c r="W18" s="116">
        <f t="shared" si="30"/>
        <v>0.36170212765957449</v>
      </c>
      <c r="X18" s="116">
        <f t="shared" si="31"/>
        <v>2.0476190476190474</v>
      </c>
      <c r="Y18" s="119">
        <f t="shared" si="15"/>
        <v>2.1035332785538208E-2</v>
      </c>
      <c r="Z18" s="119">
        <f t="shared" si="16"/>
        <v>9.1943957968476358E-3</v>
      </c>
      <c r="AA18" s="116">
        <f t="shared" si="32"/>
        <v>0.26995227189286514</v>
      </c>
      <c r="AB18" s="116">
        <f t="shared" si="33"/>
        <v>1.2878428610556794</v>
      </c>
      <c r="AC18" s="120">
        <f t="shared" si="17"/>
        <v>84.4296875</v>
      </c>
      <c r="AD18" s="275">
        <f t="shared" ref="AD18:AD32" si="42">F18/V18</f>
        <v>66.142857142857139</v>
      </c>
      <c r="AE18" s="116">
        <f t="shared" si="34"/>
        <v>-0.27209111024488669</v>
      </c>
      <c r="AF18" s="116">
        <f t="shared" si="35"/>
        <v>0.27647475701943852</v>
      </c>
      <c r="AG18" s="118">
        <f>AG19+AG20</f>
        <v>4503</v>
      </c>
      <c r="AH18" s="118">
        <f>AH19+AH20</f>
        <v>4016</v>
      </c>
      <c r="AI18" s="116">
        <f t="shared" si="36"/>
        <v>7.7788415509813302E-2</v>
      </c>
      <c r="AJ18" s="116">
        <f t="shared" si="37"/>
        <v>0.12126494023904383</v>
      </c>
      <c r="AK18" s="118">
        <f>AK19+AK20</f>
        <v>19051</v>
      </c>
      <c r="AL18" s="118">
        <f>AL19+AL20</f>
        <v>32216</v>
      </c>
      <c r="AM18" s="276">
        <f t="shared" si="38"/>
        <v>8.3628857248716458E-3</v>
      </c>
      <c r="AN18" s="277">
        <f t="shared" si="39"/>
        <v>-0.40864787683138815</v>
      </c>
      <c r="AO18" s="116">
        <f t="shared" si="11"/>
        <v>0.23636554511574195</v>
      </c>
      <c r="AP18" s="116">
        <f t="shared" si="18"/>
        <v>0.12465855475540104</v>
      </c>
      <c r="AQ18" s="116">
        <f t="shared" si="40"/>
        <v>6.8849747216781346E-2</v>
      </c>
      <c r="AR18" s="116">
        <f t="shared" si="41"/>
        <v>0.89610368561970699</v>
      </c>
      <c r="AS18" s="106" t="s">
        <v>148</v>
      </c>
    </row>
    <row r="19" spans="1:45" s="81" customFormat="1" ht="15.75" x14ac:dyDescent="0.25">
      <c r="A19" s="260" t="s">
        <v>18</v>
      </c>
      <c r="B19" s="260" t="s">
        <v>34</v>
      </c>
      <c r="C19" s="261">
        <f t="shared" si="19"/>
        <v>42762</v>
      </c>
      <c r="D19" s="260" t="s">
        <v>29</v>
      </c>
      <c r="E19" s="109">
        <v>10452</v>
      </c>
      <c r="F19" s="109">
        <f>2547</f>
        <v>2547</v>
      </c>
      <c r="G19" s="33">
        <f t="shared" si="22"/>
        <v>1.2104192892417934E-2</v>
      </c>
      <c r="H19" s="33">
        <f t="shared" si="23"/>
        <v>3.1036513545347466</v>
      </c>
      <c r="I19" s="109">
        <f>555.03+29.88</f>
        <v>584.91</v>
      </c>
      <c r="J19" s="111">
        <f>786.8+108.89</f>
        <v>895.68999999999994</v>
      </c>
      <c r="K19" s="33">
        <f t="shared" si="24"/>
        <v>0.67231816102470232</v>
      </c>
      <c r="L19" s="33">
        <f t="shared" si="25"/>
        <v>-0.34697272493831571</v>
      </c>
      <c r="M19" s="111">
        <f t="shared" si="20"/>
        <v>17.869415807560138</v>
      </c>
      <c r="N19" s="111">
        <f t="shared" si="21"/>
        <v>2.8436177695408009</v>
      </c>
      <c r="O19" s="33">
        <f t="shared" si="26"/>
        <v>-0.39478968985646995</v>
      </c>
      <c r="P19" s="33">
        <f t="shared" si="27"/>
        <v>5.2840428129852928</v>
      </c>
      <c r="Q19" s="112">
        <v>5409</v>
      </c>
      <c r="R19" s="112">
        <f>3101</f>
        <v>3101</v>
      </c>
      <c r="S19" s="33">
        <f t="shared" si="28"/>
        <v>0.16976643598615918</v>
      </c>
      <c r="T19" s="33">
        <f t="shared" si="29"/>
        <v>0.7442760399871009</v>
      </c>
      <c r="U19" s="112">
        <v>122</v>
      </c>
      <c r="V19" s="112">
        <f>38</f>
        <v>38</v>
      </c>
      <c r="W19" s="33">
        <f t="shared" si="30"/>
        <v>0.35555555555555557</v>
      </c>
      <c r="X19" s="33">
        <f t="shared" si="31"/>
        <v>2.2105263157894739</v>
      </c>
      <c r="Y19" s="113">
        <f t="shared" si="15"/>
        <v>2.2555000924385282E-2</v>
      </c>
      <c r="Z19" s="113">
        <f t="shared" si="16"/>
        <v>1.2254111576910674E-2</v>
      </c>
      <c r="AA19" s="33">
        <f t="shared" si="32"/>
        <v>0.1588258252706394</v>
      </c>
      <c r="AB19" s="33">
        <f t="shared" si="33"/>
        <v>0.84060678596102012</v>
      </c>
      <c r="AC19" s="114">
        <f t="shared" si="17"/>
        <v>85.672131147540981</v>
      </c>
      <c r="AD19" s="145">
        <f t="shared" si="42"/>
        <v>67.026315789473685</v>
      </c>
      <c r="AE19" s="33">
        <f t="shared" si="34"/>
        <v>-0.25336575934165889</v>
      </c>
      <c r="AF19" s="33">
        <f t="shared" si="35"/>
        <v>0.27818648747803582</v>
      </c>
      <c r="AG19" s="112">
        <f>3741+165</f>
        <v>3906</v>
      </c>
      <c r="AH19" s="112">
        <f>2499+227</f>
        <v>2726</v>
      </c>
      <c r="AI19" s="33">
        <f t="shared" si="36"/>
        <v>0.19267175572519085</v>
      </c>
      <c r="AJ19" s="33">
        <f t="shared" si="37"/>
        <v>0.43286867204695523</v>
      </c>
      <c r="AK19" s="112">
        <f>9565+448</f>
        <v>10013</v>
      </c>
      <c r="AL19" s="112">
        <f>10213+1173</f>
        <v>11386</v>
      </c>
      <c r="AM19" s="150">
        <f t="shared" si="38"/>
        <v>0.40474186307519638</v>
      </c>
      <c r="AN19" s="267">
        <f t="shared" si="39"/>
        <v>-0.12058668540312664</v>
      </c>
      <c r="AO19" s="110">
        <f t="shared" si="11"/>
        <v>0.39009287925696595</v>
      </c>
      <c r="AP19" s="110">
        <f t="shared" si="18"/>
        <v>0.23941682768311962</v>
      </c>
      <c r="AQ19" s="33">
        <f t="shared" si="40"/>
        <v>-0.15096731500957147</v>
      </c>
      <c r="AR19" s="33">
        <f t="shared" si="41"/>
        <v>0.62934612003661572</v>
      </c>
      <c r="AS19" s="68"/>
    </row>
    <row r="20" spans="1:45" s="81" customFormat="1" ht="15.75" x14ac:dyDescent="0.25">
      <c r="A20" s="260" t="s">
        <v>18</v>
      </c>
      <c r="B20" s="260" t="s">
        <v>34</v>
      </c>
      <c r="C20" s="261">
        <f t="shared" si="19"/>
        <v>42762</v>
      </c>
      <c r="D20" s="260" t="s">
        <v>30</v>
      </c>
      <c r="E20" s="109">
        <v>355</v>
      </c>
      <c r="F20" s="109">
        <v>231</v>
      </c>
      <c r="G20" s="33">
        <f t="shared" si="22"/>
        <v>-0.38368055555555558</v>
      </c>
      <c r="H20" s="33">
        <f t="shared" si="23"/>
        <v>0.53679653679653683</v>
      </c>
      <c r="I20" s="109">
        <f>519.89+134.86</f>
        <v>654.75</v>
      </c>
      <c r="J20" s="111">
        <f>1181.15+0.62</f>
        <v>1181.77</v>
      </c>
      <c r="K20" s="33">
        <f t="shared" si="24"/>
        <v>-0.25747626986017075</v>
      </c>
      <c r="L20" s="33">
        <f t="shared" si="25"/>
        <v>-0.44595818137200977</v>
      </c>
      <c r="M20" s="111">
        <f t="shared" si="20"/>
        <v>0.5421916762122948</v>
      </c>
      <c r="N20" s="111">
        <f t="shared" si="21"/>
        <v>0.19546950760300227</v>
      </c>
      <c r="O20" s="33">
        <f t="shared" si="26"/>
        <v>-0.16996666984854264</v>
      </c>
      <c r="P20" s="33">
        <f t="shared" si="27"/>
        <v>1.7737915895991498</v>
      </c>
      <c r="Q20" s="112">
        <v>676</v>
      </c>
      <c r="R20" s="112">
        <f>1467</f>
        <v>1467</v>
      </c>
      <c r="S20" s="33">
        <f t="shared" si="28"/>
        <v>-0.35680304471931495</v>
      </c>
      <c r="T20" s="33">
        <f t="shared" si="29"/>
        <v>-0.53919563735514653</v>
      </c>
      <c r="U20" s="112">
        <v>6</v>
      </c>
      <c r="V20" s="112">
        <f>4</f>
        <v>4</v>
      </c>
      <c r="W20" s="33">
        <f t="shared" si="30"/>
        <v>0.5</v>
      </c>
      <c r="X20" s="33">
        <f t="shared" si="31"/>
        <v>0.5</v>
      </c>
      <c r="Y20" s="113">
        <f t="shared" si="15"/>
        <v>8.8757396449704144E-3</v>
      </c>
      <c r="Z20" s="113">
        <f t="shared" si="16"/>
        <v>2.7266530334014998E-3</v>
      </c>
      <c r="AA20" s="33">
        <f t="shared" si="32"/>
        <v>1.3321005917159763</v>
      </c>
      <c r="AB20" s="33">
        <f t="shared" si="33"/>
        <v>2.2551775147928996</v>
      </c>
      <c r="AC20" s="114">
        <f t="shared" si="17"/>
        <v>59.166666666666664</v>
      </c>
      <c r="AD20" s="145">
        <f t="shared" si="42"/>
        <v>57.75</v>
      </c>
      <c r="AE20" s="33">
        <f t="shared" si="34"/>
        <v>-0.58912037037037046</v>
      </c>
      <c r="AF20" s="33">
        <f t="shared" si="35"/>
        <v>2.453102453102449E-2</v>
      </c>
      <c r="AG20" s="112">
        <f>437+160</f>
        <v>597</v>
      </c>
      <c r="AH20" s="112">
        <f>1289+1</f>
        <v>1290</v>
      </c>
      <c r="AI20" s="33">
        <f t="shared" si="36"/>
        <v>-0.33887043189368771</v>
      </c>
      <c r="AJ20" s="33">
        <f t="shared" si="37"/>
        <v>-0.53720930232558139</v>
      </c>
      <c r="AK20" s="112">
        <f>6681+2357</f>
        <v>9038</v>
      </c>
      <c r="AL20" s="112">
        <f>20745+85</f>
        <v>20830</v>
      </c>
      <c r="AM20" s="150">
        <f t="shared" si="38"/>
        <v>-0.23178920526986826</v>
      </c>
      <c r="AN20" s="267">
        <f t="shared" si="39"/>
        <v>-0.56610657705232836</v>
      </c>
      <c r="AO20" s="110">
        <f t="shared" si="11"/>
        <v>6.6054436822305815E-2</v>
      </c>
      <c r="AP20" s="110">
        <f t="shared" si="18"/>
        <v>6.1929908785405663E-2</v>
      </c>
      <c r="AQ20" s="33">
        <f t="shared" si="40"/>
        <v>-0.13939042168944865</v>
      </c>
      <c r="AR20" s="33">
        <f t="shared" si="41"/>
        <v>6.6599937215992375E-2</v>
      </c>
      <c r="AS20" s="68"/>
    </row>
    <row r="21" spans="1:45" s="81" customFormat="1" ht="15.75" x14ac:dyDescent="0.25">
      <c r="A21" s="260" t="s">
        <v>18</v>
      </c>
      <c r="B21" s="260" t="s">
        <v>34</v>
      </c>
      <c r="C21" s="261">
        <f t="shared" si="19"/>
        <v>42762</v>
      </c>
      <c r="D21" s="260" t="s">
        <v>228</v>
      </c>
      <c r="E21" s="109"/>
      <c r="F21" s="109"/>
      <c r="G21" s="33" t="e">
        <f t="shared" si="22"/>
        <v>#DIV/0!</v>
      </c>
      <c r="H21" s="33" t="e">
        <f t="shared" si="23"/>
        <v>#DIV/0!</v>
      </c>
      <c r="I21" s="109"/>
      <c r="J21" s="111"/>
      <c r="K21" s="33" t="e">
        <f t="shared" si="24"/>
        <v>#DIV/0!</v>
      </c>
      <c r="L21" s="33" t="e">
        <f t="shared" si="25"/>
        <v>#DIV/0!</v>
      </c>
      <c r="M21" s="111"/>
      <c r="N21" s="111"/>
      <c r="O21" s="33" t="e">
        <f t="shared" si="26"/>
        <v>#DIV/0!</v>
      </c>
      <c r="P21" s="33" t="e">
        <f t="shared" si="27"/>
        <v>#DIV/0!</v>
      </c>
      <c r="Q21" s="112"/>
      <c r="R21" s="112"/>
      <c r="S21" s="33" t="e">
        <f t="shared" si="28"/>
        <v>#DIV/0!</v>
      </c>
      <c r="T21" s="33" t="e">
        <f t="shared" si="29"/>
        <v>#DIV/0!</v>
      </c>
      <c r="U21" s="112"/>
      <c r="V21" s="112"/>
      <c r="W21" s="33" t="e">
        <f t="shared" si="30"/>
        <v>#DIV/0!</v>
      </c>
      <c r="X21" s="33" t="e">
        <f t="shared" si="31"/>
        <v>#DIV/0!</v>
      </c>
      <c r="Y21" s="113"/>
      <c r="Z21" s="113"/>
      <c r="AA21" s="33" t="e">
        <f t="shared" si="32"/>
        <v>#DIV/0!</v>
      </c>
      <c r="AB21" s="33" t="e">
        <f t="shared" si="33"/>
        <v>#DIV/0!</v>
      </c>
      <c r="AC21" s="114"/>
      <c r="AD21" s="145"/>
      <c r="AE21" s="33" t="e">
        <f t="shared" si="34"/>
        <v>#DIV/0!</v>
      </c>
      <c r="AF21" s="33" t="e">
        <f t="shared" si="35"/>
        <v>#DIV/0!</v>
      </c>
      <c r="AG21" s="112"/>
      <c r="AH21" s="112"/>
      <c r="AI21" s="33" t="e">
        <f t="shared" si="36"/>
        <v>#DIV/0!</v>
      </c>
      <c r="AJ21" s="33" t="e">
        <f t="shared" si="37"/>
        <v>#DIV/0!</v>
      </c>
      <c r="AK21" s="112"/>
      <c r="AL21" s="112"/>
      <c r="AM21" s="150" t="e">
        <f t="shared" si="38"/>
        <v>#DIV/0!</v>
      </c>
      <c r="AN21" s="267" t="e">
        <f t="shared" si="39"/>
        <v>#DIV/0!</v>
      </c>
      <c r="AO21" s="110"/>
      <c r="AP21" s="110"/>
      <c r="AQ21" s="33" t="e">
        <f t="shared" si="40"/>
        <v>#DIV/0!</v>
      </c>
      <c r="AR21" s="33" t="e">
        <f t="shared" si="41"/>
        <v>#DIV/0!</v>
      </c>
      <c r="AS21" s="68"/>
    </row>
    <row r="22" spans="1:45" s="81" customFormat="1" ht="15.75" customHeight="1" x14ac:dyDescent="0.3">
      <c r="A22" s="29" t="s">
        <v>18</v>
      </c>
      <c r="B22" s="29" t="s">
        <v>35</v>
      </c>
      <c r="C22" s="30">
        <f t="shared" si="19"/>
        <v>42769</v>
      </c>
      <c r="D22" s="31" t="s">
        <v>28</v>
      </c>
      <c r="E22" s="32">
        <f>E23+E24</f>
        <v>9052</v>
      </c>
      <c r="F22" s="32">
        <f>F23+F24</f>
        <v>4129</v>
      </c>
      <c r="G22" s="33">
        <f t="shared" si="22"/>
        <v>-0.16239474414731192</v>
      </c>
      <c r="H22" s="33">
        <f t="shared" si="23"/>
        <v>1.1922983773310729</v>
      </c>
      <c r="I22" s="32">
        <f>I23+I24</f>
        <v>1962.86</v>
      </c>
      <c r="J22" s="34">
        <f>J23+J24</f>
        <v>2186.1899999999996</v>
      </c>
      <c r="K22" s="33">
        <f t="shared" si="24"/>
        <v>0.5833857670651631</v>
      </c>
      <c r="L22" s="33">
        <f t="shared" si="25"/>
        <v>-0.10215489047155084</v>
      </c>
      <c r="M22" s="34">
        <f t="shared" si="20"/>
        <v>4.6116381198862886</v>
      </c>
      <c r="N22" s="34">
        <f t="shared" si="21"/>
        <v>1.8886739030001971</v>
      </c>
      <c r="O22" s="33">
        <f t="shared" si="26"/>
        <v>-0.47100367246245622</v>
      </c>
      <c r="P22" s="33">
        <f t="shared" si="27"/>
        <v>1.4417333837040938</v>
      </c>
      <c r="Q22" s="35">
        <f>Q23+Q24</f>
        <v>6946</v>
      </c>
      <c r="R22" s="35">
        <f>R23+R24</f>
        <v>4515</v>
      </c>
      <c r="S22" s="33">
        <f t="shared" si="28"/>
        <v>0.14149548069022186</v>
      </c>
      <c r="T22" s="33">
        <f t="shared" si="29"/>
        <v>0.53842746400885932</v>
      </c>
      <c r="U22" s="35">
        <f>U23+U24</f>
        <v>107</v>
      </c>
      <c r="V22" s="35">
        <f>V23+V24</f>
        <v>48</v>
      </c>
      <c r="W22" s="33">
        <f t="shared" si="30"/>
        <v>-0.1640625</v>
      </c>
      <c r="X22" s="33">
        <f t="shared" si="31"/>
        <v>1.2291666666666667</v>
      </c>
      <c r="Y22" s="88">
        <f t="shared" si="15"/>
        <v>1.540454938093867E-2</v>
      </c>
      <c r="Z22" s="88">
        <f t="shared" si="16"/>
        <v>1.0631229235880399E-2</v>
      </c>
      <c r="AA22" s="33">
        <f t="shared" si="32"/>
        <v>-0.26768216419522023</v>
      </c>
      <c r="AB22" s="33">
        <f t="shared" si="33"/>
        <v>0.44899042614454354</v>
      </c>
      <c r="AC22" s="97">
        <f t="shared" si="17"/>
        <v>84.598130841121488</v>
      </c>
      <c r="AD22" s="145">
        <f t="shared" si="42"/>
        <v>86.020833333333329</v>
      </c>
      <c r="AE22" s="33">
        <f t="shared" si="34"/>
        <v>1.9950724219071434E-3</v>
      </c>
      <c r="AF22" s="33">
        <f t="shared" si="35"/>
        <v>-1.6539045683257043E-2</v>
      </c>
      <c r="AG22" s="35">
        <f>AG23+AG24</f>
        <v>5231</v>
      </c>
      <c r="AH22" s="35">
        <f>AH23+AH24</f>
        <v>4050</v>
      </c>
      <c r="AI22" s="33">
        <f t="shared" si="36"/>
        <v>0.16166999777925828</v>
      </c>
      <c r="AJ22" s="33">
        <f t="shared" si="37"/>
        <v>0.29160493827160494</v>
      </c>
      <c r="AK22" s="35">
        <f>AK23+AK24</f>
        <v>26651</v>
      </c>
      <c r="AL22" s="35">
        <f>AL23+AL24</f>
        <v>35415</v>
      </c>
      <c r="AM22" s="150">
        <f t="shared" si="38"/>
        <v>0.39892919006876282</v>
      </c>
      <c r="AN22" s="267">
        <f t="shared" si="39"/>
        <v>-0.24746576309473386</v>
      </c>
      <c r="AO22" s="33">
        <f t="shared" si="11"/>
        <v>0.19627781321526397</v>
      </c>
      <c r="AP22" s="33">
        <f t="shared" si="18"/>
        <v>0.11435832274459974</v>
      </c>
      <c r="AQ22" s="33">
        <f t="shared" si="40"/>
        <v>-0.16960057304819146</v>
      </c>
      <c r="AR22" s="33">
        <f t="shared" si="41"/>
        <v>0.71634043333791941</v>
      </c>
      <c r="AS22" s="68" t="s">
        <v>157</v>
      </c>
    </row>
    <row r="23" spans="1:45" s="81" customFormat="1" ht="15.75" x14ac:dyDescent="0.25">
      <c r="A23" s="260" t="s">
        <v>18</v>
      </c>
      <c r="B23" s="260" t="s">
        <v>35</v>
      </c>
      <c r="C23" s="261">
        <f t="shared" si="19"/>
        <v>42769</v>
      </c>
      <c r="D23" s="260" t="s">
        <v>29</v>
      </c>
      <c r="E23" s="109">
        <v>8642</v>
      </c>
      <c r="F23" s="109">
        <v>3383</v>
      </c>
      <c r="G23" s="33">
        <f t="shared" si="22"/>
        <v>-0.17317259854573289</v>
      </c>
      <c r="H23" s="33">
        <f t="shared" si="23"/>
        <v>1.5545373928465858</v>
      </c>
      <c r="I23" s="109">
        <f>589.75+41.8</f>
        <v>631.54999999999995</v>
      </c>
      <c r="J23" s="111">
        <f>740.35+103.65</f>
        <v>844</v>
      </c>
      <c r="K23" s="33">
        <f t="shared" si="24"/>
        <v>7.9738763228530865E-2</v>
      </c>
      <c r="L23" s="33">
        <f t="shared" si="25"/>
        <v>-0.25171800947867307</v>
      </c>
      <c r="M23" s="111">
        <f t="shared" si="20"/>
        <v>13.683793840551026</v>
      </c>
      <c r="N23" s="111">
        <f t="shared" si="21"/>
        <v>4.0082938388625591</v>
      </c>
      <c r="O23" s="33">
        <f t="shared" si="26"/>
        <v>-0.23423384469224071</v>
      </c>
      <c r="P23" s="33">
        <f t="shared" si="27"/>
        <v>2.4138699383461617</v>
      </c>
      <c r="Q23" s="112">
        <v>5762</v>
      </c>
      <c r="R23" s="112">
        <v>3013</v>
      </c>
      <c r="S23" s="33">
        <f t="shared" si="28"/>
        <v>6.526160103531152E-2</v>
      </c>
      <c r="T23" s="33">
        <f t="shared" si="29"/>
        <v>0.91237968801858615</v>
      </c>
      <c r="U23" s="112">
        <v>101</v>
      </c>
      <c r="V23" s="112">
        <v>37</v>
      </c>
      <c r="W23" s="33">
        <f t="shared" si="30"/>
        <v>-0.1721311475409836</v>
      </c>
      <c r="X23" s="33">
        <f t="shared" si="31"/>
        <v>1.7297297297297298</v>
      </c>
      <c r="Y23" s="113">
        <f t="shared" si="15"/>
        <v>1.7528635890315863E-2</v>
      </c>
      <c r="Z23" s="113">
        <f t="shared" si="16"/>
        <v>1.228011948224361E-2</v>
      </c>
      <c r="AA23" s="33">
        <f t="shared" si="32"/>
        <v>-0.22284924974820891</v>
      </c>
      <c r="AB23" s="33">
        <f t="shared" si="33"/>
        <v>0.42739945777085675</v>
      </c>
      <c r="AC23" s="114">
        <f t="shared" si="17"/>
        <v>85.56435643564356</v>
      </c>
      <c r="AD23" s="145">
        <f t="shared" si="42"/>
        <v>91.432432432432435</v>
      </c>
      <c r="AE23" s="33">
        <f t="shared" si="34"/>
        <v>-1.2579903225684327E-3</v>
      </c>
      <c r="AF23" s="33">
        <f t="shared" si="35"/>
        <v>-6.4179370937389402E-2</v>
      </c>
      <c r="AG23" s="112">
        <f>3970+174</f>
        <v>4144</v>
      </c>
      <c r="AH23" s="112">
        <f>2493+98</f>
        <v>2591</v>
      </c>
      <c r="AI23" s="33">
        <f t="shared" si="36"/>
        <v>6.093189964157706E-2</v>
      </c>
      <c r="AJ23" s="33">
        <f t="shared" si="37"/>
        <v>0.59938247780779619</v>
      </c>
      <c r="AK23" s="112">
        <f>10259+479</f>
        <v>10738</v>
      </c>
      <c r="AL23" s="112">
        <f>10934+275</f>
        <v>11209</v>
      </c>
      <c r="AM23" s="150">
        <f t="shared" si="38"/>
        <v>7.2405872365924301E-2</v>
      </c>
      <c r="AN23" s="267">
        <f t="shared" si="39"/>
        <v>-4.2019805513426711E-2</v>
      </c>
      <c r="AO23" s="110">
        <f t="shared" si="11"/>
        <v>0.38591916558018252</v>
      </c>
      <c r="AP23" s="110">
        <f t="shared" si="18"/>
        <v>0.23115353733606922</v>
      </c>
      <c r="AQ23" s="33">
        <f t="shared" si="40"/>
        <v>-1.0699281885722603E-2</v>
      </c>
      <c r="AR23" s="33">
        <f t="shared" si="41"/>
        <v>0.66953605827412821</v>
      </c>
      <c r="AS23" s="68"/>
    </row>
    <row r="24" spans="1:45" s="81" customFormat="1" ht="15.75" x14ac:dyDescent="0.25">
      <c r="A24" s="260" t="s">
        <v>18</v>
      </c>
      <c r="B24" s="260" t="s">
        <v>35</v>
      </c>
      <c r="C24" s="261">
        <f t="shared" si="19"/>
        <v>42769</v>
      </c>
      <c r="D24" s="260" t="s">
        <v>30</v>
      </c>
      <c r="E24" s="109">
        <v>410</v>
      </c>
      <c r="F24" s="109">
        <v>746</v>
      </c>
      <c r="G24" s="33">
        <f t="shared" si="22"/>
        <v>0.15492957746478872</v>
      </c>
      <c r="H24" s="33">
        <f t="shared" si="23"/>
        <v>-0.45040214477211798</v>
      </c>
      <c r="I24" s="109">
        <f>1185.01+146.3</f>
        <v>1331.31</v>
      </c>
      <c r="J24" s="111">
        <f>1335.11+7.08</f>
        <v>1342.1899999999998</v>
      </c>
      <c r="K24" s="33">
        <f t="shared" si="24"/>
        <v>1.0333104238258877</v>
      </c>
      <c r="L24" s="33">
        <f t="shared" si="25"/>
        <v>-8.1061548663005113E-3</v>
      </c>
      <c r="M24" s="111">
        <f t="shared" si="20"/>
        <v>0.30796734043911639</v>
      </c>
      <c r="N24" s="111">
        <f t="shared" si="21"/>
        <v>0.55580804506068449</v>
      </c>
      <c r="O24" s="33">
        <f t="shared" si="26"/>
        <v>-0.43199544745771423</v>
      </c>
      <c r="P24" s="33">
        <f t="shared" si="27"/>
        <v>-0.44591061037000329</v>
      </c>
      <c r="Q24" s="112">
        <v>1184</v>
      </c>
      <c r="R24" s="112">
        <v>1502</v>
      </c>
      <c r="S24" s="33">
        <f t="shared" si="28"/>
        <v>0.75147928994082835</v>
      </c>
      <c r="T24" s="33">
        <f t="shared" si="29"/>
        <v>-0.21171770972037285</v>
      </c>
      <c r="U24" s="112">
        <v>6</v>
      </c>
      <c r="V24" s="112">
        <v>11</v>
      </c>
      <c r="W24" s="33">
        <f t="shared" si="30"/>
        <v>0</v>
      </c>
      <c r="X24" s="33">
        <f t="shared" si="31"/>
        <v>-0.45454545454545453</v>
      </c>
      <c r="Y24" s="113">
        <f t="shared" si="15"/>
        <v>5.0675675675675678E-3</v>
      </c>
      <c r="Z24" s="113">
        <f t="shared" si="16"/>
        <v>7.3235685752330226E-3</v>
      </c>
      <c r="AA24" s="33">
        <f t="shared" si="32"/>
        <v>-0.42905405405405406</v>
      </c>
      <c r="AB24" s="33">
        <f t="shared" si="33"/>
        <v>-0.30804668304668298</v>
      </c>
      <c r="AC24" s="114">
        <f t="shared" si="17"/>
        <v>68.333333333333329</v>
      </c>
      <c r="AD24" s="145">
        <f t="shared" si="42"/>
        <v>67.818181818181813</v>
      </c>
      <c r="AE24" s="33">
        <f t="shared" si="34"/>
        <v>0.15492957746478869</v>
      </c>
      <c r="AF24" s="33">
        <f t="shared" si="35"/>
        <v>7.596067917783742E-3</v>
      </c>
      <c r="AG24" s="112">
        <f>915+172</f>
        <v>1087</v>
      </c>
      <c r="AH24" s="112">
        <f>1452+7</f>
        <v>1459</v>
      </c>
      <c r="AI24" s="33">
        <f t="shared" si="36"/>
        <v>0.82077051926298161</v>
      </c>
      <c r="AJ24" s="33">
        <f t="shared" si="37"/>
        <v>-0.25496915695681976</v>
      </c>
      <c r="AK24" s="112">
        <f>13488+2425</f>
        <v>15913</v>
      </c>
      <c r="AL24" s="112">
        <f>23833+373</f>
        <v>24206</v>
      </c>
      <c r="AM24" s="150">
        <f t="shared" si="38"/>
        <v>0.76067714096038952</v>
      </c>
      <c r="AN24" s="267">
        <f t="shared" si="39"/>
        <v>-0.34260100801454185</v>
      </c>
      <c r="AO24" s="110">
        <f t="shared" si="11"/>
        <v>6.8308929805819138E-2</v>
      </c>
      <c r="AP24" s="110">
        <f t="shared" si="18"/>
        <v>6.0274312154011404E-2</v>
      </c>
      <c r="AQ24" s="33">
        <f t="shared" si="40"/>
        <v>3.4130833475700867E-2</v>
      </c>
      <c r="AR24" s="33">
        <f t="shared" si="41"/>
        <v>0.13330086009572173</v>
      </c>
      <c r="AS24" s="68"/>
    </row>
    <row r="25" spans="1:45" s="81" customFormat="1" ht="15.75" x14ac:dyDescent="0.25">
      <c r="A25" s="260" t="s">
        <v>18</v>
      </c>
      <c r="B25" s="260" t="s">
        <v>35</v>
      </c>
      <c r="C25" s="261">
        <f t="shared" si="19"/>
        <v>42769</v>
      </c>
      <c r="D25" s="260" t="s">
        <v>228</v>
      </c>
      <c r="E25" s="109"/>
      <c r="F25" s="109"/>
      <c r="G25" s="33" t="e">
        <f t="shared" si="22"/>
        <v>#DIV/0!</v>
      </c>
      <c r="H25" s="33" t="e">
        <f t="shared" si="23"/>
        <v>#DIV/0!</v>
      </c>
      <c r="I25" s="109"/>
      <c r="J25" s="111"/>
      <c r="K25" s="33" t="e">
        <f t="shared" si="24"/>
        <v>#DIV/0!</v>
      </c>
      <c r="L25" s="33" t="e">
        <f t="shared" si="25"/>
        <v>#DIV/0!</v>
      </c>
      <c r="M25" s="111"/>
      <c r="N25" s="111"/>
      <c r="O25" s="33" t="e">
        <f t="shared" si="26"/>
        <v>#DIV/0!</v>
      </c>
      <c r="P25" s="33" t="e">
        <f t="shared" si="27"/>
        <v>#DIV/0!</v>
      </c>
      <c r="Q25" s="112"/>
      <c r="R25" s="112"/>
      <c r="S25" s="33" t="e">
        <f t="shared" si="28"/>
        <v>#DIV/0!</v>
      </c>
      <c r="T25" s="33" t="e">
        <f t="shared" si="29"/>
        <v>#DIV/0!</v>
      </c>
      <c r="U25" s="112"/>
      <c r="V25" s="112"/>
      <c r="W25" s="33" t="e">
        <f t="shared" si="30"/>
        <v>#DIV/0!</v>
      </c>
      <c r="X25" s="33" t="e">
        <f t="shared" si="31"/>
        <v>#DIV/0!</v>
      </c>
      <c r="Y25" s="113"/>
      <c r="Z25" s="113"/>
      <c r="AA25" s="33" t="e">
        <f t="shared" si="32"/>
        <v>#DIV/0!</v>
      </c>
      <c r="AB25" s="33" t="e">
        <f t="shared" si="33"/>
        <v>#DIV/0!</v>
      </c>
      <c r="AC25" s="114"/>
      <c r="AD25" s="145"/>
      <c r="AE25" s="33" t="e">
        <f t="shared" si="34"/>
        <v>#DIV/0!</v>
      </c>
      <c r="AF25" s="33" t="e">
        <f t="shared" si="35"/>
        <v>#DIV/0!</v>
      </c>
      <c r="AG25" s="112"/>
      <c r="AH25" s="112"/>
      <c r="AI25" s="33" t="e">
        <f t="shared" si="36"/>
        <v>#DIV/0!</v>
      </c>
      <c r="AJ25" s="33" t="e">
        <f t="shared" si="37"/>
        <v>#DIV/0!</v>
      </c>
      <c r="AK25" s="112"/>
      <c r="AL25" s="112"/>
      <c r="AM25" s="150" t="e">
        <f t="shared" si="38"/>
        <v>#DIV/0!</v>
      </c>
      <c r="AN25" s="267" t="e">
        <f t="shared" si="39"/>
        <v>#DIV/0!</v>
      </c>
      <c r="AO25" s="110"/>
      <c r="AP25" s="110"/>
      <c r="AQ25" s="33" t="e">
        <f t="shared" si="40"/>
        <v>#DIV/0!</v>
      </c>
      <c r="AR25" s="33" t="e">
        <f t="shared" si="41"/>
        <v>#DIV/0!</v>
      </c>
      <c r="AS25" s="68"/>
    </row>
    <row r="26" spans="1:45" s="81" customFormat="1" ht="15.75" customHeight="1" x14ac:dyDescent="0.3">
      <c r="A26" s="29" t="s">
        <v>18</v>
      </c>
      <c r="B26" s="29" t="s">
        <v>36</v>
      </c>
      <c r="C26" s="30">
        <f t="shared" si="19"/>
        <v>42776</v>
      </c>
      <c r="D26" s="31" t="s">
        <v>28</v>
      </c>
      <c r="E26" s="32">
        <f>E27+E28</f>
        <v>34322</v>
      </c>
      <c r="F26" s="32">
        <f>F27+F28</f>
        <v>2157</v>
      </c>
      <c r="G26" s="33">
        <f t="shared" si="22"/>
        <v>2.7916482545293859</v>
      </c>
      <c r="H26" s="33">
        <f t="shared" si="23"/>
        <v>14.911914696337506</v>
      </c>
      <c r="I26" s="32">
        <f>I27+I28</f>
        <v>2337.8000000000002</v>
      </c>
      <c r="J26" s="34">
        <f>J27+J28</f>
        <v>2285.9700000000003</v>
      </c>
      <c r="K26" s="33">
        <f t="shared" si="24"/>
        <v>0.19101718920350932</v>
      </c>
      <c r="L26" s="33">
        <f t="shared" si="25"/>
        <v>2.2673088448229819E-2</v>
      </c>
      <c r="M26" s="34">
        <f t="shared" si="20"/>
        <v>14.681324322012147</v>
      </c>
      <c r="N26" s="34">
        <f t="shared" si="21"/>
        <v>0.94358193677082369</v>
      </c>
      <c r="O26" s="33">
        <f t="shared" si="26"/>
        <v>2.1835378102855461</v>
      </c>
      <c r="P26" s="33">
        <f t="shared" si="27"/>
        <v>14.559140918122441</v>
      </c>
      <c r="Q26" s="35">
        <f>Q27+Q28</f>
        <v>8486</v>
      </c>
      <c r="R26" s="35">
        <f>R27+R28</f>
        <v>5059</v>
      </c>
      <c r="S26" s="33">
        <f t="shared" si="28"/>
        <v>0.22171033688453787</v>
      </c>
      <c r="T26" s="33">
        <f t="shared" si="29"/>
        <v>0.6774066020952757</v>
      </c>
      <c r="U26" s="35">
        <f>U27+U28</f>
        <v>248</v>
      </c>
      <c r="V26" s="35">
        <f>V27+V28</f>
        <v>20</v>
      </c>
      <c r="W26" s="33">
        <f t="shared" si="30"/>
        <v>1.3177570093457944</v>
      </c>
      <c r="X26" s="33">
        <f t="shared" si="31"/>
        <v>11.4</v>
      </c>
      <c r="Y26" s="88">
        <f t="shared" si="15"/>
        <v>2.9224605232147066E-2</v>
      </c>
      <c r="Z26" s="88">
        <f t="shared" si="16"/>
        <v>3.9533504645186792E-3</v>
      </c>
      <c r="AA26" s="33">
        <f t="shared" si="32"/>
        <v>0.89714119572423856</v>
      </c>
      <c r="AB26" s="33">
        <f t="shared" si="33"/>
        <v>6.3923638934716012</v>
      </c>
      <c r="AC26" s="97">
        <f t="shared" si="17"/>
        <v>138.39516129032259</v>
      </c>
      <c r="AD26" s="145">
        <f t="shared" si="42"/>
        <v>107.85</v>
      </c>
      <c r="AE26" s="33">
        <f t="shared" si="34"/>
        <v>0.6359127549784046</v>
      </c>
      <c r="AF26" s="33">
        <f t="shared" si="35"/>
        <v>0.28321892712399255</v>
      </c>
      <c r="AG26" s="35">
        <f>AG27+AG28</f>
        <v>6490</v>
      </c>
      <c r="AH26" s="35">
        <f>AH27+AH28</f>
        <v>4956</v>
      </c>
      <c r="AI26" s="33">
        <f t="shared" si="36"/>
        <v>0.24068055821066717</v>
      </c>
      <c r="AJ26" s="33">
        <f t="shared" si="37"/>
        <v>0.30952380952380953</v>
      </c>
      <c r="AK26" s="35">
        <f>AK27+AK28</f>
        <v>32549</v>
      </c>
      <c r="AL26" s="35">
        <f>AL27+AL28</f>
        <v>40302</v>
      </c>
      <c r="AM26" s="150">
        <f t="shared" si="38"/>
        <v>0.22130501669730968</v>
      </c>
      <c r="AN26" s="267">
        <f t="shared" si="39"/>
        <v>-0.19237258696838866</v>
      </c>
      <c r="AO26" s="33">
        <f t="shared" si="11"/>
        <v>0.19939168638053398</v>
      </c>
      <c r="AP26" s="33">
        <f t="shared" si="18"/>
        <v>0.12297156468661605</v>
      </c>
      <c r="AQ26" s="33">
        <f t="shared" si="40"/>
        <v>1.5864621244047222E-2</v>
      </c>
      <c r="AR26" s="33">
        <f t="shared" si="41"/>
        <v>0.62144546902911224</v>
      </c>
      <c r="AS26" s="68" t="s">
        <v>158</v>
      </c>
    </row>
    <row r="27" spans="1:45" s="81" customFormat="1" ht="15.75" x14ac:dyDescent="0.25">
      <c r="A27" s="260" t="s">
        <v>18</v>
      </c>
      <c r="B27" s="260" t="s">
        <v>36</v>
      </c>
      <c r="C27" s="261">
        <f t="shared" si="19"/>
        <v>42776</v>
      </c>
      <c r="D27" s="260" t="s">
        <v>29</v>
      </c>
      <c r="E27" s="109">
        <v>33368</v>
      </c>
      <c r="F27" s="109">
        <f>1896</f>
        <v>1896</v>
      </c>
      <c r="G27" s="33">
        <f t="shared" si="22"/>
        <v>2.8611432538764174</v>
      </c>
      <c r="H27" s="33">
        <f t="shared" si="23"/>
        <v>16.599156118143458</v>
      </c>
      <c r="I27" s="109">
        <f>712.1+55.67</f>
        <v>767.77</v>
      </c>
      <c r="J27" s="111">
        <f>631.88+63.45</f>
        <v>695.33</v>
      </c>
      <c r="K27" s="33">
        <f t="shared" si="24"/>
        <v>0.21569155252949099</v>
      </c>
      <c r="L27" s="33">
        <f t="shared" si="25"/>
        <v>0.10418074870924587</v>
      </c>
      <c r="M27" s="111">
        <f t="shared" si="20"/>
        <v>43.460932310457558</v>
      </c>
      <c r="N27" s="111">
        <f t="shared" si="21"/>
        <v>2.7267628320365866</v>
      </c>
      <c r="O27" s="33">
        <f t="shared" si="26"/>
        <v>2.1760879195405542</v>
      </c>
      <c r="P27" s="33">
        <f t="shared" si="27"/>
        <v>14.938655096746022</v>
      </c>
      <c r="Q27" s="112">
        <v>7124</v>
      </c>
      <c r="R27" s="112">
        <v>3299</v>
      </c>
      <c r="S27" s="33">
        <f t="shared" si="28"/>
        <v>0.2363762582436654</v>
      </c>
      <c r="T27" s="33">
        <f t="shared" si="29"/>
        <v>1.1594422552288572</v>
      </c>
      <c r="U27" s="112">
        <v>239</v>
      </c>
      <c r="V27" s="112">
        <v>17</v>
      </c>
      <c r="W27" s="33">
        <f t="shared" si="30"/>
        <v>1.3663366336633664</v>
      </c>
      <c r="X27" s="33">
        <f t="shared" si="31"/>
        <v>13.058823529411764</v>
      </c>
      <c r="Y27" s="113">
        <f t="shared" si="15"/>
        <v>3.354856822010107E-2</v>
      </c>
      <c r="Z27" s="113">
        <f t="shared" si="16"/>
        <v>5.153076689906032E-3</v>
      </c>
      <c r="AA27" s="33">
        <f t="shared" si="32"/>
        <v>0.91392920875467676</v>
      </c>
      <c r="AB27" s="33">
        <f t="shared" si="33"/>
        <v>5.5103956798890259</v>
      </c>
      <c r="AC27" s="114">
        <f t="shared" si="17"/>
        <v>139.61506276150627</v>
      </c>
      <c r="AD27" s="145">
        <f t="shared" si="42"/>
        <v>111.52941176470588</v>
      </c>
      <c r="AE27" s="33">
        <f t="shared" si="34"/>
        <v>0.63169652151262823</v>
      </c>
      <c r="AF27" s="33">
        <f t="shared" si="35"/>
        <v>0.25182282011899076</v>
      </c>
      <c r="AG27" s="112">
        <f>4960+225</f>
        <v>5185</v>
      </c>
      <c r="AH27" s="112">
        <f>3092+183</f>
        <v>3275</v>
      </c>
      <c r="AI27" s="33">
        <f t="shared" si="36"/>
        <v>0.25120656370656369</v>
      </c>
      <c r="AJ27" s="33">
        <f t="shared" si="37"/>
        <v>0.583206106870229</v>
      </c>
      <c r="AK27" s="112">
        <f>12434+578</f>
        <v>13012</v>
      </c>
      <c r="AL27" s="112">
        <f>11529+703</f>
        <v>12232</v>
      </c>
      <c r="AM27" s="150">
        <f t="shared" si="38"/>
        <v>0.21177127956788974</v>
      </c>
      <c r="AN27" s="267">
        <f t="shared" si="39"/>
        <v>6.376716808371484E-2</v>
      </c>
      <c r="AO27" s="110">
        <f t="shared" si="11"/>
        <v>0.39847832769751002</v>
      </c>
      <c r="AP27" s="110">
        <f t="shared" si="18"/>
        <v>0.26774035317200784</v>
      </c>
      <c r="AQ27" s="33">
        <f t="shared" si="40"/>
        <v>3.254350454050739E-2</v>
      </c>
      <c r="AR27" s="33">
        <f t="shared" si="41"/>
        <v>0.48830134485372295</v>
      </c>
      <c r="AS27" s="68"/>
    </row>
    <row r="28" spans="1:45" s="81" customFormat="1" ht="15.75" x14ac:dyDescent="0.25">
      <c r="A28" s="260" t="s">
        <v>18</v>
      </c>
      <c r="B28" s="260" t="s">
        <v>36</v>
      </c>
      <c r="C28" s="261">
        <f t="shared" si="19"/>
        <v>42776</v>
      </c>
      <c r="D28" s="260" t="s">
        <v>30</v>
      </c>
      <c r="E28" s="109">
        <v>954</v>
      </c>
      <c r="F28" s="109">
        <v>261</v>
      </c>
      <c r="G28" s="33">
        <f t="shared" si="22"/>
        <v>1.326829268292683</v>
      </c>
      <c r="H28" s="33">
        <f t="shared" si="23"/>
        <v>2.6551724137931036</v>
      </c>
      <c r="I28" s="109">
        <f>1395.99+174.04</f>
        <v>1570.03</v>
      </c>
      <c r="J28" s="111">
        <f>1582.44+8.2</f>
        <v>1590.64</v>
      </c>
      <c r="K28" s="33">
        <f t="shared" si="24"/>
        <v>0.17931210612103871</v>
      </c>
      <c r="L28" s="33">
        <f t="shared" si="25"/>
        <v>-1.2957048735100417E-2</v>
      </c>
      <c r="M28" s="111">
        <f t="shared" si="20"/>
        <v>0.6076317013050706</v>
      </c>
      <c r="N28" s="111">
        <f t="shared" si="21"/>
        <v>0.16408489664537543</v>
      </c>
      <c r="O28" s="33">
        <f t="shared" si="26"/>
        <v>0.97303941527915483</v>
      </c>
      <c r="P28" s="33">
        <f t="shared" si="27"/>
        <v>2.7031543653789183</v>
      </c>
      <c r="Q28" s="112">
        <v>1362</v>
      </c>
      <c r="R28" s="112">
        <f>1760</f>
        <v>1760</v>
      </c>
      <c r="S28" s="33">
        <f t="shared" si="28"/>
        <v>0.15033783783783783</v>
      </c>
      <c r="T28" s="33">
        <f t="shared" si="29"/>
        <v>-0.22613636363636364</v>
      </c>
      <c r="U28" s="112">
        <v>9</v>
      </c>
      <c r="V28" s="112">
        <v>3</v>
      </c>
      <c r="W28" s="33">
        <f t="shared" si="30"/>
        <v>0.5</v>
      </c>
      <c r="X28" s="33">
        <f t="shared" si="31"/>
        <v>2</v>
      </c>
      <c r="Y28" s="113">
        <f t="shared" si="15"/>
        <v>6.6079295154185024E-3</v>
      </c>
      <c r="Z28" s="113">
        <f t="shared" si="16"/>
        <v>1.7045454545454545E-3</v>
      </c>
      <c r="AA28" s="33">
        <f t="shared" si="32"/>
        <v>0.30396475770925108</v>
      </c>
      <c r="AB28" s="33">
        <f t="shared" si="33"/>
        <v>2.876651982378855</v>
      </c>
      <c r="AC28" s="114">
        <f t="shared" si="17"/>
        <v>106</v>
      </c>
      <c r="AD28" s="145">
        <f t="shared" si="42"/>
        <v>87</v>
      </c>
      <c r="AE28" s="33">
        <f t="shared" si="34"/>
        <v>0.55121951219512211</v>
      </c>
      <c r="AF28" s="33">
        <f t="shared" si="35"/>
        <v>0.21839080459770116</v>
      </c>
      <c r="AG28" s="112">
        <f>1098+207</f>
        <v>1305</v>
      </c>
      <c r="AH28" s="112">
        <f>1674+7</f>
        <v>1681</v>
      </c>
      <c r="AI28" s="33">
        <f t="shared" si="36"/>
        <v>0.20055197792088317</v>
      </c>
      <c r="AJ28" s="33">
        <f t="shared" si="37"/>
        <v>-0.22367638310529447</v>
      </c>
      <c r="AK28" s="112">
        <f>17294+2243</f>
        <v>19537</v>
      </c>
      <c r="AL28" s="112">
        <f>27590+480</f>
        <v>28070</v>
      </c>
      <c r="AM28" s="150">
        <f t="shared" si="38"/>
        <v>0.22773832715389933</v>
      </c>
      <c r="AN28" s="267">
        <f t="shared" si="39"/>
        <v>-0.30399002493765587</v>
      </c>
      <c r="AO28" s="110">
        <f t="shared" si="11"/>
        <v>6.6796335158929215E-2</v>
      </c>
      <c r="AP28" s="110">
        <f t="shared" si="18"/>
        <v>5.9885999287495544E-2</v>
      </c>
      <c r="AQ28" s="33">
        <f t="shared" si="40"/>
        <v>-2.2143439389107029E-2</v>
      </c>
      <c r="AR28" s="33">
        <f t="shared" si="41"/>
        <v>0.11539150976272645</v>
      </c>
      <c r="AS28" s="68"/>
    </row>
    <row r="29" spans="1:45" s="81" customFormat="1" ht="15.75" x14ac:dyDescent="0.25">
      <c r="A29" s="260" t="s">
        <v>18</v>
      </c>
      <c r="B29" s="260" t="s">
        <v>36</v>
      </c>
      <c r="C29" s="261">
        <f t="shared" si="19"/>
        <v>42776</v>
      </c>
      <c r="D29" s="260" t="s">
        <v>228</v>
      </c>
      <c r="E29" s="109"/>
      <c r="F29" s="109"/>
      <c r="G29" s="33" t="e">
        <f t="shared" si="22"/>
        <v>#DIV/0!</v>
      </c>
      <c r="H29" s="33" t="e">
        <f t="shared" si="23"/>
        <v>#DIV/0!</v>
      </c>
      <c r="I29" s="109"/>
      <c r="J29" s="111"/>
      <c r="K29" s="33" t="e">
        <f t="shared" si="24"/>
        <v>#DIV/0!</v>
      </c>
      <c r="L29" s="33" t="e">
        <f t="shared" si="25"/>
        <v>#DIV/0!</v>
      </c>
      <c r="M29" s="111"/>
      <c r="N29" s="111"/>
      <c r="O29" s="33" t="e">
        <f t="shared" si="26"/>
        <v>#DIV/0!</v>
      </c>
      <c r="P29" s="33" t="e">
        <f t="shared" si="27"/>
        <v>#DIV/0!</v>
      </c>
      <c r="Q29" s="112"/>
      <c r="R29" s="112"/>
      <c r="S29" s="33" t="e">
        <f t="shared" si="28"/>
        <v>#DIV/0!</v>
      </c>
      <c r="T29" s="33" t="e">
        <f t="shared" si="29"/>
        <v>#DIV/0!</v>
      </c>
      <c r="U29" s="112"/>
      <c r="V29" s="112"/>
      <c r="W29" s="33" t="e">
        <f t="shared" si="30"/>
        <v>#DIV/0!</v>
      </c>
      <c r="X29" s="33" t="e">
        <f t="shared" si="31"/>
        <v>#DIV/0!</v>
      </c>
      <c r="Y29" s="113"/>
      <c r="Z29" s="113"/>
      <c r="AA29" s="33" t="e">
        <f t="shared" si="32"/>
        <v>#DIV/0!</v>
      </c>
      <c r="AB29" s="33" t="e">
        <f t="shared" si="33"/>
        <v>#DIV/0!</v>
      </c>
      <c r="AC29" s="114"/>
      <c r="AD29" s="145"/>
      <c r="AE29" s="33" t="e">
        <f t="shared" si="34"/>
        <v>#DIV/0!</v>
      </c>
      <c r="AF29" s="33" t="e">
        <f t="shared" si="35"/>
        <v>#DIV/0!</v>
      </c>
      <c r="AG29" s="112"/>
      <c r="AH29" s="112"/>
      <c r="AI29" s="33" t="e">
        <f t="shared" si="36"/>
        <v>#DIV/0!</v>
      </c>
      <c r="AJ29" s="33" t="e">
        <f t="shared" si="37"/>
        <v>#DIV/0!</v>
      </c>
      <c r="AK29" s="112"/>
      <c r="AL29" s="112"/>
      <c r="AM29" s="150" t="e">
        <f t="shared" si="38"/>
        <v>#DIV/0!</v>
      </c>
      <c r="AN29" s="267" t="e">
        <f t="shared" si="39"/>
        <v>#DIV/0!</v>
      </c>
      <c r="AO29" s="110"/>
      <c r="AP29" s="110"/>
      <c r="AQ29" s="33" t="e">
        <f t="shared" si="40"/>
        <v>#DIV/0!</v>
      </c>
      <c r="AR29" s="33" t="e">
        <f t="shared" si="41"/>
        <v>#DIV/0!</v>
      </c>
      <c r="AS29" s="68"/>
    </row>
    <row r="30" spans="1:45" s="81" customFormat="1" ht="15.75" customHeight="1" x14ac:dyDescent="0.3">
      <c r="A30" s="29" t="s">
        <v>18</v>
      </c>
      <c r="B30" s="29" t="s">
        <v>37</v>
      </c>
      <c r="C30" s="30">
        <f t="shared" si="19"/>
        <v>42783</v>
      </c>
      <c r="D30" s="31" t="s">
        <v>28</v>
      </c>
      <c r="E30" s="32">
        <f>E31+E32</f>
        <v>9163</v>
      </c>
      <c r="F30" s="32">
        <f>F31+F32</f>
        <v>6156</v>
      </c>
      <c r="G30" s="33">
        <f t="shared" si="22"/>
        <v>-0.73302837829963285</v>
      </c>
      <c r="H30" s="33">
        <f t="shared" si="23"/>
        <v>0.48846653671215073</v>
      </c>
      <c r="I30" s="32">
        <f>I31+I32</f>
        <v>2060.44</v>
      </c>
      <c r="J30" s="34">
        <f>J31+J32</f>
        <v>2274.42</v>
      </c>
      <c r="K30" s="33">
        <f t="shared" si="24"/>
        <v>-0.11864145778081962</v>
      </c>
      <c r="L30" s="33">
        <f t="shared" si="25"/>
        <v>-9.4081128375585868E-2</v>
      </c>
      <c r="M30" s="34">
        <f t="shared" si="20"/>
        <v>4.447108384616878</v>
      </c>
      <c r="N30" s="34">
        <f t="shared" si="21"/>
        <v>2.7066241063655787</v>
      </c>
      <c r="O30" s="33">
        <f t="shared" si="26"/>
        <v>-0.69709078778750255</v>
      </c>
      <c r="P30" s="33">
        <f t="shared" si="27"/>
        <v>0.64304617481161797</v>
      </c>
      <c r="Q30" s="35">
        <f>Q31+Q32</f>
        <v>6699</v>
      </c>
      <c r="R30" s="35">
        <f>R31+R32</f>
        <v>5305</v>
      </c>
      <c r="S30" s="33">
        <f t="shared" si="28"/>
        <v>-0.21058213528164035</v>
      </c>
      <c r="T30" s="33">
        <f t="shared" si="29"/>
        <v>0.26277097078228084</v>
      </c>
      <c r="U30" s="35">
        <f>U31+U32</f>
        <v>89</v>
      </c>
      <c r="V30" s="35">
        <f>V31+V32</f>
        <v>52</v>
      </c>
      <c r="W30" s="33">
        <f t="shared" si="30"/>
        <v>-0.6411290322580645</v>
      </c>
      <c r="X30" s="33">
        <f t="shared" si="31"/>
        <v>0.71153846153846156</v>
      </c>
      <c r="Y30" s="88">
        <f t="shared" si="15"/>
        <v>1.3285565009702941E-2</v>
      </c>
      <c r="Z30" s="88">
        <f t="shared" si="16"/>
        <v>9.8020735155513669E-3</v>
      </c>
      <c r="AA30" s="33">
        <f t="shared" si="32"/>
        <v>-0.54539796503089055</v>
      </c>
      <c r="AB30" s="33">
        <f t="shared" si="33"/>
        <v>0.35538312262450189</v>
      </c>
      <c r="AC30" s="97">
        <f t="shared" si="17"/>
        <v>102.95505617977528</v>
      </c>
      <c r="AD30" s="145">
        <f t="shared" si="42"/>
        <v>118.38461538461539</v>
      </c>
      <c r="AE30" s="33">
        <f t="shared" si="34"/>
        <v>-0.25607907661021301</v>
      </c>
      <c r="AF30" s="33">
        <f t="shared" si="35"/>
        <v>-0.13033415832548495</v>
      </c>
      <c r="AG30" s="35">
        <f>AG31+AG32</f>
        <v>4978</v>
      </c>
      <c r="AH30" s="35">
        <f>AH31+AH32</f>
        <v>4994</v>
      </c>
      <c r="AI30" s="33">
        <f t="shared" si="36"/>
        <v>-0.23297380585516178</v>
      </c>
      <c r="AJ30" s="33">
        <f t="shared" si="37"/>
        <v>-3.2038446135362435E-3</v>
      </c>
      <c r="AK30" s="35">
        <f>AK31+AK32</f>
        <v>29800</v>
      </c>
      <c r="AL30" s="35">
        <f>AL31+AL32</f>
        <v>40137</v>
      </c>
      <c r="AM30" s="150">
        <f t="shared" si="38"/>
        <v>-8.4457279793542048E-2</v>
      </c>
      <c r="AN30" s="267">
        <f t="shared" si="39"/>
        <v>-0.25754291551436331</v>
      </c>
      <c r="AO30" s="33">
        <f t="shared" si="11"/>
        <v>0.1670469798657718</v>
      </c>
      <c r="AP30" s="33">
        <f t="shared" si="18"/>
        <v>0.12442384831950569</v>
      </c>
      <c r="AQ30" s="33">
        <f t="shared" si="40"/>
        <v>-0.16221692640200217</v>
      </c>
      <c r="AR30" s="33">
        <f t="shared" si="41"/>
        <v>0.34256400297807027</v>
      </c>
      <c r="AS30" s="68" t="s">
        <v>129</v>
      </c>
    </row>
    <row r="31" spans="1:45" s="81" customFormat="1" ht="15.75" x14ac:dyDescent="0.25">
      <c r="A31" s="260" t="s">
        <v>18</v>
      </c>
      <c r="B31" s="260" t="s">
        <v>37</v>
      </c>
      <c r="C31" s="261">
        <f t="shared" si="19"/>
        <v>42783</v>
      </c>
      <c r="D31" s="260" t="s">
        <v>29</v>
      </c>
      <c r="E31" s="109">
        <v>8172</v>
      </c>
      <c r="F31" s="109">
        <f>5785</f>
        <v>5785</v>
      </c>
      <c r="G31" s="33">
        <f t="shared" si="22"/>
        <v>-0.75509470151042912</v>
      </c>
      <c r="H31" s="33">
        <f t="shared" si="23"/>
        <v>0.412618841832325</v>
      </c>
      <c r="I31" s="109">
        <f>493.06+29.09</f>
        <v>522.15</v>
      </c>
      <c r="J31" s="111">
        <f>474.17+111.15</f>
        <v>585.32000000000005</v>
      </c>
      <c r="K31" s="33">
        <f t="shared" si="24"/>
        <v>-0.3199135157664405</v>
      </c>
      <c r="L31" s="33">
        <f t="shared" si="25"/>
        <v>-0.10792387070320519</v>
      </c>
      <c r="M31" s="111">
        <f t="shared" si="20"/>
        <v>15.650675093363976</v>
      </c>
      <c r="N31" s="111">
        <f t="shared" si="21"/>
        <v>9.8834825394655912</v>
      </c>
      <c r="O31" s="33">
        <f t="shared" si="26"/>
        <v>-0.63989094892016118</v>
      </c>
      <c r="P31" s="33">
        <f t="shared" si="27"/>
        <v>0.58351826199616297</v>
      </c>
      <c r="Q31" s="112">
        <v>5299</v>
      </c>
      <c r="R31" s="112">
        <f>3440</f>
        <v>3440</v>
      </c>
      <c r="S31" s="33">
        <f t="shared" si="28"/>
        <v>-0.25617630544637843</v>
      </c>
      <c r="T31" s="33">
        <f t="shared" si="29"/>
        <v>0.54040697674418603</v>
      </c>
      <c r="U31" s="112">
        <v>83</v>
      </c>
      <c r="V31" s="112">
        <f>46</f>
        <v>46</v>
      </c>
      <c r="W31" s="33">
        <f t="shared" si="30"/>
        <v>-0.65271966527196656</v>
      </c>
      <c r="X31" s="33">
        <f t="shared" si="31"/>
        <v>0.80434782608695654</v>
      </c>
      <c r="Y31" s="113">
        <f t="shared" si="15"/>
        <v>1.5663332704283828E-2</v>
      </c>
      <c r="Z31" s="113">
        <f t="shared" si="16"/>
        <v>1.3372093023255814E-2</v>
      </c>
      <c r="AA31" s="33">
        <f t="shared" si="32"/>
        <v>-0.53311471888988293</v>
      </c>
      <c r="AB31" s="33">
        <f t="shared" si="33"/>
        <v>0.17134488049426888</v>
      </c>
      <c r="AC31" s="114">
        <f t="shared" si="17"/>
        <v>98.4578313253012</v>
      </c>
      <c r="AD31" s="145">
        <f t="shared" si="42"/>
        <v>125.76086956521739</v>
      </c>
      <c r="AE31" s="33">
        <f t="shared" si="34"/>
        <v>-0.29479076699991041</v>
      </c>
      <c r="AF31" s="33">
        <f t="shared" si="35"/>
        <v>-0.2171028105507597</v>
      </c>
      <c r="AG31" s="112">
        <f>3523+143</f>
        <v>3666</v>
      </c>
      <c r="AH31" s="112">
        <f>2826+313</f>
        <v>3139</v>
      </c>
      <c r="AI31" s="33">
        <f t="shared" si="36"/>
        <v>-0.29296046287367405</v>
      </c>
      <c r="AJ31" s="33">
        <f t="shared" si="37"/>
        <v>0.16788786237655304</v>
      </c>
      <c r="AK31" s="112">
        <f>9637+391</f>
        <v>10028</v>
      </c>
      <c r="AL31" s="112">
        <f>9316+1479</f>
        <v>10795</v>
      </c>
      <c r="AM31" s="150">
        <f t="shared" si="38"/>
        <v>-0.22932677528435291</v>
      </c>
      <c r="AN31" s="267">
        <f t="shared" si="39"/>
        <v>-7.1051412691060675E-2</v>
      </c>
      <c r="AO31" s="110">
        <f t="shared" si="11"/>
        <v>0.36557638611886717</v>
      </c>
      <c r="AP31" s="110">
        <f t="shared" si="18"/>
        <v>0.29078276980083373</v>
      </c>
      <c r="AQ31" s="33">
        <f t="shared" si="40"/>
        <v>-8.2568961199865121E-2</v>
      </c>
      <c r="AR31" s="33">
        <f t="shared" si="41"/>
        <v>0.25721474614627937</v>
      </c>
      <c r="AS31" s="68"/>
    </row>
    <row r="32" spans="1:45" s="81" customFormat="1" ht="15.75" x14ac:dyDescent="0.25">
      <c r="A32" s="260" t="s">
        <v>18</v>
      </c>
      <c r="B32" s="260" t="s">
        <v>37</v>
      </c>
      <c r="C32" s="261">
        <f t="shared" si="19"/>
        <v>42783</v>
      </c>
      <c r="D32" s="260" t="s">
        <v>30</v>
      </c>
      <c r="E32" s="109">
        <v>991</v>
      </c>
      <c r="F32" s="109">
        <f>371</f>
        <v>371</v>
      </c>
      <c r="G32" s="33">
        <f t="shared" si="22"/>
        <v>3.8784067085953881E-2</v>
      </c>
      <c r="H32" s="33">
        <f t="shared" si="23"/>
        <v>1.6711590296495957</v>
      </c>
      <c r="I32" s="109">
        <f>1393.91+144.38</f>
        <v>1538.29</v>
      </c>
      <c r="J32" s="111">
        <f>1634.38+54.72</f>
        <v>1689.1000000000001</v>
      </c>
      <c r="K32" s="33">
        <f t="shared" si="24"/>
        <v>-2.0216174213231599E-2</v>
      </c>
      <c r="L32" s="33">
        <f t="shared" si="25"/>
        <v>-8.928423420756626E-2</v>
      </c>
      <c r="M32" s="111">
        <f t="shared" si="20"/>
        <v>0.64422183073412687</v>
      </c>
      <c r="N32" s="111">
        <f t="shared" si="21"/>
        <v>0.21964359718193119</v>
      </c>
      <c r="O32" s="33">
        <f t="shared" si="26"/>
        <v>6.0217611014152204E-2</v>
      </c>
      <c r="P32" s="33">
        <f t="shared" si="27"/>
        <v>1.9330325991725441</v>
      </c>
      <c r="Q32" s="112">
        <v>1400</v>
      </c>
      <c r="R32" s="112">
        <f>1865</f>
        <v>1865</v>
      </c>
      <c r="S32" s="33">
        <f t="shared" si="28"/>
        <v>2.7900146842878122E-2</v>
      </c>
      <c r="T32" s="33">
        <f t="shared" si="29"/>
        <v>-0.24932975871313673</v>
      </c>
      <c r="U32" s="112">
        <v>6</v>
      </c>
      <c r="V32" s="112">
        <f>6</f>
        <v>6</v>
      </c>
      <c r="W32" s="33">
        <f t="shared" si="30"/>
        <v>-0.33333333333333331</v>
      </c>
      <c r="X32" s="33">
        <f t="shared" si="31"/>
        <v>0</v>
      </c>
      <c r="Y32" s="113">
        <f t="shared" si="15"/>
        <v>4.2857142857142859E-3</v>
      </c>
      <c r="Z32" s="113">
        <f t="shared" si="16"/>
        <v>3.2171581769436996E-3</v>
      </c>
      <c r="AA32" s="33">
        <f t="shared" si="32"/>
        <v>-0.35142857142857142</v>
      </c>
      <c r="AB32" s="33">
        <f t="shared" si="33"/>
        <v>0.33214285714285724</v>
      </c>
      <c r="AC32" s="114">
        <f t="shared" si="17"/>
        <v>165.16666666666666</v>
      </c>
      <c r="AD32" s="145">
        <f t="shared" si="42"/>
        <v>61.833333333333336</v>
      </c>
      <c r="AE32" s="33">
        <f t="shared" si="34"/>
        <v>0.55817610062893075</v>
      </c>
      <c r="AF32" s="33">
        <f t="shared" si="35"/>
        <v>1.6711590296495953</v>
      </c>
      <c r="AG32" s="112">
        <f>1143+169</f>
        <v>1312</v>
      </c>
      <c r="AH32" s="112">
        <f>1790+65</f>
        <v>1855</v>
      </c>
      <c r="AI32" s="33">
        <f t="shared" si="36"/>
        <v>5.3639846743295016E-3</v>
      </c>
      <c r="AJ32" s="33">
        <f t="shared" si="37"/>
        <v>-0.29272237196765499</v>
      </c>
      <c r="AK32" s="112">
        <f>17619+2153</f>
        <v>19772</v>
      </c>
      <c r="AL32" s="112">
        <f>27557+1785</f>
        <v>29342</v>
      </c>
      <c r="AM32" s="150">
        <f t="shared" si="38"/>
        <v>1.2028458821722885E-2</v>
      </c>
      <c r="AN32" s="267">
        <f t="shared" si="39"/>
        <v>-0.32615363642560152</v>
      </c>
      <c r="AO32" s="110">
        <f t="shared" si="11"/>
        <v>6.6356463686020634E-2</v>
      </c>
      <c r="AP32" s="110">
        <f t="shared" si="18"/>
        <v>6.3219957739758706E-2</v>
      </c>
      <c r="AQ32" s="33">
        <f t="shared" si="40"/>
        <v>-6.5852635756436483E-3</v>
      </c>
      <c r="AR32" s="33">
        <f t="shared" si="41"/>
        <v>4.9612591630845006E-2</v>
      </c>
      <c r="AS32" s="68"/>
    </row>
    <row r="33" spans="1:45" s="81" customFormat="1" ht="15.75" x14ac:dyDescent="0.25">
      <c r="A33" s="260" t="s">
        <v>18</v>
      </c>
      <c r="B33" s="260" t="s">
        <v>37</v>
      </c>
      <c r="C33" s="261">
        <f t="shared" si="19"/>
        <v>42783</v>
      </c>
      <c r="D33" s="260" t="s">
        <v>228</v>
      </c>
      <c r="E33" s="109"/>
      <c r="F33" s="109"/>
      <c r="G33" s="33" t="e">
        <f t="shared" si="22"/>
        <v>#DIV/0!</v>
      </c>
      <c r="H33" s="33" t="e">
        <f t="shared" si="23"/>
        <v>#DIV/0!</v>
      </c>
      <c r="I33" s="109"/>
      <c r="J33" s="111"/>
      <c r="K33" s="33" t="e">
        <f t="shared" si="24"/>
        <v>#DIV/0!</v>
      </c>
      <c r="L33" s="33" t="e">
        <f t="shared" si="25"/>
        <v>#DIV/0!</v>
      </c>
      <c r="M33" s="111"/>
      <c r="N33" s="111"/>
      <c r="O33" s="33" t="e">
        <f t="shared" si="26"/>
        <v>#DIV/0!</v>
      </c>
      <c r="P33" s="33" t="e">
        <f t="shared" si="27"/>
        <v>#DIV/0!</v>
      </c>
      <c r="Q33" s="112"/>
      <c r="R33" s="112"/>
      <c r="S33" s="33" t="e">
        <f t="shared" si="28"/>
        <v>#DIV/0!</v>
      </c>
      <c r="T33" s="33" t="e">
        <f t="shared" si="29"/>
        <v>#DIV/0!</v>
      </c>
      <c r="U33" s="112"/>
      <c r="V33" s="112"/>
      <c r="W33" s="33" t="e">
        <f t="shared" si="30"/>
        <v>#DIV/0!</v>
      </c>
      <c r="X33" s="33" t="e">
        <f t="shared" si="31"/>
        <v>#DIV/0!</v>
      </c>
      <c r="Y33" s="113"/>
      <c r="Z33" s="113"/>
      <c r="AA33" s="33" t="e">
        <f t="shared" si="32"/>
        <v>#DIV/0!</v>
      </c>
      <c r="AB33" s="33" t="e">
        <f t="shared" si="33"/>
        <v>#DIV/0!</v>
      </c>
      <c r="AC33" s="114"/>
      <c r="AD33" s="145"/>
      <c r="AE33" s="33" t="e">
        <f t="shared" si="34"/>
        <v>#DIV/0!</v>
      </c>
      <c r="AF33" s="33" t="e">
        <f t="shared" si="35"/>
        <v>#DIV/0!</v>
      </c>
      <c r="AG33" s="112"/>
      <c r="AH33" s="112"/>
      <c r="AI33" s="33" t="e">
        <f t="shared" si="36"/>
        <v>#DIV/0!</v>
      </c>
      <c r="AJ33" s="33" t="e">
        <f t="shared" si="37"/>
        <v>#DIV/0!</v>
      </c>
      <c r="AK33" s="112"/>
      <c r="AL33" s="112"/>
      <c r="AM33" s="150" t="e">
        <f t="shared" si="38"/>
        <v>#DIV/0!</v>
      </c>
      <c r="AN33" s="267" t="e">
        <f t="shared" si="39"/>
        <v>#DIV/0!</v>
      </c>
      <c r="AO33" s="110"/>
      <c r="AP33" s="110"/>
      <c r="AQ33" s="33" t="e">
        <f t="shared" si="40"/>
        <v>#DIV/0!</v>
      </c>
      <c r="AR33" s="33" t="e">
        <f t="shared" si="41"/>
        <v>#DIV/0!</v>
      </c>
      <c r="AS33" s="68"/>
    </row>
    <row r="34" spans="1:45" s="108" customFormat="1" ht="15.75" customHeight="1" x14ac:dyDescent="0.3">
      <c r="A34" s="272" t="s">
        <v>38</v>
      </c>
      <c r="B34" s="272" t="s">
        <v>39</v>
      </c>
      <c r="C34" s="273">
        <f t="shared" si="19"/>
        <v>42790</v>
      </c>
      <c r="D34" s="274" t="s">
        <v>28</v>
      </c>
      <c r="E34" s="115">
        <f>E35+E36</f>
        <v>26865</v>
      </c>
      <c r="F34" s="115">
        <f>F35+F36</f>
        <v>3243</v>
      </c>
      <c r="G34" s="116">
        <f t="shared" si="22"/>
        <v>1.9319000327403688</v>
      </c>
      <c r="H34" s="116">
        <f t="shared" si="23"/>
        <v>7.283996299722479</v>
      </c>
      <c r="I34" s="115">
        <f>I35+I36</f>
        <v>3231.55</v>
      </c>
      <c r="J34" s="117">
        <f>J35+J36</f>
        <v>2239.1</v>
      </c>
      <c r="K34" s="116">
        <f t="shared" si="24"/>
        <v>0.56837859874589902</v>
      </c>
      <c r="L34" s="116">
        <f t="shared" si="25"/>
        <v>0.44323612165602266</v>
      </c>
      <c r="M34" s="117">
        <f t="shared" si="20"/>
        <v>8.3133480837369067</v>
      </c>
      <c r="N34" s="117">
        <f t="shared" si="21"/>
        <v>1.4483497833951142</v>
      </c>
      <c r="O34" s="116">
        <f t="shared" si="26"/>
        <v>0.86938283593308652</v>
      </c>
      <c r="P34" s="116">
        <f t="shared" si="27"/>
        <v>4.739875946437035</v>
      </c>
      <c r="Q34" s="118">
        <f>Q35+Q36</f>
        <v>19321</v>
      </c>
      <c r="R34" s="118">
        <f>R35+R36</f>
        <v>4902</v>
      </c>
      <c r="S34" s="116">
        <f t="shared" si="28"/>
        <v>1.884161815196298</v>
      </c>
      <c r="T34" s="116">
        <f t="shared" si="29"/>
        <v>2.9414524683802528</v>
      </c>
      <c r="U34" s="118">
        <f>U35+U36</f>
        <v>421</v>
      </c>
      <c r="V34" s="118">
        <f>V35+V36</f>
        <v>37</v>
      </c>
      <c r="W34" s="116">
        <f t="shared" si="30"/>
        <v>3.7303370786516852</v>
      </c>
      <c r="X34" s="116">
        <f t="shared" si="31"/>
        <v>10.378378378378379</v>
      </c>
      <c r="Y34" s="119">
        <f t="shared" si="15"/>
        <v>2.1789762434656593E-2</v>
      </c>
      <c r="Z34" s="119">
        <f t="shared" si="16"/>
        <v>7.5479396164830678E-3</v>
      </c>
      <c r="AA34" s="116">
        <f t="shared" si="32"/>
        <v>0.64010807359285971</v>
      </c>
      <c r="AB34" s="116">
        <f t="shared" si="33"/>
        <v>1.8868490663428816</v>
      </c>
      <c r="AC34" s="120">
        <f t="shared" si="17"/>
        <v>63.812351543942995</v>
      </c>
      <c r="AD34" s="275">
        <f t="shared" si="17"/>
        <v>87.648648648648646</v>
      </c>
      <c r="AE34" s="116">
        <f t="shared" si="34"/>
        <v>-0.38019215459882938</v>
      </c>
      <c r="AF34" s="116">
        <f t="shared" si="35"/>
        <v>-0.27195281926429515</v>
      </c>
      <c r="AG34" s="118">
        <f>AG35+AG36</f>
        <v>16428</v>
      </c>
      <c r="AH34" s="118">
        <f>AH35+AH36</f>
        <v>4523</v>
      </c>
      <c r="AI34" s="116">
        <f t="shared" si="36"/>
        <v>2.3001205303334671</v>
      </c>
      <c r="AJ34" s="116">
        <f t="shared" si="37"/>
        <v>2.6321025867786867</v>
      </c>
      <c r="AK34" s="118">
        <f>AK35+AK36</f>
        <v>52604</v>
      </c>
      <c r="AL34" s="118">
        <f>AL35+AL36</f>
        <v>37391</v>
      </c>
      <c r="AM34" s="276">
        <f t="shared" si="38"/>
        <v>0.76523489932885902</v>
      </c>
      <c r="AN34" s="277">
        <f t="shared" si="39"/>
        <v>0.40686261399802093</v>
      </c>
      <c r="AO34" s="116">
        <f t="shared" si="11"/>
        <v>0.31229564291688844</v>
      </c>
      <c r="AP34" s="116">
        <f t="shared" si="18"/>
        <v>0.12096493808670536</v>
      </c>
      <c r="AQ34" s="116">
        <f t="shared" si="40"/>
        <v>0.86950786639680111</v>
      </c>
      <c r="AR34" s="116">
        <f t="shared" si="41"/>
        <v>1.5817038214250221</v>
      </c>
      <c r="AS34" s="106" t="s">
        <v>166</v>
      </c>
    </row>
    <row r="35" spans="1:45" s="81" customFormat="1" ht="15.75" x14ac:dyDescent="0.25">
      <c r="A35" s="260" t="s">
        <v>38</v>
      </c>
      <c r="B35" s="260" t="s">
        <v>39</v>
      </c>
      <c r="C35" s="261">
        <f t="shared" si="19"/>
        <v>42790</v>
      </c>
      <c r="D35" s="260" t="s">
        <v>29</v>
      </c>
      <c r="E35" s="109">
        <v>26467</v>
      </c>
      <c r="F35" s="109">
        <v>2917</v>
      </c>
      <c r="G35" s="33">
        <f t="shared" si="22"/>
        <v>2.2387420460107683</v>
      </c>
      <c r="H35" s="33">
        <f t="shared" si="23"/>
        <v>8.0733630442235178</v>
      </c>
      <c r="I35" s="109">
        <f>1332.71+146.43</f>
        <v>1479.14</v>
      </c>
      <c r="J35" s="111">
        <f>486.77+95.9</f>
        <v>582.66999999999996</v>
      </c>
      <c r="K35" s="33">
        <f t="shared" si="24"/>
        <v>1.8327875131667148</v>
      </c>
      <c r="L35" s="33">
        <f t="shared" si="25"/>
        <v>1.5385552714229327</v>
      </c>
      <c r="M35" s="111">
        <f t="shared" si="20"/>
        <v>17.893505685736304</v>
      </c>
      <c r="N35" s="111">
        <f t="shared" si="21"/>
        <v>5.0062642662227335</v>
      </c>
      <c r="O35" s="33">
        <f t="shared" si="26"/>
        <v>0.14330567716681492</v>
      </c>
      <c r="P35" s="33">
        <f t="shared" si="27"/>
        <v>2.5742231600644403</v>
      </c>
      <c r="Q35" s="112">
        <v>17544</v>
      </c>
      <c r="R35" s="112">
        <v>3006</v>
      </c>
      <c r="S35" s="33">
        <f t="shared" si="28"/>
        <v>2.3108133610115118</v>
      </c>
      <c r="T35" s="33">
        <f t="shared" si="29"/>
        <v>4.8363273453093809</v>
      </c>
      <c r="U35" s="112">
        <v>413</v>
      </c>
      <c r="V35" s="112">
        <v>34</v>
      </c>
      <c r="W35" s="33">
        <f t="shared" si="30"/>
        <v>3.9759036144578315</v>
      </c>
      <c r="X35" s="33">
        <f t="shared" si="31"/>
        <v>11.147058823529411</v>
      </c>
      <c r="Y35" s="113">
        <f t="shared" si="15"/>
        <v>2.3540811673506613E-2</v>
      </c>
      <c r="Z35" s="113">
        <f t="shared" si="16"/>
        <v>1.1310711909514305E-2</v>
      </c>
      <c r="AA35" s="33">
        <f t="shared" si="32"/>
        <v>0.50292483202303062</v>
      </c>
      <c r="AB35" s="33">
        <f t="shared" si="33"/>
        <v>1.0812847026635553</v>
      </c>
      <c r="AC35" s="114">
        <f t="shared" si="17"/>
        <v>64.084745762711862</v>
      </c>
      <c r="AD35" s="145">
        <f t="shared" ref="AD35:AD48" si="43">F35/V35</f>
        <v>85.794117647058826</v>
      </c>
      <c r="AE35" s="33">
        <f t="shared" si="34"/>
        <v>-0.34911479462737582</v>
      </c>
      <c r="AF35" s="33">
        <f t="shared" si="35"/>
        <v>-0.25304033049975894</v>
      </c>
      <c r="AG35" s="112">
        <f>13779+1080</f>
        <v>14859</v>
      </c>
      <c r="AH35" s="112">
        <f>2413+282</f>
        <v>2695</v>
      </c>
      <c r="AI35" s="33">
        <f t="shared" si="36"/>
        <v>3.0531914893617023</v>
      </c>
      <c r="AJ35" s="33">
        <f t="shared" si="37"/>
        <v>4.5135435992578854</v>
      </c>
      <c r="AK35" s="112">
        <f>27232+2106</f>
        <v>29338</v>
      </c>
      <c r="AL35" s="112">
        <f>8282+1254</f>
        <v>9536</v>
      </c>
      <c r="AM35" s="150">
        <f t="shared" si="38"/>
        <v>1.9256082967690467</v>
      </c>
      <c r="AN35" s="267">
        <f t="shared" si="39"/>
        <v>2.0765520134228188</v>
      </c>
      <c r="AO35" s="110">
        <f t="shared" si="11"/>
        <v>0.50647624241597933</v>
      </c>
      <c r="AP35" s="110">
        <f t="shared" si="18"/>
        <v>0.28261325503355705</v>
      </c>
      <c r="AQ35" s="33">
        <f t="shared" si="40"/>
        <v>0.38541837396274981</v>
      </c>
      <c r="AR35" s="33">
        <f t="shared" si="41"/>
        <v>0.79211779134648563</v>
      </c>
      <c r="AS35" s="68"/>
    </row>
    <row r="36" spans="1:45" s="81" customFormat="1" ht="15.75" x14ac:dyDescent="0.25">
      <c r="A36" s="260" t="s">
        <v>38</v>
      </c>
      <c r="B36" s="260" t="s">
        <v>39</v>
      </c>
      <c r="C36" s="261">
        <f t="shared" si="19"/>
        <v>42790</v>
      </c>
      <c r="D36" s="260" t="s">
        <v>30</v>
      </c>
      <c r="E36" s="109">
        <v>398</v>
      </c>
      <c r="F36" s="109">
        <v>326</v>
      </c>
      <c r="G36" s="33">
        <f t="shared" si="22"/>
        <v>-0.59838546922300706</v>
      </c>
      <c r="H36" s="33">
        <f t="shared" si="23"/>
        <v>0.22085889570552147</v>
      </c>
      <c r="I36" s="109">
        <f>1592.14+160.27</f>
        <v>1752.41</v>
      </c>
      <c r="J36" s="111">
        <f>1602.97+53.46</f>
        <v>1656.43</v>
      </c>
      <c r="K36" s="33">
        <f t="shared" si="24"/>
        <v>0.13919352007748872</v>
      </c>
      <c r="L36" s="33">
        <f t="shared" si="25"/>
        <v>5.7943891380861257E-2</v>
      </c>
      <c r="M36" s="111">
        <f t="shared" si="20"/>
        <v>0.22711580052613256</v>
      </c>
      <c r="N36" s="111">
        <f t="shared" si="21"/>
        <v>0.19680879964743453</v>
      </c>
      <c r="O36" s="33">
        <f t="shared" si="26"/>
        <v>-0.64745714955464739</v>
      </c>
      <c r="P36" s="33">
        <f t="shared" si="27"/>
        <v>0.15399210265491345</v>
      </c>
      <c r="Q36" s="112">
        <v>1777</v>
      </c>
      <c r="R36" s="112">
        <v>1896</v>
      </c>
      <c r="S36" s="33">
        <f t="shared" si="28"/>
        <v>0.26928571428571429</v>
      </c>
      <c r="T36" s="33">
        <f t="shared" si="29"/>
        <v>-6.2763713080168773E-2</v>
      </c>
      <c r="U36" s="112">
        <v>8</v>
      </c>
      <c r="V36" s="112">
        <v>3</v>
      </c>
      <c r="W36" s="33">
        <f t="shared" si="30"/>
        <v>0.33333333333333331</v>
      </c>
      <c r="X36" s="33">
        <f t="shared" si="31"/>
        <v>1.6666666666666667</v>
      </c>
      <c r="Y36" s="113">
        <f t="shared" si="15"/>
        <v>4.5019696117051212E-3</v>
      </c>
      <c r="Z36" s="113">
        <f t="shared" si="16"/>
        <v>1.5822784810126582E-3</v>
      </c>
      <c r="AA36" s="33">
        <f t="shared" si="32"/>
        <v>5.0459576064528229E-2</v>
      </c>
      <c r="AB36" s="33">
        <f t="shared" si="33"/>
        <v>1.8452447945976367</v>
      </c>
      <c r="AC36" s="114">
        <f t="shared" si="17"/>
        <v>49.75</v>
      </c>
      <c r="AD36" s="145">
        <f t="shared" si="43"/>
        <v>108.66666666666667</v>
      </c>
      <c r="AE36" s="33">
        <f t="shared" si="34"/>
        <v>-0.6987891019172553</v>
      </c>
      <c r="AF36" s="33">
        <f t="shared" si="35"/>
        <v>-0.54217791411042948</v>
      </c>
      <c r="AG36" s="112">
        <f>1405+164</f>
        <v>1569</v>
      </c>
      <c r="AH36" s="112">
        <f>1752+76</f>
        <v>1828</v>
      </c>
      <c r="AI36" s="33">
        <f t="shared" si="36"/>
        <v>0.19588414634146342</v>
      </c>
      <c r="AJ36" s="33">
        <f t="shared" si="37"/>
        <v>-0.14168490153172866</v>
      </c>
      <c r="AK36" s="112">
        <f>21132+2134</f>
        <v>23266</v>
      </c>
      <c r="AL36" s="112">
        <f>26149+1706</f>
        <v>27855</v>
      </c>
      <c r="AM36" s="150">
        <f t="shared" si="38"/>
        <v>0.17671454582237509</v>
      </c>
      <c r="AN36" s="267">
        <f t="shared" si="39"/>
        <v>-0.16474600610303355</v>
      </c>
      <c r="AO36" s="110">
        <f t="shared" si="11"/>
        <v>6.7437462391472539E-2</v>
      </c>
      <c r="AP36" s="110">
        <f t="shared" si="18"/>
        <v>6.5625560940585179E-2</v>
      </c>
      <c r="AQ36" s="33">
        <f t="shared" si="40"/>
        <v>1.629078232027063E-2</v>
      </c>
      <c r="AR36" s="33">
        <f t="shared" si="41"/>
        <v>2.7609690872246941E-2</v>
      </c>
      <c r="AS36" s="68"/>
    </row>
    <row r="37" spans="1:45" s="81" customFormat="1" ht="15.75" x14ac:dyDescent="0.25">
      <c r="A37" s="260" t="s">
        <v>38</v>
      </c>
      <c r="B37" s="260" t="s">
        <v>39</v>
      </c>
      <c r="C37" s="261">
        <f t="shared" si="19"/>
        <v>42790</v>
      </c>
      <c r="D37" s="260" t="s">
        <v>228</v>
      </c>
      <c r="E37" s="109"/>
      <c r="F37" s="109"/>
      <c r="G37" s="33" t="e">
        <f t="shared" si="22"/>
        <v>#DIV/0!</v>
      </c>
      <c r="H37" s="33" t="e">
        <f t="shared" si="23"/>
        <v>#DIV/0!</v>
      </c>
      <c r="I37" s="109"/>
      <c r="J37" s="111"/>
      <c r="K37" s="33" t="e">
        <f t="shared" si="24"/>
        <v>#DIV/0!</v>
      </c>
      <c r="L37" s="33" t="e">
        <f t="shared" si="25"/>
        <v>#DIV/0!</v>
      </c>
      <c r="M37" s="111"/>
      <c r="N37" s="111"/>
      <c r="O37" s="33" t="e">
        <f t="shared" si="26"/>
        <v>#DIV/0!</v>
      </c>
      <c r="P37" s="33" t="e">
        <f t="shared" si="27"/>
        <v>#DIV/0!</v>
      </c>
      <c r="Q37" s="112"/>
      <c r="R37" s="112"/>
      <c r="S37" s="33" t="e">
        <f t="shared" si="28"/>
        <v>#DIV/0!</v>
      </c>
      <c r="T37" s="33" t="e">
        <f t="shared" si="29"/>
        <v>#DIV/0!</v>
      </c>
      <c r="U37" s="112"/>
      <c r="V37" s="112"/>
      <c r="W37" s="33" t="e">
        <f t="shared" si="30"/>
        <v>#DIV/0!</v>
      </c>
      <c r="X37" s="33" t="e">
        <f t="shared" si="31"/>
        <v>#DIV/0!</v>
      </c>
      <c r="Y37" s="113"/>
      <c r="Z37" s="113"/>
      <c r="AA37" s="33" t="e">
        <f t="shared" si="32"/>
        <v>#DIV/0!</v>
      </c>
      <c r="AB37" s="33" t="e">
        <f t="shared" si="33"/>
        <v>#DIV/0!</v>
      </c>
      <c r="AC37" s="114"/>
      <c r="AD37" s="145"/>
      <c r="AE37" s="33" t="e">
        <f t="shared" si="34"/>
        <v>#DIV/0!</v>
      </c>
      <c r="AF37" s="33" t="e">
        <f t="shared" si="35"/>
        <v>#DIV/0!</v>
      </c>
      <c r="AG37" s="112"/>
      <c r="AH37" s="112"/>
      <c r="AI37" s="33" t="e">
        <f t="shared" si="36"/>
        <v>#DIV/0!</v>
      </c>
      <c r="AJ37" s="33" t="e">
        <f t="shared" si="37"/>
        <v>#DIV/0!</v>
      </c>
      <c r="AK37" s="112"/>
      <c r="AL37" s="112"/>
      <c r="AM37" s="150" t="e">
        <f t="shared" si="38"/>
        <v>#DIV/0!</v>
      </c>
      <c r="AN37" s="267" t="e">
        <f t="shared" si="39"/>
        <v>#DIV/0!</v>
      </c>
      <c r="AO37" s="110"/>
      <c r="AP37" s="110"/>
      <c r="AQ37" s="33" t="e">
        <f t="shared" si="40"/>
        <v>#DIV/0!</v>
      </c>
      <c r="AR37" s="33" t="e">
        <f t="shared" si="41"/>
        <v>#DIV/0!</v>
      </c>
      <c r="AS37" s="68"/>
    </row>
    <row r="38" spans="1:45" s="81" customFormat="1" ht="15.75" customHeight="1" x14ac:dyDescent="0.3">
      <c r="A38" s="29" t="s">
        <v>38</v>
      </c>
      <c r="B38" s="29" t="s">
        <v>40</v>
      </c>
      <c r="C38" s="30">
        <v>42797</v>
      </c>
      <c r="D38" s="31" t="s">
        <v>28</v>
      </c>
      <c r="E38" s="32">
        <f>E39+E40</f>
        <v>56556</v>
      </c>
      <c r="F38" s="32">
        <f>F39+F40</f>
        <v>6424</v>
      </c>
      <c r="G38" s="33">
        <f t="shared" si="22"/>
        <v>1.1051926298157453</v>
      </c>
      <c r="H38" s="33">
        <f t="shared" si="23"/>
        <v>7.8038605230386056</v>
      </c>
      <c r="I38" s="32">
        <f>I39+I40</f>
        <v>4032.3700000000003</v>
      </c>
      <c r="J38" s="34">
        <f>J39+J40</f>
        <v>2791.87</v>
      </c>
      <c r="K38" s="33">
        <f t="shared" si="24"/>
        <v>0.24781296900868008</v>
      </c>
      <c r="L38" s="33">
        <f t="shared" si="25"/>
        <v>0.444325846117477</v>
      </c>
      <c r="M38" s="34">
        <f t="shared" si="20"/>
        <v>14.025498652157415</v>
      </c>
      <c r="N38" s="34">
        <f t="shared" si="21"/>
        <v>2.3009667355571715</v>
      </c>
      <c r="O38" s="33">
        <f t="shared" si="26"/>
        <v>0.68710590617455025</v>
      </c>
      <c r="P38" s="33">
        <f t="shared" si="27"/>
        <v>5.0954808409088921</v>
      </c>
      <c r="Q38" s="35">
        <f>Q39+Q40</f>
        <v>26326</v>
      </c>
      <c r="R38" s="35">
        <f>R39+R40</f>
        <v>5234</v>
      </c>
      <c r="S38" s="33">
        <f t="shared" si="28"/>
        <v>0.36255887376429791</v>
      </c>
      <c r="T38" s="33">
        <f t="shared" si="29"/>
        <v>4.0298051203668326</v>
      </c>
      <c r="U38" s="35">
        <f>U39+U40</f>
        <v>785</v>
      </c>
      <c r="V38" s="35">
        <f>V39+V40</f>
        <v>52</v>
      </c>
      <c r="W38" s="33">
        <f t="shared" si="30"/>
        <v>0.86460807600950118</v>
      </c>
      <c r="X38" s="33">
        <f t="shared" si="31"/>
        <v>14.096153846153847</v>
      </c>
      <c r="Y38" s="88">
        <f t="shared" si="15"/>
        <v>2.9818430448985793E-2</v>
      </c>
      <c r="Z38" s="88">
        <f t="shared" si="16"/>
        <v>9.9350401222774165E-3</v>
      </c>
      <c r="AA38" s="33">
        <f t="shared" si="32"/>
        <v>0.36846055749371609</v>
      </c>
      <c r="AB38" s="33">
        <f t="shared" si="33"/>
        <v>2.001339710961378</v>
      </c>
      <c r="AC38" s="97">
        <f t="shared" si="17"/>
        <v>72.045859872611459</v>
      </c>
      <c r="AD38" s="145">
        <f t="shared" si="43"/>
        <v>123.53846153846153</v>
      </c>
      <c r="AE38" s="33">
        <f t="shared" si="34"/>
        <v>0.12902687535341237</v>
      </c>
      <c r="AF38" s="33">
        <f t="shared" si="35"/>
        <v>-0.41681433477960833</v>
      </c>
      <c r="AG38" s="35">
        <f>AG39+AG40</f>
        <v>21484</v>
      </c>
      <c r="AH38" s="35">
        <f>AH39+AH40</f>
        <v>4464.18</v>
      </c>
      <c r="AI38" s="33">
        <f t="shared" si="36"/>
        <v>0.30776722668614559</v>
      </c>
      <c r="AJ38" s="33">
        <f t="shared" si="37"/>
        <v>3.8125299607094694</v>
      </c>
      <c r="AK38" s="35">
        <f>AK39+AK40</f>
        <v>67163</v>
      </c>
      <c r="AL38" s="35">
        <f>AL39+AL40</f>
        <v>40278</v>
      </c>
      <c r="AM38" s="150">
        <f t="shared" si="38"/>
        <v>0.27676602539730821</v>
      </c>
      <c r="AN38" s="267">
        <f t="shared" si="39"/>
        <v>0.66748597249118624</v>
      </c>
      <c r="AO38" s="33">
        <f t="shared" si="11"/>
        <v>0.31987850453374628</v>
      </c>
      <c r="AP38" s="33">
        <f t="shared" si="18"/>
        <v>0.11083420229405631</v>
      </c>
      <c r="AQ38" s="33">
        <f t="shared" si="40"/>
        <v>2.4281035579083867E-2</v>
      </c>
      <c r="AR38" s="33">
        <f t="shared" si="41"/>
        <v>1.8860992176861666</v>
      </c>
      <c r="AS38" s="68" t="s">
        <v>169</v>
      </c>
    </row>
    <row r="39" spans="1:45" s="81" customFormat="1" ht="15.75" x14ac:dyDescent="0.25">
      <c r="A39" s="260" t="s">
        <v>38</v>
      </c>
      <c r="B39" s="260" t="s">
        <v>40</v>
      </c>
      <c r="C39" s="261">
        <v>42797</v>
      </c>
      <c r="D39" s="260" t="s">
        <v>29</v>
      </c>
      <c r="E39" s="109">
        <v>55300</v>
      </c>
      <c r="F39" s="109">
        <v>5886</v>
      </c>
      <c r="G39" s="33">
        <f t="shared" si="22"/>
        <v>1.089394340121661</v>
      </c>
      <c r="H39" s="33">
        <f t="shared" si="23"/>
        <v>8.3951749915052662</v>
      </c>
      <c r="I39" s="109">
        <f>1762.9+187.4</f>
        <v>1950.3000000000002</v>
      </c>
      <c r="J39" s="111">
        <f>693.37+93.16</f>
        <v>786.53</v>
      </c>
      <c r="K39" s="33">
        <f t="shared" si="24"/>
        <v>0.3185364468542532</v>
      </c>
      <c r="L39" s="33">
        <f t="shared" si="25"/>
        <v>1.4796256976847675</v>
      </c>
      <c r="M39" s="111">
        <f t="shared" si="20"/>
        <v>28.354612110957287</v>
      </c>
      <c r="N39" s="111">
        <f t="shared" si="21"/>
        <v>7.4835034900130957</v>
      </c>
      <c r="O39" s="33">
        <f t="shared" si="26"/>
        <v>0.58463146400428334</v>
      </c>
      <c r="P39" s="33">
        <f t="shared" si="27"/>
        <v>2.7889488725163498</v>
      </c>
      <c r="Q39" s="112">
        <v>23929</v>
      </c>
      <c r="R39" s="112">
        <v>3093</v>
      </c>
      <c r="S39" s="33">
        <f t="shared" si="28"/>
        <v>0.36394208846329229</v>
      </c>
      <c r="T39" s="33">
        <f t="shared" si="29"/>
        <v>6.7365017782088588</v>
      </c>
      <c r="U39" s="112">
        <v>768</v>
      </c>
      <c r="V39" s="112">
        <v>44</v>
      </c>
      <c r="W39" s="33">
        <f t="shared" si="30"/>
        <v>0.85956416464891039</v>
      </c>
      <c r="X39" s="33">
        <f t="shared" si="31"/>
        <v>16.454545454545453</v>
      </c>
      <c r="Y39" s="113">
        <f t="shared" si="15"/>
        <v>3.2094947553178155E-2</v>
      </c>
      <c r="Z39" s="113">
        <f t="shared" si="16"/>
        <v>1.4225670869705788E-2</v>
      </c>
      <c r="AA39" s="33">
        <f t="shared" si="32"/>
        <v>0.36337472124202785</v>
      </c>
      <c r="AB39" s="33">
        <f t="shared" si="33"/>
        <v>1.2561289268631823</v>
      </c>
      <c r="AC39" s="114">
        <f t="shared" si="17"/>
        <v>72.005208333333329</v>
      </c>
      <c r="AD39" s="145">
        <f t="shared" si="43"/>
        <v>133.77272727272728</v>
      </c>
      <c r="AE39" s="33">
        <f t="shared" si="34"/>
        <v>0.12359357092479942</v>
      </c>
      <c r="AF39" s="33">
        <f t="shared" si="35"/>
        <v>-0.46173476611167752</v>
      </c>
      <c r="AG39" s="112">
        <f>18086+1313</f>
        <v>19399</v>
      </c>
      <c r="AH39" s="112">
        <f>2535</f>
        <v>2535</v>
      </c>
      <c r="AI39" s="33">
        <f t="shared" si="36"/>
        <v>0.30553873073558113</v>
      </c>
      <c r="AJ39" s="33">
        <f t="shared" si="37"/>
        <v>6.6524654832347139</v>
      </c>
      <c r="AK39" s="112">
        <f>35417+2598</f>
        <v>38015</v>
      </c>
      <c r="AL39" s="112">
        <v>8655</v>
      </c>
      <c r="AM39" s="150">
        <f t="shared" si="38"/>
        <v>0.29575976549185357</v>
      </c>
      <c r="AN39" s="267">
        <f t="shared" si="39"/>
        <v>3.392258809936453</v>
      </c>
      <c r="AO39" s="110">
        <f t="shared" si="11"/>
        <v>0.51029856635538606</v>
      </c>
      <c r="AP39" s="110">
        <f t="shared" si="18"/>
        <v>0.29289428076256502</v>
      </c>
      <c r="AQ39" s="33">
        <f t="shared" si="40"/>
        <v>7.546896812323494E-3</v>
      </c>
      <c r="AR39" s="33">
        <f t="shared" si="41"/>
        <v>0.74226196915418774</v>
      </c>
      <c r="AS39" s="68"/>
    </row>
    <row r="40" spans="1:45" s="81" customFormat="1" ht="15.75" x14ac:dyDescent="0.25">
      <c r="A40" s="260" t="s">
        <v>38</v>
      </c>
      <c r="B40" s="260" t="s">
        <v>40</v>
      </c>
      <c r="C40" s="261">
        <v>42797</v>
      </c>
      <c r="D40" s="260" t="s">
        <v>30</v>
      </c>
      <c r="E40" s="109">
        <v>1256</v>
      </c>
      <c r="F40" s="109">
        <v>538</v>
      </c>
      <c r="G40" s="33">
        <f t="shared" si="22"/>
        <v>2.1557788944723617</v>
      </c>
      <c r="H40" s="33">
        <f t="shared" si="23"/>
        <v>1.3345724907063197</v>
      </c>
      <c r="I40" s="109">
        <f>1904.18+177.89</f>
        <v>2082.0700000000002</v>
      </c>
      <c r="J40" s="111">
        <f>1928.5+76.84</f>
        <v>2005.34</v>
      </c>
      <c r="K40" s="33">
        <f t="shared" si="24"/>
        <v>0.18811807739056502</v>
      </c>
      <c r="L40" s="33">
        <f t="shared" si="25"/>
        <v>3.8262838221947523E-2</v>
      </c>
      <c r="M40" s="111">
        <f t="shared" si="20"/>
        <v>0.60324580825812768</v>
      </c>
      <c r="N40" s="111">
        <f t="shared" si="21"/>
        <v>0.26828368256754465</v>
      </c>
      <c r="O40" s="33">
        <f t="shared" si="26"/>
        <v>1.6561155448483056</v>
      </c>
      <c r="P40" s="33">
        <f t="shared" si="27"/>
        <v>1.2485370801716613</v>
      </c>
      <c r="Q40" s="112">
        <v>2397</v>
      </c>
      <c r="R40" s="112">
        <v>2141</v>
      </c>
      <c r="S40" s="33">
        <f t="shared" si="28"/>
        <v>0.3489026449071469</v>
      </c>
      <c r="T40" s="33">
        <f t="shared" si="29"/>
        <v>0.11957029425502101</v>
      </c>
      <c r="U40" s="112">
        <v>17</v>
      </c>
      <c r="V40" s="112">
        <v>8</v>
      </c>
      <c r="W40" s="33">
        <f t="shared" si="30"/>
        <v>1.125</v>
      </c>
      <c r="X40" s="33">
        <f t="shared" si="31"/>
        <v>1.125</v>
      </c>
      <c r="Y40" s="113">
        <f t="shared" si="15"/>
        <v>7.0921985815602835E-3</v>
      </c>
      <c r="Z40" s="113">
        <f t="shared" si="16"/>
        <v>3.7365716954694066E-3</v>
      </c>
      <c r="AA40" s="33">
        <f t="shared" si="32"/>
        <v>0.57535460992907794</v>
      </c>
      <c r="AB40" s="33">
        <f t="shared" si="33"/>
        <v>0.89804964539007093</v>
      </c>
      <c r="AC40" s="114">
        <f t="shared" si="17"/>
        <v>73.882352941176464</v>
      </c>
      <c r="AD40" s="145">
        <f t="shared" si="43"/>
        <v>67.25</v>
      </c>
      <c r="AE40" s="33">
        <f t="shared" si="34"/>
        <v>0.48507242092817016</v>
      </c>
      <c r="AF40" s="33">
        <f t="shared" si="35"/>
        <v>9.8622348567679763E-2</v>
      </c>
      <c r="AG40" s="112">
        <f>1890+195</f>
        <v>2085</v>
      </c>
      <c r="AH40" s="112">
        <v>1929.18</v>
      </c>
      <c r="AI40" s="33">
        <f t="shared" si="36"/>
        <v>0.32887189292543023</v>
      </c>
      <c r="AJ40" s="33">
        <f t="shared" si="37"/>
        <v>8.0770068111840232E-2</v>
      </c>
      <c r="AK40" s="112">
        <f>26849+2299</f>
        <v>29148</v>
      </c>
      <c r="AL40" s="112">
        <v>31623</v>
      </c>
      <c r="AM40" s="150">
        <f t="shared" si="38"/>
        <v>0.25281526691309208</v>
      </c>
      <c r="AN40" s="267">
        <f t="shared" si="39"/>
        <v>-7.8265819182240778E-2</v>
      </c>
      <c r="AO40" s="110">
        <f t="shared" si="11"/>
        <v>7.153149444215727E-2</v>
      </c>
      <c r="AP40" s="110">
        <f t="shared" si="18"/>
        <v>6.1005597191917275E-2</v>
      </c>
      <c r="AQ40" s="33">
        <f t="shared" si="40"/>
        <v>6.070857214227595E-2</v>
      </c>
      <c r="AR40" s="33">
        <f t="shared" si="41"/>
        <v>0.17253986084467979</v>
      </c>
      <c r="AS40" s="68"/>
    </row>
    <row r="41" spans="1:45" s="81" customFormat="1" ht="15.75" x14ac:dyDescent="0.25">
      <c r="A41" s="260" t="s">
        <v>38</v>
      </c>
      <c r="B41" s="260" t="s">
        <v>40</v>
      </c>
      <c r="C41" s="261">
        <v>42797</v>
      </c>
      <c r="D41" s="260" t="s">
        <v>228</v>
      </c>
      <c r="E41" s="109"/>
      <c r="F41" s="109"/>
      <c r="G41" s="33" t="e">
        <f t="shared" si="22"/>
        <v>#DIV/0!</v>
      </c>
      <c r="H41" s="33" t="e">
        <f t="shared" si="23"/>
        <v>#DIV/0!</v>
      </c>
      <c r="I41" s="109"/>
      <c r="J41" s="111"/>
      <c r="K41" s="33" t="e">
        <f t="shared" si="24"/>
        <v>#DIV/0!</v>
      </c>
      <c r="L41" s="33" t="e">
        <f t="shared" si="25"/>
        <v>#DIV/0!</v>
      </c>
      <c r="M41" s="111"/>
      <c r="N41" s="111"/>
      <c r="O41" s="33" t="e">
        <f t="shared" si="26"/>
        <v>#DIV/0!</v>
      </c>
      <c r="P41" s="33" t="e">
        <f t="shared" si="27"/>
        <v>#DIV/0!</v>
      </c>
      <c r="Q41" s="112"/>
      <c r="R41" s="112"/>
      <c r="S41" s="33" t="e">
        <f t="shared" si="28"/>
        <v>#DIV/0!</v>
      </c>
      <c r="T41" s="33" t="e">
        <f t="shared" si="29"/>
        <v>#DIV/0!</v>
      </c>
      <c r="U41" s="112"/>
      <c r="V41" s="112"/>
      <c r="W41" s="33" t="e">
        <f t="shared" si="30"/>
        <v>#DIV/0!</v>
      </c>
      <c r="X41" s="33" t="e">
        <f t="shared" si="31"/>
        <v>#DIV/0!</v>
      </c>
      <c r="Y41" s="113"/>
      <c r="Z41" s="113"/>
      <c r="AA41" s="33" t="e">
        <f t="shared" si="32"/>
        <v>#DIV/0!</v>
      </c>
      <c r="AB41" s="33" t="e">
        <f t="shared" si="33"/>
        <v>#DIV/0!</v>
      </c>
      <c r="AC41" s="114"/>
      <c r="AD41" s="145"/>
      <c r="AE41" s="33" t="e">
        <f t="shared" si="34"/>
        <v>#DIV/0!</v>
      </c>
      <c r="AF41" s="33" t="e">
        <f t="shared" si="35"/>
        <v>#DIV/0!</v>
      </c>
      <c r="AG41" s="112"/>
      <c r="AH41" s="112"/>
      <c r="AI41" s="33" t="e">
        <f t="shared" si="36"/>
        <v>#DIV/0!</v>
      </c>
      <c r="AJ41" s="33" t="e">
        <f t="shared" si="37"/>
        <v>#DIV/0!</v>
      </c>
      <c r="AK41" s="112"/>
      <c r="AL41" s="112"/>
      <c r="AM41" s="150" t="e">
        <f t="shared" si="38"/>
        <v>#DIV/0!</v>
      </c>
      <c r="AN41" s="267" t="e">
        <f t="shared" si="39"/>
        <v>#DIV/0!</v>
      </c>
      <c r="AO41" s="110"/>
      <c r="AP41" s="110"/>
      <c r="AQ41" s="33" t="e">
        <f t="shared" si="40"/>
        <v>#DIV/0!</v>
      </c>
      <c r="AR41" s="33" t="e">
        <f t="shared" si="41"/>
        <v>#DIV/0!</v>
      </c>
      <c r="AS41" s="68"/>
    </row>
    <row r="42" spans="1:45" s="81" customFormat="1" ht="15.75" customHeight="1" x14ac:dyDescent="0.3">
      <c r="A42" s="29" t="s">
        <v>38</v>
      </c>
      <c r="B42" s="29" t="s">
        <v>41</v>
      </c>
      <c r="C42" s="30">
        <f t="shared" ref="C42:C73" si="44">C38+7</f>
        <v>42804</v>
      </c>
      <c r="D42" s="31" t="s">
        <v>28</v>
      </c>
      <c r="E42" s="32">
        <f>E43+E44</f>
        <v>43227</v>
      </c>
      <c r="F42" s="32">
        <f>F43+F44</f>
        <v>6370</v>
      </c>
      <c r="G42" s="33">
        <f t="shared" si="22"/>
        <v>-0.23567791215786124</v>
      </c>
      <c r="H42" s="33">
        <f t="shared" si="23"/>
        <v>5.7860282574568291</v>
      </c>
      <c r="I42" s="32">
        <f>I43+I44</f>
        <v>3495.34</v>
      </c>
      <c r="J42" s="34">
        <f>J43+J44</f>
        <v>3161.9399999999996</v>
      </c>
      <c r="K42" s="33">
        <f t="shared" si="24"/>
        <v>-0.1331797429303363</v>
      </c>
      <c r="L42" s="33">
        <f t="shared" si="25"/>
        <v>0.10544159598221364</v>
      </c>
      <c r="M42" s="34">
        <f t="shared" si="20"/>
        <v>12.367037255317079</v>
      </c>
      <c r="N42" s="34">
        <f t="shared" si="21"/>
        <v>2.0145859820236947</v>
      </c>
      <c r="O42" s="33">
        <f t="shared" si="26"/>
        <v>-0.11824616279045662</v>
      </c>
      <c r="P42" s="33">
        <f t="shared" si="27"/>
        <v>5.1387487879242197</v>
      </c>
      <c r="Q42" s="35">
        <f>Q43+Q44</f>
        <v>19716</v>
      </c>
      <c r="R42" s="35">
        <f>R43+R44</f>
        <v>5522</v>
      </c>
      <c r="S42" s="33">
        <f t="shared" si="28"/>
        <v>-0.25108257995897593</v>
      </c>
      <c r="T42" s="33">
        <f t="shared" si="29"/>
        <v>2.5704454907642158</v>
      </c>
      <c r="U42" s="35">
        <f>U43+U44</f>
        <v>580</v>
      </c>
      <c r="V42" s="35">
        <f>V43+V44</f>
        <v>56</v>
      </c>
      <c r="W42" s="33">
        <f t="shared" si="30"/>
        <v>-0.26114649681528662</v>
      </c>
      <c r="X42" s="33">
        <f t="shared" si="31"/>
        <v>9.3571428571428577</v>
      </c>
      <c r="Y42" s="88">
        <f t="shared" si="15"/>
        <v>2.9417731791438424E-2</v>
      </c>
      <c r="Z42" s="88">
        <f t="shared" si="16"/>
        <v>1.0141253169141615E-2</v>
      </c>
      <c r="AA42" s="33">
        <f t="shared" si="32"/>
        <v>-1.3437952686104494E-2</v>
      </c>
      <c r="AB42" s="33">
        <f t="shared" si="33"/>
        <v>1.900798481291482</v>
      </c>
      <c r="AC42" s="97">
        <f t="shared" si="17"/>
        <v>74.529310344827593</v>
      </c>
      <c r="AD42" s="145">
        <f t="shared" si="43"/>
        <v>113.75</v>
      </c>
      <c r="AE42" s="33">
        <f t="shared" si="34"/>
        <v>3.4470411993239719E-2</v>
      </c>
      <c r="AF42" s="33">
        <f t="shared" si="35"/>
        <v>-0.34479727169382335</v>
      </c>
      <c r="AG42" s="35">
        <f>AG43+AG44</f>
        <v>15405</v>
      </c>
      <c r="AH42" s="35">
        <f>AH43+AH44</f>
        <v>5105</v>
      </c>
      <c r="AI42" s="33">
        <f t="shared" si="36"/>
        <v>-0.28295475702848633</v>
      </c>
      <c r="AJ42" s="33">
        <f t="shared" si="37"/>
        <v>2.0176297747306564</v>
      </c>
      <c r="AK42" s="35">
        <f>SUM(AK43:AK44)</f>
        <v>57430</v>
      </c>
      <c r="AL42" s="35">
        <f>AL43+AL44</f>
        <v>48607</v>
      </c>
      <c r="AM42" s="150">
        <f t="shared" si="38"/>
        <v>-0.14491609963819366</v>
      </c>
      <c r="AN42" s="267">
        <f t="shared" si="39"/>
        <v>0.18151706544324892</v>
      </c>
      <c r="AO42" s="33">
        <f t="shared" si="11"/>
        <v>0.26823959602994951</v>
      </c>
      <c r="AP42" s="33">
        <f t="shared" si="18"/>
        <v>0.1050260250581192</v>
      </c>
      <c r="AQ42" s="33">
        <f t="shared" si="40"/>
        <v>-0.16143288083413246</v>
      </c>
      <c r="AR42" s="33">
        <f t="shared" si="41"/>
        <v>1.5540297833942716</v>
      </c>
      <c r="AS42" s="68" t="s">
        <v>182</v>
      </c>
    </row>
    <row r="43" spans="1:45" s="81" customFormat="1" ht="15.75" x14ac:dyDescent="0.25">
      <c r="A43" s="260" t="s">
        <v>38</v>
      </c>
      <c r="B43" s="260" t="s">
        <v>41</v>
      </c>
      <c r="C43" s="261">
        <f t="shared" si="44"/>
        <v>42804</v>
      </c>
      <c r="D43" s="260" t="s">
        <v>29</v>
      </c>
      <c r="E43" s="109">
        <v>42858</v>
      </c>
      <c r="F43" s="109">
        <v>5503</v>
      </c>
      <c r="G43" s="33">
        <f t="shared" si="22"/>
        <v>-0.22499095840867991</v>
      </c>
      <c r="H43" s="33">
        <f t="shared" si="23"/>
        <v>6.7881155733236413</v>
      </c>
      <c r="I43" s="109">
        <f>1336.25+130.14</f>
        <v>1466.3899999999999</v>
      </c>
      <c r="J43" s="111">
        <f>651.51+55.46</f>
        <v>706.97</v>
      </c>
      <c r="K43" s="33">
        <f t="shared" si="24"/>
        <v>-0.24812080192790867</v>
      </c>
      <c r="L43" s="33">
        <f t="shared" si="25"/>
        <v>1.074189852468987</v>
      </c>
      <c r="M43" s="111">
        <f t="shared" si="20"/>
        <v>29.226876888140264</v>
      </c>
      <c r="N43" s="111">
        <f t="shared" si="21"/>
        <v>7.7839229387385602</v>
      </c>
      <c r="O43" s="33">
        <f t="shared" si="26"/>
        <v>3.0762712385894397E-2</v>
      </c>
      <c r="P43" s="33">
        <f t="shared" si="27"/>
        <v>2.754774696276308</v>
      </c>
      <c r="Q43" s="112">
        <v>17509</v>
      </c>
      <c r="R43" s="112">
        <v>3132</v>
      </c>
      <c r="S43" s="33">
        <f t="shared" si="28"/>
        <v>-0.26829370220234861</v>
      </c>
      <c r="T43" s="33">
        <f t="shared" si="29"/>
        <v>4.5903575989782883</v>
      </c>
      <c r="U43" s="112">
        <v>575</v>
      </c>
      <c r="V43" s="112">
        <v>47</v>
      </c>
      <c r="W43" s="33">
        <f t="shared" si="30"/>
        <v>-0.25130208333333331</v>
      </c>
      <c r="X43" s="33">
        <f t="shared" si="31"/>
        <v>11.23404255319149</v>
      </c>
      <c r="Y43" s="113">
        <f t="shared" si="15"/>
        <v>3.2840253583871153E-2</v>
      </c>
      <c r="Z43" s="113">
        <f t="shared" si="16"/>
        <v>1.5006385696040868E-2</v>
      </c>
      <c r="AA43" s="33">
        <f t="shared" si="32"/>
        <v>2.3221911469339513E-2</v>
      </c>
      <c r="AB43" s="33">
        <f t="shared" si="33"/>
        <v>1.1884186005252011</v>
      </c>
      <c r="AC43" s="114">
        <f t="shared" si="17"/>
        <v>74.53565217391305</v>
      </c>
      <c r="AD43" s="145">
        <f t="shared" si="43"/>
        <v>117.08510638297872</v>
      </c>
      <c r="AE43" s="33">
        <f t="shared" si="34"/>
        <v>3.514251120371114E-2</v>
      </c>
      <c r="AF43" s="33">
        <f t="shared" si="35"/>
        <v>-0.36340620531093704</v>
      </c>
      <c r="AG43" s="112">
        <f>12475+963</f>
        <v>13438</v>
      </c>
      <c r="AH43" s="112">
        <f>2446+236</f>
        <v>2682</v>
      </c>
      <c r="AI43" s="33">
        <f t="shared" si="36"/>
        <v>-0.30728388061240269</v>
      </c>
      <c r="AJ43" s="33">
        <f t="shared" si="37"/>
        <v>4.0104399701715137</v>
      </c>
      <c r="AK43" s="112">
        <f>26250+2359</f>
        <v>28609</v>
      </c>
      <c r="AL43" s="112">
        <f>7381+965</f>
        <v>8346</v>
      </c>
      <c r="AM43" s="150">
        <f t="shared" si="38"/>
        <v>-0.24742864658687361</v>
      </c>
      <c r="AN43" s="267">
        <f t="shared" si="39"/>
        <v>2.4278696381500118</v>
      </c>
      <c r="AO43" s="110">
        <f t="shared" si="11"/>
        <v>0.4697123282883009</v>
      </c>
      <c r="AP43" s="110">
        <f t="shared" si="18"/>
        <v>0.32135154565061108</v>
      </c>
      <c r="AQ43" s="33">
        <f t="shared" si="40"/>
        <v>-7.9534297650406857E-2</v>
      </c>
      <c r="AR43" s="33">
        <f t="shared" si="41"/>
        <v>0.46167751375621147</v>
      </c>
      <c r="AS43" s="68"/>
    </row>
    <row r="44" spans="1:45" s="81" customFormat="1" ht="15.75" x14ac:dyDescent="0.25">
      <c r="A44" s="260" t="s">
        <v>38</v>
      </c>
      <c r="B44" s="260" t="s">
        <v>41</v>
      </c>
      <c r="C44" s="261">
        <f t="shared" si="44"/>
        <v>42804</v>
      </c>
      <c r="D44" s="260" t="s">
        <v>30</v>
      </c>
      <c r="E44" s="109">
        <v>369</v>
      </c>
      <c r="F44" s="109">
        <v>867</v>
      </c>
      <c r="G44" s="33">
        <f t="shared" si="22"/>
        <v>-0.70621019108280259</v>
      </c>
      <c r="H44" s="33">
        <f t="shared" si="23"/>
        <v>-0.5743944636678201</v>
      </c>
      <c r="I44" s="109">
        <f>1889.92+139.03</f>
        <v>2028.95</v>
      </c>
      <c r="J44" s="111">
        <f>2374.16+80.81</f>
        <v>2454.9699999999998</v>
      </c>
      <c r="K44" s="33">
        <f t="shared" si="24"/>
        <v>-2.5513071126331062E-2</v>
      </c>
      <c r="L44" s="33">
        <f t="shared" si="25"/>
        <v>-0.17353368880271441</v>
      </c>
      <c r="M44" s="111">
        <f t="shared" si="20"/>
        <v>0.18186746839498263</v>
      </c>
      <c r="N44" s="111">
        <f t="shared" si="21"/>
        <v>0.35316113842531682</v>
      </c>
      <c r="O44" s="33">
        <f t="shared" si="26"/>
        <v>-0.69851847140036505</v>
      </c>
      <c r="P44" s="33">
        <f t="shared" si="27"/>
        <v>-0.48502978213883446</v>
      </c>
      <c r="Q44" s="112">
        <v>2207</v>
      </c>
      <c r="R44" s="112">
        <v>2390</v>
      </c>
      <c r="S44" s="33">
        <f t="shared" si="28"/>
        <v>-7.9265748852732576E-2</v>
      </c>
      <c r="T44" s="33">
        <f t="shared" si="29"/>
        <v>-7.656903765690376E-2</v>
      </c>
      <c r="U44" s="112">
        <v>5</v>
      </c>
      <c r="V44" s="112">
        <v>9</v>
      </c>
      <c r="W44" s="33">
        <f t="shared" si="30"/>
        <v>-0.70588235294117652</v>
      </c>
      <c r="X44" s="33">
        <f t="shared" si="31"/>
        <v>-0.44444444444444442</v>
      </c>
      <c r="Y44" s="113">
        <f t="shared" si="15"/>
        <v>2.2655188038060714E-3</v>
      </c>
      <c r="Z44" s="113">
        <f t="shared" si="16"/>
        <v>3.7656903765690376E-3</v>
      </c>
      <c r="AA44" s="33">
        <f t="shared" si="32"/>
        <v>-0.6805618486633439</v>
      </c>
      <c r="AB44" s="33">
        <f t="shared" si="33"/>
        <v>-0.39837889543372101</v>
      </c>
      <c r="AC44" s="114">
        <f t="shared" si="17"/>
        <v>73.8</v>
      </c>
      <c r="AD44" s="145">
        <f t="shared" si="43"/>
        <v>96.333333333333329</v>
      </c>
      <c r="AE44" s="33">
        <f t="shared" si="34"/>
        <v>-1.1146496815286106E-3</v>
      </c>
      <c r="AF44" s="33">
        <f t="shared" si="35"/>
        <v>-0.23391003460207613</v>
      </c>
      <c r="AG44" s="112">
        <f>1834+133</f>
        <v>1967</v>
      </c>
      <c r="AH44" s="112">
        <f>2315+108</f>
        <v>2423</v>
      </c>
      <c r="AI44" s="33">
        <f t="shared" si="36"/>
        <v>-5.6594724220623505E-2</v>
      </c>
      <c r="AJ44" s="33">
        <f t="shared" si="37"/>
        <v>-0.18819645068097399</v>
      </c>
      <c r="AK44" s="112">
        <f>25870+2951</f>
        <v>28821</v>
      </c>
      <c r="AL44" s="112">
        <f>38109+2152</f>
        <v>40261</v>
      </c>
      <c r="AM44" s="150">
        <f t="shared" si="38"/>
        <v>-1.121860848085632E-2</v>
      </c>
      <c r="AN44" s="267">
        <f t="shared" si="39"/>
        <v>-0.28414594769131418</v>
      </c>
      <c r="AO44" s="110">
        <f t="shared" si="11"/>
        <v>6.8248846327330762E-2</v>
      </c>
      <c r="AP44" s="110">
        <f t="shared" si="18"/>
        <v>6.0182310424480266E-2</v>
      </c>
      <c r="AQ44" s="33">
        <f t="shared" si="40"/>
        <v>-4.5890948321804827E-2</v>
      </c>
      <c r="AR44" s="33">
        <f t="shared" si="41"/>
        <v>0.13403499875553604</v>
      </c>
      <c r="AS44" s="68"/>
    </row>
    <row r="45" spans="1:45" s="81" customFormat="1" ht="15.75" x14ac:dyDescent="0.25">
      <c r="A45" s="260" t="s">
        <v>38</v>
      </c>
      <c r="B45" s="260" t="s">
        <v>41</v>
      </c>
      <c r="C45" s="261">
        <f t="shared" si="44"/>
        <v>42804</v>
      </c>
      <c r="D45" s="260" t="s">
        <v>228</v>
      </c>
      <c r="E45" s="109"/>
      <c r="F45" s="109"/>
      <c r="G45" s="33" t="e">
        <f t="shared" si="22"/>
        <v>#DIV/0!</v>
      </c>
      <c r="H45" s="33" t="e">
        <f t="shared" si="23"/>
        <v>#DIV/0!</v>
      </c>
      <c r="I45" s="109"/>
      <c r="J45" s="111"/>
      <c r="K45" s="33" t="e">
        <f t="shared" si="24"/>
        <v>#DIV/0!</v>
      </c>
      <c r="L45" s="33" t="e">
        <f t="shared" si="25"/>
        <v>#DIV/0!</v>
      </c>
      <c r="M45" s="111"/>
      <c r="N45" s="111"/>
      <c r="O45" s="33" t="e">
        <f t="shared" si="26"/>
        <v>#DIV/0!</v>
      </c>
      <c r="P45" s="33" t="e">
        <f t="shared" si="27"/>
        <v>#DIV/0!</v>
      </c>
      <c r="Q45" s="112"/>
      <c r="R45" s="112"/>
      <c r="S45" s="33" t="e">
        <f t="shared" si="28"/>
        <v>#DIV/0!</v>
      </c>
      <c r="T45" s="33" t="e">
        <f t="shared" si="29"/>
        <v>#DIV/0!</v>
      </c>
      <c r="U45" s="112"/>
      <c r="V45" s="112"/>
      <c r="W45" s="33" t="e">
        <f t="shared" si="30"/>
        <v>#DIV/0!</v>
      </c>
      <c r="X45" s="33" t="e">
        <f t="shared" si="31"/>
        <v>#DIV/0!</v>
      </c>
      <c r="Y45" s="113"/>
      <c r="Z45" s="113"/>
      <c r="AA45" s="33" t="e">
        <f t="shared" si="32"/>
        <v>#DIV/0!</v>
      </c>
      <c r="AB45" s="33" t="e">
        <f t="shared" si="33"/>
        <v>#DIV/0!</v>
      </c>
      <c r="AC45" s="114"/>
      <c r="AD45" s="145"/>
      <c r="AE45" s="33" t="e">
        <f t="shared" si="34"/>
        <v>#DIV/0!</v>
      </c>
      <c r="AF45" s="33" t="e">
        <f t="shared" si="35"/>
        <v>#DIV/0!</v>
      </c>
      <c r="AG45" s="112"/>
      <c r="AH45" s="112"/>
      <c r="AI45" s="33" t="e">
        <f t="shared" si="36"/>
        <v>#DIV/0!</v>
      </c>
      <c r="AJ45" s="33" t="e">
        <f t="shared" si="37"/>
        <v>#DIV/0!</v>
      </c>
      <c r="AK45" s="112"/>
      <c r="AL45" s="112"/>
      <c r="AM45" s="150" t="e">
        <f t="shared" si="38"/>
        <v>#DIV/0!</v>
      </c>
      <c r="AN45" s="267" t="e">
        <f t="shared" si="39"/>
        <v>#DIV/0!</v>
      </c>
      <c r="AO45" s="110"/>
      <c r="AP45" s="110"/>
      <c r="AQ45" s="33" t="e">
        <f t="shared" si="40"/>
        <v>#DIV/0!</v>
      </c>
      <c r="AR45" s="33" t="e">
        <f t="shared" si="41"/>
        <v>#DIV/0!</v>
      </c>
      <c r="AS45" s="68"/>
    </row>
    <row r="46" spans="1:45" s="81" customFormat="1" ht="15.75" customHeight="1" x14ac:dyDescent="0.3">
      <c r="A46" s="29" t="s">
        <v>38</v>
      </c>
      <c r="B46" s="29" t="s">
        <v>42</v>
      </c>
      <c r="C46" s="30">
        <f t="shared" si="44"/>
        <v>42811</v>
      </c>
      <c r="D46" s="31" t="s">
        <v>28</v>
      </c>
      <c r="E46" s="32">
        <f>E47+E48</f>
        <v>28773</v>
      </c>
      <c r="F46" s="32">
        <f>F47+F48</f>
        <v>2234</v>
      </c>
      <c r="G46" s="33">
        <f t="shared" si="22"/>
        <v>-0.33437434936498023</v>
      </c>
      <c r="H46" s="33">
        <f t="shared" si="23"/>
        <v>11.87958818263205</v>
      </c>
      <c r="I46" s="32">
        <f>I47+I48</f>
        <v>2816.48</v>
      </c>
      <c r="J46" s="34">
        <f>J47+J48</f>
        <v>1844.7999999999997</v>
      </c>
      <c r="K46" s="33">
        <f t="shared" si="24"/>
        <v>-0.19421858817740195</v>
      </c>
      <c r="L46" s="33">
        <f t="shared" si="25"/>
        <v>0.52671292281006099</v>
      </c>
      <c r="M46" s="34">
        <f t="shared" si="20"/>
        <v>10.215943305118445</v>
      </c>
      <c r="N46" s="34">
        <f t="shared" si="21"/>
        <v>1.2109713790112751</v>
      </c>
      <c r="O46" s="33">
        <f t="shared" si="26"/>
        <v>-0.17393769467895745</v>
      </c>
      <c r="P46" s="33">
        <f t="shared" si="27"/>
        <v>7.436155868076324</v>
      </c>
      <c r="Q46" s="35">
        <f>Q47+Q48</f>
        <v>14725</v>
      </c>
      <c r="R46" s="35">
        <f>R47+R48</f>
        <v>3812</v>
      </c>
      <c r="S46" s="33">
        <f t="shared" si="28"/>
        <v>-0.25314465408805031</v>
      </c>
      <c r="T46" s="33">
        <f t="shared" si="29"/>
        <v>2.8628016789087094</v>
      </c>
      <c r="U46" s="35">
        <f>U47+U48</f>
        <v>462</v>
      </c>
      <c r="V46" s="35">
        <f>V47+V48</f>
        <v>19</v>
      </c>
      <c r="W46" s="33">
        <f t="shared" si="30"/>
        <v>-0.20344827586206896</v>
      </c>
      <c r="X46" s="33">
        <f t="shared" si="31"/>
        <v>23.315789473684209</v>
      </c>
      <c r="Y46" s="88">
        <f t="shared" si="15"/>
        <v>3.1375212224108662E-2</v>
      </c>
      <c r="Z46" s="88">
        <f t="shared" ref="Z46:Z87" si="45">V46/R46</f>
        <v>4.9842602308499476E-3</v>
      </c>
      <c r="AA46" s="33">
        <f t="shared" si="32"/>
        <v>6.6540834845735183E-2</v>
      </c>
      <c r="AB46" s="33">
        <f t="shared" si="33"/>
        <v>5.2948583683316954</v>
      </c>
      <c r="AC46" s="97">
        <f t="shared" si="17"/>
        <v>62.279220779220779</v>
      </c>
      <c r="AD46" s="145">
        <f t="shared" si="43"/>
        <v>117.57894736842105</v>
      </c>
      <c r="AE46" s="33">
        <f t="shared" si="34"/>
        <v>-0.1643660663023562</v>
      </c>
      <c r="AF46" s="33">
        <f t="shared" si="35"/>
        <v>-0.47031996651513214</v>
      </c>
      <c r="AG46" s="35">
        <f>AG47+AG48</f>
        <v>10920</v>
      </c>
      <c r="AH46" s="35">
        <f>AH47+AH48</f>
        <v>3149</v>
      </c>
      <c r="AI46" s="33">
        <f t="shared" si="36"/>
        <v>-0.29113924050632911</v>
      </c>
      <c r="AJ46" s="33">
        <f t="shared" si="37"/>
        <v>2.4677675452524612</v>
      </c>
      <c r="AK46" s="35">
        <f>AK47+AK48</f>
        <v>45615</v>
      </c>
      <c r="AL46" s="35">
        <f>AL47+AL48</f>
        <v>22463</v>
      </c>
      <c r="AM46" s="150">
        <f t="shared" si="38"/>
        <v>-0.20572871321608915</v>
      </c>
      <c r="AN46" s="267">
        <f t="shared" si="39"/>
        <v>1.0306726617103681</v>
      </c>
      <c r="AO46" s="33">
        <f t="shared" si="11"/>
        <v>0.23939493587635646</v>
      </c>
      <c r="AP46" s="33">
        <f t="shared" si="18"/>
        <v>0.14018608378221964</v>
      </c>
      <c r="AQ46" s="33">
        <f t="shared" si="40"/>
        <v>-0.10753319264010702</v>
      </c>
      <c r="AR46" s="33">
        <f t="shared" si="41"/>
        <v>0.70769401225487316</v>
      </c>
      <c r="AS46" s="68" t="s">
        <v>184</v>
      </c>
    </row>
    <row r="47" spans="1:45" s="81" customFormat="1" ht="15.75" x14ac:dyDescent="0.25">
      <c r="A47" s="260" t="s">
        <v>38</v>
      </c>
      <c r="B47" s="260" t="s">
        <v>42</v>
      </c>
      <c r="C47" s="261">
        <f t="shared" si="44"/>
        <v>42811</v>
      </c>
      <c r="D47" s="260" t="s">
        <v>29</v>
      </c>
      <c r="E47" s="109">
        <v>28090</v>
      </c>
      <c r="F47" s="109">
        <v>2001</v>
      </c>
      <c r="G47" s="33">
        <f t="shared" si="22"/>
        <v>-0.34457977507116522</v>
      </c>
      <c r="H47" s="33">
        <f t="shared" si="23"/>
        <v>13.037981009495253</v>
      </c>
      <c r="I47" s="109">
        <f>810.71+145.33</f>
        <v>956.04000000000008</v>
      </c>
      <c r="J47" s="111">
        <f>632.71+15.68</f>
        <v>648.39</v>
      </c>
      <c r="K47" s="33">
        <f t="shared" si="24"/>
        <v>-0.34803156049891221</v>
      </c>
      <c r="L47" s="33">
        <f t="shared" si="25"/>
        <v>0.47448295007634311</v>
      </c>
      <c r="M47" s="111">
        <f t="shared" si="20"/>
        <v>29.381615831973555</v>
      </c>
      <c r="N47" s="111">
        <f t="shared" si="21"/>
        <v>3.0861055846018601</v>
      </c>
      <c r="O47" s="33">
        <f t="shared" si="26"/>
        <v>5.2944057083321458E-3</v>
      </c>
      <c r="P47" s="33">
        <f t="shared" si="27"/>
        <v>8.5206126383275027</v>
      </c>
      <c r="Q47" s="112">
        <v>12781</v>
      </c>
      <c r="R47" s="112">
        <v>2591</v>
      </c>
      <c r="S47" s="33">
        <f t="shared" si="28"/>
        <v>-0.27003255468616139</v>
      </c>
      <c r="T47" s="33">
        <f t="shared" si="29"/>
        <v>3.9328444615978388</v>
      </c>
      <c r="U47" s="112">
        <v>454</v>
      </c>
      <c r="V47" s="112">
        <v>15</v>
      </c>
      <c r="W47" s="33">
        <f t="shared" si="30"/>
        <v>-0.21043478260869566</v>
      </c>
      <c r="X47" s="33">
        <f t="shared" si="31"/>
        <v>29.266666666666666</v>
      </c>
      <c r="Y47" s="113">
        <f t="shared" si="15"/>
        <v>3.5521477192707929E-2</v>
      </c>
      <c r="Z47" s="113">
        <f t="shared" si="45"/>
        <v>5.7892705519104592E-3</v>
      </c>
      <c r="AA47" s="33">
        <f t="shared" si="32"/>
        <v>8.1644424638474974E-2</v>
      </c>
      <c r="AB47" s="33">
        <f t="shared" si="33"/>
        <v>5.1357431604204162</v>
      </c>
      <c r="AC47" s="114">
        <f t="shared" si="17"/>
        <v>61.872246696035241</v>
      </c>
      <c r="AD47" s="145">
        <f t="shared" si="43"/>
        <v>133.4</v>
      </c>
      <c r="AE47" s="33">
        <f t="shared" si="34"/>
        <v>-0.16989729221568295</v>
      </c>
      <c r="AF47" s="33">
        <f t="shared" si="35"/>
        <v>-0.53619005475235959</v>
      </c>
      <c r="AG47" s="112">
        <f>8545+718</f>
        <v>9263</v>
      </c>
      <c r="AH47" s="112">
        <f>1908+100</f>
        <v>2008</v>
      </c>
      <c r="AI47" s="33">
        <f t="shared" si="36"/>
        <v>-0.3106861140050603</v>
      </c>
      <c r="AJ47" s="33">
        <f t="shared" si="37"/>
        <v>3.6130478087649402</v>
      </c>
      <c r="AK47" s="112">
        <f>18537+2968</f>
        <v>21505</v>
      </c>
      <c r="AL47" s="112">
        <f>5459+244</f>
        <v>5703</v>
      </c>
      <c r="AM47" s="150">
        <f t="shared" si="38"/>
        <v>-0.24831346778985633</v>
      </c>
      <c r="AN47" s="267">
        <f t="shared" si="39"/>
        <v>2.7708223741890232</v>
      </c>
      <c r="AO47" s="110">
        <f t="shared" si="11"/>
        <v>0.4307370378981632</v>
      </c>
      <c r="AP47" s="110">
        <f t="shared" si="18"/>
        <v>0.35209538839207433</v>
      </c>
      <c r="AQ47" s="33">
        <f t="shared" si="40"/>
        <v>-8.2976937250442723E-2</v>
      </c>
      <c r="AR47" s="33">
        <f t="shared" si="41"/>
        <v>0.22335325056435501</v>
      </c>
      <c r="AS47" s="68"/>
    </row>
    <row r="48" spans="1:45" s="81" customFormat="1" ht="15.75" x14ac:dyDescent="0.25">
      <c r="A48" s="260" t="s">
        <v>38</v>
      </c>
      <c r="B48" s="260" t="s">
        <v>42</v>
      </c>
      <c r="C48" s="261">
        <f t="shared" si="44"/>
        <v>42811</v>
      </c>
      <c r="D48" s="260" t="s">
        <v>30</v>
      </c>
      <c r="E48" s="109">
        <v>683</v>
      </c>
      <c r="F48" s="109">
        <v>233</v>
      </c>
      <c r="G48" s="33">
        <f t="shared" si="22"/>
        <v>0.85094850948509482</v>
      </c>
      <c r="H48" s="33">
        <f t="shared" si="23"/>
        <v>1.9313304721030042</v>
      </c>
      <c r="I48" s="109">
        <f>1859.33+1.11</f>
        <v>1860.4399999999998</v>
      </c>
      <c r="J48" s="111">
        <f>1187.86+8.55</f>
        <v>1196.4099999999999</v>
      </c>
      <c r="K48" s="33">
        <f t="shared" si="24"/>
        <v>-8.3052810567042168E-2</v>
      </c>
      <c r="L48" s="33">
        <f t="shared" si="25"/>
        <v>0.5550187644703739</v>
      </c>
      <c r="M48" s="111">
        <f t="shared" ref="M48:M90" si="46">E48/I48</f>
        <v>0.36711745608565721</v>
      </c>
      <c r="N48" s="111">
        <f t="shared" ref="N48:N88" si="47">F48/J48</f>
        <v>0.19474929163079549</v>
      </c>
      <c r="O48" s="33">
        <f t="shared" si="26"/>
        <v>1.0185988144308784</v>
      </c>
      <c r="P48" s="33">
        <f t="shared" si="27"/>
        <v>0.88507723448687159</v>
      </c>
      <c r="Q48" s="112">
        <v>1944</v>
      </c>
      <c r="R48" s="112">
        <v>1221</v>
      </c>
      <c r="S48" s="33">
        <f t="shared" si="28"/>
        <v>-0.11916628908019937</v>
      </c>
      <c r="T48" s="33">
        <f t="shared" si="29"/>
        <v>0.59213759213759209</v>
      </c>
      <c r="U48" s="112">
        <v>8</v>
      </c>
      <c r="V48" s="112">
        <v>4</v>
      </c>
      <c r="W48" s="33">
        <f t="shared" si="30"/>
        <v>0.6</v>
      </c>
      <c r="X48" s="33">
        <f t="shared" si="31"/>
        <v>1</v>
      </c>
      <c r="Y48" s="113">
        <f t="shared" si="15"/>
        <v>4.11522633744856E-3</v>
      </c>
      <c r="Z48" s="113">
        <f t="shared" si="45"/>
        <v>3.2760032760032762E-3</v>
      </c>
      <c r="AA48" s="33">
        <f t="shared" si="32"/>
        <v>0.81646090534979454</v>
      </c>
      <c r="AB48" s="33">
        <f t="shared" si="33"/>
        <v>0.25617283950617287</v>
      </c>
      <c r="AC48" s="114">
        <f t="shared" si="17"/>
        <v>85.375</v>
      </c>
      <c r="AD48" s="145">
        <f t="shared" si="43"/>
        <v>58.25</v>
      </c>
      <c r="AE48" s="33">
        <f t="shared" si="34"/>
        <v>0.15684281842818432</v>
      </c>
      <c r="AF48" s="33">
        <f t="shared" si="35"/>
        <v>0.46566523605150212</v>
      </c>
      <c r="AG48" s="112">
        <f>1655+2</f>
        <v>1657</v>
      </c>
      <c r="AH48" s="112">
        <f>1126+15</f>
        <v>1141</v>
      </c>
      <c r="AI48" s="33">
        <f t="shared" si="36"/>
        <v>-0.157600406710727</v>
      </c>
      <c r="AJ48" s="33">
        <f t="shared" si="37"/>
        <v>0.45223488168273446</v>
      </c>
      <c r="AK48" s="112">
        <f>24092+18</f>
        <v>24110</v>
      </c>
      <c r="AL48" s="112">
        <f>16484+276</f>
        <v>16760</v>
      </c>
      <c r="AM48" s="150">
        <f t="shared" si="38"/>
        <v>-0.16345720134624059</v>
      </c>
      <c r="AN48" s="267">
        <f t="shared" si="39"/>
        <v>0.43854415274463004</v>
      </c>
      <c r="AO48" s="110">
        <f t="shared" si="11"/>
        <v>6.8726669431771054E-2</v>
      </c>
      <c r="AP48" s="110">
        <f t="shared" si="18"/>
        <v>6.8078758949880663E-2</v>
      </c>
      <c r="AQ48" s="33">
        <f t="shared" si="40"/>
        <v>7.0011894728386655E-3</v>
      </c>
      <c r="AR48" s="33">
        <f t="shared" si="41"/>
        <v>9.5170724596695365E-3</v>
      </c>
      <c r="AS48" s="68"/>
    </row>
    <row r="49" spans="1:45" s="81" customFormat="1" ht="15.75" x14ac:dyDescent="0.25">
      <c r="A49" s="260" t="s">
        <v>38</v>
      </c>
      <c r="B49" s="260" t="s">
        <v>42</v>
      </c>
      <c r="C49" s="261">
        <f t="shared" si="44"/>
        <v>42811</v>
      </c>
      <c r="D49" s="260" t="s">
        <v>228</v>
      </c>
      <c r="E49" s="109"/>
      <c r="F49" s="109"/>
      <c r="G49" s="33" t="e">
        <f t="shared" si="22"/>
        <v>#DIV/0!</v>
      </c>
      <c r="H49" s="33" t="e">
        <f t="shared" si="23"/>
        <v>#DIV/0!</v>
      </c>
      <c r="I49" s="109"/>
      <c r="J49" s="111"/>
      <c r="K49" s="33" t="e">
        <f t="shared" si="24"/>
        <v>#DIV/0!</v>
      </c>
      <c r="L49" s="33" t="e">
        <f t="shared" si="25"/>
        <v>#DIV/0!</v>
      </c>
      <c r="M49" s="111"/>
      <c r="N49" s="111"/>
      <c r="O49" s="33" t="e">
        <f t="shared" si="26"/>
        <v>#DIV/0!</v>
      </c>
      <c r="P49" s="33" t="e">
        <f t="shared" si="27"/>
        <v>#DIV/0!</v>
      </c>
      <c r="Q49" s="112"/>
      <c r="R49" s="112"/>
      <c r="S49" s="33" t="e">
        <f t="shared" si="28"/>
        <v>#DIV/0!</v>
      </c>
      <c r="T49" s="33" t="e">
        <f t="shared" si="29"/>
        <v>#DIV/0!</v>
      </c>
      <c r="U49" s="112"/>
      <c r="V49" s="112"/>
      <c r="W49" s="33" t="e">
        <f t="shared" si="30"/>
        <v>#DIV/0!</v>
      </c>
      <c r="X49" s="33" t="e">
        <f t="shared" si="31"/>
        <v>#DIV/0!</v>
      </c>
      <c r="Y49" s="113"/>
      <c r="Z49" s="113"/>
      <c r="AA49" s="33" t="e">
        <f t="shared" si="32"/>
        <v>#DIV/0!</v>
      </c>
      <c r="AB49" s="33" t="e">
        <f t="shared" si="33"/>
        <v>#DIV/0!</v>
      </c>
      <c r="AC49" s="114"/>
      <c r="AD49" s="145"/>
      <c r="AE49" s="33" t="e">
        <f t="shared" si="34"/>
        <v>#DIV/0!</v>
      </c>
      <c r="AF49" s="33" t="e">
        <f t="shared" si="35"/>
        <v>#DIV/0!</v>
      </c>
      <c r="AG49" s="112"/>
      <c r="AH49" s="112"/>
      <c r="AI49" s="33" t="e">
        <f t="shared" si="36"/>
        <v>#DIV/0!</v>
      </c>
      <c r="AJ49" s="33" t="e">
        <f t="shared" si="37"/>
        <v>#DIV/0!</v>
      </c>
      <c r="AK49" s="112"/>
      <c r="AL49" s="112"/>
      <c r="AM49" s="150" t="e">
        <f t="shared" si="38"/>
        <v>#DIV/0!</v>
      </c>
      <c r="AN49" s="267" t="e">
        <f t="shared" si="39"/>
        <v>#DIV/0!</v>
      </c>
      <c r="AO49" s="110"/>
      <c r="AP49" s="110"/>
      <c r="AQ49" s="33" t="e">
        <f t="shared" si="40"/>
        <v>#DIV/0!</v>
      </c>
      <c r="AR49" s="33" t="e">
        <f t="shared" si="41"/>
        <v>#DIV/0!</v>
      </c>
      <c r="AS49" s="68"/>
    </row>
    <row r="50" spans="1:45" s="108" customFormat="1" ht="15.75" customHeight="1" x14ac:dyDescent="0.3">
      <c r="A50" s="272" t="s">
        <v>43</v>
      </c>
      <c r="B50" s="272" t="s">
        <v>44</v>
      </c>
      <c r="C50" s="273">
        <f t="shared" si="44"/>
        <v>42818</v>
      </c>
      <c r="D50" s="274" t="s">
        <v>28</v>
      </c>
      <c r="E50" s="115">
        <f>E51+E52</f>
        <v>35091</v>
      </c>
      <c r="F50" s="115">
        <f>F51+F52</f>
        <v>2578</v>
      </c>
      <c r="G50" s="116">
        <f t="shared" si="22"/>
        <v>0.21958085705348765</v>
      </c>
      <c r="H50" s="116">
        <f t="shared" si="23"/>
        <v>12.611714507370055</v>
      </c>
      <c r="I50" s="115">
        <f>I51+I52</f>
        <v>1526.0100000000002</v>
      </c>
      <c r="J50" s="117">
        <f>J51+J52</f>
        <v>2727.34</v>
      </c>
      <c r="K50" s="116">
        <f t="shared" si="24"/>
        <v>-0.45818539453502238</v>
      </c>
      <c r="L50" s="116">
        <f t="shared" si="25"/>
        <v>-0.44047680157222785</v>
      </c>
      <c r="M50" s="117">
        <f t="shared" si="46"/>
        <v>22.995262154245381</v>
      </c>
      <c r="N50" s="117">
        <f t="shared" si="47"/>
        <v>0.94524335066401688</v>
      </c>
      <c r="O50" s="116">
        <f t="shared" si="26"/>
        <v>1.2509191239074491</v>
      </c>
      <c r="P50" s="116">
        <f t="shared" si="27"/>
        <v>23.327346114724438</v>
      </c>
      <c r="Q50" s="118">
        <f>Q51+Q52</f>
        <v>14206</v>
      </c>
      <c r="R50" s="118">
        <f>R51+R52</f>
        <v>5506</v>
      </c>
      <c r="S50" s="116">
        <f t="shared" si="28"/>
        <v>-3.5246179966044143E-2</v>
      </c>
      <c r="T50" s="116">
        <f t="shared" si="29"/>
        <v>1.5800944424264438</v>
      </c>
      <c r="U50" s="118">
        <f>U51+U52</f>
        <v>563</v>
      </c>
      <c r="V50" s="118">
        <f>V51+V52</f>
        <v>25</v>
      </c>
      <c r="W50" s="116">
        <f t="shared" si="30"/>
        <v>0.21861471861471862</v>
      </c>
      <c r="X50" s="116">
        <f t="shared" si="31"/>
        <v>21.52</v>
      </c>
      <c r="Y50" s="119">
        <f t="shared" si="15"/>
        <v>3.9631141771082644E-2</v>
      </c>
      <c r="Z50" s="119">
        <f t="shared" si="45"/>
        <v>4.5405012713403562E-3</v>
      </c>
      <c r="AA50" s="116">
        <f t="shared" si="32"/>
        <v>0.26313541683807767</v>
      </c>
      <c r="AB50" s="116">
        <f t="shared" si="33"/>
        <v>7.7283626636632414</v>
      </c>
      <c r="AC50" s="120">
        <f t="shared" si="17"/>
        <v>62.328596802841915</v>
      </c>
      <c r="AD50" s="275">
        <f t="shared" ref="AD50:AD60" si="48">F50/V50</f>
        <v>103.12</v>
      </c>
      <c r="AE50" s="116">
        <f t="shared" si="34"/>
        <v>7.928169781727571E-4</v>
      </c>
      <c r="AF50" s="116">
        <f t="shared" si="35"/>
        <v>-0.39557217995692484</v>
      </c>
      <c r="AG50" s="118">
        <f>AG51+AG52</f>
        <v>10361</v>
      </c>
      <c r="AH50" s="118">
        <f>AH51+AH52</f>
        <v>4854</v>
      </c>
      <c r="AI50" s="116">
        <f t="shared" si="36"/>
        <v>-5.1190476190476189E-2</v>
      </c>
      <c r="AJ50" s="116">
        <f t="shared" si="37"/>
        <v>1.134528224145035</v>
      </c>
      <c r="AK50" s="118">
        <f>AK51+AK52</f>
        <v>32128</v>
      </c>
      <c r="AL50" s="118">
        <f>AL51+AL52</f>
        <v>38153</v>
      </c>
      <c r="AM50" s="276">
        <f t="shared" si="38"/>
        <v>-0.29567028389784061</v>
      </c>
      <c r="AN50" s="277">
        <f t="shared" si="39"/>
        <v>-0.15791680863890126</v>
      </c>
      <c r="AO50" s="116">
        <f t="shared" si="11"/>
        <v>0.32249128486055778</v>
      </c>
      <c r="AP50" s="116">
        <f t="shared" si="18"/>
        <v>0.12722459570675962</v>
      </c>
      <c r="AQ50" s="116">
        <f t="shared" si="40"/>
        <v>0.34710988634746731</v>
      </c>
      <c r="AR50" s="116">
        <f t="shared" si="41"/>
        <v>1.5348187044262178</v>
      </c>
      <c r="AS50" s="106" t="s">
        <v>186</v>
      </c>
    </row>
    <row r="51" spans="1:45" s="81" customFormat="1" ht="15.75" x14ac:dyDescent="0.25">
      <c r="A51" s="260" t="s">
        <v>43</v>
      </c>
      <c r="B51" s="260" t="s">
        <v>44</v>
      </c>
      <c r="C51" s="261">
        <f t="shared" si="44"/>
        <v>42818</v>
      </c>
      <c r="D51" s="260" t="s">
        <v>29</v>
      </c>
      <c r="E51" s="109">
        <v>34918</v>
      </c>
      <c r="F51" s="109">
        <v>2434</v>
      </c>
      <c r="G51" s="33">
        <f t="shared" si="22"/>
        <v>0.2430758276966892</v>
      </c>
      <c r="H51" s="33">
        <f t="shared" si="23"/>
        <v>13.345932621199671</v>
      </c>
      <c r="I51" s="109">
        <f>682.11+103.09</f>
        <v>785.2</v>
      </c>
      <c r="J51" s="111">
        <f>406.17+28.18</f>
        <v>434.35</v>
      </c>
      <c r="K51" s="33">
        <f t="shared" si="24"/>
        <v>-0.17869545207313503</v>
      </c>
      <c r="L51" s="33">
        <f t="shared" si="25"/>
        <v>0.80775871992632675</v>
      </c>
      <c r="M51" s="111">
        <f t="shared" si="46"/>
        <v>44.47019867549669</v>
      </c>
      <c r="N51" s="111">
        <f t="shared" si="47"/>
        <v>5.6037757568780933</v>
      </c>
      <c r="O51" s="33">
        <f t="shared" si="26"/>
        <v>0.51353822505239799</v>
      </c>
      <c r="P51" s="33">
        <f t="shared" si="27"/>
        <v>6.9357562837723865</v>
      </c>
      <c r="Q51" s="112">
        <v>13262</v>
      </c>
      <c r="R51" s="112">
        <v>2938</v>
      </c>
      <c r="S51" s="33">
        <f t="shared" si="28"/>
        <v>3.7633987950864561E-2</v>
      </c>
      <c r="T51" s="33">
        <f t="shared" si="29"/>
        <v>3.5139550714771954</v>
      </c>
      <c r="U51" s="112">
        <v>561</v>
      </c>
      <c r="V51" s="112">
        <v>23</v>
      </c>
      <c r="W51" s="33">
        <f t="shared" si="30"/>
        <v>0.23568281938325991</v>
      </c>
      <c r="X51" s="33">
        <f t="shared" si="31"/>
        <v>23.391304347826086</v>
      </c>
      <c r="Y51" s="113">
        <f t="shared" si="15"/>
        <v>4.2301312019303275E-2</v>
      </c>
      <c r="Z51" s="113">
        <f t="shared" si="45"/>
        <v>7.8284547311095985E-3</v>
      </c>
      <c r="AA51" s="33">
        <f t="shared" si="32"/>
        <v>0.19086579056985709</v>
      </c>
      <c r="AB51" s="33">
        <f t="shared" si="33"/>
        <v>4.4035328135962182</v>
      </c>
      <c r="AC51" s="114">
        <f t="shared" si="17"/>
        <v>62.242424242424242</v>
      </c>
      <c r="AD51" s="145">
        <f t="shared" si="48"/>
        <v>105.82608695652173</v>
      </c>
      <c r="AE51" s="33">
        <f t="shared" si="34"/>
        <v>5.9829336440230235E-3</v>
      </c>
      <c r="AF51" s="33">
        <f t="shared" si="35"/>
        <v>-0.411842334603222</v>
      </c>
      <c r="AG51" s="112">
        <f>8954+615</f>
        <v>9569</v>
      </c>
      <c r="AH51" s="112">
        <f>2212+104</f>
        <v>2316</v>
      </c>
      <c r="AI51" s="33">
        <f t="shared" si="36"/>
        <v>3.3034653999784086E-2</v>
      </c>
      <c r="AJ51" s="33">
        <f t="shared" si="37"/>
        <v>3.1316925734024181</v>
      </c>
      <c r="AK51" s="112">
        <f>18834+1360</f>
        <v>20194</v>
      </c>
      <c r="AL51" s="112">
        <f>6032+285</f>
        <v>6317</v>
      </c>
      <c r="AM51" s="150">
        <f t="shared" si="38"/>
        <v>-6.0962566844919783E-2</v>
      </c>
      <c r="AN51" s="267">
        <f t="shared" si="39"/>
        <v>2.1967706189646985</v>
      </c>
      <c r="AO51" s="110">
        <f t="shared" si="11"/>
        <v>0.47385361988709518</v>
      </c>
      <c r="AP51" s="110">
        <f t="shared" si="18"/>
        <v>0.36662972930188381</v>
      </c>
      <c r="AQ51" s="33">
        <f t="shared" si="40"/>
        <v>0.10009954611594324</v>
      </c>
      <c r="AR51" s="33">
        <f t="shared" si="41"/>
        <v>0.29245825424299665</v>
      </c>
      <c r="AS51" s="68"/>
    </row>
    <row r="52" spans="1:45" s="81" customFormat="1" ht="15.75" x14ac:dyDescent="0.25">
      <c r="A52" s="260" t="s">
        <v>43</v>
      </c>
      <c r="B52" s="260" t="s">
        <v>44</v>
      </c>
      <c r="C52" s="261">
        <f t="shared" si="44"/>
        <v>42818</v>
      </c>
      <c r="D52" s="260" t="s">
        <v>30</v>
      </c>
      <c r="E52" s="109">
        <v>173</v>
      </c>
      <c r="F52" s="109">
        <v>144</v>
      </c>
      <c r="G52" s="33">
        <f t="shared" si="22"/>
        <v>-0.74670571010248898</v>
      </c>
      <c r="H52" s="33">
        <f t="shared" si="23"/>
        <v>0.2013888888888889</v>
      </c>
      <c r="I52" s="109">
        <f>638.57+102.24</f>
        <v>740.81000000000006</v>
      </c>
      <c r="J52" s="111">
        <f>2203.13+89.86</f>
        <v>2292.9900000000002</v>
      </c>
      <c r="K52" s="33">
        <f t="shared" si="24"/>
        <v>-0.60180924942486713</v>
      </c>
      <c r="L52" s="33">
        <f t="shared" si="25"/>
        <v>-0.67692401624080356</v>
      </c>
      <c r="M52" s="111">
        <f t="shared" si="46"/>
        <v>0.23352816511656158</v>
      </c>
      <c r="N52" s="111">
        <f t="shared" si="47"/>
        <v>6.2800099433490769E-2</v>
      </c>
      <c r="O52" s="33">
        <f t="shared" si="26"/>
        <v>-0.36388705781924485</v>
      </c>
      <c r="P52" s="33">
        <f t="shared" si="27"/>
        <v>2.7185954675737816</v>
      </c>
      <c r="Q52" s="112">
        <v>944</v>
      </c>
      <c r="R52" s="112">
        <v>2568</v>
      </c>
      <c r="S52" s="33">
        <f t="shared" si="28"/>
        <v>-0.51440329218106995</v>
      </c>
      <c r="T52" s="33">
        <f t="shared" si="29"/>
        <v>-0.63239875389408096</v>
      </c>
      <c r="U52" s="112">
        <v>2</v>
      </c>
      <c r="V52" s="112">
        <v>2</v>
      </c>
      <c r="W52" s="33">
        <f t="shared" si="30"/>
        <v>-0.75</v>
      </c>
      <c r="X52" s="33">
        <f t="shared" si="31"/>
        <v>0</v>
      </c>
      <c r="Y52" s="113">
        <f t="shared" si="15"/>
        <v>2.1186440677966102E-3</v>
      </c>
      <c r="Z52" s="113">
        <f t="shared" si="45"/>
        <v>7.7881619937694702E-4</v>
      </c>
      <c r="AA52" s="33">
        <f t="shared" si="32"/>
        <v>-0.48516949152542377</v>
      </c>
      <c r="AB52" s="33">
        <f t="shared" si="33"/>
        <v>1.7203389830508473</v>
      </c>
      <c r="AC52" s="114">
        <f t="shared" si="17"/>
        <v>86.5</v>
      </c>
      <c r="AD52" s="145">
        <f t="shared" si="48"/>
        <v>72</v>
      </c>
      <c r="AE52" s="33">
        <f t="shared" si="34"/>
        <v>1.3177159590043924E-2</v>
      </c>
      <c r="AF52" s="33">
        <f t="shared" si="35"/>
        <v>0.2013888888888889</v>
      </c>
      <c r="AG52" s="112">
        <f>707+85</f>
        <v>792</v>
      </c>
      <c r="AH52" s="112">
        <f>2435+103</f>
        <v>2538</v>
      </c>
      <c r="AI52" s="33">
        <f t="shared" si="36"/>
        <v>-0.52202776101388049</v>
      </c>
      <c r="AJ52" s="33">
        <f t="shared" si="37"/>
        <v>-0.68794326241134751</v>
      </c>
      <c r="AK52" s="112">
        <f>10906+1028</f>
        <v>11934</v>
      </c>
      <c r="AL52" s="112">
        <f>30226+1610</f>
        <v>31836</v>
      </c>
      <c r="AM52" s="150">
        <f t="shared" si="38"/>
        <v>-0.50501866445458321</v>
      </c>
      <c r="AN52" s="267">
        <f t="shared" si="39"/>
        <v>-0.62514134941575572</v>
      </c>
      <c r="AO52" s="110">
        <f t="shared" si="11"/>
        <v>6.636500754147813E-2</v>
      </c>
      <c r="AP52" s="110">
        <f t="shared" si="18"/>
        <v>7.9721070486241996E-2</v>
      </c>
      <c r="AQ52" s="33">
        <f t="shared" si="40"/>
        <v>-3.4363106925143265E-2</v>
      </c>
      <c r="AR52" s="33">
        <f t="shared" si="41"/>
        <v>-0.16753491722202618</v>
      </c>
      <c r="AS52" s="68"/>
    </row>
    <row r="53" spans="1:45" s="81" customFormat="1" ht="15.75" x14ac:dyDescent="0.25">
      <c r="A53" s="260" t="s">
        <v>43</v>
      </c>
      <c r="B53" s="260" t="s">
        <v>44</v>
      </c>
      <c r="C53" s="261">
        <f t="shared" si="44"/>
        <v>42818</v>
      </c>
      <c r="D53" s="260" t="s">
        <v>228</v>
      </c>
      <c r="E53" s="109"/>
      <c r="F53" s="109"/>
      <c r="G53" s="33" t="e">
        <f t="shared" si="22"/>
        <v>#DIV/0!</v>
      </c>
      <c r="H53" s="33" t="e">
        <f t="shared" si="23"/>
        <v>#DIV/0!</v>
      </c>
      <c r="I53" s="109"/>
      <c r="J53" s="111"/>
      <c r="K53" s="33" t="e">
        <f t="shared" si="24"/>
        <v>#DIV/0!</v>
      </c>
      <c r="L53" s="33" t="e">
        <f t="shared" si="25"/>
        <v>#DIV/0!</v>
      </c>
      <c r="M53" s="111"/>
      <c r="N53" s="111"/>
      <c r="O53" s="33" t="e">
        <f t="shared" si="26"/>
        <v>#DIV/0!</v>
      </c>
      <c r="P53" s="33" t="e">
        <f t="shared" si="27"/>
        <v>#DIV/0!</v>
      </c>
      <c r="Q53" s="112"/>
      <c r="R53" s="112"/>
      <c r="S53" s="33" t="e">
        <f t="shared" si="28"/>
        <v>#DIV/0!</v>
      </c>
      <c r="T53" s="33" t="e">
        <f t="shared" si="29"/>
        <v>#DIV/0!</v>
      </c>
      <c r="U53" s="112"/>
      <c r="V53" s="112"/>
      <c r="W53" s="33" t="e">
        <f t="shared" si="30"/>
        <v>#DIV/0!</v>
      </c>
      <c r="X53" s="33" t="e">
        <f t="shared" si="31"/>
        <v>#DIV/0!</v>
      </c>
      <c r="Y53" s="113"/>
      <c r="Z53" s="113"/>
      <c r="AA53" s="33" t="e">
        <f t="shared" si="32"/>
        <v>#DIV/0!</v>
      </c>
      <c r="AB53" s="33" t="e">
        <f t="shared" si="33"/>
        <v>#DIV/0!</v>
      </c>
      <c r="AC53" s="114"/>
      <c r="AD53" s="145"/>
      <c r="AE53" s="33" t="e">
        <f t="shared" si="34"/>
        <v>#DIV/0!</v>
      </c>
      <c r="AF53" s="33" t="e">
        <f t="shared" si="35"/>
        <v>#DIV/0!</v>
      </c>
      <c r="AG53" s="112"/>
      <c r="AH53" s="112"/>
      <c r="AI53" s="33" t="e">
        <f t="shared" si="36"/>
        <v>#DIV/0!</v>
      </c>
      <c r="AJ53" s="33" t="e">
        <f t="shared" si="37"/>
        <v>#DIV/0!</v>
      </c>
      <c r="AK53" s="112"/>
      <c r="AL53" s="112"/>
      <c r="AM53" s="150" t="e">
        <f t="shared" si="38"/>
        <v>#DIV/0!</v>
      </c>
      <c r="AN53" s="267" t="e">
        <f t="shared" si="39"/>
        <v>#DIV/0!</v>
      </c>
      <c r="AO53" s="110"/>
      <c r="AP53" s="110"/>
      <c r="AQ53" s="33" t="e">
        <f t="shared" si="40"/>
        <v>#DIV/0!</v>
      </c>
      <c r="AR53" s="33" t="e">
        <f t="shared" si="41"/>
        <v>#DIV/0!</v>
      </c>
      <c r="AS53" s="68"/>
    </row>
    <row r="54" spans="1:45" s="81" customFormat="1" ht="15.75" customHeight="1" x14ac:dyDescent="0.3">
      <c r="A54" s="29" t="s">
        <v>43</v>
      </c>
      <c r="B54" s="29" t="s">
        <v>45</v>
      </c>
      <c r="C54" s="30">
        <f t="shared" si="44"/>
        <v>42825</v>
      </c>
      <c r="D54" s="31" t="s">
        <v>28</v>
      </c>
      <c r="E54" s="32">
        <f>E55+E56</f>
        <v>24704</v>
      </c>
      <c r="F54" s="32">
        <f>F55+F56</f>
        <v>4036</v>
      </c>
      <c r="G54" s="33">
        <f t="shared" si="22"/>
        <v>-0.29600182382947193</v>
      </c>
      <c r="H54" s="33">
        <f t="shared" si="23"/>
        <v>5.1209117938553019</v>
      </c>
      <c r="I54" s="32">
        <f>I55+I56</f>
        <v>1035.72</v>
      </c>
      <c r="J54" s="34">
        <f>J55+J56</f>
        <v>3061.28</v>
      </c>
      <c r="K54" s="33">
        <f t="shared" si="24"/>
        <v>-0.3212888513181435</v>
      </c>
      <c r="L54" s="33">
        <f t="shared" si="25"/>
        <v>-0.66167093503371144</v>
      </c>
      <c r="M54" s="34">
        <f t="shared" si="46"/>
        <v>23.852006333758158</v>
      </c>
      <c r="N54" s="34">
        <f t="shared" si="47"/>
        <v>1.3184027596299586</v>
      </c>
      <c r="O54" s="33">
        <f t="shared" si="26"/>
        <v>3.7257421714351063E-2</v>
      </c>
      <c r="P54" s="33">
        <f t="shared" si="27"/>
        <v>17.091593149010698</v>
      </c>
      <c r="Q54" s="35">
        <f>Q55+Q56</f>
        <v>8446</v>
      </c>
      <c r="R54" s="35">
        <f>R55+R56</f>
        <v>6081</v>
      </c>
      <c r="S54" s="33">
        <f t="shared" si="28"/>
        <v>-0.40546248064198226</v>
      </c>
      <c r="T54" s="33">
        <f t="shared" si="29"/>
        <v>0.38891629666173327</v>
      </c>
      <c r="U54" s="35">
        <f>U55+U56</f>
        <v>307</v>
      </c>
      <c r="V54" s="35">
        <f>V55+V56</f>
        <v>42</v>
      </c>
      <c r="W54" s="33">
        <f t="shared" si="30"/>
        <v>-0.45470692717584371</v>
      </c>
      <c r="X54" s="33">
        <f t="shared" si="31"/>
        <v>6.3095238095238093</v>
      </c>
      <c r="Y54" s="88">
        <f t="shared" si="15"/>
        <v>3.634856736916884E-2</v>
      </c>
      <c r="Z54" s="88">
        <f t="shared" si="45"/>
        <v>6.9067587567834239E-3</v>
      </c>
      <c r="AA54" s="33">
        <f t="shared" si="32"/>
        <v>-8.2828156223068383E-2</v>
      </c>
      <c r="AB54" s="33">
        <f t="shared" si="33"/>
        <v>4.2627532898075167</v>
      </c>
      <c r="AC54" s="97">
        <f t="shared" si="17"/>
        <v>80.469055374592827</v>
      </c>
      <c r="AD54" s="145">
        <f t="shared" si="48"/>
        <v>96.095238095238102</v>
      </c>
      <c r="AE54" s="33">
        <f t="shared" si="34"/>
        <v>0.29104551525735273</v>
      </c>
      <c r="AF54" s="33">
        <f t="shared" si="35"/>
        <v>-0.16261141582435618</v>
      </c>
      <c r="AG54" s="35">
        <f>AG55+AG56</f>
        <v>5664</v>
      </c>
      <c r="AH54" s="35">
        <f>AH55+AH56</f>
        <v>5298</v>
      </c>
      <c r="AI54" s="33">
        <f t="shared" si="36"/>
        <v>-0.45333462021040438</v>
      </c>
      <c r="AJ54" s="33">
        <f t="shared" si="37"/>
        <v>6.9082672706681766E-2</v>
      </c>
      <c r="AK54" s="35">
        <f>AK55+AK56</f>
        <v>19710</v>
      </c>
      <c r="AL54" s="35">
        <f>AL55+AL56</f>
        <v>41220</v>
      </c>
      <c r="AM54" s="150">
        <f t="shared" si="38"/>
        <v>-0.38651643426294818</v>
      </c>
      <c r="AN54" s="267">
        <f t="shared" si="39"/>
        <v>-0.52183406113537123</v>
      </c>
      <c r="AO54" s="33">
        <f t="shared" si="11"/>
        <v>0.28736681887366816</v>
      </c>
      <c r="AP54" s="33">
        <f t="shared" si="18"/>
        <v>0.12852983988355168</v>
      </c>
      <c r="AQ54" s="33">
        <f t="shared" si="40"/>
        <v>-0.10891601614002409</v>
      </c>
      <c r="AR54" s="33">
        <f t="shared" si="41"/>
        <v>1.235798466208494</v>
      </c>
      <c r="AS54" s="68" t="s">
        <v>191</v>
      </c>
    </row>
    <row r="55" spans="1:45" s="81" customFormat="1" ht="15.75" x14ac:dyDescent="0.25">
      <c r="A55" s="260" t="s">
        <v>43</v>
      </c>
      <c r="B55" s="260" t="s">
        <v>45</v>
      </c>
      <c r="C55" s="261">
        <f t="shared" si="44"/>
        <v>42825</v>
      </c>
      <c r="D55" s="260" t="s">
        <v>29</v>
      </c>
      <c r="E55" s="109">
        <v>24413</v>
      </c>
      <c r="F55" s="109">
        <v>3640</v>
      </c>
      <c r="G55" s="33">
        <f t="shared" si="22"/>
        <v>-0.30084770032647917</v>
      </c>
      <c r="H55" s="33">
        <f t="shared" si="23"/>
        <v>5.7068681318681316</v>
      </c>
      <c r="I55" s="109">
        <f>447.61+57.85</f>
        <v>505.46000000000004</v>
      </c>
      <c r="J55" s="111">
        <f>573.05+44.14</f>
        <v>617.18999999999994</v>
      </c>
      <c r="K55" s="33">
        <f t="shared" si="24"/>
        <v>-0.3562659195109526</v>
      </c>
      <c r="L55" s="33">
        <f t="shared" si="25"/>
        <v>-0.18103015278925438</v>
      </c>
      <c r="M55" s="111">
        <f t="shared" si="46"/>
        <v>48.298579511731887</v>
      </c>
      <c r="N55" s="111">
        <f t="shared" si="47"/>
        <v>5.8976976295792225</v>
      </c>
      <c r="O55" s="33">
        <f t="shared" si="26"/>
        <v>8.6088682989056559E-2</v>
      </c>
      <c r="P55" s="33">
        <f t="shared" si="27"/>
        <v>7.1893956837488471</v>
      </c>
      <c r="Q55" s="112">
        <v>7759</v>
      </c>
      <c r="R55" s="112">
        <v>3439</v>
      </c>
      <c r="S55" s="33">
        <f t="shared" si="28"/>
        <v>-0.41494495551198912</v>
      </c>
      <c r="T55" s="33">
        <f t="shared" si="29"/>
        <v>1.2561791218377436</v>
      </c>
      <c r="U55" s="112">
        <v>304</v>
      </c>
      <c r="V55" s="112">
        <v>37</v>
      </c>
      <c r="W55" s="33">
        <f t="shared" si="30"/>
        <v>-0.45811051693404636</v>
      </c>
      <c r="X55" s="33">
        <f t="shared" si="31"/>
        <v>7.2162162162162158</v>
      </c>
      <c r="Y55" s="113">
        <f t="shared" si="15"/>
        <v>3.9180306740559348E-2</v>
      </c>
      <c r="Z55" s="113">
        <f t="shared" si="45"/>
        <v>1.0758941552776969E-2</v>
      </c>
      <c r="AA55" s="33">
        <f t="shared" si="32"/>
        <v>-7.3780342257935755E-2</v>
      </c>
      <c r="AB55" s="33">
        <f t="shared" si="33"/>
        <v>2.6416506724536108</v>
      </c>
      <c r="AC55" s="114">
        <f t="shared" si="17"/>
        <v>80.305921052631575</v>
      </c>
      <c r="AD55" s="145">
        <f t="shared" si="48"/>
        <v>98.378378378378372</v>
      </c>
      <c r="AE55" s="33">
        <f t="shared" si="34"/>
        <v>0.29021197406856963</v>
      </c>
      <c r="AF55" s="33">
        <f t="shared" si="35"/>
        <v>-0.18370354973973393</v>
      </c>
      <c r="AG55" s="112">
        <f>4855+284</f>
        <v>5139</v>
      </c>
      <c r="AH55" s="112">
        <f>2538+157</f>
        <v>2695</v>
      </c>
      <c r="AI55" s="33">
        <f t="shared" si="36"/>
        <v>-0.46295328665482288</v>
      </c>
      <c r="AJ55" s="33">
        <f t="shared" si="37"/>
        <v>0.9068645640074211</v>
      </c>
      <c r="AK55" s="112">
        <f>12237+697</f>
        <v>12934</v>
      </c>
      <c r="AL55" s="112">
        <f>6794+414</f>
        <v>7208</v>
      </c>
      <c r="AM55" s="150">
        <f t="shared" si="38"/>
        <v>-0.35951272655244132</v>
      </c>
      <c r="AN55" s="267">
        <f t="shared" si="39"/>
        <v>0.79439511653718087</v>
      </c>
      <c r="AO55" s="110">
        <f t="shared" si="11"/>
        <v>0.39732488016081646</v>
      </c>
      <c r="AP55" s="110">
        <f t="shared" si="18"/>
        <v>0.37389012208657046</v>
      </c>
      <c r="AQ55" s="33">
        <f t="shared" si="40"/>
        <v>-0.16150291253343843</v>
      </c>
      <c r="AR55" s="33">
        <f t="shared" si="41"/>
        <v>6.2678195250154042E-2</v>
      </c>
      <c r="AS55" s="68"/>
    </row>
    <row r="56" spans="1:45" s="81" customFormat="1" ht="15.75" x14ac:dyDescent="0.25">
      <c r="A56" s="260" t="s">
        <v>43</v>
      </c>
      <c r="B56" s="260" t="s">
        <v>45</v>
      </c>
      <c r="C56" s="261">
        <f t="shared" si="44"/>
        <v>42825</v>
      </c>
      <c r="D56" s="260" t="s">
        <v>30</v>
      </c>
      <c r="E56" s="109">
        <v>291</v>
      </c>
      <c r="F56" s="109">
        <v>396</v>
      </c>
      <c r="G56" s="33">
        <f t="shared" si="22"/>
        <v>0.68208092485549132</v>
      </c>
      <c r="H56" s="33">
        <f t="shared" si="23"/>
        <v>-0.26515151515151514</v>
      </c>
      <c r="I56" s="109">
        <v>530.26</v>
      </c>
      <c r="J56" s="111">
        <f>2334.52+109.57</f>
        <v>2444.09</v>
      </c>
      <c r="K56" s="33">
        <f t="shared" si="24"/>
        <v>-0.28421592581093674</v>
      </c>
      <c r="L56" s="33">
        <f t="shared" si="25"/>
        <v>-0.78304399592486362</v>
      </c>
      <c r="M56" s="111">
        <f t="shared" si="46"/>
        <v>0.54878738731942822</v>
      </c>
      <c r="N56" s="111">
        <f t="shared" si="47"/>
        <v>0.16202349340654393</v>
      </c>
      <c r="O56" s="33">
        <f t="shared" si="26"/>
        <v>1.349983724856102</v>
      </c>
      <c r="P56" s="33">
        <f t="shared" si="27"/>
        <v>2.3870852663473272</v>
      </c>
      <c r="Q56" s="112">
        <v>687</v>
      </c>
      <c r="R56" s="112">
        <v>2642</v>
      </c>
      <c r="S56" s="33">
        <f t="shared" si="28"/>
        <v>-0.2722457627118644</v>
      </c>
      <c r="T56" s="33">
        <f t="shared" si="29"/>
        <v>-0.73996971990915972</v>
      </c>
      <c r="U56" s="112">
        <v>3</v>
      </c>
      <c r="V56" s="112">
        <v>5</v>
      </c>
      <c r="W56" s="33">
        <f t="shared" si="30"/>
        <v>0.5</v>
      </c>
      <c r="X56" s="33">
        <f t="shared" si="31"/>
        <v>-0.4</v>
      </c>
      <c r="Y56" s="113">
        <f t="shared" si="15"/>
        <v>4.3668122270742356E-3</v>
      </c>
      <c r="Z56" s="113">
        <f t="shared" si="45"/>
        <v>1.8925056775170325E-3</v>
      </c>
      <c r="AA56" s="33">
        <f t="shared" si="32"/>
        <v>1.0611353711790392</v>
      </c>
      <c r="AB56" s="33">
        <f t="shared" si="33"/>
        <v>1.3074235807860262</v>
      </c>
      <c r="AC56" s="114">
        <f t="shared" si="17"/>
        <v>97</v>
      </c>
      <c r="AD56" s="145">
        <f t="shared" si="48"/>
        <v>79.2</v>
      </c>
      <c r="AE56" s="33">
        <f t="shared" si="34"/>
        <v>0.12138728323699421</v>
      </c>
      <c r="AF56" s="33">
        <f t="shared" si="35"/>
        <v>0.2247474747474747</v>
      </c>
      <c r="AG56" s="112">
        <v>525</v>
      </c>
      <c r="AH56" s="112">
        <f>2461+142</f>
        <v>2603</v>
      </c>
      <c r="AI56" s="33">
        <f t="shared" si="36"/>
        <v>-0.3371212121212121</v>
      </c>
      <c r="AJ56" s="33">
        <f t="shared" si="37"/>
        <v>-0.79830964271993854</v>
      </c>
      <c r="AK56" s="112">
        <v>6776</v>
      </c>
      <c r="AL56" s="112">
        <f>31635+2377</f>
        <v>34012</v>
      </c>
      <c r="AM56" s="150">
        <f t="shared" si="38"/>
        <v>-0.43221049103402043</v>
      </c>
      <c r="AN56" s="267">
        <f t="shared" si="39"/>
        <v>-0.80077619663648125</v>
      </c>
      <c r="AO56" s="110">
        <f t="shared" si="11"/>
        <v>7.7479338842975212E-2</v>
      </c>
      <c r="AP56" s="110">
        <f t="shared" si="18"/>
        <v>7.653181230154063E-2</v>
      </c>
      <c r="AQ56" s="33">
        <f t="shared" si="40"/>
        <v>0.1674727648384674</v>
      </c>
      <c r="AR56" s="33">
        <f t="shared" si="41"/>
        <v>1.2380819334334613E-2</v>
      </c>
      <c r="AS56" s="68"/>
    </row>
    <row r="57" spans="1:45" s="81" customFormat="1" ht="15.75" x14ac:dyDescent="0.25">
      <c r="A57" s="260" t="s">
        <v>43</v>
      </c>
      <c r="B57" s="260" t="s">
        <v>45</v>
      </c>
      <c r="C57" s="261">
        <f t="shared" si="44"/>
        <v>42825</v>
      </c>
      <c r="D57" s="260" t="s">
        <v>228</v>
      </c>
      <c r="E57" s="109"/>
      <c r="F57" s="109"/>
      <c r="G57" s="33" t="e">
        <f t="shared" si="22"/>
        <v>#DIV/0!</v>
      </c>
      <c r="H57" s="33" t="e">
        <f t="shared" si="23"/>
        <v>#DIV/0!</v>
      </c>
      <c r="I57" s="109"/>
      <c r="J57" s="111"/>
      <c r="K57" s="33" t="e">
        <f t="shared" si="24"/>
        <v>#DIV/0!</v>
      </c>
      <c r="L57" s="33" t="e">
        <f t="shared" si="25"/>
        <v>#DIV/0!</v>
      </c>
      <c r="M57" s="111"/>
      <c r="N57" s="111"/>
      <c r="O57" s="33" t="e">
        <f t="shared" si="26"/>
        <v>#DIV/0!</v>
      </c>
      <c r="P57" s="33" t="e">
        <f t="shared" si="27"/>
        <v>#DIV/0!</v>
      </c>
      <c r="Q57" s="112"/>
      <c r="R57" s="112"/>
      <c r="S57" s="33" t="e">
        <f t="shared" si="28"/>
        <v>#DIV/0!</v>
      </c>
      <c r="T57" s="33" t="e">
        <f t="shared" si="29"/>
        <v>#DIV/0!</v>
      </c>
      <c r="U57" s="112"/>
      <c r="V57" s="112"/>
      <c r="W57" s="33" t="e">
        <f t="shared" si="30"/>
        <v>#DIV/0!</v>
      </c>
      <c r="X57" s="33" t="e">
        <f t="shared" si="31"/>
        <v>#DIV/0!</v>
      </c>
      <c r="Y57" s="113"/>
      <c r="Z57" s="113"/>
      <c r="AA57" s="33" t="e">
        <f t="shared" si="32"/>
        <v>#DIV/0!</v>
      </c>
      <c r="AB57" s="33" t="e">
        <f t="shared" si="33"/>
        <v>#DIV/0!</v>
      </c>
      <c r="AC57" s="114"/>
      <c r="AD57" s="145"/>
      <c r="AE57" s="33" t="e">
        <f t="shared" si="34"/>
        <v>#DIV/0!</v>
      </c>
      <c r="AF57" s="33" t="e">
        <f t="shared" si="35"/>
        <v>#DIV/0!</v>
      </c>
      <c r="AG57" s="112"/>
      <c r="AH57" s="112"/>
      <c r="AI57" s="33" t="e">
        <f t="shared" si="36"/>
        <v>#DIV/0!</v>
      </c>
      <c r="AJ57" s="33" t="e">
        <f t="shared" si="37"/>
        <v>#DIV/0!</v>
      </c>
      <c r="AK57" s="112"/>
      <c r="AL57" s="112"/>
      <c r="AM57" s="150" t="e">
        <f t="shared" si="38"/>
        <v>#DIV/0!</v>
      </c>
      <c r="AN57" s="267" t="e">
        <f t="shared" si="39"/>
        <v>#DIV/0!</v>
      </c>
      <c r="AO57" s="110"/>
      <c r="AP57" s="110"/>
      <c r="AQ57" s="33" t="e">
        <f t="shared" si="40"/>
        <v>#DIV/0!</v>
      </c>
      <c r="AR57" s="33" t="e">
        <f t="shared" si="41"/>
        <v>#DIV/0!</v>
      </c>
      <c r="AS57" s="68"/>
    </row>
    <row r="58" spans="1:45" s="81" customFormat="1" ht="15.75" customHeight="1" x14ac:dyDescent="0.3">
      <c r="A58" s="29" t="s">
        <v>43</v>
      </c>
      <c r="B58" s="29" t="s">
        <v>46</v>
      </c>
      <c r="C58" s="30">
        <f t="shared" si="44"/>
        <v>42832</v>
      </c>
      <c r="D58" s="31" t="s">
        <v>28</v>
      </c>
      <c r="E58" s="32">
        <f>E59+E60</f>
        <v>10075</v>
      </c>
      <c r="F58" s="32">
        <f>F59+F60</f>
        <v>3097</v>
      </c>
      <c r="G58" s="33">
        <f t="shared" si="22"/>
        <v>-0.59217130829015541</v>
      </c>
      <c r="H58" s="33">
        <f t="shared" si="23"/>
        <v>2.2531482079431706</v>
      </c>
      <c r="I58" s="32">
        <f>I59+I60</f>
        <v>1169.92</v>
      </c>
      <c r="J58" s="34">
        <f>J59+J60</f>
        <v>3355.0599999999995</v>
      </c>
      <c r="K58" s="33">
        <f t="shared" si="24"/>
        <v>0.12957169891476464</v>
      </c>
      <c r="L58" s="33">
        <f t="shared" si="25"/>
        <v>-0.65129684715027447</v>
      </c>
      <c r="M58" s="34">
        <f t="shared" si="46"/>
        <v>8.6116999452954044</v>
      </c>
      <c r="N58" s="34">
        <f t="shared" si="47"/>
        <v>0.92308334277181348</v>
      </c>
      <c r="O58" s="33">
        <f t="shared" si="26"/>
        <v>-0.63895280653572872</v>
      </c>
      <c r="P58" s="33">
        <f t="shared" si="27"/>
        <v>8.3292767253673858</v>
      </c>
      <c r="Q58" s="35">
        <f>Q59+Q60</f>
        <v>5727</v>
      </c>
      <c r="R58" s="35">
        <f>R59+R60</f>
        <v>6874</v>
      </c>
      <c r="S58" s="33">
        <f t="shared" si="28"/>
        <v>-0.32192753966374615</v>
      </c>
      <c r="T58" s="33">
        <f t="shared" si="29"/>
        <v>-0.16686063427407624</v>
      </c>
      <c r="U58" s="35">
        <f>U59+U60</f>
        <v>100</v>
      </c>
      <c r="V58" s="35">
        <f>V59+V60</f>
        <v>35</v>
      </c>
      <c r="W58" s="33">
        <f t="shared" si="30"/>
        <v>-0.67426710097719866</v>
      </c>
      <c r="X58" s="33">
        <f t="shared" si="31"/>
        <v>1.8571428571428572</v>
      </c>
      <c r="Y58" s="88">
        <f t="shared" si="15"/>
        <v>1.7461148943600489E-2</v>
      </c>
      <c r="Z58" s="88">
        <f t="shared" si="45"/>
        <v>5.0916496945010185E-3</v>
      </c>
      <c r="AA58" s="33">
        <f t="shared" si="32"/>
        <v>-0.51961933557768825</v>
      </c>
      <c r="AB58" s="33">
        <f t="shared" si="33"/>
        <v>2.4293696525231359</v>
      </c>
      <c r="AC58" s="97">
        <f t="shared" si="17"/>
        <v>100.75</v>
      </c>
      <c r="AD58" s="145">
        <f t="shared" si="48"/>
        <v>88.48571428571428</v>
      </c>
      <c r="AE58" s="33">
        <f t="shared" si="34"/>
        <v>0.25203408354922291</v>
      </c>
      <c r="AF58" s="33">
        <f t="shared" si="35"/>
        <v>0.13860187278010985</v>
      </c>
      <c r="AG58" s="35">
        <f>AG59+AG60</f>
        <v>4025</v>
      </c>
      <c r="AH58" s="35">
        <f>AH59+AH60</f>
        <v>5973</v>
      </c>
      <c r="AI58" s="33">
        <f t="shared" si="36"/>
        <v>-0.28937146892655369</v>
      </c>
      <c r="AJ58" s="33">
        <f t="shared" si="37"/>
        <v>-0.32613427088565211</v>
      </c>
      <c r="AK58" s="35">
        <f>AK59+AK60</f>
        <v>17749</v>
      </c>
      <c r="AL58" s="35">
        <f>AL59+AL60</f>
        <v>46965</v>
      </c>
      <c r="AM58" s="150">
        <f t="shared" si="38"/>
        <v>-9.9492643328259772E-2</v>
      </c>
      <c r="AN58" s="267">
        <f t="shared" si="39"/>
        <v>-0.62208027254338338</v>
      </c>
      <c r="AO58" s="33">
        <f t="shared" si="11"/>
        <v>0.22677333934306157</v>
      </c>
      <c r="AP58" s="33">
        <f t="shared" si="18"/>
        <v>0.12717981475566911</v>
      </c>
      <c r="AQ58" s="33">
        <f t="shared" si="40"/>
        <v>-0.21085760620555369</v>
      </c>
      <c r="AR58" s="33">
        <f t="shared" si="41"/>
        <v>0.78309222873713158</v>
      </c>
      <c r="AS58" s="68" t="s">
        <v>131</v>
      </c>
    </row>
    <row r="59" spans="1:45" s="81" customFormat="1" ht="15.75" x14ac:dyDescent="0.25">
      <c r="A59" s="260" t="s">
        <v>43</v>
      </c>
      <c r="B59" s="260" t="s">
        <v>46</v>
      </c>
      <c r="C59" s="261">
        <f t="shared" si="44"/>
        <v>42832</v>
      </c>
      <c r="D59" s="260" t="s">
        <v>29</v>
      </c>
      <c r="E59" s="109">
        <v>10075</v>
      </c>
      <c r="F59" s="109">
        <v>2562</v>
      </c>
      <c r="G59" s="33">
        <f t="shared" si="22"/>
        <v>-0.58731003973292917</v>
      </c>
      <c r="H59" s="33">
        <f t="shared" si="23"/>
        <v>2.9324746291959407</v>
      </c>
      <c r="I59" s="109">
        <f>382.55+31.96</f>
        <v>414.51</v>
      </c>
      <c r="J59" s="111">
        <f>557.48+41.47</f>
        <v>598.95000000000005</v>
      </c>
      <c r="K59" s="33">
        <f t="shared" si="24"/>
        <v>-0.17993510861393588</v>
      </c>
      <c r="L59" s="33">
        <f t="shared" si="25"/>
        <v>-0.3079388930628601</v>
      </c>
      <c r="M59" s="111">
        <f t="shared" si="46"/>
        <v>24.305806856288147</v>
      </c>
      <c r="N59" s="111">
        <f t="shared" si="47"/>
        <v>4.2774855997996495</v>
      </c>
      <c r="O59" s="33">
        <f t="shared" si="26"/>
        <v>-0.49675938501702344</v>
      </c>
      <c r="P59" s="33">
        <f t="shared" si="27"/>
        <v>4.6822650337914853</v>
      </c>
      <c r="Q59" s="112">
        <v>5087</v>
      </c>
      <c r="R59" s="112">
        <v>3937</v>
      </c>
      <c r="S59" s="33">
        <f t="shared" si="28"/>
        <v>-0.34437427503544271</v>
      </c>
      <c r="T59" s="33">
        <f t="shared" si="29"/>
        <v>0.29210058420116841</v>
      </c>
      <c r="U59" s="112">
        <v>100</v>
      </c>
      <c r="V59" s="112">
        <v>29</v>
      </c>
      <c r="W59" s="33">
        <f t="shared" si="30"/>
        <v>-0.67105263157894735</v>
      </c>
      <c r="X59" s="33">
        <f t="shared" si="31"/>
        <v>2.4482758620689653</v>
      </c>
      <c r="Y59" s="113">
        <f t="shared" si="15"/>
        <v>1.9657951641438961E-2</v>
      </c>
      <c r="Z59" s="113">
        <f t="shared" si="45"/>
        <v>7.3660147320294637E-3</v>
      </c>
      <c r="AA59" s="33">
        <f t="shared" si="32"/>
        <v>-0.49826958294103652</v>
      </c>
      <c r="AB59" s="33">
        <f t="shared" si="33"/>
        <v>1.6687364004256964</v>
      </c>
      <c r="AC59" s="114">
        <f t="shared" si="17"/>
        <v>100.75</v>
      </c>
      <c r="AD59" s="145">
        <f t="shared" si="48"/>
        <v>88.34482758620689</v>
      </c>
      <c r="AE59" s="33">
        <f t="shared" si="34"/>
        <v>0.25457747921189539</v>
      </c>
      <c r="AF59" s="33">
        <f t="shared" si="35"/>
        <v>0.1404176424668229</v>
      </c>
      <c r="AG59" s="112">
        <f>3312+157</f>
        <v>3469</v>
      </c>
      <c r="AH59" s="112">
        <f>2907+149</f>
        <v>3056</v>
      </c>
      <c r="AI59" s="33">
        <f t="shared" si="36"/>
        <v>-0.32496594668223389</v>
      </c>
      <c r="AJ59" s="33">
        <f t="shared" si="37"/>
        <v>0.13514397905759162</v>
      </c>
      <c r="AK59" s="112">
        <f>9326+407</f>
        <v>9733</v>
      </c>
      <c r="AL59" s="112">
        <f>7889+427</f>
        <v>8316</v>
      </c>
      <c r="AM59" s="150">
        <f t="shared" si="38"/>
        <v>-0.24748724292562238</v>
      </c>
      <c r="AN59" s="267">
        <f t="shared" si="39"/>
        <v>0.1703944203944204</v>
      </c>
      <c r="AO59" s="110">
        <f t="shared" si="11"/>
        <v>0.35641631562724752</v>
      </c>
      <c r="AP59" s="110">
        <f t="shared" si="18"/>
        <v>0.36748436748436747</v>
      </c>
      <c r="AQ59" s="33">
        <f t="shared" si="40"/>
        <v>-0.10295998709421691</v>
      </c>
      <c r="AR59" s="33">
        <f t="shared" si="41"/>
        <v>-3.0118429071927206E-2</v>
      </c>
      <c r="AS59" s="68"/>
    </row>
    <row r="60" spans="1:45" s="81" customFormat="1" ht="15.75" x14ac:dyDescent="0.25">
      <c r="A60" s="260" t="s">
        <v>43</v>
      </c>
      <c r="B60" s="260" t="s">
        <v>46</v>
      </c>
      <c r="C60" s="261">
        <f t="shared" si="44"/>
        <v>42832</v>
      </c>
      <c r="D60" s="260" t="s">
        <v>30</v>
      </c>
      <c r="E60" s="109">
        <v>0</v>
      </c>
      <c r="F60" s="109">
        <v>535</v>
      </c>
      <c r="G60" s="33">
        <f t="shared" si="22"/>
        <v>-1</v>
      </c>
      <c r="H60" s="33">
        <f t="shared" si="23"/>
        <v>-1</v>
      </c>
      <c r="I60" s="109">
        <v>755.41</v>
      </c>
      <c r="J60" s="111">
        <f>2676.91+79.2</f>
        <v>2756.1099999999997</v>
      </c>
      <c r="K60" s="33">
        <f t="shared" si="24"/>
        <v>0.42460302493116581</v>
      </c>
      <c r="L60" s="33">
        <f t="shared" si="25"/>
        <v>-0.72591442286410923</v>
      </c>
      <c r="M60" s="111">
        <f t="shared" si="46"/>
        <v>0</v>
      </c>
      <c r="N60" s="111">
        <f t="shared" si="47"/>
        <v>0.19411416815729418</v>
      </c>
      <c r="O60" s="33">
        <f t="shared" si="26"/>
        <v>-1</v>
      </c>
      <c r="P60" s="33">
        <f t="shared" si="27"/>
        <v>-1</v>
      </c>
      <c r="Q60" s="112">
        <v>640</v>
      </c>
      <c r="R60" s="112">
        <v>2937</v>
      </c>
      <c r="S60" s="33">
        <f t="shared" si="28"/>
        <v>-6.8413391557496359E-2</v>
      </c>
      <c r="T60" s="33">
        <f t="shared" si="29"/>
        <v>-0.78209056860742254</v>
      </c>
      <c r="U60" s="112">
        <v>0</v>
      </c>
      <c r="V60" s="112">
        <v>6</v>
      </c>
      <c r="W60" s="33">
        <f t="shared" si="30"/>
        <v>-1</v>
      </c>
      <c r="X60" s="33">
        <f t="shared" si="31"/>
        <v>-1</v>
      </c>
      <c r="Y60" s="113">
        <f t="shared" si="15"/>
        <v>0</v>
      </c>
      <c r="Z60" s="113">
        <f t="shared" si="45"/>
        <v>2.0429009193054137E-3</v>
      </c>
      <c r="AA60" s="33">
        <f t="shared" si="32"/>
        <v>-1</v>
      </c>
      <c r="AB60" s="33">
        <f t="shared" si="33"/>
        <v>-1</v>
      </c>
      <c r="AC60" s="114" t="e">
        <f t="shared" si="17"/>
        <v>#DIV/0!</v>
      </c>
      <c r="AD60" s="145">
        <f t="shared" si="48"/>
        <v>89.166666666666671</v>
      </c>
      <c r="AE60" s="33" t="e">
        <f t="shared" si="34"/>
        <v>#DIV/0!</v>
      </c>
      <c r="AF60" s="33" t="e">
        <f t="shared" si="35"/>
        <v>#DIV/0!</v>
      </c>
      <c r="AG60" s="112">
        <v>556</v>
      </c>
      <c r="AH60" s="112">
        <f>2811+106</f>
        <v>2917</v>
      </c>
      <c r="AI60" s="33">
        <f t="shared" si="36"/>
        <v>5.904761904761905E-2</v>
      </c>
      <c r="AJ60" s="33">
        <f t="shared" si="37"/>
        <v>-0.80939321220431948</v>
      </c>
      <c r="AK60" s="112">
        <v>8016</v>
      </c>
      <c r="AL60" s="112">
        <f>36679+1970</f>
        <v>38649</v>
      </c>
      <c r="AM60" s="150">
        <f t="shared" si="38"/>
        <v>0.18299881936245574</v>
      </c>
      <c r="AN60" s="267">
        <f t="shared" si="39"/>
        <v>-0.79259489249398429</v>
      </c>
      <c r="AO60" s="110">
        <f t="shared" si="11"/>
        <v>6.9361277445109781E-2</v>
      </c>
      <c r="AP60" s="110">
        <f t="shared" si="18"/>
        <v>7.5474139046288385E-2</v>
      </c>
      <c r="AQ60" s="33">
        <f t="shared" si="40"/>
        <v>-0.10477711244178316</v>
      </c>
      <c r="AR60" s="33">
        <f t="shared" si="41"/>
        <v>-8.0992796717158685E-2</v>
      </c>
      <c r="AS60" s="68"/>
    </row>
    <row r="61" spans="1:45" s="81" customFormat="1" ht="15.75" x14ac:dyDescent="0.25">
      <c r="A61" s="260" t="s">
        <v>43</v>
      </c>
      <c r="B61" s="260" t="s">
        <v>46</v>
      </c>
      <c r="C61" s="261">
        <f t="shared" si="44"/>
        <v>42832</v>
      </c>
      <c r="D61" s="260" t="s">
        <v>228</v>
      </c>
      <c r="E61" s="109"/>
      <c r="F61" s="109"/>
      <c r="G61" s="33" t="e">
        <f t="shared" si="22"/>
        <v>#DIV/0!</v>
      </c>
      <c r="H61" s="33" t="e">
        <f t="shared" si="23"/>
        <v>#DIV/0!</v>
      </c>
      <c r="I61" s="109"/>
      <c r="J61" s="111"/>
      <c r="K61" s="33" t="e">
        <f t="shared" si="24"/>
        <v>#DIV/0!</v>
      </c>
      <c r="L61" s="33" t="e">
        <f t="shared" si="25"/>
        <v>#DIV/0!</v>
      </c>
      <c r="M61" s="111"/>
      <c r="N61" s="111"/>
      <c r="O61" s="33" t="e">
        <f t="shared" si="26"/>
        <v>#DIV/0!</v>
      </c>
      <c r="P61" s="33" t="e">
        <f t="shared" si="27"/>
        <v>#DIV/0!</v>
      </c>
      <c r="Q61" s="112"/>
      <c r="R61" s="112"/>
      <c r="S61" s="33" t="e">
        <f t="shared" si="28"/>
        <v>#DIV/0!</v>
      </c>
      <c r="T61" s="33" t="e">
        <f t="shared" si="29"/>
        <v>#DIV/0!</v>
      </c>
      <c r="U61" s="112"/>
      <c r="V61" s="112"/>
      <c r="W61" s="33" t="e">
        <f t="shared" si="30"/>
        <v>#DIV/0!</v>
      </c>
      <c r="X61" s="33" t="e">
        <f t="shared" si="31"/>
        <v>#DIV/0!</v>
      </c>
      <c r="Y61" s="113"/>
      <c r="Z61" s="113"/>
      <c r="AA61" s="33" t="e">
        <f t="shared" si="32"/>
        <v>#DIV/0!</v>
      </c>
      <c r="AB61" s="33" t="e">
        <f t="shared" si="33"/>
        <v>#DIV/0!</v>
      </c>
      <c r="AC61" s="114"/>
      <c r="AD61" s="145"/>
      <c r="AE61" s="33" t="e">
        <f t="shared" si="34"/>
        <v>#DIV/0!</v>
      </c>
      <c r="AF61" s="33" t="e">
        <f t="shared" si="35"/>
        <v>#DIV/0!</v>
      </c>
      <c r="AG61" s="112"/>
      <c r="AH61" s="112"/>
      <c r="AI61" s="33" t="e">
        <f t="shared" si="36"/>
        <v>#DIV/0!</v>
      </c>
      <c r="AJ61" s="33" t="e">
        <f t="shared" si="37"/>
        <v>#DIV/0!</v>
      </c>
      <c r="AK61" s="112"/>
      <c r="AL61" s="112"/>
      <c r="AM61" s="150" t="e">
        <f t="shared" si="38"/>
        <v>#DIV/0!</v>
      </c>
      <c r="AN61" s="267" t="e">
        <f t="shared" si="39"/>
        <v>#DIV/0!</v>
      </c>
      <c r="AO61" s="110"/>
      <c r="AP61" s="110"/>
      <c r="AQ61" s="33" t="e">
        <f t="shared" si="40"/>
        <v>#DIV/0!</v>
      </c>
      <c r="AR61" s="33" t="e">
        <f t="shared" si="41"/>
        <v>#DIV/0!</v>
      </c>
      <c r="AS61" s="68"/>
    </row>
    <row r="62" spans="1:45" s="81" customFormat="1" ht="15.75" customHeight="1" x14ac:dyDescent="0.3">
      <c r="A62" s="29" t="s">
        <v>43</v>
      </c>
      <c r="B62" s="29" t="s">
        <v>47</v>
      </c>
      <c r="C62" s="30">
        <f t="shared" si="44"/>
        <v>42839</v>
      </c>
      <c r="D62" s="31" t="s">
        <v>28</v>
      </c>
      <c r="E62" s="32">
        <f>E63+E64</f>
        <v>13950</v>
      </c>
      <c r="F62" s="32">
        <f>F63+F64</f>
        <v>3407</v>
      </c>
      <c r="G62" s="33">
        <f t="shared" si="22"/>
        <v>0.38461538461538464</v>
      </c>
      <c r="H62" s="33">
        <f t="shared" si="23"/>
        <v>3.0945113002641622</v>
      </c>
      <c r="I62" s="32">
        <f>I63+I64</f>
        <v>1031.0700000000002</v>
      </c>
      <c r="J62" s="34">
        <f>J63+J64</f>
        <v>3182.38</v>
      </c>
      <c r="K62" s="33">
        <f t="shared" si="24"/>
        <v>-0.11868332877461699</v>
      </c>
      <c r="L62" s="33">
        <f t="shared" si="25"/>
        <v>-0.67600663654246185</v>
      </c>
      <c r="M62" s="34">
        <f t="shared" si="46"/>
        <v>13.529634263435071</v>
      </c>
      <c r="N62" s="34">
        <f t="shared" si="47"/>
        <v>1.0705823943086621</v>
      </c>
      <c r="O62" s="33">
        <f t="shared" si="26"/>
        <v>0.57107590247920181</v>
      </c>
      <c r="P62" s="33">
        <f t="shared" si="27"/>
        <v>11.637639415107278</v>
      </c>
      <c r="Q62" s="35">
        <f>Q63+Q64</f>
        <v>5903</v>
      </c>
      <c r="R62" s="35">
        <f>R63+R64</f>
        <v>5903</v>
      </c>
      <c r="S62" s="33">
        <f t="shared" si="28"/>
        <v>3.073162214073686E-2</v>
      </c>
      <c r="T62" s="33">
        <f t="shared" si="29"/>
        <v>0</v>
      </c>
      <c r="U62" s="35">
        <f>U63+U64</f>
        <v>132</v>
      </c>
      <c r="V62" s="35">
        <f>V63+V64</f>
        <v>41</v>
      </c>
      <c r="W62" s="33">
        <f t="shared" si="30"/>
        <v>0.32</v>
      </c>
      <c r="X62" s="33">
        <f t="shared" si="31"/>
        <v>2.2195121951219514</v>
      </c>
      <c r="Y62" s="88">
        <f t="shared" si="15"/>
        <v>2.2361511096052854E-2</v>
      </c>
      <c r="Z62" s="88">
        <f t="shared" si="45"/>
        <v>6.9456208707436894E-3</v>
      </c>
      <c r="AA62" s="33">
        <f t="shared" si="32"/>
        <v>0.28064374047094698</v>
      </c>
      <c r="AB62" s="33">
        <f t="shared" si="33"/>
        <v>2.2195121951219514</v>
      </c>
      <c r="AC62" s="97">
        <f t="shared" si="17"/>
        <v>105.68181818181819</v>
      </c>
      <c r="AD62" s="145">
        <f>F62/V62</f>
        <v>83.097560975609753</v>
      </c>
      <c r="AE62" s="33">
        <f t="shared" si="34"/>
        <v>4.8951048951049E-2</v>
      </c>
      <c r="AF62" s="33">
        <f t="shared" si="35"/>
        <v>0.27178002508205046</v>
      </c>
      <c r="AG62" s="35">
        <f>AG63+AG64</f>
        <v>4099</v>
      </c>
      <c r="AH62" s="35">
        <f>AH63+AH64</f>
        <v>5157</v>
      </c>
      <c r="AI62" s="33">
        <f t="shared" si="36"/>
        <v>1.8385093167701864E-2</v>
      </c>
      <c r="AJ62" s="33">
        <f t="shared" si="37"/>
        <v>-0.20515803761877061</v>
      </c>
      <c r="AK62" s="35">
        <f>AK63+AK64</f>
        <v>16338</v>
      </c>
      <c r="AL62" s="35">
        <f>AL63+AL64</f>
        <v>41172</v>
      </c>
      <c r="AM62" s="150">
        <f t="shared" si="38"/>
        <v>-7.9497436475294378E-2</v>
      </c>
      <c r="AN62" s="267">
        <f t="shared" si="39"/>
        <v>-0.60317691635091808</v>
      </c>
      <c r="AO62" s="33">
        <f t="shared" si="11"/>
        <v>0.25088750153017503</v>
      </c>
      <c r="AP62" s="33">
        <f t="shared" si="18"/>
        <v>0.12525502768872049</v>
      </c>
      <c r="AQ62" s="33">
        <f t="shared" si="40"/>
        <v>0.10633596637492591</v>
      </c>
      <c r="AR62" s="33">
        <f t="shared" si="41"/>
        <v>1.0030134211751729</v>
      </c>
      <c r="AS62" s="68" t="s">
        <v>192</v>
      </c>
    </row>
    <row r="63" spans="1:45" s="81" customFormat="1" ht="15.75" x14ac:dyDescent="0.25">
      <c r="A63" s="260" t="s">
        <v>43</v>
      </c>
      <c r="B63" s="260" t="s">
        <v>47</v>
      </c>
      <c r="C63" s="261">
        <f t="shared" si="44"/>
        <v>42839</v>
      </c>
      <c r="D63" s="260" t="s">
        <v>29</v>
      </c>
      <c r="E63" s="109">
        <v>13585</v>
      </c>
      <c r="F63" s="109">
        <v>2579</v>
      </c>
      <c r="G63" s="33">
        <f t="shared" si="22"/>
        <v>0.34838709677419355</v>
      </c>
      <c r="H63" s="33">
        <f t="shared" si="23"/>
        <v>4.2675455602946881</v>
      </c>
      <c r="I63" s="109">
        <f>390.75+34.49</f>
        <v>425.24</v>
      </c>
      <c r="J63" s="111">
        <f>418.75+22.94</f>
        <v>441.69</v>
      </c>
      <c r="K63" s="33">
        <f t="shared" si="24"/>
        <v>2.5885985862826033E-2</v>
      </c>
      <c r="L63" s="33">
        <f t="shared" si="25"/>
        <v>-3.724331544748577E-2</v>
      </c>
      <c r="M63" s="111">
        <f t="shared" si="46"/>
        <v>31.946665412472957</v>
      </c>
      <c r="N63" s="111">
        <f t="shared" si="47"/>
        <v>5.8389368108854631</v>
      </c>
      <c r="O63" s="33">
        <f t="shared" si="26"/>
        <v>0.31436350174929684</v>
      </c>
      <c r="P63" s="33">
        <f t="shared" si="27"/>
        <v>4.4713154889628459</v>
      </c>
      <c r="Q63" s="112">
        <v>5372</v>
      </c>
      <c r="R63" s="112">
        <v>3244</v>
      </c>
      <c r="S63" s="33">
        <f t="shared" si="28"/>
        <v>5.6025162178101044E-2</v>
      </c>
      <c r="T63" s="33">
        <f t="shared" si="29"/>
        <v>0.655980271270037</v>
      </c>
      <c r="U63" s="112">
        <v>127</v>
      </c>
      <c r="V63" s="112">
        <v>29</v>
      </c>
      <c r="W63" s="33">
        <f t="shared" si="30"/>
        <v>0.27</v>
      </c>
      <c r="X63" s="33">
        <f t="shared" si="31"/>
        <v>3.3793103448275863</v>
      </c>
      <c r="Y63" s="113">
        <f t="shared" si="15"/>
        <v>2.3641102010424422E-2</v>
      </c>
      <c r="Z63" s="113">
        <f t="shared" si="45"/>
        <v>8.939580764488286E-3</v>
      </c>
      <c r="AA63" s="33">
        <f t="shared" si="32"/>
        <v>0.20262285927029045</v>
      </c>
      <c r="AB63" s="33">
        <f t="shared" si="33"/>
        <v>1.6445425835109251</v>
      </c>
      <c r="AC63" s="114">
        <f t="shared" si="17"/>
        <v>106.96850393700787</v>
      </c>
      <c r="AD63" s="145">
        <f t="shared" si="17"/>
        <v>88.931034482758619</v>
      </c>
      <c r="AE63" s="33">
        <f t="shared" si="34"/>
        <v>6.1722123444246817E-2</v>
      </c>
      <c r="AF63" s="33">
        <f t="shared" si="35"/>
        <v>0.20282536416177907</v>
      </c>
      <c r="AG63" s="112">
        <f>3484+163</f>
        <v>3647</v>
      </c>
      <c r="AH63" s="112">
        <f>2395+108</f>
        <v>2503</v>
      </c>
      <c r="AI63" s="33">
        <f t="shared" si="36"/>
        <v>5.1311617180743729E-2</v>
      </c>
      <c r="AJ63" s="33">
        <f t="shared" si="37"/>
        <v>0.45705153815421495</v>
      </c>
      <c r="AK63" s="112">
        <f>9875+468</f>
        <v>10343</v>
      </c>
      <c r="AL63" s="112">
        <f>6389+343</f>
        <v>6732</v>
      </c>
      <c r="AM63" s="150">
        <f t="shared" si="38"/>
        <v>6.2673379225315934E-2</v>
      </c>
      <c r="AN63" s="267">
        <f t="shared" si="39"/>
        <v>0.53639334521687465</v>
      </c>
      <c r="AO63" s="110">
        <f t="shared" si="11"/>
        <v>0.35260562699410231</v>
      </c>
      <c r="AP63" s="110">
        <f t="shared" si="18"/>
        <v>0.37180629827688649</v>
      </c>
      <c r="AQ63" s="33">
        <f t="shared" si="40"/>
        <v>-1.0691678427904965E-2</v>
      </c>
      <c r="AR63" s="33">
        <f t="shared" si="41"/>
        <v>-5.1641597713025629E-2</v>
      </c>
      <c r="AS63" s="68"/>
    </row>
    <row r="64" spans="1:45" s="81" customFormat="1" ht="15.75" x14ac:dyDescent="0.25">
      <c r="A64" s="260" t="s">
        <v>43</v>
      </c>
      <c r="B64" s="260" t="s">
        <v>47</v>
      </c>
      <c r="C64" s="261">
        <f t="shared" si="44"/>
        <v>42839</v>
      </c>
      <c r="D64" s="260" t="s">
        <v>30</v>
      </c>
      <c r="E64" s="109">
        <v>365</v>
      </c>
      <c r="F64" s="109">
        <v>828</v>
      </c>
      <c r="G64" s="33" t="e">
        <f t="shared" si="22"/>
        <v>#DIV/0!</v>
      </c>
      <c r="H64" s="33">
        <f t="shared" si="23"/>
        <v>-0.5591787439613527</v>
      </c>
      <c r="I64" s="109">
        <v>605.83000000000004</v>
      </c>
      <c r="J64" s="111">
        <f>2652.38+88.31</f>
        <v>2740.69</v>
      </c>
      <c r="K64" s="33">
        <f t="shared" si="24"/>
        <v>-0.19801167577871612</v>
      </c>
      <c r="L64" s="33">
        <f t="shared" si="25"/>
        <v>-0.77894982650354472</v>
      </c>
      <c r="M64" s="111">
        <f t="shared" si="46"/>
        <v>0.60247924335209546</v>
      </c>
      <c r="N64" s="111">
        <f t="shared" si="47"/>
        <v>0.30211370129419962</v>
      </c>
      <c r="O64" s="33" t="e">
        <f t="shared" si="26"/>
        <v>#DIV/0!</v>
      </c>
      <c r="P64" s="33">
        <f t="shared" si="27"/>
        <v>0.99421357181480019</v>
      </c>
      <c r="Q64" s="112">
        <v>531</v>
      </c>
      <c r="R64" s="112">
        <v>2659</v>
      </c>
      <c r="S64" s="33">
        <f t="shared" si="28"/>
        <v>-0.17031250000000001</v>
      </c>
      <c r="T64" s="33">
        <f t="shared" si="29"/>
        <v>-0.80030086498683717</v>
      </c>
      <c r="U64" s="112">
        <v>5</v>
      </c>
      <c r="V64" s="112">
        <v>12</v>
      </c>
      <c r="W64" s="33" t="e">
        <f t="shared" si="30"/>
        <v>#DIV/0!</v>
      </c>
      <c r="X64" s="33">
        <f t="shared" si="31"/>
        <v>-0.58333333333333337</v>
      </c>
      <c r="Y64" s="113">
        <f t="shared" si="15"/>
        <v>9.4161958568738224E-3</v>
      </c>
      <c r="Z64" s="113">
        <f t="shared" si="45"/>
        <v>4.5129748025573525E-3</v>
      </c>
      <c r="AA64" s="33" t="e">
        <f t="shared" si="32"/>
        <v>#DIV/0!</v>
      </c>
      <c r="AB64" s="33">
        <f t="shared" si="33"/>
        <v>1.0864720652856243</v>
      </c>
      <c r="AC64" s="114">
        <f t="shared" si="17"/>
        <v>73</v>
      </c>
      <c r="AD64" s="145">
        <f t="shared" si="17"/>
        <v>69</v>
      </c>
      <c r="AE64" s="33" t="e">
        <f t="shared" si="34"/>
        <v>#DIV/0!</v>
      </c>
      <c r="AF64" s="33">
        <f t="shared" si="35"/>
        <v>5.7971014492753624E-2</v>
      </c>
      <c r="AG64" s="112">
        <v>452</v>
      </c>
      <c r="AH64" s="112">
        <f>2540+114</f>
        <v>2654</v>
      </c>
      <c r="AI64" s="33">
        <f t="shared" si="36"/>
        <v>-0.18705035971223022</v>
      </c>
      <c r="AJ64" s="33">
        <f t="shared" si="37"/>
        <v>-0.82969103240391862</v>
      </c>
      <c r="AK64" s="112">
        <v>5995</v>
      </c>
      <c r="AL64" s="112">
        <f>32569+1871</f>
        <v>34440</v>
      </c>
      <c r="AM64" s="150">
        <f t="shared" si="38"/>
        <v>-0.25212075848303395</v>
      </c>
      <c r="AN64" s="267">
        <f t="shared" si="39"/>
        <v>-0.82592915214866436</v>
      </c>
      <c r="AO64" s="110">
        <f t="shared" si="11"/>
        <v>7.5396163469557964E-2</v>
      </c>
      <c r="AP64" s="110">
        <f t="shared" si="18"/>
        <v>7.7061556329849012E-2</v>
      </c>
      <c r="AQ64" s="33">
        <f t="shared" si="40"/>
        <v>8.7006558222979549E-2</v>
      </c>
      <c r="AR64" s="33">
        <f t="shared" si="41"/>
        <v>-2.161120200015965E-2</v>
      </c>
      <c r="AS64" s="68"/>
    </row>
    <row r="65" spans="1:45" s="81" customFormat="1" ht="15.75" x14ac:dyDescent="0.25">
      <c r="A65" s="260" t="s">
        <v>43</v>
      </c>
      <c r="B65" s="260" t="s">
        <v>47</v>
      </c>
      <c r="C65" s="261">
        <f t="shared" si="44"/>
        <v>42839</v>
      </c>
      <c r="D65" s="260" t="s">
        <v>228</v>
      </c>
      <c r="E65" s="109"/>
      <c r="F65" s="109"/>
      <c r="G65" s="33" t="e">
        <f t="shared" si="22"/>
        <v>#DIV/0!</v>
      </c>
      <c r="H65" s="33" t="e">
        <f t="shared" si="23"/>
        <v>#DIV/0!</v>
      </c>
      <c r="I65" s="109"/>
      <c r="J65" s="111"/>
      <c r="K65" s="33" t="e">
        <f t="shared" si="24"/>
        <v>#DIV/0!</v>
      </c>
      <c r="L65" s="33" t="e">
        <f t="shared" si="25"/>
        <v>#DIV/0!</v>
      </c>
      <c r="M65" s="111"/>
      <c r="N65" s="111"/>
      <c r="O65" s="33" t="e">
        <f t="shared" si="26"/>
        <v>#DIV/0!</v>
      </c>
      <c r="P65" s="33" t="e">
        <f t="shared" si="27"/>
        <v>#DIV/0!</v>
      </c>
      <c r="Q65" s="112"/>
      <c r="R65" s="112"/>
      <c r="S65" s="33" t="e">
        <f t="shared" si="28"/>
        <v>#DIV/0!</v>
      </c>
      <c r="T65" s="33" t="e">
        <f t="shared" si="29"/>
        <v>#DIV/0!</v>
      </c>
      <c r="U65" s="112"/>
      <c r="V65" s="112"/>
      <c r="W65" s="33" t="e">
        <f t="shared" si="30"/>
        <v>#DIV/0!</v>
      </c>
      <c r="X65" s="33" t="e">
        <f t="shared" si="31"/>
        <v>#DIV/0!</v>
      </c>
      <c r="Y65" s="113"/>
      <c r="Z65" s="113"/>
      <c r="AA65" s="33" t="e">
        <f t="shared" si="32"/>
        <v>#DIV/0!</v>
      </c>
      <c r="AB65" s="33" t="e">
        <f t="shared" si="33"/>
        <v>#DIV/0!</v>
      </c>
      <c r="AC65" s="114"/>
      <c r="AD65" s="145"/>
      <c r="AE65" s="33" t="e">
        <f t="shared" si="34"/>
        <v>#DIV/0!</v>
      </c>
      <c r="AF65" s="33" t="e">
        <f t="shared" si="35"/>
        <v>#DIV/0!</v>
      </c>
      <c r="AG65" s="112"/>
      <c r="AH65" s="112"/>
      <c r="AI65" s="33" t="e">
        <f t="shared" si="36"/>
        <v>#DIV/0!</v>
      </c>
      <c r="AJ65" s="33" t="e">
        <f t="shared" si="37"/>
        <v>#DIV/0!</v>
      </c>
      <c r="AK65" s="112"/>
      <c r="AL65" s="112"/>
      <c r="AM65" s="150" t="e">
        <f t="shared" si="38"/>
        <v>#DIV/0!</v>
      </c>
      <c r="AN65" s="267" t="e">
        <f t="shared" si="39"/>
        <v>#DIV/0!</v>
      </c>
      <c r="AO65" s="110"/>
      <c r="AP65" s="110"/>
      <c r="AQ65" s="33" t="e">
        <f t="shared" si="40"/>
        <v>#DIV/0!</v>
      </c>
      <c r="AR65" s="33" t="e">
        <f t="shared" si="41"/>
        <v>#DIV/0!</v>
      </c>
      <c r="AS65" s="68"/>
    </row>
    <row r="66" spans="1:45" s="108" customFormat="1" ht="15.75" customHeight="1" x14ac:dyDescent="0.3">
      <c r="A66" s="272" t="s">
        <v>48</v>
      </c>
      <c r="B66" s="272" t="s">
        <v>49</v>
      </c>
      <c r="C66" s="273">
        <f t="shared" si="44"/>
        <v>42846</v>
      </c>
      <c r="D66" s="274" t="s">
        <v>28</v>
      </c>
      <c r="E66" s="115">
        <f>E67+E68</f>
        <v>12798</v>
      </c>
      <c r="F66" s="115">
        <f>F67+F68</f>
        <v>3838</v>
      </c>
      <c r="G66" s="116">
        <f t="shared" si="22"/>
        <v>-8.2580645161290323E-2</v>
      </c>
      <c r="H66" s="116">
        <f t="shared" si="23"/>
        <v>2.3345492443981239</v>
      </c>
      <c r="I66" s="115">
        <f>I67+I68</f>
        <v>1322.99</v>
      </c>
      <c r="J66" s="117">
        <f>J67+J68</f>
        <v>3172.67</v>
      </c>
      <c r="K66" s="116">
        <f t="shared" si="24"/>
        <v>0.28312335728902965</v>
      </c>
      <c r="L66" s="116">
        <f t="shared" si="25"/>
        <v>-0.58300422042002475</v>
      </c>
      <c r="M66" s="117">
        <f t="shared" si="46"/>
        <v>9.6735425059902198</v>
      </c>
      <c r="N66" s="117">
        <f t="shared" si="47"/>
        <v>1.2097066508650443</v>
      </c>
      <c r="O66" s="116">
        <f t="shared" si="26"/>
        <v>-0.28501079056262818</v>
      </c>
      <c r="P66" s="116">
        <f t="shared" si="27"/>
        <v>6.996601902678476</v>
      </c>
      <c r="Q66" s="118">
        <f>Q67+Q68</f>
        <v>6268</v>
      </c>
      <c r="R66" s="118">
        <f>R67+R68</f>
        <v>6011</v>
      </c>
      <c r="S66" s="116">
        <f t="shared" si="28"/>
        <v>6.1832966288327969E-2</v>
      </c>
      <c r="T66" s="116">
        <f t="shared" si="29"/>
        <v>4.2754949259690568E-2</v>
      </c>
      <c r="U66" s="118">
        <f>U67+U68</f>
        <v>117</v>
      </c>
      <c r="V66" s="118">
        <f>V67+V68</f>
        <v>58</v>
      </c>
      <c r="W66" s="116">
        <f t="shared" si="30"/>
        <v>-0.11363636363636363</v>
      </c>
      <c r="X66" s="116">
        <f t="shared" si="31"/>
        <v>1.0172413793103448</v>
      </c>
      <c r="Y66" s="119">
        <f t="shared" si="15"/>
        <v>1.8666241225271218E-2</v>
      </c>
      <c r="Z66" s="119">
        <f t="shared" si="45"/>
        <v>9.6489768757278323E-3</v>
      </c>
      <c r="AA66" s="116">
        <f t="shared" si="32"/>
        <v>-0.16525134884260601</v>
      </c>
      <c r="AB66" s="116">
        <f t="shared" si="33"/>
        <v>0.93453062077767746</v>
      </c>
      <c r="AC66" s="120">
        <f t="shared" si="17"/>
        <v>109.38461538461539</v>
      </c>
      <c r="AD66" s="275">
        <f t="shared" si="17"/>
        <v>66.172413793103445</v>
      </c>
      <c r="AE66" s="116">
        <f t="shared" si="34"/>
        <v>3.5037220843672424E-2</v>
      </c>
      <c r="AF66" s="116">
        <f t="shared" si="35"/>
        <v>0.65302441175291626</v>
      </c>
      <c r="AG66" s="118">
        <f>AG67+AG68</f>
        <v>4526</v>
      </c>
      <c r="AH66" s="118">
        <f>AH67+AH68</f>
        <v>5108</v>
      </c>
      <c r="AI66" s="116">
        <f t="shared" si="36"/>
        <v>0.10417174920712369</v>
      </c>
      <c r="AJ66" s="116">
        <f t="shared" si="37"/>
        <v>-0.1139389193422083</v>
      </c>
      <c r="AK66" s="118">
        <f>AK67+AK68</f>
        <v>21586</v>
      </c>
      <c r="AL66" s="118">
        <f>AL67+AL68</f>
        <v>43490</v>
      </c>
      <c r="AM66" s="276">
        <f t="shared" si="38"/>
        <v>0.32121434692128781</v>
      </c>
      <c r="AN66" s="277">
        <f t="shared" si="39"/>
        <v>-0.50365601287652328</v>
      </c>
      <c r="AO66" s="116">
        <f t="shared" si="11"/>
        <v>0.20967293616232743</v>
      </c>
      <c r="AP66" s="116">
        <f t="shared" si="18"/>
        <v>0.11745228788227179</v>
      </c>
      <c r="AQ66" s="116">
        <f t="shared" si="40"/>
        <v>-0.16427508391800294</v>
      </c>
      <c r="AR66" s="116">
        <f t="shared" si="41"/>
        <v>0.78517540988637824</v>
      </c>
      <c r="AS66" s="106" t="s">
        <v>129</v>
      </c>
    </row>
    <row r="67" spans="1:45" s="81" customFormat="1" ht="15.75" x14ac:dyDescent="0.25">
      <c r="A67" s="260" t="s">
        <v>48</v>
      </c>
      <c r="B67" s="260" t="s">
        <v>49</v>
      </c>
      <c r="C67" s="261">
        <f t="shared" si="44"/>
        <v>42846</v>
      </c>
      <c r="D67" s="260" t="s">
        <v>29</v>
      </c>
      <c r="E67" s="109">
        <v>12272</v>
      </c>
      <c r="F67" s="109">
        <v>3465</v>
      </c>
      <c r="G67" s="33">
        <f t="shared" si="22"/>
        <v>-9.6650717703349279E-2</v>
      </c>
      <c r="H67" s="33">
        <f t="shared" si="23"/>
        <v>2.5417027417027418</v>
      </c>
      <c r="I67" s="109">
        <f>410.76+37.28</f>
        <v>448.03999999999996</v>
      </c>
      <c r="J67" s="111">
        <f>463.98+36.73</f>
        <v>500.71000000000004</v>
      </c>
      <c r="K67" s="33">
        <f t="shared" si="24"/>
        <v>5.3616781111842614E-2</v>
      </c>
      <c r="L67" s="33">
        <f t="shared" si="25"/>
        <v>-0.10519062930638508</v>
      </c>
      <c r="M67" s="111">
        <f t="shared" si="46"/>
        <v>27.390411570395504</v>
      </c>
      <c r="N67" s="111">
        <f t="shared" si="47"/>
        <v>6.9201733538375505</v>
      </c>
      <c r="O67" s="33">
        <f t="shared" si="26"/>
        <v>-0.14262063922009688</v>
      </c>
      <c r="P67" s="33">
        <f t="shared" si="27"/>
        <v>2.9580528073341221</v>
      </c>
      <c r="Q67" s="112">
        <v>5494</v>
      </c>
      <c r="R67" s="112">
        <v>3273</v>
      </c>
      <c r="S67" s="33">
        <f t="shared" si="28"/>
        <v>2.2710349962769917E-2</v>
      </c>
      <c r="T67" s="33">
        <f t="shared" si="29"/>
        <v>0.67858234036052556</v>
      </c>
      <c r="U67" s="112">
        <v>111</v>
      </c>
      <c r="V67" s="112">
        <v>50</v>
      </c>
      <c r="W67" s="33">
        <f t="shared" si="30"/>
        <v>-0.12598425196850394</v>
      </c>
      <c r="X67" s="33">
        <f t="shared" si="31"/>
        <v>1.22</v>
      </c>
      <c r="Y67" s="113">
        <f t="shared" si="15"/>
        <v>2.0203858755005459E-2</v>
      </c>
      <c r="Z67" s="113">
        <f t="shared" si="45"/>
        <v>1.5276504735716468E-2</v>
      </c>
      <c r="AA67" s="33">
        <f t="shared" si="32"/>
        <v>-0.14539268321346985</v>
      </c>
      <c r="AB67" s="33">
        <f t="shared" si="33"/>
        <v>0.32254459410265734</v>
      </c>
      <c r="AC67" s="114">
        <f t="shared" si="17"/>
        <v>110.55855855855856</v>
      </c>
      <c r="AD67" s="145">
        <f t="shared" si="17"/>
        <v>69.3</v>
      </c>
      <c r="AE67" s="33">
        <f t="shared" si="34"/>
        <v>3.3561791456528371E-2</v>
      </c>
      <c r="AF67" s="33">
        <f t="shared" si="35"/>
        <v>0.59536159536159539</v>
      </c>
      <c r="AG67" s="112">
        <f>3706+170</f>
        <v>3876</v>
      </c>
      <c r="AH67" s="112">
        <f>2272+132</f>
        <v>2404</v>
      </c>
      <c r="AI67" s="33">
        <f t="shared" si="36"/>
        <v>6.279133534411846E-2</v>
      </c>
      <c r="AJ67" s="33">
        <f t="shared" si="37"/>
        <v>0.61231281198003329</v>
      </c>
      <c r="AK67" s="112">
        <f>10001+497</f>
        <v>10498</v>
      </c>
      <c r="AL67" s="112">
        <f>6472+390</f>
        <v>6862</v>
      </c>
      <c r="AM67" s="150">
        <f t="shared" si="38"/>
        <v>1.4985980856618002E-2</v>
      </c>
      <c r="AN67" s="267">
        <f t="shared" si="39"/>
        <v>0.52987467210725736</v>
      </c>
      <c r="AO67" s="110">
        <f t="shared" si="11"/>
        <v>0.36921318346351684</v>
      </c>
      <c r="AP67" s="110">
        <f t="shared" si="18"/>
        <v>0.35033517924803265</v>
      </c>
      <c r="AQ67" s="33">
        <f t="shared" si="40"/>
        <v>4.7099521953154505E-2</v>
      </c>
      <c r="AR67" s="33">
        <f t="shared" si="41"/>
        <v>5.3885551134214851E-2</v>
      </c>
      <c r="AS67" s="68"/>
    </row>
    <row r="68" spans="1:45" s="81" customFormat="1" ht="15.75" x14ac:dyDescent="0.25">
      <c r="A68" s="260" t="s">
        <v>48</v>
      </c>
      <c r="B68" s="260" t="s">
        <v>49</v>
      </c>
      <c r="C68" s="261">
        <f t="shared" si="44"/>
        <v>42846</v>
      </c>
      <c r="D68" s="260" t="s">
        <v>30</v>
      </c>
      <c r="E68" s="109">
        <v>526</v>
      </c>
      <c r="F68" s="109">
        <v>373</v>
      </c>
      <c r="G68" s="33">
        <f t="shared" si="22"/>
        <v>0.44109589041095892</v>
      </c>
      <c r="H68" s="33">
        <f t="shared" si="23"/>
        <v>0.41018766756032171</v>
      </c>
      <c r="I68" s="109">
        <v>874.95</v>
      </c>
      <c r="J68" s="111">
        <f>2573.61+98.35</f>
        <v>2671.96</v>
      </c>
      <c r="K68" s="33">
        <f t="shared" si="24"/>
        <v>0.44421702457785184</v>
      </c>
      <c r="L68" s="33">
        <f t="shared" si="25"/>
        <v>-0.67254375065494987</v>
      </c>
      <c r="M68" s="111">
        <f t="shared" si="46"/>
        <v>0.60117721012629288</v>
      </c>
      <c r="N68" s="111">
        <f t="shared" si="47"/>
        <v>0.13959789817212831</v>
      </c>
      <c r="O68" s="33">
        <f t="shared" si="26"/>
        <v>-2.1611254498300728E-3</v>
      </c>
      <c r="P68" s="33">
        <f t="shared" si="27"/>
        <v>3.3064918454934307</v>
      </c>
      <c r="Q68" s="112">
        <v>774</v>
      </c>
      <c r="R68" s="112">
        <v>2738</v>
      </c>
      <c r="S68" s="33">
        <f t="shared" si="28"/>
        <v>0.4576271186440678</v>
      </c>
      <c r="T68" s="33">
        <f t="shared" si="29"/>
        <v>-0.71731190650109566</v>
      </c>
      <c r="U68" s="112">
        <v>6</v>
      </c>
      <c r="V68" s="112">
        <v>8</v>
      </c>
      <c r="W68" s="33">
        <f t="shared" si="30"/>
        <v>0.2</v>
      </c>
      <c r="X68" s="33">
        <f t="shared" si="31"/>
        <v>-0.25</v>
      </c>
      <c r="Y68" s="113">
        <f t="shared" si="15"/>
        <v>7.7519379844961239E-3</v>
      </c>
      <c r="Z68" s="113">
        <f t="shared" si="45"/>
        <v>2.9218407596785976E-3</v>
      </c>
      <c r="AA68" s="33">
        <f t="shared" si="32"/>
        <v>-0.1767441860465116</v>
      </c>
      <c r="AB68" s="33">
        <f t="shared" si="33"/>
        <v>1.6531007751937983</v>
      </c>
      <c r="AC68" s="114">
        <f t="shared" si="17"/>
        <v>87.666666666666671</v>
      </c>
      <c r="AD68" s="145">
        <f t="shared" si="17"/>
        <v>46.625</v>
      </c>
      <c r="AE68" s="33">
        <f t="shared" si="34"/>
        <v>0.20091324200913249</v>
      </c>
      <c r="AF68" s="33">
        <f t="shared" si="35"/>
        <v>0.88025022341376236</v>
      </c>
      <c r="AG68" s="112">
        <v>650</v>
      </c>
      <c r="AH68" s="112">
        <f>2588+116</f>
        <v>2704</v>
      </c>
      <c r="AI68" s="33">
        <f t="shared" si="36"/>
        <v>0.43805309734513276</v>
      </c>
      <c r="AJ68" s="33">
        <f t="shared" si="37"/>
        <v>-0.75961538461538458</v>
      </c>
      <c r="AK68" s="112">
        <v>11088</v>
      </c>
      <c r="AL68" s="112">
        <f>34532+2096</f>
        <v>36628</v>
      </c>
      <c r="AM68" s="150">
        <f t="shared" si="38"/>
        <v>0.84954128440366972</v>
      </c>
      <c r="AN68" s="267">
        <f t="shared" si="39"/>
        <v>-0.69728076881074585</v>
      </c>
      <c r="AO68" s="110">
        <f t="shared" si="11"/>
        <v>5.8621933621933624E-2</v>
      </c>
      <c r="AP68" s="110">
        <f t="shared" si="18"/>
        <v>7.3823304575734411E-2</v>
      </c>
      <c r="AQ68" s="33">
        <f t="shared" si="40"/>
        <v>-0.22248121224891132</v>
      </c>
      <c r="AR68" s="33">
        <f t="shared" si="41"/>
        <v>-0.20591561216561213</v>
      </c>
      <c r="AS68" s="68"/>
    </row>
    <row r="69" spans="1:45" s="81" customFormat="1" ht="15.75" x14ac:dyDescent="0.25">
      <c r="A69" s="260" t="s">
        <v>48</v>
      </c>
      <c r="B69" s="260" t="s">
        <v>49</v>
      </c>
      <c r="C69" s="261">
        <f t="shared" si="44"/>
        <v>42846</v>
      </c>
      <c r="D69" s="260" t="s">
        <v>228</v>
      </c>
      <c r="E69" s="109"/>
      <c r="F69" s="109"/>
      <c r="G69" s="33" t="e">
        <f t="shared" si="22"/>
        <v>#DIV/0!</v>
      </c>
      <c r="H69" s="33" t="e">
        <f t="shared" si="23"/>
        <v>#DIV/0!</v>
      </c>
      <c r="I69" s="109"/>
      <c r="J69" s="111"/>
      <c r="K69" s="33" t="e">
        <f t="shared" si="24"/>
        <v>#DIV/0!</v>
      </c>
      <c r="L69" s="33" t="e">
        <f t="shared" si="25"/>
        <v>#DIV/0!</v>
      </c>
      <c r="M69" s="111"/>
      <c r="N69" s="111"/>
      <c r="O69" s="33" t="e">
        <f t="shared" si="26"/>
        <v>#DIV/0!</v>
      </c>
      <c r="P69" s="33" t="e">
        <f t="shared" si="27"/>
        <v>#DIV/0!</v>
      </c>
      <c r="Q69" s="112"/>
      <c r="R69" s="112"/>
      <c r="S69" s="33" t="e">
        <f t="shared" si="28"/>
        <v>#DIV/0!</v>
      </c>
      <c r="T69" s="33" t="e">
        <f t="shared" si="29"/>
        <v>#DIV/0!</v>
      </c>
      <c r="U69" s="112"/>
      <c r="V69" s="112"/>
      <c r="W69" s="33" t="e">
        <f t="shared" si="30"/>
        <v>#DIV/0!</v>
      </c>
      <c r="X69" s="33" t="e">
        <f t="shared" si="31"/>
        <v>#DIV/0!</v>
      </c>
      <c r="Y69" s="113"/>
      <c r="Z69" s="113"/>
      <c r="AA69" s="33" t="e">
        <f t="shared" si="32"/>
        <v>#DIV/0!</v>
      </c>
      <c r="AB69" s="33" t="e">
        <f t="shared" si="33"/>
        <v>#DIV/0!</v>
      </c>
      <c r="AC69" s="114"/>
      <c r="AD69" s="145"/>
      <c r="AE69" s="33" t="e">
        <f t="shared" si="34"/>
        <v>#DIV/0!</v>
      </c>
      <c r="AF69" s="33" t="e">
        <f t="shared" si="35"/>
        <v>#DIV/0!</v>
      </c>
      <c r="AG69" s="112"/>
      <c r="AH69" s="112"/>
      <c r="AI69" s="33" t="e">
        <f t="shared" si="36"/>
        <v>#DIV/0!</v>
      </c>
      <c r="AJ69" s="33" t="e">
        <f t="shared" si="37"/>
        <v>#DIV/0!</v>
      </c>
      <c r="AK69" s="112"/>
      <c r="AL69" s="112"/>
      <c r="AM69" s="150" t="e">
        <f t="shared" si="38"/>
        <v>#DIV/0!</v>
      </c>
      <c r="AN69" s="267" t="e">
        <f t="shared" si="39"/>
        <v>#DIV/0!</v>
      </c>
      <c r="AO69" s="110"/>
      <c r="AP69" s="110"/>
      <c r="AQ69" s="33" t="e">
        <f t="shared" si="40"/>
        <v>#DIV/0!</v>
      </c>
      <c r="AR69" s="33" t="e">
        <f t="shared" si="41"/>
        <v>#DIV/0!</v>
      </c>
      <c r="AS69" s="68"/>
    </row>
    <row r="70" spans="1:45" s="81" customFormat="1" ht="15.75" customHeight="1" x14ac:dyDescent="0.3">
      <c r="A70" s="29" t="s">
        <v>48</v>
      </c>
      <c r="B70" s="29" t="s">
        <v>50</v>
      </c>
      <c r="C70" s="30">
        <f t="shared" si="44"/>
        <v>42853</v>
      </c>
      <c r="D70" s="31" t="s">
        <v>28</v>
      </c>
      <c r="E70" s="32">
        <f>E71+E72</f>
        <v>37400</v>
      </c>
      <c r="F70" s="32">
        <f>F71+F72</f>
        <v>5940</v>
      </c>
      <c r="G70" s="33">
        <f t="shared" si="22"/>
        <v>1.9223316143147366</v>
      </c>
      <c r="H70" s="33">
        <f t="shared" si="23"/>
        <v>5.2962962962962967</v>
      </c>
      <c r="I70" s="32">
        <f>I71+I72</f>
        <v>1496.13</v>
      </c>
      <c r="J70" s="34">
        <f>J71+J72</f>
        <v>3055.28</v>
      </c>
      <c r="K70" s="33">
        <f t="shared" si="24"/>
        <v>0.13087022577646096</v>
      </c>
      <c r="L70" s="33">
        <f t="shared" si="25"/>
        <v>-0.51031329370794165</v>
      </c>
      <c r="M70" s="34">
        <f t="shared" si="46"/>
        <v>24.997827728873826</v>
      </c>
      <c r="N70" s="34">
        <f t="shared" si="47"/>
        <v>1.9441753292660573</v>
      </c>
      <c r="O70" s="33">
        <f t="shared" si="26"/>
        <v>1.5841440933757447</v>
      </c>
      <c r="P70" s="33">
        <f t="shared" si="27"/>
        <v>11.857805236275023</v>
      </c>
      <c r="Q70" s="35">
        <f>Q71+Q72</f>
        <v>7163</v>
      </c>
      <c r="R70" s="35">
        <f>R71+R72</f>
        <v>5797</v>
      </c>
      <c r="S70" s="33">
        <f t="shared" si="28"/>
        <v>0.14278876834716017</v>
      </c>
      <c r="T70" s="33">
        <f t="shared" si="29"/>
        <v>0.23563912368466447</v>
      </c>
      <c r="U70" s="35">
        <f>U71+U72</f>
        <v>256</v>
      </c>
      <c r="V70" s="35">
        <f>V71+V72</f>
        <v>46</v>
      </c>
      <c r="W70" s="33">
        <f t="shared" si="30"/>
        <v>1.188034188034188</v>
      </c>
      <c r="X70" s="33">
        <f t="shared" si="31"/>
        <v>4.5652173913043477</v>
      </c>
      <c r="Y70" s="88">
        <f t="shared" si="15"/>
        <v>3.5739215412536648E-2</v>
      </c>
      <c r="Z70" s="88">
        <f t="shared" si="45"/>
        <v>7.9351388649301358E-3</v>
      </c>
      <c r="AA70" s="33">
        <f t="shared" si="32"/>
        <v>0.91464446329726257</v>
      </c>
      <c r="AB70" s="33">
        <f t="shared" si="33"/>
        <v>3.5039180814451081</v>
      </c>
      <c r="AC70" s="97">
        <f t="shared" si="17"/>
        <v>146.09375</v>
      </c>
      <c r="AD70" s="145">
        <f t="shared" si="17"/>
        <v>129.13043478260869</v>
      </c>
      <c r="AE70" s="33">
        <f t="shared" si="34"/>
        <v>0.33559687060478199</v>
      </c>
      <c r="AF70" s="33">
        <f t="shared" si="35"/>
        <v>0.13136574074074081</v>
      </c>
      <c r="AG70" s="35">
        <f>AG71+AG72</f>
        <v>5028</v>
      </c>
      <c r="AH70" s="35">
        <f>AH71+AH72</f>
        <v>5112</v>
      </c>
      <c r="AI70" s="33">
        <f t="shared" si="36"/>
        <v>0.11091471498011489</v>
      </c>
      <c r="AJ70" s="33">
        <f t="shared" si="37"/>
        <v>-1.6431924882629109E-2</v>
      </c>
      <c r="AK70" s="35">
        <f>AK71+AK72</f>
        <v>22283</v>
      </c>
      <c r="AL70" s="35">
        <f>AL71+AL72</f>
        <v>44502</v>
      </c>
      <c r="AM70" s="150">
        <f t="shared" si="38"/>
        <v>3.2289446863707959E-2</v>
      </c>
      <c r="AN70" s="267">
        <f t="shared" si="39"/>
        <v>-0.49928093119410366</v>
      </c>
      <c r="AO70" s="33">
        <f t="shared" si="11"/>
        <v>0.225642866759413</v>
      </c>
      <c r="AP70" s="33">
        <f t="shared" si="18"/>
        <v>0.11487124174194419</v>
      </c>
      <c r="AQ70" s="33">
        <f t="shared" si="40"/>
        <v>7.6165912918402356E-2</v>
      </c>
      <c r="AR70" s="33">
        <f t="shared" si="41"/>
        <v>0.96431120041615748</v>
      </c>
      <c r="AS70" s="68" t="s">
        <v>212</v>
      </c>
    </row>
    <row r="71" spans="1:45" s="81" customFormat="1" ht="15.75" x14ac:dyDescent="0.25">
      <c r="A71" s="260" t="s">
        <v>48</v>
      </c>
      <c r="B71" s="260" t="s">
        <v>50</v>
      </c>
      <c r="C71" s="261">
        <f t="shared" si="44"/>
        <v>42853</v>
      </c>
      <c r="D71" s="260" t="s">
        <v>29</v>
      </c>
      <c r="E71" s="109">
        <v>37050</v>
      </c>
      <c r="F71" s="109">
        <v>5623</v>
      </c>
      <c r="G71" s="33">
        <f t="shared" ref="G71:G134" si="49">(E71-E67)/E67</f>
        <v>2.0190677966101696</v>
      </c>
      <c r="H71" s="33">
        <f t="shared" ref="H71:H134" si="50">(E71-F71)/F71</f>
        <v>5.5890094255735372</v>
      </c>
      <c r="I71" s="109">
        <f>389.65+45.59</f>
        <v>435.24</v>
      </c>
      <c r="J71" s="111">
        <f>484.03+29.37</f>
        <v>513.4</v>
      </c>
      <c r="K71" s="33">
        <f t="shared" ref="K71:K134" si="51">(I71-I67)/I67</f>
        <v>-2.8568877778769652E-2</v>
      </c>
      <c r="L71" s="33">
        <f t="shared" ref="L71:L134" si="52">(I71-J71)/J71</f>
        <v>-0.15223996883521615</v>
      </c>
      <c r="M71" s="111">
        <f t="shared" si="46"/>
        <v>85.12544802867383</v>
      </c>
      <c r="N71" s="111">
        <f t="shared" si="47"/>
        <v>10.952473704713674</v>
      </c>
      <c r="O71" s="33">
        <f t="shared" ref="O71:O134" si="53">(M71-M67)/M67</f>
        <v>2.1078557476179123</v>
      </c>
      <c r="P71" s="33">
        <f t="shared" ref="P71:P134" si="54">(M71-N71)/N71</f>
        <v>6.7722576948108033</v>
      </c>
      <c r="Q71" s="112">
        <v>6225</v>
      </c>
      <c r="R71" s="112">
        <v>3214</v>
      </c>
      <c r="S71" s="33">
        <f t="shared" ref="S71:S134" si="55">(Q71-Q67)/Q67</f>
        <v>0.1330542409901711</v>
      </c>
      <c r="T71" s="33">
        <f t="shared" ref="T71:T134" si="56">(Q71-R71)/R71</f>
        <v>0.93683883011823277</v>
      </c>
      <c r="U71" s="112">
        <v>251</v>
      </c>
      <c r="V71" s="112">
        <v>42</v>
      </c>
      <c r="W71" s="33">
        <f t="shared" ref="W71:W134" si="57">(U71-U67)/U67</f>
        <v>1.2612612612612613</v>
      </c>
      <c r="X71" s="33">
        <f t="shared" ref="X71:X134" si="58">(U71-V71)/V71</f>
        <v>4.9761904761904763</v>
      </c>
      <c r="Y71" s="113">
        <f t="shared" si="15"/>
        <v>4.0321285140562248E-2</v>
      </c>
      <c r="Z71" s="113">
        <f t="shared" si="45"/>
        <v>1.3067828251400125E-2</v>
      </c>
      <c r="AA71" s="33">
        <f t="shared" ref="AA71:AA134" si="59">(Y71-Y67)/Y67</f>
        <v>0.99572198704728831</v>
      </c>
      <c r="AB71" s="33">
        <f t="shared" ref="AB71:AB134" si="60">(Y71-Z71)/Z71</f>
        <v>2.0855383438515966</v>
      </c>
      <c r="AC71" s="114">
        <f t="shared" si="17"/>
        <v>147.60956175298804</v>
      </c>
      <c r="AD71" s="145">
        <f t="shared" si="17"/>
        <v>133.88095238095238</v>
      </c>
      <c r="AE71" s="33">
        <f t="shared" ref="AE71:AE134" si="61">(AC71-AC67)/AC67</f>
        <v>0.33512559929772429</v>
      </c>
      <c r="AF71" s="33">
        <f t="shared" ref="AF71:AF134" si="62">(AC71-AD71)/AD71</f>
        <v>0.10254340985692653</v>
      </c>
      <c r="AG71" s="112">
        <f>4069+203</f>
        <v>4272</v>
      </c>
      <c r="AH71" s="112">
        <f>2291+134</f>
        <v>2425</v>
      </c>
      <c r="AI71" s="33">
        <f t="shared" ref="AI71:AI134" si="63">(AG71-AG67)/AG67</f>
        <v>0.1021671826625387</v>
      </c>
      <c r="AJ71" s="33">
        <f t="shared" ref="AJ71:AJ134" si="64">(AG71-AH71)/AH71</f>
        <v>0.7616494845360825</v>
      </c>
      <c r="AK71" s="112">
        <f>11050+580</f>
        <v>11630</v>
      </c>
      <c r="AL71" s="112">
        <f>6734+388</f>
        <v>7122</v>
      </c>
      <c r="AM71" s="150">
        <f t="shared" ref="AM71:AM134" si="65">(AK71-AK67)/AK67</f>
        <v>0.10783006286911792</v>
      </c>
      <c r="AN71" s="267">
        <f t="shared" ref="AN71:AN134" si="66">(AK71-AL71)/AL71</f>
        <v>0.6329682673406346</v>
      </c>
      <c r="AO71" s="110">
        <f t="shared" si="11"/>
        <v>0.36732588134135857</v>
      </c>
      <c r="AP71" s="110">
        <f t="shared" si="18"/>
        <v>0.34049424319011512</v>
      </c>
      <c r="AQ71" s="33">
        <f t="shared" ref="AQ71:AQ134" si="67">(AO71-AO67)/AO67</f>
        <v>-5.111686707538041E-3</v>
      </c>
      <c r="AR71" s="33">
        <f t="shared" ref="AR71:AR134" si="68">(AO71-AP71)/AP71</f>
        <v>7.8802031716765308E-2</v>
      </c>
      <c r="AS71" s="68"/>
    </row>
    <row r="72" spans="1:45" s="81" customFormat="1" ht="15.75" x14ac:dyDescent="0.25">
      <c r="A72" s="260" t="s">
        <v>48</v>
      </c>
      <c r="B72" s="260" t="s">
        <v>50</v>
      </c>
      <c r="C72" s="261">
        <f t="shared" si="44"/>
        <v>42853</v>
      </c>
      <c r="D72" s="260" t="s">
        <v>30</v>
      </c>
      <c r="E72" s="109">
        <v>350</v>
      </c>
      <c r="F72" s="109">
        <v>317</v>
      </c>
      <c r="G72" s="33">
        <f t="shared" si="49"/>
        <v>-0.33460076045627374</v>
      </c>
      <c r="H72" s="33">
        <f t="shared" si="50"/>
        <v>0.10410094637223975</v>
      </c>
      <c r="I72" s="109">
        <v>1060.8900000000001</v>
      </c>
      <c r="J72" s="111">
        <f>2445.3+96.58</f>
        <v>2541.88</v>
      </c>
      <c r="K72" s="33">
        <f t="shared" si="51"/>
        <v>0.21251500085719188</v>
      </c>
      <c r="L72" s="33">
        <f t="shared" si="52"/>
        <v>-0.58263568697184753</v>
      </c>
      <c r="M72" s="111">
        <f t="shared" si="46"/>
        <v>0.3299116779307939</v>
      </c>
      <c r="N72" s="111">
        <f t="shared" si="47"/>
        <v>0.12471084394227894</v>
      </c>
      <c r="O72" s="33">
        <f t="shared" si="53"/>
        <v>-0.45122391139629631</v>
      </c>
      <c r="P72" s="33">
        <f t="shared" si="54"/>
        <v>1.6454129208161716</v>
      </c>
      <c r="Q72" s="112">
        <v>938</v>
      </c>
      <c r="R72" s="112">
        <v>2583</v>
      </c>
      <c r="S72" s="33">
        <f t="shared" si="55"/>
        <v>0.21188630490956073</v>
      </c>
      <c r="T72" s="33">
        <f t="shared" si="56"/>
        <v>-0.63685636856368566</v>
      </c>
      <c r="U72" s="112">
        <v>5</v>
      </c>
      <c r="V72" s="112">
        <v>4</v>
      </c>
      <c r="W72" s="33">
        <f t="shared" si="57"/>
        <v>-0.16666666666666666</v>
      </c>
      <c r="X72" s="33">
        <f t="shared" si="58"/>
        <v>0.25</v>
      </c>
      <c r="Y72" s="113">
        <f t="shared" si="15"/>
        <v>5.3304904051172707E-3</v>
      </c>
      <c r="Z72" s="113">
        <f t="shared" si="45"/>
        <v>1.548586914440573E-3</v>
      </c>
      <c r="AA72" s="33">
        <f t="shared" si="59"/>
        <v>-0.31236673773987206</v>
      </c>
      <c r="AB72" s="33">
        <f t="shared" si="60"/>
        <v>2.4421641791044775</v>
      </c>
      <c r="AC72" s="114">
        <f t="shared" si="17"/>
        <v>70</v>
      </c>
      <c r="AD72" s="145">
        <f t="shared" si="17"/>
        <v>79.25</v>
      </c>
      <c r="AE72" s="33">
        <f t="shared" si="61"/>
        <v>-0.20152091254752855</v>
      </c>
      <c r="AF72" s="33">
        <f t="shared" si="62"/>
        <v>-0.1167192429022082</v>
      </c>
      <c r="AG72" s="112">
        <v>756</v>
      </c>
      <c r="AH72" s="112">
        <f>2557+130</f>
        <v>2687</v>
      </c>
      <c r="AI72" s="33">
        <f t="shared" si="63"/>
        <v>0.16307692307692306</v>
      </c>
      <c r="AJ72" s="33">
        <f t="shared" si="64"/>
        <v>-0.71864532936360248</v>
      </c>
      <c r="AK72" s="112">
        <v>10653</v>
      </c>
      <c r="AL72" s="112">
        <f>35097+2283</f>
        <v>37380</v>
      </c>
      <c r="AM72" s="150">
        <f t="shared" si="65"/>
        <v>-3.9231601731601728E-2</v>
      </c>
      <c r="AN72" s="267">
        <f t="shared" si="66"/>
        <v>-0.71500802568218302</v>
      </c>
      <c r="AO72" s="110">
        <f t="shared" si="11"/>
        <v>7.096592509152351E-2</v>
      </c>
      <c r="AP72" s="110">
        <f t="shared" si="18"/>
        <v>7.1883360085607279E-2</v>
      </c>
      <c r="AQ72" s="33">
        <f t="shared" si="67"/>
        <v>0.21056950371509639</v>
      </c>
      <c r="AR72" s="33">
        <f t="shared" si="68"/>
        <v>-1.2762828462542338E-2</v>
      </c>
      <c r="AS72" s="68"/>
    </row>
    <row r="73" spans="1:45" s="81" customFormat="1" ht="15.75" x14ac:dyDescent="0.25">
      <c r="A73" s="260" t="s">
        <v>48</v>
      </c>
      <c r="B73" s="260" t="s">
        <v>50</v>
      </c>
      <c r="C73" s="261">
        <f t="shared" si="44"/>
        <v>42853</v>
      </c>
      <c r="D73" s="260" t="s">
        <v>228</v>
      </c>
      <c r="E73" s="109"/>
      <c r="F73" s="109"/>
      <c r="G73" s="33" t="e">
        <f t="shared" si="49"/>
        <v>#DIV/0!</v>
      </c>
      <c r="H73" s="33" t="e">
        <f t="shared" si="50"/>
        <v>#DIV/0!</v>
      </c>
      <c r="I73" s="109"/>
      <c r="J73" s="111"/>
      <c r="K73" s="33" t="e">
        <f t="shared" si="51"/>
        <v>#DIV/0!</v>
      </c>
      <c r="L73" s="33" t="e">
        <f t="shared" si="52"/>
        <v>#DIV/0!</v>
      </c>
      <c r="M73" s="111"/>
      <c r="N73" s="111"/>
      <c r="O73" s="33" t="e">
        <f t="shared" si="53"/>
        <v>#DIV/0!</v>
      </c>
      <c r="P73" s="33" t="e">
        <f t="shared" si="54"/>
        <v>#DIV/0!</v>
      </c>
      <c r="Q73" s="112"/>
      <c r="R73" s="112"/>
      <c r="S73" s="33" t="e">
        <f t="shared" si="55"/>
        <v>#DIV/0!</v>
      </c>
      <c r="T73" s="33" t="e">
        <f t="shared" si="56"/>
        <v>#DIV/0!</v>
      </c>
      <c r="U73" s="112"/>
      <c r="V73" s="112"/>
      <c r="W73" s="33" t="e">
        <f t="shared" si="57"/>
        <v>#DIV/0!</v>
      </c>
      <c r="X73" s="33" t="e">
        <f t="shared" si="58"/>
        <v>#DIV/0!</v>
      </c>
      <c r="Y73" s="113"/>
      <c r="Z73" s="113"/>
      <c r="AA73" s="33" t="e">
        <f t="shared" si="59"/>
        <v>#DIV/0!</v>
      </c>
      <c r="AB73" s="33" t="e">
        <f t="shared" si="60"/>
        <v>#DIV/0!</v>
      </c>
      <c r="AC73" s="114"/>
      <c r="AD73" s="145"/>
      <c r="AE73" s="33" t="e">
        <f t="shared" si="61"/>
        <v>#DIV/0!</v>
      </c>
      <c r="AF73" s="33" t="e">
        <f t="shared" si="62"/>
        <v>#DIV/0!</v>
      </c>
      <c r="AG73" s="112"/>
      <c r="AH73" s="112"/>
      <c r="AI73" s="33" t="e">
        <f t="shared" si="63"/>
        <v>#DIV/0!</v>
      </c>
      <c r="AJ73" s="33" t="e">
        <f t="shared" si="64"/>
        <v>#DIV/0!</v>
      </c>
      <c r="AK73" s="112"/>
      <c r="AL73" s="112"/>
      <c r="AM73" s="150" t="e">
        <f t="shared" si="65"/>
        <v>#DIV/0!</v>
      </c>
      <c r="AN73" s="267" t="e">
        <f t="shared" si="66"/>
        <v>#DIV/0!</v>
      </c>
      <c r="AO73" s="110"/>
      <c r="AP73" s="110"/>
      <c r="AQ73" s="33" t="e">
        <f t="shared" si="67"/>
        <v>#DIV/0!</v>
      </c>
      <c r="AR73" s="33" t="e">
        <f t="shared" si="68"/>
        <v>#DIV/0!</v>
      </c>
      <c r="AS73" s="68"/>
    </row>
    <row r="74" spans="1:45" s="81" customFormat="1" ht="15.75" customHeight="1" x14ac:dyDescent="0.3">
      <c r="A74" s="29" t="s">
        <v>48</v>
      </c>
      <c r="B74" s="29" t="s">
        <v>51</v>
      </c>
      <c r="C74" s="30">
        <f t="shared" ref="C74:C105" si="69">C70+7</f>
        <v>42860</v>
      </c>
      <c r="D74" s="31" t="s">
        <v>28</v>
      </c>
      <c r="E74" s="32">
        <f>E75+E76</f>
        <v>12118</v>
      </c>
      <c r="F74" s="32">
        <f>F75+F76</f>
        <v>4142</v>
      </c>
      <c r="G74" s="33">
        <f t="shared" si="49"/>
        <v>-0.67598930481283426</v>
      </c>
      <c r="H74" s="33">
        <f t="shared" si="50"/>
        <v>1.9256397875422502</v>
      </c>
      <c r="I74" s="32">
        <f>I75+I76</f>
        <v>1809.7</v>
      </c>
      <c r="J74" s="34">
        <f>J75+J76</f>
        <v>2604.83</v>
      </c>
      <c r="K74" s="33">
        <f t="shared" si="51"/>
        <v>0.20958740216425037</v>
      </c>
      <c r="L74" s="33">
        <f t="shared" si="52"/>
        <v>-0.30525216616823359</v>
      </c>
      <c r="M74" s="34">
        <f t="shared" si="46"/>
        <v>6.6961374813505001</v>
      </c>
      <c r="N74" s="34">
        <f t="shared" si="47"/>
        <v>1.5901229638786409</v>
      </c>
      <c r="O74" s="33">
        <f t="shared" si="53"/>
        <v>-0.73213122540179343</v>
      </c>
      <c r="P74" s="33">
        <f t="shared" si="54"/>
        <v>3.2110815537291701</v>
      </c>
      <c r="Q74" s="35">
        <f>Q75+Q76</f>
        <v>6345</v>
      </c>
      <c r="R74" s="35">
        <f>R75+R76</f>
        <v>4658</v>
      </c>
      <c r="S74" s="33">
        <f t="shared" si="55"/>
        <v>-0.114197961747871</v>
      </c>
      <c r="T74" s="33">
        <f t="shared" si="56"/>
        <v>0.36217260626878489</v>
      </c>
      <c r="U74" s="35">
        <f>U75+U76</f>
        <v>113</v>
      </c>
      <c r="V74" s="35">
        <f>V75+V76</f>
        <v>37</v>
      </c>
      <c r="W74" s="33">
        <f t="shared" si="57"/>
        <v>-0.55859375</v>
      </c>
      <c r="X74" s="33">
        <f t="shared" si="58"/>
        <v>2.0540540540540539</v>
      </c>
      <c r="Y74" s="88">
        <f t="shared" si="15"/>
        <v>1.7809298660362492E-2</v>
      </c>
      <c r="Z74" s="88">
        <f t="shared" si="45"/>
        <v>7.9433233147273505E-3</v>
      </c>
      <c r="AA74" s="33">
        <f t="shared" si="59"/>
        <v>-0.50168747537431047</v>
      </c>
      <c r="AB74" s="33">
        <f t="shared" si="60"/>
        <v>1.2420463016207699</v>
      </c>
      <c r="AC74" s="97">
        <f t="shared" si="17"/>
        <v>107.23893805309734</v>
      </c>
      <c r="AD74" s="145">
        <f t="shared" si="17"/>
        <v>111.94594594594595</v>
      </c>
      <c r="AE74" s="33">
        <f t="shared" si="61"/>
        <v>-0.2659580710804032</v>
      </c>
      <c r="AF74" s="33">
        <f t="shared" si="62"/>
        <v>-4.2047149211829671E-2</v>
      </c>
      <c r="AG74" s="35">
        <f>AG75+AG76</f>
        <v>4952</v>
      </c>
      <c r="AH74" s="35">
        <f>AH75+AH76</f>
        <v>3984</v>
      </c>
      <c r="AI74" s="33">
        <f t="shared" si="63"/>
        <v>-1.5115354017501989E-2</v>
      </c>
      <c r="AJ74" s="33">
        <f t="shared" si="64"/>
        <v>0.2429718875502008</v>
      </c>
      <c r="AK74" s="35">
        <f>SUM(AK75:AK76)</f>
        <v>24623</v>
      </c>
      <c r="AL74" s="35">
        <f>AL75+AL76</f>
        <v>32411</v>
      </c>
      <c r="AM74" s="150">
        <f t="shared" si="65"/>
        <v>0.10501279001929723</v>
      </c>
      <c r="AN74" s="267">
        <f t="shared" si="66"/>
        <v>-0.24028879084261517</v>
      </c>
      <c r="AO74" s="33">
        <f t="shared" si="11"/>
        <v>0.20111278073346059</v>
      </c>
      <c r="AP74" s="33">
        <f t="shared" si="18"/>
        <v>0.12292123044645337</v>
      </c>
      <c r="AQ74" s="33">
        <f t="shared" si="67"/>
        <v>-0.10871199421565188</v>
      </c>
      <c r="AR74" s="33">
        <f t="shared" si="68"/>
        <v>0.63611102820085119</v>
      </c>
      <c r="AS74" s="68" t="s">
        <v>192</v>
      </c>
    </row>
    <row r="75" spans="1:45" s="81" customFormat="1" ht="15.75" x14ac:dyDescent="0.25">
      <c r="A75" s="260" t="s">
        <v>48</v>
      </c>
      <c r="B75" s="260" t="s">
        <v>51</v>
      </c>
      <c r="C75" s="261">
        <f t="shared" si="69"/>
        <v>42860</v>
      </c>
      <c r="D75" s="260" t="s">
        <v>29</v>
      </c>
      <c r="E75" s="109">
        <v>11988</v>
      </c>
      <c r="F75" s="109">
        <v>3841</v>
      </c>
      <c r="G75" s="33">
        <f t="shared" si="49"/>
        <v>-0.67643724696356278</v>
      </c>
      <c r="H75" s="33">
        <f t="shared" si="50"/>
        <v>2.1210622233793281</v>
      </c>
      <c r="I75" s="109">
        <f>439.92+28.74</f>
        <v>468.66</v>
      </c>
      <c r="J75" s="111">
        <f>503.64+25.28</f>
        <v>528.91999999999996</v>
      </c>
      <c r="K75" s="33">
        <f t="shared" si="51"/>
        <v>7.67852219465123E-2</v>
      </c>
      <c r="L75" s="33">
        <f t="shared" si="52"/>
        <v>-0.11393027300915061</v>
      </c>
      <c r="M75" s="111">
        <f t="shared" si="46"/>
        <v>25.579311227755728</v>
      </c>
      <c r="N75" s="111">
        <f t="shared" si="47"/>
        <v>7.261967783407699</v>
      </c>
      <c r="O75" s="33">
        <f t="shared" si="53"/>
        <v>-0.69951040705078538</v>
      </c>
      <c r="P75" s="33">
        <f t="shared" si="54"/>
        <v>2.5223663875513043</v>
      </c>
      <c r="Q75" s="112">
        <v>5277</v>
      </c>
      <c r="R75" s="112">
        <v>2755</v>
      </c>
      <c r="S75" s="33">
        <f t="shared" si="55"/>
        <v>-0.15228915662650602</v>
      </c>
      <c r="T75" s="33">
        <f t="shared" si="56"/>
        <v>0.915426497277677</v>
      </c>
      <c r="U75" s="112">
        <v>110</v>
      </c>
      <c r="V75" s="112">
        <v>33</v>
      </c>
      <c r="W75" s="33">
        <f t="shared" si="57"/>
        <v>-0.56175298804780871</v>
      </c>
      <c r="X75" s="33">
        <f t="shared" si="58"/>
        <v>2.3333333333333335</v>
      </c>
      <c r="Y75" s="113">
        <f t="shared" si="15"/>
        <v>2.0845177184006063E-2</v>
      </c>
      <c r="Z75" s="113">
        <f t="shared" si="45"/>
        <v>1.1978221415607986E-2</v>
      </c>
      <c r="AA75" s="33">
        <f t="shared" si="59"/>
        <v>-0.48302299613371413</v>
      </c>
      <c r="AB75" s="33">
        <f t="shared" si="60"/>
        <v>0.74025645884656666</v>
      </c>
      <c r="AC75" s="114">
        <f t="shared" si="17"/>
        <v>108.98181818181818</v>
      </c>
      <c r="AD75" s="145">
        <f t="shared" si="17"/>
        <v>116.39393939393939</v>
      </c>
      <c r="AE75" s="33">
        <f t="shared" si="61"/>
        <v>-0.26168862716231134</v>
      </c>
      <c r="AF75" s="33">
        <f t="shared" si="62"/>
        <v>-6.3681332986201461E-2</v>
      </c>
      <c r="AG75" s="112">
        <f>3823+151</f>
        <v>3974</v>
      </c>
      <c r="AH75" s="112">
        <f>1987+110</f>
        <v>2097</v>
      </c>
      <c r="AI75" s="33">
        <f t="shared" si="63"/>
        <v>-6.9756554307116109E-2</v>
      </c>
      <c r="AJ75" s="33">
        <f t="shared" si="64"/>
        <v>0.89508822126847876</v>
      </c>
      <c r="AK75" s="112">
        <f>10537+443</f>
        <v>10980</v>
      </c>
      <c r="AL75" s="112">
        <f>5903+323</f>
        <v>6226</v>
      </c>
      <c r="AM75" s="150">
        <f t="shared" si="65"/>
        <v>-5.5889939810834052E-2</v>
      </c>
      <c r="AN75" s="267">
        <f t="shared" si="66"/>
        <v>0.76357211692900739</v>
      </c>
      <c r="AO75" s="110">
        <f t="shared" si="11"/>
        <v>0.36193078324225864</v>
      </c>
      <c r="AP75" s="110">
        <f t="shared" si="18"/>
        <v>0.33681336331513012</v>
      </c>
      <c r="AQ75" s="33">
        <f t="shared" si="67"/>
        <v>-1.4687497868102124E-2</v>
      </c>
      <c r="AR75" s="33">
        <f t="shared" si="68"/>
        <v>7.4573703608155517E-2</v>
      </c>
      <c r="AS75" s="68"/>
    </row>
    <row r="76" spans="1:45" s="81" customFormat="1" ht="15.75" x14ac:dyDescent="0.25">
      <c r="A76" s="260" t="s">
        <v>48</v>
      </c>
      <c r="B76" s="260" t="s">
        <v>51</v>
      </c>
      <c r="C76" s="261">
        <f t="shared" si="69"/>
        <v>42860</v>
      </c>
      <c r="D76" s="260" t="s">
        <v>30</v>
      </c>
      <c r="E76" s="109">
        <v>130</v>
      </c>
      <c r="F76" s="109">
        <v>301</v>
      </c>
      <c r="G76" s="33">
        <f t="shared" si="49"/>
        <v>-0.62857142857142856</v>
      </c>
      <c r="H76" s="33">
        <f t="shared" si="50"/>
        <v>-0.56810631229235875</v>
      </c>
      <c r="I76" s="109">
        <v>1341.04</v>
      </c>
      <c r="J76" s="111">
        <f>1969.76+106.15</f>
        <v>2075.91</v>
      </c>
      <c r="K76" s="33">
        <f t="shared" si="51"/>
        <v>0.26407073306374823</v>
      </c>
      <c r="L76" s="33">
        <f t="shared" si="52"/>
        <v>-0.35399896912679257</v>
      </c>
      <c r="M76" s="111">
        <f t="shared" si="46"/>
        <v>9.6939688599892618E-2</v>
      </c>
      <c r="N76" s="111">
        <f t="shared" si="47"/>
        <v>0.14499665207065818</v>
      </c>
      <c r="O76" s="33">
        <f t="shared" si="53"/>
        <v>-0.7061647250321712</v>
      </c>
      <c r="P76" s="33">
        <f t="shared" si="54"/>
        <v>-0.33143498683919242</v>
      </c>
      <c r="Q76" s="112">
        <v>1068</v>
      </c>
      <c r="R76" s="112">
        <v>1903</v>
      </c>
      <c r="S76" s="33">
        <f t="shared" si="55"/>
        <v>0.13859275053304904</v>
      </c>
      <c r="T76" s="33">
        <f t="shared" si="56"/>
        <v>-0.43878087230688384</v>
      </c>
      <c r="U76" s="112">
        <v>3</v>
      </c>
      <c r="V76" s="112">
        <v>4</v>
      </c>
      <c r="W76" s="33">
        <f t="shared" si="57"/>
        <v>-0.4</v>
      </c>
      <c r="X76" s="33">
        <f t="shared" si="58"/>
        <v>-0.25</v>
      </c>
      <c r="Y76" s="113">
        <f t="shared" si="15"/>
        <v>2.8089887640449437E-3</v>
      </c>
      <c r="Z76" s="113">
        <f t="shared" si="45"/>
        <v>2.1019442984760903E-3</v>
      </c>
      <c r="AA76" s="33">
        <f t="shared" si="59"/>
        <v>-0.47303370786516852</v>
      </c>
      <c r="AB76" s="33">
        <f t="shared" si="60"/>
        <v>0.33637640449438205</v>
      </c>
      <c r="AC76" s="114">
        <f t="shared" si="17"/>
        <v>43.333333333333336</v>
      </c>
      <c r="AD76" s="145">
        <f t="shared" si="17"/>
        <v>75.25</v>
      </c>
      <c r="AE76" s="33">
        <f t="shared" si="61"/>
        <v>-0.38095238095238093</v>
      </c>
      <c r="AF76" s="33">
        <f t="shared" si="62"/>
        <v>-0.42414174972314506</v>
      </c>
      <c r="AG76" s="112">
        <v>978</v>
      </c>
      <c r="AH76" s="112">
        <f>1743+144</f>
        <v>1887</v>
      </c>
      <c r="AI76" s="33">
        <f t="shared" si="63"/>
        <v>0.29365079365079366</v>
      </c>
      <c r="AJ76" s="33">
        <f t="shared" si="64"/>
        <v>-0.48171701112877585</v>
      </c>
      <c r="AK76" s="112">
        <v>13643</v>
      </c>
      <c r="AL76" s="112">
        <f>23668+2517</f>
        <v>26185</v>
      </c>
      <c r="AM76" s="150">
        <f t="shared" si="65"/>
        <v>0.2806721111424012</v>
      </c>
      <c r="AN76" s="267">
        <f t="shared" si="66"/>
        <v>-0.47897651327095664</v>
      </c>
      <c r="AO76" s="110">
        <f t="shared" si="11"/>
        <v>7.1685113244887494E-2</v>
      </c>
      <c r="AP76" s="110">
        <f t="shared" si="18"/>
        <v>7.2064158869581826E-2</v>
      </c>
      <c r="AQ76" s="33">
        <f t="shared" si="67"/>
        <v>1.0134274335696455E-2</v>
      </c>
      <c r="AR76" s="33">
        <f t="shared" si="68"/>
        <v>-5.2598355498786938E-3</v>
      </c>
      <c r="AS76" s="68"/>
    </row>
    <row r="77" spans="1:45" s="81" customFormat="1" ht="15.75" x14ac:dyDescent="0.25">
      <c r="A77" s="260" t="s">
        <v>48</v>
      </c>
      <c r="B77" s="260" t="s">
        <v>51</v>
      </c>
      <c r="C77" s="261">
        <f t="shared" si="69"/>
        <v>42860</v>
      </c>
      <c r="D77" s="260" t="s">
        <v>228</v>
      </c>
      <c r="E77" s="109"/>
      <c r="F77" s="109"/>
      <c r="G77" s="33" t="e">
        <f t="shared" si="49"/>
        <v>#DIV/0!</v>
      </c>
      <c r="H77" s="33" t="e">
        <f t="shared" si="50"/>
        <v>#DIV/0!</v>
      </c>
      <c r="I77" s="109"/>
      <c r="J77" s="111"/>
      <c r="K77" s="33" t="e">
        <f t="shared" si="51"/>
        <v>#DIV/0!</v>
      </c>
      <c r="L77" s="33" t="e">
        <f t="shared" si="52"/>
        <v>#DIV/0!</v>
      </c>
      <c r="M77" s="111"/>
      <c r="N77" s="111"/>
      <c r="O77" s="33" t="e">
        <f t="shared" si="53"/>
        <v>#DIV/0!</v>
      </c>
      <c r="P77" s="33" t="e">
        <f t="shared" si="54"/>
        <v>#DIV/0!</v>
      </c>
      <c r="Q77" s="112"/>
      <c r="R77" s="112"/>
      <c r="S77" s="33" t="e">
        <f t="shared" si="55"/>
        <v>#DIV/0!</v>
      </c>
      <c r="T77" s="33" t="e">
        <f t="shared" si="56"/>
        <v>#DIV/0!</v>
      </c>
      <c r="U77" s="112"/>
      <c r="V77" s="112"/>
      <c r="W77" s="33" t="e">
        <f t="shared" si="57"/>
        <v>#DIV/0!</v>
      </c>
      <c r="X77" s="33" t="e">
        <f t="shared" si="58"/>
        <v>#DIV/0!</v>
      </c>
      <c r="Y77" s="113"/>
      <c r="Z77" s="113"/>
      <c r="AA77" s="33" t="e">
        <f t="shared" si="59"/>
        <v>#DIV/0!</v>
      </c>
      <c r="AB77" s="33" t="e">
        <f t="shared" si="60"/>
        <v>#DIV/0!</v>
      </c>
      <c r="AC77" s="114"/>
      <c r="AD77" s="145"/>
      <c r="AE77" s="33" t="e">
        <f t="shared" si="61"/>
        <v>#DIV/0!</v>
      </c>
      <c r="AF77" s="33" t="e">
        <f t="shared" si="62"/>
        <v>#DIV/0!</v>
      </c>
      <c r="AG77" s="112"/>
      <c r="AH77" s="112"/>
      <c r="AI77" s="33" t="e">
        <f t="shared" si="63"/>
        <v>#DIV/0!</v>
      </c>
      <c r="AJ77" s="33" t="e">
        <f t="shared" si="64"/>
        <v>#DIV/0!</v>
      </c>
      <c r="AK77" s="112"/>
      <c r="AL77" s="112"/>
      <c r="AM77" s="150" t="e">
        <f t="shared" si="65"/>
        <v>#DIV/0!</v>
      </c>
      <c r="AN77" s="267" t="e">
        <f t="shared" si="66"/>
        <v>#DIV/0!</v>
      </c>
      <c r="AO77" s="110"/>
      <c r="AP77" s="110"/>
      <c r="AQ77" s="33" t="e">
        <f t="shared" si="67"/>
        <v>#DIV/0!</v>
      </c>
      <c r="AR77" s="33" t="e">
        <f t="shared" si="68"/>
        <v>#DIV/0!</v>
      </c>
      <c r="AS77" s="68"/>
    </row>
    <row r="78" spans="1:45" s="81" customFormat="1" ht="15.75" customHeight="1" x14ac:dyDescent="0.3">
      <c r="A78" s="29" t="s">
        <v>48</v>
      </c>
      <c r="B78" s="29" t="s">
        <v>52</v>
      </c>
      <c r="C78" s="30">
        <f t="shared" si="69"/>
        <v>42867</v>
      </c>
      <c r="D78" s="31" t="s">
        <v>28</v>
      </c>
      <c r="E78" s="32">
        <f>E79+E80</f>
        <v>8977</v>
      </c>
      <c r="F78" s="32">
        <f>F79+F80</f>
        <v>2756</v>
      </c>
      <c r="G78" s="33">
        <f t="shared" si="49"/>
        <v>-0.25920118831490346</v>
      </c>
      <c r="H78" s="33">
        <f t="shared" si="50"/>
        <v>2.2572568940493469</v>
      </c>
      <c r="I78" s="32">
        <f>I79+I80</f>
        <v>1728.2199999999998</v>
      </c>
      <c r="J78" s="34">
        <f>J79+J80</f>
        <v>2467.4699999999998</v>
      </c>
      <c r="K78" s="33">
        <f t="shared" si="51"/>
        <v>-4.5024037133226634E-2</v>
      </c>
      <c r="L78" s="33">
        <f t="shared" si="52"/>
        <v>-0.29959837404304818</v>
      </c>
      <c r="M78" s="34">
        <f t="shared" si="46"/>
        <v>5.1943618289338165</v>
      </c>
      <c r="N78" s="34">
        <f t="shared" si="47"/>
        <v>1.1169335392122297</v>
      </c>
      <c r="O78" s="33">
        <f t="shared" si="53"/>
        <v>-0.22427491320172244</v>
      </c>
      <c r="P78" s="33">
        <f t="shared" si="54"/>
        <v>3.650555871567243</v>
      </c>
      <c r="Q78" s="35">
        <f>Q79+Q80</f>
        <v>4542</v>
      </c>
      <c r="R78" s="35">
        <f>R79+R80</f>
        <v>4698</v>
      </c>
      <c r="S78" s="33">
        <f t="shared" si="55"/>
        <v>-0.28416075650118205</v>
      </c>
      <c r="T78" s="33">
        <f t="shared" si="56"/>
        <v>-3.3205619412515965E-2</v>
      </c>
      <c r="U78" s="35">
        <f>U79+U80</f>
        <v>79</v>
      </c>
      <c r="V78" s="35">
        <f>V79+V80</f>
        <v>32</v>
      </c>
      <c r="W78" s="33">
        <f t="shared" si="57"/>
        <v>-0.30088495575221241</v>
      </c>
      <c r="X78" s="33">
        <f t="shared" si="58"/>
        <v>1.46875</v>
      </c>
      <c r="Y78" s="88">
        <f t="shared" si="15"/>
        <v>1.7393218846323204E-2</v>
      </c>
      <c r="Z78" s="88">
        <f t="shared" si="45"/>
        <v>6.8114091102596851E-3</v>
      </c>
      <c r="AA78" s="33">
        <f t="shared" si="59"/>
        <v>-2.3363065664418377E-2</v>
      </c>
      <c r="AB78" s="33">
        <f t="shared" si="60"/>
        <v>1.5535419418758256</v>
      </c>
      <c r="AC78" s="97">
        <f t="shared" si="17"/>
        <v>113.63291139240506</v>
      </c>
      <c r="AD78" s="145">
        <f t="shared" si="17"/>
        <v>86.125</v>
      </c>
      <c r="AE78" s="33">
        <f t="shared" si="61"/>
        <v>5.9623616714125471E-2</v>
      </c>
      <c r="AF78" s="33">
        <f t="shared" si="62"/>
        <v>0.31939519758960888</v>
      </c>
      <c r="AG78" s="35">
        <f>AG79+AG80</f>
        <v>4186</v>
      </c>
      <c r="AH78" s="35">
        <f>AH79+AH80</f>
        <v>3962</v>
      </c>
      <c r="AI78" s="33">
        <f t="shared" si="63"/>
        <v>-0.15468497576736673</v>
      </c>
      <c r="AJ78" s="33">
        <f t="shared" si="64"/>
        <v>5.6537102473498232E-2</v>
      </c>
      <c r="AK78" s="35">
        <f>SUM(AK79:AK80)</f>
        <v>23110</v>
      </c>
      <c r="AL78" s="35">
        <f>AL79+AL80</f>
        <v>31607</v>
      </c>
      <c r="AM78" s="150">
        <f t="shared" si="65"/>
        <v>-6.1446614953498763E-2</v>
      </c>
      <c r="AN78" s="267">
        <f t="shared" si="66"/>
        <v>-0.26883285348182362</v>
      </c>
      <c r="AO78" s="33">
        <f t="shared" si="11"/>
        <v>0.18113370835136305</v>
      </c>
      <c r="AP78" s="33">
        <f t="shared" si="18"/>
        <v>0.12535197899199543</v>
      </c>
      <c r="AQ78" s="33">
        <f t="shared" si="67"/>
        <v>-9.934262909216228E-2</v>
      </c>
      <c r="AR78" s="33">
        <f t="shared" si="68"/>
        <v>0.44500078744612132</v>
      </c>
      <c r="AS78" s="68" t="s">
        <v>213</v>
      </c>
    </row>
    <row r="79" spans="1:45" s="81" customFormat="1" ht="15.75" x14ac:dyDescent="0.25">
      <c r="A79" s="260" t="s">
        <v>48</v>
      </c>
      <c r="B79" s="260" t="s">
        <v>52</v>
      </c>
      <c r="C79" s="261">
        <f t="shared" si="69"/>
        <v>42867</v>
      </c>
      <c r="D79" s="260" t="s">
        <v>29</v>
      </c>
      <c r="E79" s="109">
        <v>8496</v>
      </c>
      <c r="F79" s="109">
        <v>2253</v>
      </c>
      <c r="G79" s="33">
        <f t="shared" si="49"/>
        <v>-0.29129129129129128</v>
      </c>
      <c r="H79" s="33">
        <f t="shared" si="50"/>
        <v>2.770972037283622</v>
      </c>
      <c r="I79" s="109">
        <f>363.4+46.47</f>
        <v>409.87</v>
      </c>
      <c r="J79" s="111">
        <f>542.66+28.83</f>
        <v>571.49</v>
      </c>
      <c r="K79" s="33">
        <f t="shared" si="51"/>
        <v>-0.12544275167498831</v>
      </c>
      <c r="L79" s="33">
        <f t="shared" si="52"/>
        <v>-0.28280459850566064</v>
      </c>
      <c r="M79" s="111">
        <f t="shared" si="46"/>
        <v>20.728523678239441</v>
      </c>
      <c r="N79" s="111">
        <f t="shared" si="47"/>
        <v>3.9423261999335071</v>
      </c>
      <c r="O79" s="33">
        <f t="shared" si="53"/>
        <v>-0.18963714489124986</v>
      </c>
      <c r="P79" s="33">
        <f t="shared" si="54"/>
        <v>4.2579422977705539</v>
      </c>
      <c r="Q79" s="112">
        <v>3776</v>
      </c>
      <c r="R79" s="112">
        <v>2737</v>
      </c>
      <c r="S79" s="33">
        <f t="shared" si="55"/>
        <v>-0.28444191775630095</v>
      </c>
      <c r="T79" s="33">
        <f t="shared" si="56"/>
        <v>0.37961271465107782</v>
      </c>
      <c r="U79" s="112">
        <v>77</v>
      </c>
      <c r="V79" s="112">
        <v>26</v>
      </c>
      <c r="W79" s="33">
        <f t="shared" si="57"/>
        <v>-0.3</v>
      </c>
      <c r="X79" s="33">
        <f t="shared" si="58"/>
        <v>1.9615384615384615</v>
      </c>
      <c r="Y79" s="113">
        <f t="shared" si="15"/>
        <v>2.0391949152542374E-2</v>
      </c>
      <c r="Z79" s="113">
        <f t="shared" si="45"/>
        <v>9.4994519546949211E-3</v>
      </c>
      <c r="AA79" s="33">
        <f t="shared" si="59"/>
        <v>-2.1742584745762621E-2</v>
      </c>
      <c r="AB79" s="33">
        <f t="shared" si="60"/>
        <v>1.1466448011734032</v>
      </c>
      <c r="AC79" s="114">
        <f t="shared" si="17"/>
        <v>110.33766233766234</v>
      </c>
      <c r="AD79" s="145">
        <f t="shared" si="17"/>
        <v>86.65384615384616</v>
      </c>
      <c r="AE79" s="33">
        <f t="shared" si="61"/>
        <v>1.2441012441012414E-2</v>
      </c>
      <c r="AF79" s="33">
        <f t="shared" si="62"/>
        <v>0.27331523336849556</v>
      </c>
      <c r="AG79" s="112">
        <f>3118+159</f>
        <v>3277</v>
      </c>
      <c r="AH79" s="112">
        <f>2053+82</f>
        <v>2135</v>
      </c>
      <c r="AI79" s="33">
        <f t="shared" si="63"/>
        <v>-0.17539003522898841</v>
      </c>
      <c r="AJ79" s="33">
        <f t="shared" si="64"/>
        <v>0.53489461358313817</v>
      </c>
      <c r="AK79" s="112">
        <f>9758+668</f>
        <v>10426</v>
      </c>
      <c r="AL79" s="112">
        <f>6056+223</f>
        <v>6279</v>
      </c>
      <c r="AM79" s="150">
        <f t="shared" si="65"/>
        <v>-5.0455373406193077E-2</v>
      </c>
      <c r="AN79" s="267">
        <f t="shared" si="66"/>
        <v>0.66045548654244302</v>
      </c>
      <c r="AO79" s="110">
        <f t="shared" si="11"/>
        <v>0.31431037790140037</v>
      </c>
      <c r="AP79" s="110">
        <f t="shared" si="18"/>
        <v>0.34002229654403565</v>
      </c>
      <c r="AQ79" s="33">
        <f t="shared" si="67"/>
        <v>-0.13157323871228579</v>
      </c>
      <c r="AR79" s="33">
        <f t="shared" si="68"/>
        <v>-7.5618331221127363E-2</v>
      </c>
      <c r="AS79" s="68"/>
    </row>
    <row r="80" spans="1:45" s="81" customFormat="1" ht="15.75" x14ac:dyDescent="0.25">
      <c r="A80" s="260" t="s">
        <v>48</v>
      </c>
      <c r="B80" s="260" t="s">
        <v>52</v>
      </c>
      <c r="C80" s="261">
        <f t="shared" si="69"/>
        <v>42867</v>
      </c>
      <c r="D80" s="260" t="s">
        <v>30</v>
      </c>
      <c r="E80" s="109">
        <v>481</v>
      </c>
      <c r="F80" s="109">
        <v>503</v>
      </c>
      <c r="G80" s="33">
        <f t="shared" si="49"/>
        <v>2.7</v>
      </c>
      <c r="H80" s="33">
        <f t="shared" si="50"/>
        <v>-4.37375745526839E-2</v>
      </c>
      <c r="I80" s="109">
        <v>1318.35</v>
      </c>
      <c r="J80" s="111">
        <f>1815.62+80.36</f>
        <v>1895.9799999999998</v>
      </c>
      <c r="K80" s="33">
        <f t="shared" si="51"/>
        <v>-1.6919704110242836E-2</v>
      </c>
      <c r="L80" s="33">
        <f t="shared" si="52"/>
        <v>-0.30466038671293999</v>
      </c>
      <c r="M80" s="111">
        <f t="shared" si="46"/>
        <v>0.36485000189630978</v>
      </c>
      <c r="N80" s="111">
        <f t="shared" si="47"/>
        <v>0.26529815715355648</v>
      </c>
      <c r="O80" s="33">
        <f t="shared" si="53"/>
        <v>2.7636803580232869</v>
      </c>
      <c r="P80" s="33">
        <f t="shared" si="54"/>
        <v>0.37524514233671052</v>
      </c>
      <c r="Q80" s="112">
        <v>766</v>
      </c>
      <c r="R80" s="112">
        <v>1961</v>
      </c>
      <c r="S80" s="33">
        <f t="shared" si="55"/>
        <v>-0.28277153558052437</v>
      </c>
      <c r="T80" s="33">
        <f t="shared" si="56"/>
        <v>-0.60938296787353396</v>
      </c>
      <c r="U80" s="112">
        <v>2</v>
      </c>
      <c r="V80" s="112">
        <v>6</v>
      </c>
      <c r="W80" s="33">
        <f t="shared" si="57"/>
        <v>-0.33333333333333331</v>
      </c>
      <c r="X80" s="33">
        <f t="shared" si="58"/>
        <v>-0.66666666666666663</v>
      </c>
      <c r="Y80" s="113">
        <f t="shared" si="15"/>
        <v>2.6109660574412533E-3</v>
      </c>
      <c r="Z80" s="113">
        <f t="shared" si="45"/>
        <v>3.0596634370219276E-3</v>
      </c>
      <c r="AA80" s="33">
        <f t="shared" si="59"/>
        <v>-7.0496083550913802E-2</v>
      </c>
      <c r="AB80" s="33">
        <f t="shared" si="60"/>
        <v>-0.14664926022628372</v>
      </c>
      <c r="AC80" s="114">
        <f t="shared" si="17"/>
        <v>240.5</v>
      </c>
      <c r="AD80" s="145">
        <f t="shared" si="17"/>
        <v>83.833333333333329</v>
      </c>
      <c r="AE80" s="33">
        <f t="shared" si="61"/>
        <v>4.55</v>
      </c>
      <c r="AF80" s="33">
        <f t="shared" si="62"/>
        <v>1.8687872763419486</v>
      </c>
      <c r="AG80" s="112">
        <v>909</v>
      </c>
      <c r="AH80" s="112">
        <f>1714+113</f>
        <v>1827</v>
      </c>
      <c r="AI80" s="33">
        <f t="shared" si="63"/>
        <v>-7.0552147239263799E-2</v>
      </c>
      <c r="AJ80" s="33">
        <f t="shared" si="64"/>
        <v>-0.50246305418719217</v>
      </c>
      <c r="AK80" s="112">
        <v>12684</v>
      </c>
      <c r="AL80" s="112">
        <f>23743+1585</f>
        <v>25328</v>
      </c>
      <c r="AM80" s="150">
        <f t="shared" si="65"/>
        <v>-7.0292457670600314E-2</v>
      </c>
      <c r="AN80" s="267">
        <f t="shared" si="66"/>
        <v>-0.49921036007580544</v>
      </c>
      <c r="AO80" s="110">
        <f t="shared" si="11"/>
        <v>7.166508987701041E-2</v>
      </c>
      <c r="AP80" s="110">
        <f t="shared" si="18"/>
        <v>7.2133607075173717E-2</v>
      </c>
      <c r="AQ80" s="33">
        <f t="shared" si="67"/>
        <v>-2.793239345061921E-4</v>
      </c>
      <c r="AR80" s="33">
        <f t="shared" si="68"/>
        <v>-6.4951305939136483E-3</v>
      </c>
      <c r="AS80" s="68"/>
    </row>
    <row r="81" spans="1:45" s="81" customFormat="1" ht="15.75" x14ac:dyDescent="0.25">
      <c r="A81" s="260" t="s">
        <v>48</v>
      </c>
      <c r="B81" s="260" t="s">
        <v>52</v>
      </c>
      <c r="C81" s="261">
        <f t="shared" si="69"/>
        <v>42867</v>
      </c>
      <c r="D81" s="260" t="s">
        <v>228</v>
      </c>
      <c r="E81" s="109"/>
      <c r="F81" s="109"/>
      <c r="G81" s="33" t="e">
        <f t="shared" si="49"/>
        <v>#DIV/0!</v>
      </c>
      <c r="H81" s="33" t="e">
        <f t="shared" si="50"/>
        <v>#DIV/0!</v>
      </c>
      <c r="I81" s="109"/>
      <c r="J81" s="111"/>
      <c r="K81" s="33" t="e">
        <f t="shared" si="51"/>
        <v>#DIV/0!</v>
      </c>
      <c r="L81" s="33" t="e">
        <f t="shared" si="52"/>
        <v>#DIV/0!</v>
      </c>
      <c r="M81" s="111"/>
      <c r="N81" s="111"/>
      <c r="O81" s="33" t="e">
        <f t="shared" si="53"/>
        <v>#DIV/0!</v>
      </c>
      <c r="P81" s="33" t="e">
        <f t="shared" si="54"/>
        <v>#DIV/0!</v>
      </c>
      <c r="Q81" s="112"/>
      <c r="R81" s="112"/>
      <c r="S81" s="33" t="e">
        <f t="shared" si="55"/>
        <v>#DIV/0!</v>
      </c>
      <c r="T81" s="33" t="e">
        <f t="shared" si="56"/>
        <v>#DIV/0!</v>
      </c>
      <c r="U81" s="112"/>
      <c r="V81" s="112"/>
      <c r="W81" s="33" t="e">
        <f t="shared" si="57"/>
        <v>#DIV/0!</v>
      </c>
      <c r="X81" s="33" t="e">
        <f t="shared" si="58"/>
        <v>#DIV/0!</v>
      </c>
      <c r="Y81" s="113"/>
      <c r="Z81" s="113"/>
      <c r="AA81" s="33" t="e">
        <f t="shared" si="59"/>
        <v>#DIV/0!</v>
      </c>
      <c r="AB81" s="33" t="e">
        <f t="shared" si="60"/>
        <v>#DIV/0!</v>
      </c>
      <c r="AC81" s="114"/>
      <c r="AD81" s="145"/>
      <c r="AE81" s="33" t="e">
        <f t="shared" si="61"/>
        <v>#DIV/0!</v>
      </c>
      <c r="AF81" s="33" t="e">
        <f t="shared" si="62"/>
        <v>#DIV/0!</v>
      </c>
      <c r="AG81" s="112"/>
      <c r="AH81" s="112"/>
      <c r="AI81" s="33" t="e">
        <f t="shared" si="63"/>
        <v>#DIV/0!</v>
      </c>
      <c r="AJ81" s="33" t="e">
        <f t="shared" si="64"/>
        <v>#DIV/0!</v>
      </c>
      <c r="AK81" s="112"/>
      <c r="AL81" s="112"/>
      <c r="AM81" s="150" t="e">
        <f t="shared" si="65"/>
        <v>#DIV/0!</v>
      </c>
      <c r="AN81" s="267" t="e">
        <f t="shared" si="66"/>
        <v>#DIV/0!</v>
      </c>
      <c r="AO81" s="110"/>
      <c r="AP81" s="110"/>
      <c r="AQ81" s="33" t="e">
        <f t="shared" si="67"/>
        <v>#DIV/0!</v>
      </c>
      <c r="AR81" s="33" t="e">
        <f t="shared" si="68"/>
        <v>#DIV/0!</v>
      </c>
      <c r="AS81" s="68"/>
    </row>
    <row r="82" spans="1:45" s="108" customFormat="1" ht="15.75" customHeight="1" x14ac:dyDescent="0.3">
      <c r="A82" s="272" t="s">
        <v>53</v>
      </c>
      <c r="B82" s="272" t="s">
        <v>54</v>
      </c>
      <c r="C82" s="273">
        <f t="shared" si="69"/>
        <v>42874</v>
      </c>
      <c r="D82" s="274" t="s">
        <v>28</v>
      </c>
      <c r="E82" s="115">
        <f>SUM(E83:E85)</f>
        <v>6660</v>
      </c>
      <c r="F82" s="115">
        <f>SUM(F83:F85)</f>
        <v>7296</v>
      </c>
      <c r="G82" s="116">
        <f t="shared" si="49"/>
        <v>-0.2581040436671494</v>
      </c>
      <c r="H82" s="116">
        <f t="shared" si="50"/>
        <v>-8.7171052631578941E-2</v>
      </c>
      <c r="I82" s="115">
        <f>SUM(I83:I85)</f>
        <v>1975.92</v>
      </c>
      <c r="J82" s="115">
        <f>SUM(J83:J85)</f>
        <v>1954.8600000000001</v>
      </c>
      <c r="K82" s="116">
        <f t="shared" si="51"/>
        <v>0.14332665980025708</v>
      </c>
      <c r="L82" s="116">
        <f t="shared" si="52"/>
        <v>1.0773149995396062E-2</v>
      </c>
      <c r="M82" s="117">
        <f t="shared" si="46"/>
        <v>3.3705818049313736</v>
      </c>
      <c r="N82" s="117">
        <f t="shared" si="47"/>
        <v>3.7322365796016079</v>
      </c>
      <c r="O82" s="116">
        <f t="shared" si="53"/>
        <v>-0.35110762092920816</v>
      </c>
      <c r="P82" s="116">
        <f t="shared" si="54"/>
        <v>-9.6900281361273891E-2</v>
      </c>
      <c r="Q82" s="118">
        <f>SUM(Q83:Q85)</f>
        <v>5182</v>
      </c>
      <c r="R82" s="118">
        <f>SUM(R83:R85)</f>
        <v>4157</v>
      </c>
      <c r="S82" s="116">
        <f t="shared" si="55"/>
        <v>0.14090708938793484</v>
      </c>
      <c r="T82" s="116">
        <f t="shared" si="56"/>
        <v>0.24657204714938658</v>
      </c>
      <c r="U82" s="118">
        <f>SUM(U83:U85)</f>
        <v>67</v>
      </c>
      <c r="V82" s="118">
        <f>SUM(V83:V85)</f>
        <v>55</v>
      </c>
      <c r="W82" s="116">
        <f t="shared" si="57"/>
        <v>-0.15189873417721519</v>
      </c>
      <c r="X82" s="116">
        <f t="shared" si="58"/>
        <v>0.21818181818181817</v>
      </c>
      <c r="Y82" s="119">
        <f t="shared" si="15"/>
        <v>1.2929370899266693E-2</v>
      </c>
      <c r="Z82" s="119">
        <f t="shared" si="45"/>
        <v>1.3230695212893913E-2</v>
      </c>
      <c r="AA82" s="116">
        <f t="shared" si="59"/>
        <v>-0.25664300475355284</v>
      </c>
      <c r="AB82" s="116">
        <f t="shared" si="60"/>
        <v>-2.2774639486333705E-2</v>
      </c>
      <c r="AC82" s="120">
        <f t="shared" si="17"/>
        <v>99.402985074626869</v>
      </c>
      <c r="AD82" s="275">
        <f t="shared" si="17"/>
        <v>132.65454545454546</v>
      </c>
      <c r="AE82" s="116">
        <f t="shared" si="61"/>
        <v>-0.12522715596574327</v>
      </c>
      <c r="AF82" s="116">
        <f t="shared" si="62"/>
        <v>-0.2506628043990573</v>
      </c>
      <c r="AG82" s="118">
        <f>SUM(AG83:AG85)</f>
        <v>4722</v>
      </c>
      <c r="AH82" s="118">
        <f>SUM(AH83:AH85)</f>
        <v>3388</v>
      </c>
      <c r="AI82" s="116">
        <f t="shared" si="63"/>
        <v>0.12804586717630195</v>
      </c>
      <c r="AJ82" s="116">
        <f t="shared" si="64"/>
        <v>0.39374262101534829</v>
      </c>
      <c r="AK82" s="118">
        <f>SUM(AK83:AK85)</f>
        <v>58738</v>
      </c>
      <c r="AL82" s="118">
        <f>SUM(AL83:AL85)</f>
        <v>25073</v>
      </c>
      <c r="AM82" s="276">
        <f t="shared" si="65"/>
        <v>1.5416702726092602</v>
      </c>
      <c r="AN82" s="277">
        <f t="shared" si="66"/>
        <v>1.3426793762214335</v>
      </c>
      <c r="AO82" s="116">
        <f t="shared" si="11"/>
        <v>8.0390888351663317E-2</v>
      </c>
      <c r="AP82" s="116">
        <f t="shared" si="18"/>
        <v>0.1351254337334982</v>
      </c>
      <c r="AQ82" s="116">
        <f t="shared" si="67"/>
        <v>-0.55617930487172973</v>
      </c>
      <c r="AR82" s="116">
        <f t="shared" si="68"/>
        <v>-0.405064715572239</v>
      </c>
      <c r="AS82" s="106" t="s">
        <v>131</v>
      </c>
    </row>
    <row r="83" spans="1:45" s="81" customFormat="1" ht="15.75" x14ac:dyDescent="0.25">
      <c r="A83" s="260" t="s">
        <v>53</v>
      </c>
      <c r="B83" s="260" t="s">
        <v>54</v>
      </c>
      <c r="C83" s="261">
        <f t="shared" si="69"/>
        <v>42874</v>
      </c>
      <c r="D83" s="260" t="s">
        <v>29</v>
      </c>
      <c r="E83" s="109">
        <v>6236</v>
      </c>
      <c r="F83" s="109">
        <v>6289</v>
      </c>
      <c r="G83" s="33">
        <f t="shared" si="49"/>
        <v>-0.2660075329566855</v>
      </c>
      <c r="H83" s="33">
        <f t="shared" si="50"/>
        <v>-8.4274129432342186E-3</v>
      </c>
      <c r="I83" s="109">
        <f>449.75+60.38</f>
        <v>510.13</v>
      </c>
      <c r="J83" s="111">
        <f>487.82+4.61</f>
        <v>492.43</v>
      </c>
      <c r="K83" s="33">
        <f t="shared" si="51"/>
        <v>0.24461414594871542</v>
      </c>
      <c r="L83" s="33">
        <f t="shared" si="52"/>
        <v>3.5944195114026335E-2</v>
      </c>
      <c r="M83" s="111">
        <f t="shared" si="46"/>
        <v>12.224334973438143</v>
      </c>
      <c r="N83" s="111">
        <f t="shared" si="47"/>
        <v>12.771358365656033</v>
      </c>
      <c r="O83" s="33">
        <f t="shared" si="53"/>
        <v>-0.41026504524916524</v>
      </c>
      <c r="P83" s="33">
        <f t="shared" si="54"/>
        <v>-4.2832044685936606E-2</v>
      </c>
      <c r="Q83" s="112">
        <v>3734</v>
      </c>
      <c r="R83" s="112">
        <v>2608</v>
      </c>
      <c r="S83" s="33">
        <f t="shared" si="55"/>
        <v>-1.1122881355932203E-2</v>
      </c>
      <c r="T83" s="33">
        <f t="shared" si="56"/>
        <v>0.43174846625766872</v>
      </c>
      <c r="U83" s="112">
        <v>63</v>
      </c>
      <c r="V83" s="112">
        <v>48</v>
      </c>
      <c r="W83" s="33">
        <f t="shared" si="57"/>
        <v>-0.18181818181818182</v>
      </c>
      <c r="X83" s="33">
        <f t="shared" si="58"/>
        <v>0.3125</v>
      </c>
      <c r="Y83" s="113">
        <f t="shared" si="15"/>
        <v>1.6871987145152652E-2</v>
      </c>
      <c r="Z83" s="113">
        <f t="shared" si="45"/>
        <v>1.8404907975460124E-2</v>
      </c>
      <c r="AA83" s="33">
        <f t="shared" si="59"/>
        <v>-0.17261527973900767</v>
      </c>
      <c r="AB83" s="33">
        <f t="shared" si="60"/>
        <v>-8.3288698446705986E-2</v>
      </c>
      <c r="AC83" s="114">
        <f t="shared" si="17"/>
        <v>98.984126984126988</v>
      </c>
      <c r="AD83" s="145">
        <f t="shared" si="17"/>
        <v>131.02083333333334</v>
      </c>
      <c r="AE83" s="33">
        <f t="shared" si="61"/>
        <v>-0.1028980958359489</v>
      </c>
      <c r="AF83" s="33">
        <f t="shared" si="62"/>
        <v>-0.24451612414722609</v>
      </c>
      <c r="AG83" s="112">
        <f>3258+146</f>
        <v>3404</v>
      </c>
      <c r="AH83" s="112">
        <f>2032+37</f>
        <v>2069</v>
      </c>
      <c r="AI83" s="33">
        <f t="shared" si="63"/>
        <v>3.8754958803783948E-2</v>
      </c>
      <c r="AJ83" s="33">
        <f t="shared" si="64"/>
        <v>0.64523924601256644</v>
      </c>
      <c r="AK83" s="112">
        <f>9869+403</f>
        <v>10272</v>
      </c>
      <c r="AL83" s="112">
        <f>5465+97</f>
        <v>5562</v>
      </c>
      <c r="AM83" s="150">
        <f t="shared" si="65"/>
        <v>-1.477076539420679E-2</v>
      </c>
      <c r="AN83" s="267">
        <f t="shared" si="66"/>
        <v>0.84681769147788566</v>
      </c>
      <c r="AO83" s="110">
        <f t="shared" si="11"/>
        <v>0.33138629283489096</v>
      </c>
      <c r="AP83" s="110">
        <f t="shared" si="18"/>
        <v>0.37198849334771666</v>
      </c>
      <c r="AQ83" s="33">
        <f t="shared" si="67"/>
        <v>5.4328193193949603E-2</v>
      </c>
      <c r="AR83" s="33">
        <f t="shared" si="68"/>
        <v>-0.10914907648735454</v>
      </c>
      <c r="AS83" s="68"/>
    </row>
    <row r="84" spans="1:45" s="81" customFormat="1" ht="15.75" x14ac:dyDescent="0.25">
      <c r="A84" s="260" t="s">
        <v>53</v>
      </c>
      <c r="B84" s="260" t="s">
        <v>54</v>
      </c>
      <c r="C84" s="261">
        <f t="shared" si="69"/>
        <v>42874</v>
      </c>
      <c r="D84" s="260" t="s">
        <v>30</v>
      </c>
      <c r="E84" s="109">
        <v>424</v>
      </c>
      <c r="F84" s="109">
        <v>1007</v>
      </c>
      <c r="G84" s="33">
        <f t="shared" si="49"/>
        <v>-0.11850311850311851</v>
      </c>
      <c r="H84" s="33">
        <f t="shared" si="50"/>
        <v>-0.57894736842105265</v>
      </c>
      <c r="I84" s="109">
        <v>1171.79</v>
      </c>
      <c r="J84" s="111">
        <f>1462.43+0</f>
        <v>1462.43</v>
      </c>
      <c r="K84" s="33">
        <f t="shared" si="51"/>
        <v>-0.11116926461106683</v>
      </c>
      <c r="L84" s="33">
        <f t="shared" si="52"/>
        <v>-0.19873771736083101</v>
      </c>
      <c r="M84" s="111">
        <f t="shared" si="46"/>
        <v>0.36183957876411305</v>
      </c>
      <c r="N84" s="111">
        <f t="shared" si="47"/>
        <v>0.68857996622060536</v>
      </c>
      <c r="O84" s="33">
        <f t="shared" si="53"/>
        <v>-8.2511254393587714E-3</v>
      </c>
      <c r="P84" s="33">
        <f t="shared" si="54"/>
        <v>-0.47451335136841916</v>
      </c>
      <c r="Q84" s="112">
        <v>1117</v>
      </c>
      <c r="R84" s="112">
        <v>1549</v>
      </c>
      <c r="S84" s="33">
        <f t="shared" si="55"/>
        <v>0.45822454308093996</v>
      </c>
      <c r="T84" s="33">
        <f t="shared" si="56"/>
        <v>-0.27888960619754682</v>
      </c>
      <c r="U84" s="112">
        <v>4</v>
      </c>
      <c r="V84" s="112">
        <v>7</v>
      </c>
      <c r="W84" s="33">
        <f t="shared" si="57"/>
        <v>1</v>
      </c>
      <c r="X84" s="33">
        <f t="shared" si="58"/>
        <v>-0.42857142857142855</v>
      </c>
      <c r="Y84" s="113">
        <f t="shared" si="15"/>
        <v>3.5810205908683975E-3</v>
      </c>
      <c r="Z84" s="113">
        <f t="shared" si="45"/>
        <v>4.5190445448676569E-3</v>
      </c>
      <c r="AA84" s="33">
        <f t="shared" si="59"/>
        <v>0.37153088630259623</v>
      </c>
      <c r="AB84" s="33">
        <f t="shared" si="60"/>
        <v>-0.20757130067783611</v>
      </c>
      <c r="AC84" s="114">
        <f t="shared" si="17"/>
        <v>106</v>
      </c>
      <c r="AD84" s="145">
        <f t="shared" si="17"/>
        <v>143.85714285714286</v>
      </c>
      <c r="AE84" s="33">
        <f t="shared" si="61"/>
        <v>-0.55925155925155923</v>
      </c>
      <c r="AF84" s="33">
        <f t="shared" si="62"/>
        <v>-0.26315789473684215</v>
      </c>
      <c r="AG84" s="112">
        <v>867</v>
      </c>
      <c r="AH84" s="112">
        <v>1319</v>
      </c>
      <c r="AI84" s="33">
        <f t="shared" si="63"/>
        <v>-4.6204620462046202E-2</v>
      </c>
      <c r="AJ84" s="33">
        <f t="shared" si="64"/>
        <v>-0.34268385140257773</v>
      </c>
      <c r="AK84" s="112">
        <v>14156</v>
      </c>
      <c r="AL84" s="112">
        <v>19511</v>
      </c>
      <c r="AM84" s="150">
        <f t="shared" si="65"/>
        <v>0.11605171870072532</v>
      </c>
      <c r="AN84" s="267">
        <f t="shared" si="66"/>
        <v>-0.27446056070934344</v>
      </c>
      <c r="AO84" s="110">
        <f t="shared" si="11"/>
        <v>6.1246114721672788E-2</v>
      </c>
      <c r="AP84" s="110">
        <f t="shared" si="18"/>
        <v>6.7602890677053967E-2</v>
      </c>
      <c r="AQ84" s="33">
        <f t="shared" si="67"/>
        <v>-0.14538424738207084</v>
      </c>
      <c r="AR84" s="33">
        <f t="shared" si="68"/>
        <v>-9.4031126357423944E-2</v>
      </c>
      <c r="AS84" s="68"/>
    </row>
    <row r="85" spans="1:45" s="81" customFormat="1" ht="15.75" x14ac:dyDescent="0.25">
      <c r="A85" s="260" t="s">
        <v>53</v>
      </c>
      <c r="B85" s="260" t="s">
        <v>54</v>
      </c>
      <c r="C85" s="261">
        <f t="shared" si="69"/>
        <v>42874</v>
      </c>
      <c r="D85" s="260" t="s">
        <v>228</v>
      </c>
      <c r="E85" s="109">
        <v>0</v>
      </c>
      <c r="F85" s="109"/>
      <c r="G85" s="33" t="e">
        <f t="shared" si="49"/>
        <v>#DIV/0!</v>
      </c>
      <c r="H85" s="33" t="e">
        <f t="shared" si="50"/>
        <v>#DIV/0!</v>
      </c>
      <c r="I85" s="109">
        <v>294</v>
      </c>
      <c r="J85" s="111"/>
      <c r="K85" s="33" t="e">
        <f t="shared" si="51"/>
        <v>#DIV/0!</v>
      </c>
      <c r="L85" s="33" t="e">
        <f t="shared" si="52"/>
        <v>#DIV/0!</v>
      </c>
      <c r="M85" s="111">
        <f t="shared" si="46"/>
        <v>0</v>
      </c>
      <c r="N85" s="111"/>
      <c r="O85" s="33" t="e">
        <f t="shared" si="53"/>
        <v>#DIV/0!</v>
      </c>
      <c r="P85" s="33" t="e">
        <f t="shared" si="54"/>
        <v>#DIV/0!</v>
      </c>
      <c r="Q85" s="112">
        <v>331</v>
      </c>
      <c r="R85" s="112"/>
      <c r="S85" s="33" t="e">
        <f t="shared" si="55"/>
        <v>#DIV/0!</v>
      </c>
      <c r="T85" s="33" t="e">
        <f t="shared" si="56"/>
        <v>#DIV/0!</v>
      </c>
      <c r="U85" s="112">
        <v>0</v>
      </c>
      <c r="V85" s="112"/>
      <c r="W85" s="33" t="e">
        <f t="shared" si="57"/>
        <v>#DIV/0!</v>
      </c>
      <c r="X85" s="33" t="e">
        <f t="shared" si="58"/>
        <v>#DIV/0!</v>
      </c>
      <c r="Y85" s="113">
        <f t="shared" si="15"/>
        <v>0</v>
      </c>
      <c r="Z85" s="113"/>
      <c r="AA85" s="33" t="e">
        <f t="shared" si="59"/>
        <v>#DIV/0!</v>
      </c>
      <c r="AB85" s="33" t="e">
        <f t="shared" si="60"/>
        <v>#DIV/0!</v>
      </c>
      <c r="AC85" s="114" t="e">
        <f t="shared" si="17"/>
        <v>#DIV/0!</v>
      </c>
      <c r="AD85" s="145"/>
      <c r="AE85" s="33" t="e">
        <f t="shared" si="61"/>
        <v>#DIV/0!</v>
      </c>
      <c r="AF85" s="33" t="e">
        <f t="shared" si="62"/>
        <v>#DIV/0!</v>
      </c>
      <c r="AG85" s="112">
        <v>451</v>
      </c>
      <c r="AH85" s="112"/>
      <c r="AI85" s="33" t="e">
        <f t="shared" si="63"/>
        <v>#DIV/0!</v>
      </c>
      <c r="AJ85" s="33" t="e">
        <f t="shared" si="64"/>
        <v>#DIV/0!</v>
      </c>
      <c r="AK85" s="112">
        <v>34310</v>
      </c>
      <c r="AL85" s="112"/>
      <c r="AM85" s="150" t="e">
        <f t="shared" si="65"/>
        <v>#DIV/0!</v>
      </c>
      <c r="AN85" s="267" t="e">
        <f t="shared" si="66"/>
        <v>#DIV/0!</v>
      </c>
      <c r="AO85" s="110">
        <f t="shared" si="11"/>
        <v>1.3144855727193238E-2</v>
      </c>
      <c r="AP85" s="110"/>
      <c r="AQ85" s="33" t="e">
        <f t="shared" si="67"/>
        <v>#DIV/0!</v>
      </c>
      <c r="AR85" s="33" t="e">
        <f t="shared" si="68"/>
        <v>#DIV/0!</v>
      </c>
      <c r="AS85" s="68"/>
    </row>
    <row r="86" spans="1:45" s="81" customFormat="1" ht="15.75" customHeight="1" x14ac:dyDescent="0.3">
      <c r="A86" s="29" t="s">
        <v>53</v>
      </c>
      <c r="B86" s="29" t="s">
        <v>55</v>
      </c>
      <c r="C86" s="30">
        <f t="shared" si="69"/>
        <v>42881</v>
      </c>
      <c r="D86" s="31" t="s">
        <v>28</v>
      </c>
      <c r="E86" s="32">
        <f>SUM(E87:E89)</f>
        <v>6333</v>
      </c>
      <c r="F86" s="32">
        <f>SUM(F87:F89)</f>
        <v>5053</v>
      </c>
      <c r="G86" s="33">
        <f t="shared" ref="G86" si="70">(E86-E82)/E82</f>
        <v>-4.9099099099099097E-2</v>
      </c>
      <c r="H86" s="33">
        <f t="shared" ref="H86" si="71">(E86-F86)/F86</f>
        <v>0.25331486245794577</v>
      </c>
      <c r="I86" s="32">
        <f>SUM(I87:I89)</f>
        <v>2577.3000000000002</v>
      </c>
      <c r="J86" s="32">
        <f>SUM(J87:J89)</f>
        <v>1744.46</v>
      </c>
      <c r="K86" s="33">
        <f t="shared" ref="K86" si="72">(I86-I82)/I82</f>
        <v>0.30435442730474921</v>
      </c>
      <c r="L86" s="33">
        <f t="shared" ref="L86" si="73">(I86-J86)/J86</f>
        <v>0.47741994657372488</v>
      </c>
      <c r="M86" s="34">
        <f t="shared" ref="M86" si="74">E86/I86</f>
        <v>2.4572226748923289</v>
      </c>
      <c r="N86" s="34">
        <f t="shared" ref="N86" si="75">F86/J86</f>
        <v>2.8965983742820125</v>
      </c>
      <c r="O86" s="33">
        <f t="shared" ref="O86" si="76">(M86-M82)/M82</f>
        <v>-0.27097966549951191</v>
      </c>
      <c r="P86" s="33">
        <f t="shared" ref="P86" si="77">(M86-N86)/N86</f>
        <v>-0.1516867865737834</v>
      </c>
      <c r="Q86" s="35">
        <f>SUM(Q87:Q89)</f>
        <v>6597</v>
      </c>
      <c r="R86" s="35">
        <f>SUM(R87:R89)</f>
        <v>3986</v>
      </c>
      <c r="S86" s="33">
        <f t="shared" ref="S86" si="78">(Q86-Q82)/Q82</f>
        <v>0.27306059436510999</v>
      </c>
      <c r="T86" s="33">
        <f t="shared" ref="T86" si="79">(Q86-R86)/R86</f>
        <v>0.65504264927245359</v>
      </c>
      <c r="U86" s="35">
        <f>SUM(U87:U89)</f>
        <v>70</v>
      </c>
      <c r="V86" s="35">
        <f>SUM(V87:V89)</f>
        <v>36</v>
      </c>
      <c r="W86" s="33">
        <f t="shared" ref="W86" si="80">(U86-U82)/U82</f>
        <v>4.4776119402985072E-2</v>
      </c>
      <c r="X86" s="33">
        <f t="shared" ref="X86" si="81">(U86-V86)/V86</f>
        <v>0.94444444444444442</v>
      </c>
      <c r="Y86" s="88">
        <f t="shared" ref="Y86" si="82">U86/Q86</f>
        <v>1.0610883735031074E-2</v>
      </c>
      <c r="Z86" s="88">
        <f t="shared" ref="Z86" si="83">V86/R86</f>
        <v>9.0316106372303057E-3</v>
      </c>
      <c r="AA86" s="33">
        <f t="shared" ref="AA86" si="84">(Y86-Y82)/Y82</f>
        <v>-0.17931941022491013</v>
      </c>
      <c r="AB86" s="33">
        <f t="shared" ref="AB86" si="85">(Y86-Z86)/Z86</f>
        <v>0.17486062688427398</v>
      </c>
      <c r="AC86" s="97">
        <f t="shared" ref="AC86:AD86" si="86">E86/U86</f>
        <v>90.471428571428575</v>
      </c>
      <c r="AD86" s="145">
        <f t="shared" si="86"/>
        <v>140.36111111111111</v>
      </c>
      <c r="AE86" s="33">
        <f t="shared" ref="AE86" si="87">(AC86-AC82)/AC82</f>
        <v>-8.9851994851994854E-2</v>
      </c>
      <c r="AF86" s="33">
        <f t="shared" ref="AF86" si="88">(AC86-AD86)/AD86</f>
        <v>-0.3554380707359136</v>
      </c>
      <c r="AG86" s="35">
        <f>SUM(AG87:AG89)</f>
        <v>5608</v>
      </c>
      <c r="AH86" s="35">
        <f>SUM(AH87:AH89)</f>
        <v>3167</v>
      </c>
      <c r="AI86" s="33">
        <f t="shared" ref="AI86" si="89">(AG86-AG82)/AG82</f>
        <v>0.18763235916984328</v>
      </c>
      <c r="AJ86" s="33">
        <f t="shared" ref="AJ86" si="90">(AG86-AH86)/AH86</f>
        <v>0.7707609725292075</v>
      </c>
      <c r="AK86" s="35">
        <f>SUM(AK87:AK89)</f>
        <v>124567</v>
      </c>
      <c r="AL86" s="35">
        <f>SUM(AL87:AL89)</f>
        <v>24291</v>
      </c>
      <c r="AM86" s="150">
        <f t="shared" ref="AM86" si="91">(AK86-AK82)/AK82</f>
        <v>1.1207225305594335</v>
      </c>
      <c r="AN86" s="267">
        <f t="shared" ref="AN86" si="92">(AK86-AL86)/AL86</f>
        <v>4.1281132929891733</v>
      </c>
      <c r="AO86" s="33">
        <f t="shared" ref="AO86" si="93">AG86/AK86</f>
        <v>4.5019949103695202E-2</v>
      </c>
      <c r="AP86" s="33">
        <f t="shared" ref="AP86" si="94">AH86/AL86</f>
        <v>0.13037750607220783</v>
      </c>
      <c r="AQ86" s="33">
        <f t="shared" ref="AQ86" si="95">(AO86-AO82)/AO82</f>
        <v>-0.43998691858262412</v>
      </c>
      <c r="AR86" s="33">
        <f t="shared" ref="AR86" si="96">(AO86-AP86)/AP86</f>
        <v>-0.65469542668839287</v>
      </c>
      <c r="AS86" s="68" t="s">
        <v>129</v>
      </c>
    </row>
    <row r="87" spans="1:45" s="81" customFormat="1" ht="15.75" x14ac:dyDescent="0.25">
      <c r="A87" s="260" t="s">
        <v>53</v>
      </c>
      <c r="B87" s="260" t="s">
        <v>55</v>
      </c>
      <c r="C87" s="261">
        <f t="shared" si="69"/>
        <v>42881</v>
      </c>
      <c r="D87" s="260" t="s">
        <v>29</v>
      </c>
      <c r="E87" s="109">
        <v>5761</v>
      </c>
      <c r="F87" s="109">
        <v>4710</v>
      </c>
      <c r="G87" s="33">
        <f t="shared" si="49"/>
        <v>-7.6170622193713913E-2</v>
      </c>
      <c r="H87" s="33">
        <f t="shared" si="50"/>
        <v>0.22314225053078557</v>
      </c>
      <c r="I87" s="109">
        <f>631.97+76.54</f>
        <v>708.51</v>
      </c>
      <c r="J87" s="111">
        <f>397.22+26.91</f>
        <v>424.13000000000005</v>
      </c>
      <c r="K87" s="33">
        <f t="shared" si="51"/>
        <v>0.38888126555975927</v>
      </c>
      <c r="L87" s="33">
        <f t="shared" si="52"/>
        <v>0.67050196873600054</v>
      </c>
      <c r="M87" s="111">
        <f t="shared" si="46"/>
        <v>8.1311484665001199</v>
      </c>
      <c r="N87" s="111">
        <f t="shared" si="47"/>
        <v>11.105085704854643</v>
      </c>
      <c r="O87" s="33">
        <f t="shared" si="53"/>
        <v>-0.33483919704687198</v>
      </c>
      <c r="P87" s="33">
        <f t="shared" si="54"/>
        <v>-0.26779957556333417</v>
      </c>
      <c r="Q87" s="112">
        <v>3791</v>
      </c>
      <c r="R87" s="112">
        <v>2519</v>
      </c>
      <c r="S87" s="33">
        <f t="shared" si="55"/>
        <v>1.5265131226566685E-2</v>
      </c>
      <c r="T87" s="33">
        <f t="shared" si="56"/>
        <v>0.5049622866216753</v>
      </c>
      <c r="U87" s="112">
        <v>61</v>
      </c>
      <c r="V87" s="112">
        <v>33</v>
      </c>
      <c r="W87" s="33">
        <f t="shared" si="57"/>
        <v>-3.1746031746031744E-2</v>
      </c>
      <c r="X87" s="33">
        <f t="shared" si="58"/>
        <v>0.84848484848484851</v>
      </c>
      <c r="Y87" s="113">
        <f t="shared" si="15"/>
        <v>1.6090741229227115E-2</v>
      </c>
      <c r="Z87" s="113">
        <f t="shared" si="45"/>
        <v>1.3100436681222707E-2</v>
      </c>
      <c r="AA87" s="33">
        <f t="shared" si="59"/>
        <v>-4.6304321429618316E-2</v>
      </c>
      <c r="AB87" s="33">
        <f t="shared" si="60"/>
        <v>0.22825991383100319</v>
      </c>
      <c r="AC87" s="114">
        <f t="shared" si="17"/>
        <v>94.442622950819668</v>
      </c>
      <c r="AD87" s="145">
        <f t="shared" si="17"/>
        <v>142.72727272727272</v>
      </c>
      <c r="AE87" s="33">
        <f t="shared" si="61"/>
        <v>-4.588113439678658E-2</v>
      </c>
      <c r="AF87" s="33">
        <f t="shared" si="62"/>
        <v>-0.33830009397514876</v>
      </c>
      <c r="AG87" s="112">
        <f>3297+168</f>
        <v>3465</v>
      </c>
      <c r="AH87" s="112">
        <f>1843+102</f>
        <v>1945</v>
      </c>
      <c r="AI87" s="33">
        <f t="shared" si="63"/>
        <v>1.7920094007050528E-2</v>
      </c>
      <c r="AJ87" s="33">
        <f t="shared" si="64"/>
        <v>0.78149100257069404</v>
      </c>
      <c r="AK87" s="112">
        <f>10864+439</f>
        <v>11303</v>
      </c>
      <c r="AL87" s="112">
        <f>5239+266</f>
        <v>5505</v>
      </c>
      <c r="AM87" s="150">
        <f t="shared" si="65"/>
        <v>0.10036993769470405</v>
      </c>
      <c r="AN87" s="267">
        <f t="shared" si="66"/>
        <v>1.0532243415077203</v>
      </c>
      <c r="AO87" s="110">
        <f t="shared" si="11"/>
        <v>0.30655578165088915</v>
      </c>
      <c r="AP87" s="110">
        <f t="shared" si="18"/>
        <v>0.35331516802906449</v>
      </c>
      <c r="AQ87" s="33">
        <f t="shared" si="67"/>
        <v>-7.4929204136917338E-2</v>
      </c>
      <c r="AR87" s="33">
        <f t="shared" si="68"/>
        <v>-0.13234468998038829</v>
      </c>
      <c r="AS87" s="68"/>
    </row>
    <row r="88" spans="1:45" s="81" customFormat="1" ht="15.75" x14ac:dyDescent="0.25">
      <c r="A88" s="260" t="s">
        <v>53</v>
      </c>
      <c r="B88" s="260" t="s">
        <v>55</v>
      </c>
      <c r="C88" s="261">
        <f t="shared" si="69"/>
        <v>42881</v>
      </c>
      <c r="D88" s="260" t="s">
        <v>30</v>
      </c>
      <c r="E88" s="109">
        <v>172</v>
      </c>
      <c r="F88" s="109">
        <v>343</v>
      </c>
      <c r="G88" s="33">
        <f t="shared" si="49"/>
        <v>-0.59433962264150941</v>
      </c>
      <c r="H88" s="33">
        <f t="shared" si="50"/>
        <v>-0.49854227405247814</v>
      </c>
      <c r="I88" s="109">
        <v>1101.79</v>
      </c>
      <c r="J88" s="111">
        <f>1320.33+0</f>
        <v>1320.33</v>
      </c>
      <c r="K88" s="33">
        <f t="shared" si="51"/>
        <v>-5.9737666305396023E-2</v>
      </c>
      <c r="L88" s="33">
        <f t="shared" si="52"/>
        <v>-0.16551922625404253</v>
      </c>
      <c r="M88" s="111">
        <f t="shared" si="46"/>
        <v>0.15610960346345493</v>
      </c>
      <c r="N88" s="111">
        <f t="shared" si="47"/>
        <v>0.25978353896374395</v>
      </c>
      <c r="O88" s="33">
        <f t="shared" si="53"/>
        <v>-0.56856681074895798</v>
      </c>
      <c r="P88" s="33">
        <f t="shared" si="54"/>
        <v>-0.3990781552743341</v>
      </c>
      <c r="Q88" s="112">
        <v>1820</v>
      </c>
      <c r="R88" s="112">
        <v>1467</v>
      </c>
      <c r="S88" s="33">
        <f t="shared" si="55"/>
        <v>0.62936436884512081</v>
      </c>
      <c r="T88" s="33">
        <f t="shared" si="56"/>
        <v>0.24062713019768234</v>
      </c>
      <c r="U88" s="112">
        <v>3</v>
      </c>
      <c r="V88" s="112">
        <v>3</v>
      </c>
      <c r="W88" s="33">
        <f t="shared" si="57"/>
        <v>-0.25</v>
      </c>
      <c r="X88" s="33">
        <f t="shared" si="58"/>
        <v>0</v>
      </c>
      <c r="Y88" s="113">
        <f t="shared" ref="Y88:Z173" si="97">U88/Q88</f>
        <v>1.6483516483516484E-3</v>
      </c>
      <c r="Z88" s="113">
        <f t="shared" si="97"/>
        <v>2.0449897750511249E-3</v>
      </c>
      <c r="AA88" s="33">
        <f t="shared" si="59"/>
        <v>-0.53969780219780217</v>
      </c>
      <c r="AB88" s="33">
        <f t="shared" si="60"/>
        <v>-0.19395604395604404</v>
      </c>
      <c r="AC88" s="114">
        <f t="shared" si="17"/>
        <v>57.333333333333336</v>
      </c>
      <c r="AD88" s="145">
        <f t="shared" si="17"/>
        <v>114.33333333333333</v>
      </c>
      <c r="AE88" s="33">
        <f t="shared" si="61"/>
        <v>-0.45911949685534587</v>
      </c>
      <c r="AF88" s="33">
        <f t="shared" si="62"/>
        <v>-0.49854227405247808</v>
      </c>
      <c r="AG88" s="112">
        <v>824</v>
      </c>
      <c r="AH88" s="112">
        <v>1222</v>
      </c>
      <c r="AI88" s="33">
        <f t="shared" si="63"/>
        <v>-4.9596309111880045E-2</v>
      </c>
      <c r="AJ88" s="33">
        <f t="shared" si="64"/>
        <v>-0.32569558101472995</v>
      </c>
      <c r="AK88" s="112">
        <v>14967</v>
      </c>
      <c r="AL88" s="112">
        <v>18786</v>
      </c>
      <c r="AM88" s="150">
        <f t="shared" si="65"/>
        <v>5.7290194970330603E-2</v>
      </c>
      <c r="AN88" s="267">
        <f t="shared" si="66"/>
        <v>-0.20328968380709039</v>
      </c>
      <c r="AO88" s="110">
        <f t="shared" si="11"/>
        <v>5.5054453130219817E-2</v>
      </c>
      <c r="AP88" s="110">
        <f t="shared" si="11"/>
        <v>6.5048440327903759E-2</v>
      </c>
      <c r="AQ88" s="33">
        <f t="shared" si="67"/>
        <v>-0.10109476526944436</v>
      </c>
      <c r="AR88" s="33">
        <f t="shared" si="68"/>
        <v>-0.15363915179680077</v>
      </c>
      <c r="AS88" s="68"/>
    </row>
    <row r="89" spans="1:45" s="81" customFormat="1" ht="15.75" x14ac:dyDescent="0.25">
      <c r="A89" s="260" t="s">
        <v>53</v>
      </c>
      <c r="B89" s="260" t="s">
        <v>55</v>
      </c>
      <c r="C89" s="261">
        <f t="shared" si="69"/>
        <v>42881</v>
      </c>
      <c r="D89" s="260" t="s">
        <v>228</v>
      </c>
      <c r="E89" s="109">
        <v>400</v>
      </c>
      <c r="F89" s="109"/>
      <c r="G89" s="33" t="e">
        <f t="shared" si="49"/>
        <v>#DIV/0!</v>
      </c>
      <c r="H89" s="33" t="e">
        <f t="shared" si="50"/>
        <v>#DIV/0!</v>
      </c>
      <c r="I89" s="109">
        <v>767</v>
      </c>
      <c r="J89" s="111"/>
      <c r="K89" s="33">
        <f t="shared" si="51"/>
        <v>1.6088435374149659</v>
      </c>
      <c r="L89" s="33" t="e">
        <f t="shared" si="52"/>
        <v>#DIV/0!</v>
      </c>
      <c r="M89" s="111">
        <f t="shared" si="46"/>
        <v>0.5215123859191656</v>
      </c>
      <c r="N89" s="111"/>
      <c r="O89" s="33" t="e">
        <f t="shared" si="53"/>
        <v>#DIV/0!</v>
      </c>
      <c r="P89" s="33" t="e">
        <f t="shared" si="54"/>
        <v>#DIV/0!</v>
      </c>
      <c r="Q89" s="112">
        <v>986</v>
      </c>
      <c r="R89" s="112"/>
      <c r="S89" s="33">
        <f t="shared" si="55"/>
        <v>1.9788519637462236</v>
      </c>
      <c r="T89" s="33" t="e">
        <f t="shared" si="56"/>
        <v>#DIV/0!</v>
      </c>
      <c r="U89" s="112">
        <v>6</v>
      </c>
      <c r="V89" s="112"/>
      <c r="W89" s="33" t="e">
        <f t="shared" si="57"/>
        <v>#DIV/0!</v>
      </c>
      <c r="X89" s="33" t="e">
        <f t="shared" si="58"/>
        <v>#DIV/0!</v>
      </c>
      <c r="Y89" s="113">
        <f t="shared" si="97"/>
        <v>6.0851926977687626E-3</v>
      </c>
      <c r="Z89" s="113"/>
      <c r="AA89" s="33" t="e">
        <f t="shared" si="59"/>
        <v>#DIV/0!</v>
      </c>
      <c r="AB89" s="33" t="e">
        <f t="shared" si="60"/>
        <v>#DIV/0!</v>
      </c>
      <c r="AC89" s="114">
        <f t="shared" ref="AC89:AC90" si="98">E89/U89</f>
        <v>66.666666666666671</v>
      </c>
      <c r="AD89" s="145"/>
      <c r="AE89" s="33" t="e">
        <f t="shared" si="61"/>
        <v>#DIV/0!</v>
      </c>
      <c r="AF89" s="33" t="e">
        <f t="shared" si="62"/>
        <v>#DIV/0!</v>
      </c>
      <c r="AG89" s="112">
        <v>1319</v>
      </c>
      <c r="AH89" s="112"/>
      <c r="AI89" s="33">
        <f t="shared" si="63"/>
        <v>1.9246119733924612</v>
      </c>
      <c r="AJ89" s="33" t="e">
        <f t="shared" si="64"/>
        <v>#DIV/0!</v>
      </c>
      <c r="AK89" s="112">
        <v>98297</v>
      </c>
      <c r="AL89" s="112"/>
      <c r="AM89" s="150">
        <f t="shared" si="65"/>
        <v>1.8649664820751968</v>
      </c>
      <c r="AN89" s="267" t="e">
        <f t="shared" si="66"/>
        <v>#DIV/0!</v>
      </c>
      <c r="AO89" s="110">
        <f t="shared" si="11"/>
        <v>1.3418517350478651E-2</v>
      </c>
      <c r="AP89" s="110"/>
      <c r="AQ89" s="33">
        <f t="shared" si="67"/>
        <v>2.0818914179429056E-2</v>
      </c>
      <c r="AR89" s="33" t="e">
        <f t="shared" si="68"/>
        <v>#DIV/0!</v>
      </c>
      <c r="AS89" s="68"/>
    </row>
    <row r="90" spans="1:45" s="81" customFormat="1" ht="15.75" customHeight="1" x14ac:dyDescent="0.3">
      <c r="A90" s="29" t="s">
        <v>53</v>
      </c>
      <c r="B90" s="29" t="s">
        <v>56</v>
      </c>
      <c r="C90" s="30">
        <f t="shared" si="69"/>
        <v>42888</v>
      </c>
      <c r="D90" s="31" t="s">
        <v>28</v>
      </c>
      <c r="E90" s="32">
        <f>SUM(E91:E93)</f>
        <v>9005</v>
      </c>
      <c r="F90" s="32">
        <f>SUM(F91:F93)</f>
        <v>2983</v>
      </c>
      <c r="G90" s="33">
        <f t="shared" si="49"/>
        <v>0.42191694299699983</v>
      </c>
      <c r="H90" s="33">
        <f t="shared" si="50"/>
        <v>2.0187730472678513</v>
      </c>
      <c r="I90" s="32">
        <f>SUM(I91:I93)</f>
        <v>4186.46</v>
      </c>
      <c r="J90" s="32">
        <f>SUM(J91:J93)</f>
        <v>2047.1</v>
      </c>
      <c r="K90" s="33">
        <f t="shared" si="51"/>
        <v>0.62435882512707086</v>
      </c>
      <c r="L90" s="33">
        <f t="shared" si="52"/>
        <v>1.0450686336769088</v>
      </c>
      <c r="M90" s="34">
        <f t="shared" si="46"/>
        <v>2.1509819752248918</v>
      </c>
      <c r="N90" s="34">
        <f t="shared" ref="N90" si="99">F90/J90</f>
        <v>1.4571833325191734</v>
      </c>
      <c r="O90" s="33">
        <f t="shared" si="53"/>
        <v>-0.12462879445016357</v>
      </c>
      <c r="P90" s="33">
        <f t="shared" si="54"/>
        <v>0.47612309804990816</v>
      </c>
      <c r="Q90" s="35">
        <f>SUM(Q91:Q93)</f>
        <v>9886</v>
      </c>
      <c r="R90" s="35">
        <f>SUM(R91:R93)</f>
        <v>4347</v>
      </c>
      <c r="S90" s="33">
        <f t="shared" si="55"/>
        <v>0.49855995149310295</v>
      </c>
      <c r="T90" s="33">
        <f t="shared" si="56"/>
        <v>1.2742121002990567</v>
      </c>
      <c r="U90" s="35">
        <f>SUM(U91:U93)</f>
        <v>93</v>
      </c>
      <c r="V90" s="35">
        <f>SUM(V91:V93)</f>
        <v>35</v>
      </c>
      <c r="W90" s="33">
        <f t="shared" si="57"/>
        <v>0.32857142857142857</v>
      </c>
      <c r="X90" s="33">
        <f t="shared" si="58"/>
        <v>1.6571428571428573</v>
      </c>
      <c r="Y90" s="88">
        <f t="shared" si="97"/>
        <v>9.4072425652437786E-3</v>
      </c>
      <c r="Z90" s="88">
        <f t="shared" ref="Z90" si="100">V90/R90</f>
        <v>8.0515297906602248E-3</v>
      </c>
      <c r="AA90" s="33">
        <f t="shared" si="59"/>
        <v>-0.11343458281552556</v>
      </c>
      <c r="AB90" s="33">
        <f t="shared" si="60"/>
        <v>0.1683795266032774</v>
      </c>
      <c r="AC90" s="97">
        <f t="shared" si="98"/>
        <v>96.827956989247312</v>
      </c>
      <c r="AD90" s="145">
        <f t="shared" ref="AD90" si="101">F90/V90</f>
        <v>85.228571428571428</v>
      </c>
      <c r="AE90" s="33">
        <f t="shared" si="61"/>
        <v>7.0260064621397694E-2</v>
      </c>
      <c r="AF90" s="33">
        <f t="shared" si="62"/>
        <v>0.13609738338037411</v>
      </c>
      <c r="AG90" s="35">
        <f>SUM(AG91:AG93)</f>
        <v>7945</v>
      </c>
      <c r="AH90" s="35">
        <f>SUM(AH91:AH93)</f>
        <v>3511</v>
      </c>
      <c r="AI90" s="33">
        <f t="shared" si="63"/>
        <v>0.41672610556348072</v>
      </c>
      <c r="AJ90" s="33">
        <f t="shared" si="64"/>
        <v>1.2628880660780404</v>
      </c>
      <c r="AK90" s="35">
        <f>SUM(AK91:AK93)</f>
        <v>274202</v>
      </c>
      <c r="AL90" s="35">
        <f>SUM(AL91:AL93)</f>
        <v>26287</v>
      </c>
      <c r="AM90" s="150">
        <f t="shared" si="65"/>
        <v>1.2012410991675162</v>
      </c>
      <c r="AN90" s="267">
        <f t="shared" si="66"/>
        <v>9.4310876098451715</v>
      </c>
      <c r="AO90" s="33">
        <f t="shared" si="11"/>
        <v>2.8974989241508084E-2</v>
      </c>
      <c r="AP90" s="33">
        <f t="shared" ref="AP90" si="102">AH90/AL90</f>
        <v>0.13356411914634611</v>
      </c>
      <c r="AQ90" s="33">
        <f t="shared" si="67"/>
        <v>-0.35639666817993271</v>
      </c>
      <c r="AR90" s="33">
        <f t="shared" si="68"/>
        <v>-0.78306307542252263</v>
      </c>
      <c r="AS90" s="68" t="s">
        <v>131</v>
      </c>
    </row>
    <row r="91" spans="1:45" s="81" customFormat="1" ht="15.75" x14ac:dyDescent="0.25">
      <c r="A91" s="260" t="s">
        <v>53</v>
      </c>
      <c r="B91" s="260" t="s">
        <v>56</v>
      </c>
      <c r="C91" s="261">
        <f t="shared" si="69"/>
        <v>42888</v>
      </c>
      <c r="D91" s="260" t="s">
        <v>29</v>
      </c>
      <c r="E91" s="109">
        <v>8115</v>
      </c>
      <c r="F91" s="109">
        <v>2645</v>
      </c>
      <c r="G91" s="33">
        <f t="shared" si="49"/>
        <v>0.40860961638604409</v>
      </c>
      <c r="H91" s="33">
        <f t="shared" si="50"/>
        <v>2.068052930056711</v>
      </c>
      <c r="I91" s="109">
        <f>677.87+58.34</f>
        <v>736.21</v>
      </c>
      <c r="J91" s="111">
        <f>495.65+17.13</f>
        <v>512.78</v>
      </c>
      <c r="K91" s="33">
        <f t="shared" si="51"/>
        <v>3.909613131783609E-2</v>
      </c>
      <c r="L91" s="33">
        <f t="shared" si="52"/>
        <v>0.4357229221108469</v>
      </c>
      <c r="M91" s="111">
        <f t="shared" ref="M91:M133" si="103">E91/I91</f>
        <v>11.022670162046154</v>
      </c>
      <c r="N91" s="111">
        <f t="shared" ref="N91:N132" si="104">F91/J91</f>
        <v>5.1581574944420616</v>
      </c>
      <c r="O91" s="33">
        <f t="shared" si="53"/>
        <v>0.35561049062859235</v>
      </c>
      <c r="P91" s="33">
        <f t="shared" si="54"/>
        <v>1.1369394350450004</v>
      </c>
      <c r="Q91" s="112">
        <v>4015</v>
      </c>
      <c r="R91" s="112">
        <v>2618</v>
      </c>
      <c r="S91" s="33">
        <f t="shared" si="55"/>
        <v>5.9087312054866788E-2</v>
      </c>
      <c r="T91" s="33">
        <f t="shared" si="56"/>
        <v>0.53361344537815125</v>
      </c>
      <c r="U91" s="112">
        <v>80</v>
      </c>
      <c r="V91" s="112">
        <v>29</v>
      </c>
      <c r="W91" s="33">
        <f t="shared" si="57"/>
        <v>0.31147540983606559</v>
      </c>
      <c r="X91" s="33">
        <f t="shared" si="58"/>
        <v>1.7586206896551724</v>
      </c>
      <c r="Y91" s="113">
        <f t="shared" si="97"/>
        <v>1.9925280199252802E-2</v>
      </c>
      <c r="Z91" s="113">
        <f t="shared" si="97"/>
        <v>1.1077158135981665E-2</v>
      </c>
      <c r="AA91" s="33">
        <f t="shared" si="59"/>
        <v>0.23830716779290786</v>
      </c>
      <c r="AB91" s="33">
        <f t="shared" si="60"/>
        <v>0.79877184695323566</v>
      </c>
      <c r="AC91" s="114">
        <f t="shared" si="17"/>
        <v>101.4375</v>
      </c>
      <c r="AD91" s="145">
        <f t="shared" si="17"/>
        <v>91.206896551724142</v>
      </c>
      <c r="AE91" s="33">
        <f t="shared" si="61"/>
        <v>7.4064832494358662E-2</v>
      </c>
      <c r="AF91" s="33">
        <f t="shared" si="62"/>
        <v>0.1121691871455576</v>
      </c>
      <c r="AG91" s="112">
        <f>3407+133</f>
        <v>3540</v>
      </c>
      <c r="AH91" s="112">
        <f>1934+93</f>
        <v>2027</v>
      </c>
      <c r="AI91" s="33">
        <f t="shared" si="63"/>
        <v>2.1645021645021644E-2</v>
      </c>
      <c r="AJ91" s="33">
        <f t="shared" si="64"/>
        <v>0.74642328564380855</v>
      </c>
      <c r="AK91" s="112">
        <f>10925+391</f>
        <v>11316</v>
      </c>
      <c r="AL91" s="112">
        <f>5448+242</f>
        <v>5690</v>
      </c>
      <c r="AM91" s="150">
        <f t="shared" si="65"/>
        <v>1.1501371317349377E-3</v>
      </c>
      <c r="AN91" s="267">
        <f t="shared" si="66"/>
        <v>0.98875219683655535</v>
      </c>
      <c r="AO91" s="110">
        <f t="shared" si="11"/>
        <v>0.31283138918345704</v>
      </c>
      <c r="AP91" s="110">
        <f t="shared" si="11"/>
        <v>0.35623901581722323</v>
      </c>
      <c r="AQ91" s="33">
        <f t="shared" si="67"/>
        <v>2.0471339665401132E-2</v>
      </c>
      <c r="AR91" s="33">
        <f t="shared" si="68"/>
        <v>-0.1218497264657768</v>
      </c>
      <c r="AS91" s="68"/>
    </row>
    <row r="92" spans="1:45" s="81" customFormat="1" ht="15.75" x14ac:dyDescent="0.25">
      <c r="A92" s="260" t="s">
        <v>53</v>
      </c>
      <c r="B92" s="260" t="s">
        <v>56</v>
      </c>
      <c r="C92" s="261">
        <f t="shared" si="69"/>
        <v>42888</v>
      </c>
      <c r="D92" s="260" t="s">
        <v>30</v>
      </c>
      <c r="E92" s="109">
        <v>425</v>
      </c>
      <c r="F92" s="109">
        <v>338</v>
      </c>
      <c r="G92" s="33">
        <f t="shared" si="49"/>
        <v>1.4709302325581395</v>
      </c>
      <c r="H92" s="33">
        <f t="shared" si="50"/>
        <v>0.25739644970414199</v>
      </c>
      <c r="I92" s="109">
        <v>1063.25</v>
      </c>
      <c r="J92" s="111">
        <f>1534.32+0</f>
        <v>1534.32</v>
      </c>
      <c r="K92" s="33">
        <f t="shared" si="51"/>
        <v>-3.4979442543497365E-2</v>
      </c>
      <c r="L92" s="33">
        <f t="shared" si="52"/>
        <v>-0.3070220032327024</v>
      </c>
      <c r="M92" s="111">
        <f t="shared" si="103"/>
        <v>0.39971784622619327</v>
      </c>
      <c r="N92" s="111">
        <f t="shared" si="104"/>
        <v>0.22029302883362012</v>
      </c>
      <c r="O92" s="33">
        <f t="shared" si="53"/>
        <v>1.560494917404404</v>
      </c>
      <c r="P92" s="33">
        <f t="shared" si="54"/>
        <v>0.81448250243128051</v>
      </c>
      <c r="Q92" s="112">
        <v>3231</v>
      </c>
      <c r="R92" s="112">
        <v>1729</v>
      </c>
      <c r="S92" s="33">
        <f t="shared" si="55"/>
        <v>0.7752747252747253</v>
      </c>
      <c r="T92" s="33">
        <f t="shared" si="56"/>
        <v>0.86871023713128981</v>
      </c>
      <c r="U92" s="112">
        <v>5</v>
      </c>
      <c r="V92" s="112">
        <v>6</v>
      </c>
      <c r="W92" s="33">
        <f t="shared" si="57"/>
        <v>0.66666666666666663</v>
      </c>
      <c r="X92" s="33">
        <f t="shared" si="58"/>
        <v>-0.16666666666666666</v>
      </c>
      <c r="Y92" s="113">
        <f t="shared" si="97"/>
        <v>1.5475085112968121E-3</v>
      </c>
      <c r="Z92" s="113">
        <f t="shared" si="97"/>
        <v>3.470213996529786E-3</v>
      </c>
      <c r="AA92" s="33">
        <f t="shared" si="59"/>
        <v>-6.1178169813267305E-2</v>
      </c>
      <c r="AB92" s="33">
        <f t="shared" si="60"/>
        <v>-0.55405963066130193</v>
      </c>
      <c r="AC92" s="114">
        <f t="shared" si="17"/>
        <v>85</v>
      </c>
      <c r="AD92" s="145">
        <f t="shared" si="17"/>
        <v>56.333333333333336</v>
      </c>
      <c r="AE92" s="33">
        <f t="shared" si="61"/>
        <v>0.48255813953488363</v>
      </c>
      <c r="AF92" s="33">
        <f t="shared" si="62"/>
        <v>0.50887573964497035</v>
      </c>
      <c r="AG92" s="112">
        <v>814</v>
      </c>
      <c r="AH92" s="112">
        <v>1484</v>
      </c>
      <c r="AI92" s="33">
        <f t="shared" si="63"/>
        <v>-1.2135922330097087E-2</v>
      </c>
      <c r="AJ92" s="33">
        <f t="shared" si="64"/>
        <v>-0.45148247978436656</v>
      </c>
      <c r="AK92" s="112">
        <v>12483</v>
      </c>
      <c r="AL92" s="112">
        <v>20597</v>
      </c>
      <c r="AM92" s="150">
        <f t="shared" si="65"/>
        <v>-0.16596512327119664</v>
      </c>
      <c r="AN92" s="267">
        <f t="shared" si="66"/>
        <v>-0.39394086517453997</v>
      </c>
      <c r="AO92" s="110">
        <f t="shared" si="11"/>
        <v>6.5208683809981571E-2</v>
      </c>
      <c r="AP92" s="110">
        <f t="shared" si="11"/>
        <v>7.2049327571976504E-2</v>
      </c>
      <c r="AQ92" s="33">
        <f t="shared" si="67"/>
        <v>0.18443977012620652</v>
      </c>
      <c r="AR92" s="33">
        <f t="shared" si="68"/>
        <v>-9.494389458612508E-2</v>
      </c>
      <c r="AS92" s="68"/>
    </row>
    <row r="93" spans="1:45" s="81" customFormat="1" ht="15.75" x14ac:dyDescent="0.25">
      <c r="A93" s="260" t="s">
        <v>53</v>
      </c>
      <c r="B93" s="260" t="s">
        <v>56</v>
      </c>
      <c r="C93" s="261">
        <f t="shared" si="69"/>
        <v>42888</v>
      </c>
      <c r="D93" s="260" t="s">
        <v>228</v>
      </c>
      <c r="E93" s="109">
        <v>465</v>
      </c>
      <c r="F93" s="109"/>
      <c r="G93" s="33">
        <f t="shared" si="49"/>
        <v>0.16250000000000001</v>
      </c>
      <c r="H93" s="33" t="e">
        <f t="shared" si="50"/>
        <v>#DIV/0!</v>
      </c>
      <c r="I93" s="109">
        <v>2387</v>
      </c>
      <c r="J93" s="111"/>
      <c r="K93" s="33">
        <f t="shared" si="51"/>
        <v>2.1121251629726205</v>
      </c>
      <c r="L93" s="33" t="e">
        <f t="shared" si="52"/>
        <v>#DIV/0!</v>
      </c>
      <c r="M93" s="111">
        <f t="shared" si="103"/>
        <v>0.19480519480519481</v>
      </c>
      <c r="N93" s="111"/>
      <c r="O93" s="33">
        <f t="shared" si="53"/>
        <v>-0.626461038961039</v>
      </c>
      <c r="P93" s="33" t="e">
        <f t="shared" si="54"/>
        <v>#DIV/0!</v>
      </c>
      <c r="Q93" s="112">
        <v>2640</v>
      </c>
      <c r="R93" s="112"/>
      <c r="S93" s="33">
        <f t="shared" si="55"/>
        <v>1.6774847870182557</v>
      </c>
      <c r="T93" s="33" t="e">
        <f t="shared" si="56"/>
        <v>#DIV/0!</v>
      </c>
      <c r="U93" s="112">
        <v>8</v>
      </c>
      <c r="V93" s="112"/>
      <c r="W93" s="33">
        <f t="shared" si="57"/>
        <v>0.33333333333333331</v>
      </c>
      <c r="X93" s="33" t="e">
        <f t="shared" si="58"/>
        <v>#DIV/0!</v>
      </c>
      <c r="Y93" s="113">
        <f t="shared" si="97"/>
        <v>3.0303030303030303E-3</v>
      </c>
      <c r="Z93" s="113"/>
      <c r="AA93" s="33">
        <f t="shared" si="59"/>
        <v>-0.50202020202020203</v>
      </c>
      <c r="AB93" s="33" t="e">
        <f t="shared" si="60"/>
        <v>#DIV/0!</v>
      </c>
      <c r="AC93" s="114">
        <f t="shared" ref="AC93:AC94" si="105">E93/U93</f>
        <v>58.125</v>
      </c>
      <c r="AD93" s="145"/>
      <c r="AE93" s="33">
        <f t="shared" si="61"/>
        <v>-0.12812500000000007</v>
      </c>
      <c r="AF93" s="33" t="e">
        <f t="shared" si="62"/>
        <v>#DIV/0!</v>
      </c>
      <c r="AG93" s="112">
        <v>3591</v>
      </c>
      <c r="AH93" s="112"/>
      <c r="AI93" s="33">
        <f t="shared" si="63"/>
        <v>1.7225170583775589</v>
      </c>
      <c r="AJ93" s="33" t="e">
        <f t="shared" si="64"/>
        <v>#DIV/0!</v>
      </c>
      <c r="AK93" s="112">
        <v>250403</v>
      </c>
      <c r="AL93" s="112"/>
      <c r="AM93" s="150">
        <f t="shared" si="65"/>
        <v>1.5474124337467063</v>
      </c>
      <c r="AN93" s="267" t="e">
        <f t="shared" si="66"/>
        <v>#DIV/0!</v>
      </c>
      <c r="AO93" s="110">
        <f t="shared" si="11"/>
        <v>1.4340882497414168E-2</v>
      </c>
      <c r="AP93" s="110"/>
      <c r="AQ93" s="33">
        <f t="shared" si="67"/>
        <v>6.873823112078889E-2</v>
      </c>
      <c r="AR93" s="33" t="e">
        <f t="shared" si="68"/>
        <v>#DIV/0!</v>
      </c>
      <c r="AS93" s="68"/>
    </row>
    <row r="94" spans="1:45" s="81" customFormat="1" ht="15.75" customHeight="1" x14ac:dyDescent="0.3">
      <c r="A94" s="29" t="s">
        <v>53</v>
      </c>
      <c r="B94" s="29" t="s">
        <v>57</v>
      </c>
      <c r="C94" s="30">
        <f t="shared" si="69"/>
        <v>42895</v>
      </c>
      <c r="D94" s="31" t="s">
        <v>28</v>
      </c>
      <c r="E94" s="32">
        <f>SUM(E95:E97)</f>
        <v>18672</v>
      </c>
      <c r="F94" s="32">
        <f>SUM(F95:F97)</f>
        <v>2586</v>
      </c>
      <c r="G94" s="33">
        <f t="shared" ref="G94" si="106">(E94-E90)/E90</f>
        <v>1.0735147140477512</v>
      </c>
      <c r="H94" s="33">
        <f t="shared" ref="H94" si="107">(E94-F94)/F94</f>
        <v>6.2204176334106727</v>
      </c>
      <c r="I94" s="32">
        <f>SUM(I95:I97)</f>
        <v>6467.92</v>
      </c>
      <c r="J94" s="32">
        <f>SUM(J95:J97)</f>
        <v>2584.19</v>
      </c>
      <c r="K94" s="33">
        <f t="shared" ref="K94" si="108">(I94-I90)/I90</f>
        <v>0.54496161434720503</v>
      </c>
      <c r="L94" s="33">
        <f t="shared" ref="L94" si="109">(I94-J94)/J94</f>
        <v>1.5028809801136913</v>
      </c>
      <c r="M94" s="34">
        <f t="shared" si="103"/>
        <v>2.8868631646649927</v>
      </c>
      <c r="N94" s="34">
        <f t="shared" ref="N94" si="110">F94/J94</f>
        <v>1.0007004128953367</v>
      </c>
      <c r="O94" s="33">
        <f t="shared" ref="O94" si="111">(M94-M90)/M90</f>
        <v>0.34211406600148858</v>
      </c>
      <c r="P94" s="33">
        <f t="shared" ref="P94" si="112">(M94-N94)/N94</f>
        <v>1.8848425837183398</v>
      </c>
      <c r="Q94" s="35">
        <f>SUM(Q95:Q97)</f>
        <v>14168</v>
      </c>
      <c r="R94" s="35">
        <f>SUM(R95:R97)</f>
        <v>4816</v>
      </c>
      <c r="S94" s="33">
        <f t="shared" ref="S94" si="113">(Q94-Q90)/Q90</f>
        <v>0.43313777058466518</v>
      </c>
      <c r="T94" s="33">
        <f t="shared" ref="T94" si="114">(Q94-R94)/R94</f>
        <v>1.941860465116279</v>
      </c>
      <c r="U94" s="35">
        <f>SUM(U95:U97)</f>
        <v>151</v>
      </c>
      <c r="V94" s="35">
        <f>SUM(V95:V97)</f>
        <v>22</v>
      </c>
      <c r="W94" s="33">
        <f t="shared" ref="W94" si="115">(U94-U90)/U90</f>
        <v>0.62365591397849462</v>
      </c>
      <c r="X94" s="33">
        <f t="shared" ref="X94" si="116">(U94-V94)/V94</f>
        <v>5.8636363636363633</v>
      </c>
      <c r="Y94" s="88">
        <f t="shared" ref="Y94" si="117">U94/Q94</f>
        <v>1.0657820440429136E-2</v>
      </c>
      <c r="Z94" s="88">
        <f t="shared" ref="Z94" si="118">V94/R94</f>
        <v>4.5681063122923592E-3</v>
      </c>
      <c r="AA94" s="33">
        <f t="shared" ref="AA94" si="119">(Y94-Y90)/Y90</f>
        <v>0.13293777283959618</v>
      </c>
      <c r="AB94" s="33">
        <f t="shared" ref="AB94" si="120">(Y94-Z94)/Z94</f>
        <v>1.3330937836866688</v>
      </c>
      <c r="AC94" s="97">
        <f t="shared" si="105"/>
        <v>123.65562913907284</v>
      </c>
      <c r="AD94" s="145">
        <f t="shared" ref="AD94" si="121">F94/V94</f>
        <v>117.54545454545455</v>
      </c>
      <c r="AE94" s="33">
        <f t="shared" ref="AE94" si="122">(AC94-AC90)/AC90</f>
        <v>0.27706535368503882</v>
      </c>
      <c r="AF94" s="33">
        <f t="shared" ref="AF94" si="123">(AC94-AD94)/AD94</f>
        <v>5.1981377053210563E-2</v>
      </c>
      <c r="AG94" s="35">
        <f>SUM(AG95:AG97)</f>
        <v>11582</v>
      </c>
      <c r="AH94" s="35">
        <f>SUM(AH95:AH97)</f>
        <v>3804</v>
      </c>
      <c r="AI94" s="33">
        <f t="shared" ref="AI94" si="124">(AG94-AG90)/AG90</f>
        <v>0.4577721837633732</v>
      </c>
      <c r="AJ94" s="33">
        <f t="shared" ref="AJ94" si="125">(AG94-AH94)/AH94</f>
        <v>2.0446898002103051</v>
      </c>
      <c r="AK94" s="35">
        <f>SUM(AK95:AK97)</f>
        <v>459216</v>
      </c>
      <c r="AL94" s="35">
        <f>SUM(AL95:AL97)</f>
        <v>32138</v>
      </c>
      <c r="AM94" s="150">
        <f t="shared" ref="AM94" si="126">(AK94-AK90)/AK90</f>
        <v>0.67473614342710853</v>
      </c>
      <c r="AN94" s="267">
        <f t="shared" ref="AN94" si="127">(AK94-AL94)/AL94</f>
        <v>13.288879208413716</v>
      </c>
      <c r="AO94" s="33">
        <f t="shared" ref="AO94" si="128">AG94/AK94</f>
        <v>2.5221246646458313E-2</v>
      </c>
      <c r="AP94" s="33">
        <f t="shared" ref="AP94" si="129">AH94/AL94</f>
        <v>0.11836455286576639</v>
      </c>
      <c r="AQ94" s="33">
        <f t="shared" ref="AQ94" si="130">(AO94-AO90)/AO90</f>
        <v>-0.12955112989903553</v>
      </c>
      <c r="AR94" s="33">
        <f t="shared" ref="AR94" si="131">(AO94-AP94)/AP94</f>
        <v>-0.7869189209453531</v>
      </c>
      <c r="AS94" s="68" t="s">
        <v>227</v>
      </c>
    </row>
    <row r="95" spans="1:45" s="81" customFormat="1" ht="15.75" x14ac:dyDescent="0.25">
      <c r="A95" s="260" t="s">
        <v>53</v>
      </c>
      <c r="B95" s="260" t="s">
        <v>57</v>
      </c>
      <c r="C95" s="261">
        <f t="shared" si="69"/>
        <v>42895</v>
      </c>
      <c r="D95" s="260" t="s">
        <v>29</v>
      </c>
      <c r="E95" s="109">
        <v>16481</v>
      </c>
      <c r="F95" s="109">
        <v>2218</v>
      </c>
      <c r="G95" s="33">
        <f t="shared" si="49"/>
        <v>1.0309303758471966</v>
      </c>
      <c r="H95" s="33">
        <f t="shared" si="50"/>
        <v>6.430568079350766</v>
      </c>
      <c r="I95" s="109">
        <f>657.58+94.06</f>
        <v>751.6400000000001</v>
      </c>
      <c r="J95" s="111">
        <f>504.73+12.59</f>
        <v>517.32000000000005</v>
      </c>
      <c r="K95" s="33">
        <f t="shared" si="51"/>
        <v>2.0958693850939354E-2</v>
      </c>
      <c r="L95" s="33">
        <f t="shared" si="52"/>
        <v>0.45294981829428599</v>
      </c>
      <c r="M95" s="111">
        <f t="shared" si="103"/>
        <v>21.926720238412003</v>
      </c>
      <c r="N95" s="111">
        <f t="shared" si="104"/>
        <v>4.2874816361246424</v>
      </c>
      <c r="O95" s="33">
        <f t="shared" si="53"/>
        <v>0.9892385344080471</v>
      </c>
      <c r="P95" s="33">
        <f t="shared" si="54"/>
        <v>4.1141257501060853</v>
      </c>
      <c r="Q95" s="112">
        <v>4311</v>
      </c>
      <c r="R95" s="112">
        <v>2312</v>
      </c>
      <c r="S95" s="33">
        <f t="shared" si="55"/>
        <v>7.3723536737235362E-2</v>
      </c>
      <c r="T95" s="33">
        <f t="shared" si="56"/>
        <v>0.86461937716262971</v>
      </c>
      <c r="U95" s="112">
        <v>120</v>
      </c>
      <c r="V95" s="112">
        <v>19</v>
      </c>
      <c r="W95" s="33">
        <f t="shared" si="57"/>
        <v>0.5</v>
      </c>
      <c r="X95" s="33">
        <f t="shared" si="58"/>
        <v>5.3157894736842106</v>
      </c>
      <c r="Y95" s="113">
        <f t="shared" si="97"/>
        <v>2.7835768963117607E-2</v>
      </c>
      <c r="Z95" s="113">
        <f t="shared" si="97"/>
        <v>8.2179930795847744E-3</v>
      </c>
      <c r="AA95" s="33">
        <f t="shared" si="59"/>
        <v>0.39700765483646488</v>
      </c>
      <c r="AB95" s="33">
        <f t="shared" si="60"/>
        <v>2.3871735706698902</v>
      </c>
      <c r="AC95" s="114">
        <f t="shared" si="17"/>
        <v>137.34166666666667</v>
      </c>
      <c r="AD95" s="145">
        <f t="shared" si="17"/>
        <v>116.73684210526316</v>
      </c>
      <c r="AE95" s="33">
        <f t="shared" si="61"/>
        <v>0.35395358389813103</v>
      </c>
      <c r="AF95" s="33">
        <f t="shared" si="62"/>
        <v>0.17650661256387129</v>
      </c>
      <c r="AG95" s="112">
        <f>3419+162</f>
        <v>3581</v>
      </c>
      <c r="AH95" s="112">
        <f>1763+83</f>
        <v>1846</v>
      </c>
      <c r="AI95" s="33">
        <f t="shared" si="63"/>
        <v>1.1581920903954802E-2</v>
      </c>
      <c r="AJ95" s="33">
        <f t="shared" si="64"/>
        <v>0.93986998916576381</v>
      </c>
      <c r="AK95" s="112">
        <f>10783+456</f>
        <v>11239</v>
      </c>
      <c r="AL95" s="112">
        <f>5047+229</f>
        <v>5276</v>
      </c>
      <c r="AM95" s="150">
        <f t="shared" si="65"/>
        <v>-6.8045245669848004E-3</v>
      </c>
      <c r="AN95" s="267">
        <f t="shared" si="66"/>
        <v>1.1302122820318423</v>
      </c>
      <c r="AO95" s="110">
        <f t="shared" si="11"/>
        <v>0.31862265326096628</v>
      </c>
      <c r="AP95" s="110">
        <f t="shared" si="11"/>
        <v>0.3498862774829416</v>
      </c>
      <c r="AQ95" s="33">
        <f t="shared" si="67"/>
        <v>1.8512413644376995E-2</v>
      </c>
      <c r="AR95" s="33">
        <f t="shared" si="68"/>
        <v>-8.9353673561831951E-2</v>
      </c>
      <c r="AS95" s="68"/>
    </row>
    <row r="96" spans="1:45" s="81" customFormat="1" ht="15.75" x14ac:dyDescent="0.25">
      <c r="A96" s="260" t="s">
        <v>53</v>
      </c>
      <c r="B96" s="260" t="s">
        <v>57</v>
      </c>
      <c r="C96" s="261">
        <f t="shared" si="69"/>
        <v>42895</v>
      </c>
      <c r="D96" s="260" t="s">
        <v>30</v>
      </c>
      <c r="E96" s="109">
        <v>592</v>
      </c>
      <c r="F96" s="109">
        <v>368</v>
      </c>
      <c r="G96" s="33">
        <f t="shared" si="49"/>
        <v>0.39294117647058824</v>
      </c>
      <c r="H96" s="33">
        <f t="shared" si="50"/>
        <v>0.60869565217391308</v>
      </c>
      <c r="I96" s="109">
        <v>1089.28</v>
      </c>
      <c r="J96" s="111">
        <f>2066.87+0</f>
        <v>2066.87</v>
      </c>
      <c r="K96" s="33">
        <f t="shared" si="51"/>
        <v>2.4481542440630118E-2</v>
      </c>
      <c r="L96" s="33">
        <f t="shared" si="52"/>
        <v>-0.47298088413881856</v>
      </c>
      <c r="M96" s="111">
        <f t="shared" si="103"/>
        <v>0.54347826086956519</v>
      </c>
      <c r="N96" s="111">
        <f t="shared" si="104"/>
        <v>0.17804699860175049</v>
      </c>
      <c r="O96" s="33">
        <f t="shared" si="53"/>
        <v>0.35965473145780047</v>
      </c>
      <c r="P96" s="33">
        <f t="shared" si="54"/>
        <v>2.0524426984877122</v>
      </c>
      <c r="Q96" s="112">
        <v>3752</v>
      </c>
      <c r="R96" s="112">
        <v>2504</v>
      </c>
      <c r="S96" s="33">
        <f t="shared" si="55"/>
        <v>0.16125038687712781</v>
      </c>
      <c r="T96" s="33">
        <f t="shared" si="56"/>
        <v>0.49840255591054311</v>
      </c>
      <c r="U96" s="112">
        <v>8</v>
      </c>
      <c r="V96" s="112">
        <v>3</v>
      </c>
      <c r="W96" s="33">
        <f t="shared" si="57"/>
        <v>0.6</v>
      </c>
      <c r="X96" s="33">
        <f t="shared" si="58"/>
        <v>1.6666666666666667</v>
      </c>
      <c r="Y96" s="113">
        <f t="shared" si="97"/>
        <v>2.1321961620469083E-3</v>
      </c>
      <c r="Z96" s="113">
        <f t="shared" si="97"/>
        <v>1.1980830670926517E-3</v>
      </c>
      <c r="AA96" s="33">
        <f t="shared" si="59"/>
        <v>0.37782515991471211</v>
      </c>
      <c r="AB96" s="33">
        <f t="shared" si="60"/>
        <v>0.77967306325515284</v>
      </c>
      <c r="AC96" s="114">
        <f t="shared" si="17"/>
        <v>74</v>
      </c>
      <c r="AD96" s="145">
        <f t="shared" si="17"/>
        <v>122.66666666666667</v>
      </c>
      <c r="AE96" s="33">
        <f t="shared" si="61"/>
        <v>-0.12941176470588237</v>
      </c>
      <c r="AF96" s="33">
        <f t="shared" si="62"/>
        <v>-0.39673913043478265</v>
      </c>
      <c r="AG96" s="112">
        <v>856</v>
      </c>
      <c r="AH96" s="112">
        <v>1958</v>
      </c>
      <c r="AI96" s="33">
        <f t="shared" si="63"/>
        <v>5.1597051597051594E-2</v>
      </c>
      <c r="AJ96" s="33">
        <f t="shared" si="64"/>
        <v>-0.56281920326864143</v>
      </c>
      <c r="AK96" s="112">
        <v>14333</v>
      </c>
      <c r="AL96" s="112">
        <v>26862</v>
      </c>
      <c r="AM96" s="150">
        <f t="shared" si="65"/>
        <v>0.14820155411359448</v>
      </c>
      <c r="AN96" s="267">
        <f t="shared" si="66"/>
        <v>-0.46642096642096642</v>
      </c>
      <c r="AO96" s="110">
        <f t="shared" si="11"/>
        <v>5.9722319123700553E-2</v>
      </c>
      <c r="AP96" s="110">
        <f t="shared" si="11"/>
        <v>7.2891072891072897E-2</v>
      </c>
      <c r="AQ96" s="33">
        <f t="shared" si="67"/>
        <v>-8.4135491865904133E-2</v>
      </c>
      <c r="AR96" s="33">
        <f t="shared" si="68"/>
        <v>-0.18066346460631047</v>
      </c>
      <c r="AS96" s="68"/>
    </row>
    <row r="97" spans="1:45" s="81" customFormat="1" ht="15.75" x14ac:dyDescent="0.25">
      <c r="A97" s="260" t="s">
        <v>53</v>
      </c>
      <c r="B97" s="260" t="s">
        <v>57</v>
      </c>
      <c r="C97" s="261">
        <f t="shared" si="69"/>
        <v>42895</v>
      </c>
      <c r="D97" s="260" t="s">
        <v>228</v>
      </c>
      <c r="E97" s="109">
        <v>1599</v>
      </c>
      <c r="F97" s="109"/>
      <c r="G97" s="33">
        <f t="shared" si="49"/>
        <v>2.4387096774193546</v>
      </c>
      <c r="H97" s="33" t="e">
        <f t="shared" si="50"/>
        <v>#DIV/0!</v>
      </c>
      <c r="I97" s="109">
        <v>4627</v>
      </c>
      <c r="J97" s="111"/>
      <c r="K97" s="33">
        <f t="shared" si="51"/>
        <v>0.93841642228739008</v>
      </c>
      <c r="L97" s="33" t="e">
        <f t="shared" si="52"/>
        <v>#DIV/0!</v>
      </c>
      <c r="M97" s="111">
        <f t="shared" si="103"/>
        <v>0.34558028960449533</v>
      </c>
      <c r="N97" s="111"/>
      <c r="O97" s="33">
        <f t="shared" si="53"/>
        <v>0.7739788199697426</v>
      </c>
      <c r="P97" s="33" t="e">
        <f t="shared" si="54"/>
        <v>#DIV/0!</v>
      </c>
      <c r="Q97" s="112">
        <v>6105</v>
      </c>
      <c r="R97" s="112"/>
      <c r="S97" s="33">
        <f t="shared" si="55"/>
        <v>1.3125</v>
      </c>
      <c r="T97" s="33" t="e">
        <f t="shared" si="56"/>
        <v>#DIV/0!</v>
      </c>
      <c r="U97" s="112">
        <v>23</v>
      </c>
      <c r="V97" s="112"/>
      <c r="W97" s="33">
        <f t="shared" si="57"/>
        <v>1.875</v>
      </c>
      <c r="X97" s="33" t="e">
        <f t="shared" si="58"/>
        <v>#DIV/0!</v>
      </c>
      <c r="Y97" s="113">
        <f t="shared" si="97"/>
        <v>3.7674037674037676E-3</v>
      </c>
      <c r="Z97" s="113"/>
      <c r="AA97" s="33">
        <f t="shared" si="59"/>
        <v>0.24324324324324331</v>
      </c>
      <c r="AB97" s="33" t="e">
        <f t="shared" si="60"/>
        <v>#DIV/0!</v>
      </c>
      <c r="AC97" s="114">
        <f t="shared" ref="AC97:AC98" si="132">E97/U97</f>
        <v>69.521739130434781</v>
      </c>
      <c r="AD97" s="145"/>
      <c r="AE97" s="33">
        <f t="shared" si="61"/>
        <v>0.19607293127629732</v>
      </c>
      <c r="AF97" s="33" t="e">
        <f t="shared" si="62"/>
        <v>#DIV/0!</v>
      </c>
      <c r="AG97" s="112">
        <v>7145</v>
      </c>
      <c r="AH97" s="112"/>
      <c r="AI97" s="33">
        <f t="shared" si="63"/>
        <v>0.98969646338067385</v>
      </c>
      <c r="AJ97" s="33" t="e">
        <f t="shared" si="64"/>
        <v>#DIV/0!</v>
      </c>
      <c r="AK97" s="112">
        <v>433644</v>
      </c>
      <c r="AL97" s="112"/>
      <c r="AM97" s="150">
        <f t="shared" si="65"/>
        <v>0.73178436360586729</v>
      </c>
      <c r="AN97" s="267" t="e">
        <f t="shared" si="66"/>
        <v>#DIV/0!</v>
      </c>
      <c r="AO97" s="110">
        <f t="shared" si="11"/>
        <v>1.6476649048528285E-2</v>
      </c>
      <c r="AP97" s="110"/>
      <c r="AQ97" s="33">
        <f t="shared" si="67"/>
        <v>0.14892853013050075</v>
      </c>
      <c r="AR97" s="33" t="e">
        <f t="shared" si="68"/>
        <v>#DIV/0!</v>
      </c>
      <c r="AS97" s="68"/>
    </row>
    <row r="98" spans="1:45" s="108" customFormat="1" ht="15.75" customHeight="1" x14ac:dyDescent="0.3">
      <c r="A98" s="272" t="s">
        <v>58</v>
      </c>
      <c r="B98" s="272" t="s">
        <v>59</v>
      </c>
      <c r="C98" s="273">
        <f t="shared" si="69"/>
        <v>42902</v>
      </c>
      <c r="D98" s="274" t="s">
        <v>28</v>
      </c>
      <c r="E98" s="115">
        <f>SUM(E99:E101)</f>
        <v>9576</v>
      </c>
      <c r="F98" s="115">
        <f>SUM(F99:F101)</f>
        <v>1552</v>
      </c>
      <c r="G98" s="116">
        <f t="shared" si="49"/>
        <v>-0.48714652956298199</v>
      </c>
      <c r="H98" s="116">
        <f t="shared" si="50"/>
        <v>5.1701030927835054</v>
      </c>
      <c r="I98" s="115">
        <f>SUM(I99:I101)</f>
        <v>3107.51</v>
      </c>
      <c r="J98" s="115">
        <f>SUM(J99:J101)</f>
        <v>2245.65</v>
      </c>
      <c r="K98" s="116">
        <f t="shared" si="51"/>
        <v>-0.51955033457432986</v>
      </c>
      <c r="L98" s="116">
        <f t="shared" si="52"/>
        <v>0.38379088459911387</v>
      </c>
      <c r="M98" s="117">
        <f t="shared" ref="M98" si="133">E98/I98</f>
        <v>3.0815669137026105</v>
      </c>
      <c r="N98" s="117">
        <f t="shared" ref="N98" si="134">F98/J98</f>
        <v>0.69111393137844279</v>
      </c>
      <c r="O98" s="116">
        <f t="shared" si="53"/>
        <v>6.7444744669847304E-2</v>
      </c>
      <c r="P98" s="116">
        <f t="shared" si="54"/>
        <v>3.4588406828326459</v>
      </c>
      <c r="Q98" s="118">
        <f>SUM(Q99:Q101)</f>
        <v>8398</v>
      </c>
      <c r="R98" s="118">
        <f>SUM(R99:R101)</f>
        <v>4161</v>
      </c>
      <c r="S98" s="116">
        <f t="shared" si="55"/>
        <v>-0.4072557876905703</v>
      </c>
      <c r="T98" s="116">
        <f t="shared" si="56"/>
        <v>1.0182648401826484</v>
      </c>
      <c r="U98" s="118">
        <f>SUM(U99:U101)</f>
        <v>92</v>
      </c>
      <c r="V98" s="118">
        <f>SUM(V99:V101)</f>
        <v>17</v>
      </c>
      <c r="W98" s="116">
        <f t="shared" si="57"/>
        <v>-0.39072847682119205</v>
      </c>
      <c r="X98" s="116">
        <f t="shared" si="58"/>
        <v>4.4117647058823533</v>
      </c>
      <c r="Y98" s="119">
        <f t="shared" si="97"/>
        <v>1.0954989283162658E-2</v>
      </c>
      <c r="Z98" s="119">
        <f t="shared" ref="Z98" si="135">V98/R98</f>
        <v>4.085556356645037E-3</v>
      </c>
      <c r="AA98" s="116">
        <f t="shared" si="59"/>
        <v>2.788270307184466E-2</v>
      </c>
      <c r="AB98" s="116">
        <f t="shared" si="60"/>
        <v>1.6813947298376366</v>
      </c>
      <c r="AC98" s="120">
        <f t="shared" si="132"/>
        <v>104.08695652173913</v>
      </c>
      <c r="AD98" s="275">
        <f t="shared" ref="AD98" si="136">F98/V98</f>
        <v>91.294117647058826</v>
      </c>
      <c r="AE98" s="116">
        <f t="shared" si="61"/>
        <v>-0.15825136917402483</v>
      </c>
      <c r="AF98" s="116">
        <f t="shared" si="62"/>
        <v>0.1401277454056476</v>
      </c>
      <c r="AG98" s="118">
        <f>SUM(AG99:AG101)</f>
        <v>6234</v>
      </c>
      <c r="AH98" s="118">
        <f>SUM(AH99:AH101)</f>
        <v>3197</v>
      </c>
      <c r="AI98" s="116">
        <f t="shared" si="63"/>
        <v>-0.46175099292004834</v>
      </c>
      <c r="AJ98" s="116">
        <f t="shared" si="64"/>
        <v>0.94995308101345011</v>
      </c>
      <c r="AK98" s="118">
        <f>SUM(AK99:AK101)</f>
        <v>171765</v>
      </c>
      <c r="AL98" s="118">
        <f>SUM(AL99:AL101)</f>
        <v>28702</v>
      </c>
      <c r="AM98" s="276">
        <f t="shared" si="65"/>
        <v>-0.62596033239259952</v>
      </c>
      <c r="AN98" s="277">
        <f t="shared" si="66"/>
        <v>4.9844261723921681</v>
      </c>
      <c r="AO98" s="116">
        <f t="shared" si="11"/>
        <v>3.6293773469565978E-2</v>
      </c>
      <c r="AP98" s="116">
        <f t="shared" ref="AP98" si="137">AH98/AL98</f>
        <v>0.11138596613476413</v>
      </c>
      <c r="AQ98" s="116">
        <f t="shared" si="67"/>
        <v>0.43901584161631918</v>
      </c>
      <c r="AR98" s="116">
        <f t="shared" si="68"/>
        <v>-0.67416206252002409</v>
      </c>
      <c r="AS98" s="106" t="s">
        <v>230</v>
      </c>
    </row>
    <row r="99" spans="1:45" s="81" customFormat="1" ht="15.75" x14ac:dyDescent="0.25">
      <c r="A99" s="260" t="s">
        <v>58</v>
      </c>
      <c r="B99" s="260" t="s">
        <v>59</v>
      </c>
      <c r="C99" s="261">
        <f t="shared" si="69"/>
        <v>42902</v>
      </c>
      <c r="D99" s="260" t="s">
        <v>29</v>
      </c>
      <c r="E99" s="109">
        <v>8213</v>
      </c>
      <c r="F99" s="109">
        <v>1416</v>
      </c>
      <c r="G99" s="33">
        <f t="shared" si="49"/>
        <v>-0.50166858807111214</v>
      </c>
      <c r="H99" s="33">
        <f t="shared" si="50"/>
        <v>4.8001412429378529</v>
      </c>
      <c r="I99" s="109">
        <f>544.45+83.55</f>
        <v>628</v>
      </c>
      <c r="J99" s="111">
        <f>367.67+15.79</f>
        <v>383.46000000000004</v>
      </c>
      <c r="K99" s="33">
        <f t="shared" si="51"/>
        <v>-0.16449364057261467</v>
      </c>
      <c r="L99" s="33">
        <f t="shared" si="52"/>
        <v>0.63771971000886651</v>
      </c>
      <c r="M99" s="111">
        <f t="shared" si="103"/>
        <v>13.078025477707007</v>
      </c>
      <c r="N99" s="111">
        <f t="shared" si="104"/>
        <v>3.6926928493193549</v>
      </c>
      <c r="O99" s="33">
        <f t="shared" si="53"/>
        <v>-0.40355760754422088</v>
      </c>
      <c r="P99" s="33">
        <f t="shared" si="54"/>
        <v>2.5415957977976902</v>
      </c>
      <c r="Q99" s="112">
        <v>3569</v>
      </c>
      <c r="R99" s="112">
        <v>1895</v>
      </c>
      <c r="S99" s="33">
        <f t="shared" si="55"/>
        <v>-0.17211783808861053</v>
      </c>
      <c r="T99" s="33">
        <f t="shared" si="56"/>
        <v>0.88337730870712405</v>
      </c>
      <c r="U99" s="112">
        <v>78</v>
      </c>
      <c r="V99" s="112">
        <v>15</v>
      </c>
      <c r="W99" s="33">
        <f t="shared" si="57"/>
        <v>-0.35</v>
      </c>
      <c r="X99" s="33">
        <f t="shared" si="58"/>
        <v>4.2</v>
      </c>
      <c r="Y99" s="113">
        <f t="shared" si="97"/>
        <v>2.1854861305687867E-2</v>
      </c>
      <c r="Z99" s="113">
        <f t="shared" si="97"/>
        <v>7.9155672823219003E-3</v>
      </c>
      <c r="AA99" s="33">
        <f t="shared" si="59"/>
        <v>-0.21486410759316341</v>
      </c>
      <c r="AB99" s="33">
        <f t="shared" si="60"/>
        <v>1.7609974782852336</v>
      </c>
      <c r="AC99" s="114">
        <f t="shared" si="17"/>
        <v>105.2948717948718</v>
      </c>
      <c r="AD99" s="145">
        <f t="shared" si="17"/>
        <v>94.4</v>
      </c>
      <c r="AE99" s="33">
        <f t="shared" si="61"/>
        <v>-0.23333628934017261</v>
      </c>
      <c r="AF99" s="33">
        <f t="shared" si="62"/>
        <v>0.11541177748804861</v>
      </c>
      <c r="AG99" s="112">
        <f>2583+143</f>
        <v>2726</v>
      </c>
      <c r="AH99" s="112">
        <f>1420+92</f>
        <v>1512</v>
      </c>
      <c r="AI99" s="33">
        <f t="shared" si="63"/>
        <v>-0.2387601228707065</v>
      </c>
      <c r="AJ99" s="33">
        <f t="shared" si="64"/>
        <v>0.80291005291005291</v>
      </c>
      <c r="AK99" s="112">
        <f>9390+406</f>
        <v>9796</v>
      </c>
      <c r="AL99" s="112">
        <f>3972+225</f>
        <v>4197</v>
      </c>
      <c r="AM99" s="150">
        <f t="shared" si="65"/>
        <v>-0.12839220571225199</v>
      </c>
      <c r="AN99" s="267">
        <f t="shared" si="66"/>
        <v>1.3340481296163926</v>
      </c>
      <c r="AO99" s="110">
        <f t="shared" si="11"/>
        <v>0.27827684769293587</v>
      </c>
      <c r="AP99" s="110">
        <f t="shared" si="11"/>
        <v>0.36025732666190136</v>
      </c>
      <c r="AQ99" s="33">
        <f t="shared" si="67"/>
        <v>-0.12662566567413958</v>
      </c>
      <c r="AR99" s="33">
        <f t="shared" si="68"/>
        <v>-0.22756089301107682</v>
      </c>
      <c r="AS99" s="68"/>
    </row>
    <row r="100" spans="1:45" s="81" customFormat="1" ht="15.75" x14ac:dyDescent="0.25">
      <c r="A100" s="260" t="s">
        <v>58</v>
      </c>
      <c r="B100" s="260" t="s">
        <v>59</v>
      </c>
      <c r="C100" s="261">
        <f t="shared" si="69"/>
        <v>42902</v>
      </c>
      <c r="D100" s="260" t="s">
        <v>30</v>
      </c>
      <c r="E100" s="109">
        <v>786</v>
      </c>
      <c r="F100" s="109">
        <v>136</v>
      </c>
      <c r="G100" s="33">
        <f t="shared" si="49"/>
        <v>0.32770270270270269</v>
      </c>
      <c r="H100" s="33">
        <f t="shared" si="50"/>
        <v>4.7794117647058822</v>
      </c>
      <c r="I100" s="109">
        <v>1169.51</v>
      </c>
      <c r="J100" s="111">
        <f>1862.19+0</f>
        <v>1862.19</v>
      </c>
      <c r="K100" s="33">
        <f t="shared" si="51"/>
        <v>7.3654156874265589E-2</v>
      </c>
      <c r="L100" s="33">
        <f t="shared" si="52"/>
        <v>-0.37197063672342784</v>
      </c>
      <c r="M100" s="111">
        <f t="shared" si="103"/>
        <v>0.67207633966361979</v>
      </c>
      <c r="N100" s="111">
        <f t="shared" si="104"/>
        <v>7.3032289938191053E-2</v>
      </c>
      <c r="O100" s="33">
        <f t="shared" si="53"/>
        <v>0.23662046498106049</v>
      </c>
      <c r="P100" s="33">
        <f t="shared" si="54"/>
        <v>8.2024546982220308</v>
      </c>
      <c r="Q100" s="112">
        <v>2153</v>
      </c>
      <c r="R100" s="112">
        <v>2266</v>
      </c>
      <c r="S100" s="33">
        <f t="shared" si="55"/>
        <v>-0.42617270788912581</v>
      </c>
      <c r="T100" s="33">
        <f t="shared" si="56"/>
        <v>-4.9867608120035302E-2</v>
      </c>
      <c r="U100" s="112">
        <v>6</v>
      </c>
      <c r="V100" s="112">
        <v>2</v>
      </c>
      <c r="W100" s="33">
        <f t="shared" si="57"/>
        <v>-0.25</v>
      </c>
      <c r="X100" s="33">
        <f t="shared" si="58"/>
        <v>2</v>
      </c>
      <c r="Y100" s="113">
        <f t="shared" si="97"/>
        <v>2.7868091035764052E-3</v>
      </c>
      <c r="Z100" s="113">
        <f t="shared" si="97"/>
        <v>8.8261253309797002E-4</v>
      </c>
      <c r="AA100" s="33">
        <f t="shared" si="59"/>
        <v>0.30701346957733405</v>
      </c>
      <c r="AB100" s="33">
        <f t="shared" si="60"/>
        <v>2.1574547143520673</v>
      </c>
      <c r="AC100" s="114">
        <f t="shared" si="17"/>
        <v>131</v>
      </c>
      <c r="AD100" s="145">
        <f t="shared" si="17"/>
        <v>68</v>
      </c>
      <c r="AE100" s="33">
        <f t="shared" si="61"/>
        <v>0.77027027027027029</v>
      </c>
      <c r="AF100" s="33">
        <f t="shared" si="62"/>
        <v>0.92647058823529416</v>
      </c>
      <c r="AG100" s="112">
        <v>1017</v>
      </c>
      <c r="AH100" s="112">
        <v>1685</v>
      </c>
      <c r="AI100" s="33">
        <f t="shared" si="63"/>
        <v>0.18808411214953272</v>
      </c>
      <c r="AJ100" s="33">
        <f t="shared" si="64"/>
        <v>-0.39643916913946586</v>
      </c>
      <c r="AK100" s="112">
        <v>15480</v>
      </c>
      <c r="AL100" s="112">
        <v>24505</v>
      </c>
      <c r="AM100" s="150">
        <f t="shared" si="65"/>
        <v>8.0025116863182866E-2</v>
      </c>
      <c r="AN100" s="267">
        <f t="shared" si="66"/>
        <v>-0.36829218526831259</v>
      </c>
      <c r="AO100" s="110">
        <f t="shared" si="11"/>
        <v>6.5697674418604649E-2</v>
      </c>
      <c r="AP100" s="110">
        <f t="shared" si="11"/>
        <v>6.8761477249540903E-2</v>
      </c>
      <c r="AQ100" s="33">
        <f t="shared" si="67"/>
        <v>0.10005229841338832</v>
      </c>
      <c r="AR100" s="33">
        <f t="shared" si="68"/>
        <v>-4.4556966392933488E-2</v>
      </c>
      <c r="AS100" s="68"/>
    </row>
    <row r="101" spans="1:45" s="81" customFormat="1" ht="15.75" x14ac:dyDescent="0.25">
      <c r="A101" s="260" t="s">
        <v>58</v>
      </c>
      <c r="B101" s="260" t="s">
        <v>59</v>
      </c>
      <c r="C101" s="261">
        <f t="shared" si="69"/>
        <v>42902</v>
      </c>
      <c r="D101" s="260" t="s">
        <v>228</v>
      </c>
      <c r="E101" s="109">
        <v>577</v>
      </c>
      <c r="F101" s="109"/>
      <c r="G101" s="33">
        <f t="shared" si="49"/>
        <v>-0.6391494684177611</v>
      </c>
      <c r="H101" s="33" t="e">
        <f t="shared" si="50"/>
        <v>#DIV/0!</v>
      </c>
      <c r="I101" s="109">
        <v>1310</v>
      </c>
      <c r="J101" s="111"/>
      <c r="K101" s="33">
        <f t="shared" si="51"/>
        <v>-0.71687918737843093</v>
      </c>
      <c r="L101" s="33" t="e">
        <f t="shared" si="52"/>
        <v>#DIV/0!</v>
      </c>
      <c r="M101" s="111">
        <f t="shared" si="103"/>
        <v>0.4404580152671756</v>
      </c>
      <c r="N101" s="111"/>
      <c r="O101" s="33">
        <f t="shared" si="53"/>
        <v>0.27454611422215236</v>
      </c>
      <c r="P101" s="33" t="e">
        <f t="shared" si="54"/>
        <v>#DIV/0!</v>
      </c>
      <c r="Q101" s="112">
        <v>2676</v>
      </c>
      <c r="R101" s="112"/>
      <c r="S101" s="33">
        <f t="shared" si="55"/>
        <v>-0.56167076167076169</v>
      </c>
      <c r="T101" s="33" t="e">
        <f t="shared" si="56"/>
        <v>#DIV/0!</v>
      </c>
      <c r="U101" s="112">
        <v>8</v>
      </c>
      <c r="V101" s="112"/>
      <c r="W101" s="33">
        <f t="shared" si="57"/>
        <v>-0.65217391304347827</v>
      </c>
      <c r="X101" s="33" t="e">
        <f t="shared" si="58"/>
        <v>#DIV/0!</v>
      </c>
      <c r="Y101" s="113">
        <f t="shared" si="97"/>
        <v>2.9895366218236174E-3</v>
      </c>
      <c r="Z101" s="113"/>
      <c r="AA101" s="33">
        <f t="shared" si="59"/>
        <v>-0.20647299668551375</v>
      </c>
      <c r="AB101" s="33" t="e">
        <f t="shared" si="60"/>
        <v>#DIV/0!</v>
      </c>
      <c r="AC101" s="114">
        <f t="shared" ref="AC101:AC102" si="138">E101/U101</f>
        <v>72.125</v>
      </c>
      <c r="AD101" s="145"/>
      <c r="AE101" s="33">
        <f t="shared" si="61"/>
        <v>3.7445278298936853E-2</v>
      </c>
      <c r="AF101" s="33" t="e">
        <f t="shared" si="62"/>
        <v>#DIV/0!</v>
      </c>
      <c r="AG101" s="112">
        <v>2491</v>
      </c>
      <c r="AH101" s="112"/>
      <c r="AI101" s="33">
        <f t="shared" si="63"/>
        <v>-0.65136459062281316</v>
      </c>
      <c r="AJ101" s="33" t="e">
        <f t="shared" si="64"/>
        <v>#DIV/0!</v>
      </c>
      <c r="AK101" s="112">
        <v>146489</v>
      </c>
      <c r="AL101" s="112"/>
      <c r="AM101" s="150">
        <f t="shared" si="65"/>
        <v>-0.6621906448607614</v>
      </c>
      <c r="AN101" s="267" t="e">
        <f t="shared" si="66"/>
        <v>#DIV/0!</v>
      </c>
      <c r="AO101" s="110">
        <f t="shared" si="11"/>
        <v>1.7004689771928268E-2</v>
      </c>
      <c r="AP101" s="110"/>
      <c r="AQ101" s="33">
        <f t="shared" si="67"/>
        <v>3.2047822457391482E-2</v>
      </c>
      <c r="AR101" s="33" t="e">
        <f t="shared" si="68"/>
        <v>#DIV/0!</v>
      </c>
      <c r="AS101" s="68"/>
    </row>
    <row r="102" spans="1:45" s="81" customFormat="1" ht="15.75" customHeight="1" x14ac:dyDescent="0.3">
      <c r="A102" s="29" t="s">
        <v>58</v>
      </c>
      <c r="B102" s="29" t="s">
        <v>60</v>
      </c>
      <c r="C102" s="30">
        <f t="shared" si="69"/>
        <v>42909</v>
      </c>
      <c r="D102" s="31" t="s">
        <v>28</v>
      </c>
      <c r="E102" s="32">
        <f>SUM(E103:E105)</f>
        <v>8399</v>
      </c>
      <c r="F102" s="32">
        <f>SUM(F103:F105)</f>
        <v>2693</v>
      </c>
      <c r="G102" s="33">
        <f t="shared" ref="G102" si="139">(E102-E98)/E98</f>
        <v>-0.12291144527986633</v>
      </c>
      <c r="H102" s="33">
        <f t="shared" ref="H102" si="140">(E102-F102)/F102</f>
        <v>2.1188265874489418</v>
      </c>
      <c r="I102" s="32">
        <f>SUM(I103:I105)</f>
        <v>2746.49</v>
      </c>
      <c r="J102" s="32">
        <f>SUM(J103:J105)</f>
        <v>2348.1799999999998</v>
      </c>
      <c r="K102" s="33">
        <f t="shared" ref="K102" si="141">(I102-I98)/I98</f>
        <v>-0.11617661729165808</v>
      </c>
      <c r="L102" s="33">
        <f t="shared" ref="L102" si="142">(I102-J102)/J102</f>
        <v>0.16962498615949373</v>
      </c>
      <c r="M102" s="34">
        <f t="shared" si="103"/>
        <v>3.058085046732375</v>
      </c>
      <c r="N102" s="34">
        <f t="shared" ref="N102" si="143">F102/J102</f>
        <v>1.1468456421569047</v>
      </c>
      <c r="O102" s="33">
        <f t="shared" ref="O102" si="144">(M102-M98)/M98</f>
        <v>-7.6201061433454906E-3</v>
      </c>
      <c r="P102" s="33">
        <f t="shared" ref="P102" si="145">(M102-N102)/N102</f>
        <v>1.6665184348444215</v>
      </c>
      <c r="Q102" s="35">
        <f>SUM(Q103:Q105)</f>
        <v>7417</v>
      </c>
      <c r="R102" s="35">
        <f>SUM(R103:R105)</f>
        <v>4610</v>
      </c>
      <c r="S102" s="33">
        <f t="shared" ref="S102" si="146">(Q102-Q98)/Q98</f>
        <v>-0.11681352703024529</v>
      </c>
      <c r="T102" s="33">
        <f t="shared" ref="T102" si="147">(Q102-R102)/R102</f>
        <v>0.60889370932754883</v>
      </c>
      <c r="U102" s="35">
        <f>SUM(U103:U105)</f>
        <v>83</v>
      </c>
      <c r="V102" s="35">
        <f>SUM(V103:V105)</f>
        <v>23</v>
      </c>
      <c r="W102" s="33">
        <f t="shared" ref="W102" si="148">(U102-U98)/U98</f>
        <v>-9.7826086956521743E-2</v>
      </c>
      <c r="X102" s="33">
        <f t="shared" ref="X102" si="149">(U102-V102)/V102</f>
        <v>2.6086956521739131</v>
      </c>
      <c r="Y102" s="88">
        <f t="shared" ref="Y102" si="150">U102/Q102</f>
        <v>1.1190508291762168E-2</v>
      </c>
      <c r="Z102" s="88">
        <f t="shared" ref="Z102" si="151">V102/R102</f>
        <v>4.9891540130151844E-3</v>
      </c>
      <c r="AA102" s="33">
        <f t="shared" ref="AA102" si="152">(Y102-Y98)/Y98</f>
        <v>2.1498789502377009E-2</v>
      </c>
      <c r="AB102" s="33">
        <f t="shared" ref="AB102" si="153">(Y102-Z102)/Z102</f>
        <v>1.2429670967401563</v>
      </c>
      <c r="AC102" s="97">
        <f t="shared" si="138"/>
        <v>101.19277108433735</v>
      </c>
      <c r="AD102" s="145">
        <f t="shared" ref="AD102" si="154">F102/V102</f>
        <v>117.08695652173913</v>
      </c>
      <c r="AE102" s="33">
        <f t="shared" ref="AE102" si="155">(AC102-AC98)/AC98</f>
        <v>-2.7805457418646949E-2</v>
      </c>
      <c r="AF102" s="33">
        <f t="shared" ref="AF102" si="156">(AC102-AD102)/AD102</f>
        <v>-0.13574684926113659</v>
      </c>
      <c r="AG102" s="35">
        <f>SUM(AG103:AG105)</f>
        <v>6343</v>
      </c>
      <c r="AH102" s="35">
        <f>SUM(AH103:AH105)</f>
        <v>3972</v>
      </c>
      <c r="AI102" s="33">
        <f t="shared" ref="AI102" si="157">(AG102-AG98)/AG98</f>
        <v>1.7484760988129611E-2</v>
      </c>
      <c r="AJ102" s="33">
        <f t="shared" ref="AJ102" si="158">(AG102-AH102)/AH102</f>
        <v>0.59692849949647531</v>
      </c>
      <c r="AK102" s="35">
        <f>SUM(AK103:AK105)</f>
        <v>153433</v>
      </c>
      <c r="AL102" s="35">
        <f>SUM(AL103:AL105)</f>
        <v>32655</v>
      </c>
      <c r="AM102" s="150">
        <f t="shared" ref="AM102" si="159">(AK102-AK98)/AK98</f>
        <v>-0.10672721450819433</v>
      </c>
      <c r="AN102" s="267">
        <f t="shared" ref="AN102" si="160">(AK102-AL102)/AL102</f>
        <v>3.6986066452304396</v>
      </c>
      <c r="AO102" s="33">
        <f t="shared" ref="AO102" si="161">AG102/AK102</f>
        <v>4.1340519966369685E-2</v>
      </c>
      <c r="AP102" s="33">
        <f t="shared" ref="AP102" si="162">AH102/AL102</f>
        <v>0.12163527790537437</v>
      </c>
      <c r="AQ102" s="33">
        <f t="shared" ref="AQ102" si="163">(AO102-AO98)/AO98</f>
        <v>0.13905268078657182</v>
      </c>
      <c r="AR102" s="33">
        <f t="shared" ref="AR102" si="164">(AO102-AP102)/AP102</f>
        <v>-0.66012722066923413</v>
      </c>
      <c r="AS102" s="68" t="s">
        <v>129</v>
      </c>
    </row>
    <row r="103" spans="1:45" s="81" customFormat="1" ht="15.75" x14ac:dyDescent="0.25">
      <c r="A103" s="260" t="s">
        <v>58</v>
      </c>
      <c r="B103" s="260" t="s">
        <v>60</v>
      </c>
      <c r="C103" s="261">
        <f t="shared" si="69"/>
        <v>42909</v>
      </c>
      <c r="D103" s="260" t="s">
        <v>29</v>
      </c>
      <c r="E103" s="109">
        <v>6815</v>
      </c>
      <c r="F103" s="109">
        <v>2374</v>
      </c>
      <c r="G103" s="33">
        <f t="shared" si="49"/>
        <v>-0.1702179471569463</v>
      </c>
      <c r="H103" s="33">
        <f t="shared" si="50"/>
        <v>1.870682392586352</v>
      </c>
      <c r="I103" s="109">
        <f>564.36+99.11</f>
        <v>663.47</v>
      </c>
      <c r="J103" s="111">
        <f>377.23+14.39</f>
        <v>391.62</v>
      </c>
      <c r="K103" s="33">
        <f t="shared" si="51"/>
        <v>5.6480891719745269E-2</v>
      </c>
      <c r="L103" s="33">
        <f t="shared" si="52"/>
        <v>0.69416781573974773</v>
      </c>
      <c r="M103" s="111">
        <f t="shared" si="103"/>
        <v>10.271753055903055</v>
      </c>
      <c r="N103" s="111">
        <f t="shared" si="104"/>
        <v>6.0619988764618764</v>
      </c>
      <c r="O103" s="33">
        <f t="shared" si="53"/>
        <v>-0.21457921355081963</v>
      </c>
      <c r="P103" s="33">
        <f t="shared" si="54"/>
        <v>0.69444984488321582</v>
      </c>
      <c r="Q103" s="112">
        <v>4166</v>
      </c>
      <c r="R103" s="112">
        <v>2461</v>
      </c>
      <c r="S103" s="33">
        <f t="shared" si="55"/>
        <v>0.16727374614738022</v>
      </c>
      <c r="T103" s="33">
        <f t="shared" si="56"/>
        <v>0.69280780170662337</v>
      </c>
      <c r="U103" s="112">
        <v>69</v>
      </c>
      <c r="V103" s="112">
        <v>19</v>
      </c>
      <c r="W103" s="33">
        <f t="shared" si="57"/>
        <v>-0.11538461538461539</v>
      </c>
      <c r="X103" s="33">
        <f t="shared" si="58"/>
        <v>2.6315789473684212</v>
      </c>
      <c r="Y103" s="113">
        <f t="shared" si="97"/>
        <v>1.6562650024003842E-2</v>
      </c>
      <c r="Z103" s="113">
        <f t="shared" si="97"/>
        <v>7.7204388459975615E-3</v>
      </c>
      <c r="AA103" s="33">
        <f t="shared" si="59"/>
        <v>-0.24215259056833699</v>
      </c>
      <c r="AB103" s="33">
        <f t="shared" si="60"/>
        <v>1.1452990373196557</v>
      </c>
      <c r="AC103" s="114">
        <f t="shared" si="17"/>
        <v>98.768115942028984</v>
      </c>
      <c r="AD103" s="145">
        <f t="shared" si="17"/>
        <v>124.94736842105263</v>
      </c>
      <c r="AE103" s="33">
        <f t="shared" si="61"/>
        <v>-6.1985505481765402E-2</v>
      </c>
      <c r="AF103" s="33">
        <f t="shared" si="62"/>
        <v>-0.20952223972259867</v>
      </c>
      <c r="AG103" s="112">
        <f>3135+159</f>
        <v>3294</v>
      </c>
      <c r="AH103" s="112">
        <f>1934+89</f>
        <v>2023</v>
      </c>
      <c r="AI103" s="33">
        <f t="shared" si="63"/>
        <v>0.20836390315480557</v>
      </c>
      <c r="AJ103" s="33">
        <f t="shared" si="64"/>
        <v>0.62827483934750372</v>
      </c>
      <c r="AK103" s="112">
        <f>10114+425</f>
        <v>10539</v>
      </c>
      <c r="AL103" s="112">
        <f>4962+237</f>
        <v>5199</v>
      </c>
      <c r="AM103" s="150">
        <f t="shared" si="65"/>
        <v>7.5847284605961615E-2</v>
      </c>
      <c r="AN103" s="267">
        <f t="shared" si="66"/>
        <v>1.0271206001154067</v>
      </c>
      <c r="AO103" s="110">
        <f t="shared" si="11"/>
        <v>0.31255337318531168</v>
      </c>
      <c r="AP103" s="110">
        <f t="shared" si="11"/>
        <v>0.38911329101750336</v>
      </c>
      <c r="AQ103" s="33">
        <f t="shared" si="67"/>
        <v>0.12317419065418689</v>
      </c>
      <c r="AR103" s="33">
        <f t="shared" si="68"/>
        <v>-0.19675482590685348</v>
      </c>
      <c r="AS103" s="68"/>
    </row>
    <row r="104" spans="1:45" s="81" customFormat="1" ht="15.75" x14ac:dyDescent="0.25">
      <c r="A104" s="260" t="s">
        <v>58</v>
      </c>
      <c r="B104" s="260" t="s">
        <v>60</v>
      </c>
      <c r="C104" s="261">
        <f t="shared" si="69"/>
        <v>42909</v>
      </c>
      <c r="D104" s="260" t="s">
        <v>30</v>
      </c>
      <c r="E104" s="109">
        <v>135</v>
      </c>
      <c r="F104" s="109">
        <v>319</v>
      </c>
      <c r="G104" s="33">
        <f t="shared" si="49"/>
        <v>-0.8282442748091603</v>
      </c>
      <c r="H104" s="33">
        <f t="shared" si="50"/>
        <v>-0.57680250783699061</v>
      </c>
      <c r="I104" s="109">
        <v>840.02</v>
      </c>
      <c r="J104" s="111">
        <f>1897.77+58.79</f>
        <v>1956.56</v>
      </c>
      <c r="K104" s="33">
        <f t="shared" si="51"/>
        <v>-0.28173337551624184</v>
      </c>
      <c r="L104" s="33">
        <f t="shared" si="52"/>
        <v>-0.57066484033201126</v>
      </c>
      <c r="M104" s="111">
        <f t="shared" si="103"/>
        <v>0.16071045927477917</v>
      </c>
      <c r="N104" s="111">
        <f t="shared" si="104"/>
        <v>0.16304125608210329</v>
      </c>
      <c r="O104" s="33">
        <f t="shared" si="53"/>
        <v>-0.76087469564065258</v>
      </c>
      <c r="P104" s="33">
        <f t="shared" si="54"/>
        <v>-1.4295748593536302E-2</v>
      </c>
      <c r="Q104" s="112">
        <v>864</v>
      </c>
      <c r="R104" s="112">
        <v>2149</v>
      </c>
      <c r="S104" s="33">
        <f t="shared" si="55"/>
        <v>-0.5986994890849977</v>
      </c>
      <c r="T104" s="33">
        <f t="shared" si="56"/>
        <v>-0.59795253606328524</v>
      </c>
      <c r="U104" s="112">
        <v>1</v>
      </c>
      <c r="V104" s="112">
        <v>4</v>
      </c>
      <c r="W104" s="33">
        <f t="shared" si="57"/>
        <v>-0.83333333333333337</v>
      </c>
      <c r="X104" s="33">
        <f t="shared" si="58"/>
        <v>-0.75</v>
      </c>
      <c r="Y104" s="113">
        <f t="shared" si="97"/>
        <v>1.1574074074074073E-3</v>
      </c>
      <c r="Z104" s="113">
        <f t="shared" si="97"/>
        <v>1.8613308515588647E-3</v>
      </c>
      <c r="AA104" s="33">
        <f t="shared" si="59"/>
        <v>-0.58468364197530864</v>
      </c>
      <c r="AB104" s="33">
        <f t="shared" si="60"/>
        <v>-0.37818287037037041</v>
      </c>
      <c r="AC104" s="114">
        <f t="shared" si="17"/>
        <v>135</v>
      </c>
      <c r="AD104" s="145">
        <f t="shared" si="17"/>
        <v>79.75</v>
      </c>
      <c r="AE104" s="33">
        <f t="shared" si="61"/>
        <v>3.0534351145038167E-2</v>
      </c>
      <c r="AF104" s="33">
        <f t="shared" si="62"/>
        <v>0.69278996865203757</v>
      </c>
      <c r="AG104" s="112">
        <v>713</v>
      </c>
      <c r="AH104" s="112">
        <f>1894+55</f>
        <v>1949</v>
      </c>
      <c r="AI104" s="33">
        <f t="shared" si="63"/>
        <v>-0.29891838741396265</v>
      </c>
      <c r="AJ104" s="33">
        <f t="shared" si="64"/>
        <v>-0.63417136993329914</v>
      </c>
      <c r="AK104" s="112">
        <v>9931</v>
      </c>
      <c r="AL104" s="112">
        <f>25973+1483</f>
        <v>27456</v>
      </c>
      <c r="AM104" s="150">
        <f t="shared" si="65"/>
        <v>-0.35846253229974162</v>
      </c>
      <c r="AN104" s="267">
        <f t="shared" si="66"/>
        <v>-0.63829399766899764</v>
      </c>
      <c r="AO104" s="110">
        <f t="shared" si="11"/>
        <v>7.1795388178431174E-2</v>
      </c>
      <c r="AP104" s="110">
        <f t="shared" si="11"/>
        <v>7.098630536130536E-2</v>
      </c>
      <c r="AQ104" s="33">
        <f t="shared" si="67"/>
        <v>9.2814758114173668E-2</v>
      </c>
      <c r="AR104" s="33">
        <f t="shared" si="68"/>
        <v>1.1397731055416291E-2</v>
      </c>
      <c r="AS104" s="68"/>
    </row>
    <row r="105" spans="1:45" s="81" customFormat="1" ht="15.75" x14ac:dyDescent="0.25">
      <c r="A105" s="260" t="s">
        <v>58</v>
      </c>
      <c r="B105" s="260" t="s">
        <v>60</v>
      </c>
      <c r="C105" s="261">
        <f t="shared" si="69"/>
        <v>42909</v>
      </c>
      <c r="D105" s="260" t="s">
        <v>228</v>
      </c>
      <c r="E105" s="109">
        <v>1449</v>
      </c>
      <c r="F105" s="109"/>
      <c r="G105" s="33">
        <f t="shared" si="49"/>
        <v>1.5112651646447139</v>
      </c>
      <c r="H105" s="33" t="e">
        <f t="shared" si="50"/>
        <v>#DIV/0!</v>
      </c>
      <c r="I105" s="109">
        <v>1243</v>
      </c>
      <c r="J105" s="111"/>
      <c r="K105" s="33">
        <f t="shared" si="51"/>
        <v>-5.114503816793893E-2</v>
      </c>
      <c r="L105" s="33" t="e">
        <f t="shared" si="52"/>
        <v>#DIV/0!</v>
      </c>
      <c r="M105" s="111">
        <f t="shared" si="103"/>
        <v>1.165728077232502</v>
      </c>
      <c r="N105" s="111"/>
      <c r="O105" s="33">
        <f t="shared" si="53"/>
        <v>1.6466270037687654</v>
      </c>
      <c r="P105" s="33" t="e">
        <f t="shared" si="54"/>
        <v>#DIV/0!</v>
      </c>
      <c r="Q105" s="112">
        <v>2387</v>
      </c>
      <c r="R105" s="112"/>
      <c r="S105" s="33">
        <f t="shared" si="55"/>
        <v>-0.10799701046337817</v>
      </c>
      <c r="T105" s="33" t="e">
        <f t="shared" si="56"/>
        <v>#DIV/0!</v>
      </c>
      <c r="U105" s="112">
        <v>13</v>
      </c>
      <c r="V105" s="112"/>
      <c r="W105" s="33">
        <f t="shared" si="57"/>
        <v>0.625</v>
      </c>
      <c r="X105" s="33" t="e">
        <f t="shared" si="58"/>
        <v>#DIV/0!</v>
      </c>
      <c r="Y105" s="113">
        <f t="shared" si="97"/>
        <v>5.4461667364893171E-3</v>
      </c>
      <c r="Z105" s="113"/>
      <c r="AA105" s="33">
        <f t="shared" si="59"/>
        <v>0.82174277335567647</v>
      </c>
      <c r="AB105" s="33" t="e">
        <f t="shared" si="60"/>
        <v>#DIV/0!</v>
      </c>
      <c r="AC105" s="114">
        <f t="shared" ref="AC105:AC106" si="165">E105/U105</f>
        <v>111.46153846153847</v>
      </c>
      <c r="AD105" s="145"/>
      <c r="AE105" s="33">
        <f t="shared" si="61"/>
        <v>0.5453939474736702</v>
      </c>
      <c r="AF105" s="33" t="e">
        <f t="shared" si="62"/>
        <v>#DIV/0!</v>
      </c>
      <c r="AG105" s="112">
        <v>2336</v>
      </c>
      <c r="AH105" s="112"/>
      <c r="AI105" s="33">
        <f t="shared" si="63"/>
        <v>-6.2224006423123243E-2</v>
      </c>
      <c r="AJ105" s="33" t="e">
        <f t="shared" si="64"/>
        <v>#DIV/0!</v>
      </c>
      <c r="AK105" s="112">
        <v>132963</v>
      </c>
      <c r="AL105" s="112"/>
      <c r="AM105" s="150">
        <f t="shared" si="65"/>
        <v>-9.2334578022923219E-2</v>
      </c>
      <c r="AN105" s="267" t="e">
        <f t="shared" si="66"/>
        <v>#DIV/0!</v>
      </c>
      <c r="AO105" s="110">
        <f t="shared" si="11"/>
        <v>1.7568797334596844E-2</v>
      </c>
      <c r="AP105" s="110"/>
      <c r="AQ105" s="33">
        <f t="shared" si="67"/>
        <v>3.3173646225514671E-2</v>
      </c>
      <c r="AR105" s="33" t="e">
        <f t="shared" si="68"/>
        <v>#DIV/0!</v>
      </c>
      <c r="AS105" s="68"/>
    </row>
    <row r="106" spans="1:45" s="96" customFormat="1" ht="15.75" customHeight="1" x14ac:dyDescent="0.3">
      <c r="A106" s="242" t="s">
        <v>58</v>
      </c>
      <c r="B106" s="242" t="s">
        <v>61</v>
      </c>
      <c r="C106" s="243">
        <f t="shared" ref="C106:C137" si="166">C102+7</f>
        <v>42916</v>
      </c>
      <c r="D106" s="244" t="s">
        <v>28</v>
      </c>
      <c r="E106" s="32">
        <f>SUM(E107:E109)</f>
        <v>7738</v>
      </c>
      <c r="F106" s="32">
        <f>SUM(F107:F109)</f>
        <v>2187</v>
      </c>
      <c r="G106" s="33">
        <f t="shared" si="49"/>
        <v>-7.869984521966901E-2</v>
      </c>
      <c r="H106" s="33">
        <f t="shared" si="50"/>
        <v>2.5381801554641061</v>
      </c>
      <c r="I106" s="32">
        <f>SUM(I107:I109)</f>
        <v>2403.7600000000002</v>
      </c>
      <c r="J106" s="32">
        <f>SUM(J107:J109)</f>
        <v>2399.69</v>
      </c>
      <c r="K106" s="33">
        <f t="shared" si="51"/>
        <v>-0.12478836624200328</v>
      </c>
      <c r="L106" s="33">
        <f t="shared" si="52"/>
        <v>1.6960524067692758E-3</v>
      </c>
      <c r="M106" s="34">
        <f t="shared" ref="M106" si="167">E106/I106</f>
        <v>3.2191233733817017</v>
      </c>
      <c r="N106" s="34">
        <f t="shared" ref="N106" si="168">F106/J106</f>
        <v>0.91136771833028429</v>
      </c>
      <c r="O106" s="33">
        <f t="shared" si="53"/>
        <v>5.2659858764032536E-2</v>
      </c>
      <c r="P106" s="33">
        <f t="shared" si="54"/>
        <v>2.5321893771697925</v>
      </c>
      <c r="Q106" s="35">
        <f>SUM(Q107:Q109)</f>
        <v>6204</v>
      </c>
      <c r="R106" s="35">
        <f>SUM(R107:R109)</f>
        <v>4807</v>
      </c>
      <c r="S106" s="33">
        <f t="shared" si="55"/>
        <v>-0.16354321154105433</v>
      </c>
      <c r="T106" s="33">
        <f t="shared" si="56"/>
        <v>0.29061784897025172</v>
      </c>
      <c r="U106" s="35">
        <f>SUM(U107:U109)</f>
        <v>72</v>
      </c>
      <c r="V106" s="35">
        <f>SUM(V107:V109)</f>
        <v>28</v>
      </c>
      <c r="W106" s="33">
        <f t="shared" si="57"/>
        <v>-0.13253012048192772</v>
      </c>
      <c r="X106" s="33">
        <f t="shared" si="58"/>
        <v>1.5714285714285714</v>
      </c>
      <c r="Y106" s="88">
        <f t="shared" si="97"/>
        <v>1.160541586073501E-2</v>
      </c>
      <c r="Z106" s="88">
        <f t="shared" ref="Z106" si="169">V106/R106</f>
        <v>5.8248387767838566E-3</v>
      </c>
      <c r="AA106" s="33">
        <f t="shared" si="59"/>
        <v>3.707674022977793E-2</v>
      </c>
      <c r="AB106" s="33">
        <f t="shared" si="60"/>
        <v>0.99240121580547136</v>
      </c>
      <c r="AC106" s="97">
        <f t="shared" si="165"/>
        <v>107.47222222222223</v>
      </c>
      <c r="AD106" s="145">
        <f t="shared" ref="AD106" si="170">F106/V106</f>
        <v>78.107142857142861</v>
      </c>
      <c r="AE106" s="33">
        <f t="shared" si="61"/>
        <v>6.2054345093992706E-2</v>
      </c>
      <c r="AF106" s="33">
        <f t="shared" si="62"/>
        <v>0.37595894934715235</v>
      </c>
      <c r="AG106" s="35">
        <f>SUM(AG107:AG109)</f>
        <v>5118</v>
      </c>
      <c r="AH106" s="35">
        <f>SUM(AH107:AH109)</f>
        <v>4081</v>
      </c>
      <c r="AI106" s="33">
        <f t="shared" si="63"/>
        <v>-0.19312628093961848</v>
      </c>
      <c r="AJ106" s="33">
        <f t="shared" si="64"/>
        <v>0.25410438617985787</v>
      </c>
      <c r="AK106" s="35">
        <f>SUM(AK107:AK109)</f>
        <v>141432</v>
      </c>
      <c r="AL106" s="35">
        <f>SUM(AL107:AL109)</f>
        <v>37878</v>
      </c>
      <c r="AM106" s="150">
        <f t="shared" si="65"/>
        <v>-7.8216550546492611E-2</v>
      </c>
      <c r="AN106" s="267">
        <f t="shared" si="66"/>
        <v>2.7338824647552671</v>
      </c>
      <c r="AO106" s="33">
        <f t="shared" si="11"/>
        <v>3.6187001527235703E-2</v>
      </c>
      <c r="AP106" s="33">
        <f t="shared" ref="AP106" si="171">AH106/AL106</f>
        <v>0.10774064100533291</v>
      </c>
      <c r="AQ106" s="33">
        <f t="shared" si="67"/>
        <v>-0.12466022302879462</v>
      </c>
      <c r="AR106" s="33">
        <f t="shared" si="68"/>
        <v>-0.66412858518778872</v>
      </c>
      <c r="AS106" s="268" t="s">
        <v>131</v>
      </c>
    </row>
    <row r="107" spans="1:45" s="81" customFormat="1" ht="15.75" x14ac:dyDescent="0.25">
      <c r="A107" s="260" t="s">
        <v>58</v>
      </c>
      <c r="B107" s="260" t="s">
        <v>61</v>
      </c>
      <c r="C107" s="261">
        <f t="shared" si="166"/>
        <v>42916</v>
      </c>
      <c r="D107" s="260" t="s">
        <v>29</v>
      </c>
      <c r="E107" s="109">
        <v>7513</v>
      </c>
      <c r="F107" s="109">
        <v>1854</v>
      </c>
      <c r="G107" s="33">
        <f t="shared" si="49"/>
        <v>0.10242112986060162</v>
      </c>
      <c r="H107" s="33">
        <f t="shared" si="50"/>
        <v>3.052319309600863</v>
      </c>
      <c r="I107" s="109">
        <f>508.88+77.39</f>
        <v>586.27</v>
      </c>
      <c r="J107" s="111">
        <f>207.61+19.14</f>
        <v>226.75</v>
      </c>
      <c r="K107" s="33">
        <f t="shared" si="51"/>
        <v>-0.11635793630458052</v>
      </c>
      <c r="L107" s="33">
        <f t="shared" si="52"/>
        <v>1.585534729878721</v>
      </c>
      <c r="M107" s="111">
        <f t="shared" si="103"/>
        <v>12.814914629778089</v>
      </c>
      <c r="N107" s="111">
        <f t="shared" si="104"/>
        <v>8.1764057331863285</v>
      </c>
      <c r="O107" s="33">
        <f t="shared" si="53"/>
        <v>0.24758788105926177</v>
      </c>
      <c r="P107" s="33">
        <f t="shared" si="54"/>
        <v>0.56730414903030302</v>
      </c>
      <c r="Q107" s="112">
        <v>3722</v>
      </c>
      <c r="R107" s="112">
        <v>2405</v>
      </c>
      <c r="S107" s="33">
        <f t="shared" si="55"/>
        <v>-0.10657705232837254</v>
      </c>
      <c r="T107" s="33">
        <f t="shared" si="56"/>
        <v>0.54760914760914758</v>
      </c>
      <c r="U107" s="112">
        <v>66</v>
      </c>
      <c r="V107" s="112">
        <v>24</v>
      </c>
      <c r="W107" s="33">
        <f t="shared" si="57"/>
        <v>-4.3478260869565216E-2</v>
      </c>
      <c r="X107" s="33">
        <f t="shared" si="58"/>
        <v>1.75</v>
      </c>
      <c r="Y107" s="113">
        <f t="shared" si="97"/>
        <v>1.7732401934443847E-2</v>
      </c>
      <c r="Z107" s="113">
        <f t="shared" si="97"/>
        <v>9.9792099792099798E-3</v>
      </c>
      <c r="AA107" s="33">
        <f t="shared" si="59"/>
        <v>7.0625890708595068E-2</v>
      </c>
      <c r="AB107" s="33">
        <f t="shared" si="60"/>
        <v>0.77693444384739374</v>
      </c>
      <c r="AC107" s="114">
        <f t="shared" si="17"/>
        <v>113.83333333333333</v>
      </c>
      <c r="AD107" s="145">
        <f t="shared" ref="AD107:AD112" si="172">F107/V107</f>
        <v>77.25</v>
      </c>
      <c r="AE107" s="33">
        <f t="shared" si="61"/>
        <v>0.15253118121790166</v>
      </c>
      <c r="AF107" s="33">
        <f t="shared" si="62"/>
        <v>0.47357065803667742</v>
      </c>
      <c r="AG107" s="112">
        <f>2658+138</f>
        <v>2796</v>
      </c>
      <c r="AH107" s="112">
        <f>1821+113</f>
        <v>1934</v>
      </c>
      <c r="AI107" s="33">
        <f t="shared" si="63"/>
        <v>-0.151183970856102</v>
      </c>
      <c r="AJ107" s="33">
        <f t="shared" si="64"/>
        <v>0.44570837642192346</v>
      </c>
      <c r="AK107" s="112">
        <f>8556+363</f>
        <v>8919</v>
      </c>
      <c r="AL107" s="112">
        <f>4678+345</f>
        <v>5023</v>
      </c>
      <c r="AM107" s="150">
        <f t="shared" si="65"/>
        <v>-0.15371477369769429</v>
      </c>
      <c r="AN107" s="267">
        <f t="shared" si="66"/>
        <v>0.77563209237507469</v>
      </c>
      <c r="AO107" s="110">
        <f t="shared" si="11"/>
        <v>0.31348805919946182</v>
      </c>
      <c r="AP107" s="110">
        <f t="shared" si="11"/>
        <v>0.38502886721083018</v>
      </c>
      <c r="AQ107" s="33">
        <f t="shared" si="67"/>
        <v>2.9904844878956777E-3</v>
      </c>
      <c r="AR107" s="33">
        <f t="shared" si="68"/>
        <v>-0.18580634883200789</v>
      </c>
      <c r="AS107" s="68"/>
    </row>
    <row r="108" spans="1:45" s="81" customFormat="1" ht="15.75" x14ac:dyDescent="0.25">
      <c r="A108" s="260" t="s">
        <v>58</v>
      </c>
      <c r="B108" s="260" t="s">
        <v>61</v>
      </c>
      <c r="C108" s="261">
        <f t="shared" si="166"/>
        <v>42916</v>
      </c>
      <c r="D108" s="260" t="s">
        <v>30</v>
      </c>
      <c r="E108" s="109">
        <v>0</v>
      </c>
      <c r="F108" s="109">
        <v>333</v>
      </c>
      <c r="G108" s="33">
        <f t="shared" si="49"/>
        <v>-1</v>
      </c>
      <c r="H108" s="33">
        <f t="shared" si="50"/>
        <v>-1</v>
      </c>
      <c r="I108" s="109">
        <v>551.49</v>
      </c>
      <c r="J108" s="111">
        <f>2040.33+132.61</f>
        <v>2172.94</v>
      </c>
      <c r="K108" s="33">
        <f t="shared" si="51"/>
        <v>-0.34347991714482984</v>
      </c>
      <c r="L108" s="33">
        <f t="shared" si="52"/>
        <v>-0.74620099956740638</v>
      </c>
      <c r="M108" s="111">
        <f t="shared" si="103"/>
        <v>0</v>
      </c>
      <c r="N108" s="111">
        <f t="shared" si="104"/>
        <v>0.15324859407070604</v>
      </c>
      <c r="O108" s="33">
        <f t="shared" si="53"/>
        <v>-1</v>
      </c>
      <c r="P108" s="33">
        <f t="shared" si="54"/>
        <v>-1</v>
      </c>
      <c r="Q108" s="112">
        <v>495</v>
      </c>
      <c r="R108" s="112">
        <v>2402</v>
      </c>
      <c r="S108" s="33">
        <f t="shared" si="55"/>
        <v>-0.42708333333333331</v>
      </c>
      <c r="T108" s="33">
        <f t="shared" si="56"/>
        <v>-0.79392173189009163</v>
      </c>
      <c r="U108" s="112">
        <v>0</v>
      </c>
      <c r="V108" s="112">
        <v>4</v>
      </c>
      <c r="W108" s="33">
        <f t="shared" si="57"/>
        <v>-1</v>
      </c>
      <c r="X108" s="33">
        <f t="shared" si="58"/>
        <v>-1</v>
      </c>
      <c r="Y108" s="113">
        <f t="shared" si="97"/>
        <v>0</v>
      </c>
      <c r="Z108" s="113">
        <f t="shared" si="97"/>
        <v>1.6652789342214821E-3</v>
      </c>
      <c r="AA108" s="33">
        <f t="shared" si="59"/>
        <v>-1</v>
      </c>
      <c r="AB108" s="33">
        <f t="shared" si="60"/>
        <v>-1</v>
      </c>
      <c r="AC108" s="114" t="e">
        <f t="shared" si="17"/>
        <v>#DIV/0!</v>
      </c>
      <c r="AD108" s="145">
        <f t="shared" si="172"/>
        <v>83.25</v>
      </c>
      <c r="AE108" s="33" t="e">
        <f t="shared" si="61"/>
        <v>#DIV/0!</v>
      </c>
      <c r="AF108" s="33" t="e">
        <f t="shared" si="62"/>
        <v>#DIV/0!</v>
      </c>
      <c r="AG108" s="112">
        <v>392</v>
      </c>
      <c r="AH108" s="112">
        <f>2002+145</f>
        <v>2147</v>
      </c>
      <c r="AI108" s="33">
        <f t="shared" si="63"/>
        <v>-0.45021037868162694</v>
      </c>
      <c r="AJ108" s="33">
        <f t="shared" si="64"/>
        <v>-0.81741965533302285</v>
      </c>
      <c r="AK108" s="112">
        <v>6568</v>
      </c>
      <c r="AL108" s="112">
        <f>29433+3422</f>
        <v>32855</v>
      </c>
      <c r="AM108" s="150">
        <f t="shared" si="65"/>
        <v>-0.33863659248816835</v>
      </c>
      <c r="AN108" s="267">
        <f t="shared" si="66"/>
        <v>-0.80009131030284586</v>
      </c>
      <c r="AO108" s="110">
        <f t="shared" si="11"/>
        <v>5.9683313032886723E-2</v>
      </c>
      <c r="AP108" s="110">
        <f t="shared" si="11"/>
        <v>6.5347740070004559E-2</v>
      </c>
      <c r="AQ108" s="33">
        <f t="shared" si="67"/>
        <v>-0.16870269042132111</v>
      </c>
      <c r="AR108" s="33">
        <f t="shared" si="68"/>
        <v>-8.6681299629486036E-2</v>
      </c>
      <c r="AS108" s="68"/>
    </row>
    <row r="109" spans="1:45" s="81" customFormat="1" ht="15.75" x14ac:dyDescent="0.25">
      <c r="A109" s="260" t="s">
        <v>58</v>
      </c>
      <c r="B109" s="260" t="s">
        <v>61</v>
      </c>
      <c r="C109" s="261">
        <f t="shared" si="166"/>
        <v>42916</v>
      </c>
      <c r="D109" s="260" t="s">
        <v>228</v>
      </c>
      <c r="E109" s="109">
        <v>225</v>
      </c>
      <c r="F109" s="109"/>
      <c r="G109" s="33">
        <f t="shared" si="49"/>
        <v>-0.84472049689440998</v>
      </c>
      <c r="H109" s="33" t="e">
        <f t="shared" si="50"/>
        <v>#DIV/0!</v>
      </c>
      <c r="I109" s="109">
        <v>1266</v>
      </c>
      <c r="J109" s="111"/>
      <c r="K109" s="33">
        <f t="shared" si="51"/>
        <v>1.8503620273531779E-2</v>
      </c>
      <c r="L109" s="33" t="e">
        <f t="shared" si="52"/>
        <v>#DIV/0!</v>
      </c>
      <c r="M109" s="111">
        <f t="shared" si="103"/>
        <v>0.17772511848341233</v>
      </c>
      <c r="N109" s="111"/>
      <c r="O109" s="33">
        <f t="shared" si="53"/>
        <v>-0.84754153052113079</v>
      </c>
      <c r="P109" s="33" t="e">
        <f t="shared" si="54"/>
        <v>#DIV/0!</v>
      </c>
      <c r="Q109" s="112">
        <v>1987</v>
      </c>
      <c r="R109" s="112"/>
      <c r="S109" s="33">
        <f t="shared" si="55"/>
        <v>-0.16757436112274823</v>
      </c>
      <c r="T109" s="33" t="e">
        <f t="shared" si="56"/>
        <v>#DIV/0!</v>
      </c>
      <c r="U109" s="112">
        <v>6</v>
      </c>
      <c r="V109" s="112"/>
      <c r="W109" s="33">
        <f t="shared" si="57"/>
        <v>-0.53846153846153844</v>
      </c>
      <c r="X109" s="33" t="e">
        <f t="shared" si="58"/>
        <v>#DIV/0!</v>
      </c>
      <c r="Y109" s="113">
        <f t="shared" si="97"/>
        <v>3.0196275792652239E-3</v>
      </c>
      <c r="Z109" s="113"/>
      <c r="AA109" s="33">
        <f t="shared" si="59"/>
        <v>-0.44554992063799315</v>
      </c>
      <c r="AB109" s="33" t="e">
        <f t="shared" si="60"/>
        <v>#DIV/0!</v>
      </c>
      <c r="AC109" s="114">
        <f t="shared" ref="AC109:AC110" si="173">E109/U109</f>
        <v>37.5</v>
      </c>
      <c r="AD109" s="145"/>
      <c r="AE109" s="33">
        <f t="shared" si="61"/>
        <v>-0.66356107660455488</v>
      </c>
      <c r="AF109" s="33" t="e">
        <f t="shared" si="62"/>
        <v>#DIV/0!</v>
      </c>
      <c r="AG109" s="112">
        <v>1930</v>
      </c>
      <c r="AH109" s="112"/>
      <c r="AI109" s="33">
        <f t="shared" si="63"/>
        <v>-0.1738013698630137</v>
      </c>
      <c r="AJ109" s="33" t="e">
        <f t="shared" si="64"/>
        <v>#DIV/0!</v>
      </c>
      <c r="AK109" s="112">
        <v>125945</v>
      </c>
      <c r="AL109" s="112"/>
      <c r="AM109" s="150">
        <f t="shared" si="65"/>
        <v>-5.2781600896489998E-2</v>
      </c>
      <c r="AN109" s="267" t="e">
        <f t="shared" si="66"/>
        <v>#DIV/0!</v>
      </c>
      <c r="AO109" s="110">
        <f t="shared" si="11"/>
        <v>1.5324149430306879E-2</v>
      </c>
      <c r="AP109" s="110"/>
      <c r="AQ109" s="33">
        <f t="shared" si="67"/>
        <v>-0.12776332161734014</v>
      </c>
      <c r="AR109" s="33" t="e">
        <f t="shared" si="68"/>
        <v>#DIV/0!</v>
      </c>
      <c r="AS109" s="68"/>
    </row>
    <row r="110" spans="1:45" s="81" customFormat="1" ht="15.75" customHeight="1" x14ac:dyDescent="0.3">
      <c r="A110" s="29" t="s">
        <v>58</v>
      </c>
      <c r="B110" s="29" t="s">
        <v>62</v>
      </c>
      <c r="C110" s="30">
        <f t="shared" si="166"/>
        <v>42923</v>
      </c>
      <c r="D110" s="31" t="s">
        <v>28</v>
      </c>
      <c r="E110" s="32">
        <f>SUM(E111:E113)</f>
        <v>11410</v>
      </c>
      <c r="F110" s="32">
        <f>SUM(F111:F113)</f>
        <v>4060</v>
      </c>
      <c r="G110" s="33">
        <f t="shared" ref="G110" si="174">(E110-E106)/E106</f>
        <v>0.47454122512277075</v>
      </c>
      <c r="H110" s="33">
        <f t="shared" ref="H110" si="175">(E110-F110)/F110</f>
        <v>1.8103448275862069</v>
      </c>
      <c r="I110" s="32">
        <f>SUM(I111:I113)</f>
        <v>2490.2399999999998</v>
      </c>
      <c r="J110" s="32">
        <f>SUM(J111:J113)</f>
        <v>2258.46</v>
      </c>
      <c r="K110" s="33">
        <f t="shared" ref="K110" si="176">(I110-I106)/I106</f>
        <v>3.5976969414583636E-2</v>
      </c>
      <c r="L110" s="33">
        <f t="shared" ref="L110" si="177">(I110-J110)/J110</f>
        <v>0.10262745410589505</v>
      </c>
      <c r="M110" s="34">
        <f t="shared" si="103"/>
        <v>4.5818876895399647</v>
      </c>
      <c r="N110" s="34">
        <f t="shared" ref="N110" si="178">F110/J110</f>
        <v>1.7976851482868856</v>
      </c>
      <c r="O110" s="33">
        <f t="shared" ref="O110" si="179">(M110-M106)/M106</f>
        <v>0.42333398198611871</v>
      </c>
      <c r="P110" s="33">
        <f t="shared" ref="P110" si="180">(M110-N110)/N110</f>
        <v>1.5487709535267069</v>
      </c>
      <c r="Q110" s="35">
        <f>SUM(Q111:Q113)</f>
        <v>6253</v>
      </c>
      <c r="R110" s="35">
        <f>SUM(R111:R113)</f>
        <v>4748</v>
      </c>
      <c r="S110" s="33">
        <f t="shared" ref="S110" si="181">(Q110-Q106)/Q106</f>
        <v>7.8981302385557704E-3</v>
      </c>
      <c r="T110" s="33">
        <f t="shared" ref="T110" si="182">(Q110-R110)/R110</f>
        <v>0.31697556866048865</v>
      </c>
      <c r="U110" s="35">
        <f>SUM(U111:U113)</f>
        <v>81</v>
      </c>
      <c r="V110" s="35">
        <f>SUM(V111:V113)</f>
        <v>43</v>
      </c>
      <c r="W110" s="33">
        <f t="shared" ref="W110" si="183">(U110-U106)/U106</f>
        <v>0.125</v>
      </c>
      <c r="X110" s="33">
        <f t="shared" ref="X110" si="184">(U110-V110)/V110</f>
        <v>0.88372093023255816</v>
      </c>
      <c r="Y110" s="88">
        <f t="shared" ref="Y110" si="185">U110/Q110</f>
        <v>1.2953782184551415E-2</v>
      </c>
      <c r="Z110" s="88">
        <f t="shared" ref="Z110" si="186">V110/R110</f>
        <v>9.0564448188711032E-3</v>
      </c>
      <c r="AA110" s="33">
        <f t="shared" ref="AA110" si="187">(Y110-Y106)/Y106</f>
        <v>0.11618423156884684</v>
      </c>
      <c r="AB110" s="33">
        <f t="shared" ref="AB110" si="188">(Y110-Z110)/Z110</f>
        <v>0.43033855377325858</v>
      </c>
      <c r="AC110" s="97">
        <f t="shared" si="173"/>
        <v>140.8641975308642</v>
      </c>
      <c r="AD110" s="145">
        <f t="shared" ref="AD110" si="189">F110/V110</f>
        <v>94.418604651162795</v>
      </c>
      <c r="AE110" s="33">
        <f t="shared" ref="AE110" si="190">(AC110-AC106)/AC106</f>
        <v>0.31070331122024064</v>
      </c>
      <c r="AF110" s="33">
        <f t="shared" ref="AF110" si="191">(AC110-AD110)/AD110</f>
        <v>0.49191145168156664</v>
      </c>
      <c r="AG110" s="35">
        <f>SUM(AG111:AG113)</f>
        <v>5104</v>
      </c>
      <c r="AH110" s="35">
        <f>SUM(AH111:AH113)</f>
        <v>4016</v>
      </c>
      <c r="AI110" s="33">
        <f t="shared" ref="AI110" si="192">(AG110-AG106)/AG106</f>
        <v>-2.7354435326299334E-3</v>
      </c>
      <c r="AJ110" s="33">
        <f t="shared" ref="AJ110" si="193">(AG110-AH110)/AH110</f>
        <v>0.27091633466135456</v>
      </c>
      <c r="AK110" s="35">
        <f>SUM(AK111:AK113)</f>
        <v>124507</v>
      </c>
      <c r="AL110" s="35">
        <f>SUM(AL111:AL113)</f>
        <v>35291</v>
      </c>
      <c r="AM110" s="150">
        <f>(AK110-AK106)/AK106</f>
        <v>-0.11966881610950846</v>
      </c>
      <c r="AN110" s="267">
        <f t="shared" ref="AN110" si="194">(AK110-AL110)/AL110</f>
        <v>2.5280099742143891</v>
      </c>
      <c r="AO110" s="33">
        <f t="shared" ref="AO110" si="195">AG110/AK110</f>
        <v>4.0993679070253079E-2</v>
      </c>
      <c r="AP110" s="33">
        <f t="shared" ref="AP110" si="196">AH110/AL110</f>
        <v>0.11379671871015273</v>
      </c>
      <c r="AQ110" s="33">
        <f t="shared" ref="AQ110" si="197">(AO110-AO106)/AO106</f>
        <v>0.1328288429589749</v>
      </c>
      <c r="AR110" s="33">
        <f t="shared" ref="AR110" si="198">(AO110-AP110)/AP110</f>
        <v>-0.63976396213438702</v>
      </c>
      <c r="AS110" s="68" t="s">
        <v>191</v>
      </c>
    </row>
    <row r="111" spans="1:45" s="81" customFormat="1" ht="15.75" x14ac:dyDescent="0.25">
      <c r="A111" s="260" t="s">
        <v>58</v>
      </c>
      <c r="B111" s="260" t="s">
        <v>62</v>
      </c>
      <c r="C111" s="261">
        <f t="shared" si="166"/>
        <v>42923</v>
      </c>
      <c r="D111" s="260" t="s">
        <v>29</v>
      </c>
      <c r="E111" s="109">
        <v>10746</v>
      </c>
      <c r="F111" s="109">
        <v>3467</v>
      </c>
      <c r="G111" s="33">
        <f t="shared" si="49"/>
        <v>0.43032077731931317</v>
      </c>
      <c r="H111" s="33">
        <f t="shared" si="50"/>
        <v>2.0995096625324488</v>
      </c>
      <c r="I111" s="109">
        <f>636.33+73.9</f>
        <v>710.23</v>
      </c>
      <c r="J111" s="111">
        <f>183.58+22.71</f>
        <v>206.29000000000002</v>
      </c>
      <c r="K111" s="33">
        <f t="shared" si="51"/>
        <v>0.21143841574701083</v>
      </c>
      <c r="L111" s="33">
        <f t="shared" si="52"/>
        <v>2.4428716854912982</v>
      </c>
      <c r="M111" s="111">
        <f t="shared" si="103"/>
        <v>15.130309899609985</v>
      </c>
      <c r="N111" s="111">
        <f t="shared" si="104"/>
        <v>16.806437539386298</v>
      </c>
      <c r="O111" s="33">
        <f t="shared" si="53"/>
        <v>0.18067972645339353</v>
      </c>
      <c r="P111" s="33">
        <f t="shared" si="54"/>
        <v>-9.9731286648242184E-2</v>
      </c>
      <c r="Q111" s="112">
        <v>3977</v>
      </c>
      <c r="R111" s="112">
        <v>2620</v>
      </c>
      <c r="S111" s="33">
        <f t="shared" si="55"/>
        <v>6.8511552928533045E-2</v>
      </c>
      <c r="T111" s="33">
        <f t="shared" si="56"/>
        <v>0.51793893129770996</v>
      </c>
      <c r="U111" s="112">
        <v>75</v>
      </c>
      <c r="V111" s="112">
        <v>34</v>
      </c>
      <c r="W111" s="33">
        <f t="shared" si="57"/>
        <v>0.13636363636363635</v>
      </c>
      <c r="X111" s="33">
        <f t="shared" si="58"/>
        <v>1.2058823529411764</v>
      </c>
      <c r="Y111" s="113">
        <f t="shared" si="97"/>
        <v>1.8858436007040482E-2</v>
      </c>
      <c r="Z111" s="113">
        <f t="shared" si="97"/>
        <v>1.2977099236641221E-2</v>
      </c>
      <c r="AA111" s="33">
        <f t="shared" si="59"/>
        <v>6.3501497245525382E-2</v>
      </c>
      <c r="AB111" s="33">
        <f t="shared" si="60"/>
        <v>0.45320889230723715</v>
      </c>
      <c r="AC111" s="114">
        <f t="shared" si="17"/>
        <v>143.28</v>
      </c>
      <c r="AD111" s="145">
        <f t="shared" si="172"/>
        <v>101.97058823529412</v>
      </c>
      <c r="AE111" s="33">
        <f t="shared" si="61"/>
        <v>0.25868228404099569</v>
      </c>
      <c r="AF111" s="33">
        <f t="shared" si="62"/>
        <v>0.40511104701471018</v>
      </c>
      <c r="AG111" s="112">
        <f>2838+133</f>
        <v>2971</v>
      </c>
      <c r="AH111" s="112">
        <f>1922+107</f>
        <v>2029</v>
      </c>
      <c r="AI111" s="33">
        <f t="shared" si="63"/>
        <v>6.2589413447782544E-2</v>
      </c>
      <c r="AJ111" s="33">
        <f t="shared" si="64"/>
        <v>0.46426811237062593</v>
      </c>
      <c r="AK111" s="112">
        <f>9104+379</f>
        <v>9483</v>
      </c>
      <c r="AL111" s="112">
        <f>5034+270</f>
        <v>5304</v>
      </c>
      <c r="AM111" s="150">
        <f t="shared" si="65"/>
        <v>6.3235788765556675E-2</v>
      </c>
      <c r="AN111" s="267">
        <f t="shared" si="66"/>
        <v>0.78789592760180993</v>
      </c>
      <c r="AO111" s="110">
        <f t="shared" si="11"/>
        <v>0.31329747970051669</v>
      </c>
      <c r="AP111" s="110">
        <f t="shared" si="11"/>
        <v>0.3825414781297134</v>
      </c>
      <c r="AQ111" s="33">
        <f t="shared" si="67"/>
        <v>-6.0793224287969514E-4</v>
      </c>
      <c r="AR111" s="33">
        <f t="shared" si="68"/>
        <v>-0.18101043256207952</v>
      </c>
      <c r="AS111" s="68"/>
    </row>
    <row r="112" spans="1:45" s="81" customFormat="1" ht="15.75" x14ac:dyDescent="0.25">
      <c r="A112" s="260" t="s">
        <v>58</v>
      </c>
      <c r="B112" s="260" t="s">
        <v>62</v>
      </c>
      <c r="C112" s="261">
        <f t="shared" si="166"/>
        <v>42923</v>
      </c>
      <c r="D112" s="260" t="s">
        <v>30</v>
      </c>
      <c r="E112" s="109">
        <v>158</v>
      </c>
      <c r="F112" s="109">
        <v>593</v>
      </c>
      <c r="G112" s="33" t="e">
        <f t="shared" si="49"/>
        <v>#DIV/0!</v>
      </c>
      <c r="H112" s="33">
        <f t="shared" si="50"/>
        <v>-0.73355817875210794</v>
      </c>
      <c r="I112" s="109">
        <v>600.01</v>
      </c>
      <c r="J112" s="111">
        <f>1916.7+135.47</f>
        <v>2052.17</v>
      </c>
      <c r="K112" s="33">
        <f t="shared" si="51"/>
        <v>8.7979836443090501E-2</v>
      </c>
      <c r="L112" s="33">
        <f t="shared" si="52"/>
        <v>-0.70762168826169369</v>
      </c>
      <c r="M112" s="111">
        <f t="shared" si="103"/>
        <v>0.26332894451759137</v>
      </c>
      <c r="N112" s="111">
        <f t="shared" si="104"/>
        <v>0.28896241539443612</v>
      </c>
      <c r="O112" s="33" t="e">
        <f t="shared" si="53"/>
        <v>#DIV/0!</v>
      </c>
      <c r="P112" s="33">
        <f t="shared" si="54"/>
        <v>-8.8708667671727665E-2</v>
      </c>
      <c r="Q112" s="112">
        <v>530</v>
      </c>
      <c r="R112" s="112">
        <v>2128</v>
      </c>
      <c r="S112" s="33">
        <f t="shared" si="55"/>
        <v>7.0707070707070704E-2</v>
      </c>
      <c r="T112" s="33">
        <f t="shared" si="56"/>
        <v>-0.75093984962406013</v>
      </c>
      <c r="U112" s="112">
        <v>2</v>
      </c>
      <c r="V112" s="112">
        <v>9</v>
      </c>
      <c r="W112" s="33" t="e">
        <f t="shared" si="57"/>
        <v>#DIV/0!</v>
      </c>
      <c r="X112" s="33">
        <f t="shared" si="58"/>
        <v>-0.77777777777777779</v>
      </c>
      <c r="Y112" s="113">
        <f t="shared" si="97"/>
        <v>3.7735849056603774E-3</v>
      </c>
      <c r="Z112" s="113">
        <f t="shared" si="97"/>
        <v>4.2293233082706765E-3</v>
      </c>
      <c r="AA112" s="33" t="e">
        <f t="shared" si="59"/>
        <v>#DIV/0!</v>
      </c>
      <c r="AB112" s="33">
        <f t="shared" si="60"/>
        <v>-0.10775681341719072</v>
      </c>
      <c r="AC112" s="114">
        <f t="shared" si="17"/>
        <v>79</v>
      </c>
      <c r="AD112" s="145">
        <f t="shared" si="172"/>
        <v>65.888888888888886</v>
      </c>
      <c r="AE112" s="33" t="e">
        <f t="shared" si="61"/>
        <v>#DIV/0!</v>
      </c>
      <c r="AF112" s="33">
        <f t="shared" si="62"/>
        <v>0.1989881956155144</v>
      </c>
      <c r="AG112" s="112">
        <v>395</v>
      </c>
      <c r="AH112" s="112">
        <f>1837+150</f>
        <v>1987</v>
      </c>
      <c r="AI112" s="33">
        <f t="shared" si="63"/>
        <v>7.6530612244897957E-3</v>
      </c>
      <c r="AJ112" s="33">
        <f t="shared" si="64"/>
        <v>-0.80120785103170611</v>
      </c>
      <c r="AK112" s="112">
        <v>6140</v>
      </c>
      <c r="AL112" s="112">
        <f>27033+2954</f>
        <v>29987</v>
      </c>
      <c r="AM112" s="150">
        <f t="shared" si="65"/>
        <v>-6.5164433617539583E-2</v>
      </c>
      <c r="AN112" s="267">
        <f t="shared" si="66"/>
        <v>-0.79524460599593161</v>
      </c>
      <c r="AO112" s="110">
        <f t="shared" si="11"/>
        <v>6.4332247557003258E-2</v>
      </c>
      <c r="AP112" s="110">
        <f t="shared" si="11"/>
        <v>6.6262046886984366E-2</v>
      </c>
      <c r="AQ112" s="33">
        <f t="shared" si="67"/>
        <v>7.7893372332646441E-2</v>
      </c>
      <c r="AR112" s="33">
        <f t="shared" si="68"/>
        <v>-2.9123750633187454E-2</v>
      </c>
      <c r="AS112" s="68"/>
    </row>
    <row r="113" spans="1:45" s="81" customFormat="1" ht="15.75" x14ac:dyDescent="0.25">
      <c r="A113" s="260" t="s">
        <v>58</v>
      </c>
      <c r="B113" s="260" t="s">
        <v>62</v>
      </c>
      <c r="C113" s="261">
        <f t="shared" si="166"/>
        <v>42923</v>
      </c>
      <c r="D113" s="260" t="s">
        <v>228</v>
      </c>
      <c r="E113" s="109">
        <v>506</v>
      </c>
      <c r="F113" s="109"/>
      <c r="G113" s="33">
        <f t="shared" si="49"/>
        <v>1.2488888888888889</v>
      </c>
      <c r="H113" s="33" t="e">
        <f t="shared" si="50"/>
        <v>#DIV/0!</v>
      </c>
      <c r="I113" s="109">
        <v>1180</v>
      </c>
      <c r="J113" s="111"/>
      <c r="K113" s="33">
        <f t="shared" si="51"/>
        <v>-6.7930489731437602E-2</v>
      </c>
      <c r="L113" s="33" t="e">
        <f t="shared" si="52"/>
        <v>#DIV/0!</v>
      </c>
      <c r="M113" s="111">
        <f t="shared" si="103"/>
        <v>0.42881355932203391</v>
      </c>
      <c r="N113" s="111"/>
      <c r="O113" s="33">
        <f t="shared" si="53"/>
        <v>1.4127909604519775</v>
      </c>
      <c r="P113" s="33" t="e">
        <f t="shared" si="54"/>
        <v>#DIV/0!</v>
      </c>
      <c r="Q113" s="112">
        <v>1746</v>
      </c>
      <c r="R113" s="112"/>
      <c r="S113" s="33">
        <f t="shared" si="55"/>
        <v>-0.12128837443381983</v>
      </c>
      <c r="T113" s="33" t="e">
        <f t="shared" si="56"/>
        <v>#DIV/0!</v>
      </c>
      <c r="U113" s="112">
        <v>4</v>
      </c>
      <c r="V113" s="112"/>
      <c r="W113" s="33">
        <f t="shared" si="57"/>
        <v>-0.33333333333333331</v>
      </c>
      <c r="X113" s="33" t="e">
        <f t="shared" si="58"/>
        <v>#DIV/0!</v>
      </c>
      <c r="Y113" s="113">
        <f t="shared" si="97"/>
        <v>2.2909507445589921E-3</v>
      </c>
      <c r="Z113" s="113"/>
      <c r="AA113" s="33">
        <f t="shared" si="59"/>
        <v>-0.24131347842688045</v>
      </c>
      <c r="AB113" s="33" t="e">
        <f t="shared" si="60"/>
        <v>#DIV/0!</v>
      </c>
      <c r="AC113" s="114">
        <f t="shared" ref="AC113:AC114" si="199">E113/U113</f>
        <v>126.5</v>
      </c>
      <c r="AD113" s="145"/>
      <c r="AE113" s="33">
        <f t="shared" si="61"/>
        <v>2.3733333333333335</v>
      </c>
      <c r="AF113" s="33" t="e">
        <f t="shared" si="62"/>
        <v>#DIV/0!</v>
      </c>
      <c r="AG113" s="112">
        <v>1738</v>
      </c>
      <c r="AH113" s="112"/>
      <c r="AI113" s="33">
        <f t="shared" si="63"/>
        <v>-9.9481865284974089E-2</v>
      </c>
      <c r="AJ113" s="33" t="e">
        <f t="shared" si="64"/>
        <v>#DIV/0!</v>
      </c>
      <c r="AK113" s="112">
        <v>108884</v>
      </c>
      <c r="AL113" s="112"/>
      <c r="AM113" s="150">
        <f t="shared" si="65"/>
        <v>-0.1354638929691532</v>
      </c>
      <c r="AN113" s="267" t="e">
        <f t="shared" si="66"/>
        <v>#DIV/0!</v>
      </c>
      <c r="AO113" s="110">
        <f t="shared" si="11"/>
        <v>1.5961941148378091E-2</v>
      </c>
      <c r="AP113" s="110"/>
      <c r="AQ113" s="33">
        <f t="shared" si="67"/>
        <v>4.1620040379522709E-2</v>
      </c>
      <c r="AR113" s="33" t="e">
        <f t="shared" si="68"/>
        <v>#DIV/0!</v>
      </c>
      <c r="AS113" s="68"/>
    </row>
    <row r="114" spans="1:45" s="108" customFormat="1" ht="15.75" customHeight="1" x14ac:dyDescent="0.3">
      <c r="A114" s="272" t="s">
        <v>63</v>
      </c>
      <c r="B114" s="272" t="s">
        <v>64</v>
      </c>
      <c r="C114" s="273">
        <f t="shared" si="166"/>
        <v>42930</v>
      </c>
      <c r="D114" s="274" t="s">
        <v>28</v>
      </c>
      <c r="E114" s="115">
        <f>SUM(E115:E117)</f>
        <v>15598</v>
      </c>
      <c r="F114" s="115">
        <f>SUM(F115:F117)</f>
        <v>7785</v>
      </c>
      <c r="G114" s="116">
        <f t="shared" si="49"/>
        <v>0.36704645048203333</v>
      </c>
      <c r="H114" s="116">
        <f t="shared" si="50"/>
        <v>1.0035966602440591</v>
      </c>
      <c r="I114" s="115">
        <f>SUM(I115:I117)</f>
        <v>2587.63</v>
      </c>
      <c r="J114" s="115">
        <f>SUM(J115:J117)</f>
        <v>2341.0299999999997</v>
      </c>
      <c r="K114" s="116">
        <f t="shared" si="51"/>
        <v>3.9108680287843874E-2</v>
      </c>
      <c r="L114" s="116">
        <f t="shared" si="52"/>
        <v>0.1053382485487159</v>
      </c>
      <c r="M114" s="117">
        <f t="shared" ref="M114" si="200">E114/I114</f>
        <v>6.0279097088841906</v>
      </c>
      <c r="N114" s="117">
        <f t="shared" ref="N114" si="201">F114/J114</f>
        <v>3.3254593063736904</v>
      </c>
      <c r="O114" s="116">
        <f t="shared" si="53"/>
        <v>0.3155952562183843</v>
      </c>
      <c r="P114" s="116">
        <f t="shared" si="54"/>
        <v>0.81265478044818962</v>
      </c>
      <c r="Q114" s="118">
        <f>SUM(Q115:Q117)</f>
        <v>6885</v>
      </c>
      <c r="R114" s="118">
        <f>SUM(R115:R117)</f>
        <v>5748</v>
      </c>
      <c r="S114" s="116">
        <f t="shared" si="55"/>
        <v>0.1010714856868703</v>
      </c>
      <c r="T114" s="116">
        <f t="shared" si="56"/>
        <v>0.19780793319415449</v>
      </c>
      <c r="U114" s="118">
        <f>SUM(U115:U117)</f>
        <v>128</v>
      </c>
      <c r="V114" s="118">
        <f>SUM(V115:V117)</f>
        <v>67</v>
      </c>
      <c r="W114" s="116">
        <f t="shared" si="57"/>
        <v>0.58024691358024694</v>
      </c>
      <c r="X114" s="116">
        <f t="shared" si="58"/>
        <v>0.91044776119402981</v>
      </c>
      <c r="Y114" s="119">
        <f t="shared" si="97"/>
        <v>1.8591140159767611E-2</v>
      </c>
      <c r="Z114" s="119">
        <f t="shared" ref="Z114" si="202">V114/R114</f>
        <v>1.1656228253305497E-2</v>
      </c>
      <c r="AA114" s="116">
        <f t="shared" si="59"/>
        <v>0.4351901162842825</v>
      </c>
      <c r="AB114" s="116">
        <f t="shared" si="60"/>
        <v>0.59495333788573479</v>
      </c>
      <c r="AC114" s="120">
        <f t="shared" si="199"/>
        <v>121.859375</v>
      </c>
      <c r="AD114" s="275">
        <f t="shared" ref="AD114" si="203">F114/V114</f>
        <v>116.19402985074628</v>
      </c>
      <c r="AE114" s="116">
        <f t="shared" si="61"/>
        <v>-0.13491591805433834</v>
      </c>
      <c r="AF114" s="116">
        <f t="shared" si="62"/>
        <v>4.8757626846499619E-2</v>
      </c>
      <c r="AG114" s="118">
        <f>SUM(AG115:AG117)</f>
        <v>5677</v>
      </c>
      <c r="AH114" s="118">
        <f>SUM(AH115:AH117)</f>
        <v>5058</v>
      </c>
      <c r="AI114" s="116">
        <f t="shared" si="63"/>
        <v>0.11226489028213166</v>
      </c>
      <c r="AJ114" s="116">
        <f t="shared" si="64"/>
        <v>0.12238038750494266</v>
      </c>
      <c r="AK114" s="118">
        <f>SUM(AK115:AK117)</f>
        <v>156288</v>
      </c>
      <c r="AL114" s="118">
        <f>SUM(AL115:AL117)</f>
        <v>37012</v>
      </c>
      <c r="AM114" s="276">
        <f t="shared" si="65"/>
        <v>0.25525472463395632</v>
      </c>
      <c r="AN114" s="277">
        <f t="shared" si="66"/>
        <v>3.2226304982167946</v>
      </c>
      <c r="AO114" s="116">
        <f t="shared" si="11"/>
        <v>3.6323966011466015E-2</v>
      </c>
      <c r="AP114" s="116">
        <f t="shared" ref="AP114" si="204">AH114/AL114</f>
        <v>0.13665838106560035</v>
      </c>
      <c r="AQ114" s="116">
        <f t="shared" si="67"/>
        <v>-0.11391300231395005</v>
      </c>
      <c r="AR114" s="116">
        <f t="shared" si="68"/>
        <v>-0.73419876828462238</v>
      </c>
      <c r="AS114" s="106"/>
    </row>
    <row r="115" spans="1:45" s="81" customFormat="1" ht="15.75" x14ac:dyDescent="0.25">
      <c r="A115" s="260" t="s">
        <v>63</v>
      </c>
      <c r="B115" s="260" t="s">
        <v>64</v>
      </c>
      <c r="C115" s="261">
        <f t="shared" si="166"/>
        <v>42930</v>
      </c>
      <c r="D115" s="260" t="s">
        <v>29</v>
      </c>
      <c r="E115" s="109">
        <v>14584</v>
      </c>
      <c r="F115" s="109">
        <v>7107</v>
      </c>
      <c r="G115" s="33">
        <f t="shared" si="49"/>
        <v>0.35715615112600035</v>
      </c>
      <c r="H115" s="33">
        <f t="shared" si="50"/>
        <v>1.0520613479667933</v>
      </c>
      <c r="I115" s="109">
        <f>566.93+101.85</f>
        <v>668.78</v>
      </c>
      <c r="J115" s="111">
        <f>275.8+29.1</f>
        <v>304.90000000000003</v>
      </c>
      <c r="K115" s="33">
        <f t="shared" si="51"/>
        <v>-5.8361375892316637E-2</v>
      </c>
      <c r="L115" s="33">
        <f t="shared" si="52"/>
        <v>1.193440472285995</v>
      </c>
      <c r="M115" s="111">
        <f t="shared" si="103"/>
        <v>21.806872215078204</v>
      </c>
      <c r="N115" s="111">
        <f t="shared" si="104"/>
        <v>23.309281731715313</v>
      </c>
      <c r="O115" s="33">
        <f t="shared" si="53"/>
        <v>0.44127069172854955</v>
      </c>
      <c r="P115" s="33">
        <f t="shared" si="54"/>
        <v>-6.4455418829696687E-2</v>
      </c>
      <c r="Q115" s="112">
        <v>4291</v>
      </c>
      <c r="R115" s="112">
        <v>3498</v>
      </c>
      <c r="S115" s="33">
        <f t="shared" si="55"/>
        <v>7.8953985416142819E-2</v>
      </c>
      <c r="T115" s="33">
        <f t="shared" si="56"/>
        <v>0.22670097198399086</v>
      </c>
      <c r="U115" s="112">
        <v>116</v>
      </c>
      <c r="V115" s="112">
        <v>57</v>
      </c>
      <c r="W115" s="33">
        <f t="shared" si="57"/>
        <v>0.54666666666666663</v>
      </c>
      <c r="X115" s="33">
        <f t="shared" si="58"/>
        <v>1.0350877192982457</v>
      </c>
      <c r="Y115" s="113">
        <f t="shared" si="97"/>
        <v>2.7033325565136331E-2</v>
      </c>
      <c r="Z115" s="113">
        <f t="shared" si="97"/>
        <v>1.6295025728987993E-2</v>
      </c>
      <c r="AA115" s="33">
        <f t="shared" si="59"/>
        <v>0.43348714363396257</v>
      </c>
      <c r="AB115" s="33">
        <f t="shared" si="60"/>
        <v>0.65899250573415591</v>
      </c>
      <c r="AC115" s="114">
        <f t="shared" si="17"/>
        <v>125.72413793103448</v>
      </c>
      <c r="AD115" s="145">
        <f t="shared" ref="AD115:AD124" si="205">F115/V115</f>
        <v>124.68421052631579</v>
      </c>
      <c r="AE115" s="33">
        <f t="shared" si="61"/>
        <v>-0.12252835056508601</v>
      </c>
      <c r="AF115" s="33">
        <f t="shared" si="62"/>
        <v>8.340489949200067E-3</v>
      </c>
      <c r="AG115" s="112">
        <f>3021+155</f>
        <v>3176</v>
      </c>
      <c r="AH115" s="112">
        <f>2815+185</f>
        <v>3000</v>
      </c>
      <c r="AI115" s="33">
        <f t="shared" si="63"/>
        <v>6.9000336587007743E-2</v>
      </c>
      <c r="AJ115" s="33">
        <f t="shared" si="64"/>
        <v>5.8666666666666666E-2</v>
      </c>
      <c r="AK115" s="112">
        <f>17127+403</f>
        <v>17530</v>
      </c>
      <c r="AL115" s="112">
        <f>6747+363</f>
        <v>7110</v>
      </c>
      <c r="AM115" s="150">
        <f t="shared" si="65"/>
        <v>0.84857112728039652</v>
      </c>
      <c r="AN115" s="267">
        <f t="shared" si="66"/>
        <v>1.4655414908579465</v>
      </c>
      <c r="AO115" s="110">
        <f t="shared" si="11"/>
        <v>0.1811751283513976</v>
      </c>
      <c r="AP115" s="110">
        <f t="shared" si="11"/>
        <v>0.4219409282700422</v>
      </c>
      <c r="AQ115" s="33">
        <f t="shared" si="67"/>
        <v>-0.42171533417828894</v>
      </c>
      <c r="AR115" s="33">
        <f t="shared" si="68"/>
        <v>-0.57061494580718775</v>
      </c>
      <c r="AS115" s="68"/>
    </row>
    <row r="116" spans="1:45" s="81" customFormat="1" ht="15.75" x14ac:dyDescent="0.25">
      <c r="A116" s="260" t="s">
        <v>63</v>
      </c>
      <c r="B116" s="260" t="s">
        <v>64</v>
      </c>
      <c r="C116" s="261">
        <f t="shared" si="166"/>
        <v>42930</v>
      </c>
      <c r="D116" s="260" t="s">
        <v>30</v>
      </c>
      <c r="E116" s="109">
        <v>265</v>
      </c>
      <c r="F116" s="109">
        <v>678</v>
      </c>
      <c r="G116" s="33">
        <f t="shared" si="49"/>
        <v>0.67721518987341767</v>
      </c>
      <c r="H116" s="33">
        <f t="shared" si="50"/>
        <v>-0.60914454277286134</v>
      </c>
      <c r="I116" s="109">
        <v>631.85</v>
      </c>
      <c r="J116" s="111">
        <f>1898.84+137.29</f>
        <v>2036.1299999999999</v>
      </c>
      <c r="K116" s="33">
        <f t="shared" si="51"/>
        <v>5.3065782236962768E-2</v>
      </c>
      <c r="L116" s="33">
        <f t="shared" si="52"/>
        <v>-0.689680914283469</v>
      </c>
      <c r="M116" s="111">
        <f t="shared" si="103"/>
        <v>0.4194033394001741</v>
      </c>
      <c r="N116" s="111">
        <f t="shared" si="104"/>
        <v>0.33298463261186667</v>
      </c>
      <c r="O116" s="33">
        <f t="shared" si="53"/>
        <v>0.59269745362973714</v>
      </c>
      <c r="P116" s="33">
        <f t="shared" si="54"/>
        <v>0.25952761276235453</v>
      </c>
      <c r="Q116" s="112">
        <v>539</v>
      </c>
      <c r="R116" s="112">
        <v>2250</v>
      </c>
      <c r="S116" s="33">
        <f t="shared" si="55"/>
        <v>1.6981132075471698E-2</v>
      </c>
      <c r="T116" s="33">
        <f t="shared" si="56"/>
        <v>-0.76044444444444448</v>
      </c>
      <c r="U116" s="112">
        <v>4</v>
      </c>
      <c r="V116" s="112">
        <v>10</v>
      </c>
      <c r="W116" s="33">
        <f t="shared" si="57"/>
        <v>1</v>
      </c>
      <c r="X116" s="33">
        <f t="shared" si="58"/>
        <v>-0.6</v>
      </c>
      <c r="Y116" s="113">
        <f t="shared" si="97"/>
        <v>7.4211502782931356E-3</v>
      </c>
      <c r="Z116" s="113">
        <f t="shared" si="97"/>
        <v>4.4444444444444444E-3</v>
      </c>
      <c r="AA116" s="33">
        <f t="shared" si="59"/>
        <v>0.96660482374768086</v>
      </c>
      <c r="AB116" s="33">
        <f t="shared" si="60"/>
        <v>0.66975881261595549</v>
      </c>
      <c r="AC116" s="114">
        <f t="shared" si="17"/>
        <v>66.25</v>
      </c>
      <c r="AD116" s="145">
        <f t="shared" si="205"/>
        <v>67.8</v>
      </c>
      <c r="AE116" s="33">
        <f t="shared" si="61"/>
        <v>-0.16139240506329114</v>
      </c>
      <c r="AF116" s="33">
        <f t="shared" si="62"/>
        <v>-2.286135693215335E-2</v>
      </c>
      <c r="AG116" s="112">
        <v>434</v>
      </c>
      <c r="AH116" s="112">
        <f>1909+149</f>
        <v>2058</v>
      </c>
      <c r="AI116" s="33">
        <f t="shared" si="63"/>
        <v>9.8734177215189872E-2</v>
      </c>
      <c r="AJ116" s="33">
        <f t="shared" si="64"/>
        <v>-0.78911564625850339</v>
      </c>
      <c r="AK116" s="112">
        <v>7476</v>
      </c>
      <c r="AL116" s="112">
        <f>27193+2709</f>
        <v>29902</v>
      </c>
      <c r="AM116" s="150">
        <f t="shared" si="65"/>
        <v>0.21758957654723127</v>
      </c>
      <c r="AN116" s="267">
        <f t="shared" si="66"/>
        <v>-0.74998327871045412</v>
      </c>
      <c r="AO116" s="110">
        <f t="shared" si="11"/>
        <v>5.8052434456928842E-2</v>
      </c>
      <c r="AP116" s="110">
        <f t="shared" si="11"/>
        <v>6.8824827770717675E-2</v>
      </c>
      <c r="AQ116" s="33">
        <f t="shared" si="67"/>
        <v>-9.7615322618878259E-2</v>
      </c>
      <c r="AR116" s="33">
        <f t="shared" si="68"/>
        <v>-0.15651900139402999</v>
      </c>
      <c r="AS116" s="68"/>
    </row>
    <row r="117" spans="1:45" s="81" customFormat="1" ht="15.75" x14ac:dyDescent="0.25">
      <c r="A117" s="260" t="s">
        <v>63</v>
      </c>
      <c r="B117" s="260" t="s">
        <v>64</v>
      </c>
      <c r="C117" s="261">
        <f t="shared" si="166"/>
        <v>42930</v>
      </c>
      <c r="D117" s="260" t="s">
        <v>228</v>
      </c>
      <c r="E117" s="109">
        <v>749</v>
      </c>
      <c r="F117" s="109"/>
      <c r="G117" s="33">
        <f t="shared" si="49"/>
        <v>0.48023715415019763</v>
      </c>
      <c r="H117" s="33" t="e">
        <f t="shared" si="50"/>
        <v>#DIV/0!</v>
      </c>
      <c r="I117" s="109">
        <v>1287</v>
      </c>
      <c r="J117" s="111"/>
      <c r="K117" s="33">
        <f t="shared" si="51"/>
        <v>9.0677966101694915E-2</v>
      </c>
      <c r="L117" s="33" t="e">
        <f t="shared" si="52"/>
        <v>#DIV/0!</v>
      </c>
      <c r="M117" s="111">
        <f t="shared" si="103"/>
        <v>0.58197358197358195</v>
      </c>
      <c r="N117" s="111"/>
      <c r="O117" s="33">
        <f t="shared" si="53"/>
        <v>0.35717159432574447</v>
      </c>
      <c r="P117" s="33" t="e">
        <f t="shared" si="54"/>
        <v>#DIV/0!</v>
      </c>
      <c r="Q117" s="112">
        <v>2055</v>
      </c>
      <c r="R117" s="112"/>
      <c r="S117" s="33">
        <f t="shared" si="55"/>
        <v>0.17697594501718214</v>
      </c>
      <c r="T117" s="33" t="e">
        <f t="shared" si="56"/>
        <v>#DIV/0!</v>
      </c>
      <c r="U117" s="112">
        <v>8</v>
      </c>
      <c r="V117" s="112"/>
      <c r="W117" s="33">
        <f t="shared" si="57"/>
        <v>1</v>
      </c>
      <c r="X117" s="33" t="e">
        <f t="shared" si="58"/>
        <v>#DIV/0!</v>
      </c>
      <c r="Y117" s="113">
        <f t="shared" si="97"/>
        <v>3.8929440389294406E-3</v>
      </c>
      <c r="Z117" s="113"/>
      <c r="AA117" s="33">
        <f t="shared" si="59"/>
        <v>0.69927007299270072</v>
      </c>
      <c r="AB117" s="33" t="e">
        <f t="shared" si="60"/>
        <v>#DIV/0!</v>
      </c>
      <c r="AC117" s="114">
        <f t="shared" ref="AC117:AC118" si="206">E117/U117</f>
        <v>93.625</v>
      </c>
      <c r="AD117" s="145"/>
      <c r="AE117" s="33">
        <f t="shared" si="61"/>
        <v>-0.25988142292490118</v>
      </c>
      <c r="AF117" s="33" t="e">
        <f t="shared" si="62"/>
        <v>#DIV/0!</v>
      </c>
      <c r="AG117" s="112">
        <v>2067</v>
      </c>
      <c r="AH117" s="112"/>
      <c r="AI117" s="33">
        <f t="shared" si="63"/>
        <v>0.18929804372842349</v>
      </c>
      <c r="AJ117" s="33" t="e">
        <f t="shared" si="64"/>
        <v>#DIV/0!</v>
      </c>
      <c r="AK117" s="112">
        <v>131282</v>
      </c>
      <c r="AL117" s="112"/>
      <c r="AM117" s="150">
        <f t="shared" si="65"/>
        <v>0.20570515410895998</v>
      </c>
      <c r="AN117" s="267" t="e">
        <f t="shared" si="66"/>
        <v>#DIV/0!</v>
      </c>
      <c r="AO117" s="110">
        <f t="shared" si="11"/>
        <v>1.5744732712786216E-2</v>
      </c>
      <c r="AP117" s="110"/>
      <c r="AQ117" s="33">
        <f t="shared" si="67"/>
        <v>-1.3607896030486606E-2</v>
      </c>
      <c r="AR117" s="33" t="e">
        <f t="shared" si="68"/>
        <v>#DIV/0!</v>
      </c>
      <c r="AS117" s="68"/>
    </row>
    <row r="118" spans="1:45" s="81" customFormat="1" ht="15.75" customHeight="1" x14ac:dyDescent="0.3">
      <c r="A118" s="29" t="s">
        <v>63</v>
      </c>
      <c r="B118" s="29" t="s">
        <v>65</v>
      </c>
      <c r="C118" s="30">
        <f t="shared" si="166"/>
        <v>42937</v>
      </c>
      <c r="D118" s="31" t="s">
        <v>28</v>
      </c>
      <c r="E118" s="32">
        <f>SUM(E119:E121)</f>
        <v>20521</v>
      </c>
      <c r="F118" s="32">
        <f>SUM(F119:F121)</f>
        <v>8018</v>
      </c>
      <c r="G118" s="33">
        <f t="shared" ref="G118" si="207">(E118-E114)/E114</f>
        <v>0.31561738684446722</v>
      </c>
      <c r="H118" s="33">
        <f t="shared" ref="H118" si="208">(E118-F118)/F118</f>
        <v>1.5593664255425292</v>
      </c>
      <c r="I118" s="32">
        <f>SUM(I119:I121)</f>
        <v>3280.75</v>
      </c>
      <c r="J118" s="32">
        <f>SUM(J119:J121)</f>
        <v>2075.9699999999998</v>
      </c>
      <c r="K118" s="33">
        <f t="shared" ref="K118" si="209">(I118-I114)/I114</f>
        <v>0.26785900611756697</v>
      </c>
      <c r="L118" s="33">
        <f t="shared" ref="L118" si="210">(I118-J118)/J118</f>
        <v>0.58034557339460602</v>
      </c>
      <c r="M118" s="34">
        <f t="shared" si="103"/>
        <v>6.2549721862379029</v>
      </c>
      <c r="N118" s="34">
        <f t="shared" ref="N118" si="211">F118/J118</f>
        <v>3.8622908808894159</v>
      </c>
      <c r="O118" s="33">
        <f t="shared" ref="O118" si="212">(M118-M114)/M114</f>
        <v>3.7668526623591894E-2</v>
      </c>
      <c r="P118" s="33">
        <f t="shared" ref="P118" si="213">(M118-N118)/N118</f>
        <v>0.61949795578252653</v>
      </c>
      <c r="Q118" s="35">
        <f>SUM(Q119:Q121)</f>
        <v>8717</v>
      </c>
      <c r="R118" s="35">
        <f>SUM(R119:R121)</f>
        <v>6323</v>
      </c>
      <c r="S118" s="33">
        <f t="shared" ref="S118" si="214">(Q118-Q114)/Q114</f>
        <v>0.26608569353667394</v>
      </c>
      <c r="T118" s="33">
        <f t="shared" ref="T118" si="215">(Q118-R118)/R118</f>
        <v>0.37861774474142024</v>
      </c>
      <c r="U118" s="35">
        <f>SUM(U119:U121)</f>
        <v>153</v>
      </c>
      <c r="V118" s="35">
        <f>SUM(V119:V121)</f>
        <v>82</v>
      </c>
      <c r="W118" s="33">
        <f t="shared" ref="W118" si="216">(U118-U114)/U114</f>
        <v>0.1953125</v>
      </c>
      <c r="X118" s="33">
        <f t="shared" ref="X118" si="217">(U118-V118)/V118</f>
        <v>0.86585365853658536</v>
      </c>
      <c r="Y118" s="88">
        <f t="shared" ref="Y118" si="218">U118/Q118</f>
        <v>1.7551910060800733E-2</v>
      </c>
      <c r="Z118" s="88">
        <f t="shared" ref="Z118" si="219">V118/R118</f>
        <v>1.2968527597659339E-2</v>
      </c>
      <c r="AA118" s="33">
        <f t="shared" ref="AA118" si="220">(Y118-Y114)/Y114</f>
        <v>-5.5899212745210612E-2</v>
      </c>
      <c r="AB118" s="33">
        <f t="shared" ref="AB118" si="221">(Y118-Z118)/Z118</f>
        <v>0.35342350383467114</v>
      </c>
      <c r="AC118" s="97">
        <f t="shared" si="206"/>
        <v>134.12418300653596</v>
      </c>
      <c r="AD118" s="145">
        <f t="shared" ref="AD118" si="222">F118/V118</f>
        <v>97.780487804878049</v>
      </c>
      <c r="AE118" s="33">
        <f t="shared" ref="AE118" si="223">(AC118-AC114)/AC114</f>
        <v>0.10064722559537137</v>
      </c>
      <c r="AF118" s="33">
        <f t="shared" ref="AF118" si="224">(AC118-AD118)/AD118</f>
        <v>0.37168658100972168</v>
      </c>
      <c r="AG118" s="35">
        <f>SUM(AG119:AG121)</f>
        <v>7436</v>
      </c>
      <c r="AH118" s="35">
        <f>SUM(AH119:AH121)</f>
        <v>5409</v>
      </c>
      <c r="AI118" s="33">
        <f t="shared" ref="AI118" si="225">(AG118-AG114)/AG114</f>
        <v>0.30984675004403733</v>
      </c>
      <c r="AJ118" s="33">
        <f t="shared" ref="AJ118" si="226">(AG118-AH118)/AH118</f>
        <v>0.37474579404695879</v>
      </c>
      <c r="AK118" s="35">
        <f>SUM(AK119:AK121)</f>
        <v>191692</v>
      </c>
      <c r="AL118" s="35">
        <f>SUM(AL119:AL121)</f>
        <v>32761</v>
      </c>
      <c r="AM118" s="150">
        <f t="shared" ref="AM118" si="227">(AK118-AK114)/AK114</f>
        <v>0.22653050778050779</v>
      </c>
      <c r="AN118" s="267">
        <f t="shared" ref="AN118" si="228">(AK118-AL118)/AL118</f>
        <v>4.8512255425658557</v>
      </c>
      <c r="AO118" s="33">
        <f t="shared" ref="AO118" si="229">AG118/AK118</f>
        <v>3.8791394528723162E-2</v>
      </c>
      <c r="AP118" s="33">
        <f t="shared" ref="AP118" si="230">AH118/AL118</f>
        <v>0.1651048502792955</v>
      </c>
      <c r="AQ118" s="33">
        <f t="shared" ref="AQ118" si="231">(AO118-AO114)/AO114</f>
        <v>6.792838966092743E-2</v>
      </c>
      <c r="AR118" s="33">
        <f t="shared" ref="AR118" si="232">(AO118-AP118)/AP118</f>
        <v>-0.76504993970133128</v>
      </c>
      <c r="AS118" s="68" t="s">
        <v>193</v>
      </c>
    </row>
    <row r="119" spans="1:45" s="81" customFormat="1" ht="15.75" x14ac:dyDescent="0.25">
      <c r="A119" s="260" t="s">
        <v>63</v>
      </c>
      <c r="B119" s="260" t="s">
        <v>65</v>
      </c>
      <c r="C119" s="261">
        <f t="shared" si="166"/>
        <v>42937</v>
      </c>
      <c r="D119" s="260" t="s">
        <v>29</v>
      </c>
      <c r="E119" s="109">
        <v>19223</v>
      </c>
      <c r="F119" s="109">
        <v>7525</v>
      </c>
      <c r="G119" s="33">
        <f t="shared" si="49"/>
        <v>0.31808831596269888</v>
      </c>
      <c r="H119" s="33">
        <f t="shared" si="50"/>
        <v>1.5545514950166113</v>
      </c>
      <c r="I119" s="109">
        <f>779.69+132.7</f>
        <v>912.3900000000001</v>
      </c>
      <c r="J119" s="111">
        <f>278.79+34.04</f>
        <v>312.83000000000004</v>
      </c>
      <c r="K119" s="33">
        <f t="shared" si="51"/>
        <v>0.36426029486527728</v>
      </c>
      <c r="L119" s="33">
        <f t="shared" si="52"/>
        <v>1.9165681040820892</v>
      </c>
      <c r="M119" s="111">
        <f t="shared" si="103"/>
        <v>21.068841175374562</v>
      </c>
      <c r="N119" s="111">
        <f t="shared" si="104"/>
        <v>24.054598344148577</v>
      </c>
      <c r="O119" s="33">
        <f t="shared" si="53"/>
        <v>-3.384396590325027E-2</v>
      </c>
      <c r="P119" s="33">
        <f t="shared" si="54"/>
        <v>-0.12412417476512626</v>
      </c>
      <c r="Q119" s="112">
        <v>5428</v>
      </c>
      <c r="R119" s="112">
        <v>4240</v>
      </c>
      <c r="S119" s="33">
        <f t="shared" si="55"/>
        <v>0.26497319972034489</v>
      </c>
      <c r="T119" s="33">
        <f t="shared" si="56"/>
        <v>0.28018867924528301</v>
      </c>
      <c r="U119" s="112">
        <v>140</v>
      </c>
      <c r="V119" s="112">
        <v>75</v>
      </c>
      <c r="W119" s="33">
        <f t="shared" si="57"/>
        <v>0.20689655172413793</v>
      </c>
      <c r="X119" s="33">
        <f t="shared" si="58"/>
        <v>0.8666666666666667</v>
      </c>
      <c r="Y119" s="113">
        <f t="shared" si="97"/>
        <v>2.5792188651436992E-2</v>
      </c>
      <c r="Z119" s="113">
        <f t="shared" si="97"/>
        <v>1.7688679245283018E-2</v>
      </c>
      <c r="AA119" s="33">
        <f t="shared" si="59"/>
        <v>-4.5911366350722953E-2</v>
      </c>
      <c r="AB119" s="33">
        <f t="shared" si="60"/>
        <v>0.45811839842790464</v>
      </c>
      <c r="AC119" s="114">
        <f t="shared" si="17"/>
        <v>137.30714285714285</v>
      </c>
      <c r="AD119" s="269">
        <f t="shared" si="205"/>
        <v>100.33333333333333</v>
      </c>
      <c r="AE119" s="33">
        <f t="shared" si="61"/>
        <v>9.2130318940521899E-2</v>
      </c>
      <c r="AF119" s="33">
        <f t="shared" si="62"/>
        <v>0.36850972947318461</v>
      </c>
      <c r="AG119" s="112">
        <f>3858+198</f>
        <v>4056</v>
      </c>
      <c r="AH119" s="112">
        <f>3328+214</f>
        <v>3542</v>
      </c>
      <c r="AI119" s="33">
        <f t="shared" si="63"/>
        <v>0.2770780856423174</v>
      </c>
      <c r="AJ119" s="33">
        <f t="shared" si="64"/>
        <v>0.14511575381140598</v>
      </c>
      <c r="AK119" s="112">
        <f>11337+487</f>
        <v>11824</v>
      </c>
      <c r="AL119" s="112">
        <f>7385+429</f>
        <v>7814</v>
      </c>
      <c r="AM119" s="150">
        <f t="shared" si="65"/>
        <v>-0.325499144324016</v>
      </c>
      <c r="AN119" s="267">
        <f t="shared" si="66"/>
        <v>0.51318146915792173</v>
      </c>
      <c r="AO119" s="110">
        <f t="shared" si="11"/>
        <v>0.34303112313937756</v>
      </c>
      <c r="AP119" s="110">
        <f t="shared" si="11"/>
        <v>0.45328896851804451</v>
      </c>
      <c r="AQ119" s="33">
        <f t="shared" si="67"/>
        <v>0.89336762866287434</v>
      </c>
      <c r="AR119" s="33">
        <f t="shared" si="68"/>
        <v>-0.24323963969195472</v>
      </c>
      <c r="AS119" s="68"/>
    </row>
    <row r="120" spans="1:45" s="81" customFormat="1" ht="15.75" x14ac:dyDescent="0.25">
      <c r="A120" s="260" t="s">
        <v>63</v>
      </c>
      <c r="B120" s="260" t="s">
        <v>65</v>
      </c>
      <c r="C120" s="261">
        <f t="shared" si="166"/>
        <v>42937</v>
      </c>
      <c r="D120" s="260" t="s">
        <v>30</v>
      </c>
      <c r="E120" s="109">
        <v>788</v>
      </c>
      <c r="F120" s="109">
        <v>493</v>
      </c>
      <c r="G120" s="33">
        <f t="shared" si="49"/>
        <v>1.9735849056603774</v>
      </c>
      <c r="H120" s="33">
        <f t="shared" si="50"/>
        <v>0.5983772819472617</v>
      </c>
      <c r="I120" s="109">
        <v>665.36</v>
      </c>
      <c r="J120" s="111">
        <f>1610.26+152.88</f>
        <v>1763.1399999999999</v>
      </c>
      <c r="K120" s="33">
        <f t="shared" si="51"/>
        <v>5.3034739257735206E-2</v>
      </c>
      <c r="L120" s="33">
        <f t="shared" si="52"/>
        <v>-0.62262781174495496</v>
      </c>
      <c r="M120" s="111">
        <f t="shared" si="103"/>
        <v>1.1843212696885896</v>
      </c>
      <c r="N120" s="111">
        <f t="shared" si="104"/>
        <v>0.27961477817983826</v>
      </c>
      <c r="O120" s="33">
        <f t="shared" si="53"/>
        <v>1.823824129255605</v>
      </c>
      <c r="P120" s="33">
        <f t="shared" si="54"/>
        <v>3.235546051599878</v>
      </c>
      <c r="Q120" s="112">
        <v>514</v>
      </c>
      <c r="R120" s="112">
        <v>2083</v>
      </c>
      <c r="S120" s="33">
        <f t="shared" si="55"/>
        <v>-4.6382189239332093E-2</v>
      </c>
      <c r="T120" s="33">
        <f t="shared" si="56"/>
        <v>-0.75324051848295726</v>
      </c>
      <c r="U120" s="112">
        <v>6</v>
      </c>
      <c r="V120" s="112">
        <v>7</v>
      </c>
      <c r="W120" s="33">
        <f t="shared" si="57"/>
        <v>0.5</v>
      </c>
      <c r="X120" s="33">
        <f t="shared" si="58"/>
        <v>-0.14285714285714285</v>
      </c>
      <c r="Y120" s="113">
        <f t="shared" si="97"/>
        <v>1.1673151750972763E-2</v>
      </c>
      <c r="Z120" s="113">
        <f t="shared" si="97"/>
        <v>3.3605376860297649E-3</v>
      </c>
      <c r="AA120" s="33">
        <f t="shared" si="59"/>
        <v>0.57295719844357973</v>
      </c>
      <c r="AB120" s="33">
        <f t="shared" si="60"/>
        <v>2.4735964424680379</v>
      </c>
      <c r="AC120" s="114">
        <f t="shared" si="17"/>
        <v>131.33333333333334</v>
      </c>
      <c r="AD120" s="269">
        <f t="shared" si="205"/>
        <v>70.428571428571431</v>
      </c>
      <c r="AE120" s="33">
        <f t="shared" si="61"/>
        <v>0.98238993710691835</v>
      </c>
      <c r="AF120" s="33">
        <f t="shared" si="62"/>
        <v>0.86477349560513872</v>
      </c>
      <c r="AG120" s="112">
        <v>432</v>
      </c>
      <c r="AH120" s="112">
        <f>1709+158</f>
        <v>1867</v>
      </c>
      <c r="AI120" s="33">
        <f t="shared" si="63"/>
        <v>-4.608294930875576E-3</v>
      </c>
      <c r="AJ120" s="33">
        <f t="shared" si="64"/>
        <v>-0.76861274772362076</v>
      </c>
      <c r="AK120" s="112">
        <v>6564</v>
      </c>
      <c r="AL120" s="112">
        <f>22432+2515</f>
        <v>24947</v>
      </c>
      <c r="AM120" s="150">
        <f t="shared" si="65"/>
        <v>-0.12199036918138041</v>
      </c>
      <c r="AN120" s="267">
        <f t="shared" si="66"/>
        <v>-0.7368821902433158</v>
      </c>
      <c r="AO120" s="110">
        <f t="shared" si="11"/>
        <v>6.5813528336380253E-2</v>
      </c>
      <c r="AP120" s="110">
        <f t="shared" si="11"/>
        <v>7.4838657954864315E-2</v>
      </c>
      <c r="AQ120" s="33">
        <f t="shared" si="67"/>
        <v>0.13369110102022752</v>
      </c>
      <c r="AR120" s="33">
        <f t="shared" si="68"/>
        <v>-0.12059448773022062</v>
      </c>
      <c r="AS120" s="68"/>
    </row>
    <row r="121" spans="1:45" s="81" customFormat="1" ht="15.75" x14ac:dyDescent="0.25">
      <c r="A121" s="260" t="s">
        <v>63</v>
      </c>
      <c r="B121" s="260" t="s">
        <v>65</v>
      </c>
      <c r="C121" s="261">
        <f t="shared" si="166"/>
        <v>42937</v>
      </c>
      <c r="D121" s="260" t="s">
        <v>228</v>
      </c>
      <c r="E121" s="109">
        <v>510</v>
      </c>
      <c r="F121" s="109"/>
      <c r="G121" s="33">
        <f t="shared" si="49"/>
        <v>-0.31909212283044058</v>
      </c>
      <c r="H121" s="33" t="e">
        <f t="shared" si="50"/>
        <v>#DIV/0!</v>
      </c>
      <c r="I121" s="109">
        <v>1703</v>
      </c>
      <c r="J121" s="111"/>
      <c r="K121" s="33">
        <f t="shared" si="51"/>
        <v>0.32323232323232326</v>
      </c>
      <c r="L121" s="33" t="e">
        <f t="shared" si="52"/>
        <v>#DIV/0!</v>
      </c>
      <c r="M121" s="111">
        <f t="shared" si="103"/>
        <v>0.29947152084556666</v>
      </c>
      <c r="N121" s="111"/>
      <c r="O121" s="33">
        <f t="shared" si="53"/>
        <v>-0.48542076458178329</v>
      </c>
      <c r="P121" s="33" t="e">
        <f t="shared" si="54"/>
        <v>#DIV/0!</v>
      </c>
      <c r="Q121" s="112">
        <v>2775</v>
      </c>
      <c r="R121" s="112"/>
      <c r="S121" s="33">
        <f t="shared" si="55"/>
        <v>0.35036496350364965</v>
      </c>
      <c r="T121" s="33" t="e">
        <f t="shared" si="56"/>
        <v>#DIV/0!</v>
      </c>
      <c r="U121" s="112">
        <v>7</v>
      </c>
      <c r="V121" s="112"/>
      <c r="W121" s="33">
        <f t="shared" si="57"/>
        <v>-0.125</v>
      </c>
      <c r="X121" s="33" t="e">
        <f t="shared" si="58"/>
        <v>#DIV/0!</v>
      </c>
      <c r="Y121" s="113">
        <f t="shared" si="97"/>
        <v>2.5225225225225223E-3</v>
      </c>
      <c r="Z121" s="113"/>
      <c r="AA121" s="33">
        <f t="shared" si="59"/>
        <v>-0.3520270270270271</v>
      </c>
      <c r="AB121" s="33" t="e">
        <f t="shared" si="60"/>
        <v>#DIV/0!</v>
      </c>
      <c r="AC121" s="114">
        <f t="shared" ref="AC121:AC122" si="233">E121/U121</f>
        <v>72.857142857142861</v>
      </c>
      <c r="AD121" s="269"/>
      <c r="AE121" s="33">
        <f t="shared" si="61"/>
        <v>-0.22181956894907492</v>
      </c>
      <c r="AF121" s="33" t="e">
        <f t="shared" si="62"/>
        <v>#DIV/0!</v>
      </c>
      <c r="AG121" s="112">
        <v>2948</v>
      </c>
      <c r="AH121" s="112"/>
      <c r="AI121" s="33">
        <f t="shared" si="63"/>
        <v>0.42622157716497339</v>
      </c>
      <c r="AJ121" s="33" t="e">
        <f t="shared" si="64"/>
        <v>#DIV/0!</v>
      </c>
      <c r="AK121" s="112">
        <v>173304</v>
      </c>
      <c r="AL121" s="112"/>
      <c r="AM121" s="150">
        <f t="shared" si="65"/>
        <v>0.32008957815999145</v>
      </c>
      <c r="AN121" s="267" t="e">
        <f t="shared" si="66"/>
        <v>#DIV/0!</v>
      </c>
      <c r="AO121" s="110">
        <f t="shared" si="11"/>
        <v>1.7010571019711027E-2</v>
      </c>
      <c r="AP121" s="110"/>
      <c r="AQ121" s="33">
        <f t="shared" si="67"/>
        <v>8.0397573589599869E-2</v>
      </c>
      <c r="AR121" s="33" t="e">
        <f t="shared" si="68"/>
        <v>#DIV/0!</v>
      </c>
      <c r="AS121" s="68"/>
    </row>
    <row r="122" spans="1:45" s="81" customFormat="1" ht="15.75" customHeight="1" x14ac:dyDescent="0.3">
      <c r="A122" s="29" t="s">
        <v>63</v>
      </c>
      <c r="B122" s="29" t="s">
        <v>66</v>
      </c>
      <c r="C122" s="30">
        <f t="shared" si="166"/>
        <v>42944</v>
      </c>
      <c r="D122" s="31" t="s">
        <v>28</v>
      </c>
      <c r="E122" s="32">
        <f>SUM(E123:E125)</f>
        <v>8148</v>
      </c>
      <c r="F122" s="32">
        <f>SUM(F123:F125)</f>
        <v>5718</v>
      </c>
      <c r="G122" s="33">
        <f t="shared" si="49"/>
        <v>-0.60294332634861847</v>
      </c>
      <c r="H122" s="33">
        <f t="shared" si="50"/>
        <v>0.4249737670514166</v>
      </c>
      <c r="I122" s="32">
        <f>SUM(I123:I125)</f>
        <v>3020.33</v>
      </c>
      <c r="J122" s="32">
        <f>SUM(J123:J125)</f>
        <v>1848.4999999999998</v>
      </c>
      <c r="K122" s="33">
        <f t="shared" si="51"/>
        <v>-7.9378190962432399E-2</v>
      </c>
      <c r="L122" s="33">
        <f t="shared" si="52"/>
        <v>0.63393562347849619</v>
      </c>
      <c r="M122" s="34">
        <f t="shared" ref="M122" si="234">E122/I122</f>
        <v>2.6977184612277467</v>
      </c>
      <c r="N122" s="34">
        <f t="shared" ref="N122" si="235">F122/J122</f>
        <v>3.0933189072220721</v>
      </c>
      <c r="O122" s="33">
        <f t="shared" si="53"/>
        <v>-0.56870816033950933</v>
      </c>
      <c r="P122" s="33">
        <f t="shared" si="54"/>
        <v>-0.12788867163702528</v>
      </c>
      <c r="Q122" s="35">
        <f>SUM(Q123:Q125)</f>
        <v>7097</v>
      </c>
      <c r="R122" s="35">
        <f>SUM(R123:R125)</f>
        <v>5192</v>
      </c>
      <c r="S122" s="33">
        <f t="shared" si="55"/>
        <v>-0.18584375358494895</v>
      </c>
      <c r="T122" s="33">
        <f t="shared" si="56"/>
        <v>0.36691063174114019</v>
      </c>
      <c r="U122" s="35">
        <f>SUM(U123:U125)</f>
        <v>86</v>
      </c>
      <c r="V122" s="35">
        <f>SUM(V123:V125)</f>
        <v>61</v>
      </c>
      <c r="W122" s="33">
        <f t="shared" si="57"/>
        <v>-0.43790849673202614</v>
      </c>
      <c r="X122" s="33">
        <f t="shared" si="58"/>
        <v>0.4098360655737705</v>
      </c>
      <c r="Y122" s="88">
        <f t="shared" si="97"/>
        <v>1.2117796251937438E-2</v>
      </c>
      <c r="Z122" s="88">
        <f t="shared" ref="Z122" si="236">V122/R122</f>
        <v>1.1748844375963021E-2</v>
      </c>
      <c r="AA122" s="33">
        <f t="shared" si="59"/>
        <v>-0.30960241877033556</v>
      </c>
      <c r="AB122" s="33">
        <f t="shared" si="60"/>
        <v>3.1403248197691386E-2</v>
      </c>
      <c r="AC122" s="97">
        <f t="shared" si="233"/>
        <v>94.744186046511629</v>
      </c>
      <c r="AD122" s="145">
        <f t="shared" ref="AD122" si="237">F122/V122</f>
        <v>93.73770491803279</v>
      </c>
      <c r="AE122" s="33">
        <f t="shared" si="61"/>
        <v>-0.29360847594579803</v>
      </c>
      <c r="AF122" s="33">
        <f t="shared" si="62"/>
        <v>1.0737206862051273E-2</v>
      </c>
      <c r="AG122" s="35">
        <f>SUM(AG123:AG125)</f>
        <v>6052</v>
      </c>
      <c r="AH122" s="35">
        <f>SUM(AH123:AH125)</f>
        <v>4381</v>
      </c>
      <c r="AI122" s="33">
        <f t="shared" si="63"/>
        <v>-0.18612157073695534</v>
      </c>
      <c r="AJ122" s="33">
        <f t="shared" si="64"/>
        <v>0.38141976717644371</v>
      </c>
      <c r="AK122" s="35">
        <f>SUM(AK123:AK125)</f>
        <v>218021</v>
      </c>
      <c r="AL122" s="35">
        <f>SUM(AL123:AL125)</f>
        <v>30477</v>
      </c>
      <c r="AM122" s="150">
        <f t="shared" si="65"/>
        <v>0.13735054149364606</v>
      </c>
      <c r="AN122" s="267">
        <f t="shared" si="66"/>
        <v>6.1536240443613215</v>
      </c>
      <c r="AO122" s="33">
        <f t="shared" si="11"/>
        <v>2.7758793877653988E-2</v>
      </c>
      <c r="AP122" s="33">
        <f t="shared" ref="AP122" si="238">AH122/AL122</f>
        <v>0.14374774420054467</v>
      </c>
      <c r="AQ122" s="33">
        <f t="shared" si="67"/>
        <v>-0.28440845669778808</v>
      </c>
      <c r="AR122" s="33">
        <f t="shared" si="68"/>
        <v>-0.80689231659227112</v>
      </c>
      <c r="AS122" s="68" t="s">
        <v>245</v>
      </c>
    </row>
    <row r="123" spans="1:45" s="81" customFormat="1" ht="15.75" x14ac:dyDescent="0.25">
      <c r="A123" s="260" t="s">
        <v>63</v>
      </c>
      <c r="B123" s="260" t="s">
        <v>66</v>
      </c>
      <c r="C123" s="261">
        <f t="shared" si="166"/>
        <v>42944</v>
      </c>
      <c r="D123" s="260" t="s">
        <v>29</v>
      </c>
      <c r="E123" s="109">
        <v>7256</v>
      </c>
      <c r="F123" s="109">
        <v>5174</v>
      </c>
      <c r="G123" s="33">
        <f t="shared" si="49"/>
        <v>-0.62253550434375493</v>
      </c>
      <c r="H123" s="33">
        <f t="shared" si="50"/>
        <v>0.40239659837649788</v>
      </c>
      <c r="I123" s="109">
        <f>378.99+79.11</f>
        <v>458.1</v>
      </c>
      <c r="J123" s="111">
        <f>208.28+24.31</f>
        <v>232.59</v>
      </c>
      <c r="K123" s="33">
        <f t="shared" si="51"/>
        <v>-0.49791207707230462</v>
      </c>
      <c r="L123" s="33">
        <f t="shared" si="52"/>
        <v>0.96956017025667496</v>
      </c>
      <c r="M123" s="111">
        <f t="shared" si="103"/>
        <v>15.839336389434621</v>
      </c>
      <c r="N123" s="111">
        <f t="shared" si="104"/>
        <v>22.245152414119264</v>
      </c>
      <c r="O123" s="33">
        <f t="shared" si="53"/>
        <v>-0.24821036631346532</v>
      </c>
      <c r="P123" s="33">
        <f t="shared" si="54"/>
        <v>-0.28796458236981082</v>
      </c>
      <c r="Q123" s="112">
        <v>3236</v>
      </c>
      <c r="R123" s="112">
        <v>3144</v>
      </c>
      <c r="S123" s="33">
        <f t="shared" si="55"/>
        <v>-0.40383198231392781</v>
      </c>
      <c r="T123" s="33">
        <f t="shared" si="56"/>
        <v>2.9262086513994912E-2</v>
      </c>
      <c r="U123" s="112">
        <v>74</v>
      </c>
      <c r="V123" s="112">
        <v>54</v>
      </c>
      <c r="W123" s="33">
        <f t="shared" si="57"/>
        <v>-0.47142857142857142</v>
      </c>
      <c r="X123" s="33">
        <f t="shared" si="58"/>
        <v>0.37037037037037035</v>
      </c>
      <c r="Y123" s="113">
        <f t="shared" si="97"/>
        <v>2.2867737948084055E-2</v>
      </c>
      <c r="Z123" s="113">
        <f t="shared" si="97"/>
        <v>1.717557251908397E-2</v>
      </c>
      <c r="AA123" s="33">
        <f t="shared" si="59"/>
        <v>-0.11338513155571245</v>
      </c>
      <c r="AB123" s="33">
        <f t="shared" si="60"/>
        <v>0.33141052053289377</v>
      </c>
      <c r="AC123" s="114">
        <f t="shared" si="17"/>
        <v>98.054054054054049</v>
      </c>
      <c r="AD123" s="269">
        <f t="shared" si="205"/>
        <v>95.81481481481481</v>
      </c>
      <c r="AE123" s="33">
        <f t="shared" si="61"/>
        <v>-0.28587798119088759</v>
      </c>
      <c r="AF123" s="33">
        <f t="shared" si="62"/>
        <v>2.3370490707174129E-2</v>
      </c>
      <c r="AG123" s="112">
        <f>2041+137</f>
        <v>2178</v>
      </c>
      <c r="AH123" s="112">
        <f>2422+132</f>
        <v>2554</v>
      </c>
      <c r="AI123" s="33">
        <f t="shared" si="63"/>
        <v>-0.46301775147928992</v>
      </c>
      <c r="AJ123" s="33">
        <f t="shared" si="64"/>
        <v>-0.14722004698512137</v>
      </c>
      <c r="AK123" s="112">
        <f>6739+379</f>
        <v>7118</v>
      </c>
      <c r="AL123" s="112">
        <f>5824+307</f>
        <v>6131</v>
      </c>
      <c r="AM123" s="150">
        <f t="shared" si="65"/>
        <v>-0.3980040595399188</v>
      </c>
      <c r="AN123" s="267">
        <f t="shared" si="66"/>
        <v>0.16098515739683575</v>
      </c>
      <c r="AO123" s="110">
        <f t="shared" si="11"/>
        <v>0.30598482719865133</v>
      </c>
      <c r="AP123" s="110">
        <f t="shared" si="11"/>
        <v>0.41657152177458817</v>
      </c>
      <c r="AQ123" s="33">
        <f t="shared" si="67"/>
        <v>-0.10799689428085475</v>
      </c>
      <c r="AR123" s="33">
        <f t="shared" si="68"/>
        <v>-0.2654686861570355</v>
      </c>
      <c r="AS123" s="68"/>
    </row>
    <row r="124" spans="1:45" s="81" customFormat="1" ht="15.75" x14ac:dyDescent="0.25">
      <c r="A124" s="260" t="s">
        <v>63</v>
      </c>
      <c r="B124" s="260" t="s">
        <v>66</v>
      </c>
      <c r="C124" s="261">
        <f t="shared" si="166"/>
        <v>42944</v>
      </c>
      <c r="D124" s="260" t="s">
        <v>30</v>
      </c>
      <c r="E124" s="109">
        <v>177</v>
      </c>
      <c r="F124" s="109">
        <v>544</v>
      </c>
      <c r="G124" s="33">
        <f t="shared" si="49"/>
        <v>-0.77538071065989844</v>
      </c>
      <c r="H124" s="33">
        <f t="shared" si="50"/>
        <v>-0.67463235294117652</v>
      </c>
      <c r="I124" s="109">
        <v>568.23</v>
      </c>
      <c r="J124" s="111">
        <f>1494.61+121.3</f>
        <v>1615.9099999999999</v>
      </c>
      <c r="K124" s="33">
        <f t="shared" si="51"/>
        <v>-0.14598112300108212</v>
      </c>
      <c r="L124" s="33">
        <f t="shared" si="52"/>
        <v>-0.64835294044841607</v>
      </c>
      <c r="M124" s="111">
        <f t="shared" si="103"/>
        <v>0.31149358534396282</v>
      </c>
      <c r="N124" s="111">
        <f t="shared" si="104"/>
        <v>0.33665241257248241</v>
      </c>
      <c r="O124" s="33">
        <f t="shared" si="53"/>
        <v>-0.73698556859840214</v>
      </c>
      <c r="P124" s="33">
        <f t="shared" si="54"/>
        <v>-7.4732353872862284E-2</v>
      </c>
      <c r="Q124" s="112">
        <v>473</v>
      </c>
      <c r="R124" s="112">
        <v>2048</v>
      </c>
      <c r="S124" s="33">
        <f t="shared" si="55"/>
        <v>-7.9766536964980539E-2</v>
      </c>
      <c r="T124" s="33">
        <f t="shared" si="56"/>
        <v>-0.76904296875</v>
      </c>
      <c r="U124" s="112">
        <v>2</v>
      </c>
      <c r="V124" s="112">
        <v>7</v>
      </c>
      <c r="W124" s="33">
        <f t="shared" si="57"/>
        <v>-0.66666666666666663</v>
      </c>
      <c r="X124" s="33">
        <f t="shared" si="58"/>
        <v>-0.7142857142857143</v>
      </c>
      <c r="Y124" s="113">
        <f t="shared" si="97"/>
        <v>4.2283298097251587E-3</v>
      </c>
      <c r="Z124" s="113">
        <f t="shared" si="97"/>
        <v>3.41796875E-3</v>
      </c>
      <c r="AA124" s="33">
        <f t="shared" si="59"/>
        <v>-0.63777307963354479</v>
      </c>
      <c r="AB124" s="33">
        <f t="shared" si="60"/>
        <v>0.23708849290244643</v>
      </c>
      <c r="AC124" s="114">
        <f t="shared" si="17"/>
        <v>88.5</v>
      </c>
      <c r="AD124" s="269">
        <f t="shared" si="205"/>
        <v>77.714285714285708</v>
      </c>
      <c r="AE124" s="33">
        <f t="shared" si="61"/>
        <v>-0.32614213197969549</v>
      </c>
      <c r="AF124" s="33">
        <f t="shared" si="62"/>
        <v>0.13878676470588244</v>
      </c>
      <c r="AG124" s="112">
        <v>424</v>
      </c>
      <c r="AH124" s="112">
        <f>1681+146</f>
        <v>1827</v>
      </c>
      <c r="AI124" s="33">
        <f t="shared" si="63"/>
        <v>-1.8518518518518517E-2</v>
      </c>
      <c r="AJ124" s="33">
        <f t="shared" si="64"/>
        <v>-0.76792556102900933</v>
      </c>
      <c r="AK124" s="112">
        <v>5999</v>
      </c>
      <c r="AL124" s="112">
        <f>21512+2834</f>
        <v>24346</v>
      </c>
      <c r="AM124" s="150">
        <f t="shared" si="65"/>
        <v>-8.6075563680682504E-2</v>
      </c>
      <c r="AN124" s="267">
        <f t="shared" si="66"/>
        <v>-0.75359401955146632</v>
      </c>
      <c r="AO124" s="110">
        <f t="shared" si="11"/>
        <v>7.0678446407734616E-2</v>
      </c>
      <c r="AP124" s="110">
        <f t="shared" si="11"/>
        <v>7.504312823461759E-2</v>
      </c>
      <c r="AQ124" s="33">
        <f t="shared" si="67"/>
        <v>7.3919727361967683E-2</v>
      </c>
      <c r="AR124" s="33">
        <f t="shared" si="68"/>
        <v>-5.81623118540191E-2</v>
      </c>
      <c r="AS124" s="68"/>
    </row>
    <row r="125" spans="1:45" s="81" customFormat="1" ht="15.75" x14ac:dyDescent="0.25">
      <c r="A125" s="260" t="s">
        <v>63</v>
      </c>
      <c r="B125" s="260" t="s">
        <v>66</v>
      </c>
      <c r="C125" s="261">
        <f t="shared" si="166"/>
        <v>42944</v>
      </c>
      <c r="D125" s="260" t="s">
        <v>228</v>
      </c>
      <c r="E125" s="109">
        <v>715</v>
      </c>
      <c r="F125" s="109"/>
      <c r="G125" s="33">
        <f t="shared" si="49"/>
        <v>0.40196078431372551</v>
      </c>
      <c r="H125" s="33" t="e">
        <f t="shared" si="50"/>
        <v>#DIV/0!</v>
      </c>
      <c r="I125" s="109">
        <v>1994</v>
      </c>
      <c r="J125" s="111"/>
      <c r="K125" s="33">
        <f t="shared" si="51"/>
        <v>0.17087492660011744</v>
      </c>
      <c r="L125" s="33" t="e">
        <f t="shared" si="52"/>
        <v>#DIV/0!</v>
      </c>
      <c r="M125" s="111">
        <f t="shared" si="103"/>
        <v>0.35857572718154462</v>
      </c>
      <c r="N125" s="111"/>
      <c r="O125" s="33">
        <f t="shared" si="53"/>
        <v>0.19736169292190286</v>
      </c>
      <c r="P125" s="33" t="e">
        <f t="shared" si="54"/>
        <v>#DIV/0!</v>
      </c>
      <c r="Q125" s="112">
        <v>3388</v>
      </c>
      <c r="R125" s="112"/>
      <c r="S125" s="33">
        <f t="shared" si="55"/>
        <v>0.22090090090090089</v>
      </c>
      <c r="T125" s="33" t="e">
        <f t="shared" si="56"/>
        <v>#DIV/0!</v>
      </c>
      <c r="U125" s="112">
        <v>10</v>
      </c>
      <c r="V125" s="112"/>
      <c r="W125" s="33">
        <f t="shared" si="57"/>
        <v>0.42857142857142855</v>
      </c>
      <c r="X125" s="33" t="e">
        <f t="shared" si="58"/>
        <v>#DIV/0!</v>
      </c>
      <c r="Y125" s="113">
        <f t="shared" si="97"/>
        <v>2.9515938606847697E-3</v>
      </c>
      <c r="Z125" s="113"/>
      <c r="AA125" s="33">
        <f t="shared" si="59"/>
        <v>0.17009613762860523</v>
      </c>
      <c r="AB125" s="33" t="e">
        <f t="shared" si="60"/>
        <v>#DIV/0!</v>
      </c>
      <c r="AC125" s="114">
        <f t="shared" ref="AC125:AC126" si="239">E125/U125</f>
        <v>71.5</v>
      </c>
      <c r="AD125" s="269"/>
      <c r="AE125" s="33">
        <f t="shared" si="61"/>
        <v>-1.8627450980392212E-2</v>
      </c>
      <c r="AF125" s="33" t="e">
        <f t="shared" si="62"/>
        <v>#DIV/0!</v>
      </c>
      <c r="AG125" s="112">
        <v>3450</v>
      </c>
      <c r="AH125" s="112"/>
      <c r="AI125" s="33">
        <f t="shared" si="63"/>
        <v>0.17028493894165536</v>
      </c>
      <c r="AJ125" s="33" t="e">
        <f t="shared" si="64"/>
        <v>#DIV/0!</v>
      </c>
      <c r="AK125" s="112">
        <v>204904</v>
      </c>
      <c r="AL125" s="112"/>
      <c r="AM125" s="150">
        <f t="shared" si="65"/>
        <v>0.18233854960070164</v>
      </c>
      <c r="AN125" s="267" t="e">
        <f t="shared" si="66"/>
        <v>#DIV/0!</v>
      </c>
      <c r="AO125" s="110">
        <f t="shared" si="11"/>
        <v>1.6837153008238005E-2</v>
      </c>
      <c r="AP125" s="110"/>
      <c r="AQ125" s="33">
        <f t="shared" si="67"/>
        <v>-1.0194720169715269E-2</v>
      </c>
      <c r="AR125" s="33" t="e">
        <f t="shared" si="68"/>
        <v>#DIV/0!</v>
      </c>
      <c r="AS125" s="68"/>
    </row>
    <row r="126" spans="1:45" s="81" customFormat="1" ht="15.75" customHeight="1" x14ac:dyDescent="0.3">
      <c r="A126" s="29" t="s">
        <v>63</v>
      </c>
      <c r="B126" s="29" t="s">
        <v>67</v>
      </c>
      <c r="C126" s="30">
        <f t="shared" si="166"/>
        <v>42951</v>
      </c>
      <c r="D126" s="31" t="s">
        <v>28</v>
      </c>
      <c r="E126" s="32">
        <f>SUM(E127:E129)</f>
        <v>9439</v>
      </c>
      <c r="F126" s="32">
        <f>SUM(F127:F129)</f>
        <v>5639</v>
      </c>
      <c r="G126" s="33">
        <f t="shared" ref="G126" si="240">(E126-E122)/E122</f>
        <v>0.15844378988708885</v>
      </c>
      <c r="H126" s="33">
        <f t="shared" ref="H126" si="241">(E126-F126)/F126</f>
        <v>0.6738783472246852</v>
      </c>
      <c r="I126" s="32">
        <f>SUM(I127:I129)</f>
        <v>3494.23</v>
      </c>
      <c r="J126" s="32">
        <f>SUM(J127:J129)</f>
        <v>2430.87</v>
      </c>
      <c r="K126" s="33">
        <f t="shared" ref="K126" si="242">(I126-I122)/I122</f>
        <v>0.15690338472948323</v>
      </c>
      <c r="L126" s="33">
        <f t="shared" ref="L126" si="243">(I126-J126)/J126</f>
        <v>0.43744009346447987</v>
      </c>
      <c r="M126" s="34">
        <f t="shared" si="103"/>
        <v>2.7013104460782489</v>
      </c>
      <c r="N126" s="34">
        <f t="shared" ref="N126" si="244">F126/J126</f>
        <v>2.3197456054828107</v>
      </c>
      <c r="O126" s="33">
        <f t="shared" ref="O126" si="245">(M126-M122)/M122</f>
        <v>1.3314898875205195E-3</v>
      </c>
      <c r="P126" s="33">
        <f t="shared" ref="P126" si="246">(M126-N126)/N126</f>
        <v>0.16448564001742025</v>
      </c>
      <c r="Q126" s="35">
        <f>SUM(Q127:Q129)</f>
        <v>8319</v>
      </c>
      <c r="R126" s="35">
        <f>SUM(R127:R129)</f>
        <v>5599</v>
      </c>
      <c r="S126" s="33">
        <f t="shared" ref="S126" si="247">(Q126-Q122)/Q122</f>
        <v>0.17218543046357615</v>
      </c>
      <c r="T126" s="33">
        <f t="shared" ref="T126" si="248">(Q126-R126)/R126</f>
        <v>0.48580103589926771</v>
      </c>
      <c r="U126" s="35">
        <f>SUM(U127:U129)</f>
        <v>95</v>
      </c>
      <c r="V126" s="35">
        <f>SUM(V127:V129)</f>
        <v>62</v>
      </c>
      <c r="W126" s="33">
        <f t="shared" ref="W126" si="249">(U126-U122)/U122</f>
        <v>0.10465116279069768</v>
      </c>
      <c r="X126" s="33">
        <f t="shared" ref="X126" si="250">(U126-V126)/V126</f>
        <v>0.532258064516129</v>
      </c>
      <c r="Y126" s="88">
        <f t="shared" ref="Y126" si="251">U126/Q126</f>
        <v>1.1419641783868253E-2</v>
      </c>
      <c r="Z126" s="88">
        <f t="shared" ref="Z126" si="252">V126/R126</f>
        <v>1.1073405965350955E-2</v>
      </c>
      <c r="AA126" s="33">
        <f t="shared" ref="AA126" si="253">(Y126-Y122)/Y122</f>
        <v>-5.7613979766128004E-2</v>
      </c>
      <c r="AB126" s="33">
        <f t="shared" ref="AB126" si="254">(Y126-Z126)/Z126</f>
        <v>3.1267328191586286E-2</v>
      </c>
      <c r="AC126" s="97">
        <f t="shared" si="239"/>
        <v>99.357894736842098</v>
      </c>
      <c r="AD126" s="145">
        <f t="shared" ref="AD126" si="255">F126/V126</f>
        <v>90.951612903225808</v>
      </c>
      <c r="AE126" s="33">
        <f t="shared" ref="AE126" si="256">(AC126-AC122)/AC122</f>
        <v>4.8696483476732985E-2</v>
      </c>
      <c r="AF126" s="33">
        <f t="shared" ref="AF126" si="257">(AC126-AD126)/AD126</f>
        <v>9.2425868715057632E-2</v>
      </c>
      <c r="AG126" s="35">
        <f>SUM(AG127:AG129)</f>
        <v>7246</v>
      </c>
      <c r="AH126" s="35">
        <f>SUM(AH127:AH129)</f>
        <v>4778</v>
      </c>
      <c r="AI126" s="33">
        <f t="shared" ref="AI126" si="258">(AG126-AG122)/AG122</f>
        <v>0.19729015201586253</v>
      </c>
      <c r="AJ126" s="33">
        <f t="shared" ref="AJ126" si="259">(AG126-AH126)/AH126</f>
        <v>0.5165341146923399</v>
      </c>
      <c r="AK126" s="35">
        <f>SUM(AK127:AK129)</f>
        <v>205321</v>
      </c>
      <c r="AL126" s="35">
        <f>SUM(AL127:AL129)</f>
        <v>33880</v>
      </c>
      <c r="AM126" s="150">
        <f t="shared" ref="AM126" si="260">(AK126-AK122)/AK122</f>
        <v>-5.8251269373133782E-2</v>
      </c>
      <c r="AN126" s="267">
        <f t="shared" ref="AN126" si="261">(AK126-AL126)/AL126</f>
        <v>5.0602420306965765</v>
      </c>
      <c r="AO126" s="33">
        <f t="shared" ref="AO126" si="262">AG126/AK126</f>
        <v>3.5291080795437385E-2</v>
      </c>
      <c r="AP126" s="33">
        <f t="shared" ref="AP126" si="263">AH126/AL126</f>
        <v>0.14102715466351831</v>
      </c>
      <c r="AQ126" s="33">
        <f t="shared" ref="AQ126" si="264">(AO126-AO122)/AO122</f>
        <v>0.2713477736454154</v>
      </c>
      <c r="AR126" s="33">
        <f t="shared" ref="AR126" si="265">(AO126-AP126)/AP126</f>
        <v>-0.74975684023662237</v>
      </c>
      <c r="AS126" s="68"/>
    </row>
    <row r="127" spans="1:45" s="81" customFormat="1" ht="15.75" x14ac:dyDescent="0.25">
      <c r="A127" s="260" t="s">
        <v>63</v>
      </c>
      <c r="B127" s="265" t="s">
        <v>67</v>
      </c>
      <c r="C127" s="261">
        <f t="shared" si="166"/>
        <v>42951</v>
      </c>
      <c r="D127" s="260" t="s">
        <v>29</v>
      </c>
      <c r="E127" s="109">
        <v>8332</v>
      </c>
      <c r="F127" s="109">
        <v>5105</v>
      </c>
      <c r="G127" s="33">
        <f t="shared" si="49"/>
        <v>0.14829106945975745</v>
      </c>
      <c r="H127" s="33">
        <f t="shared" si="50"/>
        <v>0.63212536728697355</v>
      </c>
      <c r="I127" s="109">
        <f>671.2+85.57</f>
        <v>756.77</v>
      </c>
      <c r="J127" s="111">
        <f>207.77+15.12</f>
        <v>222.89000000000001</v>
      </c>
      <c r="K127" s="33">
        <f t="shared" si="51"/>
        <v>0.65197555118969641</v>
      </c>
      <c r="L127" s="33">
        <f t="shared" si="52"/>
        <v>2.3952622369778811</v>
      </c>
      <c r="M127" s="111">
        <f t="shared" si="103"/>
        <v>11.009950183014654</v>
      </c>
      <c r="N127" s="111">
        <f t="shared" si="104"/>
        <v>22.903674458252947</v>
      </c>
      <c r="O127" s="33">
        <f t="shared" si="53"/>
        <v>-0.30489826642240725</v>
      </c>
      <c r="P127" s="33">
        <f t="shared" si="54"/>
        <v>-0.51929328182328371</v>
      </c>
      <c r="Q127" s="112">
        <v>4334</v>
      </c>
      <c r="R127" s="112">
        <v>3193</v>
      </c>
      <c r="S127" s="33">
        <f t="shared" si="55"/>
        <v>0.33930778739184175</v>
      </c>
      <c r="T127" s="33">
        <f t="shared" si="56"/>
        <v>0.3573441904165362</v>
      </c>
      <c r="U127" s="112">
        <v>87</v>
      </c>
      <c r="V127" s="112">
        <v>54</v>
      </c>
      <c r="W127" s="33">
        <f t="shared" si="57"/>
        <v>0.17567567567567569</v>
      </c>
      <c r="X127" s="33">
        <f t="shared" si="58"/>
        <v>0.61111111111111116</v>
      </c>
      <c r="Y127" s="113">
        <f t="shared" si="97"/>
        <v>2.0073834794646979E-2</v>
      </c>
      <c r="Z127" s="113">
        <f t="shared" si="97"/>
        <v>1.6911994989038521E-2</v>
      </c>
      <c r="AA127" s="33">
        <f t="shared" si="59"/>
        <v>-0.12217662979084294</v>
      </c>
      <c r="AB127" s="33">
        <f t="shared" si="60"/>
        <v>0.18695841665384827</v>
      </c>
      <c r="AC127" s="114">
        <f t="shared" si="17"/>
        <v>95.770114942528735</v>
      </c>
      <c r="AD127" s="114">
        <f t="shared" si="17"/>
        <v>94.537037037037038</v>
      </c>
      <c r="AE127" s="33">
        <f t="shared" si="61"/>
        <v>-2.3292653562964886E-2</v>
      </c>
      <c r="AF127" s="33">
        <f t="shared" si="62"/>
        <v>1.3043331419500814E-2</v>
      </c>
      <c r="AG127" s="112">
        <f>2942+124</f>
        <v>3066</v>
      </c>
      <c r="AH127" s="112">
        <f>2401+100</f>
        <v>2501</v>
      </c>
      <c r="AI127" s="33">
        <f t="shared" si="63"/>
        <v>0.40771349862258954</v>
      </c>
      <c r="AJ127" s="33">
        <f t="shared" si="64"/>
        <v>0.22590963614554177</v>
      </c>
      <c r="AK127" s="112">
        <f>8703+341</f>
        <v>9044</v>
      </c>
      <c r="AL127" s="112">
        <f>5899+273</f>
        <v>6172</v>
      </c>
      <c r="AM127" s="150">
        <f t="shared" si="65"/>
        <v>0.27058162405169994</v>
      </c>
      <c r="AN127" s="267">
        <f t="shared" si="66"/>
        <v>0.46532728451069344</v>
      </c>
      <c r="AO127" s="110">
        <f t="shared" si="11"/>
        <v>0.33900928792569657</v>
      </c>
      <c r="AP127" s="110">
        <f t="shared" si="11"/>
        <v>0.40521710952689566</v>
      </c>
      <c r="AQ127" s="33">
        <f t="shared" si="67"/>
        <v>0.10792842582879153</v>
      </c>
      <c r="AR127" s="33">
        <f t="shared" si="68"/>
        <v>-0.16338851456321501</v>
      </c>
      <c r="AS127" s="68"/>
    </row>
    <row r="128" spans="1:45" s="81" customFormat="1" ht="15.75" x14ac:dyDescent="0.25">
      <c r="A128" s="260" t="s">
        <v>63</v>
      </c>
      <c r="B128" s="265" t="s">
        <v>67</v>
      </c>
      <c r="C128" s="261">
        <f t="shared" si="166"/>
        <v>42951</v>
      </c>
      <c r="D128" s="260" t="s">
        <v>30</v>
      </c>
      <c r="E128" s="109">
        <v>447</v>
      </c>
      <c r="F128" s="109">
        <v>534</v>
      </c>
      <c r="G128" s="33">
        <f t="shared" si="49"/>
        <v>1.5254237288135593</v>
      </c>
      <c r="H128" s="33">
        <f t="shared" si="50"/>
        <v>-0.16292134831460675</v>
      </c>
      <c r="I128" s="109">
        <v>724.46</v>
      </c>
      <c r="J128" s="111">
        <f>2103.67+104.31</f>
        <v>2207.98</v>
      </c>
      <c r="K128" s="33">
        <f t="shared" si="51"/>
        <v>0.27494148496207527</v>
      </c>
      <c r="L128" s="33">
        <f t="shared" si="52"/>
        <v>-0.67189014393246316</v>
      </c>
      <c r="M128" s="111">
        <f t="shared" si="103"/>
        <v>0.61701129116859454</v>
      </c>
      <c r="N128" s="111">
        <f t="shared" si="104"/>
        <v>0.24185001675739817</v>
      </c>
      <c r="O128" s="33">
        <f t="shared" si="53"/>
        <v>0.98081540102107623</v>
      </c>
      <c r="P128" s="33">
        <f t="shared" si="54"/>
        <v>1.5512145892779652</v>
      </c>
      <c r="Q128" s="112">
        <v>523</v>
      </c>
      <c r="R128" s="112">
        <v>2406</v>
      </c>
      <c r="S128" s="33">
        <f t="shared" si="55"/>
        <v>0.10570824524312897</v>
      </c>
      <c r="T128" s="33">
        <f t="shared" si="56"/>
        <v>-0.78262676641729012</v>
      </c>
      <c r="U128" s="112">
        <v>2</v>
      </c>
      <c r="V128" s="112">
        <v>8</v>
      </c>
      <c r="W128" s="33">
        <f t="shared" si="57"/>
        <v>0</v>
      </c>
      <c r="X128" s="33">
        <f t="shared" si="58"/>
        <v>-0.75</v>
      </c>
      <c r="Y128" s="113">
        <f t="shared" si="97"/>
        <v>3.8240917782026767E-3</v>
      </c>
      <c r="Z128" s="113">
        <f t="shared" si="97"/>
        <v>3.3250207813798837E-3</v>
      </c>
      <c r="AA128" s="33">
        <f t="shared" si="59"/>
        <v>-9.5602294455066988E-2</v>
      </c>
      <c r="AB128" s="33">
        <f t="shared" si="60"/>
        <v>0.15009560229445501</v>
      </c>
      <c r="AC128" s="114">
        <f t="shared" si="17"/>
        <v>223.5</v>
      </c>
      <c r="AD128" s="114">
        <f t="shared" si="17"/>
        <v>66.75</v>
      </c>
      <c r="AE128" s="33">
        <f t="shared" si="61"/>
        <v>1.5254237288135593</v>
      </c>
      <c r="AF128" s="33">
        <f t="shared" si="62"/>
        <v>2.3483146067415732</v>
      </c>
      <c r="AG128" s="112">
        <v>505</v>
      </c>
      <c r="AH128" s="112">
        <f>2123+154</f>
        <v>2277</v>
      </c>
      <c r="AI128" s="33">
        <f t="shared" si="63"/>
        <v>0.19103773584905662</v>
      </c>
      <c r="AJ128" s="33">
        <f t="shared" si="64"/>
        <v>-0.77821695212999564</v>
      </c>
      <c r="AK128" s="112">
        <v>7908</v>
      </c>
      <c r="AL128" s="112">
        <f>26044+1664</f>
        <v>27708</v>
      </c>
      <c r="AM128" s="150">
        <f t="shared" si="65"/>
        <v>0.31821970328388066</v>
      </c>
      <c r="AN128" s="267">
        <f t="shared" si="66"/>
        <v>-0.71459506279774798</v>
      </c>
      <c r="AO128" s="110">
        <f t="shared" si="11"/>
        <v>6.3859382903388967E-2</v>
      </c>
      <c r="AP128" s="110">
        <f t="shared" si="11"/>
        <v>8.217843222174101E-2</v>
      </c>
      <c r="AQ128" s="33">
        <f t="shared" si="67"/>
        <v>-9.6480098968324407E-2</v>
      </c>
      <c r="AR128" s="33">
        <f t="shared" si="68"/>
        <v>-0.22291797036139588</v>
      </c>
      <c r="AS128" s="68"/>
    </row>
    <row r="129" spans="1:45" s="81" customFormat="1" ht="15.75" x14ac:dyDescent="0.25">
      <c r="A129" s="260" t="s">
        <v>63</v>
      </c>
      <c r="B129" s="265" t="s">
        <v>67</v>
      </c>
      <c r="C129" s="261">
        <f t="shared" si="166"/>
        <v>42951</v>
      </c>
      <c r="D129" s="260" t="s">
        <v>228</v>
      </c>
      <c r="E129" s="109">
        <v>660</v>
      </c>
      <c r="F129" s="109"/>
      <c r="G129" s="33">
        <f t="shared" si="49"/>
        <v>-7.6923076923076927E-2</v>
      </c>
      <c r="H129" s="33" t="e">
        <f t="shared" si="50"/>
        <v>#DIV/0!</v>
      </c>
      <c r="I129" s="109">
        <v>2013</v>
      </c>
      <c r="J129" s="111"/>
      <c r="K129" s="33">
        <f t="shared" si="51"/>
        <v>9.5285857572718156E-3</v>
      </c>
      <c r="L129" s="33" t="e">
        <f t="shared" si="52"/>
        <v>#DIV/0!</v>
      </c>
      <c r="M129" s="111">
        <f t="shared" si="103"/>
        <v>0.32786885245901637</v>
      </c>
      <c r="N129" s="111"/>
      <c r="O129" s="33">
        <f t="shared" si="53"/>
        <v>-8.5635675799610261E-2</v>
      </c>
      <c r="P129" s="33" t="e">
        <f t="shared" si="54"/>
        <v>#DIV/0!</v>
      </c>
      <c r="Q129" s="112">
        <v>3462</v>
      </c>
      <c r="R129" s="112"/>
      <c r="S129" s="33">
        <f t="shared" si="55"/>
        <v>2.1841794569067298E-2</v>
      </c>
      <c r="T129" s="33" t="e">
        <f t="shared" si="56"/>
        <v>#DIV/0!</v>
      </c>
      <c r="U129" s="112">
        <v>6</v>
      </c>
      <c r="V129" s="112"/>
      <c r="W129" s="33">
        <f t="shared" si="57"/>
        <v>-0.4</v>
      </c>
      <c r="X129" s="33" t="e">
        <f t="shared" si="58"/>
        <v>#DIV/0!</v>
      </c>
      <c r="Y129" s="113">
        <f t="shared" si="97"/>
        <v>1.7331022530329288E-3</v>
      </c>
      <c r="Z129" s="113"/>
      <c r="AA129" s="33">
        <f t="shared" si="59"/>
        <v>-0.41282495667244368</v>
      </c>
      <c r="AB129" s="33" t="e">
        <f t="shared" si="60"/>
        <v>#DIV/0!</v>
      </c>
      <c r="AC129" s="114">
        <f t="shared" ref="AC129:AC130" si="266">E129/U129</f>
        <v>110</v>
      </c>
      <c r="AD129" s="114"/>
      <c r="AE129" s="33">
        <f t="shared" si="61"/>
        <v>0.53846153846153844</v>
      </c>
      <c r="AF129" s="33" t="e">
        <f t="shared" si="62"/>
        <v>#DIV/0!</v>
      </c>
      <c r="AG129" s="112">
        <v>3675</v>
      </c>
      <c r="AH129" s="112"/>
      <c r="AI129" s="33">
        <f t="shared" si="63"/>
        <v>6.5217391304347824E-2</v>
      </c>
      <c r="AJ129" s="33" t="e">
        <f t="shared" si="64"/>
        <v>#DIV/0!</v>
      </c>
      <c r="AK129" s="112">
        <v>188369</v>
      </c>
      <c r="AL129" s="112"/>
      <c r="AM129" s="150">
        <f t="shared" si="65"/>
        <v>-8.0696326084410255E-2</v>
      </c>
      <c r="AN129" s="267" t="e">
        <f t="shared" si="66"/>
        <v>#DIV/0!</v>
      </c>
      <c r="AO129" s="110">
        <f t="shared" si="11"/>
        <v>1.950957960173914E-2</v>
      </c>
      <c r="AP129" s="110"/>
      <c r="AQ129" s="33">
        <f t="shared" si="67"/>
        <v>0.15872199962746572</v>
      </c>
      <c r="AR129" s="33" t="e">
        <f t="shared" si="68"/>
        <v>#DIV/0!</v>
      </c>
      <c r="AS129" s="68"/>
    </row>
    <row r="130" spans="1:45" s="108" customFormat="1" ht="15.75" customHeight="1" x14ac:dyDescent="0.3">
      <c r="A130" s="272" t="s">
        <v>68</v>
      </c>
      <c r="B130" s="272" t="s">
        <v>69</v>
      </c>
      <c r="C130" s="273">
        <f t="shared" si="166"/>
        <v>42958</v>
      </c>
      <c r="D130" s="274" t="s">
        <v>28</v>
      </c>
      <c r="E130" s="115">
        <f>SUM(E131:E133)</f>
        <v>16863</v>
      </c>
      <c r="F130" s="115">
        <f>SUM(F131:F133)</f>
        <v>6707</v>
      </c>
      <c r="G130" s="116">
        <f t="shared" si="49"/>
        <v>0.78652399618603663</v>
      </c>
      <c r="H130" s="116">
        <f t="shared" si="50"/>
        <v>1.5142388549276875</v>
      </c>
      <c r="I130" s="115">
        <f>SUM(I131:I133)</f>
        <v>3631.02</v>
      </c>
      <c r="J130" s="115">
        <f>SUM(J131:J133)</f>
        <v>2714.06</v>
      </c>
      <c r="K130" s="116">
        <f t="shared" si="51"/>
        <v>3.9147394418798984E-2</v>
      </c>
      <c r="L130" s="116">
        <f t="shared" si="52"/>
        <v>0.33785546377014514</v>
      </c>
      <c r="M130" s="117">
        <f t="shared" ref="M130" si="267">E130/I130</f>
        <v>4.6441495778045843</v>
      </c>
      <c r="N130" s="117">
        <f t="shared" ref="N130" si="268">F130/J130</f>
        <v>2.4712055002468625</v>
      </c>
      <c r="O130" s="116">
        <f t="shared" si="53"/>
        <v>0.71922097460028744</v>
      </c>
      <c r="P130" s="116">
        <f t="shared" si="54"/>
        <v>0.87930529344510377</v>
      </c>
      <c r="Q130" s="118">
        <f>SUM(Q131:Q133)</f>
        <v>10214</v>
      </c>
      <c r="R130" s="118">
        <f>SUM(R131:R133)</f>
        <v>6262</v>
      </c>
      <c r="S130" s="116">
        <f t="shared" si="55"/>
        <v>0.22779180189926673</v>
      </c>
      <c r="T130" s="116">
        <f t="shared" si="56"/>
        <v>0.63110827211753429</v>
      </c>
      <c r="U130" s="118">
        <f>SUM(U131:U133)</f>
        <v>138</v>
      </c>
      <c r="V130" s="118">
        <f>SUM(V131:V133)</f>
        <v>63</v>
      </c>
      <c r="W130" s="116">
        <f t="shared" si="57"/>
        <v>0.45263157894736844</v>
      </c>
      <c r="X130" s="116">
        <f t="shared" si="58"/>
        <v>1.1904761904761905</v>
      </c>
      <c r="Y130" s="119">
        <f t="shared" si="97"/>
        <v>1.3510867436851381E-2</v>
      </c>
      <c r="Z130" s="119">
        <f t="shared" ref="Z130" si="269">V130/R130</f>
        <v>1.0060683487703609E-2</v>
      </c>
      <c r="AA130" s="116">
        <f t="shared" si="59"/>
        <v>0.18312532849649099</v>
      </c>
      <c r="AB130" s="116">
        <f t="shared" si="60"/>
        <v>0.34293733158037054</v>
      </c>
      <c r="AC130" s="120">
        <f t="shared" si="266"/>
        <v>122.19565217391305</v>
      </c>
      <c r="AD130" s="275">
        <f t="shared" ref="AD130" si="270">F130/V130</f>
        <v>106.46031746031746</v>
      </c>
      <c r="AE130" s="116">
        <f t="shared" si="61"/>
        <v>0.22985347563531522</v>
      </c>
      <c r="AF130" s="116">
        <f t="shared" si="62"/>
        <v>0.1478046946409009</v>
      </c>
      <c r="AG130" s="118">
        <f>SUM(AG131:AG133)</f>
        <v>8797</v>
      </c>
      <c r="AH130" s="118">
        <f>SUM(AH131:AH133)</f>
        <v>5453</v>
      </c>
      <c r="AI130" s="116">
        <f t="shared" si="63"/>
        <v>0.21404913055478886</v>
      </c>
      <c r="AJ130" s="116">
        <f t="shared" si="64"/>
        <v>0.61324041811846686</v>
      </c>
      <c r="AK130" s="118">
        <f>SUM(AK131:AK133)</f>
        <v>272186</v>
      </c>
      <c r="AL130" s="118">
        <f>SUM(AL131:AL133)</f>
        <v>38122</v>
      </c>
      <c r="AM130" s="276">
        <f t="shared" si="65"/>
        <v>0.32566079456071223</v>
      </c>
      <c r="AN130" s="277">
        <f t="shared" si="66"/>
        <v>6.139866743612612</v>
      </c>
      <c r="AO130" s="116">
        <f t="shared" si="11"/>
        <v>3.2319810717671003E-2</v>
      </c>
      <c r="AP130" s="116">
        <f t="shared" ref="AP130" si="271">AH130/AL130</f>
        <v>0.14304076386338596</v>
      </c>
      <c r="AQ130" s="116">
        <f t="shared" si="67"/>
        <v>-8.4193229869869074E-2</v>
      </c>
      <c r="AR130" s="116">
        <f t="shared" si="68"/>
        <v>-0.77405174689546041</v>
      </c>
      <c r="AS130" s="106"/>
    </row>
    <row r="131" spans="1:45" s="81" customFormat="1" ht="15.75" x14ac:dyDescent="0.25">
      <c r="A131" s="260" t="s">
        <v>68</v>
      </c>
      <c r="B131" s="265" t="s">
        <v>69</v>
      </c>
      <c r="C131" s="261">
        <f t="shared" si="166"/>
        <v>42958</v>
      </c>
      <c r="D131" s="260" t="s">
        <v>29</v>
      </c>
      <c r="E131" s="109">
        <v>15069</v>
      </c>
      <c r="F131" s="109">
        <v>6319</v>
      </c>
      <c r="G131" s="33">
        <f t="shared" si="49"/>
        <v>0.80856937109937588</v>
      </c>
      <c r="H131" s="33">
        <f t="shared" si="50"/>
        <v>1.3847127710080709</v>
      </c>
      <c r="I131" s="270">
        <f>810.85+121.19</f>
        <v>932.04</v>
      </c>
      <c r="J131" s="271">
        <f>208.63+15.04</f>
        <v>223.67</v>
      </c>
      <c r="K131" s="33">
        <f t="shared" si="51"/>
        <v>0.23160273266646403</v>
      </c>
      <c r="L131" s="33">
        <f t="shared" si="52"/>
        <v>3.1670317879018199</v>
      </c>
      <c r="M131" s="111">
        <f t="shared" si="103"/>
        <v>16.1677610402987</v>
      </c>
      <c r="N131" s="111">
        <f t="shared" si="104"/>
        <v>28.251441856306165</v>
      </c>
      <c r="O131" s="33">
        <f t="shared" si="53"/>
        <v>0.4684681375980374</v>
      </c>
      <c r="P131" s="33">
        <f t="shared" si="54"/>
        <v>-0.42771908341769105</v>
      </c>
      <c r="Q131" s="112">
        <v>4842</v>
      </c>
      <c r="R131" s="112">
        <v>3620</v>
      </c>
      <c r="S131" s="33">
        <f t="shared" si="55"/>
        <v>0.1172127365020766</v>
      </c>
      <c r="T131" s="33">
        <f t="shared" si="56"/>
        <v>0.33756906077348064</v>
      </c>
      <c r="U131" s="112">
        <v>123</v>
      </c>
      <c r="V131" s="112">
        <v>55</v>
      </c>
      <c r="W131" s="33">
        <f t="shared" si="57"/>
        <v>0.41379310344827586</v>
      </c>
      <c r="X131" s="33">
        <f t="shared" si="58"/>
        <v>1.2363636363636363</v>
      </c>
      <c r="Y131" s="113">
        <f t="shared" si="97"/>
        <v>2.5402726146220571E-2</v>
      </c>
      <c r="Z131" s="113">
        <f t="shared" si="97"/>
        <v>1.5193370165745856E-2</v>
      </c>
      <c r="AA131" s="33">
        <f t="shared" si="59"/>
        <v>0.26546454158298788</v>
      </c>
      <c r="AB131" s="33">
        <f t="shared" si="60"/>
        <v>0.67196124816942671</v>
      </c>
      <c r="AC131" s="114">
        <f t="shared" si="17"/>
        <v>122.51219512195122</v>
      </c>
      <c r="AD131" s="114">
        <f t="shared" si="17"/>
        <v>114.89090909090909</v>
      </c>
      <c r="AE131" s="33">
        <f t="shared" si="61"/>
        <v>0.27923199419224154</v>
      </c>
      <c r="AF131" s="33">
        <f t="shared" si="62"/>
        <v>6.6334978906047989E-2</v>
      </c>
      <c r="AG131" s="112">
        <f>3227+178</f>
        <v>3405</v>
      </c>
      <c r="AH131" s="112">
        <f>2691+130</f>
        <v>2821</v>
      </c>
      <c r="AI131" s="33">
        <f t="shared" si="63"/>
        <v>0.11056751467710371</v>
      </c>
      <c r="AJ131" s="33">
        <f t="shared" si="64"/>
        <v>0.20701878766394896</v>
      </c>
      <c r="AK131" s="112">
        <f>9880+432</f>
        <v>10312</v>
      </c>
      <c r="AL131" s="112">
        <f>6368+325</f>
        <v>6693</v>
      </c>
      <c r="AM131" s="150">
        <f t="shared" si="65"/>
        <v>0.14020344980097302</v>
      </c>
      <c r="AN131" s="267">
        <f t="shared" si="66"/>
        <v>0.54071417899297769</v>
      </c>
      <c r="AO131" s="110">
        <f t="shared" si="11"/>
        <v>0.33019782777346779</v>
      </c>
      <c r="AP131" s="110">
        <f t="shared" si="11"/>
        <v>0.42148513372179891</v>
      </c>
      <c r="AQ131" s="33">
        <f t="shared" si="67"/>
        <v>-2.5991795700181695E-2</v>
      </c>
      <c r="AR131" s="33">
        <f t="shared" si="68"/>
        <v>-0.21658487724643041</v>
      </c>
      <c r="AS131" s="68"/>
    </row>
    <row r="132" spans="1:45" s="81" customFormat="1" ht="15.75" x14ac:dyDescent="0.25">
      <c r="A132" s="260" t="s">
        <v>68</v>
      </c>
      <c r="B132" s="265" t="s">
        <v>69</v>
      </c>
      <c r="C132" s="261">
        <f t="shared" si="166"/>
        <v>42958</v>
      </c>
      <c r="D132" s="260" t="s">
        <v>30</v>
      </c>
      <c r="E132" s="109">
        <v>0</v>
      </c>
      <c r="F132" s="109">
        <v>388</v>
      </c>
      <c r="G132" s="33">
        <f t="shared" si="49"/>
        <v>-1</v>
      </c>
      <c r="H132" s="33">
        <f t="shared" si="50"/>
        <v>-1</v>
      </c>
      <c r="I132" s="109">
        <v>633.98</v>
      </c>
      <c r="J132" s="111">
        <f>2361+129.39</f>
        <v>2490.39</v>
      </c>
      <c r="K132" s="33">
        <f t="shared" si="51"/>
        <v>-0.12489302376942828</v>
      </c>
      <c r="L132" s="33">
        <f t="shared" si="52"/>
        <v>-0.74542943073173273</v>
      </c>
      <c r="M132" s="111">
        <f t="shared" si="103"/>
        <v>0</v>
      </c>
      <c r="N132" s="111">
        <f t="shared" si="104"/>
        <v>0.15579889093676091</v>
      </c>
      <c r="O132" s="33">
        <f t="shared" si="53"/>
        <v>-1</v>
      </c>
      <c r="P132" s="33">
        <f t="shared" si="54"/>
        <v>-1</v>
      </c>
      <c r="Q132" s="112">
        <v>532</v>
      </c>
      <c r="R132" s="112">
        <v>2642</v>
      </c>
      <c r="S132" s="33">
        <f t="shared" si="55"/>
        <v>1.7208413001912046E-2</v>
      </c>
      <c r="T132" s="33">
        <f t="shared" si="56"/>
        <v>-0.79863739591218774</v>
      </c>
      <c r="U132" s="112">
        <v>0</v>
      </c>
      <c r="V132" s="112">
        <v>8</v>
      </c>
      <c r="W132" s="33">
        <f t="shared" si="57"/>
        <v>-1</v>
      </c>
      <c r="X132" s="33">
        <f t="shared" si="58"/>
        <v>-1</v>
      </c>
      <c r="Y132" s="113">
        <f t="shared" si="97"/>
        <v>0</v>
      </c>
      <c r="Z132" s="113">
        <f t="shared" si="97"/>
        <v>3.0280090840272521E-3</v>
      </c>
      <c r="AA132" s="33">
        <f t="shared" si="59"/>
        <v>-1</v>
      </c>
      <c r="AB132" s="33">
        <f t="shared" si="60"/>
        <v>-1</v>
      </c>
      <c r="AC132" s="114" t="e">
        <f t="shared" si="17"/>
        <v>#DIV/0!</v>
      </c>
      <c r="AD132" s="114">
        <f t="shared" si="17"/>
        <v>48.5</v>
      </c>
      <c r="AE132" s="33" t="e">
        <f t="shared" si="61"/>
        <v>#DIV/0!</v>
      </c>
      <c r="AF132" s="33" t="e">
        <f t="shared" si="62"/>
        <v>#DIV/0!</v>
      </c>
      <c r="AG132" s="112">
        <v>479</v>
      </c>
      <c r="AH132" s="112">
        <f>2466+166</f>
        <v>2632</v>
      </c>
      <c r="AI132" s="33">
        <f t="shared" si="63"/>
        <v>-5.1485148514851482E-2</v>
      </c>
      <c r="AJ132" s="33">
        <f t="shared" si="64"/>
        <v>-0.81800911854103342</v>
      </c>
      <c r="AK132" s="112">
        <v>6559</v>
      </c>
      <c r="AL132" s="112">
        <f>29644+1785</f>
        <v>31429</v>
      </c>
      <c r="AM132" s="150">
        <f t="shared" si="65"/>
        <v>-0.17058674759736975</v>
      </c>
      <c r="AN132" s="267">
        <f t="shared" si="66"/>
        <v>-0.79130739126284644</v>
      </c>
      <c r="AO132" s="110">
        <f t="shared" si="11"/>
        <v>7.3029425217258734E-2</v>
      </c>
      <c r="AP132" s="110">
        <f t="shared" ref="AP132:AP192" si="272">AH132/AL132</f>
        <v>8.3744312577555755E-2</v>
      </c>
      <c r="AQ132" s="33">
        <f t="shared" si="67"/>
        <v>0.14359741508531113</v>
      </c>
      <c r="AR132" s="33">
        <f t="shared" si="68"/>
        <v>-0.12794764241898748</v>
      </c>
      <c r="AS132" s="68"/>
    </row>
    <row r="133" spans="1:45" s="81" customFormat="1" ht="15.75" x14ac:dyDescent="0.25">
      <c r="A133" s="260" t="s">
        <v>68</v>
      </c>
      <c r="B133" s="265" t="s">
        <v>69</v>
      </c>
      <c r="C133" s="261">
        <f t="shared" si="166"/>
        <v>42958</v>
      </c>
      <c r="D133" s="260" t="s">
        <v>228</v>
      </c>
      <c r="E133" s="109">
        <v>1794</v>
      </c>
      <c r="F133" s="109"/>
      <c r="G133" s="33">
        <f t="shared" si="49"/>
        <v>1.7181818181818183</v>
      </c>
      <c r="H133" s="33" t="e">
        <f t="shared" si="50"/>
        <v>#DIV/0!</v>
      </c>
      <c r="I133" s="109">
        <v>2065</v>
      </c>
      <c r="J133" s="111"/>
      <c r="K133" s="33">
        <f t="shared" si="51"/>
        <v>2.5832091405861898E-2</v>
      </c>
      <c r="L133" s="33" t="e">
        <f t="shared" si="52"/>
        <v>#DIV/0!</v>
      </c>
      <c r="M133" s="111">
        <f t="shared" si="103"/>
        <v>0.86876513317191284</v>
      </c>
      <c r="N133" s="111"/>
      <c r="O133" s="33">
        <f t="shared" si="53"/>
        <v>1.6497336561743345</v>
      </c>
      <c r="P133" s="33" t="e">
        <f t="shared" si="54"/>
        <v>#DIV/0!</v>
      </c>
      <c r="Q133" s="112">
        <v>4840</v>
      </c>
      <c r="R133" s="112"/>
      <c r="S133" s="33">
        <f t="shared" si="55"/>
        <v>0.39803581744656269</v>
      </c>
      <c r="T133" s="33" t="e">
        <f t="shared" si="56"/>
        <v>#DIV/0!</v>
      </c>
      <c r="U133" s="112">
        <v>15</v>
      </c>
      <c r="V133" s="112"/>
      <c r="W133" s="33">
        <f t="shared" si="57"/>
        <v>1.5</v>
      </c>
      <c r="X133" s="33" t="e">
        <f t="shared" si="58"/>
        <v>#DIV/0!</v>
      </c>
      <c r="Y133" s="113">
        <f t="shared" si="97"/>
        <v>3.0991735537190084E-3</v>
      </c>
      <c r="Z133" s="113"/>
      <c r="AA133" s="33">
        <f t="shared" si="59"/>
        <v>0.78822314049586795</v>
      </c>
      <c r="AB133" s="33" t="e">
        <f t="shared" si="60"/>
        <v>#DIV/0!</v>
      </c>
      <c r="AC133" s="114">
        <f t="shared" ref="AC133:AC134" si="273">E133/U133</f>
        <v>119.6</v>
      </c>
      <c r="AD133" s="114"/>
      <c r="AE133" s="33">
        <f t="shared" si="61"/>
        <v>8.7272727272727224E-2</v>
      </c>
      <c r="AF133" s="33" t="e">
        <f t="shared" si="62"/>
        <v>#DIV/0!</v>
      </c>
      <c r="AG133" s="112">
        <v>4913</v>
      </c>
      <c r="AH133" s="112"/>
      <c r="AI133" s="33">
        <f t="shared" si="63"/>
        <v>0.33687074829931973</v>
      </c>
      <c r="AJ133" s="33" t="e">
        <f t="shared" si="64"/>
        <v>#DIV/0!</v>
      </c>
      <c r="AK133" s="112">
        <v>255315</v>
      </c>
      <c r="AL133" s="112"/>
      <c r="AM133" s="150">
        <f t="shared" si="65"/>
        <v>0.35539818122939548</v>
      </c>
      <c r="AN133" s="267" t="e">
        <f t="shared" si="66"/>
        <v>#DIV/0!</v>
      </c>
      <c r="AO133" s="110">
        <f t="shared" si="11"/>
        <v>1.9242896030393829E-2</v>
      </c>
      <c r="AP133" s="110"/>
      <c r="AQ133" s="33">
        <f t="shared" si="67"/>
        <v>-1.3669365347141494E-2</v>
      </c>
      <c r="AR133" s="33" t="e">
        <f t="shared" si="68"/>
        <v>#DIV/0!</v>
      </c>
      <c r="AS133" s="68"/>
    </row>
    <row r="134" spans="1:45" s="81" customFormat="1" ht="15.75" customHeight="1" x14ac:dyDescent="0.3">
      <c r="A134" s="29" t="s">
        <v>68</v>
      </c>
      <c r="B134" s="29" t="s">
        <v>70</v>
      </c>
      <c r="C134" s="30">
        <f t="shared" si="166"/>
        <v>42965</v>
      </c>
      <c r="D134" s="31" t="s">
        <v>28</v>
      </c>
      <c r="E134" s="32">
        <f>SUM(E135:E137)</f>
        <v>14682</v>
      </c>
      <c r="F134" s="32">
        <f>SUM(F135:F137)</f>
        <v>8119</v>
      </c>
      <c r="G134" s="33">
        <f t="shared" si="49"/>
        <v>-0.12933641700764989</v>
      </c>
      <c r="H134" s="33">
        <f t="shared" si="50"/>
        <v>0.80835078211602418</v>
      </c>
      <c r="I134" s="32">
        <f>SUM(I135:I137)</f>
        <v>2914.4700000000003</v>
      </c>
      <c r="J134" s="32">
        <f>SUM(J135:J137)</f>
        <v>2649.13</v>
      </c>
      <c r="K134" s="33">
        <f t="shared" si="51"/>
        <v>-0.19734124295652453</v>
      </c>
      <c r="L134" s="33">
        <f t="shared" si="52"/>
        <v>0.10016118499280902</v>
      </c>
      <c r="M134" s="34">
        <f t="shared" ref="M134" si="274">E134/I134</f>
        <v>5.0376226209224999</v>
      </c>
      <c r="N134" s="34">
        <f t="shared" ref="N134" si="275">F134/J134</f>
        <v>3.0647797578827767</v>
      </c>
      <c r="O134" s="33">
        <f t="shared" si="53"/>
        <v>8.4724455258377157E-2</v>
      </c>
      <c r="P134" s="33">
        <f t="shared" si="54"/>
        <v>0.64371440002025149</v>
      </c>
      <c r="Q134" s="35">
        <f>SUM(Q135:Q137)</f>
        <v>8670</v>
      </c>
      <c r="R134" s="35">
        <f>SUM(R135:R137)</f>
        <v>6370</v>
      </c>
      <c r="S134" s="33">
        <f t="shared" si="55"/>
        <v>-0.15116506755433717</v>
      </c>
      <c r="T134" s="33">
        <f t="shared" si="56"/>
        <v>0.36106750392464676</v>
      </c>
      <c r="U134" s="35">
        <f>SUM(U135:U137)</f>
        <v>131</v>
      </c>
      <c r="V134" s="35">
        <f>SUM(V135:V137)</f>
        <v>84</v>
      </c>
      <c r="W134" s="33">
        <f t="shared" si="57"/>
        <v>-5.0724637681159424E-2</v>
      </c>
      <c r="X134" s="33">
        <f t="shared" si="58"/>
        <v>0.55952380952380953</v>
      </c>
      <c r="Y134" s="88">
        <f t="shared" si="97"/>
        <v>1.5109573241061131E-2</v>
      </c>
      <c r="Z134" s="88">
        <f t="shared" ref="Z134" si="276">V134/R134</f>
        <v>1.3186813186813187E-2</v>
      </c>
      <c r="AA134" s="33">
        <f t="shared" si="59"/>
        <v>0.11832739916085785</v>
      </c>
      <c r="AB134" s="33">
        <f t="shared" si="60"/>
        <v>0.14580930411380241</v>
      </c>
      <c r="AC134" s="97">
        <f t="shared" si="273"/>
        <v>112.07633587786259</v>
      </c>
      <c r="AD134" s="145">
        <f t="shared" ref="AD134" si="277">F134/V134</f>
        <v>96.654761904761898</v>
      </c>
      <c r="AE134" s="33">
        <f t="shared" si="61"/>
        <v>-8.2812408756150327E-2</v>
      </c>
      <c r="AF134" s="33">
        <f t="shared" si="62"/>
        <v>0.15955317326523688</v>
      </c>
      <c r="AG134" s="35">
        <f>SUM(AG135:AG137)</f>
        <v>7171</v>
      </c>
      <c r="AH134" s="35">
        <f>SUM(AH135:AH137)</f>
        <v>5325</v>
      </c>
      <c r="AI134" s="33">
        <f t="shared" si="63"/>
        <v>-0.18483573945663295</v>
      </c>
      <c r="AJ134" s="33">
        <f t="shared" si="64"/>
        <v>0.34666666666666668</v>
      </c>
      <c r="AK134" s="35">
        <f>SUM(AK135:AK137)</f>
        <v>200080</v>
      </c>
      <c r="AL134" s="35">
        <f>SUM(AL135:AL137)</f>
        <v>37708</v>
      </c>
      <c r="AM134" s="150">
        <f t="shared" si="65"/>
        <v>-0.26491443351237759</v>
      </c>
      <c r="AN134" s="267">
        <f t="shared" si="66"/>
        <v>4.3060358544605917</v>
      </c>
      <c r="AO134" s="33">
        <f t="shared" si="11"/>
        <v>3.5840663734506201E-2</v>
      </c>
      <c r="AP134" s="33">
        <f t="shared" ref="AP134" si="278">AH134/AL134</f>
        <v>0.14121671793783813</v>
      </c>
      <c r="AQ134" s="33">
        <f t="shared" si="67"/>
        <v>0.10893792193251166</v>
      </c>
      <c r="AR134" s="33">
        <f t="shared" si="68"/>
        <v>-0.74620098627215781</v>
      </c>
      <c r="AS134" s="68"/>
    </row>
    <row r="135" spans="1:45" s="81" customFormat="1" ht="15.75" x14ac:dyDescent="0.25">
      <c r="A135" s="260" t="s">
        <v>68</v>
      </c>
      <c r="B135" s="265" t="s">
        <v>70</v>
      </c>
      <c r="C135" s="261">
        <f t="shared" si="166"/>
        <v>42965</v>
      </c>
      <c r="D135" s="260" t="s">
        <v>29</v>
      </c>
      <c r="E135" s="109">
        <v>13024</v>
      </c>
      <c r="F135" s="109">
        <v>7363</v>
      </c>
      <c r="G135" s="33">
        <f t="shared" ref="G135:G198" si="279">(E135-E131)/E131</f>
        <v>-0.13570907160395515</v>
      </c>
      <c r="H135" s="33">
        <f t="shared" ref="H135:H198" si="280">(E135-F135)/F135</f>
        <v>0.76884422110552764</v>
      </c>
      <c r="I135" s="109">
        <f>804.19+120.8</f>
        <v>924.99</v>
      </c>
      <c r="J135" s="111">
        <f>215.79+24.3</f>
        <v>240.09</v>
      </c>
      <c r="K135" s="33">
        <f t="shared" ref="K135:K198" si="281">(I135-I131)/I131</f>
        <v>-7.5640530449336456E-3</v>
      </c>
      <c r="L135" s="33">
        <f t="shared" ref="L135:L198" si="282">(I135-J135)/J135</f>
        <v>2.8526802449081594</v>
      </c>
      <c r="M135" s="111">
        <f t="shared" ref="M135:M175" si="283">E135/I135</f>
        <v>14.080152217861814</v>
      </c>
      <c r="N135" s="111">
        <f t="shared" ref="N135:N175" si="284">F135/J135</f>
        <v>30.66766629180724</v>
      </c>
      <c r="O135" s="33">
        <f t="shared" ref="O135:O198" si="285">(M135-M131)/M131</f>
        <v>-0.12912170196191355</v>
      </c>
      <c r="P135" s="33">
        <f t="shared" ref="P135:P198" si="286">(M135-N135)/N135</f>
        <v>-0.54087956729778053</v>
      </c>
      <c r="Q135" s="112">
        <v>4803</v>
      </c>
      <c r="R135" s="112">
        <v>3666</v>
      </c>
      <c r="S135" s="33">
        <f t="shared" ref="S135:S198" si="287">(Q135-Q131)/Q131</f>
        <v>-8.0545229244113996E-3</v>
      </c>
      <c r="T135" s="33">
        <f t="shared" ref="T135:T198" si="288">(Q135-R135)/R135</f>
        <v>0.31014729950900166</v>
      </c>
      <c r="U135" s="112">
        <v>118</v>
      </c>
      <c r="V135" s="112">
        <v>78</v>
      </c>
      <c r="W135" s="33">
        <f t="shared" ref="W135:W198" si="289">(U135-U131)/U131</f>
        <v>-4.065040650406504E-2</v>
      </c>
      <c r="X135" s="33">
        <f t="shared" ref="X135:X198" si="290">(U135-V135)/V135</f>
        <v>0.51282051282051277</v>
      </c>
      <c r="Y135" s="113">
        <f t="shared" si="97"/>
        <v>2.4567978346866543E-2</v>
      </c>
      <c r="Z135" s="113">
        <f t="shared" si="97"/>
        <v>2.1276595744680851E-2</v>
      </c>
      <c r="AA135" s="33">
        <f t="shared" ref="AA135:AA198" si="291">(Y135-Y131)/Y131</f>
        <v>-3.2860559711156111E-2</v>
      </c>
      <c r="AB135" s="33">
        <f t="shared" ref="AB135:AB198" si="292">(Y135-Z135)/Z135</f>
        <v>0.15469498230272755</v>
      </c>
      <c r="AC135" s="114">
        <f t="shared" si="17"/>
        <v>110.37288135593221</v>
      </c>
      <c r="AD135" s="114">
        <f t="shared" si="17"/>
        <v>94.397435897435898</v>
      </c>
      <c r="AE135" s="33">
        <f t="shared" ref="AE135:AE198" si="293">(AC135-AC131)/AC131</f>
        <v>-9.9086574638021022E-2</v>
      </c>
      <c r="AF135" s="33">
        <f t="shared" ref="AF135:AF198" si="294">(AC135-AD135)/AD135</f>
        <v>0.16923601056128101</v>
      </c>
      <c r="AG135" s="112">
        <f>3171+182</f>
        <v>3353</v>
      </c>
      <c r="AH135" s="112">
        <f>2613+133</f>
        <v>2746</v>
      </c>
      <c r="AI135" s="33">
        <f t="shared" ref="AI135:AI198" si="295">(AG135-AG131)/AG131</f>
        <v>-1.5271659324522761E-2</v>
      </c>
      <c r="AJ135" s="33">
        <f t="shared" ref="AJ135:AJ198" si="296">(AG135-AH135)/AH135</f>
        <v>0.22104879825200291</v>
      </c>
      <c r="AK135" s="112">
        <f>9062+490</f>
        <v>9552</v>
      </c>
      <c r="AL135" s="112">
        <f>6304+335</f>
        <v>6639</v>
      </c>
      <c r="AM135" s="150">
        <f t="shared" ref="AM135:AM198" si="297">(AK135-AK131)/AK131</f>
        <v>-7.3700543056633053E-2</v>
      </c>
      <c r="AN135" s="267">
        <f t="shared" ref="AN135:AN198" si="298">(AK135-AL135)/AL135</f>
        <v>0.43877089923181201</v>
      </c>
      <c r="AO135" s="110">
        <f t="shared" si="11"/>
        <v>0.35102596314907875</v>
      </c>
      <c r="AP135" s="110">
        <f t="shared" si="272"/>
        <v>0.41361650851031784</v>
      </c>
      <c r="AQ135" s="33">
        <f t="shared" ref="AQ135:AQ198" si="299">(AO135-AO131)/AO131</f>
        <v>6.3077748015653509E-2</v>
      </c>
      <c r="AR135" s="33">
        <f t="shared" ref="AR135:AR198" si="300">(AO135-AP135)/AP135</f>
        <v>-0.15132506578778818</v>
      </c>
      <c r="AS135" s="68"/>
    </row>
    <row r="136" spans="1:45" s="81" customFormat="1" ht="15.75" x14ac:dyDescent="0.25">
      <c r="A136" s="260" t="s">
        <v>68</v>
      </c>
      <c r="B136" s="265" t="s">
        <v>70</v>
      </c>
      <c r="C136" s="261">
        <f t="shared" si="166"/>
        <v>42965</v>
      </c>
      <c r="D136" s="260" t="s">
        <v>30</v>
      </c>
      <c r="E136" s="109">
        <v>208</v>
      </c>
      <c r="F136" s="109">
        <v>756</v>
      </c>
      <c r="G136" s="33" t="e">
        <f t="shared" si="279"/>
        <v>#DIV/0!</v>
      </c>
      <c r="H136" s="33">
        <f t="shared" si="280"/>
        <v>-0.72486772486772488</v>
      </c>
      <c r="I136" s="109">
        <v>611.04</v>
      </c>
      <c r="J136" s="111">
        <f>2304.21+104.83</f>
        <v>2409.04</v>
      </c>
      <c r="K136" s="33">
        <f t="shared" si="281"/>
        <v>-3.618410675415637E-2</v>
      </c>
      <c r="L136" s="33">
        <f t="shared" si="282"/>
        <v>-0.74635539468003853</v>
      </c>
      <c r="M136" s="111">
        <f t="shared" si="283"/>
        <v>0.34040324692327839</v>
      </c>
      <c r="N136" s="111">
        <f t="shared" si="284"/>
        <v>0.31381795237937105</v>
      </c>
      <c r="O136" s="33" t="e">
        <f t="shared" si="285"/>
        <v>#DIV/0!</v>
      </c>
      <c r="P136" s="33">
        <f t="shared" si="286"/>
        <v>8.4715658687902845E-2</v>
      </c>
      <c r="Q136" s="112">
        <v>489</v>
      </c>
      <c r="R136" s="112">
        <v>2704</v>
      </c>
      <c r="S136" s="33">
        <f t="shared" si="287"/>
        <v>-8.0827067669172928E-2</v>
      </c>
      <c r="T136" s="33">
        <f t="shared" si="288"/>
        <v>-0.81915680473372776</v>
      </c>
      <c r="U136" s="112">
        <v>1</v>
      </c>
      <c r="V136" s="112">
        <v>6</v>
      </c>
      <c r="W136" s="33" t="e">
        <f t="shared" si="289"/>
        <v>#DIV/0!</v>
      </c>
      <c r="X136" s="33">
        <f t="shared" si="290"/>
        <v>-0.83333333333333337</v>
      </c>
      <c r="Y136" s="113">
        <f t="shared" si="97"/>
        <v>2.0449897750511249E-3</v>
      </c>
      <c r="Z136" s="113">
        <f t="shared" si="97"/>
        <v>2.2189349112426036E-3</v>
      </c>
      <c r="AA136" s="33" t="e">
        <f t="shared" si="291"/>
        <v>#DIV/0!</v>
      </c>
      <c r="AB136" s="33">
        <f t="shared" si="292"/>
        <v>-7.8391274710293057E-2</v>
      </c>
      <c r="AC136" s="114">
        <f t="shared" si="17"/>
        <v>208</v>
      </c>
      <c r="AD136" s="114">
        <f t="shared" si="17"/>
        <v>126</v>
      </c>
      <c r="AE136" s="33" t="e">
        <f t="shared" si="293"/>
        <v>#DIV/0!</v>
      </c>
      <c r="AF136" s="33">
        <f t="shared" si="294"/>
        <v>0.65079365079365081</v>
      </c>
      <c r="AG136" s="112">
        <v>448</v>
      </c>
      <c r="AH136" s="112">
        <f>2445+134</f>
        <v>2579</v>
      </c>
      <c r="AI136" s="33">
        <f t="shared" si="295"/>
        <v>-6.471816283924843E-2</v>
      </c>
      <c r="AJ136" s="33">
        <f t="shared" si="296"/>
        <v>-0.82628925940286935</v>
      </c>
      <c r="AK136" s="112">
        <v>5955</v>
      </c>
      <c r="AL136" s="112">
        <f>29366+1703</f>
        <v>31069</v>
      </c>
      <c r="AM136" s="150">
        <f t="shared" si="297"/>
        <v>-9.2087208415917055E-2</v>
      </c>
      <c r="AN136" s="267">
        <f t="shared" si="298"/>
        <v>-0.80832984647075867</v>
      </c>
      <c r="AO136" s="110">
        <f t="shared" si="11"/>
        <v>7.5230898404701929E-2</v>
      </c>
      <c r="AP136" s="110">
        <f t="shared" si="272"/>
        <v>8.3008786893688236E-2</v>
      </c>
      <c r="AQ136" s="33">
        <f t="shared" si="299"/>
        <v>3.0145015942463292E-2</v>
      </c>
      <c r="AR136" s="33">
        <f t="shared" si="300"/>
        <v>-9.3699580249831549E-2</v>
      </c>
      <c r="AS136" s="68"/>
    </row>
    <row r="137" spans="1:45" s="81" customFormat="1" ht="15.75" x14ac:dyDescent="0.25">
      <c r="A137" s="260" t="s">
        <v>68</v>
      </c>
      <c r="B137" s="265" t="s">
        <v>70</v>
      </c>
      <c r="C137" s="261">
        <f t="shared" si="166"/>
        <v>42965</v>
      </c>
      <c r="D137" s="260" t="s">
        <v>228</v>
      </c>
      <c r="E137" s="109">
        <v>1450</v>
      </c>
      <c r="F137" s="109"/>
      <c r="G137" s="33">
        <f t="shared" si="279"/>
        <v>-0.19175027870680045</v>
      </c>
      <c r="H137" s="33" t="e">
        <f t="shared" si="280"/>
        <v>#DIV/0!</v>
      </c>
      <c r="I137" s="109">
        <v>1378.44</v>
      </c>
      <c r="J137" s="111"/>
      <c r="K137" s="33">
        <f t="shared" si="281"/>
        <v>-0.33247457627118643</v>
      </c>
      <c r="L137" s="33" t="e">
        <f t="shared" si="282"/>
        <v>#DIV/0!</v>
      </c>
      <c r="M137" s="111">
        <f t="shared" si="283"/>
        <v>1.0519137575810336</v>
      </c>
      <c r="N137" s="111"/>
      <c r="O137" s="33">
        <f t="shared" si="285"/>
        <v>0.21081488818552635</v>
      </c>
      <c r="P137" s="33" t="e">
        <f t="shared" si="286"/>
        <v>#DIV/0!</v>
      </c>
      <c r="Q137" s="112">
        <v>3378</v>
      </c>
      <c r="R137" s="112"/>
      <c r="S137" s="33">
        <f t="shared" si="287"/>
        <v>-0.30206611570247932</v>
      </c>
      <c r="T137" s="33" t="e">
        <f t="shared" si="288"/>
        <v>#DIV/0!</v>
      </c>
      <c r="U137" s="112">
        <v>12</v>
      </c>
      <c r="V137" s="112"/>
      <c r="W137" s="33">
        <f t="shared" si="289"/>
        <v>-0.2</v>
      </c>
      <c r="X137" s="33" t="e">
        <f t="shared" si="290"/>
        <v>#DIV/0!</v>
      </c>
      <c r="Y137" s="113">
        <f t="shared" si="97"/>
        <v>3.552397868561279E-3</v>
      </c>
      <c r="Z137" s="113"/>
      <c r="AA137" s="33">
        <f t="shared" si="291"/>
        <v>0.14624037892243932</v>
      </c>
      <c r="AB137" s="33" t="e">
        <f t="shared" si="292"/>
        <v>#DIV/0!</v>
      </c>
      <c r="AC137" s="114">
        <f t="shared" si="17"/>
        <v>120.83333333333333</v>
      </c>
      <c r="AD137" s="114"/>
      <c r="AE137" s="33">
        <f t="shared" si="293"/>
        <v>1.0312151616499451E-2</v>
      </c>
      <c r="AF137" s="33" t="e">
        <f t="shared" si="294"/>
        <v>#DIV/0!</v>
      </c>
      <c r="AG137" s="112">
        <v>3370</v>
      </c>
      <c r="AH137" s="112"/>
      <c r="AI137" s="33">
        <f t="shared" si="295"/>
        <v>-0.31406472623651538</v>
      </c>
      <c r="AJ137" s="33" t="e">
        <f t="shared" si="296"/>
        <v>#DIV/0!</v>
      </c>
      <c r="AK137" s="112">
        <v>184573</v>
      </c>
      <c r="AL137" s="112"/>
      <c r="AM137" s="150">
        <f t="shared" si="297"/>
        <v>-0.27707733584004074</v>
      </c>
      <c r="AN137" s="267" t="e">
        <f t="shared" si="298"/>
        <v>#DIV/0!</v>
      </c>
      <c r="AO137" s="110">
        <f t="shared" si="11"/>
        <v>1.8258358481468038E-2</v>
      </c>
      <c r="AP137" s="110"/>
      <c r="AQ137" s="33">
        <f t="shared" si="299"/>
        <v>-5.1163689050272396E-2</v>
      </c>
      <c r="AR137" s="33" t="e">
        <f t="shared" si="300"/>
        <v>#DIV/0!</v>
      </c>
      <c r="AS137" s="68"/>
    </row>
    <row r="138" spans="1:45" s="81" customFormat="1" ht="15.75" customHeight="1" x14ac:dyDescent="0.3">
      <c r="A138" s="29" t="s">
        <v>68</v>
      </c>
      <c r="B138" s="29" t="s">
        <v>71</v>
      </c>
      <c r="C138" s="30">
        <f t="shared" ref="C138:C169" si="301">C134+7</f>
        <v>42972</v>
      </c>
      <c r="D138" s="31" t="s">
        <v>28</v>
      </c>
      <c r="E138" s="32">
        <f>SUM(E139:E141)</f>
        <v>11276</v>
      </c>
      <c r="F138" s="32">
        <f>SUM(F139:F141)</f>
        <v>4530</v>
      </c>
      <c r="G138" s="33">
        <f t="shared" si="279"/>
        <v>-0.23198474322299414</v>
      </c>
      <c r="H138" s="33">
        <f t="shared" si="280"/>
        <v>1.4891832229580575</v>
      </c>
      <c r="I138" s="32">
        <f>SUM(I139:I141)</f>
        <v>2377.21</v>
      </c>
      <c r="J138" s="32">
        <f>SUM(J139:J141)</f>
        <v>2689.1</v>
      </c>
      <c r="K138" s="33">
        <f t="shared" si="281"/>
        <v>-0.18434226463130524</v>
      </c>
      <c r="L138" s="33">
        <f t="shared" si="282"/>
        <v>-0.11598304265367591</v>
      </c>
      <c r="M138" s="34">
        <f t="shared" ref="M138" si="302">E138/I138</f>
        <v>4.7433756378275369</v>
      </c>
      <c r="N138" s="34">
        <f t="shared" ref="N138" si="303">F138/J138</f>
        <v>1.6845784835074933</v>
      </c>
      <c r="O138" s="33">
        <f t="shared" si="285"/>
        <v>-5.8409889989155216E-2</v>
      </c>
      <c r="P138" s="33">
        <f t="shared" si="286"/>
        <v>1.8157641120710881</v>
      </c>
      <c r="Q138" s="35">
        <f>SUM(Q139:Q141)</f>
        <v>7624</v>
      </c>
      <c r="R138" s="35">
        <f>SUM(R139:R141)</f>
        <v>5291</v>
      </c>
      <c r="S138" s="33">
        <f t="shared" si="287"/>
        <v>-0.12064590542099192</v>
      </c>
      <c r="T138" s="33">
        <f t="shared" si="288"/>
        <v>0.44093744093744092</v>
      </c>
      <c r="U138" s="35">
        <f>SUM(U139:U141)</f>
        <v>90</v>
      </c>
      <c r="V138" s="35">
        <f>SUM(V139:V141)</f>
        <v>44</v>
      </c>
      <c r="W138" s="33">
        <f t="shared" si="289"/>
        <v>-0.31297709923664124</v>
      </c>
      <c r="X138" s="33">
        <f t="shared" si="290"/>
        <v>1.0454545454545454</v>
      </c>
      <c r="Y138" s="88">
        <f t="shared" ref="Y138" si="304">U138/Q138</f>
        <v>1.180482686253935E-2</v>
      </c>
      <c r="Z138" s="88">
        <f t="shared" ref="Z138" si="305">V138/R138</f>
        <v>8.3160083160083165E-3</v>
      </c>
      <c r="AA138" s="33">
        <f t="shared" si="291"/>
        <v>-0.21871871070063997</v>
      </c>
      <c r="AB138" s="33">
        <f t="shared" si="292"/>
        <v>0.41953043022035674</v>
      </c>
      <c r="AC138" s="97">
        <f t="shared" ref="AC138" si="306">E138/U138</f>
        <v>125.28888888888889</v>
      </c>
      <c r="AD138" s="145">
        <f t="shared" ref="AD138" si="307">F138/V138</f>
        <v>102.95454545454545</v>
      </c>
      <c r="AE138" s="33">
        <f t="shared" si="293"/>
        <v>0.1178888737531975</v>
      </c>
      <c r="AF138" s="33">
        <f t="shared" si="294"/>
        <v>0.21693402011282811</v>
      </c>
      <c r="AG138" s="35">
        <f>SUM(AG139:AG141)</f>
        <v>6153</v>
      </c>
      <c r="AH138" s="35">
        <f>SUM(AH139:AH141)</f>
        <v>4499</v>
      </c>
      <c r="AI138" s="33">
        <f t="shared" si="295"/>
        <v>-0.1419606749407335</v>
      </c>
      <c r="AJ138" s="33">
        <f t="shared" si="296"/>
        <v>0.36763725272282727</v>
      </c>
      <c r="AK138" s="35">
        <f>SUM(AK139:AK141)</f>
        <v>132732</v>
      </c>
      <c r="AL138" s="35">
        <f>SUM(AL139:AL141)</f>
        <v>34818</v>
      </c>
      <c r="AM138" s="150">
        <f t="shared" si="297"/>
        <v>-0.33660535785685725</v>
      </c>
      <c r="AN138" s="267">
        <f t="shared" si="298"/>
        <v>2.8121661209719111</v>
      </c>
      <c r="AO138" s="33">
        <f t="shared" ref="AO138" si="308">AG138/AK138</f>
        <v>4.6356568122231261E-2</v>
      </c>
      <c r="AP138" s="33">
        <f t="shared" ref="AP138" si="309">AH138/AL138</f>
        <v>0.12921477396748809</v>
      </c>
      <c r="AQ138" s="33">
        <f t="shared" si="299"/>
        <v>0.29340707710166364</v>
      </c>
      <c r="AR138" s="33">
        <f t="shared" si="300"/>
        <v>-0.6412440567059684</v>
      </c>
      <c r="AS138" s="68"/>
    </row>
    <row r="139" spans="1:45" s="81" customFormat="1" ht="15.75" x14ac:dyDescent="0.25">
      <c r="A139" s="260" t="s">
        <v>68</v>
      </c>
      <c r="B139" s="265" t="s">
        <v>71</v>
      </c>
      <c r="C139" s="261">
        <f t="shared" si="301"/>
        <v>42972</v>
      </c>
      <c r="D139" s="260" t="s">
        <v>29</v>
      </c>
      <c r="E139" s="109">
        <v>10443</v>
      </c>
      <c r="F139" s="109">
        <v>3637</v>
      </c>
      <c r="G139" s="33">
        <f t="shared" si="279"/>
        <v>-0.19817260442260443</v>
      </c>
      <c r="H139" s="33">
        <f t="shared" si="280"/>
        <v>1.8713225185592521</v>
      </c>
      <c r="I139" s="109">
        <f>868.2+103.42</f>
        <v>971.62</v>
      </c>
      <c r="J139" s="111">
        <f>426.23+14.79</f>
        <v>441.02000000000004</v>
      </c>
      <c r="K139" s="33">
        <f t="shared" si="281"/>
        <v>5.0411355798441061E-2</v>
      </c>
      <c r="L139" s="33">
        <f t="shared" si="282"/>
        <v>1.2031200399074868</v>
      </c>
      <c r="M139" s="111">
        <f t="shared" si="283"/>
        <v>10.748029064860749</v>
      </c>
      <c r="N139" s="111">
        <f t="shared" si="284"/>
        <v>8.2467915287288545</v>
      </c>
      <c r="O139" s="33">
        <f t="shared" si="285"/>
        <v>-0.23665391548636791</v>
      </c>
      <c r="P139" s="33">
        <f t="shared" si="286"/>
        <v>0.30329826180502834</v>
      </c>
      <c r="Q139" s="112">
        <v>4815</v>
      </c>
      <c r="R139" s="112">
        <v>2883</v>
      </c>
      <c r="S139" s="33">
        <f t="shared" si="287"/>
        <v>2.4984384759525295E-3</v>
      </c>
      <c r="T139" s="33">
        <f t="shared" si="288"/>
        <v>0.67013527575442244</v>
      </c>
      <c r="U139" s="112">
        <v>80</v>
      </c>
      <c r="V139" s="112">
        <v>33</v>
      </c>
      <c r="W139" s="33">
        <f t="shared" si="289"/>
        <v>-0.32203389830508472</v>
      </c>
      <c r="X139" s="33">
        <f t="shared" si="290"/>
        <v>1.4242424242424243</v>
      </c>
      <c r="Y139" s="113">
        <f t="shared" ref="Y139:Z140" si="310">U139/Q139</f>
        <v>1.6614745586708203E-2</v>
      </c>
      <c r="Z139" s="113">
        <f t="shared" si="310"/>
        <v>1.1446409989594173E-2</v>
      </c>
      <c r="AA139" s="33">
        <f t="shared" si="291"/>
        <v>-0.32372353344949578</v>
      </c>
      <c r="AB139" s="33">
        <f t="shared" si="292"/>
        <v>0.45152459171150749</v>
      </c>
      <c r="AC139" s="114">
        <f t="shared" si="17"/>
        <v>130.53749999999999</v>
      </c>
      <c r="AD139" s="114">
        <f t="shared" si="17"/>
        <v>110.21212121212122</v>
      </c>
      <c r="AE139" s="33">
        <f t="shared" si="293"/>
        <v>0.18269540847665838</v>
      </c>
      <c r="AF139" s="33">
        <f t="shared" si="294"/>
        <v>0.18442053890569138</v>
      </c>
      <c r="AG139" s="112">
        <f>3251+155</f>
        <v>3406</v>
      </c>
      <c r="AH139" s="112">
        <f>2021+116</f>
        <v>2137</v>
      </c>
      <c r="AI139" s="33">
        <f t="shared" si="295"/>
        <v>1.5806740232627497E-2</v>
      </c>
      <c r="AJ139" s="33">
        <f t="shared" si="296"/>
        <v>0.59382311651848385</v>
      </c>
      <c r="AK139" s="112">
        <f>9137+416</f>
        <v>9553</v>
      </c>
      <c r="AL139" s="112">
        <f>6312+292</f>
        <v>6604</v>
      </c>
      <c r="AM139" s="150">
        <f t="shared" si="297"/>
        <v>1.0469011725293132E-4</v>
      </c>
      <c r="AN139" s="267">
        <f t="shared" si="298"/>
        <v>0.44654754694124771</v>
      </c>
      <c r="AO139" s="110">
        <f t="shared" si="11"/>
        <v>0.35653721344080391</v>
      </c>
      <c r="AP139" s="110">
        <f t="shared" si="272"/>
        <v>0.32359176256814054</v>
      </c>
      <c r="AQ139" s="33">
        <f t="shared" si="299"/>
        <v>1.5700406437983535E-2</v>
      </c>
      <c r="AR139" s="33">
        <f t="shared" si="300"/>
        <v>0.10181177237392088</v>
      </c>
      <c r="AS139" s="68"/>
    </row>
    <row r="140" spans="1:45" s="81" customFormat="1" ht="15.75" x14ac:dyDescent="0.25">
      <c r="A140" s="260" t="s">
        <v>68</v>
      </c>
      <c r="B140" s="265" t="s">
        <v>71</v>
      </c>
      <c r="C140" s="261">
        <f t="shared" si="301"/>
        <v>42972</v>
      </c>
      <c r="D140" s="260" t="s">
        <v>30</v>
      </c>
      <c r="E140" s="109">
        <v>288</v>
      </c>
      <c r="F140" s="109">
        <v>893</v>
      </c>
      <c r="G140" s="33">
        <f t="shared" si="279"/>
        <v>0.38461538461538464</v>
      </c>
      <c r="H140" s="33">
        <f t="shared" si="280"/>
        <v>-0.67749160134378494</v>
      </c>
      <c r="I140" s="109">
        <v>612.16</v>
      </c>
      <c r="J140" s="111">
        <f>2131.49+116.59</f>
        <v>2248.08</v>
      </c>
      <c r="K140" s="33">
        <f t="shared" si="281"/>
        <v>1.8329405603561217E-3</v>
      </c>
      <c r="L140" s="33">
        <f t="shared" si="282"/>
        <v>-0.72769652325540024</v>
      </c>
      <c r="M140" s="111">
        <f t="shared" si="283"/>
        <v>0.47046523784631472</v>
      </c>
      <c r="N140" s="111">
        <f t="shared" si="284"/>
        <v>0.39722785665990534</v>
      </c>
      <c r="O140" s="33">
        <f t="shared" si="285"/>
        <v>0.38208211025775052</v>
      </c>
      <c r="P140" s="33">
        <f t="shared" si="286"/>
        <v>0.18437121153140335</v>
      </c>
      <c r="Q140" s="112">
        <v>477</v>
      </c>
      <c r="R140" s="112">
        <v>2408</v>
      </c>
      <c r="S140" s="33">
        <f t="shared" si="287"/>
        <v>-2.4539877300613498E-2</v>
      </c>
      <c r="T140" s="33">
        <f t="shared" si="288"/>
        <v>-0.80191029900332222</v>
      </c>
      <c r="U140" s="112">
        <v>3</v>
      </c>
      <c r="V140" s="112">
        <v>11</v>
      </c>
      <c r="W140" s="33">
        <f t="shared" si="289"/>
        <v>2</v>
      </c>
      <c r="X140" s="33">
        <f t="shared" si="290"/>
        <v>-0.72727272727272729</v>
      </c>
      <c r="Y140" s="113">
        <f t="shared" si="310"/>
        <v>6.2893081761006293E-3</v>
      </c>
      <c r="Z140" s="113">
        <f t="shared" si="310"/>
        <v>4.5681063122923592E-3</v>
      </c>
      <c r="AA140" s="33">
        <f t="shared" si="291"/>
        <v>2.0754716981132075</v>
      </c>
      <c r="AB140" s="33">
        <f t="shared" si="292"/>
        <v>0.37678673527730128</v>
      </c>
      <c r="AC140" s="114">
        <f t="shared" si="17"/>
        <v>96</v>
      </c>
      <c r="AD140" s="114">
        <f t="shared" si="17"/>
        <v>81.181818181818187</v>
      </c>
      <c r="AE140" s="33">
        <f t="shared" si="293"/>
        <v>-0.53846153846153844</v>
      </c>
      <c r="AF140" s="33">
        <f t="shared" si="294"/>
        <v>0.18253079507278827</v>
      </c>
      <c r="AG140" s="112">
        <v>409</v>
      </c>
      <c r="AH140" s="112">
        <f>2209+153</f>
        <v>2362</v>
      </c>
      <c r="AI140" s="33">
        <f t="shared" si="295"/>
        <v>-8.7053571428571425E-2</v>
      </c>
      <c r="AJ140" s="33">
        <f t="shared" si="296"/>
        <v>-0.8268416596104996</v>
      </c>
      <c r="AK140" s="112">
        <v>4945</v>
      </c>
      <c r="AL140" s="112">
        <f>26582+1632</f>
        <v>28214</v>
      </c>
      <c r="AM140" s="150">
        <f t="shared" si="297"/>
        <v>-0.16960537363560033</v>
      </c>
      <c r="AN140" s="267">
        <f t="shared" si="298"/>
        <v>-0.82473240235344158</v>
      </c>
      <c r="AO140" s="110">
        <f t="shared" si="11"/>
        <v>8.2709807886754291E-2</v>
      </c>
      <c r="AP140" s="110">
        <f t="shared" si="272"/>
        <v>8.3717303466364218E-2</v>
      </c>
      <c r="AQ140" s="33">
        <f t="shared" si="299"/>
        <v>9.9412736530405846E-2</v>
      </c>
      <c r="AR140" s="33">
        <f t="shared" si="300"/>
        <v>-1.2034496309531951E-2</v>
      </c>
      <c r="AS140" s="68"/>
    </row>
    <row r="141" spans="1:45" s="81" customFormat="1" ht="15.75" x14ac:dyDescent="0.25">
      <c r="A141" s="260" t="s">
        <v>68</v>
      </c>
      <c r="B141" s="265" t="s">
        <v>71</v>
      </c>
      <c r="C141" s="261">
        <f t="shared" si="301"/>
        <v>42972</v>
      </c>
      <c r="D141" s="260" t="s">
        <v>228</v>
      </c>
      <c r="E141" s="109">
        <v>545</v>
      </c>
      <c r="F141" s="109"/>
      <c r="G141" s="33">
        <f t="shared" si="279"/>
        <v>-0.62413793103448278</v>
      </c>
      <c r="H141" s="33" t="e">
        <f t="shared" si="280"/>
        <v>#DIV/0!</v>
      </c>
      <c r="I141" s="109">
        <v>793.43</v>
      </c>
      <c r="J141" s="111"/>
      <c r="K141" s="33">
        <f t="shared" ref="K141" si="311">(I141-I137)/I137</f>
        <v>-0.42440004642929696</v>
      </c>
      <c r="L141" s="33" t="e">
        <f t="shared" ref="L141" si="312">(I141-J141)/J141</f>
        <v>#DIV/0!</v>
      </c>
      <c r="M141" s="111">
        <f t="shared" ref="M141" si="313">E141/I141</f>
        <v>0.68689109310210106</v>
      </c>
      <c r="N141" s="111" t="e">
        <f t="shared" ref="N141" si="314">F141/J141</f>
        <v>#DIV/0!</v>
      </c>
      <c r="O141" s="33">
        <f t="shared" ref="O141" si="315">(M141-M137)/M137</f>
        <v>-0.34700816663747569</v>
      </c>
      <c r="P141" s="33" t="e">
        <f t="shared" ref="P141" si="316">(M141-N141)/N141</f>
        <v>#DIV/0!</v>
      </c>
      <c r="Q141" s="112">
        <v>2332</v>
      </c>
      <c r="R141" s="112"/>
      <c r="S141" s="33">
        <f t="shared" si="287"/>
        <v>-0.30965068087625813</v>
      </c>
      <c r="T141" s="33" t="e">
        <f t="shared" si="288"/>
        <v>#DIV/0!</v>
      </c>
      <c r="U141" s="112">
        <v>7</v>
      </c>
      <c r="V141" s="112"/>
      <c r="W141" s="33">
        <f t="shared" ref="W141" si="317">(U141-U137)/U137</f>
        <v>-0.41666666666666669</v>
      </c>
      <c r="X141" s="33" t="e">
        <f t="shared" ref="X141" si="318">(U141-V141)/V141</f>
        <v>#DIV/0!</v>
      </c>
      <c r="Y141" s="113">
        <f t="shared" ref="Y141" si="319">U141/Q141</f>
        <v>3.0017152658662091E-3</v>
      </c>
      <c r="Z141" s="113" t="e">
        <f t="shared" ref="Z141" si="320">V141/R141</f>
        <v>#DIV/0!</v>
      </c>
      <c r="AA141" s="33">
        <f t="shared" ref="AA141" si="321">(Y141-Y137)/Y137</f>
        <v>-0.15501715265866217</v>
      </c>
      <c r="AB141" s="33" t="e">
        <f t="shared" ref="AB141" si="322">(Y141-Z141)/Z141</f>
        <v>#DIV/0!</v>
      </c>
      <c r="AC141" s="114">
        <f t="shared" ref="AC141" si="323">E141/U141</f>
        <v>77.857142857142861</v>
      </c>
      <c r="AD141" s="114" t="e">
        <f t="shared" ref="AD141" si="324">F141/V141</f>
        <v>#DIV/0!</v>
      </c>
      <c r="AE141" s="33">
        <f t="shared" ref="AE141" si="325">(AC141-AC137)/AC137</f>
        <v>-0.35566502463054184</v>
      </c>
      <c r="AF141" s="33" t="e">
        <f t="shared" ref="AF141" si="326">(AC141-AD141)/AD141</f>
        <v>#DIV/0!</v>
      </c>
      <c r="AG141" s="112">
        <v>2338</v>
      </c>
      <c r="AH141" s="112"/>
      <c r="AI141" s="33">
        <f t="shared" si="295"/>
        <v>-0.30623145400593471</v>
      </c>
      <c r="AJ141" s="33" t="e">
        <f t="shared" si="296"/>
        <v>#DIV/0!</v>
      </c>
      <c r="AK141" s="112">
        <v>118234</v>
      </c>
      <c r="AL141" s="112"/>
      <c r="AM141" s="150">
        <f t="shared" si="297"/>
        <v>-0.35941876655848903</v>
      </c>
      <c r="AN141" s="267" t="e">
        <f t="shared" si="298"/>
        <v>#DIV/0!</v>
      </c>
      <c r="AO141" s="110">
        <f t="shared" ref="AO141" si="327">AG141/AK141</f>
        <v>1.9774345788859379E-2</v>
      </c>
      <c r="AP141" s="110" t="e">
        <f t="shared" ref="AP141" si="328">AH141/AL141</f>
        <v>#DIV/0!</v>
      </c>
      <c r="AQ141" s="33">
        <f t="shared" si="299"/>
        <v>8.3029770114878942E-2</v>
      </c>
      <c r="AR141" s="33" t="e">
        <f t="shared" si="300"/>
        <v>#DIV/0!</v>
      </c>
      <c r="AS141" s="68"/>
    </row>
    <row r="142" spans="1:45" s="81" customFormat="1" ht="15.75" customHeight="1" x14ac:dyDescent="0.3">
      <c r="A142" s="29" t="s">
        <v>68</v>
      </c>
      <c r="B142" s="29" t="s">
        <v>72</v>
      </c>
      <c r="C142" s="30">
        <f t="shared" si="301"/>
        <v>42979</v>
      </c>
      <c r="D142" s="31" t="s">
        <v>28</v>
      </c>
      <c r="E142" s="32">
        <f>SUM(E143:E145)</f>
        <v>11559</v>
      </c>
      <c r="F142" s="32">
        <f>SUM(F143:F145)</f>
        <v>6660</v>
      </c>
      <c r="G142" s="33">
        <f t="shared" ref="G142" si="329">(E142-E138)/E138</f>
        <v>2.5097552323518978E-2</v>
      </c>
      <c r="H142" s="33">
        <f t="shared" ref="H142" si="330">(E142-F142)/F142</f>
        <v>0.73558558558558562</v>
      </c>
      <c r="I142" s="32">
        <f>SUM(I143:I145)</f>
        <v>2306.0499999999997</v>
      </c>
      <c r="J142" s="32">
        <f>SUM(J143:J145)</f>
        <v>3018.8799999999997</v>
      </c>
      <c r="K142" s="33">
        <f t="shared" ref="K142" si="331">(I142-I138)/I138</f>
        <v>-2.9934250655179941E-2</v>
      </c>
      <c r="L142" s="33">
        <f t="shared" ref="L142" si="332">(I142-J142)/J142</f>
        <v>-0.23612399300402798</v>
      </c>
      <c r="M142" s="34">
        <f t="shared" ref="M142" si="333">E142/I142</f>
        <v>5.0124672058281483</v>
      </c>
      <c r="N142" s="34">
        <f t="shared" ref="N142" si="334">F142/J142</f>
        <v>2.206116175535298</v>
      </c>
      <c r="O142" s="33">
        <f t="shared" ref="O142" si="335">(M142-M138)/M138</f>
        <v>5.6729972185769202E-2</v>
      </c>
      <c r="P142" s="33">
        <f t="shared" ref="P142" si="336">(M142-N142)/N142</f>
        <v>1.2720776273769487</v>
      </c>
      <c r="Q142" s="35">
        <f>SUM(Q143:Q145)</f>
        <v>7132</v>
      </c>
      <c r="R142" s="35">
        <f>SUM(R143:R145)</f>
        <v>5679</v>
      </c>
      <c r="S142" s="33">
        <f t="shared" ref="S142" si="337">(Q142-Q138)/Q138</f>
        <v>-6.4533053515215114E-2</v>
      </c>
      <c r="T142" s="33">
        <f t="shared" ref="T142" si="338">(Q142-R142)/R142</f>
        <v>0.25585490403240008</v>
      </c>
      <c r="U142" s="35">
        <f>SUM(U143:U145)</f>
        <v>110</v>
      </c>
      <c r="V142" s="35">
        <f>SUM(V143:V145)</f>
        <v>62</v>
      </c>
      <c r="W142" s="33">
        <f t="shared" ref="W142" si="339">(U142-U138)/U138</f>
        <v>0.22222222222222221</v>
      </c>
      <c r="X142" s="33">
        <f t="shared" ref="X142" si="340">(U142-V142)/V142</f>
        <v>0.77419354838709675</v>
      </c>
      <c r="Y142" s="88">
        <f t="shared" ref="Y142" si="341">U142/Q142</f>
        <v>1.5423443634324173E-2</v>
      </c>
      <c r="Z142" s="88">
        <f t="shared" ref="Z142" si="342">V142/R142</f>
        <v>1.0917415037858778E-2</v>
      </c>
      <c r="AA142" s="33">
        <f t="shared" ref="AA142" si="343">(Y142-Y138)/Y138</f>
        <v>0.30653704742319438</v>
      </c>
      <c r="AB142" s="33">
        <f t="shared" ref="AB142" si="344">(Y142-Z142)/Z142</f>
        <v>0.4127376838601125</v>
      </c>
      <c r="AC142" s="97">
        <f t="shared" ref="AC142" si="345">E142/U142</f>
        <v>105.08181818181818</v>
      </c>
      <c r="AD142" s="145">
        <f t="shared" ref="AD142" si="346">F142/V142</f>
        <v>107.41935483870968</v>
      </c>
      <c r="AE142" s="33">
        <f t="shared" ref="AE142" si="347">(AC142-AC138)/AC138</f>
        <v>-0.16128382082621179</v>
      </c>
      <c r="AF142" s="33">
        <f t="shared" ref="AF142" si="348">(AC142-AD142)/AD142</f>
        <v>-2.1760851760851813E-2</v>
      </c>
      <c r="AG142" s="35">
        <f>SUM(AG143:AG145)</f>
        <v>5723</v>
      </c>
      <c r="AH142" s="35">
        <f>SUM(AH143:AH145)</f>
        <v>4814</v>
      </c>
      <c r="AI142" s="33">
        <f t="shared" ref="AI142" si="349">(AG142-AG138)/AG138</f>
        <v>-6.9884609133755896E-2</v>
      </c>
      <c r="AJ142" s="33">
        <f t="shared" ref="AJ142" si="350">(AG142-AH142)/AH142</f>
        <v>0.18882426256751142</v>
      </c>
      <c r="AK142" s="35">
        <f>SUM(AK143:AK145)</f>
        <v>140303</v>
      </c>
      <c r="AL142" s="35">
        <f>SUM(AL143:AL145)</f>
        <v>38927</v>
      </c>
      <c r="AM142" s="150">
        <f t="shared" ref="AM142" si="351">(AK142-AK138)/AK138</f>
        <v>5.7039749269204111E-2</v>
      </c>
      <c r="AN142" s="267">
        <f t="shared" ref="AN142" si="352">(AK142-AL142)/AL142</f>
        <v>2.6042592545020167</v>
      </c>
      <c r="AO142" s="33">
        <f t="shared" ref="AO142" si="353">AG142/AK142</f>
        <v>4.0790289587535548E-2</v>
      </c>
      <c r="AP142" s="33">
        <f t="shared" ref="AP142" si="354">AH142/AL142</f>
        <v>0.12366737739872068</v>
      </c>
      <c r="AQ142" s="33">
        <f t="shared" ref="AQ142" si="355">(AO142-AO138)/AO138</f>
        <v>-0.12007529375381623</v>
      </c>
      <c r="AR142" s="33">
        <f t="shared" ref="AR142" si="356">(AO142-AP142)/AP142</f>
        <v>-0.67016127902492806</v>
      </c>
      <c r="AS142" s="68"/>
    </row>
    <row r="143" spans="1:45" s="81" customFormat="1" ht="15.75" x14ac:dyDescent="0.25">
      <c r="A143" s="260" t="s">
        <v>68</v>
      </c>
      <c r="B143" s="260" t="s">
        <v>72</v>
      </c>
      <c r="C143" s="261">
        <f t="shared" si="301"/>
        <v>42979</v>
      </c>
      <c r="D143" s="260" t="s">
        <v>29</v>
      </c>
      <c r="E143" s="109">
        <v>9784</v>
      </c>
      <c r="F143" s="109">
        <v>5902</v>
      </c>
      <c r="G143" s="33">
        <f t="shared" si="279"/>
        <v>-6.3104471895049322E-2</v>
      </c>
      <c r="H143" s="33">
        <f t="shared" si="280"/>
        <v>0.65774313791934935</v>
      </c>
      <c r="I143" s="109">
        <f>737.43+80.66</f>
        <v>818.08999999999992</v>
      </c>
      <c r="J143" s="111">
        <f>444.28+16.84</f>
        <v>461.11999999999995</v>
      </c>
      <c r="K143" s="33">
        <f t="shared" si="281"/>
        <v>-0.15801445009365811</v>
      </c>
      <c r="L143" s="33">
        <f t="shared" si="282"/>
        <v>0.77413688410825821</v>
      </c>
      <c r="M143" s="111">
        <f t="shared" si="283"/>
        <v>11.959564351110515</v>
      </c>
      <c r="N143" s="111">
        <f t="shared" si="284"/>
        <v>12.799271339347676</v>
      </c>
      <c r="O143" s="33">
        <f t="shared" si="285"/>
        <v>0.11272162355893882</v>
      </c>
      <c r="P143" s="33">
        <f t="shared" si="286"/>
        <v>-6.5605843174503506E-2</v>
      </c>
      <c r="Q143" s="112">
        <v>4224</v>
      </c>
      <c r="R143" s="112">
        <v>3129</v>
      </c>
      <c r="S143" s="33">
        <f t="shared" si="287"/>
        <v>-0.12274143302180686</v>
      </c>
      <c r="T143" s="33">
        <f t="shared" si="288"/>
        <v>0.34995206136145734</v>
      </c>
      <c r="U143" s="112">
        <v>88</v>
      </c>
      <c r="V143" s="112">
        <v>52</v>
      </c>
      <c r="W143" s="33">
        <f t="shared" si="289"/>
        <v>0.1</v>
      </c>
      <c r="X143" s="33">
        <f t="shared" si="290"/>
        <v>0.69230769230769229</v>
      </c>
      <c r="Y143" s="113">
        <f t="shared" si="97"/>
        <v>2.0833333333333332E-2</v>
      </c>
      <c r="Z143" s="113">
        <f t="shared" si="97"/>
        <v>1.6618728028124002E-2</v>
      </c>
      <c r="AA143" s="33">
        <f t="shared" si="291"/>
        <v>0.25390624999999994</v>
      </c>
      <c r="AB143" s="33">
        <f t="shared" si="292"/>
        <v>0.25360576923076905</v>
      </c>
      <c r="AC143" s="114">
        <f t="shared" si="17"/>
        <v>111.18181818181819</v>
      </c>
      <c r="AD143" s="114">
        <f t="shared" si="17"/>
        <v>113.5</v>
      </c>
      <c r="AE143" s="33">
        <f t="shared" si="293"/>
        <v>-0.14827679263186294</v>
      </c>
      <c r="AF143" s="33">
        <f t="shared" si="294"/>
        <v>-2.0424509411293507E-2</v>
      </c>
      <c r="AG143" s="112">
        <f>2830+91</f>
        <v>2921</v>
      </c>
      <c r="AH143" s="112">
        <f>2274+104</f>
        <v>2378</v>
      </c>
      <c r="AI143" s="33">
        <f t="shared" si="295"/>
        <v>-0.14239577216676452</v>
      </c>
      <c r="AJ143" s="33">
        <f t="shared" si="296"/>
        <v>0.22834314550042051</v>
      </c>
      <c r="AK143" s="112">
        <f>8147+266</f>
        <v>8413</v>
      </c>
      <c r="AL143" s="112">
        <f>6511+272</f>
        <v>6783</v>
      </c>
      <c r="AM143" s="150">
        <f t="shared" si="297"/>
        <v>-0.11933424055270596</v>
      </c>
      <c r="AN143" s="267">
        <f t="shared" si="298"/>
        <v>0.24030664897537962</v>
      </c>
      <c r="AO143" s="110">
        <f t="shared" si="11"/>
        <v>0.3472007607274456</v>
      </c>
      <c r="AP143" s="110">
        <f t="shared" si="272"/>
        <v>0.35058233819843726</v>
      </c>
      <c r="AQ143" s="33">
        <f t="shared" si="299"/>
        <v>-2.618647468312154E-2</v>
      </c>
      <c r="AR143" s="33">
        <f t="shared" si="300"/>
        <v>-9.6456013396704898E-3</v>
      </c>
      <c r="AS143" s="68"/>
    </row>
    <row r="144" spans="1:45" s="81" customFormat="1" ht="15.75" x14ac:dyDescent="0.25">
      <c r="A144" s="260" t="s">
        <v>68</v>
      </c>
      <c r="B144" s="260" t="s">
        <v>72</v>
      </c>
      <c r="C144" s="261">
        <f t="shared" si="301"/>
        <v>42979</v>
      </c>
      <c r="D144" s="260" t="s">
        <v>30</v>
      </c>
      <c r="E144" s="109">
        <v>734</v>
      </c>
      <c r="F144" s="109">
        <v>758</v>
      </c>
      <c r="G144" s="33">
        <f t="shared" si="279"/>
        <v>1.5486111111111112</v>
      </c>
      <c r="H144" s="33">
        <f t="shared" si="280"/>
        <v>-3.1662269129287601E-2</v>
      </c>
      <c r="I144" s="109">
        <f>724.86</f>
        <v>724.86</v>
      </c>
      <c r="J144" s="111">
        <f>2442.29+115.47</f>
        <v>2557.7599999999998</v>
      </c>
      <c r="K144" s="33">
        <f t="shared" si="281"/>
        <v>0.18410219550444337</v>
      </c>
      <c r="L144" s="33">
        <f t="shared" si="282"/>
        <v>-0.71660359064181156</v>
      </c>
      <c r="M144" s="111">
        <f t="shared" si="283"/>
        <v>1.012609331457109</v>
      </c>
      <c r="N144" s="111">
        <f t="shared" si="284"/>
        <v>0.29635305892656078</v>
      </c>
      <c r="O144" s="33">
        <f t="shared" si="285"/>
        <v>1.1523573900860546</v>
      </c>
      <c r="P144" s="33">
        <f t="shared" si="286"/>
        <v>2.4169019045220774</v>
      </c>
      <c r="Q144" s="112">
        <v>591</v>
      </c>
      <c r="R144" s="112">
        <v>2550</v>
      </c>
      <c r="S144" s="33">
        <f t="shared" si="287"/>
        <v>0.2389937106918239</v>
      </c>
      <c r="T144" s="33">
        <f t="shared" si="288"/>
        <v>-0.76823529411764702</v>
      </c>
      <c r="U144" s="112">
        <v>7</v>
      </c>
      <c r="V144" s="112">
        <v>10</v>
      </c>
      <c r="W144" s="33">
        <f t="shared" si="289"/>
        <v>1.3333333333333333</v>
      </c>
      <c r="X144" s="33">
        <f t="shared" si="290"/>
        <v>-0.3</v>
      </c>
      <c r="Y144" s="113">
        <f t="shared" si="97"/>
        <v>1.1844331641285956E-2</v>
      </c>
      <c r="Z144" s="113">
        <f t="shared" si="97"/>
        <v>3.9215686274509803E-3</v>
      </c>
      <c r="AA144" s="33">
        <f t="shared" si="291"/>
        <v>0.88324873096446699</v>
      </c>
      <c r="AB144" s="33">
        <f t="shared" si="292"/>
        <v>2.0203045685279188</v>
      </c>
      <c r="AC144" s="114">
        <f t="shared" si="17"/>
        <v>104.85714285714286</v>
      </c>
      <c r="AD144" s="114">
        <f t="shared" si="17"/>
        <v>75.8</v>
      </c>
      <c r="AE144" s="33">
        <f t="shared" si="293"/>
        <v>9.2261904761904809E-2</v>
      </c>
      <c r="AF144" s="33">
        <f t="shared" si="294"/>
        <v>0.38333961552958923</v>
      </c>
      <c r="AG144" s="112">
        <v>512</v>
      </c>
      <c r="AH144" s="112">
        <f>2294+142</f>
        <v>2436</v>
      </c>
      <c r="AI144" s="33">
        <f t="shared" si="295"/>
        <v>0.25183374083129584</v>
      </c>
      <c r="AJ144" s="33">
        <f t="shared" si="296"/>
        <v>-0.78981937602627261</v>
      </c>
      <c r="AK144" s="112">
        <v>7267</v>
      </c>
      <c r="AL144" s="112">
        <f>30506+1638</f>
        <v>32144</v>
      </c>
      <c r="AM144" s="150">
        <f t="shared" si="297"/>
        <v>0.46956521739130436</v>
      </c>
      <c r="AN144" s="267">
        <f t="shared" si="298"/>
        <v>-0.77392359382777498</v>
      </c>
      <c r="AO144" s="110">
        <f t="shared" si="11"/>
        <v>7.0455483693408566E-2</v>
      </c>
      <c r="AP144" s="110">
        <f t="shared" si="272"/>
        <v>7.5783972125435542E-2</v>
      </c>
      <c r="AQ144" s="33">
        <f t="shared" si="299"/>
        <v>-0.14816047221539025</v>
      </c>
      <c r="AR144" s="33">
        <f t="shared" si="300"/>
        <v>-7.0311548505367458E-2</v>
      </c>
      <c r="AS144" s="68"/>
    </row>
    <row r="145" spans="1:45" s="81" customFormat="1" ht="15.75" x14ac:dyDescent="0.25">
      <c r="A145" s="260" t="s">
        <v>68</v>
      </c>
      <c r="B145" s="260" t="s">
        <v>72</v>
      </c>
      <c r="C145" s="261">
        <f t="shared" si="301"/>
        <v>42979</v>
      </c>
      <c r="D145" s="260" t="s">
        <v>228</v>
      </c>
      <c r="E145" s="109">
        <v>1041</v>
      </c>
      <c r="F145" s="109"/>
      <c r="G145" s="33">
        <f t="shared" si="279"/>
        <v>0.91009174311926611</v>
      </c>
      <c r="H145" s="33" t="e">
        <f t="shared" si="280"/>
        <v>#DIV/0!</v>
      </c>
      <c r="I145" s="109">
        <v>763.1</v>
      </c>
      <c r="J145" s="111"/>
      <c r="K145" s="33">
        <f t="shared" si="281"/>
        <v>-3.8226434594103992E-2</v>
      </c>
      <c r="L145" s="33" t="e">
        <f t="shared" si="282"/>
        <v>#DIV/0!</v>
      </c>
      <c r="M145" s="111">
        <f t="shared" si="283"/>
        <v>1.3641724544620626</v>
      </c>
      <c r="N145" s="111"/>
      <c r="O145" s="33">
        <f t="shared" si="285"/>
        <v>0.98600981751162242</v>
      </c>
      <c r="P145" s="33" t="e">
        <f t="shared" si="286"/>
        <v>#DIV/0!</v>
      </c>
      <c r="Q145" s="112">
        <v>2317</v>
      </c>
      <c r="R145" s="112"/>
      <c r="S145" s="33">
        <f t="shared" si="287"/>
        <v>-6.4322469982847344E-3</v>
      </c>
      <c r="T145" s="33" t="e">
        <f t="shared" si="288"/>
        <v>#DIV/0!</v>
      </c>
      <c r="U145" s="112">
        <v>15</v>
      </c>
      <c r="V145" s="112"/>
      <c r="W145" s="33">
        <f t="shared" si="289"/>
        <v>1.1428571428571428</v>
      </c>
      <c r="X145" s="33" t="e">
        <f t="shared" si="290"/>
        <v>#DIV/0!</v>
      </c>
      <c r="Y145" s="113">
        <f t="shared" si="97"/>
        <v>6.4738886491152352E-3</v>
      </c>
      <c r="Z145" s="113"/>
      <c r="AA145" s="33">
        <f t="shared" si="291"/>
        <v>1.1567297613909613</v>
      </c>
      <c r="AB145" s="33" t="e">
        <f t="shared" si="292"/>
        <v>#DIV/0!</v>
      </c>
      <c r="AC145" s="114">
        <f t="shared" si="17"/>
        <v>69.400000000000006</v>
      </c>
      <c r="AD145" s="114"/>
      <c r="AE145" s="33">
        <f t="shared" si="293"/>
        <v>-0.10862385321100915</v>
      </c>
      <c r="AF145" s="33" t="e">
        <f t="shared" si="294"/>
        <v>#DIV/0!</v>
      </c>
      <c r="AG145" s="112">
        <v>2290</v>
      </c>
      <c r="AH145" s="112"/>
      <c r="AI145" s="33">
        <f t="shared" si="295"/>
        <v>-2.0530367835757058E-2</v>
      </c>
      <c r="AJ145" s="33" t="e">
        <f t="shared" si="296"/>
        <v>#DIV/0!</v>
      </c>
      <c r="AK145" s="112">
        <v>124623</v>
      </c>
      <c r="AL145" s="112"/>
      <c r="AM145" s="150">
        <f t="shared" si="297"/>
        <v>5.4036909856724803E-2</v>
      </c>
      <c r="AN145" s="267" t="e">
        <f t="shared" si="298"/>
        <v>#DIV/0!</v>
      </c>
      <c r="AO145" s="110">
        <f t="shared" si="11"/>
        <v>1.8375420267526862E-2</v>
      </c>
      <c r="AP145" s="110"/>
      <c r="AQ145" s="33">
        <f t="shared" si="299"/>
        <v>-7.0744465393168907E-2</v>
      </c>
      <c r="AR145" s="33" t="e">
        <f t="shared" si="300"/>
        <v>#DIV/0!</v>
      </c>
      <c r="AS145" s="68"/>
    </row>
    <row r="146" spans="1:45" s="108" customFormat="1" ht="15.75" customHeight="1" x14ac:dyDescent="0.3">
      <c r="A146" s="272" t="s">
        <v>73</v>
      </c>
      <c r="B146" s="272" t="s">
        <v>74</v>
      </c>
      <c r="C146" s="273">
        <f t="shared" si="301"/>
        <v>42986</v>
      </c>
      <c r="D146" s="274" t="s">
        <v>28</v>
      </c>
      <c r="E146" s="115">
        <f>SUM(E147:E149)</f>
        <v>11749</v>
      </c>
      <c r="F146" s="115">
        <f>SUM(F147:F149)</f>
        <v>6428</v>
      </c>
      <c r="G146" s="116">
        <f t="shared" si="279"/>
        <v>1.6437408080283763E-2</v>
      </c>
      <c r="H146" s="116">
        <f t="shared" si="280"/>
        <v>0.82778469197261983</v>
      </c>
      <c r="I146" s="115">
        <f>SUM(I147:I149)</f>
        <v>2083.29</v>
      </c>
      <c r="J146" s="115">
        <f>SUM(J147:J149)</f>
        <v>2881.15</v>
      </c>
      <c r="K146" s="116">
        <f t="shared" si="281"/>
        <v>-9.6598078966197515E-2</v>
      </c>
      <c r="L146" s="116">
        <f t="shared" si="282"/>
        <v>-0.27692414487270711</v>
      </c>
      <c r="M146" s="117">
        <f t="shared" ref="M146" si="357">E146/I146</f>
        <v>5.6396373044559329</v>
      </c>
      <c r="N146" s="117">
        <f t="shared" ref="N146" si="358">F146/J146</f>
        <v>2.2310535723582596</v>
      </c>
      <c r="O146" s="116">
        <f t="shared" si="285"/>
        <v>0.12512203529203239</v>
      </c>
      <c r="P146" s="116">
        <f t="shared" si="286"/>
        <v>1.5277910733872451</v>
      </c>
      <c r="Q146" s="118">
        <f>SUM(Q147:Q149)</f>
        <v>6664</v>
      </c>
      <c r="R146" s="118">
        <f>SUM(R147:R149)</f>
        <v>6159</v>
      </c>
      <c r="S146" s="116">
        <f t="shared" si="287"/>
        <v>-6.5619742007851936E-2</v>
      </c>
      <c r="T146" s="116">
        <f t="shared" si="288"/>
        <v>8.1993830167234938E-2</v>
      </c>
      <c r="U146" s="118">
        <f>SUM(U147:U149)</f>
        <v>104</v>
      </c>
      <c r="V146" s="118">
        <f>SUM(V147:V149)</f>
        <v>68</v>
      </c>
      <c r="W146" s="116">
        <f t="shared" si="289"/>
        <v>-5.4545454545454543E-2</v>
      </c>
      <c r="X146" s="116">
        <f t="shared" si="290"/>
        <v>0.52941176470588236</v>
      </c>
      <c r="Y146" s="119">
        <f t="shared" ref="Y146" si="359">U146/Q146</f>
        <v>1.5606242496998799E-2</v>
      </c>
      <c r="Z146" s="119">
        <f t="shared" ref="Z146" si="360">V146/R146</f>
        <v>1.1040753369053418E-2</v>
      </c>
      <c r="AA146" s="116">
        <f t="shared" si="291"/>
        <v>1.1852013532685739E-2</v>
      </c>
      <c r="AB146" s="116">
        <f t="shared" si="292"/>
        <v>0.41351246380905293</v>
      </c>
      <c r="AC146" s="120">
        <f t="shared" ref="AC146" si="361">E146/U146</f>
        <v>112.97115384615384</v>
      </c>
      <c r="AD146" s="275">
        <f t="shared" ref="AD146" si="362">F146/V146</f>
        <v>94.529411764705884</v>
      </c>
      <c r="AE146" s="116">
        <f t="shared" si="293"/>
        <v>7.507802777722318E-2</v>
      </c>
      <c r="AF146" s="116">
        <f t="shared" si="294"/>
        <v>0.1950899909051744</v>
      </c>
      <c r="AG146" s="118">
        <f>SUM(AG147:AG149)</f>
        <v>5152</v>
      </c>
      <c r="AH146" s="118">
        <f>SUM(AH147:AH149)</f>
        <v>5184</v>
      </c>
      <c r="AI146" s="116">
        <f t="shared" si="295"/>
        <v>-9.9772846409225929E-2</v>
      </c>
      <c r="AJ146" s="116">
        <f t="shared" si="296"/>
        <v>-6.1728395061728392E-3</v>
      </c>
      <c r="AK146" s="118">
        <f>SUM(AK147:AK149)</f>
        <v>93913</v>
      </c>
      <c r="AL146" s="118">
        <f>SUM(AL147:AL149)</f>
        <v>37896</v>
      </c>
      <c r="AM146" s="276">
        <f t="shared" si="297"/>
        <v>-0.33064154009536501</v>
      </c>
      <c r="AN146" s="277">
        <f t="shared" si="298"/>
        <v>1.478177116318345</v>
      </c>
      <c r="AO146" s="116">
        <f t="shared" ref="AO146" si="363">AG146/AK146</f>
        <v>5.4859284657076228E-2</v>
      </c>
      <c r="AP146" s="116">
        <f t="shared" ref="AP146" si="364">AH146/AL146</f>
        <v>0.13679544015199493</v>
      </c>
      <c r="AQ146" s="116">
        <f t="shared" si="299"/>
        <v>0.34491039930836381</v>
      </c>
      <c r="AR146" s="116">
        <f t="shared" si="300"/>
        <v>-0.59896847002998443</v>
      </c>
      <c r="AS146" s="106"/>
    </row>
    <row r="147" spans="1:45" s="81" customFormat="1" ht="15.75" x14ac:dyDescent="0.25">
      <c r="A147" s="260" t="s">
        <v>73</v>
      </c>
      <c r="B147" s="260" t="s">
        <v>74</v>
      </c>
      <c r="C147" s="261">
        <f t="shared" si="301"/>
        <v>42986</v>
      </c>
      <c r="D147" s="260" t="s">
        <v>29</v>
      </c>
      <c r="E147" s="109">
        <v>10751</v>
      </c>
      <c r="F147" s="109">
        <v>5945</v>
      </c>
      <c r="G147" s="33">
        <f t="shared" si="279"/>
        <v>9.883483237939493E-2</v>
      </c>
      <c r="H147" s="33">
        <f t="shared" si="280"/>
        <v>0.80841042893187554</v>
      </c>
      <c r="I147" s="109">
        <f>766.67+113.29</f>
        <v>879.95999999999992</v>
      </c>
      <c r="J147" s="111">
        <f>473.17+17.56</f>
        <v>490.73</v>
      </c>
      <c r="K147" s="33">
        <f t="shared" si="281"/>
        <v>7.5627375961080087E-2</v>
      </c>
      <c r="L147" s="33">
        <f t="shared" si="282"/>
        <v>0.79316528437226153</v>
      </c>
      <c r="M147" s="111">
        <f t="shared" si="283"/>
        <v>12.217600800036367</v>
      </c>
      <c r="N147" s="111">
        <f t="shared" si="284"/>
        <v>12.114604772481812</v>
      </c>
      <c r="O147" s="33">
        <f t="shared" si="285"/>
        <v>2.1575739830514109E-2</v>
      </c>
      <c r="P147" s="33">
        <f t="shared" si="286"/>
        <v>8.5018066613703723E-3</v>
      </c>
      <c r="Q147" s="112">
        <v>4564</v>
      </c>
      <c r="R147" s="112">
        <v>3587</v>
      </c>
      <c r="S147" s="33">
        <f t="shared" si="287"/>
        <v>8.049242424242424E-2</v>
      </c>
      <c r="T147" s="33">
        <f t="shared" si="288"/>
        <v>0.27237245609144134</v>
      </c>
      <c r="U147" s="112">
        <v>95</v>
      </c>
      <c r="V147" s="112">
        <v>60</v>
      </c>
      <c r="W147" s="33">
        <f t="shared" si="289"/>
        <v>7.9545454545454544E-2</v>
      </c>
      <c r="X147" s="33">
        <f t="shared" si="290"/>
        <v>0.58333333333333337</v>
      </c>
      <c r="Y147" s="113">
        <f t="shared" si="97"/>
        <v>2.0815074496056091E-2</v>
      </c>
      <c r="Z147" s="113">
        <f t="shared" si="97"/>
        <v>1.6727069974909393E-2</v>
      </c>
      <c r="AA147" s="33">
        <f t="shared" si="291"/>
        <v>-8.7642418930755639E-4</v>
      </c>
      <c r="AB147" s="33">
        <f t="shared" si="292"/>
        <v>0.24439453695588678</v>
      </c>
      <c r="AC147" s="114">
        <f t="shared" si="17"/>
        <v>113.16842105263157</v>
      </c>
      <c r="AD147" s="114">
        <f t="shared" si="17"/>
        <v>99.083333333333329</v>
      </c>
      <c r="AE147" s="33">
        <f t="shared" si="293"/>
        <v>1.7868055256702566E-2</v>
      </c>
      <c r="AF147" s="33">
        <f t="shared" si="294"/>
        <v>0.14215395511486875</v>
      </c>
      <c r="AG147" s="112">
        <f>3096+144</f>
        <v>3240</v>
      </c>
      <c r="AH147" s="112">
        <f>2636+128</f>
        <v>2764</v>
      </c>
      <c r="AI147" s="33">
        <f t="shared" si="295"/>
        <v>0.10920917494008901</v>
      </c>
      <c r="AJ147" s="33">
        <f t="shared" si="296"/>
        <v>0.17221418234442837</v>
      </c>
      <c r="AK147" s="112">
        <f>8127+484</f>
        <v>8611</v>
      </c>
      <c r="AL147" s="112">
        <f>6967+328</f>
        <v>7295</v>
      </c>
      <c r="AM147" s="150">
        <f t="shared" si="297"/>
        <v>2.3535005348864851E-2</v>
      </c>
      <c r="AN147" s="267">
        <f t="shared" si="298"/>
        <v>0.18039753255654559</v>
      </c>
      <c r="AO147" s="110">
        <f t="shared" si="11"/>
        <v>0.37626291952154223</v>
      </c>
      <c r="AP147" s="110">
        <f t="shared" si="272"/>
        <v>0.37888965044551065</v>
      </c>
      <c r="AQ147" s="33">
        <f t="shared" si="299"/>
        <v>8.3704191008125622E-2</v>
      </c>
      <c r="AR147" s="33">
        <f t="shared" si="300"/>
        <v>-6.9327069791424193E-3</v>
      </c>
      <c r="AS147" s="68"/>
    </row>
    <row r="148" spans="1:45" s="81" customFormat="1" ht="15.75" x14ac:dyDescent="0.25">
      <c r="A148" s="260" t="s">
        <v>73</v>
      </c>
      <c r="B148" s="260" t="s">
        <v>74</v>
      </c>
      <c r="C148" s="261">
        <f t="shared" si="301"/>
        <v>42986</v>
      </c>
      <c r="D148" s="260" t="s">
        <v>30</v>
      </c>
      <c r="E148" s="109">
        <v>332</v>
      </c>
      <c r="F148" s="109">
        <v>483</v>
      </c>
      <c r="G148" s="33">
        <f t="shared" si="279"/>
        <v>-0.54768392370572205</v>
      </c>
      <c r="H148" s="33">
        <f t="shared" si="280"/>
        <v>-0.31262939958592134</v>
      </c>
      <c r="I148" s="109">
        <f>755.72+0</f>
        <v>755.72</v>
      </c>
      <c r="J148" s="111">
        <f>2258.98+131.44</f>
        <v>2390.42</v>
      </c>
      <c r="K148" s="33">
        <f t="shared" si="281"/>
        <v>4.2573738377065934E-2</v>
      </c>
      <c r="L148" s="33">
        <f t="shared" si="282"/>
        <v>-0.68385472009102999</v>
      </c>
      <c r="M148" s="111">
        <f t="shared" si="283"/>
        <v>0.43931614883819403</v>
      </c>
      <c r="N148" s="111">
        <f t="shared" si="284"/>
        <v>0.20205654236494006</v>
      </c>
      <c r="O148" s="33">
        <f t="shared" si="285"/>
        <v>-0.56615435470455955</v>
      </c>
      <c r="P148" s="33">
        <f t="shared" si="286"/>
        <v>1.1742238271341527</v>
      </c>
      <c r="Q148" s="112">
        <v>567</v>
      </c>
      <c r="R148" s="112">
        <v>2572</v>
      </c>
      <c r="S148" s="33">
        <f t="shared" si="287"/>
        <v>-4.060913705583756E-2</v>
      </c>
      <c r="T148" s="33">
        <f t="shared" si="288"/>
        <v>-0.77954898911353032</v>
      </c>
      <c r="U148" s="112">
        <v>3</v>
      </c>
      <c r="V148" s="112">
        <v>8</v>
      </c>
      <c r="W148" s="33">
        <f t="shared" si="289"/>
        <v>-0.5714285714285714</v>
      </c>
      <c r="X148" s="33">
        <f t="shared" si="290"/>
        <v>-0.625</v>
      </c>
      <c r="Y148" s="113">
        <f t="shared" si="97"/>
        <v>5.2910052910052907E-3</v>
      </c>
      <c r="Z148" s="113">
        <f t="shared" si="97"/>
        <v>3.1104199066874028E-3</v>
      </c>
      <c r="AA148" s="33">
        <f t="shared" si="291"/>
        <v>-0.55328798185941042</v>
      </c>
      <c r="AB148" s="33">
        <f t="shared" si="292"/>
        <v>0.70105820105820094</v>
      </c>
      <c r="AC148" s="114">
        <f t="shared" si="17"/>
        <v>110.66666666666667</v>
      </c>
      <c r="AD148" s="114">
        <f t="shared" si="17"/>
        <v>60.375</v>
      </c>
      <c r="AE148" s="33">
        <f t="shared" si="293"/>
        <v>5.5404178019981841E-2</v>
      </c>
      <c r="AF148" s="33">
        <f t="shared" si="294"/>
        <v>0.83298826777087653</v>
      </c>
      <c r="AG148" s="112">
        <f>481+0</f>
        <v>481</v>
      </c>
      <c r="AH148" s="112">
        <f>2246+174</f>
        <v>2420</v>
      </c>
      <c r="AI148" s="33">
        <f t="shared" si="295"/>
        <v>-6.0546875E-2</v>
      </c>
      <c r="AJ148" s="33">
        <f t="shared" si="296"/>
        <v>-0.80123966942148761</v>
      </c>
      <c r="AK148" s="112">
        <f>6979+0</f>
        <v>6979</v>
      </c>
      <c r="AL148" s="112">
        <f>28702+1899</f>
        <v>30601</v>
      </c>
      <c r="AM148" s="150">
        <f t="shared" si="297"/>
        <v>-3.9631209577542313E-2</v>
      </c>
      <c r="AN148" s="267">
        <f t="shared" si="298"/>
        <v>-0.77193555766151434</v>
      </c>
      <c r="AO148" s="110">
        <f t="shared" si="11"/>
        <v>6.892104886086832E-2</v>
      </c>
      <c r="AP148" s="110">
        <f t="shared" si="272"/>
        <v>7.9082382928662459E-2</v>
      </c>
      <c r="AQ148" s="33">
        <f t="shared" si="299"/>
        <v>-2.1778785015761658E-2</v>
      </c>
      <c r="AR148" s="33">
        <f t="shared" si="300"/>
        <v>-0.12849048917709441</v>
      </c>
      <c r="AS148" s="68"/>
    </row>
    <row r="149" spans="1:45" s="81" customFormat="1" ht="15.75" x14ac:dyDescent="0.25">
      <c r="A149" s="260" t="s">
        <v>73</v>
      </c>
      <c r="B149" s="260" t="s">
        <v>74</v>
      </c>
      <c r="C149" s="261">
        <f t="shared" si="301"/>
        <v>42986</v>
      </c>
      <c r="D149" s="260" t="s">
        <v>228</v>
      </c>
      <c r="E149" s="109">
        <v>666</v>
      </c>
      <c r="F149" s="109"/>
      <c r="G149" s="33">
        <f t="shared" si="279"/>
        <v>-0.36023054755043227</v>
      </c>
      <c r="H149" s="33" t="e">
        <f t="shared" si="280"/>
        <v>#DIV/0!</v>
      </c>
      <c r="I149" s="109">
        <v>447.61</v>
      </c>
      <c r="J149" s="111">
        <v>0</v>
      </c>
      <c r="K149" s="33">
        <f t="shared" si="281"/>
        <v>-0.41343205346612499</v>
      </c>
      <c r="L149" s="33" t="e">
        <f t="shared" si="282"/>
        <v>#DIV/0!</v>
      </c>
      <c r="M149" s="111">
        <f t="shared" si="283"/>
        <v>1.4879024150488147</v>
      </c>
      <c r="N149" s="111"/>
      <c r="O149" s="33">
        <f t="shared" si="285"/>
        <v>9.0699647381124446E-2</v>
      </c>
      <c r="P149" s="33" t="e">
        <f t="shared" si="286"/>
        <v>#DIV/0!</v>
      </c>
      <c r="Q149" s="112">
        <v>1533</v>
      </c>
      <c r="R149" s="112"/>
      <c r="S149" s="33">
        <f t="shared" si="287"/>
        <v>-0.33836858006042297</v>
      </c>
      <c r="T149" s="33" t="e">
        <f t="shared" si="288"/>
        <v>#DIV/0!</v>
      </c>
      <c r="U149" s="112">
        <v>6</v>
      </c>
      <c r="V149" s="112"/>
      <c r="W149" s="33">
        <f t="shared" si="289"/>
        <v>-0.6</v>
      </c>
      <c r="X149" s="33" t="e">
        <f t="shared" si="290"/>
        <v>#DIV/0!</v>
      </c>
      <c r="Y149" s="113">
        <f t="shared" si="97"/>
        <v>3.9138943248532287E-3</v>
      </c>
      <c r="Z149" s="113"/>
      <c r="AA149" s="33">
        <f t="shared" si="291"/>
        <v>-0.39543378995433792</v>
      </c>
      <c r="AB149" s="33" t="e">
        <f t="shared" si="292"/>
        <v>#DIV/0!</v>
      </c>
      <c r="AC149" s="114">
        <f t="shared" si="17"/>
        <v>111</v>
      </c>
      <c r="AD149" s="114"/>
      <c r="AE149" s="33">
        <f t="shared" si="293"/>
        <v>0.59942363112391917</v>
      </c>
      <c r="AF149" s="33" t="e">
        <f t="shared" si="294"/>
        <v>#DIV/0!</v>
      </c>
      <c r="AG149" s="112">
        <v>1431</v>
      </c>
      <c r="AH149" s="112"/>
      <c r="AI149" s="33">
        <f t="shared" si="295"/>
        <v>-0.37510917030567686</v>
      </c>
      <c r="AJ149" s="33" t="e">
        <f t="shared" si="296"/>
        <v>#DIV/0!</v>
      </c>
      <c r="AK149" s="112">
        <v>78323</v>
      </c>
      <c r="AL149" s="112"/>
      <c r="AM149" s="150">
        <f t="shared" si="297"/>
        <v>-0.3715205058456304</v>
      </c>
      <c r="AN149" s="267" t="e">
        <f t="shared" si="298"/>
        <v>#DIV/0!</v>
      </c>
      <c r="AO149" s="110">
        <f t="shared" si="11"/>
        <v>1.8270495256821114E-2</v>
      </c>
      <c r="AP149" s="110"/>
      <c r="AQ149" s="33">
        <f t="shared" si="299"/>
        <v>-5.7100740651451426E-3</v>
      </c>
      <c r="AR149" s="33" t="e">
        <f t="shared" si="300"/>
        <v>#DIV/0!</v>
      </c>
      <c r="AS149" s="68"/>
    </row>
    <row r="150" spans="1:45" s="81" customFormat="1" ht="15.75" customHeight="1" x14ac:dyDescent="0.3">
      <c r="A150" s="29" t="s">
        <v>73</v>
      </c>
      <c r="B150" s="29" t="s">
        <v>75</v>
      </c>
      <c r="C150" s="30">
        <f t="shared" si="301"/>
        <v>42993</v>
      </c>
      <c r="D150" s="31" t="s">
        <v>28</v>
      </c>
      <c r="E150" s="32">
        <f>SUM(E151:E153)</f>
        <v>13171</v>
      </c>
      <c r="F150" s="32">
        <f>SUM(F151:F153)</f>
        <v>79481</v>
      </c>
      <c r="G150" s="33">
        <f t="shared" ref="G150" si="365">(E150-E146)/E146</f>
        <v>0.1210315771555026</v>
      </c>
      <c r="H150" s="33">
        <f t="shared" ref="H150" si="366">(E150-F150)/F150</f>
        <v>-0.83428743976547859</v>
      </c>
      <c r="I150" s="32">
        <f>SUM(I151:I153)</f>
        <v>3058.46</v>
      </c>
      <c r="J150" s="32">
        <f>SUM(J151:J153)</f>
        <v>3158.69</v>
      </c>
      <c r="K150" s="33">
        <f t="shared" ref="K150" si="367">(I150-I146)/I146</f>
        <v>0.4680913362997951</v>
      </c>
      <c r="L150" s="33">
        <f t="shared" ref="L150" si="368">(I150-J150)/J150</f>
        <v>-3.1731508948329851E-2</v>
      </c>
      <c r="M150" s="34">
        <f t="shared" ref="M150" si="369">E150/I150</f>
        <v>4.3064156470903656</v>
      </c>
      <c r="N150" s="34">
        <f t="shared" ref="N150" si="370">F150/J150</f>
        <v>25.16264654017963</v>
      </c>
      <c r="O150" s="33">
        <f t="shared" ref="O150" si="371">(M150-M146)/M146</f>
        <v>-0.2364020211569591</v>
      </c>
      <c r="P150" s="33">
        <f t="shared" ref="P150" si="372">(M150-N150)/N150</f>
        <v>-0.8288568080383002</v>
      </c>
      <c r="Q150" s="35">
        <f>SUM(Q151:Q153)</f>
        <v>9954</v>
      </c>
      <c r="R150" s="35">
        <f>SUM(R151:R153)</f>
        <v>9734</v>
      </c>
      <c r="S150" s="33">
        <f t="shared" ref="S150" si="373">(Q150-Q146)/Q146</f>
        <v>0.49369747899159666</v>
      </c>
      <c r="T150" s="33">
        <f t="shared" ref="T150" si="374">(Q150-R150)/R150</f>
        <v>2.2601191699198685E-2</v>
      </c>
      <c r="U150" s="35">
        <f>SUM(U151:U153)</f>
        <v>116</v>
      </c>
      <c r="V150" s="35">
        <f>SUM(V151:V153)</f>
        <v>478</v>
      </c>
      <c r="W150" s="33">
        <f t="shared" ref="W150" si="375">(U150-U146)/U146</f>
        <v>0.11538461538461539</v>
      </c>
      <c r="X150" s="33">
        <f t="shared" ref="X150" si="376">(U150-V150)/V150</f>
        <v>-0.75732217573221761</v>
      </c>
      <c r="Y150" s="88">
        <f t="shared" ref="Y150" si="377">U150/Q150</f>
        <v>1.1653606590315451E-2</v>
      </c>
      <c r="Z150" s="88">
        <f t="shared" ref="Z150" si="378">V150/R150</f>
        <v>4.9106225600986236E-2</v>
      </c>
      <c r="AA150" s="33">
        <f t="shared" ref="AA150" si="379">(Y150-Y146)/Y146</f>
        <v>-0.253272746943633</v>
      </c>
      <c r="AB150" s="33">
        <f t="shared" ref="AB150" si="380">(Y150-Z150)/Z150</f>
        <v>-0.76268576035537528</v>
      </c>
      <c r="AC150" s="97">
        <f t="shared" ref="AC150" si="381">E150/U150</f>
        <v>113.54310344827586</v>
      </c>
      <c r="AD150" s="145">
        <f t="shared" ref="AD150" si="382">F150/V150</f>
        <v>166.27824267782427</v>
      </c>
      <c r="AE150" s="33">
        <f t="shared" ref="AE150" si="383">(AC150-AC146)/AC146</f>
        <v>5.0627933118299329E-3</v>
      </c>
      <c r="AF150" s="33">
        <f t="shared" ref="AF150" si="384">(AC150-AD150)/AD150</f>
        <v>-0.31714996730947193</v>
      </c>
      <c r="AG150" s="35">
        <f>SUM(AG151:AG153)</f>
        <v>8786</v>
      </c>
      <c r="AH150" s="35">
        <f>SUM(AH151:AH153)</f>
        <v>7805</v>
      </c>
      <c r="AI150" s="33">
        <f t="shared" ref="AI150" si="385">(AG150-AG146)/AG146</f>
        <v>0.7053571428571429</v>
      </c>
      <c r="AJ150" s="33">
        <f t="shared" ref="AJ150" si="386">(AG150-AH150)/AH150</f>
        <v>0.12568866111467009</v>
      </c>
      <c r="AK150" s="35">
        <f>SUM(AK151:AK153)</f>
        <v>289699</v>
      </c>
      <c r="AL150" s="35">
        <f>SUM(AL151:AL153)</f>
        <v>43444</v>
      </c>
      <c r="AM150" s="150">
        <f t="shared" ref="AM150" si="387">(AK150-AK146)/AK146</f>
        <v>2.0847592984996752</v>
      </c>
      <c r="AN150" s="267">
        <f t="shared" ref="AN150" si="388">(AK150-AL150)/AL150</f>
        <v>5.6683316453365249</v>
      </c>
      <c r="AO150" s="33">
        <f t="shared" ref="AO150" si="389">AG150/AK150</f>
        <v>3.0328030127822325E-2</v>
      </c>
      <c r="AP150" s="33">
        <f t="shared" ref="AP150" si="390">AH150/AL150</f>
        <v>0.17965656937666882</v>
      </c>
      <c r="AQ150" s="33">
        <f t="shared" ref="AQ150" si="391">(AO150-AO146)/AO146</f>
        <v>-0.4471668685182108</v>
      </c>
      <c r="AR150" s="33">
        <f t="shared" ref="AR150" si="392">(AO150-AP150)/AP150</f>
        <v>-0.83118886087468125</v>
      </c>
      <c r="AS150" s="68"/>
    </row>
    <row r="151" spans="1:45" s="81" customFormat="1" ht="15.75" x14ac:dyDescent="0.25">
      <c r="A151" s="260" t="s">
        <v>73</v>
      </c>
      <c r="B151" s="260" t="s">
        <v>75</v>
      </c>
      <c r="C151" s="261">
        <f t="shared" si="301"/>
        <v>42993</v>
      </c>
      <c r="D151" s="260" t="s">
        <v>29</v>
      </c>
      <c r="E151" s="109">
        <v>11476</v>
      </c>
      <c r="F151" s="109">
        <v>78443</v>
      </c>
      <c r="G151" s="33">
        <f t="shared" si="279"/>
        <v>6.7435587387219789E-2</v>
      </c>
      <c r="H151" s="33">
        <f t="shared" si="280"/>
        <v>-0.85370268857641851</v>
      </c>
      <c r="I151" s="109">
        <f>165.59+674.61</f>
        <v>840.2</v>
      </c>
      <c r="J151" s="111">
        <f>696.59+44.6</f>
        <v>741.19</v>
      </c>
      <c r="K151" s="33">
        <f t="shared" si="281"/>
        <v>-4.5183871994181418E-2</v>
      </c>
      <c r="L151" s="33">
        <f t="shared" si="282"/>
        <v>0.13358248222453081</v>
      </c>
      <c r="M151" s="111">
        <f t="shared" si="283"/>
        <v>13.658652701737681</v>
      </c>
      <c r="N151" s="111">
        <f t="shared" si="284"/>
        <v>105.83386176284083</v>
      </c>
      <c r="O151" s="33">
        <f t="shared" si="285"/>
        <v>0.11794884489080908</v>
      </c>
      <c r="P151" s="33">
        <f t="shared" si="286"/>
        <v>-0.8709425086240844</v>
      </c>
      <c r="Q151" s="112">
        <v>4543</v>
      </c>
      <c r="R151" s="112">
        <v>7146</v>
      </c>
      <c r="S151" s="33">
        <f t="shared" si="287"/>
        <v>-4.601226993865031E-3</v>
      </c>
      <c r="T151" s="33">
        <f t="shared" si="288"/>
        <v>-0.36425972572068288</v>
      </c>
      <c r="U151" s="112">
        <v>98</v>
      </c>
      <c r="V151" s="112">
        <v>469</v>
      </c>
      <c r="W151" s="33">
        <f t="shared" si="289"/>
        <v>3.1578947368421054E-2</v>
      </c>
      <c r="X151" s="33">
        <f t="shared" si="290"/>
        <v>-0.79104477611940294</v>
      </c>
      <c r="Y151" s="113">
        <f t="shared" si="97"/>
        <v>2.1571648690292759E-2</v>
      </c>
      <c r="Z151" s="113">
        <f t="shared" si="97"/>
        <v>6.5631122306185272E-2</v>
      </c>
      <c r="AA151" s="33">
        <f t="shared" si="291"/>
        <v>3.6347417078906867E-2</v>
      </c>
      <c r="AB151" s="33">
        <f t="shared" si="292"/>
        <v>-0.6713198261389508</v>
      </c>
      <c r="AC151" s="114">
        <f t="shared" si="17"/>
        <v>117.10204081632654</v>
      </c>
      <c r="AD151" s="114">
        <f t="shared" si="17"/>
        <v>167.25586353944564</v>
      </c>
      <c r="AE151" s="33">
        <f t="shared" si="293"/>
        <v>3.4758987773325416E-2</v>
      </c>
      <c r="AF151" s="33">
        <f t="shared" si="294"/>
        <v>-0.29986286675857449</v>
      </c>
      <c r="AG151" s="112">
        <f>212+3004</f>
        <v>3216</v>
      </c>
      <c r="AH151" s="112">
        <f>5079+325</f>
        <v>5404</v>
      </c>
      <c r="AI151" s="33">
        <f t="shared" si="295"/>
        <v>-7.4074074074074077E-3</v>
      </c>
      <c r="AJ151" s="33">
        <f t="shared" si="296"/>
        <v>-0.40488527017024428</v>
      </c>
      <c r="AK151" s="112">
        <f>485+8288</f>
        <v>8773</v>
      </c>
      <c r="AL151" s="112">
        <f>11758+606</f>
        <v>12364</v>
      </c>
      <c r="AM151" s="150">
        <f t="shared" si="297"/>
        <v>1.8813145976077111E-2</v>
      </c>
      <c r="AN151" s="267">
        <f t="shared" si="298"/>
        <v>-0.29043998705920415</v>
      </c>
      <c r="AO151" s="110">
        <f t="shared" si="11"/>
        <v>0.36657927732816598</v>
      </c>
      <c r="AP151" s="110">
        <f t="shared" si="272"/>
        <v>0.43707538013587838</v>
      </c>
      <c r="AQ151" s="33">
        <f t="shared" si="299"/>
        <v>-2.5736371273815711E-2</v>
      </c>
      <c r="AR151" s="33">
        <f t="shared" si="300"/>
        <v>-0.16129049132393711</v>
      </c>
      <c r="AS151" s="68"/>
    </row>
    <row r="152" spans="1:45" s="81" customFormat="1" ht="15.75" x14ac:dyDescent="0.25">
      <c r="A152" s="260" t="s">
        <v>73</v>
      </c>
      <c r="B152" s="260" t="s">
        <v>75</v>
      </c>
      <c r="C152" s="261">
        <f t="shared" si="301"/>
        <v>42993</v>
      </c>
      <c r="D152" s="260" t="s">
        <v>30</v>
      </c>
      <c r="E152" s="109">
        <v>326</v>
      </c>
      <c r="F152" s="109">
        <v>1038</v>
      </c>
      <c r="G152" s="33">
        <f t="shared" si="279"/>
        <v>-1.8072289156626505E-2</v>
      </c>
      <c r="H152" s="33">
        <f t="shared" si="280"/>
        <v>-0.68593448940269752</v>
      </c>
      <c r="I152" s="109">
        <v>727.69</v>
      </c>
      <c r="J152" s="111">
        <f>2289.35+128.15</f>
        <v>2417.5</v>
      </c>
      <c r="K152" s="33">
        <f t="shared" si="281"/>
        <v>-3.709045678293544E-2</v>
      </c>
      <c r="L152" s="33">
        <f t="shared" si="282"/>
        <v>-0.69899069286452942</v>
      </c>
      <c r="M152" s="111">
        <f t="shared" si="283"/>
        <v>0.44799296403688382</v>
      </c>
      <c r="N152" s="111">
        <f t="shared" si="284"/>
        <v>0.42936918304033089</v>
      </c>
      <c r="O152" s="33">
        <f t="shared" si="285"/>
        <v>1.9750731270945329E-2</v>
      </c>
      <c r="P152" s="33">
        <f t="shared" si="286"/>
        <v>4.3374750057000686E-2</v>
      </c>
      <c r="Q152" s="112">
        <v>517</v>
      </c>
      <c r="R152" s="112">
        <v>2588</v>
      </c>
      <c r="S152" s="33">
        <f t="shared" si="287"/>
        <v>-8.8183421516754845E-2</v>
      </c>
      <c r="T152" s="33">
        <f t="shared" si="288"/>
        <v>-0.80023183925811436</v>
      </c>
      <c r="U152" s="112">
        <v>3</v>
      </c>
      <c r="V152" s="112">
        <v>9</v>
      </c>
      <c r="W152" s="33">
        <f t="shared" si="289"/>
        <v>0</v>
      </c>
      <c r="X152" s="33">
        <f t="shared" si="290"/>
        <v>-0.66666666666666663</v>
      </c>
      <c r="Y152" s="113">
        <f t="shared" si="97"/>
        <v>5.8027079303675051E-3</v>
      </c>
      <c r="Z152" s="113">
        <f t="shared" si="97"/>
        <v>3.4775888717156105E-3</v>
      </c>
      <c r="AA152" s="33">
        <f t="shared" si="291"/>
        <v>9.6711798839458518E-2</v>
      </c>
      <c r="AB152" s="33">
        <f t="shared" si="292"/>
        <v>0.66860090264345595</v>
      </c>
      <c r="AC152" s="114">
        <f t="shared" si="17"/>
        <v>108.66666666666667</v>
      </c>
      <c r="AD152" s="114">
        <f t="shared" si="17"/>
        <v>115.33333333333333</v>
      </c>
      <c r="AE152" s="33">
        <f t="shared" si="293"/>
        <v>-1.8072289156626505E-2</v>
      </c>
      <c r="AF152" s="33">
        <f t="shared" si="294"/>
        <v>-5.7803468208092408E-2</v>
      </c>
      <c r="AG152" s="112">
        <v>480</v>
      </c>
      <c r="AH152" s="112">
        <f>2235+166</f>
        <v>2401</v>
      </c>
      <c r="AI152" s="33">
        <f t="shared" si="295"/>
        <v>-2.0790020790020791E-3</v>
      </c>
      <c r="AJ152" s="33">
        <f t="shared" si="296"/>
        <v>-0.8000832986255727</v>
      </c>
      <c r="AK152" s="112">
        <v>7057</v>
      </c>
      <c r="AL152" s="112">
        <f>29162+1918</f>
        <v>31080</v>
      </c>
      <c r="AM152" s="150">
        <f t="shared" si="297"/>
        <v>1.1176386301762431E-2</v>
      </c>
      <c r="AN152" s="267">
        <f t="shared" si="298"/>
        <v>-0.77294079794079795</v>
      </c>
      <c r="AO152" s="110">
        <f t="shared" si="11"/>
        <v>6.8017571205894856E-2</v>
      </c>
      <c r="AP152" s="110">
        <f t="shared" si="272"/>
        <v>7.7252252252252254E-2</v>
      </c>
      <c r="AQ152" s="33">
        <f t="shared" si="299"/>
        <v>-1.3108878490768828E-2</v>
      </c>
      <c r="AR152" s="33">
        <f t="shared" si="300"/>
        <v>-0.11953931150386836</v>
      </c>
      <c r="AS152" s="68"/>
    </row>
    <row r="153" spans="1:45" s="81" customFormat="1" ht="15.75" x14ac:dyDescent="0.25">
      <c r="A153" s="260" t="s">
        <v>73</v>
      </c>
      <c r="B153" s="260" t="s">
        <v>75</v>
      </c>
      <c r="C153" s="261">
        <f t="shared" si="301"/>
        <v>42993</v>
      </c>
      <c r="D153" s="260" t="s">
        <v>228</v>
      </c>
      <c r="E153" s="109">
        <v>1369</v>
      </c>
      <c r="F153" s="109"/>
      <c r="G153" s="33">
        <f t="shared" si="279"/>
        <v>1.0555555555555556</v>
      </c>
      <c r="H153" s="33" t="e">
        <f t="shared" si="280"/>
        <v>#DIV/0!</v>
      </c>
      <c r="I153" s="109">
        <v>1490.57</v>
      </c>
      <c r="J153" s="111"/>
      <c r="K153" s="33">
        <f t="shared" si="281"/>
        <v>2.330064118317285</v>
      </c>
      <c r="L153" s="33" t="e">
        <f t="shared" si="282"/>
        <v>#DIV/0!</v>
      </c>
      <c r="M153" s="111">
        <f t="shared" si="283"/>
        <v>0.91844059655031296</v>
      </c>
      <c r="N153" s="111"/>
      <c r="O153" s="33">
        <f t="shared" si="285"/>
        <v>-0.38272793480197353</v>
      </c>
      <c r="P153" s="33" t="e">
        <f t="shared" si="286"/>
        <v>#DIV/0!</v>
      </c>
      <c r="Q153" s="112">
        <v>4894</v>
      </c>
      <c r="R153" s="112"/>
      <c r="S153" s="33">
        <f t="shared" si="287"/>
        <v>2.1924331376386172</v>
      </c>
      <c r="T153" s="33" t="e">
        <f t="shared" si="288"/>
        <v>#DIV/0!</v>
      </c>
      <c r="U153" s="112">
        <v>15</v>
      </c>
      <c r="V153" s="112"/>
      <c r="W153" s="33">
        <f t="shared" si="289"/>
        <v>1.5</v>
      </c>
      <c r="X153" s="33" t="e">
        <f t="shared" si="290"/>
        <v>#DIV/0!</v>
      </c>
      <c r="Y153" s="113">
        <f t="shared" si="97"/>
        <v>3.064977523498161E-3</v>
      </c>
      <c r="Z153" s="113"/>
      <c r="AA153" s="33">
        <f t="shared" si="291"/>
        <v>-0.2168982427462198</v>
      </c>
      <c r="AB153" s="33" t="e">
        <f t="shared" si="292"/>
        <v>#DIV/0!</v>
      </c>
      <c r="AC153" s="114">
        <f t="shared" si="17"/>
        <v>91.266666666666666</v>
      </c>
      <c r="AD153" s="114"/>
      <c r="AE153" s="33">
        <f t="shared" si="293"/>
        <v>-0.17777777777777778</v>
      </c>
      <c r="AF153" s="33" t="e">
        <f t="shared" si="294"/>
        <v>#DIV/0!</v>
      </c>
      <c r="AG153" s="112">
        <v>5090</v>
      </c>
      <c r="AH153" s="112"/>
      <c r="AI153" s="33">
        <f t="shared" si="295"/>
        <v>2.5569531795946889</v>
      </c>
      <c r="AJ153" s="33" t="e">
        <f t="shared" si="296"/>
        <v>#DIV/0!</v>
      </c>
      <c r="AK153" s="112">
        <v>273869</v>
      </c>
      <c r="AL153" s="112"/>
      <c r="AM153" s="150">
        <f t="shared" si="297"/>
        <v>2.4966612616983519</v>
      </c>
      <c r="AN153" s="267" t="e">
        <f t="shared" si="298"/>
        <v>#DIV/0!</v>
      </c>
      <c r="AO153" s="110">
        <f t="shared" si="11"/>
        <v>1.8585528117457617E-2</v>
      </c>
      <c r="AP153" s="110"/>
      <c r="AQ153" s="33">
        <f t="shared" si="299"/>
        <v>1.7242710512671428E-2</v>
      </c>
      <c r="AR153" s="33" t="e">
        <f t="shared" si="300"/>
        <v>#DIV/0!</v>
      </c>
      <c r="AS153" s="68"/>
    </row>
    <row r="154" spans="1:45" s="81" customFormat="1" ht="15.75" customHeight="1" x14ac:dyDescent="0.3">
      <c r="A154" s="29" t="s">
        <v>73</v>
      </c>
      <c r="B154" s="29" t="s">
        <v>76</v>
      </c>
      <c r="C154" s="30">
        <f t="shared" si="301"/>
        <v>43000</v>
      </c>
      <c r="D154" s="31" t="s">
        <v>28</v>
      </c>
      <c r="E154" s="32">
        <f>SUM(E155:E157)</f>
        <v>45077</v>
      </c>
      <c r="F154" s="32">
        <f>SUM(F155:F157)</f>
        <v>3623</v>
      </c>
      <c r="G154" s="33">
        <f t="shared" si="279"/>
        <v>2.4224432465264596</v>
      </c>
      <c r="H154" s="33">
        <f t="shared" si="280"/>
        <v>11.441898978746895</v>
      </c>
      <c r="I154" s="32">
        <f>SUM(I155:I157)</f>
        <v>3929.4</v>
      </c>
      <c r="J154" s="32">
        <f>SUM(J155:J157)</f>
        <v>2933.6800000000003</v>
      </c>
      <c r="K154" s="33">
        <f t="shared" si="281"/>
        <v>0.28476422774860555</v>
      </c>
      <c r="L154" s="33">
        <f t="shared" si="282"/>
        <v>0.33940988792233634</v>
      </c>
      <c r="M154" s="34">
        <f t="shared" ref="M154" si="393">E154/I154</f>
        <v>11.471725963251387</v>
      </c>
      <c r="N154" s="34">
        <f t="shared" ref="N154" si="394">F154/J154</f>
        <v>1.2349676856371519</v>
      </c>
      <c r="O154" s="33">
        <f t="shared" si="285"/>
        <v>1.6638687259559517</v>
      </c>
      <c r="P154" s="33">
        <f t="shared" si="286"/>
        <v>8.2890899872678254</v>
      </c>
      <c r="Q154" s="35">
        <f>SUM(Q155:Q157)</f>
        <v>14111</v>
      </c>
      <c r="R154" s="35">
        <f>SUM(R155:R157)</f>
        <v>6159</v>
      </c>
      <c r="S154" s="33">
        <f t="shared" si="287"/>
        <v>0.4176210568615632</v>
      </c>
      <c r="T154" s="33">
        <f t="shared" si="288"/>
        <v>1.2911186880987173</v>
      </c>
      <c r="U154" s="35">
        <f>SUM(U155:U157)</f>
        <v>332</v>
      </c>
      <c r="V154" s="35">
        <f>SUM(V155:V157)</f>
        <v>43</v>
      </c>
      <c r="W154" s="33">
        <f t="shared" si="289"/>
        <v>1.8620689655172413</v>
      </c>
      <c r="X154" s="33">
        <f t="shared" si="290"/>
        <v>6.7209302325581399</v>
      </c>
      <c r="Y154" s="88">
        <f t="shared" ref="Y154" si="395">U154/Q154</f>
        <v>2.3527744312947345E-2</v>
      </c>
      <c r="Z154" s="88">
        <f t="shared" ref="Z154" si="396">V154/R154</f>
        <v>6.9816528657249558E-3</v>
      </c>
      <c r="AA154" s="33">
        <f t="shared" si="291"/>
        <v>1.0189238525092918</v>
      </c>
      <c r="AB154" s="33">
        <f t="shared" si="292"/>
        <v>2.3699390051963416</v>
      </c>
      <c r="AC154" s="97">
        <f t="shared" ref="AC154" si="397">E154/U154</f>
        <v>135.77409638554218</v>
      </c>
      <c r="AD154" s="145">
        <f t="shared" ref="AD154" si="398">F154/V154</f>
        <v>84.255813953488371</v>
      </c>
      <c r="AE154" s="33">
        <f t="shared" si="293"/>
        <v>0.19579342348514869</v>
      </c>
      <c r="AF154" s="33">
        <f t="shared" si="294"/>
        <v>0.6114507713437245</v>
      </c>
      <c r="AG154" s="35">
        <f>SUM(AG155:AG157)</f>
        <v>11948</v>
      </c>
      <c r="AH154" s="35">
        <f>SUM(AH155:AH157)</f>
        <v>5150</v>
      </c>
      <c r="AI154" s="33">
        <f t="shared" si="295"/>
        <v>0.35989073526064191</v>
      </c>
      <c r="AJ154" s="33">
        <f t="shared" si="296"/>
        <v>1.32</v>
      </c>
      <c r="AK154" s="35">
        <f>SUM(AK155:AK157)</f>
        <v>347869</v>
      </c>
      <c r="AL154" s="35">
        <f>SUM(AL155:AL157)</f>
        <v>37421</v>
      </c>
      <c r="AM154" s="150">
        <f t="shared" si="297"/>
        <v>0.2007946178619878</v>
      </c>
      <c r="AN154" s="267">
        <f t="shared" si="298"/>
        <v>8.2960904305069345</v>
      </c>
      <c r="AO154" s="33">
        <f t="shared" ref="AO154" si="399">AG154/AK154</f>
        <v>3.434626252986038E-2</v>
      </c>
      <c r="AP154" s="33">
        <f t="shared" ref="AP154" si="400">AH154/AL154</f>
        <v>0.13762325966703187</v>
      </c>
      <c r="AQ154" s="33">
        <f t="shared" si="299"/>
        <v>0.13249236383314622</v>
      </c>
      <c r="AR154" s="33">
        <f t="shared" si="300"/>
        <v>-0.75043272036312514</v>
      </c>
      <c r="AS154" s="68"/>
    </row>
    <row r="155" spans="1:45" s="81" customFormat="1" ht="15.75" x14ac:dyDescent="0.25">
      <c r="A155" s="260" t="s">
        <v>73</v>
      </c>
      <c r="B155" s="260" t="s">
        <v>76</v>
      </c>
      <c r="C155" s="261">
        <f t="shared" si="301"/>
        <v>43000</v>
      </c>
      <c r="D155" s="260" t="s">
        <v>29</v>
      </c>
      <c r="E155" s="109">
        <v>41958</v>
      </c>
      <c r="F155" s="109">
        <v>3118</v>
      </c>
      <c r="G155" s="33">
        <f t="shared" si="279"/>
        <v>2.6561519693272917</v>
      </c>
      <c r="H155" s="33">
        <f t="shared" si="280"/>
        <v>12.456703014753046</v>
      </c>
      <c r="I155" s="109">
        <f>981.33+242.56</f>
        <v>1223.8900000000001</v>
      </c>
      <c r="J155" s="111">
        <f>520.97+21.57</f>
        <v>542.54000000000008</v>
      </c>
      <c r="K155" s="33">
        <f t="shared" si="281"/>
        <v>0.45666507974291837</v>
      </c>
      <c r="L155" s="33">
        <f t="shared" si="282"/>
        <v>1.2558521030707412</v>
      </c>
      <c r="M155" s="111">
        <f t="shared" si="283"/>
        <v>34.282492707677974</v>
      </c>
      <c r="N155" s="111">
        <f t="shared" si="284"/>
        <v>5.7470416927784118</v>
      </c>
      <c r="O155" s="33">
        <f t="shared" si="285"/>
        <v>1.5099468780926313</v>
      </c>
      <c r="P155" s="33">
        <f t="shared" si="286"/>
        <v>4.9652416913481758</v>
      </c>
      <c r="Q155" s="112">
        <v>6991</v>
      </c>
      <c r="R155" s="112">
        <v>3865</v>
      </c>
      <c r="S155" s="33">
        <f t="shared" si="287"/>
        <v>0.53885097952894567</v>
      </c>
      <c r="T155" s="33">
        <f t="shared" si="288"/>
        <v>0.8087968952134541</v>
      </c>
      <c r="U155" s="112">
        <v>304</v>
      </c>
      <c r="V155" s="112">
        <v>36</v>
      </c>
      <c r="W155" s="33">
        <f t="shared" si="289"/>
        <v>2.1020408163265305</v>
      </c>
      <c r="X155" s="33">
        <f t="shared" si="290"/>
        <v>7.4444444444444446</v>
      </c>
      <c r="Y155" s="113">
        <f t="shared" si="97"/>
        <v>4.3484480045773134E-2</v>
      </c>
      <c r="Z155" s="113">
        <f>V155/R155</f>
        <v>9.3143596377749036E-3</v>
      </c>
      <c r="AA155" s="33">
        <f t="shared" si="291"/>
        <v>1.0158162535504831</v>
      </c>
      <c r="AB155" s="33">
        <f t="shared" si="292"/>
        <v>3.668542093803143</v>
      </c>
      <c r="AC155" s="114">
        <f t="shared" si="17"/>
        <v>138.01973684210526</v>
      </c>
      <c r="AD155" s="114">
        <f t="shared" si="17"/>
        <v>86.611111111111114</v>
      </c>
      <c r="AE155" s="33">
        <f t="shared" si="293"/>
        <v>0.17862793748050845</v>
      </c>
      <c r="AF155" s="33">
        <f t="shared" si="294"/>
        <v>0.59355693595759751</v>
      </c>
      <c r="AG155" s="112">
        <f>4548+270</f>
        <v>4818</v>
      </c>
      <c r="AH155" s="112">
        <f>2861+148</f>
        <v>3009</v>
      </c>
      <c r="AI155" s="33">
        <f t="shared" si="295"/>
        <v>0.49813432835820898</v>
      </c>
      <c r="AJ155" s="33">
        <f t="shared" si="296"/>
        <v>0.60119641076769692</v>
      </c>
      <c r="AK155" s="112">
        <f>11785+582</f>
        <v>12367</v>
      </c>
      <c r="AL155" s="112">
        <f>7880+342</f>
        <v>8222</v>
      </c>
      <c r="AM155" s="150">
        <f>(AK155-AK151)/AK151</f>
        <v>0.40966602074546904</v>
      </c>
      <c r="AN155" s="267">
        <f t="shared" si="298"/>
        <v>0.50413524689856481</v>
      </c>
      <c r="AO155" s="110">
        <f t="shared" si="11"/>
        <v>0.38958518638311634</v>
      </c>
      <c r="AP155" s="110">
        <f t="shared" si="272"/>
        <v>0.36596935052298712</v>
      </c>
      <c r="AQ155" s="33">
        <f t="shared" si="299"/>
        <v>6.2758345814390409E-2</v>
      </c>
      <c r="AR155" s="33">
        <f t="shared" si="300"/>
        <v>6.4529545510795094E-2</v>
      </c>
      <c r="AS155" s="68"/>
    </row>
    <row r="156" spans="1:45" s="81" customFormat="1" ht="15.75" x14ac:dyDescent="0.25">
      <c r="A156" s="260" t="s">
        <v>73</v>
      </c>
      <c r="B156" s="260" t="s">
        <v>76</v>
      </c>
      <c r="C156" s="261">
        <f t="shared" si="301"/>
        <v>43000</v>
      </c>
      <c r="D156" s="260" t="s">
        <v>30</v>
      </c>
      <c r="E156" s="109">
        <v>91</v>
      </c>
      <c r="F156" s="109">
        <v>505</v>
      </c>
      <c r="G156" s="33">
        <f t="shared" si="279"/>
        <v>-0.72085889570552142</v>
      </c>
      <c r="H156" s="33">
        <f t="shared" si="280"/>
        <v>-0.81980198019801975</v>
      </c>
      <c r="I156" s="109">
        <v>703.44</v>
      </c>
      <c r="J156" s="111">
        <f>2249.55+141.59</f>
        <v>2391.1400000000003</v>
      </c>
      <c r="K156" s="33">
        <f t="shared" si="281"/>
        <v>-3.3324629993541202E-2</v>
      </c>
      <c r="L156" s="33">
        <f t="shared" si="282"/>
        <v>-0.70581396321419909</v>
      </c>
      <c r="M156" s="111">
        <f t="shared" si="283"/>
        <v>0.12936426703059251</v>
      </c>
      <c r="N156" s="111">
        <f t="shared" si="284"/>
        <v>0.21119633312980415</v>
      </c>
      <c r="O156" s="33">
        <f t="shared" si="285"/>
        <v>-0.71123594025922743</v>
      </c>
      <c r="P156" s="33">
        <f t="shared" si="286"/>
        <v>-0.38746916145043364</v>
      </c>
      <c r="Q156" s="112">
        <v>549</v>
      </c>
      <c r="R156" s="112">
        <v>2294</v>
      </c>
      <c r="S156" s="33">
        <f t="shared" si="287"/>
        <v>6.1895551257253385E-2</v>
      </c>
      <c r="T156" s="33">
        <f t="shared" si="288"/>
        <v>-0.76068003487358327</v>
      </c>
      <c r="U156" s="112">
        <v>1</v>
      </c>
      <c r="V156" s="112">
        <v>7</v>
      </c>
      <c r="W156" s="33">
        <f t="shared" si="289"/>
        <v>-0.66666666666666663</v>
      </c>
      <c r="X156" s="33">
        <f t="shared" si="290"/>
        <v>-0.8571428571428571</v>
      </c>
      <c r="Y156" s="113">
        <f t="shared" si="97"/>
        <v>1.8214936247723133E-3</v>
      </c>
      <c r="Z156" s="113">
        <f>V156/R156</f>
        <v>3.051438535309503E-3</v>
      </c>
      <c r="AA156" s="33">
        <f t="shared" si="291"/>
        <v>-0.68609593199757135</v>
      </c>
      <c r="AB156" s="33">
        <f t="shared" si="292"/>
        <v>-0.40307051782461617</v>
      </c>
      <c r="AC156" s="114">
        <f t="shared" si="17"/>
        <v>91</v>
      </c>
      <c r="AD156" s="114">
        <f t="shared" si="17"/>
        <v>72.142857142857139</v>
      </c>
      <c r="AE156" s="33">
        <f t="shared" si="293"/>
        <v>-0.16257668711656445</v>
      </c>
      <c r="AF156" s="33">
        <f t="shared" si="294"/>
        <v>0.26138613861386145</v>
      </c>
      <c r="AG156" s="112">
        <v>484</v>
      </c>
      <c r="AH156" s="112">
        <f>1968+173</f>
        <v>2141</v>
      </c>
      <c r="AI156" s="33">
        <f t="shared" si="295"/>
        <v>8.3333333333333332E-3</v>
      </c>
      <c r="AJ156" s="33">
        <f t="shared" si="296"/>
        <v>-0.77393741242410086</v>
      </c>
      <c r="AK156" s="112">
        <v>6707</v>
      </c>
      <c r="AL156" s="112">
        <f>27103+2096</f>
        <v>29199</v>
      </c>
      <c r="AM156" s="150">
        <f t="shared" si="297"/>
        <v>-4.9596145670965E-2</v>
      </c>
      <c r="AN156" s="267">
        <f t="shared" si="298"/>
        <v>-0.77030035275180653</v>
      </c>
      <c r="AO156" s="110">
        <f t="shared" si="11"/>
        <v>7.2163411361264349E-2</v>
      </c>
      <c r="AP156" s="110">
        <f t="shared" si="272"/>
        <v>7.332442891879859E-2</v>
      </c>
      <c r="AQ156" s="33">
        <f t="shared" si="299"/>
        <v>6.0952487450921897E-2</v>
      </c>
      <c r="AR156" s="33">
        <f t="shared" si="300"/>
        <v>-1.5833980225335036E-2</v>
      </c>
      <c r="AS156" s="68"/>
    </row>
    <row r="157" spans="1:45" s="81" customFormat="1" ht="15.75" x14ac:dyDescent="0.25">
      <c r="A157" s="260" t="s">
        <v>73</v>
      </c>
      <c r="B157" s="260" t="s">
        <v>76</v>
      </c>
      <c r="C157" s="261">
        <f t="shared" si="301"/>
        <v>43000</v>
      </c>
      <c r="D157" s="260" t="s">
        <v>228</v>
      </c>
      <c r="E157" s="109">
        <v>3028</v>
      </c>
      <c r="F157" s="109"/>
      <c r="G157" s="33">
        <f t="shared" si="279"/>
        <v>1.2118334550766983</v>
      </c>
      <c r="H157" s="33" t="e">
        <f t="shared" si="280"/>
        <v>#DIV/0!</v>
      </c>
      <c r="I157" s="109">
        <v>2002.07</v>
      </c>
      <c r="J157" s="111"/>
      <c r="K157" s="33">
        <f t="shared" si="281"/>
        <v>0.34315731565776852</v>
      </c>
      <c r="L157" s="33" t="e">
        <f t="shared" si="282"/>
        <v>#DIV/0!</v>
      </c>
      <c r="M157" s="111">
        <f t="shared" si="283"/>
        <v>1.5124346301577867</v>
      </c>
      <c r="N157" s="111"/>
      <c r="O157" s="33">
        <f t="shared" si="285"/>
        <v>0.64674191868100228</v>
      </c>
      <c r="P157" s="33" t="e">
        <f t="shared" si="286"/>
        <v>#DIV/0!</v>
      </c>
      <c r="Q157" s="112">
        <v>6571</v>
      </c>
      <c r="R157" s="112"/>
      <c r="S157" s="33">
        <f t="shared" si="287"/>
        <v>0.34266448712709441</v>
      </c>
      <c r="T157" s="33" t="e">
        <f t="shared" si="288"/>
        <v>#DIV/0!</v>
      </c>
      <c r="U157" s="112">
        <v>27</v>
      </c>
      <c r="V157" s="112"/>
      <c r="W157" s="33">
        <f t="shared" si="289"/>
        <v>0.8</v>
      </c>
      <c r="X157" s="33" t="e">
        <f t="shared" si="290"/>
        <v>#DIV/0!</v>
      </c>
      <c r="Y157" s="113">
        <f t="shared" si="97"/>
        <v>4.1089636280627001E-3</v>
      </c>
      <c r="Z157" s="113"/>
      <c r="AA157" s="33">
        <f t="shared" si="291"/>
        <v>0.34061786638259028</v>
      </c>
      <c r="AB157" s="33" t="e">
        <f t="shared" si="292"/>
        <v>#DIV/0!</v>
      </c>
      <c r="AC157" s="114">
        <f t="shared" si="17"/>
        <v>112.14814814814815</v>
      </c>
      <c r="AD157" s="114"/>
      <c r="AE157" s="33">
        <f t="shared" si="293"/>
        <v>0.22879636393149913</v>
      </c>
      <c r="AF157" s="33" t="e">
        <f t="shared" si="294"/>
        <v>#DIV/0!</v>
      </c>
      <c r="AG157" s="112">
        <v>6646</v>
      </c>
      <c r="AH157" s="112"/>
      <c r="AI157" s="33">
        <f t="shared" si="295"/>
        <v>0.3056974459724951</v>
      </c>
      <c r="AJ157" s="33" t="e">
        <f t="shared" si="296"/>
        <v>#DIV/0!</v>
      </c>
      <c r="AK157" s="112">
        <v>328795</v>
      </c>
      <c r="AL157" s="112"/>
      <c r="AM157" s="150">
        <f t="shared" si="297"/>
        <v>0.2005557401531389</v>
      </c>
      <c r="AN157" s="267" t="e">
        <f t="shared" si="298"/>
        <v>#DIV/0!</v>
      </c>
      <c r="AO157" s="110">
        <f t="shared" si="11"/>
        <v>2.0213202755516354E-2</v>
      </c>
      <c r="AP157" s="110"/>
      <c r="AQ157" s="33">
        <f t="shared" si="299"/>
        <v>8.7577529558056616E-2</v>
      </c>
      <c r="AR157" s="33" t="e">
        <f t="shared" si="300"/>
        <v>#DIV/0!</v>
      </c>
      <c r="AS157" s="68"/>
    </row>
    <row r="158" spans="1:45" s="81" customFormat="1" ht="15.75" customHeight="1" x14ac:dyDescent="0.3">
      <c r="A158" s="29" t="s">
        <v>73</v>
      </c>
      <c r="B158" s="29" t="s">
        <v>77</v>
      </c>
      <c r="C158" s="30">
        <f t="shared" si="301"/>
        <v>43007</v>
      </c>
      <c r="D158" s="31" t="s">
        <v>28</v>
      </c>
      <c r="E158" s="32">
        <f>SUM(E159:E161)</f>
        <v>6723</v>
      </c>
      <c r="F158" s="32">
        <f>SUM(F159:F161)</f>
        <v>5706</v>
      </c>
      <c r="G158" s="33">
        <f t="shared" ref="G158" si="401">(E158-E154)/E154</f>
        <v>-0.85085520331876563</v>
      </c>
      <c r="H158" s="33">
        <f t="shared" ref="H158" si="402">(E158-F158)/F158</f>
        <v>0.17823343848580442</v>
      </c>
      <c r="I158" s="32">
        <f>SUM(I159:I161)</f>
        <v>3826.13</v>
      </c>
      <c r="J158" s="32">
        <f>SUM(J159:J161)</f>
        <v>3082.62</v>
      </c>
      <c r="K158" s="33">
        <f t="shared" ref="K158" si="403">(I158-I154)/I154</f>
        <v>-2.6281366111874579E-2</v>
      </c>
      <c r="L158" s="33">
        <f t="shared" ref="L158" si="404">(I158-J158)/J158</f>
        <v>0.24119417897762302</v>
      </c>
      <c r="M158" s="34">
        <f t="shared" ref="M158" si="405">E158/I158</f>
        <v>1.7571279595831819</v>
      </c>
      <c r="N158" s="34">
        <f t="shared" ref="N158" si="406">F158/J158</f>
        <v>1.8510228312279815</v>
      </c>
      <c r="O158" s="33">
        <f t="shared" ref="O158" si="407">(M158-M154)/M154</f>
        <v>-0.84682967800904774</v>
      </c>
      <c r="P158" s="33">
        <f t="shared" ref="P158" si="408">(M158-N158)/N158</f>
        <v>-5.0725939227075377E-2</v>
      </c>
      <c r="Q158" s="35">
        <f>SUM(Q159:Q161)</f>
        <v>11186</v>
      </c>
      <c r="R158" s="35">
        <f>SUM(R159:R161)</f>
        <v>5854</v>
      </c>
      <c r="S158" s="33">
        <f t="shared" ref="S158" si="409">(Q158-Q154)/Q154</f>
        <v>-0.20728509673304515</v>
      </c>
      <c r="T158" s="33">
        <f t="shared" ref="T158" si="410">(Q158-R158)/R158</f>
        <v>0.91083020157157502</v>
      </c>
      <c r="U158" s="35">
        <f>SUM(U159:U161)</f>
        <v>70</v>
      </c>
      <c r="V158" s="35">
        <f>SUM(V159:V161)</f>
        <v>63</v>
      </c>
      <c r="W158" s="33">
        <f t="shared" ref="W158" si="411">(U158-U154)/U154</f>
        <v>-0.78915662650602414</v>
      </c>
      <c r="X158" s="33">
        <f t="shared" ref="X158" si="412">(U158-V158)/V158</f>
        <v>0.1111111111111111</v>
      </c>
      <c r="Y158" s="88">
        <f t="shared" ref="Y158" si="413">U158/Q158</f>
        <v>6.2578222778473091E-3</v>
      </c>
      <c r="Z158" s="88">
        <f t="shared" ref="Z158" si="414">V158/R158</f>
        <v>1.0761872224120259E-2</v>
      </c>
      <c r="AA158" s="33">
        <f t="shared" ref="AA158" si="415">(Y158-Y154)/Y154</f>
        <v>-0.73402370432920661</v>
      </c>
      <c r="AB158" s="33">
        <f t="shared" ref="AB158" si="416">(Y158-Z158)/Z158</f>
        <v>-0.41851918072193417</v>
      </c>
      <c r="AC158" s="97">
        <f t="shared" ref="AC158" si="417">E158/U158</f>
        <v>96.042857142857144</v>
      </c>
      <c r="AD158" s="145">
        <f t="shared" ref="AD158" si="418">F158/V158</f>
        <v>90.571428571428569</v>
      </c>
      <c r="AE158" s="33">
        <f t="shared" ref="AE158" si="419">(AC158-AC154)/AC154</f>
        <v>-0.29262753574043149</v>
      </c>
      <c r="AF158" s="33">
        <f t="shared" ref="AF158" si="420">(AC158-AD158)/AD158</f>
        <v>6.0410094637224014E-2</v>
      </c>
      <c r="AG158" s="35">
        <f>SUM(AG159:AG161)</f>
        <v>9901</v>
      </c>
      <c r="AH158" s="35">
        <f>SUM(AH159:AH161)</f>
        <v>4895</v>
      </c>
      <c r="AI158" s="33">
        <f t="shared" ref="AI158" si="421">(AG158-AG154)/AG154</f>
        <v>-0.17132574489454303</v>
      </c>
      <c r="AJ158" s="33">
        <f t="shared" ref="AJ158" si="422">(AG158-AH158)/AH158</f>
        <v>1.0226762002042902</v>
      </c>
      <c r="AK158" s="35">
        <f>SUM(AK159:AK161)</f>
        <v>324531</v>
      </c>
      <c r="AL158" s="35">
        <f>SUM(AL159:AL161)</f>
        <v>33948</v>
      </c>
      <c r="AM158" s="150">
        <f t="shared" ref="AM158" si="423">(AK158-AK154)/AK154</f>
        <v>-6.7088472959648607E-2</v>
      </c>
      <c r="AN158" s="267">
        <f t="shared" ref="AN158" si="424">(AK158-AL158)/AL158</f>
        <v>8.5596500530222688</v>
      </c>
      <c r="AO158" s="33">
        <f t="shared" ref="AO158" si="425">AG158/AK158</f>
        <v>3.0508641701409111E-2</v>
      </c>
      <c r="AP158" s="33">
        <f t="shared" ref="AP158" si="426">AH158/AL158</f>
        <v>0.14419111582420172</v>
      </c>
      <c r="AQ158" s="33">
        <f t="shared" ref="AQ158" si="427">(AO158-AO154)/AO154</f>
        <v>-0.11173328757721079</v>
      </c>
      <c r="AR158" s="33">
        <f t="shared" ref="AR158" si="428">(AO158-AP158)/AP158</f>
        <v>-0.78841524648019679</v>
      </c>
      <c r="AS158" s="68"/>
    </row>
    <row r="159" spans="1:45" s="81" customFormat="1" ht="15.75" x14ac:dyDescent="0.25">
      <c r="A159" s="260" t="s">
        <v>73</v>
      </c>
      <c r="B159" s="260" t="s">
        <v>77</v>
      </c>
      <c r="C159" s="261">
        <f t="shared" si="301"/>
        <v>43007</v>
      </c>
      <c r="D159" s="260" t="s">
        <v>29</v>
      </c>
      <c r="E159" s="109">
        <v>5086</v>
      </c>
      <c r="F159" s="109">
        <v>5236</v>
      </c>
      <c r="G159" s="33">
        <f t="shared" si="279"/>
        <v>-0.87878354545021209</v>
      </c>
      <c r="H159" s="33">
        <f t="shared" si="280"/>
        <v>-2.8647822765469823E-2</v>
      </c>
      <c r="I159" s="109">
        <f>154.8+593.43</f>
        <v>748.23</v>
      </c>
      <c r="J159" s="111">
        <f>793.05+20.56</f>
        <v>813.6099999999999</v>
      </c>
      <c r="K159" s="33">
        <f t="shared" si="281"/>
        <v>-0.38864603845116802</v>
      </c>
      <c r="L159" s="33">
        <f t="shared" si="282"/>
        <v>-8.0357911038458088E-2</v>
      </c>
      <c r="M159" s="111">
        <f t="shared" si="283"/>
        <v>6.7973751386605725</v>
      </c>
      <c r="N159" s="111">
        <f t="shared" si="284"/>
        <v>6.4355157876623945</v>
      </c>
      <c r="O159" s="33">
        <f t="shared" si="285"/>
        <v>-0.80172459463141021</v>
      </c>
      <c r="P159" s="33">
        <f t="shared" si="286"/>
        <v>5.6228492468607248E-2</v>
      </c>
      <c r="Q159" s="112">
        <v>4127</v>
      </c>
      <c r="R159" s="112">
        <f>3642</f>
        <v>3642</v>
      </c>
      <c r="S159" s="33">
        <f t="shared" si="287"/>
        <v>-0.40966957516807323</v>
      </c>
      <c r="T159" s="33">
        <f t="shared" si="288"/>
        <v>0.13316858868753431</v>
      </c>
      <c r="U159" s="112">
        <v>45</v>
      </c>
      <c r="V159" s="112">
        <v>56</v>
      </c>
      <c r="W159" s="33">
        <f t="shared" si="289"/>
        <v>-0.85197368421052633</v>
      </c>
      <c r="X159" s="33">
        <f t="shared" si="290"/>
        <v>-0.19642857142857142</v>
      </c>
      <c r="Y159" s="113">
        <f t="shared" si="97"/>
        <v>1.090380421613763E-2</v>
      </c>
      <c r="Z159" s="113">
        <f t="shared" si="97"/>
        <v>1.5376166941241077E-2</v>
      </c>
      <c r="AA159" s="33">
        <f t="shared" si="291"/>
        <v>-0.74924837080586126</v>
      </c>
      <c r="AB159" s="33">
        <f t="shared" si="292"/>
        <v>-0.29086330437190627</v>
      </c>
      <c r="AC159" s="114">
        <f t="shared" si="17"/>
        <v>113.02222222222223</v>
      </c>
      <c r="AD159" s="114">
        <f t="shared" si="17"/>
        <v>93.5</v>
      </c>
      <c r="AE159" s="33">
        <f t="shared" si="293"/>
        <v>-0.18111550704143292</v>
      </c>
      <c r="AF159" s="33">
        <f t="shared" si="294"/>
        <v>0.20879382055852647</v>
      </c>
      <c r="AG159" s="112">
        <f>197+2585</f>
        <v>2782</v>
      </c>
      <c r="AH159" s="112">
        <f>2709+127</f>
        <v>2836</v>
      </c>
      <c r="AI159" s="33">
        <f t="shared" si="295"/>
        <v>-0.42258198422581983</v>
      </c>
      <c r="AJ159" s="33">
        <f t="shared" si="296"/>
        <v>-1.9040902679830749E-2</v>
      </c>
      <c r="AK159" s="112">
        <f>428+9094</f>
        <v>9522</v>
      </c>
      <c r="AL159" s="112">
        <f>6983+291</f>
        <v>7274</v>
      </c>
      <c r="AM159" s="150">
        <f t="shared" si="297"/>
        <v>-0.23004770760895932</v>
      </c>
      <c r="AN159" s="267">
        <f t="shared" si="298"/>
        <v>0.30904591696453121</v>
      </c>
      <c r="AO159" s="110">
        <f t="shared" si="11"/>
        <v>0.29216551144717495</v>
      </c>
      <c r="AP159" s="110">
        <f t="shared" si="272"/>
        <v>0.38988177069012925</v>
      </c>
      <c r="AQ159" s="33">
        <f t="shared" si="299"/>
        <v>-0.25006000828824976</v>
      </c>
      <c r="AR159" s="33">
        <f t="shared" si="300"/>
        <v>-0.25063049003288063</v>
      </c>
      <c r="AS159" s="68"/>
    </row>
    <row r="160" spans="1:45" s="81" customFormat="1" ht="15.75" x14ac:dyDescent="0.25">
      <c r="A160" s="260" t="s">
        <v>73</v>
      </c>
      <c r="B160" s="260" t="s">
        <v>77</v>
      </c>
      <c r="C160" s="261">
        <f t="shared" si="301"/>
        <v>43007</v>
      </c>
      <c r="D160" s="260" t="s">
        <v>30</v>
      </c>
      <c r="E160" s="109">
        <v>68</v>
      </c>
      <c r="F160" s="109">
        <v>470</v>
      </c>
      <c r="G160" s="33">
        <f t="shared" si="279"/>
        <v>-0.25274725274725274</v>
      </c>
      <c r="H160" s="33">
        <f t="shared" si="280"/>
        <v>-0.85531914893617023</v>
      </c>
      <c r="I160" s="109">
        <v>1132.99</v>
      </c>
      <c r="J160" s="111">
        <f>2107.11+161.9</f>
        <v>2269.0100000000002</v>
      </c>
      <c r="K160" s="33">
        <f t="shared" si="281"/>
        <v>0.61064198794495606</v>
      </c>
      <c r="L160" s="33">
        <f t="shared" si="282"/>
        <v>-0.50066769207716144</v>
      </c>
      <c r="M160" s="111">
        <f t="shared" si="283"/>
        <v>6.0018181978658242E-2</v>
      </c>
      <c r="N160" s="111">
        <f t="shared" si="284"/>
        <v>0.20713879621508938</v>
      </c>
      <c r="O160" s="33">
        <f t="shared" si="285"/>
        <v>-0.53605285790035873</v>
      </c>
      <c r="P160" s="33">
        <f t="shared" si="286"/>
        <v>-0.71025137214596734</v>
      </c>
      <c r="Q160" s="112">
        <v>797</v>
      </c>
      <c r="R160" s="112">
        <v>2212</v>
      </c>
      <c r="S160" s="33">
        <f t="shared" si="287"/>
        <v>0.45173041894353372</v>
      </c>
      <c r="T160" s="33">
        <f t="shared" si="288"/>
        <v>-0.63969258589511757</v>
      </c>
      <c r="U160" s="112">
        <v>1</v>
      </c>
      <c r="V160" s="112">
        <v>7</v>
      </c>
      <c r="W160" s="33">
        <f t="shared" si="289"/>
        <v>0</v>
      </c>
      <c r="X160" s="33">
        <f t="shared" si="290"/>
        <v>-0.8571428571428571</v>
      </c>
      <c r="Y160" s="113">
        <f t="shared" si="97"/>
        <v>1.2547051442910915E-3</v>
      </c>
      <c r="Z160" s="113">
        <f t="shared" si="97"/>
        <v>3.1645569620253164E-3</v>
      </c>
      <c r="AA160" s="33">
        <f t="shared" si="291"/>
        <v>-0.31116687578419078</v>
      </c>
      <c r="AB160" s="33">
        <f t="shared" si="292"/>
        <v>-0.60351317440401508</v>
      </c>
      <c r="AC160" s="114">
        <f t="shared" si="17"/>
        <v>68</v>
      </c>
      <c r="AD160" s="114">
        <f t="shared" si="17"/>
        <v>67.142857142857139</v>
      </c>
      <c r="AE160" s="33">
        <f t="shared" si="293"/>
        <v>-0.25274725274725274</v>
      </c>
      <c r="AF160" s="33">
        <f t="shared" si="294"/>
        <v>1.2765957446808572E-2</v>
      </c>
      <c r="AG160" s="112">
        <v>758</v>
      </c>
      <c r="AH160" s="112">
        <f>1867+192</f>
        <v>2059</v>
      </c>
      <c r="AI160" s="33">
        <f t="shared" si="295"/>
        <v>0.56611570247933884</v>
      </c>
      <c r="AJ160" s="33">
        <f t="shared" si="296"/>
        <v>-0.63186012627489074</v>
      </c>
      <c r="AK160" s="112">
        <v>10944</v>
      </c>
      <c r="AL160" s="112">
        <f>24550+2124</f>
        <v>26674</v>
      </c>
      <c r="AM160" s="150">
        <f t="shared" si="297"/>
        <v>0.63172804532577909</v>
      </c>
      <c r="AN160" s="267">
        <f t="shared" si="298"/>
        <v>-0.5897128289720327</v>
      </c>
      <c r="AO160" s="110">
        <f t="shared" si="11"/>
        <v>6.9261695906432746E-2</v>
      </c>
      <c r="AP160" s="110">
        <f t="shared" si="272"/>
        <v>7.719127240008998E-2</v>
      </c>
      <c r="AQ160" s="33">
        <f t="shared" si="299"/>
        <v>-4.0210342056932968E-2</v>
      </c>
      <c r="AR160" s="33">
        <f t="shared" si="300"/>
        <v>-0.1027263348187533</v>
      </c>
      <c r="AS160" s="68"/>
    </row>
    <row r="161" spans="1:45" s="81" customFormat="1" ht="15.75" x14ac:dyDescent="0.25">
      <c r="A161" s="260" t="s">
        <v>73</v>
      </c>
      <c r="B161" s="260" t="s">
        <v>77</v>
      </c>
      <c r="C161" s="261">
        <f t="shared" si="301"/>
        <v>43007</v>
      </c>
      <c r="D161" s="260" t="s">
        <v>228</v>
      </c>
      <c r="E161" s="109">
        <v>1569</v>
      </c>
      <c r="F161" s="109"/>
      <c r="G161" s="33">
        <f t="shared" si="279"/>
        <v>-0.48183619550858653</v>
      </c>
      <c r="H161" s="33" t="e">
        <f t="shared" si="280"/>
        <v>#DIV/0!</v>
      </c>
      <c r="I161" s="109">
        <v>1944.91</v>
      </c>
      <c r="J161" s="111"/>
      <c r="K161" s="33">
        <f t="shared" si="281"/>
        <v>-2.8550450283956034E-2</v>
      </c>
      <c r="L161" s="33" t="e">
        <f t="shared" si="282"/>
        <v>#DIV/0!</v>
      </c>
      <c r="M161" s="111">
        <f t="shared" si="283"/>
        <v>0.8067211336257204</v>
      </c>
      <c r="N161" s="111"/>
      <c r="O161" s="33">
        <f t="shared" si="285"/>
        <v>-0.46660760237845245</v>
      </c>
      <c r="P161" s="33" t="e">
        <f t="shared" si="286"/>
        <v>#DIV/0!</v>
      </c>
      <c r="Q161" s="112">
        <v>6262</v>
      </c>
      <c r="R161" s="112"/>
      <c r="S161" s="33">
        <f t="shared" si="287"/>
        <v>-4.7024805965606452E-2</v>
      </c>
      <c r="T161" s="33" t="e">
        <f t="shared" si="288"/>
        <v>#DIV/0!</v>
      </c>
      <c r="U161" s="112">
        <v>24</v>
      </c>
      <c r="V161" s="112"/>
      <c r="W161" s="33">
        <f t="shared" si="289"/>
        <v>-0.1111111111111111</v>
      </c>
      <c r="X161" s="33" t="e">
        <f t="shared" si="290"/>
        <v>#DIV/0!</v>
      </c>
      <c r="Y161" s="113">
        <f t="shared" si="97"/>
        <v>3.8326413286489938E-3</v>
      </c>
      <c r="Z161" s="113"/>
      <c r="AA161" s="33">
        <f t="shared" si="291"/>
        <v>-6.7248660349906078E-2</v>
      </c>
      <c r="AB161" s="33" t="e">
        <f t="shared" si="292"/>
        <v>#DIV/0!</v>
      </c>
      <c r="AC161" s="114">
        <f t="shared" si="17"/>
        <v>65.375</v>
      </c>
      <c r="AD161" s="114"/>
      <c r="AE161" s="33">
        <f t="shared" si="293"/>
        <v>-0.41706571994715985</v>
      </c>
      <c r="AF161" s="33" t="e">
        <f t="shared" si="294"/>
        <v>#DIV/0!</v>
      </c>
      <c r="AG161" s="112">
        <v>6361</v>
      </c>
      <c r="AH161" s="112"/>
      <c r="AI161" s="33">
        <f t="shared" si="295"/>
        <v>-4.2882937105025581E-2</v>
      </c>
      <c r="AJ161" s="33" t="e">
        <f t="shared" si="296"/>
        <v>#DIV/0!</v>
      </c>
      <c r="AK161" s="112">
        <v>304065</v>
      </c>
      <c r="AL161" s="112"/>
      <c r="AM161" s="150">
        <f t="shared" si="297"/>
        <v>-7.5214039142931011E-2</v>
      </c>
      <c r="AN161" s="267" t="e">
        <f t="shared" si="298"/>
        <v>#DIV/0!</v>
      </c>
      <c r="AO161" s="110">
        <f t="shared" si="11"/>
        <v>2.0919869106934372E-2</v>
      </c>
      <c r="AP161" s="110"/>
      <c r="AQ161" s="33">
        <f t="shared" si="299"/>
        <v>3.49606324126523E-2</v>
      </c>
      <c r="AR161" s="33" t="e">
        <f t="shared" si="300"/>
        <v>#DIV/0!</v>
      </c>
      <c r="AS161" s="68"/>
    </row>
    <row r="162" spans="1:45" s="108" customFormat="1" ht="15.75" customHeight="1" x14ac:dyDescent="0.3">
      <c r="A162" s="272" t="s">
        <v>78</v>
      </c>
      <c r="B162" s="272" t="s">
        <v>79</v>
      </c>
      <c r="C162" s="273">
        <f t="shared" si="301"/>
        <v>43014</v>
      </c>
      <c r="D162" s="274" t="s">
        <v>28</v>
      </c>
      <c r="E162" s="115">
        <f>SUM(E163:E165)</f>
        <v>15969</v>
      </c>
      <c r="F162" s="115">
        <f>SUM(F163:F165)</f>
        <v>8117</v>
      </c>
      <c r="G162" s="116">
        <f t="shared" si="279"/>
        <v>1.3752788933511826</v>
      </c>
      <c r="H162" s="116">
        <f t="shared" si="280"/>
        <v>0.96735247012443026</v>
      </c>
      <c r="I162" s="115">
        <f>SUM(I163:I165)</f>
        <v>3243.02</v>
      </c>
      <c r="J162" s="115">
        <f>SUM(J163:J165)</f>
        <v>3773.7299999999996</v>
      </c>
      <c r="K162" s="116">
        <f t="shared" si="281"/>
        <v>-0.15240203547710091</v>
      </c>
      <c r="L162" s="116">
        <f t="shared" si="282"/>
        <v>-0.1406327426710442</v>
      </c>
      <c r="M162" s="117">
        <f t="shared" ref="M162" si="429">E162/I162</f>
        <v>4.9241139431764216</v>
      </c>
      <c r="N162" s="117">
        <f t="shared" ref="N162" si="430">F162/J162</f>
        <v>2.1509222970376793</v>
      </c>
      <c r="O162" s="116">
        <f t="shared" si="285"/>
        <v>1.802365027726551</v>
      </c>
      <c r="P162" s="116">
        <f t="shared" si="286"/>
        <v>1.2893035001580821</v>
      </c>
      <c r="Q162" s="118">
        <f>SUM(Q163:Q165)</f>
        <v>12079</v>
      </c>
      <c r="R162" s="118">
        <f>SUM(R163:R165)</f>
        <v>7200</v>
      </c>
      <c r="S162" s="116">
        <f t="shared" si="287"/>
        <v>7.9831932773109238E-2</v>
      </c>
      <c r="T162" s="116">
        <f t="shared" si="288"/>
        <v>0.6776388888888889</v>
      </c>
      <c r="U162" s="118">
        <f>SUM(U163:U165)</f>
        <v>123</v>
      </c>
      <c r="V162" s="118">
        <f>SUM(V163:V165)</f>
        <v>70</v>
      </c>
      <c r="W162" s="116">
        <f t="shared" si="289"/>
        <v>0.75714285714285712</v>
      </c>
      <c r="X162" s="116">
        <f t="shared" si="290"/>
        <v>0.75714285714285712</v>
      </c>
      <c r="Y162" s="119">
        <f t="shared" ref="Y162" si="431">U162/Q162</f>
        <v>1.0182962165742198E-2</v>
      </c>
      <c r="Z162" s="119">
        <f t="shared" ref="Z162" si="432">V162/R162</f>
        <v>9.7222222222222224E-3</v>
      </c>
      <c r="AA162" s="116">
        <f t="shared" si="291"/>
        <v>0.62723735408560322</v>
      </c>
      <c r="AB162" s="116">
        <f t="shared" si="292"/>
        <v>4.7390394190626066E-2</v>
      </c>
      <c r="AC162" s="120">
        <f t="shared" ref="AC162" si="433">E162/U162</f>
        <v>129.82926829268294</v>
      </c>
      <c r="AD162" s="275">
        <f t="shared" ref="AD162" si="434">F162/V162</f>
        <v>115.95714285714286</v>
      </c>
      <c r="AE162" s="116">
        <f t="shared" si="293"/>
        <v>0.35178473605351862</v>
      </c>
      <c r="AF162" s="116">
        <f t="shared" si="294"/>
        <v>0.11963148706268399</v>
      </c>
      <c r="AG162" s="118">
        <f>SUM(AG163:AG165)</f>
        <v>10431</v>
      </c>
      <c r="AH162" s="118">
        <f>SUM(AH163:AH165)</f>
        <v>5846</v>
      </c>
      <c r="AI162" s="116">
        <f t="shared" si="295"/>
        <v>5.3529946470053533E-2</v>
      </c>
      <c r="AJ162" s="116">
        <f t="shared" si="296"/>
        <v>0.78429695518303111</v>
      </c>
      <c r="AK162" s="118">
        <f>SUM(AK163:AK165)</f>
        <v>345925</v>
      </c>
      <c r="AL162" s="118">
        <f>SUM(AL163:AL165)</f>
        <v>39620</v>
      </c>
      <c r="AM162" s="276">
        <f t="shared" si="297"/>
        <v>6.5922824013730577E-2</v>
      </c>
      <c r="AN162" s="277">
        <f t="shared" si="298"/>
        <v>7.7310701665825343</v>
      </c>
      <c r="AO162" s="116">
        <f t="shared" ref="AO162" si="435">AG162/AK162</f>
        <v>3.015393510153935E-2</v>
      </c>
      <c r="AP162" s="116">
        <f t="shared" ref="AP162" si="436">AH162/AL162</f>
        <v>0.1475517415446744</v>
      </c>
      <c r="AQ162" s="116">
        <f t="shared" si="299"/>
        <v>-1.1626430417365266E-2</v>
      </c>
      <c r="AR162" s="116">
        <f t="shared" si="300"/>
        <v>-0.7956382297771144</v>
      </c>
      <c r="AS162" s="106"/>
    </row>
    <row r="163" spans="1:45" s="81" customFormat="1" ht="15.75" x14ac:dyDescent="0.25">
      <c r="A163" s="260" t="s">
        <v>78</v>
      </c>
      <c r="B163" s="260" t="s">
        <v>79</v>
      </c>
      <c r="C163" s="261">
        <f t="shared" si="301"/>
        <v>43014</v>
      </c>
      <c r="D163" s="260" t="s">
        <v>29</v>
      </c>
      <c r="E163" s="109">
        <v>13421</v>
      </c>
      <c r="F163" s="109">
        <v>7686</v>
      </c>
      <c r="G163" s="33">
        <f t="shared" si="279"/>
        <v>1.6388124262681871</v>
      </c>
      <c r="H163" s="33">
        <f t="shared" si="280"/>
        <v>0.74616185271922975</v>
      </c>
      <c r="I163" s="109">
        <f>615.6+174.5</f>
        <v>790.1</v>
      </c>
      <c r="J163" s="111">
        <f>967.88+23.74</f>
        <v>991.62</v>
      </c>
      <c r="K163" s="33">
        <f t="shared" si="281"/>
        <v>5.5958729267738531E-2</v>
      </c>
      <c r="L163" s="33">
        <f t="shared" si="282"/>
        <v>-0.20322300881386013</v>
      </c>
      <c r="M163" s="111">
        <f t="shared" si="283"/>
        <v>16.986457410454371</v>
      </c>
      <c r="N163" s="111">
        <f t="shared" si="284"/>
        <v>7.7509529860228712</v>
      </c>
      <c r="O163" s="33">
        <f t="shared" si="285"/>
        <v>1.4989730688604548</v>
      </c>
      <c r="P163" s="33">
        <f t="shared" si="286"/>
        <v>1.1915314724635395</v>
      </c>
      <c r="Q163" s="112">
        <v>4837</v>
      </c>
      <c r="R163" s="112">
        <v>4410</v>
      </c>
      <c r="S163" s="33">
        <f t="shared" si="287"/>
        <v>0.17203779985461595</v>
      </c>
      <c r="T163" s="33">
        <f t="shared" si="288"/>
        <v>9.6825396825396828E-2</v>
      </c>
      <c r="U163" s="112">
        <v>96</v>
      </c>
      <c r="V163" s="112">
        <v>62</v>
      </c>
      <c r="W163" s="33">
        <f t="shared" si="289"/>
        <v>1.1333333333333333</v>
      </c>
      <c r="X163" s="33">
        <f t="shared" si="290"/>
        <v>0.54838709677419351</v>
      </c>
      <c r="Y163" s="113">
        <f t="shared" si="97"/>
        <v>1.9847012611122598E-2</v>
      </c>
      <c r="Z163" s="113">
        <f t="shared" si="97"/>
        <v>1.4058956916099773E-2</v>
      </c>
      <c r="AA163" s="33">
        <f t="shared" si="291"/>
        <v>0.8201915788022881</v>
      </c>
      <c r="AB163" s="33">
        <f t="shared" si="292"/>
        <v>0.41169880024275252</v>
      </c>
      <c r="AC163" s="114">
        <f t="shared" si="17"/>
        <v>139.80208333333334</v>
      </c>
      <c r="AD163" s="114">
        <f t="shared" si="17"/>
        <v>123.96774193548387</v>
      </c>
      <c r="AE163" s="33">
        <f t="shared" si="293"/>
        <v>0.23694332481321279</v>
      </c>
      <c r="AF163" s="33">
        <f t="shared" si="294"/>
        <v>0.12772952988116928</v>
      </c>
      <c r="AG163" s="112">
        <f>2976+213</f>
        <v>3189</v>
      </c>
      <c r="AH163" s="112">
        <f>3126+151</f>
        <v>3277</v>
      </c>
      <c r="AI163" s="33">
        <f t="shared" si="295"/>
        <v>0.14629762760603882</v>
      </c>
      <c r="AJ163" s="33">
        <f t="shared" si="296"/>
        <v>-2.6853829722306988E-2</v>
      </c>
      <c r="AK163" s="112">
        <f>10821+452</f>
        <v>11273</v>
      </c>
      <c r="AL163" s="112">
        <f>7914+369</f>
        <v>8283</v>
      </c>
      <c r="AM163" s="150">
        <f t="shared" si="297"/>
        <v>0.1838899390884268</v>
      </c>
      <c r="AN163" s="267">
        <f t="shared" si="298"/>
        <v>0.3609803211396837</v>
      </c>
      <c r="AO163" s="110">
        <f t="shared" si="11"/>
        <v>0.28288831721813185</v>
      </c>
      <c r="AP163" s="110">
        <f t="shared" si="272"/>
        <v>0.39562960280091752</v>
      </c>
      <c r="AQ163" s="33">
        <f t="shared" si="299"/>
        <v>-3.1753214755193555E-2</v>
      </c>
      <c r="AR163" s="33">
        <f t="shared" si="300"/>
        <v>-0.28496675876784067</v>
      </c>
      <c r="AS163" s="68"/>
    </row>
    <row r="164" spans="1:45" s="81" customFormat="1" ht="15.75" x14ac:dyDescent="0.25">
      <c r="A164" s="260" t="s">
        <v>78</v>
      </c>
      <c r="B164" s="260" t="s">
        <v>79</v>
      </c>
      <c r="C164" s="261">
        <f t="shared" si="301"/>
        <v>43014</v>
      </c>
      <c r="D164" s="260" t="s">
        <v>30</v>
      </c>
      <c r="E164" s="109">
        <v>113</v>
      </c>
      <c r="F164" s="109">
        <v>431</v>
      </c>
      <c r="G164" s="33">
        <f t="shared" si="279"/>
        <v>0.66176470588235292</v>
      </c>
      <c r="H164" s="33">
        <f t="shared" si="280"/>
        <v>-0.73781902552204182</v>
      </c>
      <c r="I164" s="109">
        <f>511.13</f>
        <v>511.13</v>
      </c>
      <c r="J164" s="111">
        <f>2649.43+132.68</f>
        <v>2782.1099999999997</v>
      </c>
      <c r="K164" s="33">
        <f t="shared" si="281"/>
        <v>-0.54886627419482958</v>
      </c>
      <c r="L164" s="33">
        <f t="shared" si="282"/>
        <v>-0.81627973013288468</v>
      </c>
      <c r="M164" s="111">
        <f t="shared" si="283"/>
        <v>0.22107878621877017</v>
      </c>
      <c r="N164" s="111">
        <f t="shared" si="284"/>
        <v>0.15491838928007881</v>
      </c>
      <c r="O164" s="33">
        <f t="shared" si="285"/>
        <v>2.6835302058530059</v>
      </c>
      <c r="P164" s="33">
        <f t="shared" si="286"/>
        <v>0.42706612976125891</v>
      </c>
      <c r="Q164" s="112">
        <v>455</v>
      </c>
      <c r="R164" s="112">
        <v>2790</v>
      </c>
      <c r="S164" s="33">
        <f t="shared" si="287"/>
        <v>-0.42910915934755334</v>
      </c>
      <c r="T164" s="33">
        <f t="shared" si="288"/>
        <v>-0.8369175627240143</v>
      </c>
      <c r="U164" s="112">
        <v>2</v>
      </c>
      <c r="V164" s="112">
        <v>8</v>
      </c>
      <c r="W164" s="33">
        <f t="shared" si="289"/>
        <v>1</v>
      </c>
      <c r="X164" s="33">
        <f t="shared" si="290"/>
        <v>-0.75</v>
      </c>
      <c r="Y164" s="113">
        <f t="shared" si="97"/>
        <v>4.3956043956043956E-3</v>
      </c>
      <c r="Z164" s="113">
        <f t="shared" si="97"/>
        <v>2.8673835125448029E-3</v>
      </c>
      <c r="AA164" s="33">
        <f t="shared" si="291"/>
        <v>2.5032967032967037</v>
      </c>
      <c r="AB164" s="33">
        <f t="shared" si="292"/>
        <v>0.53296703296703296</v>
      </c>
      <c r="AC164" s="114">
        <f t="shared" si="17"/>
        <v>56.5</v>
      </c>
      <c r="AD164" s="114">
        <f t="shared" si="17"/>
        <v>53.875</v>
      </c>
      <c r="AE164" s="33">
        <f t="shared" si="293"/>
        <v>-0.16911764705882354</v>
      </c>
      <c r="AF164" s="33">
        <f t="shared" si="294"/>
        <v>4.8723897911832945E-2</v>
      </c>
      <c r="AG164" s="112">
        <v>375</v>
      </c>
      <c r="AH164" s="112">
        <f>2394+175</f>
        <v>2569</v>
      </c>
      <c r="AI164" s="33">
        <f t="shared" si="295"/>
        <v>-0.50527704485488123</v>
      </c>
      <c r="AJ164" s="33">
        <f t="shared" si="296"/>
        <v>-0.85402880498248346</v>
      </c>
      <c r="AK164" s="112">
        <v>6144</v>
      </c>
      <c r="AL164" s="112">
        <f>29566+1771</f>
        <v>31337</v>
      </c>
      <c r="AM164" s="150">
        <f t="shared" si="297"/>
        <v>-0.43859649122807015</v>
      </c>
      <c r="AN164" s="267">
        <f t="shared" si="298"/>
        <v>-0.80393783706162047</v>
      </c>
      <c r="AO164" s="110">
        <f t="shared" si="11"/>
        <v>6.103515625E-2</v>
      </c>
      <c r="AP164" s="110">
        <f t="shared" si="272"/>
        <v>8.1979768324983243E-2</v>
      </c>
      <c r="AQ164" s="33">
        <f t="shared" si="299"/>
        <v>-0.11877473614775723</v>
      </c>
      <c r="AR164" s="33">
        <f t="shared" si="300"/>
        <v>-0.25548513374610743</v>
      </c>
      <c r="AS164" s="68"/>
    </row>
    <row r="165" spans="1:45" s="81" customFormat="1" ht="15.75" x14ac:dyDescent="0.25">
      <c r="A165" s="260" t="s">
        <v>78</v>
      </c>
      <c r="B165" s="260" t="s">
        <v>79</v>
      </c>
      <c r="C165" s="261">
        <f t="shared" si="301"/>
        <v>43014</v>
      </c>
      <c r="D165" s="260" t="s">
        <v>228</v>
      </c>
      <c r="E165" s="109">
        <v>2435</v>
      </c>
      <c r="F165" s="109"/>
      <c r="G165" s="33">
        <f t="shared" si="279"/>
        <v>0.55194391332058634</v>
      </c>
      <c r="H165" s="33" t="e">
        <f t="shared" si="280"/>
        <v>#DIV/0!</v>
      </c>
      <c r="I165" s="109">
        <v>1941.79</v>
      </c>
      <c r="J165" s="111"/>
      <c r="K165" s="33">
        <f t="shared" si="281"/>
        <v>-1.6041873402883003E-3</v>
      </c>
      <c r="L165" s="33" t="e">
        <f t="shared" si="282"/>
        <v>#DIV/0!</v>
      </c>
      <c r="M165" s="111">
        <f t="shared" si="283"/>
        <v>1.2539976001524367</v>
      </c>
      <c r="N165" s="111"/>
      <c r="O165" s="33">
        <f t="shared" si="285"/>
        <v>0.55443752231515353</v>
      </c>
      <c r="P165" s="33" t="e">
        <f t="shared" si="286"/>
        <v>#DIV/0!</v>
      </c>
      <c r="Q165" s="112">
        <v>6787</v>
      </c>
      <c r="R165" s="112"/>
      <c r="S165" s="33">
        <f t="shared" si="287"/>
        <v>8.3839029064196741E-2</v>
      </c>
      <c r="T165" s="33" t="e">
        <f t="shared" si="288"/>
        <v>#DIV/0!</v>
      </c>
      <c r="U165" s="112">
        <v>25</v>
      </c>
      <c r="V165" s="112"/>
      <c r="W165" s="33">
        <f t="shared" si="289"/>
        <v>4.1666666666666664E-2</v>
      </c>
      <c r="X165" s="33" t="e">
        <f t="shared" si="290"/>
        <v>#DIV/0!</v>
      </c>
      <c r="Y165" s="113">
        <f t="shared" si="97"/>
        <v>3.6835125976130839E-3</v>
      </c>
      <c r="Z165" s="113"/>
      <c r="AA165" s="33">
        <f t="shared" si="291"/>
        <v>-3.8910171406119486E-2</v>
      </c>
      <c r="AB165" s="33" t="e">
        <f t="shared" si="292"/>
        <v>#DIV/0!</v>
      </c>
      <c r="AC165" s="114">
        <f t="shared" si="17"/>
        <v>97.4</v>
      </c>
      <c r="AD165" s="114"/>
      <c r="AE165" s="33">
        <f t="shared" si="293"/>
        <v>0.48986615678776302</v>
      </c>
      <c r="AF165" s="33" t="e">
        <f t="shared" si="294"/>
        <v>#DIV/0!</v>
      </c>
      <c r="AG165" s="112">
        <v>6867</v>
      </c>
      <c r="AH165" s="112"/>
      <c r="AI165" s="33">
        <f t="shared" si="295"/>
        <v>7.9547240999842797E-2</v>
      </c>
      <c r="AJ165" s="33" t="e">
        <f t="shared" si="296"/>
        <v>#DIV/0!</v>
      </c>
      <c r="AK165" s="112">
        <v>328508</v>
      </c>
      <c r="AL165" s="112"/>
      <c r="AM165" s="150">
        <f t="shared" si="297"/>
        <v>8.03874171640932E-2</v>
      </c>
      <c r="AN165" s="267" t="e">
        <f t="shared" si="298"/>
        <v>#DIV/0!</v>
      </c>
      <c r="AO165" s="110">
        <f t="shared" si="11"/>
        <v>2.0903600521144081E-2</v>
      </c>
      <c r="AP165" s="110"/>
      <c r="AQ165" s="33">
        <f t="shared" si="299"/>
        <v>-7.7766193025072586E-4</v>
      </c>
      <c r="AR165" s="33" t="e">
        <f t="shared" si="300"/>
        <v>#DIV/0!</v>
      </c>
      <c r="AS165" s="68"/>
    </row>
    <row r="166" spans="1:45" s="81" customFormat="1" ht="15.75" customHeight="1" x14ac:dyDescent="0.3">
      <c r="A166" s="29" t="s">
        <v>78</v>
      </c>
      <c r="B166" s="29" t="s">
        <v>80</v>
      </c>
      <c r="C166" s="30">
        <f t="shared" si="301"/>
        <v>43021</v>
      </c>
      <c r="D166" s="31" t="s">
        <v>28</v>
      </c>
      <c r="E166" s="32">
        <f>SUM(E167:E169)</f>
        <v>11874</v>
      </c>
      <c r="F166" s="32">
        <f>SUM(F167:F169)</f>
        <v>9181</v>
      </c>
      <c r="G166" s="33">
        <f t="shared" ref="G166" si="437">(E166-E162)/E162</f>
        <v>-0.25643434153672739</v>
      </c>
      <c r="H166" s="33">
        <f t="shared" ref="H166" si="438">(E166-F166)/F166</f>
        <v>0.29332316741095743</v>
      </c>
      <c r="I166" s="32">
        <f>SUM(I167:I169)</f>
        <v>2998.83</v>
      </c>
      <c r="J166" s="32">
        <f>SUM(J167:J169)</f>
        <v>3533.88</v>
      </c>
      <c r="K166" s="33">
        <f t="shared" ref="K166" si="439">(I166-I162)/I162</f>
        <v>-7.5297099617023661E-2</v>
      </c>
      <c r="L166" s="33">
        <f t="shared" ref="L166" si="440">(I166-J166)/J166</f>
        <v>-0.15140582023158686</v>
      </c>
      <c r="M166" s="34">
        <f t="shared" ref="M166" si="441">E166/I166</f>
        <v>3.9595442222466763</v>
      </c>
      <c r="N166" s="34">
        <f t="shared" ref="N166" si="442">F166/J166</f>
        <v>2.5979942725842418</v>
      </c>
      <c r="O166" s="33">
        <f t="shared" ref="O166" si="443">(M166-M162)/M162</f>
        <v>-0.19588696201199715</v>
      </c>
      <c r="P166" s="33">
        <f t="shared" ref="P166" si="444">(M166-N166)/N166</f>
        <v>0.52407734844930665</v>
      </c>
      <c r="Q166" s="35">
        <f>SUM(Q167:Q169)</f>
        <v>12135</v>
      </c>
      <c r="R166" s="35">
        <f>SUM(R167:R169)</f>
        <v>7683</v>
      </c>
      <c r="S166" s="33">
        <f t="shared" ref="S166" si="445">(Q166-Q162)/Q162</f>
        <v>4.63614537627287E-3</v>
      </c>
      <c r="T166" s="33">
        <f t="shared" ref="T166" si="446">(Q166-R166)/R166</f>
        <v>0.57946114798906678</v>
      </c>
      <c r="U166" s="35">
        <f>SUM(U167:U169)</f>
        <v>114</v>
      </c>
      <c r="V166" s="35">
        <f>SUM(V167:V169)</f>
        <v>87</v>
      </c>
      <c r="W166" s="33">
        <f t="shared" ref="W166" si="447">(U166-U162)/U162</f>
        <v>-7.3170731707317069E-2</v>
      </c>
      <c r="X166" s="33">
        <f t="shared" ref="X166" si="448">(U166-V166)/V166</f>
        <v>0.31034482758620691</v>
      </c>
      <c r="Y166" s="88">
        <f t="shared" ref="Y166" si="449">U166/Q166</f>
        <v>9.3943139678615579E-3</v>
      </c>
      <c r="Z166" s="88">
        <f t="shared" ref="Z166" si="450">V166/R166</f>
        <v>1.1323701679031628E-2</v>
      </c>
      <c r="AA166" s="33">
        <f t="shared" ref="AA166" si="451">(Y166-Y162)/Y162</f>
        <v>-7.7447817741465461E-2</v>
      </c>
      <c r="AB166" s="33">
        <f t="shared" ref="AB166" si="452">(Y166-Z166)/Z166</f>
        <v>-0.17038489407953619</v>
      </c>
      <c r="AC166" s="97">
        <f t="shared" ref="AC166" si="453">E166/U166</f>
        <v>104.15789473684211</v>
      </c>
      <c r="AD166" s="145">
        <f t="shared" ref="AD166" si="454">F166/V166</f>
        <v>105.52873563218391</v>
      </c>
      <c r="AE166" s="33">
        <f t="shared" ref="AE166" si="455">(AC166-AC162)/AC162</f>
        <v>-0.19773178955278489</v>
      </c>
      <c r="AF166" s="33">
        <f t="shared" ref="AF166" si="456">(AC166-AD166)/AD166</f>
        <v>-1.2990214344269318E-2</v>
      </c>
      <c r="AG166" s="35">
        <f>SUM(AG167:AG169)</f>
        <v>10365</v>
      </c>
      <c r="AH166" s="35">
        <f>SUM(AH167:AH169)</f>
        <v>6177</v>
      </c>
      <c r="AI166" s="33">
        <f t="shared" ref="AI166" si="457">(AG166-AG162)/AG162</f>
        <v>-6.3272936439459308E-3</v>
      </c>
      <c r="AJ166" s="33">
        <f t="shared" ref="AJ166" si="458">(AG166-AH166)/AH166</f>
        <v>0.67799902865468675</v>
      </c>
      <c r="AK166" s="35">
        <f>SUM(AK167:AK169)</f>
        <v>311688</v>
      </c>
      <c r="AL166" s="35">
        <f>SUM(AL167:AL169)</f>
        <v>45137</v>
      </c>
      <c r="AM166" s="150">
        <f t="shared" ref="AM166" si="459">(AK166-AK162)/AK162</f>
        <v>-9.8972320589723203E-2</v>
      </c>
      <c r="AN166" s="267">
        <f t="shared" ref="AN166" si="460">(AK166-AL166)/AL166</f>
        <v>5.9053769634667788</v>
      </c>
      <c r="AO166" s="33">
        <f t="shared" ref="AO166" si="461">AG166/AK166</f>
        <v>3.3254408254408258E-2</v>
      </c>
      <c r="AP166" s="33">
        <f t="shared" ref="AP166" si="462">AH166/AL166</f>
        <v>0.13685003433989854</v>
      </c>
      <c r="AQ166" s="33">
        <f t="shared" ref="AQ166" si="463">(AO166-AO162)/AO162</f>
        <v>0.10282151044062669</v>
      </c>
      <c r="AR166" s="33">
        <f t="shared" ref="AR166" si="464">(AO166-AP166)/AP166</f>
        <v>-0.75700109674935645</v>
      </c>
      <c r="AS166" s="68"/>
    </row>
    <row r="167" spans="1:45" s="81" customFormat="1" ht="15.75" x14ac:dyDescent="0.25">
      <c r="A167" s="260" t="s">
        <v>78</v>
      </c>
      <c r="B167" s="260" t="s">
        <v>80</v>
      </c>
      <c r="C167" s="261">
        <f t="shared" si="301"/>
        <v>43021</v>
      </c>
      <c r="D167" s="260" t="s">
        <v>29</v>
      </c>
      <c r="E167" s="109">
        <v>9669</v>
      </c>
      <c r="F167" s="109">
        <v>8793</v>
      </c>
      <c r="G167" s="33">
        <f t="shared" si="279"/>
        <v>-0.27956188063482601</v>
      </c>
      <c r="H167" s="33">
        <f t="shared" si="280"/>
        <v>9.9624701467076082E-2</v>
      </c>
      <c r="I167" s="109">
        <f>872.08+194.54</f>
        <v>1066.6200000000001</v>
      </c>
      <c r="J167" s="111">
        <f>411.22+27.17</f>
        <v>438.39000000000004</v>
      </c>
      <c r="K167" s="33">
        <f t="shared" si="281"/>
        <v>0.34998101506138474</v>
      </c>
      <c r="L167" s="33">
        <f t="shared" si="282"/>
        <v>1.4330390747964141</v>
      </c>
      <c r="M167" s="111">
        <f t="shared" si="283"/>
        <v>9.0650840974292617</v>
      </c>
      <c r="N167" s="111">
        <f t="shared" si="284"/>
        <v>20.057483063026069</v>
      </c>
      <c r="O167" s="33">
        <f t="shared" si="285"/>
        <v>-0.46633462891149241</v>
      </c>
      <c r="P167" s="33">
        <f t="shared" si="286"/>
        <v>-0.54804478363789211</v>
      </c>
      <c r="Q167" s="112">
        <v>5312</v>
      </c>
      <c r="R167" s="112">
        <v>4613</v>
      </c>
      <c r="S167" s="33">
        <f t="shared" si="287"/>
        <v>9.8201364482117012E-2</v>
      </c>
      <c r="T167" s="33">
        <f t="shared" si="288"/>
        <v>0.15152828961630174</v>
      </c>
      <c r="U167" s="112">
        <v>90</v>
      </c>
      <c r="V167" s="112">
        <v>82</v>
      </c>
      <c r="W167" s="33">
        <f t="shared" si="289"/>
        <v>-6.25E-2</v>
      </c>
      <c r="X167" s="33">
        <f t="shared" si="290"/>
        <v>9.7560975609756101E-2</v>
      </c>
      <c r="Y167" s="113">
        <f t="shared" si="97"/>
        <v>1.6942771084337348E-2</v>
      </c>
      <c r="Z167" s="113">
        <f t="shared" si="97"/>
        <v>1.7775850856275744E-2</v>
      </c>
      <c r="AA167" s="33">
        <f t="shared" si="291"/>
        <v>-0.14633141942771094</v>
      </c>
      <c r="AB167" s="33">
        <f t="shared" si="292"/>
        <v>-4.6865816926241692E-2</v>
      </c>
      <c r="AC167" s="114">
        <f t="shared" si="17"/>
        <v>107.43333333333334</v>
      </c>
      <c r="AD167" s="114">
        <f t="shared" si="17"/>
        <v>107.23170731707317</v>
      </c>
      <c r="AE167" s="33">
        <f t="shared" si="293"/>
        <v>-0.23153267267714778</v>
      </c>
      <c r="AF167" s="33">
        <f t="shared" si="294"/>
        <v>1.8802835588915552E-3</v>
      </c>
      <c r="AG167" s="112">
        <f>3434+255</f>
        <v>3689</v>
      </c>
      <c r="AH167" s="112">
        <f>3203+164</f>
        <v>3367</v>
      </c>
      <c r="AI167" s="33">
        <f t="shared" si="295"/>
        <v>0.15678896205707119</v>
      </c>
      <c r="AJ167" s="33">
        <f t="shared" si="296"/>
        <v>9.5634095634095639E-2</v>
      </c>
      <c r="AK167" s="112">
        <f>11767+600</f>
        <v>12367</v>
      </c>
      <c r="AL167" s="112">
        <f>8782+349</f>
        <v>9131</v>
      </c>
      <c r="AM167" s="150">
        <f t="shared" si="297"/>
        <v>9.7046039208728826E-2</v>
      </c>
      <c r="AN167" s="267">
        <f t="shared" si="298"/>
        <v>0.35439710875041069</v>
      </c>
      <c r="AO167" s="110">
        <f t="shared" si="11"/>
        <v>0.29829384652704777</v>
      </c>
      <c r="AP167" s="110">
        <f t="shared" si="272"/>
        <v>0.36874383966706825</v>
      </c>
      <c r="AQ167" s="33">
        <f t="shared" si="299"/>
        <v>5.4457990561119211E-2</v>
      </c>
      <c r="AR167" s="33">
        <f t="shared" si="300"/>
        <v>-0.19105402060039411</v>
      </c>
      <c r="AS167" s="68"/>
    </row>
    <row r="168" spans="1:45" s="81" customFormat="1" ht="15.75" x14ac:dyDescent="0.25">
      <c r="A168" s="260" t="s">
        <v>78</v>
      </c>
      <c r="B168" s="260" t="s">
        <v>80</v>
      </c>
      <c r="C168" s="261">
        <f t="shared" si="301"/>
        <v>43021</v>
      </c>
      <c r="D168" s="260" t="s">
        <v>30</v>
      </c>
      <c r="E168" s="109">
        <v>125</v>
      </c>
      <c r="F168" s="109">
        <v>388</v>
      </c>
      <c r="G168" s="33">
        <f t="shared" si="279"/>
        <v>0.10619469026548672</v>
      </c>
      <c r="H168" s="33">
        <f t="shared" si="280"/>
        <v>-0.67783505154639179</v>
      </c>
      <c r="I168" s="109">
        <v>184.33</v>
      </c>
      <c r="J168" s="111">
        <f>2957.4+138.09</f>
        <v>3095.4900000000002</v>
      </c>
      <c r="K168" s="33">
        <f t="shared" si="281"/>
        <v>-0.63936767554242557</v>
      </c>
      <c r="L168" s="33">
        <f t="shared" si="282"/>
        <v>-0.94045207705403666</v>
      </c>
      <c r="M168" s="111">
        <f t="shared" si="283"/>
        <v>0.67813161178321479</v>
      </c>
      <c r="N168" s="111">
        <f t="shared" si="284"/>
        <v>0.125343645109498</v>
      </c>
      <c r="O168" s="33">
        <f t="shared" si="285"/>
        <v>2.0673753162013679</v>
      </c>
      <c r="P168" s="33">
        <f t="shared" si="286"/>
        <v>4.4101794406155248</v>
      </c>
      <c r="Q168" s="112">
        <v>245</v>
      </c>
      <c r="R168" s="112">
        <v>3070</v>
      </c>
      <c r="S168" s="33">
        <f t="shared" si="287"/>
        <v>-0.46153846153846156</v>
      </c>
      <c r="T168" s="33">
        <f t="shared" si="288"/>
        <v>-0.92019543973941365</v>
      </c>
      <c r="U168" s="112">
        <v>2</v>
      </c>
      <c r="V168" s="112">
        <v>5</v>
      </c>
      <c r="W168" s="33">
        <f t="shared" si="289"/>
        <v>0</v>
      </c>
      <c r="X168" s="33">
        <f t="shared" si="290"/>
        <v>-0.6</v>
      </c>
      <c r="Y168" s="113">
        <f t="shared" si="97"/>
        <v>8.1632653061224497E-3</v>
      </c>
      <c r="Z168" s="113">
        <f t="shared" si="97"/>
        <v>1.6286644951140066E-3</v>
      </c>
      <c r="AA168" s="33">
        <f t="shared" si="291"/>
        <v>0.85714285714285732</v>
      </c>
      <c r="AB168" s="33">
        <f t="shared" si="292"/>
        <v>4.0122448979591843</v>
      </c>
      <c r="AC168" s="114">
        <f t="shared" si="17"/>
        <v>62.5</v>
      </c>
      <c r="AD168" s="114">
        <f t="shared" si="17"/>
        <v>77.599999999999994</v>
      </c>
      <c r="AE168" s="33">
        <f t="shared" si="293"/>
        <v>0.10619469026548672</v>
      </c>
      <c r="AF168" s="33">
        <f t="shared" si="294"/>
        <v>-0.19458762886597933</v>
      </c>
      <c r="AG168" s="112">
        <v>175</v>
      </c>
      <c r="AH168" s="112">
        <f>2622+188</f>
        <v>2810</v>
      </c>
      <c r="AI168" s="33">
        <f t="shared" si="295"/>
        <v>-0.53333333333333333</v>
      </c>
      <c r="AJ168" s="33">
        <f t="shared" si="296"/>
        <v>-0.93772241992882566</v>
      </c>
      <c r="AK168" s="112">
        <v>2102</v>
      </c>
      <c r="AL168" s="112">
        <f>33918+2088</f>
        <v>36006</v>
      </c>
      <c r="AM168" s="150">
        <f t="shared" si="297"/>
        <v>-0.65787760416666663</v>
      </c>
      <c r="AN168" s="267">
        <f t="shared" si="298"/>
        <v>-0.94162084097094934</v>
      </c>
      <c r="AO168" s="110">
        <f t="shared" si="11"/>
        <v>8.3254043767840152E-2</v>
      </c>
      <c r="AP168" s="110">
        <f t="shared" si="272"/>
        <v>7.8042548464144865E-2</v>
      </c>
      <c r="AQ168" s="33">
        <f t="shared" si="299"/>
        <v>0.36403425309229304</v>
      </c>
      <c r="AR168" s="33">
        <f t="shared" si="300"/>
        <v>6.6777615624502684E-2</v>
      </c>
      <c r="AS168" s="68"/>
    </row>
    <row r="169" spans="1:45" s="81" customFormat="1" ht="15.75" x14ac:dyDescent="0.25">
      <c r="A169" s="260" t="s">
        <v>78</v>
      </c>
      <c r="B169" s="260" t="s">
        <v>80</v>
      </c>
      <c r="C169" s="261">
        <f t="shared" si="301"/>
        <v>43021</v>
      </c>
      <c r="D169" s="260" t="s">
        <v>228</v>
      </c>
      <c r="E169" s="109">
        <v>2080</v>
      </c>
      <c r="F169" s="109"/>
      <c r="G169" s="33">
        <f t="shared" si="279"/>
        <v>-0.14579055441478439</v>
      </c>
      <c r="H169" s="33" t="e">
        <f t="shared" si="280"/>
        <v>#DIV/0!</v>
      </c>
      <c r="I169" s="109">
        <v>1747.88</v>
      </c>
      <c r="J169" s="111"/>
      <c r="K169" s="33">
        <f t="shared" si="281"/>
        <v>-9.9861468026923542E-2</v>
      </c>
      <c r="L169" s="33" t="e">
        <f t="shared" si="282"/>
        <v>#DIV/0!</v>
      </c>
      <c r="M169" s="111">
        <f t="shared" si="283"/>
        <v>1.1900130443737555</v>
      </c>
      <c r="N169" s="111"/>
      <c r="O169" s="33">
        <f t="shared" si="285"/>
        <v>-5.1024464297940539E-2</v>
      </c>
      <c r="P169" s="33" t="e">
        <f t="shared" si="286"/>
        <v>#DIV/0!</v>
      </c>
      <c r="Q169" s="112">
        <v>6578</v>
      </c>
      <c r="R169" s="112"/>
      <c r="S169" s="33">
        <f t="shared" si="287"/>
        <v>-3.0794165316045379E-2</v>
      </c>
      <c r="T169" s="33" t="e">
        <f t="shared" si="288"/>
        <v>#DIV/0!</v>
      </c>
      <c r="U169" s="112">
        <v>22</v>
      </c>
      <c r="V169" s="112"/>
      <c r="W169" s="33">
        <f t="shared" si="289"/>
        <v>-0.12</v>
      </c>
      <c r="X169" s="33" t="e">
        <f t="shared" si="290"/>
        <v>#DIV/0!</v>
      </c>
      <c r="Y169" s="113">
        <f t="shared" si="97"/>
        <v>3.3444816053511705E-3</v>
      </c>
      <c r="Z169" s="113"/>
      <c r="AA169" s="33">
        <f t="shared" si="291"/>
        <v>-9.2040133779264247E-2</v>
      </c>
      <c r="AB169" s="33" t="e">
        <f t="shared" si="292"/>
        <v>#DIV/0!</v>
      </c>
      <c r="AC169" s="114">
        <f t="shared" si="17"/>
        <v>94.545454545454547</v>
      </c>
      <c r="AD169" s="114"/>
      <c r="AE169" s="33">
        <f t="shared" si="293"/>
        <v>-2.9307448198618673E-2</v>
      </c>
      <c r="AF169" s="33" t="e">
        <f t="shared" si="294"/>
        <v>#DIV/0!</v>
      </c>
      <c r="AG169" s="112">
        <v>6501</v>
      </c>
      <c r="AH169" s="112"/>
      <c r="AI169" s="33">
        <f t="shared" si="295"/>
        <v>-5.3298383573612933E-2</v>
      </c>
      <c r="AJ169" s="33" t="e">
        <f t="shared" si="296"/>
        <v>#DIV/0!</v>
      </c>
      <c r="AK169" s="112">
        <v>297219</v>
      </c>
      <c r="AL169" s="112"/>
      <c r="AM169" s="150">
        <f t="shared" si="297"/>
        <v>-9.5245777880599555E-2</v>
      </c>
      <c r="AN169" s="267" t="e">
        <f t="shared" si="298"/>
        <v>#DIV/0!</v>
      </c>
      <c r="AO169" s="110">
        <f t="shared" si="11"/>
        <v>2.1872760489739889E-2</v>
      </c>
      <c r="AP169" s="110"/>
      <c r="AQ169" s="33">
        <f t="shared" si="299"/>
        <v>4.6363303183846197E-2</v>
      </c>
      <c r="AR169" s="33" t="e">
        <f t="shared" si="300"/>
        <v>#DIV/0!</v>
      </c>
      <c r="AS169" s="68"/>
    </row>
    <row r="170" spans="1:45" s="81" customFormat="1" ht="15.75" customHeight="1" x14ac:dyDescent="0.3">
      <c r="A170" s="29" t="s">
        <v>78</v>
      </c>
      <c r="B170" s="29" t="s">
        <v>81</v>
      </c>
      <c r="C170" s="30">
        <f t="shared" ref="C170:C201" si="465">C166+7</f>
        <v>43028</v>
      </c>
      <c r="D170" s="31" t="s">
        <v>28</v>
      </c>
      <c r="E170" s="32">
        <f>SUM(E171:E173)</f>
        <v>13226</v>
      </c>
      <c r="F170" s="32">
        <f>SUM(F171:F173)</f>
        <v>8894</v>
      </c>
      <c r="G170" s="33">
        <f t="shared" ref="G170" si="466">(E170-E166)/E166</f>
        <v>0.11386221997641907</v>
      </c>
      <c r="H170" s="33">
        <f t="shared" ref="H170" si="467">(E170-F170)/F170</f>
        <v>0.48706993478749722</v>
      </c>
      <c r="I170" s="32">
        <f>SUM(I171:I173)</f>
        <v>3141</v>
      </c>
      <c r="J170" s="32">
        <f>SUM(J171:J173)</f>
        <v>3504.78</v>
      </c>
      <c r="K170" s="33">
        <f t="shared" ref="K170" si="468">(I170-I166)/I166</f>
        <v>4.7408489310831248E-2</v>
      </c>
      <c r="L170" s="33">
        <f t="shared" ref="L170" si="469">(I170-J170)/J170</f>
        <v>-0.10379538801294237</v>
      </c>
      <c r="M170" s="34">
        <f t="shared" ref="M170" si="470">E170/I170</f>
        <v>4.2107609041706464</v>
      </c>
      <c r="N170" s="34">
        <f t="shared" ref="N170" si="471">F170/J170</f>
        <v>2.5376771152540245</v>
      </c>
      <c r="O170" s="33">
        <f t="shared" ref="O170" si="472">(M170-M166)/M166</f>
        <v>6.3445858367362232E-2</v>
      </c>
      <c r="P170" s="33">
        <f t="shared" ref="P170" si="473">(M170-N170)/N170</f>
        <v>0.65929734671904638</v>
      </c>
      <c r="Q170" s="35">
        <f>SUM(Q171:Q173)</f>
        <v>12708</v>
      </c>
      <c r="R170" s="35">
        <f>SUM(R171:R173)</f>
        <v>7617</v>
      </c>
      <c r="S170" s="33">
        <f t="shared" ref="S170" si="474">(Q170-Q166)/Q166</f>
        <v>4.7218788627935722E-2</v>
      </c>
      <c r="T170" s="33">
        <f t="shared" ref="T170" si="475">(Q170-R170)/R170</f>
        <v>0.66837337534462382</v>
      </c>
      <c r="U170" s="35">
        <f>SUM(U171:U173)</f>
        <v>138</v>
      </c>
      <c r="V170" s="35">
        <f>SUM(V171:V173)</f>
        <v>83</v>
      </c>
      <c r="W170" s="33">
        <f t="shared" ref="W170" si="476">(U170-U166)/U166</f>
        <v>0.21052631578947367</v>
      </c>
      <c r="X170" s="33">
        <f t="shared" ref="X170" si="477">(U170-V170)/V170</f>
        <v>0.66265060240963858</v>
      </c>
      <c r="Y170" s="88">
        <f t="shared" ref="Y170" si="478">U170/Q170</f>
        <v>1.0859301227573183E-2</v>
      </c>
      <c r="Z170" s="88">
        <f t="shared" ref="Z170" si="479">V170/R170</f>
        <v>1.089667848234213E-2</v>
      </c>
      <c r="AA170" s="33">
        <f t="shared" ref="AA170" si="480">(Y170-Y166)/Y166</f>
        <v>0.15594403856667161</v>
      </c>
      <c r="AB170" s="33">
        <f t="shared" ref="AB170" si="481">(Y170-Z170)/Z170</f>
        <v>-3.4301511996996442E-3</v>
      </c>
      <c r="AC170" s="97">
        <f t="shared" ref="AC170" si="482">E170/U170</f>
        <v>95.840579710144922</v>
      </c>
      <c r="AD170" s="145">
        <f t="shared" ref="AD170" si="483">F170/V170</f>
        <v>107.1566265060241</v>
      </c>
      <c r="AE170" s="33">
        <f t="shared" ref="AE170" si="484">(AC170-AC166)/AC166</f>
        <v>-7.9852948715132169E-2</v>
      </c>
      <c r="AF170" s="33">
        <f t="shared" ref="AF170" si="485">(AC170-AD170)/AD170</f>
        <v>-0.10560286530896913</v>
      </c>
      <c r="AG170" s="35">
        <f>SUM(AG171:AG173)</f>
        <v>10733</v>
      </c>
      <c r="AH170" s="35">
        <f>SUM(AH171:AH173)</f>
        <v>6137</v>
      </c>
      <c r="AI170" s="33">
        <f t="shared" ref="AI170" si="486">(AG170-AG166)/AG166</f>
        <v>3.5504100337674864E-2</v>
      </c>
      <c r="AJ170" s="33">
        <f t="shared" ref="AJ170" si="487">(AG170-AH170)/AH170</f>
        <v>0.74890011406224544</v>
      </c>
      <c r="AK170" s="35">
        <f>SUM(AK171:AK173)</f>
        <v>311738</v>
      </c>
      <c r="AL170" s="35">
        <f>SUM(AL171:AL173)</f>
        <v>44989</v>
      </c>
      <c r="AM170" s="150">
        <f t="shared" ref="AM170" si="488">(AK170-AK166)/AK166</f>
        <v>1.6041682708349374E-4</v>
      </c>
      <c r="AN170" s="267">
        <f t="shared" ref="AN170" si="489">(AK170-AL170)/AL170</f>
        <v>5.9292049167574294</v>
      </c>
      <c r="AO170" s="33">
        <f t="shared" ref="AO170" si="490">AG170/AK170</f>
        <v>3.4429553022089061E-2</v>
      </c>
      <c r="AP170" s="33">
        <f t="shared" ref="AP170" si="491">AH170/AL170</f>
        <v>0.13641112271888683</v>
      </c>
      <c r="AQ170" s="33">
        <f t="shared" ref="AQ170" si="492">(AO170-AO166)/AO166</f>
        <v>3.533801469839791E-2</v>
      </c>
      <c r="AR170" s="33">
        <f t="shared" ref="AR170" si="493">(AO170-AP170)/AP170</f>
        <v>-0.74760450368082698</v>
      </c>
      <c r="AS170" s="68"/>
    </row>
    <row r="171" spans="1:45" s="81" customFormat="1" ht="15.75" x14ac:dyDescent="0.25">
      <c r="A171" s="260" t="s">
        <v>78</v>
      </c>
      <c r="B171" s="260" t="s">
        <v>81</v>
      </c>
      <c r="C171" s="261">
        <f t="shared" si="465"/>
        <v>43028</v>
      </c>
      <c r="D171" s="260" t="s">
        <v>29</v>
      </c>
      <c r="E171" s="109">
        <v>10689</v>
      </c>
      <c r="F171" s="109">
        <v>8448</v>
      </c>
      <c r="G171" s="33">
        <f t="shared" si="279"/>
        <v>0.10549177784672666</v>
      </c>
      <c r="H171" s="33">
        <f t="shared" si="280"/>
        <v>0.26526988636363635</v>
      </c>
      <c r="I171" s="109">
        <v>1296</v>
      </c>
      <c r="J171" s="111">
        <f>344.88+33.35</f>
        <v>378.23</v>
      </c>
      <c r="K171" s="33">
        <f t="shared" si="281"/>
        <v>0.21505315857568755</v>
      </c>
      <c r="L171" s="33">
        <f t="shared" si="282"/>
        <v>2.4264865293604418</v>
      </c>
      <c r="M171" s="111">
        <f t="shared" si="283"/>
        <v>8.2476851851851851</v>
      </c>
      <c r="N171" s="111">
        <f t="shared" si="284"/>
        <v>22.335615895090289</v>
      </c>
      <c r="O171" s="33">
        <f t="shared" si="285"/>
        <v>-9.0170030797163819E-2</v>
      </c>
      <c r="P171" s="33">
        <f t="shared" si="286"/>
        <v>-0.63073840345731624</v>
      </c>
      <c r="Q171" s="112">
        <v>5685</v>
      </c>
      <c r="R171" s="112">
        <v>4284</v>
      </c>
      <c r="S171" s="33">
        <f t="shared" si="287"/>
        <v>7.0218373493975902E-2</v>
      </c>
      <c r="T171" s="33">
        <f t="shared" si="288"/>
        <v>0.32703081232492998</v>
      </c>
      <c r="U171" s="112">
        <v>108</v>
      </c>
      <c r="V171" s="112">
        <v>77</v>
      </c>
      <c r="W171" s="33">
        <f t="shared" si="289"/>
        <v>0.2</v>
      </c>
      <c r="X171" s="33">
        <f t="shared" si="290"/>
        <v>0.40259740259740262</v>
      </c>
      <c r="Y171" s="113">
        <f t="shared" si="97"/>
        <v>1.8997361477572559E-2</v>
      </c>
      <c r="Z171" s="113">
        <f t="shared" si="97"/>
        <v>1.7973856209150325E-2</v>
      </c>
      <c r="AA171" s="33">
        <f t="shared" si="291"/>
        <v>0.12126649076517153</v>
      </c>
      <c r="AB171" s="33">
        <f t="shared" si="292"/>
        <v>5.694411129767335E-2</v>
      </c>
      <c r="AC171" s="114">
        <f t="shared" si="17"/>
        <v>98.972222222222229</v>
      </c>
      <c r="AD171" s="114">
        <f t="shared" si="17"/>
        <v>109.71428571428571</v>
      </c>
      <c r="AE171" s="33">
        <f t="shared" si="293"/>
        <v>-7.8756851794394428E-2</v>
      </c>
      <c r="AF171" s="33">
        <f t="shared" si="294"/>
        <v>-9.7909432870370267E-2</v>
      </c>
      <c r="AG171" s="112">
        <v>3982</v>
      </c>
      <c r="AH171" s="112">
        <f>2919+160</f>
        <v>3079</v>
      </c>
      <c r="AI171" s="33">
        <f t="shared" si="295"/>
        <v>7.9425318514502574E-2</v>
      </c>
      <c r="AJ171" s="33">
        <f t="shared" si="296"/>
        <v>0.29327703799935045</v>
      </c>
      <c r="AK171" s="112">
        <v>12528</v>
      </c>
      <c r="AL171" s="112">
        <f>7587+396</f>
        <v>7983</v>
      </c>
      <c r="AM171" s="150">
        <f t="shared" si="297"/>
        <v>1.3018517021104552E-2</v>
      </c>
      <c r="AN171" s="267">
        <f t="shared" si="298"/>
        <v>0.56933483652762118</v>
      </c>
      <c r="AO171" s="110">
        <f t="shared" si="11"/>
        <v>0.31784802043422733</v>
      </c>
      <c r="AP171" s="110">
        <f t="shared" si="272"/>
        <v>0.38569460102718278</v>
      </c>
      <c r="AQ171" s="33">
        <f t="shared" si="299"/>
        <v>6.5553393524014542E-2</v>
      </c>
      <c r="AR171" s="33">
        <f t="shared" si="300"/>
        <v>-0.17590751960817258</v>
      </c>
      <c r="AS171" s="68"/>
    </row>
    <row r="172" spans="1:45" s="81" customFormat="1" ht="15.75" x14ac:dyDescent="0.25">
      <c r="A172" s="260" t="s">
        <v>78</v>
      </c>
      <c r="B172" s="260" t="s">
        <v>81</v>
      </c>
      <c r="C172" s="261">
        <f t="shared" si="465"/>
        <v>43028</v>
      </c>
      <c r="D172" s="260" t="s">
        <v>30</v>
      </c>
      <c r="E172" s="109">
        <v>0</v>
      </c>
      <c r="F172" s="109">
        <v>446</v>
      </c>
      <c r="G172" s="33">
        <f t="shared" si="279"/>
        <v>-1</v>
      </c>
      <c r="H172" s="33">
        <f t="shared" si="280"/>
        <v>-1</v>
      </c>
      <c r="I172" s="109">
        <v>119</v>
      </c>
      <c r="J172" s="111">
        <f>2983.25+143.3</f>
        <v>3126.55</v>
      </c>
      <c r="K172" s="33">
        <f t="shared" si="281"/>
        <v>-0.35441870558237948</v>
      </c>
      <c r="L172" s="33">
        <f t="shared" si="282"/>
        <v>-0.96193887831635505</v>
      </c>
      <c r="M172" s="111">
        <f t="shared" si="283"/>
        <v>0</v>
      </c>
      <c r="N172" s="111">
        <f t="shared" si="284"/>
        <v>0.14264924597399689</v>
      </c>
      <c r="O172" s="33">
        <f t="shared" si="285"/>
        <v>-1</v>
      </c>
      <c r="P172" s="33">
        <f t="shared" si="286"/>
        <v>-1</v>
      </c>
      <c r="Q172" s="112">
        <v>208</v>
      </c>
      <c r="R172" s="112">
        <v>3333</v>
      </c>
      <c r="S172" s="33">
        <f t="shared" si="287"/>
        <v>-0.15102040816326531</v>
      </c>
      <c r="T172" s="33">
        <f t="shared" si="288"/>
        <v>-0.93759375937593759</v>
      </c>
      <c r="U172" s="112">
        <v>0</v>
      </c>
      <c r="V172" s="112">
        <v>6</v>
      </c>
      <c r="W172" s="33">
        <f t="shared" si="289"/>
        <v>-1</v>
      </c>
      <c r="X172" s="33">
        <f t="shared" si="290"/>
        <v>-1</v>
      </c>
      <c r="Y172" s="113">
        <f t="shared" si="97"/>
        <v>0</v>
      </c>
      <c r="Z172" s="113">
        <f t="shared" si="97"/>
        <v>1.8001800180018001E-3</v>
      </c>
      <c r="AA172" s="33">
        <f t="shared" si="291"/>
        <v>-1</v>
      </c>
      <c r="AB172" s="33">
        <f t="shared" si="292"/>
        <v>-1</v>
      </c>
      <c r="AC172" s="114" t="e">
        <f t="shared" si="17"/>
        <v>#DIV/0!</v>
      </c>
      <c r="AD172" s="114">
        <f t="shared" si="17"/>
        <v>74.333333333333329</v>
      </c>
      <c r="AE172" s="33" t="e">
        <f t="shared" si="293"/>
        <v>#DIV/0!</v>
      </c>
      <c r="AF172" s="33" t="e">
        <f t="shared" si="294"/>
        <v>#DIV/0!</v>
      </c>
      <c r="AG172" s="112">
        <v>138</v>
      </c>
      <c r="AH172" s="112">
        <f>2880+178</f>
        <v>3058</v>
      </c>
      <c r="AI172" s="33">
        <f t="shared" si="295"/>
        <v>-0.21142857142857144</v>
      </c>
      <c r="AJ172" s="33">
        <f t="shared" si="296"/>
        <v>-0.95487246566383255</v>
      </c>
      <c r="AK172" s="112">
        <v>1860</v>
      </c>
      <c r="AL172" s="112">
        <f>34890+2116</f>
        <v>37006</v>
      </c>
      <c r="AM172" s="150">
        <f t="shared" si="297"/>
        <v>-0.11512844909609896</v>
      </c>
      <c r="AN172" s="267">
        <f t="shared" si="298"/>
        <v>-0.94973788034372808</v>
      </c>
      <c r="AO172" s="110">
        <f t="shared" si="11"/>
        <v>7.4193548387096769E-2</v>
      </c>
      <c r="AP172" s="110">
        <f t="shared" si="272"/>
        <v>8.2635248338107328E-2</v>
      </c>
      <c r="AQ172" s="33">
        <f t="shared" si="299"/>
        <v>-0.10882949308755767</v>
      </c>
      <c r="AR172" s="33">
        <f t="shared" si="300"/>
        <v>-0.10215616363214414</v>
      </c>
      <c r="AS172" s="68"/>
    </row>
    <row r="173" spans="1:45" s="81" customFormat="1" ht="15.75" x14ac:dyDescent="0.25">
      <c r="A173" s="260" t="s">
        <v>78</v>
      </c>
      <c r="B173" s="260" t="s">
        <v>81</v>
      </c>
      <c r="C173" s="261">
        <f t="shared" si="465"/>
        <v>43028</v>
      </c>
      <c r="D173" s="260" t="s">
        <v>228</v>
      </c>
      <c r="E173" s="109">
        <v>2537</v>
      </c>
      <c r="F173" s="109"/>
      <c r="G173" s="33">
        <f t="shared" si="279"/>
        <v>0.21971153846153846</v>
      </c>
      <c r="H173" s="33" t="e">
        <f t="shared" si="280"/>
        <v>#DIV/0!</v>
      </c>
      <c r="I173" s="109">
        <v>1726</v>
      </c>
      <c r="J173" s="111"/>
      <c r="K173" s="33">
        <f t="shared" si="281"/>
        <v>-1.2518021832162452E-2</v>
      </c>
      <c r="L173" s="33" t="e">
        <f t="shared" si="282"/>
        <v>#DIV/0!</v>
      </c>
      <c r="M173" s="111">
        <f t="shared" si="283"/>
        <v>1.469872537659328</v>
      </c>
      <c r="N173" s="111"/>
      <c r="O173" s="33">
        <f t="shared" si="285"/>
        <v>0.23517346688653196</v>
      </c>
      <c r="P173" s="33" t="e">
        <f t="shared" si="286"/>
        <v>#DIV/0!</v>
      </c>
      <c r="Q173" s="112">
        <v>6815</v>
      </c>
      <c r="R173" s="112"/>
      <c r="S173" s="33">
        <f t="shared" si="287"/>
        <v>3.6029188203101248E-2</v>
      </c>
      <c r="T173" s="33" t="e">
        <f t="shared" si="288"/>
        <v>#DIV/0!</v>
      </c>
      <c r="U173" s="112">
        <v>30</v>
      </c>
      <c r="V173" s="112"/>
      <c r="W173" s="33">
        <f t="shared" si="289"/>
        <v>0.36363636363636365</v>
      </c>
      <c r="X173" s="33" t="e">
        <f t="shared" si="290"/>
        <v>#DIV/0!</v>
      </c>
      <c r="Y173" s="113">
        <f t="shared" si="97"/>
        <v>4.4020542920029347E-3</v>
      </c>
      <c r="Z173" s="113"/>
      <c r="AA173" s="33">
        <f t="shared" si="291"/>
        <v>0.31621423330887749</v>
      </c>
      <c r="AB173" s="33" t="e">
        <f t="shared" si="292"/>
        <v>#DIV/0!</v>
      </c>
      <c r="AC173" s="114">
        <f t="shared" si="17"/>
        <v>84.566666666666663</v>
      </c>
      <c r="AD173" s="114"/>
      <c r="AE173" s="33">
        <f t="shared" si="293"/>
        <v>-0.10554487179487185</v>
      </c>
      <c r="AF173" s="33" t="e">
        <f t="shared" si="294"/>
        <v>#DIV/0!</v>
      </c>
      <c r="AG173" s="112">
        <v>6613</v>
      </c>
      <c r="AH173" s="112"/>
      <c r="AI173" s="33">
        <f t="shared" si="295"/>
        <v>1.7228118750961391E-2</v>
      </c>
      <c r="AJ173" s="33" t="e">
        <f t="shared" si="296"/>
        <v>#DIV/0!</v>
      </c>
      <c r="AK173" s="112">
        <v>297350</v>
      </c>
      <c r="AL173" s="112"/>
      <c r="AM173" s="150">
        <f t="shared" si="297"/>
        <v>4.4075244180217279E-4</v>
      </c>
      <c r="AN173" s="267" t="e">
        <f t="shared" si="298"/>
        <v>#DIV/0!</v>
      </c>
      <c r="AO173" s="110">
        <f t="shared" si="11"/>
        <v>2.2239784765427945E-2</v>
      </c>
      <c r="AP173" s="110"/>
      <c r="AQ173" s="33">
        <f t="shared" si="299"/>
        <v>1.6779970496189567E-2</v>
      </c>
      <c r="AR173" s="33" t="e">
        <f t="shared" si="300"/>
        <v>#DIV/0!</v>
      </c>
      <c r="AS173" s="68"/>
    </row>
    <row r="174" spans="1:45" s="81" customFormat="1" ht="15.75" customHeight="1" x14ac:dyDescent="0.3">
      <c r="A174" s="29" t="s">
        <v>78</v>
      </c>
      <c r="B174" s="29" t="s">
        <v>82</v>
      </c>
      <c r="C174" s="30">
        <f t="shared" si="465"/>
        <v>43035</v>
      </c>
      <c r="D174" s="31" t="s">
        <v>28</v>
      </c>
      <c r="E174" s="32">
        <f>SUM(E175:E177)</f>
        <v>13007</v>
      </c>
      <c r="F174" s="32">
        <f>SUM(F175:F177)</f>
        <v>8184</v>
      </c>
      <c r="G174" s="33">
        <f t="shared" si="279"/>
        <v>-1.6558294268864359E-2</v>
      </c>
      <c r="H174" s="33">
        <f t="shared" si="280"/>
        <v>0.58932062561094822</v>
      </c>
      <c r="I174" s="32">
        <f>SUM(I175:I177)</f>
        <v>3022.24</v>
      </c>
      <c r="J174" s="32">
        <f>SUM(J175:J177)</f>
        <v>3071.89</v>
      </c>
      <c r="K174" s="33">
        <f t="shared" si="281"/>
        <v>-3.7809614772365559E-2</v>
      </c>
      <c r="L174" s="33">
        <f t="shared" si="282"/>
        <v>-1.6162688117087556E-2</v>
      </c>
      <c r="M174" s="34">
        <f t="shared" ref="M174" si="494">E174/I174</f>
        <v>4.3037614484620681</v>
      </c>
      <c r="N174" s="34">
        <f t="shared" ref="N174" si="495">F174/J174</f>
        <v>2.6641578962788381</v>
      </c>
      <c r="O174" s="33">
        <f t="shared" si="285"/>
        <v>2.2086398731238129E-2</v>
      </c>
      <c r="P174" s="33">
        <f t="shared" si="286"/>
        <v>0.61543032208164006</v>
      </c>
      <c r="Q174" s="35">
        <f>SUM(Q175:Q177)</f>
        <v>11954</v>
      </c>
      <c r="R174" s="35">
        <f>SUM(R175:R177)</f>
        <v>7102</v>
      </c>
      <c r="S174" s="33">
        <f t="shared" si="287"/>
        <v>-5.9332703808624487E-2</v>
      </c>
      <c r="T174" s="33">
        <f t="shared" si="288"/>
        <v>0.68318783441284148</v>
      </c>
      <c r="U174" s="35">
        <f>SUM(U175:U177)</f>
        <v>233</v>
      </c>
      <c r="V174" s="35">
        <f>SUM(V175:V177)</f>
        <v>75</v>
      </c>
      <c r="W174" s="33">
        <f t="shared" si="289"/>
        <v>0.68840579710144922</v>
      </c>
      <c r="X174" s="33">
        <f t="shared" si="290"/>
        <v>2.1066666666666665</v>
      </c>
      <c r="Y174" s="88">
        <f t="shared" ref="Y174" si="496">U174/Q174</f>
        <v>1.9491383637276226E-2</v>
      </c>
      <c r="Z174" s="88">
        <f t="shared" ref="Z174" si="497">V174/R174</f>
        <v>1.0560405519571952E-2</v>
      </c>
      <c r="AA174" s="33">
        <f t="shared" si="291"/>
        <v>0.79490219755439329</v>
      </c>
      <c r="AB174" s="33">
        <f t="shared" si="292"/>
        <v>0.84570408789247675</v>
      </c>
      <c r="AC174" s="97">
        <f t="shared" ref="AC174" si="498">E174/U174</f>
        <v>55.824034334763951</v>
      </c>
      <c r="AD174" s="145">
        <f t="shared" ref="AD174" si="499">F174/V174</f>
        <v>109.12</v>
      </c>
      <c r="AE174" s="33">
        <f t="shared" si="293"/>
        <v>-0.41753238029658057</v>
      </c>
      <c r="AF174" s="33">
        <f t="shared" si="294"/>
        <v>-0.48841610763596088</v>
      </c>
      <c r="AG174" s="35">
        <f>SUM(AG175:AG177)</f>
        <v>9938</v>
      </c>
      <c r="AH174" s="35">
        <f>SUM(AH175:AH177)</f>
        <v>5735</v>
      </c>
      <c r="AI174" s="33">
        <f t="shared" si="295"/>
        <v>-7.407062331128296E-2</v>
      </c>
      <c r="AJ174" s="33">
        <f t="shared" si="296"/>
        <v>0.73286835222319091</v>
      </c>
      <c r="AK174" s="35">
        <f>SUM(AK175:AK177)</f>
        <v>270213</v>
      </c>
      <c r="AL174" s="35">
        <f>SUM(AL175:AL177)</f>
        <v>38328</v>
      </c>
      <c r="AM174" s="150">
        <f t="shared" si="297"/>
        <v>-0.13320480660041445</v>
      </c>
      <c r="AN174" s="267">
        <f t="shared" si="298"/>
        <v>6.0500156543519097</v>
      </c>
      <c r="AO174" s="33">
        <f t="shared" ref="AO174" si="500">AG174/AK174</f>
        <v>3.6778393341549073E-2</v>
      </c>
      <c r="AP174" s="33">
        <f t="shared" ref="AP174" si="501">AH174/AL174</f>
        <v>0.14962951367146735</v>
      </c>
      <c r="AQ174" s="33">
        <f t="shared" si="299"/>
        <v>6.8221632675656868E-2</v>
      </c>
      <c r="AR174" s="33">
        <f t="shared" si="300"/>
        <v>-0.75420361639147471</v>
      </c>
      <c r="AS174" s="68"/>
    </row>
    <row r="175" spans="1:45" s="81" customFormat="1" ht="15.75" x14ac:dyDescent="0.25">
      <c r="A175" s="260" t="s">
        <v>78</v>
      </c>
      <c r="B175" s="260" t="s">
        <v>82</v>
      </c>
      <c r="C175" s="261">
        <f t="shared" si="465"/>
        <v>43035</v>
      </c>
      <c r="D175" s="260" t="s">
        <v>29</v>
      </c>
      <c r="E175" s="109">
        <v>10226</v>
      </c>
      <c r="F175" s="109">
        <v>7040</v>
      </c>
      <c r="G175" s="33">
        <f t="shared" si="279"/>
        <v>-4.3315558050332117E-2</v>
      </c>
      <c r="H175" s="33">
        <f t="shared" si="280"/>
        <v>0.4525568181818182</v>
      </c>
      <c r="I175" s="109">
        <f>1085.56+153.03</f>
        <v>1238.5899999999999</v>
      </c>
      <c r="J175" s="111">
        <f>439.88+31.53</f>
        <v>471.40999999999997</v>
      </c>
      <c r="K175" s="33">
        <f t="shared" si="281"/>
        <v>-4.4297839506172901E-2</v>
      </c>
      <c r="L175" s="33">
        <f t="shared" si="282"/>
        <v>1.6274156254640335</v>
      </c>
      <c r="M175" s="111">
        <f t="shared" si="283"/>
        <v>8.2561622490089537</v>
      </c>
      <c r="N175" s="111">
        <f t="shared" si="284"/>
        <v>14.933921639337308</v>
      </c>
      <c r="O175" s="33">
        <f t="shared" si="285"/>
        <v>1.0278112747314112E-3</v>
      </c>
      <c r="P175" s="33">
        <f t="shared" si="286"/>
        <v>-0.44715377190265476</v>
      </c>
      <c r="Q175" s="112">
        <v>5900</v>
      </c>
      <c r="R175" s="112">
        <f>4243</f>
        <v>4243</v>
      </c>
      <c r="S175" s="33">
        <f t="shared" si="287"/>
        <v>3.7818821459982409E-2</v>
      </c>
      <c r="T175" s="33">
        <f t="shared" si="288"/>
        <v>0.39052557152957812</v>
      </c>
      <c r="U175" s="112">
        <v>203</v>
      </c>
      <c r="V175" s="112">
        <v>64</v>
      </c>
      <c r="W175" s="33">
        <f t="shared" si="289"/>
        <v>0.87962962962962965</v>
      </c>
      <c r="X175" s="33">
        <f t="shared" si="290"/>
        <v>2.171875</v>
      </c>
      <c r="Y175" s="113">
        <f t="shared" ref="Y175:Z212" si="502">U175/Q175</f>
        <v>3.4406779661016948E-2</v>
      </c>
      <c r="Z175" s="113">
        <f t="shared" si="502"/>
        <v>1.5083667216592034E-2</v>
      </c>
      <c r="AA175" s="33">
        <f t="shared" si="291"/>
        <v>0.81113465160075326</v>
      </c>
      <c r="AB175" s="33">
        <f t="shared" si="292"/>
        <v>1.2810619703389829</v>
      </c>
      <c r="AC175" s="114">
        <f t="shared" si="17"/>
        <v>50.374384236453203</v>
      </c>
      <c r="AD175" s="114">
        <f t="shared" si="17"/>
        <v>110</v>
      </c>
      <c r="AE175" s="33">
        <f t="shared" si="293"/>
        <v>-0.49102502595781217</v>
      </c>
      <c r="AF175" s="33">
        <f t="shared" si="294"/>
        <v>-0.54205105239588003</v>
      </c>
      <c r="AG175" s="112">
        <f>3922+194</f>
        <v>4116</v>
      </c>
      <c r="AH175" s="112">
        <f>3024+162</f>
        <v>3186</v>
      </c>
      <c r="AI175" s="33">
        <f t="shared" si="295"/>
        <v>3.365143144148669E-2</v>
      </c>
      <c r="AJ175" s="33">
        <f t="shared" si="296"/>
        <v>0.29190207156308851</v>
      </c>
      <c r="AK175" s="112">
        <f>12301+478</f>
        <v>12779</v>
      </c>
      <c r="AL175" s="112">
        <f>7466+379</f>
        <v>7845</v>
      </c>
      <c r="AM175" s="150">
        <f t="shared" si="297"/>
        <v>2.0035121328224777E-2</v>
      </c>
      <c r="AN175" s="267">
        <f t="shared" si="298"/>
        <v>0.62893562778840029</v>
      </c>
      <c r="AO175" s="110">
        <f t="shared" si="11"/>
        <v>0.32209093043274123</v>
      </c>
      <c r="AP175" s="110">
        <f t="shared" si="272"/>
        <v>0.40611854684512427</v>
      </c>
      <c r="AQ175" s="33">
        <f t="shared" si="299"/>
        <v>1.3348864003360656E-2</v>
      </c>
      <c r="AR175" s="33">
        <f t="shared" si="300"/>
        <v>-0.20690415905685655</v>
      </c>
      <c r="AS175" s="68"/>
    </row>
    <row r="176" spans="1:45" s="81" customFormat="1" ht="15.75" x14ac:dyDescent="0.25">
      <c r="A176" s="260" t="s">
        <v>78</v>
      </c>
      <c r="B176" s="260" t="s">
        <v>82</v>
      </c>
      <c r="C176" s="261">
        <f t="shared" si="465"/>
        <v>43035</v>
      </c>
      <c r="D176" s="260" t="s">
        <v>30</v>
      </c>
      <c r="E176" s="109">
        <v>203</v>
      </c>
      <c r="F176" s="109">
        <v>1144</v>
      </c>
      <c r="G176" s="33" t="e">
        <f t="shared" si="279"/>
        <v>#DIV/0!</v>
      </c>
      <c r="H176" s="33">
        <f t="shared" si="280"/>
        <v>-0.82255244755244761</v>
      </c>
      <c r="I176" s="109">
        <v>198.75</v>
      </c>
      <c r="J176" s="111">
        <f>2455.54+144.94</f>
        <v>2600.48</v>
      </c>
      <c r="K176" s="33">
        <f t="shared" si="281"/>
        <v>0.67016806722689071</v>
      </c>
      <c r="L176" s="33">
        <f t="shared" si="282"/>
        <v>-0.92357180212883772</v>
      </c>
      <c r="M176" s="111">
        <f t="shared" ref="M176:M212" si="503">E176/I176</f>
        <v>1.0213836477987421</v>
      </c>
      <c r="N176" s="111">
        <f t="shared" ref="N176:N208" si="504">F176/J176</f>
        <v>0.43991878422445085</v>
      </c>
      <c r="O176" s="33" t="e">
        <f t="shared" si="285"/>
        <v>#DIV/0!</v>
      </c>
      <c r="P176" s="33">
        <f t="shared" si="286"/>
        <v>1.3217550248493646</v>
      </c>
      <c r="Q176" s="112">
        <v>237</v>
      </c>
      <c r="R176" s="112">
        <v>2859</v>
      </c>
      <c r="S176" s="33">
        <f t="shared" si="287"/>
        <v>0.13942307692307693</v>
      </c>
      <c r="T176" s="33">
        <f t="shared" si="288"/>
        <v>-0.9171038824763903</v>
      </c>
      <c r="U176" s="112">
        <v>2</v>
      </c>
      <c r="V176" s="112">
        <v>11</v>
      </c>
      <c r="W176" s="33" t="e">
        <f t="shared" si="289"/>
        <v>#DIV/0!</v>
      </c>
      <c r="X176" s="33">
        <f t="shared" si="290"/>
        <v>-0.81818181818181823</v>
      </c>
      <c r="Y176" s="113">
        <f t="shared" si="502"/>
        <v>8.4388185654008432E-3</v>
      </c>
      <c r="Z176" s="113">
        <f t="shared" si="502"/>
        <v>3.8474991255683807E-3</v>
      </c>
      <c r="AA176" s="33" t="e">
        <f t="shared" si="291"/>
        <v>#DIV/0!</v>
      </c>
      <c r="AB176" s="33">
        <f t="shared" si="292"/>
        <v>1.1933256616800918</v>
      </c>
      <c r="AC176" s="114">
        <f t="shared" si="17"/>
        <v>101.5</v>
      </c>
      <c r="AD176" s="114">
        <f t="shared" si="17"/>
        <v>104</v>
      </c>
      <c r="AE176" s="33" t="e">
        <f t="shared" si="293"/>
        <v>#DIV/0!</v>
      </c>
      <c r="AF176" s="33">
        <f t="shared" si="294"/>
        <v>-2.403846153846154E-2</v>
      </c>
      <c r="AG176" s="112">
        <v>183</v>
      </c>
      <c r="AH176" s="112">
        <f>2358+191</f>
        <v>2549</v>
      </c>
      <c r="AI176" s="33">
        <f t="shared" si="295"/>
        <v>0.32608695652173914</v>
      </c>
      <c r="AJ176" s="33">
        <f t="shared" si="296"/>
        <v>-0.92820714005492355</v>
      </c>
      <c r="AK176" s="112">
        <v>2364</v>
      </c>
      <c r="AL176" s="112">
        <f>28292+2191</f>
        <v>30483</v>
      </c>
      <c r="AM176" s="150">
        <f t="shared" si="297"/>
        <v>0.2709677419354839</v>
      </c>
      <c r="AN176" s="267">
        <f t="shared" si="298"/>
        <v>-0.92244857789587642</v>
      </c>
      <c r="AO176" s="110">
        <f t="shared" si="11"/>
        <v>7.7411167512690351E-2</v>
      </c>
      <c r="AP176" s="110">
        <f t="shared" si="272"/>
        <v>8.3620378571662893E-2</v>
      </c>
      <c r="AQ176" s="33">
        <f t="shared" si="299"/>
        <v>4.3367909953652632E-2</v>
      </c>
      <c r="AR176" s="33">
        <f t="shared" si="300"/>
        <v>-7.425475900771282E-2</v>
      </c>
      <c r="AS176" s="68"/>
    </row>
    <row r="177" spans="1:45" s="81" customFormat="1" ht="15.75" x14ac:dyDescent="0.25">
      <c r="A177" s="260" t="s">
        <v>78</v>
      </c>
      <c r="B177" s="260" t="s">
        <v>82</v>
      </c>
      <c r="C177" s="261">
        <f t="shared" si="465"/>
        <v>43035</v>
      </c>
      <c r="D177" s="260" t="s">
        <v>228</v>
      </c>
      <c r="E177" s="109">
        <v>2578</v>
      </c>
      <c r="F177" s="109"/>
      <c r="G177" s="33">
        <f t="shared" si="279"/>
        <v>1.6160819865983445E-2</v>
      </c>
      <c r="H177" s="33" t="e">
        <f t="shared" si="280"/>
        <v>#DIV/0!</v>
      </c>
      <c r="I177" s="109">
        <v>1584.9</v>
      </c>
      <c r="J177" s="111"/>
      <c r="K177" s="33">
        <f t="shared" si="281"/>
        <v>-8.1749710312862059E-2</v>
      </c>
      <c r="L177" s="33" t="e">
        <f t="shared" si="282"/>
        <v>#DIV/0!</v>
      </c>
      <c r="M177" s="111">
        <f>E177/I177</f>
        <v>1.626601047384693</v>
      </c>
      <c r="N177" s="111"/>
      <c r="O177" s="33">
        <f t="shared" si="285"/>
        <v>0.10662727937957429</v>
      </c>
      <c r="P177" s="33" t="e">
        <f t="shared" si="286"/>
        <v>#DIV/0!</v>
      </c>
      <c r="Q177" s="112">
        <v>5817</v>
      </c>
      <c r="R177" s="112"/>
      <c r="S177" s="33">
        <f t="shared" si="287"/>
        <v>-0.14644167278063097</v>
      </c>
      <c r="T177" s="33" t="e">
        <f t="shared" si="288"/>
        <v>#DIV/0!</v>
      </c>
      <c r="U177" s="112">
        <v>28</v>
      </c>
      <c r="V177" s="112"/>
      <c r="W177" s="33">
        <f t="shared" si="289"/>
        <v>-6.6666666666666666E-2</v>
      </c>
      <c r="X177" s="33" t="e">
        <f t="shared" si="290"/>
        <v>#DIV/0!</v>
      </c>
      <c r="Y177" s="113">
        <f t="shared" si="502"/>
        <v>4.8134777376654635E-3</v>
      </c>
      <c r="Z177" s="113"/>
      <c r="AA177" s="33">
        <f t="shared" si="291"/>
        <v>9.3461692739671115E-2</v>
      </c>
      <c r="AB177" s="33" t="e">
        <f t="shared" si="292"/>
        <v>#DIV/0!</v>
      </c>
      <c r="AC177" s="114">
        <f t="shared" si="17"/>
        <v>92.071428571428569</v>
      </c>
      <c r="AD177" s="114"/>
      <c r="AE177" s="33">
        <f t="shared" si="293"/>
        <v>8.8743735570696577E-2</v>
      </c>
      <c r="AF177" s="33" t="e">
        <f t="shared" si="294"/>
        <v>#DIV/0!</v>
      </c>
      <c r="AG177" s="112">
        <v>5639</v>
      </c>
      <c r="AH177" s="112"/>
      <c r="AI177" s="33">
        <f t="shared" si="295"/>
        <v>-0.14728564947830031</v>
      </c>
      <c r="AJ177" s="33" t="e">
        <f t="shared" si="296"/>
        <v>#DIV/0!</v>
      </c>
      <c r="AK177" s="112">
        <v>255070</v>
      </c>
      <c r="AL177" s="112"/>
      <c r="AM177" s="150">
        <f t="shared" si="297"/>
        <v>-0.14218933916260298</v>
      </c>
      <c r="AN177" s="267" t="e">
        <f t="shared" si="298"/>
        <v>#DIV/0!</v>
      </c>
      <c r="AO177" s="110">
        <f t="shared" si="11"/>
        <v>2.2107656721684243E-2</v>
      </c>
      <c r="AP177" s="110"/>
      <c r="AQ177" s="33">
        <f t="shared" si="299"/>
        <v>-5.9410666576727262E-3</v>
      </c>
      <c r="AR177" s="33" t="e">
        <f t="shared" si="300"/>
        <v>#DIV/0!</v>
      </c>
      <c r="AS177" s="68"/>
    </row>
    <row r="178" spans="1:45" s="108" customFormat="1" ht="15.75" customHeight="1" x14ac:dyDescent="0.3">
      <c r="A178" s="272" t="s">
        <v>83</v>
      </c>
      <c r="B178" s="272" t="s">
        <v>84</v>
      </c>
      <c r="C178" s="273">
        <f t="shared" si="465"/>
        <v>43042</v>
      </c>
      <c r="D178" s="274" t="s">
        <v>28</v>
      </c>
      <c r="E178" s="115">
        <f>SUM(E179:E181)</f>
        <v>21472</v>
      </c>
      <c r="F178" s="115">
        <f>SUM(F179:F181)</f>
        <v>10055</v>
      </c>
      <c r="G178" s="116">
        <f t="shared" ref="G178" si="505">(E178-E174)/E174</f>
        <v>0.65080341354655191</v>
      </c>
      <c r="H178" s="116">
        <f t="shared" ref="H178" si="506">(E178-F178)/F178</f>
        <v>1.1354549975136747</v>
      </c>
      <c r="I178" s="115">
        <f>SUM(I179:I181)</f>
        <v>4052.5</v>
      </c>
      <c r="J178" s="115">
        <f>SUM(J179:J181)</f>
        <v>5141.8</v>
      </c>
      <c r="K178" s="116">
        <f t="shared" ref="K178" si="507">(I178-I174)/I174</f>
        <v>0.34089284768913136</v>
      </c>
      <c r="L178" s="116">
        <f t="shared" ref="L178" si="508">(I178-J178)/J178</f>
        <v>-0.21185188066435881</v>
      </c>
      <c r="M178" s="117">
        <f t="shared" ref="M178" si="509">E178/I178</f>
        <v>5.2984577421344845</v>
      </c>
      <c r="N178" s="117">
        <f t="shared" ref="N178" si="510">F178/J178</f>
        <v>1.9555408611770198</v>
      </c>
      <c r="O178" s="116">
        <f t="shared" ref="O178" si="511">(M178-M174)/M174</f>
        <v>0.23112254375248126</v>
      </c>
      <c r="P178" s="116">
        <f t="shared" ref="P178" si="512">(M178-N178)/N178</f>
        <v>1.709458977474599</v>
      </c>
      <c r="Q178" s="118">
        <f>SUM(Q179:Q181)</f>
        <v>16909</v>
      </c>
      <c r="R178" s="118">
        <f>SUM(R179:R181)</f>
        <v>8875</v>
      </c>
      <c r="S178" s="116">
        <f t="shared" ref="S178" si="513">(Q178-Q174)/Q174</f>
        <v>0.41450560481847082</v>
      </c>
      <c r="T178" s="116">
        <f t="shared" ref="T178" si="514">(Q178-R178)/R178</f>
        <v>0.90523943661971829</v>
      </c>
      <c r="U178" s="118">
        <f>SUM(U179:U181)</f>
        <v>187</v>
      </c>
      <c r="V178" s="118">
        <f>SUM(V179:V181)</f>
        <v>90</v>
      </c>
      <c r="W178" s="116">
        <f t="shared" ref="W178" si="515">(U178-U174)/U174</f>
        <v>-0.19742489270386265</v>
      </c>
      <c r="X178" s="116">
        <f t="shared" ref="X178" si="516">(U178-V178)/V178</f>
        <v>1.0777777777777777</v>
      </c>
      <c r="Y178" s="119">
        <f t="shared" ref="Y178" si="517">U178/Q178</f>
        <v>1.1059199243006683E-2</v>
      </c>
      <c r="Z178" s="119">
        <f t="shared" ref="Z178" si="518">V178/R178</f>
        <v>1.0140845070422535E-2</v>
      </c>
      <c r="AA178" s="116">
        <f t="shared" ref="AA178" si="519">(Y178-Y174)/Y174</f>
        <v>-0.43261086802188031</v>
      </c>
      <c r="AB178" s="116">
        <f t="shared" ref="AB178" si="520">(Y178-Z178)/Z178</f>
        <v>9.0559925352047932E-2</v>
      </c>
      <c r="AC178" s="120">
        <f t="shared" ref="AC178" si="521">E178/U178</f>
        <v>114.82352941176471</v>
      </c>
      <c r="AD178" s="275">
        <f t="shared" ref="AD178" si="522">F178/V178</f>
        <v>111.72222222222223</v>
      </c>
      <c r="AE178" s="116">
        <f t="shared" ref="AE178" si="523">(AC178-AC174)/AC174</f>
        <v>1.0568833976275218</v>
      </c>
      <c r="AF178" s="116">
        <f t="shared" ref="AF178" si="524">(AC178-AD178)/AD178</f>
        <v>2.775908971246378E-2</v>
      </c>
      <c r="AG178" s="118">
        <f>SUM(AG179:AG181)</f>
        <v>14422</v>
      </c>
      <c r="AH178" s="118">
        <f>SUM(AH179:AH181)</f>
        <v>7634</v>
      </c>
      <c r="AI178" s="116">
        <f t="shared" ref="AI178" si="525">(AG178-AG174)/AG174</f>
        <v>0.45119742402897967</v>
      </c>
      <c r="AJ178" s="116">
        <f t="shared" ref="AJ178" si="526">(AG178-AH178)/AH178</f>
        <v>0.88917998428084888</v>
      </c>
      <c r="AK178" s="118">
        <f>SUM(AK179:AK181)</f>
        <v>397596</v>
      </c>
      <c r="AL178" s="118">
        <f>SUM(AL179:AL181)</f>
        <v>55186</v>
      </c>
      <c r="AM178" s="276">
        <f t="shared" ref="AM178" si="527">(AK178-AK174)/AK174</f>
        <v>0.471416993260872</v>
      </c>
      <c r="AN178" s="277">
        <f t="shared" ref="AN178" si="528">(AK178-AL178)/AL178</f>
        <v>6.2046533541115503</v>
      </c>
      <c r="AO178" s="116">
        <f t="shared" ref="AO178" si="529">AG178/AK178</f>
        <v>3.6273000734413828E-2</v>
      </c>
      <c r="AP178" s="116">
        <f t="shared" ref="AP178" si="530">AH178/AL178</f>
        <v>0.13833218569927155</v>
      </c>
      <c r="AQ178" s="116">
        <f t="shared" ref="AQ178" si="531">(AO178-AO174)/AO174</f>
        <v>-1.3741562945445363E-2</v>
      </c>
      <c r="AR178" s="116">
        <f t="shared" ref="AR178" si="532">(AO178-AP178)/AP178</f>
        <v>-0.7377833614711341</v>
      </c>
      <c r="AS178" s="106"/>
    </row>
    <row r="179" spans="1:45" s="81" customFormat="1" ht="15.75" x14ac:dyDescent="0.25">
      <c r="A179" s="260" t="s">
        <v>83</v>
      </c>
      <c r="B179" s="260" t="s">
        <v>84</v>
      </c>
      <c r="C179" s="261">
        <f t="shared" si="465"/>
        <v>43042</v>
      </c>
      <c r="D179" s="260" t="s">
        <v>29</v>
      </c>
      <c r="E179" s="109">
        <v>18820</v>
      </c>
      <c r="F179" s="109">
        <v>8858</v>
      </c>
      <c r="G179" s="33">
        <f t="shared" si="279"/>
        <v>0.84040680618032471</v>
      </c>
      <c r="H179" s="33">
        <f t="shared" si="280"/>
        <v>1.1246331000225784</v>
      </c>
      <c r="I179" s="109">
        <f>1314.48+253.73</f>
        <v>1568.21</v>
      </c>
      <c r="J179" s="111">
        <f>945.26+30.92</f>
        <v>976.18</v>
      </c>
      <c r="K179" s="33">
        <f t="shared" si="281"/>
        <v>0.26612519074108476</v>
      </c>
      <c r="L179" s="33">
        <f t="shared" si="282"/>
        <v>0.60647626462332782</v>
      </c>
      <c r="M179" s="111">
        <f t="shared" si="503"/>
        <v>12.000943751155775</v>
      </c>
      <c r="N179" s="111">
        <f t="shared" si="504"/>
        <v>9.0741461615685637</v>
      </c>
      <c r="O179" s="33">
        <f t="shared" si="285"/>
        <v>0.45357411702953565</v>
      </c>
      <c r="P179" s="33">
        <f t="shared" si="286"/>
        <v>0.3225424780992599</v>
      </c>
      <c r="Q179" s="112">
        <v>8020</v>
      </c>
      <c r="R179" s="112">
        <v>5539</v>
      </c>
      <c r="S179" s="33">
        <f t="shared" si="287"/>
        <v>0.35932203389830508</v>
      </c>
      <c r="T179" s="33">
        <f t="shared" si="288"/>
        <v>0.44791478606246615</v>
      </c>
      <c r="U179" s="112">
        <v>155</v>
      </c>
      <c r="V179" s="112">
        <v>78</v>
      </c>
      <c r="W179" s="33">
        <f t="shared" si="289"/>
        <v>-0.23645320197044334</v>
      </c>
      <c r="X179" s="33">
        <f t="shared" si="290"/>
        <v>0.98717948717948723</v>
      </c>
      <c r="Y179" s="113">
        <f t="shared" si="502"/>
        <v>1.9326683291770574E-2</v>
      </c>
      <c r="Z179" s="113">
        <f t="shared" si="502"/>
        <v>1.4081964253475356E-2</v>
      </c>
      <c r="AA179" s="33">
        <f t="shared" si="291"/>
        <v>-0.43828851516528872</v>
      </c>
      <c r="AB179" s="33">
        <f t="shared" si="292"/>
        <v>0.37244229170663096</v>
      </c>
      <c r="AC179" s="114">
        <f t="shared" si="17"/>
        <v>121.41935483870968</v>
      </c>
      <c r="AD179" s="114">
        <f t="shared" si="17"/>
        <v>113.56410256410257</v>
      </c>
      <c r="AE179" s="33">
        <f t="shared" si="293"/>
        <v>1.4103392364813285</v>
      </c>
      <c r="AF179" s="33">
        <f t="shared" si="294"/>
        <v>6.9170205172652363E-2</v>
      </c>
      <c r="AG179" s="112">
        <f>5167+341</f>
        <v>5508</v>
      </c>
      <c r="AH179" s="112">
        <f>3987+200</f>
        <v>4187</v>
      </c>
      <c r="AI179" s="33">
        <f t="shared" si="295"/>
        <v>0.33819241982507287</v>
      </c>
      <c r="AJ179" s="33">
        <f t="shared" si="296"/>
        <v>0.31550035825173156</v>
      </c>
      <c r="AK179" s="112">
        <f>15980+764</f>
        <v>16744</v>
      </c>
      <c r="AL179" s="112">
        <f>9258+425</f>
        <v>9683</v>
      </c>
      <c r="AM179" s="150">
        <f t="shared" si="297"/>
        <v>0.31027466937945064</v>
      </c>
      <c r="AN179" s="267">
        <f t="shared" si="298"/>
        <v>0.72921615201900236</v>
      </c>
      <c r="AO179" s="110">
        <f t="shared" si="11"/>
        <v>0.32895365504061158</v>
      </c>
      <c r="AP179" s="110">
        <f t="shared" si="272"/>
        <v>0.43240731178353814</v>
      </c>
      <c r="AQ179" s="33">
        <f t="shared" si="299"/>
        <v>2.1306792459663562E-2</v>
      </c>
      <c r="AR179" s="33">
        <f t="shared" si="300"/>
        <v>-0.23925047963739143</v>
      </c>
      <c r="AS179" s="68"/>
    </row>
    <row r="180" spans="1:45" s="81" customFormat="1" ht="15.75" x14ac:dyDescent="0.25">
      <c r="A180" s="260" t="s">
        <v>83</v>
      </c>
      <c r="B180" s="260" t="s">
        <v>84</v>
      </c>
      <c r="C180" s="261">
        <f t="shared" si="465"/>
        <v>43042</v>
      </c>
      <c r="D180" s="260" t="s">
        <v>30</v>
      </c>
      <c r="E180" s="109">
        <v>158</v>
      </c>
      <c r="F180" s="109">
        <v>1197</v>
      </c>
      <c r="G180" s="33">
        <f t="shared" si="279"/>
        <v>-0.22167487684729065</v>
      </c>
      <c r="H180" s="33">
        <f t="shared" si="280"/>
        <v>-0.86800334168755222</v>
      </c>
      <c r="I180" s="109">
        <v>458.81</v>
      </c>
      <c r="J180" s="111">
        <f>3962.4+203.22</f>
        <v>4165.62</v>
      </c>
      <c r="K180" s="33">
        <f t="shared" si="281"/>
        <v>1.3084779874213837</v>
      </c>
      <c r="L180" s="33">
        <f t="shared" si="282"/>
        <v>-0.88985793231259691</v>
      </c>
      <c r="M180" s="111">
        <f t="shared" si="503"/>
        <v>0.34436912883328613</v>
      </c>
      <c r="N180" s="111">
        <f t="shared" si="504"/>
        <v>0.28735218286833653</v>
      </c>
      <c r="O180" s="33">
        <f t="shared" si="285"/>
        <v>-0.6628405696767703</v>
      </c>
      <c r="P180" s="33">
        <f t="shared" si="286"/>
        <v>0.19842182995030358</v>
      </c>
      <c r="Q180" s="112">
        <v>404</v>
      </c>
      <c r="R180" s="112">
        <v>3336</v>
      </c>
      <c r="S180" s="33">
        <f t="shared" si="287"/>
        <v>0.70464135021097052</v>
      </c>
      <c r="T180" s="33">
        <f t="shared" si="288"/>
        <v>-0.87889688249400477</v>
      </c>
      <c r="U180" s="112">
        <v>1</v>
      </c>
      <c r="V180" s="112">
        <v>12</v>
      </c>
      <c r="W180" s="33">
        <f t="shared" si="289"/>
        <v>-0.5</v>
      </c>
      <c r="X180" s="33">
        <f t="shared" si="290"/>
        <v>-0.91666666666666663</v>
      </c>
      <c r="Y180" s="113">
        <f t="shared" si="502"/>
        <v>2.4752475247524753E-3</v>
      </c>
      <c r="Z180" s="113">
        <f t="shared" si="502"/>
        <v>3.5971223021582736E-3</v>
      </c>
      <c r="AA180" s="33">
        <f t="shared" si="291"/>
        <v>-0.70668316831683164</v>
      </c>
      <c r="AB180" s="33">
        <f t="shared" si="292"/>
        <v>-0.31188118811881194</v>
      </c>
      <c r="AC180" s="114">
        <f t="shared" si="17"/>
        <v>158</v>
      </c>
      <c r="AD180" s="114">
        <f t="shared" si="17"/>
        <v>99.75</v>
      </c>
      <c r="AE180" s="33">
        <f t="shared" si="293"/>
        <v>0.55665024630541871</v>
      </c>
      <c r="AF180" s="33">
        <f t="shared" si="294"/>
        <v>0.58395989974937346</v>
      </c>
      <c r="AG180" s="112">
        <v>384</v>
      </c>
      <c r="AH180" s="112">
        <f>3207+240</f>
        <v>3447</v>
      </c>
      <c r="AI180" s="33">
        <f t="shared" si="295"/>
        <v>1.098360655737705</v>
      </c>
      <c r="AJ180" s="33">
        <f t="shared" si="296"/>
        <v>-0.88859878154917316</v>
      </c>
      <c r="AK180" s="112">
        <v>4355</v>
      </c>
      <c r="AL180" s="112">
        <f>43146+2357</f>
        <v>45503</v>
      </c>
      <c r="AM180" s="150">
        <f t="shared" si="297"/>
        <v>0.84221658206429784</v>
      </c>
      <c r="AN180" s="267">
        <f t="shared" si="298"/>
        <v>-0.90429202470166803</v>
      </c>
      <c r="AO180" s="110">
        <f t="shared" si="11"/>
        <v>8.8174512055109067E-2</v>
      </c>
      <c r="AP180" s="110">
        <f t="shared" si="272"/>
        <v>7.5753247038656796E-2</v>
      </c>
      <c r="AQ180" s="33">
        <f t="shared" si="299"/>
        <v>0.13904123769550733</v>
      </c>
      <c r="AR180" s="33">
        <f t="shared" si="300"/>
        <v>0.1639700673175595</v>
      </c>
      <c r="AS180" s="68"/>
    </row>
    <row r="181" spans="1:45" s="81" customFormat="1" ht="15.75" x14ac:dyDescent="0.25">
      <c r="A181" s="260" t="s">
        <v>83</v>
      </c>
      <c r="B181" s="260" t="s">
        <v>84</v>
      </c>
      <c r="C181" s="261">
        <f t="shared" si="465"/>
        <v>43042</v>
      </c>
      <c r="D181" s="260" t="s">
        <v>228</v>
      </c>
      <c r="E181" s="109">
        <v>2494</v>
      </c>
      <c r="F181" s="109"/>
      <c r="G181" s="33">
        <f t="shared" si="279"/>
        <v>-3.2583397982932506E-2</v>
      </c>
      <c r="H181" s="33" t="e">
        <f t="shared" si="280"/>
        <v>#DIV/0!</v>
      </c>
      <c r="I181" s="109">
        <v>2025.48</v>
      </c>
      <c r="J181" s="111"/>
      <c r="K181" s="33">
        <f t="shared" si="281"/>
        <v>0.27798599280711711</v>
      </c>
      <c r="L181" s="33" t="e">
        <f t="shared" si="282"/>
        <v>#DIV/0!</v>
      </c>
      <c r="M181" s="111">
        <f t="shared" si="503"/>
        <v>1.2313130714694789</v>
      </c>
      <c r="N181" s="111"/>
      <c r="O181" s="33">
        <f t="shared" si="285"/>
        <v>-0.24301470637239056</v>
      </c>
      <c r="P181" s="33" t="e">
        <f t="shared" si="286"/>
        <v>#DIV/0!</v>
      </c>
      <c r="Q181" s="112">
        <v>8485</v>
      </c>
      <c r="R181" s="112"/>
      <c r="S181" s="33">
        <f t="shared" si="287"/>
        <v>0.4586556644318377</v>
      </c>
      <c r="T181" s="33" t="e">
        <f t="shared" si="288"/>
        <v>#DIV/0!</v>
      </c>
      <c r="U181" s="112">
        <v>31</v>
      </c>
      <c r="V181" s="112"/>
      <c r="W181" s="33">
        <f t="shared" si="289"/>
        <v>0.10714285714285714</v>
      </c>
      <c r="X181" s="33" t="e">
        <f t="shared" si="290"/>
        <v>#DIV/0!</v>
      </c>
      <c r="Y181" s="113">
        <f t="shared" si="502"/>
        <v>3.653506187389511E-3</v>
      </c>
      <c r="Z181" s="113"/>
      <c r="AA181" s="33">
        <f t="shared" si="291"/>
        <v>-0.24098408956982911</v>
      </c>
      <c r="AB181" s="33" t="e">
        <f t="shared" si="292"/>
        <v>#DIV/0!</v>
      </c>
      <c r="AC181" s="114">
        <f t="shared" si="17"/>
        <v>80.451612903225808</v>
      </c>
      <c r="AD181" s="114"/>
      <c r="AE181" s="33">
        <f t="shared" si="293"/>
        <v>-0.12620435946845512</v>
      </c>
      <c r="AF181" s="33" t="e">
        <f t="shared" si="294"/>
        <v>#DIV/0!</v>
      </c>
      <c r="AG181" s="112">
        <v>8530</v>
      </c>
      <c r="AH181" s="112"/>
      <c r="AI181" s="33">
        <f t="shared" si="295"/>
        <v>0.51267955311225399</v>
      </c>
      <c r="AJ181" s="33" t="e">
        <f t="shared" si="296"/>
        <v>#DIV/0!</v>
      </c>
      <c r="AK181" s="112">
        <v>376497</v>
      </c>
      <c r="AL181" s="112"/>
      <c r="AM181" s="150">
        <f t="shared" si="297"/>
        <v>0.47605363233622144</v>
      </c>
      <c r="AN181" s="267" t="e">
        <f t="shared" si="298"/>
        <v>#DIV/0!</v>
      </c>
      <c r="AO181" s="110">
        <f t="shared" si="11"/>
        <v>2.2656223024353446E-2</v>
      </c>
      <c r="AP181" s="110"/>
      <c r="AQ181" s="33">
        <f t="shared" si="299"/>
        <v>2.4813407842141068E-2</v>
      </c>
      <c r="AR181" s="33" t="e">
        <f t="shared" si="300"/>
        <v>#DIV/0!</v>
      </c>
      <c r="AS181" s="68"/>
    </row>
    <row r="182" spans="1:45" s="81" customFormat="1" ht="15.75" customHeight="1" x14ac:dyDescent="0.3">
      <c r="A182" s="29" t="s">
        <v>83</v>
      </c>
      <c r="B182" s="29" t="s">
        <v>85</v>
      </c>
      <c r="C182" s="30">
        <f t="shared" si="465"/>
        <v>43049</v>
      </c>
      <c r="D182" s="31" t="s">
        <v>28</v>
      </c>
      <c r="E182" s="32">
        <f>SUM(E183:E185)</f>
        <v>20208</v>
      </c>
      <c r="F182" s="32">
        <f>SUM(F183:F185)</f>
        <v>9887</v>
      </c>
      <c r="G182" s="33">
        <f t="shared" si="279"/>
        <v>-5.8867362146050671E-2</v>
      </c>
      <c r="H182" s="33">
        <f t="shared" si="280"/>
        <v>1.0438960250834428</v>
      </c>
      <c r="I182" s="32">
        <f>SUM(I183:I185)</f>
        <v>4937</v>
      </c>
      <c r="J182" s="32">
        <f>SUM(J183:J185)</f>
        <v>6521.13</v>
      </c>
      <c r="K182" s="33">
        <f t="shared" si="281"/>
        <v>0.21826033312769896</v>
      </c>
      <c r="L182" s="33">
        <f t="shared" si="282"/>
        <v>-0.24292262230625675</v>
      </c>
      <c r="M182" s="34">
        <f t="shared" ref="M182" si="533">E182/I182</f>
        <v>4.0931739923030177</v>
      </c>
      <c r="N182" s="34">
        <f t="shared" ref="N182" si="534">F182/J182</f>
        <v>1.5161482749155437</v>
      </c>
      <c r="O182" s="33">
        <f t="shared" si="285"/>
        <v>-0.22747822262444203</v>
      </c>
      <c r="P182" s="33">
        <f t="shared" si="286"/>
        <v>1.699718794015068</v>
      </c>
      <c r="Q182" s="35">
        <f>SUM(Q183:Q185)</f>
        <v>18120</v>
      </c>
      <c r="R182" s="35">
        <f>SUM(R183:R185)</f>
        <v>10954</v>
      </c>
      <c r="S182" s="33">
        <f t="shared" si="287"/>
        <v>7.1618664616476438E-2</v>
      </c>
      <c r="T182" s="33">
        <f t="shared" si="288"/>
        <v>0.65419025013693632</v>
      </c>
      <c r="U182" s="35">
        <f>SUM(U183:U185)</f>
        <v>173</v>
      </c>
      <c r="V182" s="35">
        <f>SUM(V183:V185)</f>
        <v>97</v>
      </c>
      <c r="W182" s="33">
        <f t="shared" si="289"/>
        <v>-7.4866310160427801E-2</v>
      </c>
      <c r="X182" s="33">
        <f t="shared" si="290"/>
        <v>0.78350515463917525</v>
      </c>
      <c r="Y182" s="88">
        <f t="shared" ref="Y182" si="535">U182/Q182</f>
        <v>9.5474613686534222E-3</v>
      </c>
      <c r="Z182" s="88">
        <f t="shared" ref="Z182" si="536">V182/R182</f>
        <v>8.85521270768669E-3</v>
      </c>
      <c r="AA182" s="33">
        <f t="shared" si="291"/>
        <v>-0.13669505731250955</v>
      </c>
      <c r="AB182" s="33">
        <f t="shared" si="292"/>
        <v>7.8174142600304988E-2</v>
      </c>
      <c r="AC182" s="97">
        <f t="shared" ref="AC182" si="537">E182/U182</f>
        <v>116.8092485549133</v>
      </c>
      <c r="AD182" s="145">
        <f t="shared" ref="AD182" si="538">F182/V182</f>
        <v>101.9278350515464</v>
      </c>
      <c r="AE182" s="33">
        <f t="shared" si="293"/>
        <v>1.7293660570453874E-2</v>
      </c>
      <c r="AF182" s="33">
        <f t="shared" si="294"/>
        <v>0.14599950539360668</v>
      </c>
      <c r="AG182" s="35">
        <f>SUM(AG183:AG185)</f>
        <v>15673</v>
      </c>
      <c r="AH182" s="35">
        <f>SUM(AH183:AH185)</f>
        <v>9318</v>
      </c>
      <c r="AI182" s="33">
        <f t="shared" si="295"/>
        <v>8.674247677159895E-2</v>
      </c>
      <c r="AJ182" s="33">
        <f t="shared" si="296"/>
        <v>0.68201330757673317</v>
      </c>
      <c r="AK182" s="35">
        <f>SUM(AK183:AK185)</f>
        <v>442714</v>
      </c>
      <c r="AL182" s="35">
        <f>SUM(AL183:AL185)</f>
        <v>74655</v>
      </c>
      <c r="AM182" s="150">
        <f t="shared" si="297"/>
        <v>0.11347699675047032</v>
      </c>
      <c r="AN182" s="267">
        <f t="shared" si="298"/>
        <v>4.9301319402585229</v>
      </c>
      <c r="AO182" s="33">
        <f t="shared" ref="AO182" si="539">AG182/AK182</f>
        <v>3.540208802974381E-2</v>
      </c>
      <c r="AP182" s="33">
        <f t="shared" ref="AP182" si="540">AH182/AL182</f>
        <v>0.12481414506730962</v>
      </c>
      <c r="AQ182" s="33">
        <f t="shared" si="299"/>
        <v>-2.4009943678129288E-2</v>
      </c>
      <c r="AR182" s="33">
        <f t="shared" si="300"/>
        <v>-0.71636157095293784</v>
      </c>
      <c r="AS182" s="68"/>
    </row>
    <row r="183" spans="1:45" s="81" customFormat="1" ht="15.75" x14ac:dyDescent="0.25">
      <c r="A183" s="260" t="s">
        <v>83</v>
      </c>
      <c r="B183" s="260" t="s">
        <v>85</v>
      </c>
      <c r="C183" s="261">
        <f t="shared" si="465"/>
        <v>43049</v>
      </c>
      <c r="D183" s="260" t="s">
        <v>29</v>
      </c>
      <c r="E183" s="109">
        <v>15416</v>
      </c>
      <c r="F183" s="109">
        <v>8961</v>
      </c>
      <c r="G183" s="33">
        <f t="shared" si="279"/>
        <v>-0.18087141339001062</v>
      </c>
      <c r="H183" s="33">
        <f t="shared" si="280"/>
        <v>0.72034371163932598</v>
      </c>
      <c r="I183" s="109">
        <f>283.23+1250.74</f>
        <v>1533.97</v>
      </c>
      <c r="J183" s="111">
        <f>1250.94+39.19</f>
        <v>1290.1300000000001</v>
      </c>
      <c r="K183" s="33">
        <f t="shared" si="281"/>
        <v>-2.1833810522825393E-2</v>
      </c>
      <c r="L183" s="33">
        <f t="shared" si="282"/>
        <v>0.18900420887817498</v>
      </c>
      <c r="M183" s="111">
        <f t="shared" si="503"/>
        <v>10.049740216562252</v>
      </c>
      <c r="N183" s="111">
        <f t="shared" si="504"/>
        <v>6.9458116623906117</v>
      </c>
      <c r="O183" s="33">
        <f t="shared" si="285"/>
        <v>-0.16258750770376773</v>
      </c>
      <c r="P183" s="33">
        <f t="shared" si="286"/>
        <v>0.4468777307882445</v>
      </c>
      <c r="Q183" s="112">
        <v>8118</v>
      </c>
      <c r="R183" s="112">
        <v>6520</v>
      </c>
      <c r="S183" s="33">
        <f t="shared" si="287"/>
        <v>1.2219451371571072E-2</v>
      </c>
      <c r="T183" s="33">
        <f t="shared" si="288"/>
        <v>0.2450920245398773</v>
      </c>
      <c r="U183" s="112">
        <v>121</v>
      </c>
      <c r="V183" s="112">
        <v>90</v>
      </c>
      <c r="W183" s="33">
        <f t="shared" si="289"/>
        <v>-0.21935483870967742</v>
      </c>
      <c r="X183" s="33">
        <f t="shared" si="290"/>
        <v>0.34444444444444444</v>
      </c>
      <c r="Y183" s="113">
        <f t="shared" si="502"/>
        <v>1.4905149051490514E-2</v>
      </c>
      <c r="Z183" s="113">
        <f t="shared" si="502"/>
        <v>1.3803680981595092E-2</v>
      </c>
      <c r="AA183" s="33">
        <f t="shared" si="291"/>
        <v>-0.22877873940029725</v>
      </c>
      <c r="AB183" s="33">
        <f t="shared" si="292"/>
        <v>7.9795242396868374E-2</v>
      </c>
      <c r="AC183" s="114">
        <f t="shared" si="17"/>
        <v>127.40495867768595</v>
      </c>
      <c r="AD183" s="114">
        <f t="shared" si="17"/>
        <v>99.566666666666663</v>
      </c>
      <c r="AE183" s="33">
        <f t="shared" si="293"/>
        <v>4.929694978965582E-2</v>
      </c>
      <c r="AF183" s="33">
        <f t="shared" si="294"/>
        <v>0.27959449626065574</v>
      </c>
      <c r="AG183" s="112">
        <f>331+5374</f>
        <v>5705</v>
      </c>
      <c r="AH183" s="112">
        <f>4790+251</f>
        <v>5041</v>
      </c>
      <c r="AI183" s="33">
        <f t="shared" si="295"/>
        <v>3.5766158315177925E-2</v>
      </c>
      <c r="AJ183" s="33">
        <f t="shared" si="296"/>
        <v>0.13171989684586391</v>
      </c>
      <c r="AK183" s="112">
        <f>652+16471</f>
        <v>17123</v>
      </c>
      <c r="AL183" s="112">
        <f>10590+539</f>
        <v>11129</v>
      </c>
      <c r="AM183" s="150">
        <f t="shared" si="297"/>
        <v>2.2634973721930244E-2</v>
      </c>
      <c r="AN183" s="267">
        <f t="shared" si="298"/>
        <v>0.5385928654865666</v>
      </c>
      <c r="AO183" s="110">
        <f t="shared" si="11"/>
        <v>0.33317759738363606</v>
      </c>
      <c r="AP183" s="110">
        <f t="shared" si="272"/>
        <v>0.45296073321951658</v>
      </c>
      <c r="AQ183" s="33">
        <f t="shared" si="299"/>
        <v>1.284053932309402E-2</v>
      </c>
      <c r="AR183" s="33">
        <f t="shared" si="300"/>
        <v>-0.26444485592491851</v>
      </c>
      <c r="AS183" s="68"/>
    </row>
    <row r="184" spans="1:45" s="81" customFormat="1" ht="15.75" x14ac:dyDescent="0.25">
      <c r="A184" s="260" t="s">
        <v>83</v>
      </c>
      <c r="B184" s="260" t="s">
        <v>85</v>
      </c>
      <c r="C184" s="261">
        <f t="shared" si="465"/>
        <v>43049</v>
      </c>
      <c r="D184" s="260" t="s">
        <v>30</v>
      </c>
      <c r="E184" s="109">
        <v>321</v>
      </c>
      <c r="F184" s="109">
        <v>926</v>
      </c>
      <c r="G184" s="33">
        <f t="shared" si="279"/>
        <v>1.0316455696202531</v>
      </c>
      <c r="H184" s="33">
        <f t="shared" si="280"/>
        <v>-0.6533477321814255</v>
      </c>
      <c r="I184" s="109">
        <v>676.28</v>
      </c>
      <c r="J184" s="111">
        <f>4990.62+240.38</f>
        <v>5231</v>
      </c>
      <c r="K184" s="33">
        <f t="shared" si="281"/>
        <v>0.47398705346439696</v>
      </c>
      <c r="L184" s="33">
        <f t="shared" si="282"/>
        <v>-0.87071688013764104</v>
      </c>
      <c r="M184" s="111">
        <f t="shared" si="503"/>
        <v>0.47465546814928727</v>
      </c>
      <c r="N184" s="111">
        <f t="shared" si="504"/>
        <v>0.17702160198814759</v>
      </c>
      <c r="O184" s="33">
        <f t="shared" si="285"/>
        <v>0.37833338823781315</v>
      </c>
      <c r="P184" s="33">
        <f t="shared" si="286"/>
        <v>1.6813420668346886</v>
      </c>
      <c r="Q184" s="112">
        <v>702</v>
      </c>
      <c r="R184" s="112">
        <v>4434</v>
      </c>
      <c r="S184" s="33">
        <f t="shared" si="287"/>
        <v>0.73762376237623761</v>
      </c>
      <c r="T184" s="33">
        <f t="shared" si="288"/>
        <v>-0.84167794316644118</v>
      </c>
      <c r="U184" s="112">
        <v>6</v>
      </c>
      <c r="V184" s="112">
        <v>7</v>
      </c>
      <c r="W184" s="33">
        <f t="shared" si="289"/>
        <v>5</v>
      </c>
      <c r="X184" s="33">
        <f t="shared" si="290"/>
        <v>-0.14285714285714285</v>
      </c>
      <c r="Y184" s="113">
        <f t="shared" si="502"/>
        <v>8.5470085470085479E-3</v>
      </c>
      <c r="Z184" s="113">
        <f t="shared" si="502"/>
        <v>1.5787099684258007E-3</v>
      </c>
      <c r="AA184" s="33">
        <f t="shared" si="291"/>
        <v>2.4529914529914532</v>
      </c>
      <c r="AB184" s="33">
        <f t="shared" si="292"/>
        <v>4.4139194139194142</v>
      </c>
      <c r="AC184" s="114">
        <f t="shared" si="17"/>
        <v>53.5</v>
      </c>
      <c r="AD184" s="114">
        <f t="shared" si="17"/>
        <v>132.28571428571428</v>
      </c>
      <c r="AE184" s="33">
        <f t="shared" si="293"/>
        <v>-0.66139240506329111</v>
      </c>
      <c r="AF184" s="33">
        <f t="shared" si="294"/>
        <v>-0.59557235421166299</v>
      </c>
      <c r="AG184" s="112">
        <v>679</v>
      </c>
      <c r="AH184" s="112">
        <f>4014+263</f>
        <v>4277</v>
      </c>
      <c r="AI184" s="33">
        <f t="shared" si="295"/>
        <v>0.76822916666666663</v>
      </c>
      <c r="AJ184" s="33">
        <f t="shared" si="296"/>
        <v>-0.84124386252045824</v>
      </c>
      <c r="AK184" s="112">
        <v>7008</v>
      </c>
      <c r="AL184" s="112">
        <f>61005+2521</f>
        <v>63526</v>
      </c>
      <c r="AM184" s="150">
        <f t="shared" si="297"/>
        <v>0.60918484500574055</v>
      </c>
      <c r="AN184" s="267">
        <f t="shared" si="298"/>
        <v>-0.88968296445549855</v>
      </c>
      <c r="AO184" s="110">
        <f t="shared" si="11"/>
        <v>9.6889269406392697E-2</v>
      </c>
      <c r="AP184" s="110">
        <f t="shared" si="272"/>
        <v>6.7326763844724996E-2</v>
      </c>
      <c r="AQ184" s="33">
        <f t="shared" si="299"/>
        <v>9.8835334023021387E-2</v>
      </c>
      <c r="AR184" s="33">
        <f t="shared" si="300"/>
        <v>0.43908995284323177</v>
      </c>
      <c r="AS184" s="68"/>
    </row>
    <row r="185" spans="1:45" s="81" customFormat="1" ht="15.75" x14ac:dyDescent="0.25">
      <c r="A185" s="260" t="s">
        <v>83</v>
      </c>
      <c r="B185" s="260" t="s">
        <v>85</v>
      </c>
      <c r="C185" s="261">
        <f t="shared" si="465"/>
        <v>43049</v>
      </c>
      <c r="D185" s="260" t="s">
        <v>228</v>
      </c>
      <c r="E185" s="109">
        <v>4471</v>
      </c>
      <c r="F185" s="109"/>
      <c r="G185" s="33">
        <f t="shared" si="279"/>
        <v>0.7927024859663192</v>
      </c>
      <c r="H185" s="33" t="e">
        <f t="shared" si="280"/>
        <v>#DIV/0!</v>
      </c>
      <c r="I185" s="109">
        <v>2726.75</v>
      </c>
      <c r="J185" s="111"/>
      <c r="K185" s="33">
        <f t="shared" si="281"/>
        <v>0.34622410490352901</v>
      </c>
      <c r="L185" s="33" t="e">
        <f t="shared" si="282"/>
        <v>#DIV/0!</v>
      </c>
      <c r="M185" s="111">
        <f t="shared" si="503"/>
        <v>1.6396809388466123</v>
      </c>
      <c r="N185" s="111"/>
      <c r="O185" s="33">
        <f t="shared" si="285"/>
        <v>0.33165234483361511</v>
      </c>
      <c r="P185" s="33" t="e">
        <f t="shared" si="286"/>
        <v>#DIV/0!</v>
      </c>
      <c r="Q185" s="112">
        <v>9300</v>
      </c>
      <c r="R185" s="112"/>
      <c r="S185" s="33">
        <f t="shared" si="287"/>
        <v>9.6051856216853276E-2</v>
      </c>
      <c r="T185" s="33" t="e">
        <f t="shared" si="288"/>
        <v>#DIV/0!</v>
      </c>
      <c r="U185" s="112">
        <v>46</v>
      </c>
      <c r="V185" s="112"/>
      <c r="W185" s="33">
        <f t="shared" si="289"/>
        <v>0.4838709677419355</v>
      </c>
      <c r="X185" s="33" t="e">
        <f t="shared" si="290"/>
        <v>#DIV/0!</v>
      </c>
      <c r="Y185" s="113">
        <f t="shared" si="502"/>
        <v>4.9462365591397854E-3</v>
      </c>
      <c r="Z185" s="113"/>
      <c r="AA185" s="33">
        <f t="shared" si="291"/>
        <v>0.35383281304197028</v>
      </c>
      <c r="AB185" s="33" t="e">
        <f t="shared" si="292"/>
        <v>#DIV/0!</v>
      </c>
      <c r="AC185" s="114">
        <f t="shared" si="17"/>
        <v>97.195652173913047</v>
      </c>
      <c r="AD185" s="114"/>
      <c r="AE185" s="33">
        <f t="shared" si="293"/>
        <v>0.20812558836860642</v>
      </c>
      <c r="AF185" s="33" t="e">
        <f t="shared" si="294"/>
        <v>#DIV/0!</v>
      </c>
      <c r="AG185" s="112">
        <v>9289</v>
      </c>
      <c r="AH185" s="112"/>
      <c r="AI185" s="33">
        <f t="shared" si="295"/>
        <v>8.8980070339976555E-2</v>
      </c>
      <c r="AJ185" s="33" t="e">
        <f t="shared" si="296"/>
        <v>#DIV/0!</v>
      </c>
      <c r="AK185" s="112">
        <v>418583</v>
      </c>
      <c r="AL185" s="112"/>
      <c r="AM185" s="150">
        <f t="shared" si="297"/>
        <v>0.11178309521722617</v>
      </c>
      <c r="AN185" s="267" t="e">
        <f t="shared" si="298"/>
        <v>#DIV/0!</v>
      </c>
      <c r="AO185" s="110">
        <f t="shared" si="11"/>
        <v>2.2191536684480737E-2</v>
      </c>
      <c r="AP185" s="110"/>
      <c r="AQ185" s="33">
        <f t="shared" si="299"/>
        <v>-2.0510318042562162E-2</v>
      </c>
      <c r="AR185" s="33" t="e">
        <f t="shared" si="300"/>
        <v>#DIV/0!</v>
      </c>
      <c r="AS185" s="68"/>
    </row>
    <row r="186" spans="1:45" s="81" customFormat="1" ht="15.75" customHeight="1" x14ac:dyDescent="0.3">
      <c r="A186" s="29" t="s">
        <v>83</v>
      </c>
      <c r="B186" s="29" t="s">
        <v>86</v>
      </c>
      <c r="C186" s="30">
        <f t="shared" si="465"/>
        <v>43056</v>
      </c>
      <c r="D186" s="31" t="s">
        <v>28</v>
      </c>
      <c r="E186" s="32">
        <f>SUM(E187:E189)</f>
        <v>22888</v>
      </c>
      <c r="F186" s="32">
        <f>SUM(F187:F189)</f>
        <v>13522</v>
      </c>
      <c r="G186" s="33">
        <f t="shared" ref="G186" si="541">(E186-E182)/E182</f>
        <v>0.13262074425969914</v>
      </c>
      <c r="H186" s="33">
        <f t="shared" ref="H186" si="542">(E186-F186)/F186</f>
        <v>0.69264901641768972</v>
      </c>
      <c r="I186" s="32">
        <f>SUM(I187:I189)</f>
        <v>8469.57</v>
      </c>
      <c r="J186" s="32">
        <f>SUM(J187:J189)</f>
        <v>8509.8100000000013</v>
      </c>
      <c r="K186" s="33">
        <f t="shared" ref="K186" si="543">(I186-I182)/I182</f>
        <v>0.71552967389102684</v>
      </c>
      <c r="L186" s="33">
        <f t="shared" ref="L186" si="544">(I186-J186)/J186</f>
        <v>-4.7286602168557929E-3</v>
      </c>
      <c r="M186" s="34">
        <f t="shared" ref="M186" si="545">E186/I186</f>
        <v>2.7023804041999773</v>
      </c>
      <c r="N186" s="34">
        <f t="shared" ref="N186" si="546">F186/J186</f>
        <v>1.5889896484175321</v>
      </c>
      <c r="O186" s="33">
        <f t="shared" ref="O186" si="547">(M186-M182)/M182</f>
        <v>-0.33978364729140492</v>
      </c>
      <c r="P186" s="33">
        <f t="shared" ref="P186" si="548">(M186-N186)/N186</f>
        <v>0.70069100632044157</v>
      </c>
      <c r="Q186" s="35">
        <f>SUM(Q187:Q189)</f>
        <v>17135</v>
      </c>
      <c r="R186" s="35">
        <f>SUM(R187:R189)</f>
        <v>13720</v>
      </c>
      <c r="S186" s="33">
        <f t="shared" ref="S186" si="549">(Q186-Q182)/Q182</f>
        <v>-5.4359823399558499E-2</v>
      </c>
      <c r="T186" s="33">
        <f t="shared" ref="T186" si="550">(Q186-R186)/R186</f>
        <v>0.24890670553935859</v>
      </c>
      <c r="U186" s="35">
        <f>SUM(U187:U189)</f>
        <v>200</v>
      </c>
      <c r="V186" s="35">
        <f>SUM(V187:V189)</f>
        <v>121</v>
      </c>
      <c r="W186" s="33">
        <f t="shared" ref="W186" si="551">(U186-U182)/U182</f>
        <v>0.15606936416184972</v>
      </c>
      <c r="X186" s="33">
        <f t="shared" ref="X186" si="552">(U186-V186)/V186</f>
        <v>0.65289256198347112</v>
      </c>
      <c r="Y186" s="88">
        <f t="shared" ref="Y186" si="553">U186/Q186</f>
        <v>1.1672016340822877E-2</v>
      </c>
      <c r="Z186" s="88">
        <f t="shared" ref="Z186" si="554">V186/R186</f>
        <v>8.8192419825072893E-3</v>
      </c>
      <c r="AA186" s="33">
        <f t="shared" ref="AA186" si="555">(Y186-Y182)/Y182</f>
        <v>0.22252564217173712</v>
      </c>
      <c r="AB186" s="33">
        <f t="shared" ref="AB186" si="556">(Y186-Z186)/Z186</f>
        <v>0.32347160492636251</v>
      </c>
      <c r="AC186" s="97">
        <f t="shared" ref="AC186" si="557">E186/U186</f>
        <v>114.44</v>
      </c>
      <c r="AD186" s="145">
        <f t="shared" ref="AD186" si="558">F186/V186</f>
        <v>111.75206611570248</v>
      </c>
      <c r="AE186" s="33">
        <f t="shared" ref="AE186" si="559">(AC186-AC182)/AC182</f>
        <v>-2.0283056215360282E-2</v>
      </c>
      <c r="AF186" s="33">
        <f t="shared" ref="AF186" si="560">(AC186-AD186)/AD186</f>
        <v>2.4052654932702273E-2</v>
      </c>
      <c r="AG186" s="35">
        <f>SUM(AG187:AG189)</f>
        <v>13965</v>
      </c>
      <c r="AH186" s="35">
        <f>SUM(AH187:AH189)</f>
        <v>11880</v>
      </c>
      <c r="AI186" s="33">
        <f t="shared" ref="AI186" si="561">(AG186-AG182)/AG182</f>
        <v>-0.10897722197409558</v>
      </c>
      <c r="AJ186" s="33">
        <f t="shared" ref="AJ186" si="562">(AG186-AH186)/AH186</f>
        <v>0.1755050505050505</v>
      </c>
      <c r="AK186" s="35">
        <f>SUM(AK187:AK189)</f>
        <v>383447</v>
      </c>
      <c r="AL186" s="35">
        <f>SUM(AL187:AL189)</f>
        <v>96834</v>
      </c>
      <c r="AM186" s="150">
        <f t="shared" ref="AM186" si="563">(AK186-AK182)/AK182</f>
        <v>-0.13387198055629593</v>
      </c>
      <c r="AN186" s="267">
        <f t="shared" ref="AN186" si="564">(AK186-AL186)/AL186</f>
        <v>2.9598384864820209</v>
      </c>
      <c r="AO186" s="33">
        <f t="shared" ref="AO186" si="565">AG186/AK186</f>
        <v>3.6419635568931297E-2</v>
      </c>
      <c r="AP186" s="33">
        <f t="shared" ref="AP186" si="566">AH186/AL186</f>
        <v>0.12268418117603321</v>
      </c>
      <c r="AQ186" s="33">
        <f t="shared" ref="AQ186" si="567">(AO186-AO182)/AO182</f>
        <v>2.8742585418480765E-2</v>
      </c>
      <c r="AR186" s="33">
        <f t="shared" ref="AR186" si="568">(AO186-AP186)/AP186</f>
        <v>-0.70314318260253428</v>
      </c>
      <c r="AS186" s="144"/>
    </row>
    <row r="187" spans="1:45" s="81" customFormat="1" ht="15.75" x14ac:dyDescent="0.25">
      <c r="A187" s="260" t="s">
        <v>83</v>
      </c>
      <c r="B187" s="260" t="s">
        <v>86</v>
      </c>
      <c r="C187" s="261">
        <f t="shared" si="465"/>
        <v>43056</v>
      </c>
      <c r="D187" s="260" t="s">
        <v>29</v>
      </c>
      <c r="E187" s="109">
        <v>20468</v>
      </c>
      <c r="F187" s="109">
        <v>12693</v>
      </c>
      <c r="G187" s="33">
        <f t="shared" si="279"/>
        <v>0.32771146860404776</v>
      </c>
      <c r="H187" s="33">
        <f t="shared" si="280"/>
        <v>0.6125423461750571</v>
      </c>
      <c r="I187" s="109">
        <v>2241.37</v>
      </c>
      <c r="J187" s="111">
        <f>1522.5+52.63</f>
        <v>1575.13</v>
      </c>
      <c r="K187" s="33">
        <f t="shared" si="281"/>
        <v>0.46115634595200677</v>
      </c>
      <c r="L187" s="33">
        <f t="shared" si="282"/>
        <v>0.42297461161935823</v>
      </c>
      <c r="M187" s="111">
        <f t="shared" si="503"/>
        <v>9.1319148556463237</v>
      </c>
      <c r="N187" s="111">
        <f t="shared" si="504"/>
        <v>8.0583824827157127</v>
      </c>
      <c r="O187" s="33">
        <f t="shared" si="285"/>
        <v>-9.132826731215668E-2</v>
      </c>
      <c r="P187" s="33">
        <f t="shared" si="286"/>
        <v>0.13321933716018225</v>
      </c>
      <c r="Q187" s="112">
        <v>10091</v>
      </c>
      <c r="R187" s="112">
        <v>8629</v>
      </c>
      <c r="S187" s="33">
        <f t="shared" si="287"/>
        <v>0.24304015767430401</v>
      </c>
      <c r="T187" s="33">
        <f t="shared" si="288"/>
        <v>0.16942867076138601</v>
      </c>
      <c r="U187" s="112">
        <v>174</v>
      </c>
      <c r="V187" s="112">
        <v>111</v>
      </c>
      <c r="W187" s="33">
        <f t="shared" si="289"/>
        <v>0.43801652892561982</v>
      </c>
      <c r="X187" s="33">
        <f t="shared" si="290"/>
        <v>0.56756756756756754</v>
      </c>
      <c r="Y187" s="113">
        <f t="shared" si="502"/>
        <v>1.7243087900109009E-2</v>
      </c>
      <c r="Z187" s="113">
        <f t="shared" si="502"/>
        <v>1.2863599490091552E-2</v>
      </c>
      <c r="AA187" s="33">
        <f t="shared" si="291"/>
        <v>0.15685444275276808</v>
      </c>
      <c r="AB187" s="33">
        <f t="shared" si="292"/>
        <v>0.34045590531568137</v>
      </c>
      <c r="AC187" s="114">
        <f t="shared" si="17"/>
        <v>117.63218390804597</v>
      </c>
      <c r="AD187" s="114">
        <f t="shared" si="17"/>
        <v>114.35135135135135</v>
      </c>
      <c r="AE187" s="33">
        <f t="shared" si="293"/>
        <v>-7.6706392522472605E-2</v>
      </c>
      <c r="AF187" s="33">
        <f t="shared" si="294"/>
        <v>2.8690807042708797E-2</v>
      </c>
      <c r="AG187" s="112">
        <v>7097</v>
      </c>
      <c r="AH187" s="112">
        <f>6433+286</f>
        <v>6719</v>
      </c>
      <c r="AI187" s="33">
        <f t="shared" si="295"/>
        <v>0.24399649430324277</v>
      </c>
      <c r="AJ187" s="33">
        <f t="shared" si="296"/>
        <v>5.6258371781515104E-2</v>
      </c>
      <c r="AK187" s="112">
        <v>19506</v>
      </c>
      <c r="AL187" s="112">
        <f>20285+638</f>
        <v>20923</v>
      </c>
      <c r="AM187" s="150">
        <f t="shared" si="297"/>
        <v>0.1391695380482392</v>
      </c>
      <c r="AN187" s="267">
        <f t="shared" si="298"/>
        <v>-6.772451369306505E-2</v>
      </c>
      <c r="AO187" s="110">
        <f t="shared" si="11"/>
        <v>0.36383676817389521</v>
      </c>
      <c r="AP187" s="110">
        <f t="shared" si="272"/>
        <v>0.32112985709506287</v>
      </c>
      <c r="AQ187" s="33">
        <f t="shared" si="299"/>
        <v>9.2020505073024964E-2</v>
      </c>
      <c r="AR187" s="33">
        <f t="shared" si="300"/>
        <v>0.13298953720827639</v>
      </c>
      <c r="AS187" s="68"/>
    </row>
    <row r="188" spans="1:45" s="81" customFormat="1" ht="15.75" x14ac:dyDescent="0.25">
      <c r="A188" s="260" t="s">
        <v>83</v>
      </c>
      <c r="B188" s="260" t="s">
        <v>86</v>
      </c>
      <c r="C188" s="261">
        <f t="shared" si="465"/>
        <v>43056</v>
      </c>
      <c r="D188" s="260" t="s">
        <v>30</v>
      </c>
      <c r="E188" s="109">
        <v>257</v>
      </c>
      <c r="F188" s="109">
        <v>829</v>
      </c>
      <c r="G188" s="33">
        <f t="shared" si="279"/>
        <v>-0.19937694704049844</v>
      </c>
      <c r="H188" s="33">
        <f t="shared" si="280"/>
        <v>-0.6899879372738239</v>
      </c>
      <c r="I188" s="109">
        <v>1711.36</v>
      </c>
      <c r="J188" s="111">
        <f>6175.75+758.93</f>
        <v>6934.68</v>
      </c>
      <c r="K188" s="33">
        <f t="shared" si="281"/>
        <v>1.5305494765481753</v>
      </c>
      <c r="L188" s="33">
        <f t="shared" si="282"/>
        <v>-0.75321716358937985</v>
      </c>
      <c r="M188" s="111">
        <f t="shared" si="503"/>
        <v>0.15017296185489903</v>
      </c>
      <c r="N188" s="111">
        <f t="shared" si="504"/>
        <v>0.11954408855203123</v>
      </c>
      <c r="O188" s="33">
        <f t="shared" si="285"/>
        <v>-0.68361691388401524</v>
      </c>
      <c r="P188" s="33">
        <f t="shared" si="286"/>
        <v>0.25621403512175067</v>
      </c>
      <c r="Q188" s="112">
        <v>1409</v>
      </c>
      <c r="R188" s="112">
        <v>5091</v>
      </c>
      <c r="S188" s="33">
        <f t="shared" si="287"/>
        <v>1.0071225071225072</v>
      </c>
      <c r="T188" s="33">
        <f t="shared" si="288"/>
        <v>-0.72323708505205264</v>
      </c>
      <c r="U188" s="112">
        <v>4</v>
      </c>
      <c r="V188" s="112">
        <v>10</v>
      </c>
      <c r="W188" s="33">
        <f t="shared" si="289"/>
        <v>-0.33333333333333331</v>
      </c>
      <c r="X188" s="33">
        <f t="shared" si="290"/>
        <v>-0.6</v>
      </c>
      <c r="Y188" s="113">
        <f t="shared" si="502"/>
        <v>2.8388928317955998E-3</v>
      </c>
      <c r="Z188" s="113">
        <f t="shared" si="502"/>
        <v>1.9642506383814574E-3</v>
      </c>
      <c r="AA188" s="33">
        <f t="shared" si="291"/>
        <v>-0.66784953867991481</v>
      </c>
      <c r="AB188" s="33">
        <f t="shared" si="292"/>
        <v>0.44528034066713995</v>
      </c>
      <c r="AC188" s="114">
        <f t="shared" si="17"/>
        <v>64.25</v>
      </c>
      <c r="AD188" s="114">
        <f t="shared" si="17"/>
        <v>82.9</v>
      </c>
      <c r="AE188" s="33">
        <f t="shared" si="293"/>
        <v>0.20093457943925233</v>
      </c>
      <c r="AF188" s="33">
        <f t="shared" si="294"/>
        <v>-0.22496984318455976</v>
      </c>
      <c r="AG188" s="112">
        <v>1356</v>
      </c>
      <c r="AH188" s="112">
        <f>4630+531</f>
        <v>5161</v>
      </c>
      <c r="AI188" s="33">
        <f t="shared" si="295"/>
        <v>0.99705449189985274</v>
      </c>
      <c r="AJ188" s="33">
        <f t="shared" si="296"/>
        <v>-0.73726022088742493</v>
      </c>
      <c r="AK188" s="112">
        <v>14577</v>
      </c>
      <c r="AL188" s="112">
        <f>65741+10170</f>
        <v>75911</v>
      </c>
      <c r="AM188" s="150">
        <f t="shared" si="297"/>
        <v>1.0800513698630136</v>
      </c>
      <c r="AN188" s="267">
        <f t="shared" si="298"/>
        <v>-0.80797249410493865</v>
      </c>
      <c r="AO188" s="110">
        <f t="shared" si="11"/>
        <v>9.3023255813953487E-2</v>
      </c>
      <c r="AP188" s="110">
        <f t="shared" si="272"/>
        <v>6.7987511691322736E-2</v>
      </c>
      <c r="AQ188" s="33">
        <f t="shared" si="299"/>
        <v>-3.9901359728739302E-2</v>
      </c>
      <c r="AR188" s="33">
        <f t="shared" si="300"/>
        <v>0.36824033561190134</v>
      </c>
      <c r="AS188" s="68"/>
    </row>
    <row r="189" spans="1:45" s="81" customFormat="1" ht="15.75" x14ac:dyDescent="0.25">
      <c r="A189" s="260" t="s">
        <v>83</v>
      </c>
      <c r="B189" s="260" t="s">
        <v>86</v>
      </c>
      <c r="C189" s="261">
        <f t="shared" si="465"/>
        <v>43056</v>
      </c>
      <c r="D189" s="260" t="s">
        <v>228</v>
      </c>
      <c r="E189" s="109">
        <v>2163</v>
      </c>
      <c r="F189" s="109"/>
      <c r="G189" s="33">
        <f t="shared" si="279"/>
        <v>-0.51621561171997321</v>
      </c>
      <c r="H189" s="33" t="e">
        <f t="shared" si="280"/>
        <v>#DIV/0!</v>
      </c>
      <c r="I189" s="109">
        <v>4516.84</v>
      </c>
      <c r="J189" s="111"/>
      <c r="K189" s="33">
        <f t="shared" si="281"/>
        <v>0.65649216099752461</v>
      </c>
      <c r="L189" s="33" t="e">
        <f t="shared" si="282"/>
        <v>#DIV/0!</v>
      </c>
      <c r="M189" s="111">
        <f t="shared" si="503"/>
        <v>0.47887461145402538</v>
      </c>
      <c r="N189" s="111"/>
      <c r="O189" s="33">
        <f t="shared" si="285"/>
        <v>-0.70794646683465356</v>
      </c>
      <c r="P189" s="33" t="e">
        <f t="shared" si="286"/>
        <v>#DIV/0!</v>
      </c>
      <c r="Q189" s="112">
        <v>5635</v>
      </c>
      <c r="R189" s="112"/>
      <c r="S189" s="33">
        <f t="shared" si="287"/>
        <v>-0.39408602150537636</v>
      </c>
      <c r="T189" s="33" t="e">
        <f t="shared" si="288"/>
        <v>#DIV/0!</v>
      </c>
      <c r="U189" s="112">
        <v>22</v>
      </c>
      <c r="V189" s="112"/>
      <c r="W189" s="33">
        <f t="shared" si="289"/>
        <v>-0.52173913043478259</v>
      </c>
      <c r="X189" s="33" t="e">
        <f t="shared" si="290"/>
        <v>#DIV/0!</v>
      </c>
      <c r="Y189" s="113">
        <f t="shared" si="502"/>
        <v>3.9041703637976931E-3</v>
      </c>
      <c r="Z189" s="113"/>
      <c r="AA189" s="33">
        <f t="shared" si="291"/>
        <v>-0.21067860036264036</v>
      </c>
      <c r="AB189" s="33" t="e">
        <f t="shared" si="292"/>
        <v>#DIV/0!</v>
      </c>
      <c r="AC189" s="114">
        <f t="shared" si="17"/>
        <v>98.318181818181813</v>
      </c>
      <c r="AD189" s="114"/>
      <c r="AE189" s="33">
        <f t="shared" si="293"/>
        <v>1.1549175494601488E-2</v>
      </c>
      <c r="AF189" s="33" t="e">
        <f t="shared" si="294"/>
        <v>#DIV/0!</v>
      </c>
      <c r="AG189" s="112">
        <v>5512</v>
      </c>
      <c r="AH189" s="112"/>
      <c r="AI189" s="33">
        <f t="shared" si="295"/>
        <v>-0.40660996878027778</v>
      </c>
      <c r="AJ189" s="33" t="e">
        <f t="shared" si="296"/>
        <v>#DIV/0!</v>
      </c>
      <c r="AK189" s="112">
        <v>349364</v>
      </c>
      <c r="AL189" s="112"/>
      <c r="AM189" s="150">
        <f t="shared" si="297"/>
        <v>-0.16536505304802154</v>
      </c>
      <c r="AN189" s="267" t="e">
        <f t="shared" si="298"/>
        <v>#DIV/0!</v>
      </c>
      <c r="AO189" s="110">
        <f t="shared" si="11"/>
        <v>1.5777240929231405E-2</v>
      </c>
      <c r="AP189" s="110"/>
      <c r="AQ189" s="33">
        <f t="shared" si="299"/>
        <v>-0.28904243299811938</v>
      </c>
      <c r="AR189" s="33" t="e">
        <f t="shared" si="300"/>
        <v>#DIV/0!</v>
      </c>
      <c r="AS189" s="68"/>
    </row>
    <row r="190" spans="1:45" s="81" customFormat="1" ht="15.75" customHeight="1" x14ac:dyDescent="0.3">
      <c r="A190" s="29" t="s">
        <v>83</v>
      </c>
      <c r="B190" s="29" t="s">
        <v>87</v>
      </c>
      <c r="C190" s="30">
        <f t="shared" si="465"/>
        <v>43063</v>
      </c>
      <c r="D190" s="31" t="s">
        <v>28</v>
      </c>
      <c r="E190" s="32">
        <f>SUM(E191:E193)</f>
        <v>94517</v>
      </c>
      <c r="F190" s="32">
        <f>SUM(F191:F193)</f>
        <v>57475</v>
      </c>
      <c r="G190" s="33">
        <f t="shared" si="279"/>
        <v>3.1295438657811956</v>
      </c>
      <c r="H190" s="33">
        <f t="shared" si="280"/>
        <v>0.64448890822096561</v>
      </c>
      <c r="I190" s="32">
        <f>SUM(I191:I193)</f>
        <v>31682.3</v>
      </c>
      <c r="J190" s="32">
        <f>SUM(J191:J193)</f>
        <v>12453.710000000001</v>
      </c>
      <c r="K190" s="33">
        <f t="shared" si="281"/>
        <v>2.7407211936379299</v>
      </c>
      <c r="L190" s="33">
        <f t="shared" si="282"/>
        <v>1.5440049591647786</v>
      </c>
      <c r="M190" s="34">
        <f t="shared" ref="M190" si="569">E190/I190</f>
        <v>2.9832745728687629</v>
      </c>
      <c r="N190" s="34">
        <f t="shared" ref="N190" si="570">F190/J190</f>
        <v>4.6150906035229662</v>
      </c>
      <c r="O190" s="33">
        <f t="shared" si="285"/>
        <v>0.10394323768490416</v>
      </c>
      <c r="P190" s="33">
        <f t="shared" si="286"/>
        <v>-0.35358266409949646</v>
      </c>
      <c r="Q190" s="35">
        <f>SUM(Q191:Q193)</f>
        <v>37977</v>
      </c>
      <c r="R190" s="35">
        <f>SUM(R191:R193)</f>
        <v>20618</v>
      </c>
      <c r="S190" s="33">
        <f t="shared" si="287"/>
        <v>1.216340822877152</v>
      </c>
      <c r="T190" s="33">
        <f t="shared" si="288"/>
        <v>0.84193423222427011</v>
      </c>
      <c r="U190" s="35">
        <f>SUM(U191:U193)</f>
        <v>690</v>
      </c>
      <c r="V190" s="35">
        <f>SUM(V191:V193)</f>
        <v>417</v>
      </c>
      <c r="W190" s="33">
        <f t="shared" si="289"/>
        <v>2.4500000000000002</v>
      </c>
      <c r="X190" s="33">
        <f t="shared" si="290"/>
        <v>0.65467625899280579</v>
      </c>
      <c r="Y190" s="88">
        <f t="shared" ref="Y190" si="571">U190/Q190</f>
        <v>1.8168891697606444E-2</v>
      </c>
      <c r="Z190" s="88">
        <f t="shared" ref="Z190" si="572">V190/R190</f>
        <v>2.022504607624406E-2</v>
      </c>
      <c r="AA190" s="33">
        <f t="shared" si="291"/>
        <v>0.55661979619243207</v>
      </c>
      <c r="AB190" s="33">
        <f t="shared" si="292"/>
        <v>-0.10166376733513273</v>
      </c>
      <c r="AC190" s="97">
        <f t="shared" ref="AC190" si="573">E190/U190</f>
        <v>136.98115942028986</v>
      </c>
      <c r="AD190" s="145">
        <f t="shared" ref="AD190" si="574">F190/V190</f>
        <v>137.82973621103116</v>
      </c>
      <c r="AE190" s="33">
        <f t="shared" si="293"/>
        <v>0.19696923645831754</v>
      </c>
      <c r="AF190" s="33">
        <f t="shared" si="294"/>
        <v>-6.156703292546745E-3</v>
      </c>
      <c r="AG190" s="35">
        <f>SUM(AG191:AG193)</f>
        <v>35515</v>
      </c>
      <c r="AH190" s="35">
        <f>SUM(AH191:AH193)</f>
        <v>17707</v>
      </c>
      <c r="AI190" s="33">
        <f t="shared" si="295"/>
        <v>1.5431435732187613</v>
      </c>
      <c r="AJ190" s="33">
        <f t="shared" si="296"/>
        <v>1.0057039588863161</v>
      </c>
      <c r="AK190" s="35">
        <f>SUM(AK191:AK193)</f>
        <v>1512946</v>
      </c>
      <c r="AL190" s="35">
        <f>SUM(AL191:AL193)</f>
        <v>134761</v>
      </c>
      <c r="AM190" s="150">
        <f t="shared" si="297"/>
        <v>2.9456456824541593</v>
      </c>
      <c r="AN190" s="267">
        <f t="shared" si="298"/>
        <v>10.226883148685451</v>
      </c>
      <c r="AO190" s="33">
        <f t="shared" ref="AO190" si="575">AG190/AK190</f>
        <v>2.347406979495633E-2</v>
      </c>
      <c r="AP190" s="33">
        <f t="shared" ref="AP190" si="576">AH190/AL190</f>
        <v>0.13139558180779307</v>
      </c>
      <c r="AQ190" s="33">
        <f t="shared" si="299"/>
        <v>-0.3554556648287418</v>
      </c>
      <c r="AR190" s="33">
        <f t="shared" si="300"/>
        <v>-0.82134810416004345</v>
      </c>
      <c r="AS190" s="68"/>
    </row>
    <row r="191" spans="1:45" s="81" customFormat="1" ht="15.75" x14ac:dyDescent="0.25">
      <c r="A191" s="260" t="s">
        <v>83</v>
      </c>
      <c r="B191" s="260" t="s">
        <v>87</v>
      </c>
      <c r="C191" s="261">
        <f t="shared" si="465"/>
        <v>43063</v>
      </c>
      <c r="D191" s="260" t="s">
        <v>29</v>
      </c>
      <c r="E191" s="109">
        <v>77287</v>
      </c>
      <c r="F191" s="109">
        <v>55521</v>
      </c>
      <c r="G191" s="33">
        <f t="shared" si="279"/>
        <v>2.7759917920656636</v>
      </c>
      <c r="H191" s="33">
        <f t="shared" si="280"/>
        <v>0.39203184380684786</v>
      </c>
      <c r="I191" s="109">
        <f>3739.75+523.93</f>
        <v>4263.68</v>
      </c>
      <c r="J191" s="111">
        <f>2218.67+65.28</f>
        <v>2283.9500000000003</v>
      </c>
      <c r="K191" s="33">
        <f t="shared" si="281"/>
        <v>0.90226513248593521</v>
      </c>
      <c r="L191" s="33">
        <f t="shared" si="282"/>
        <v>0.86680093697322613</v>
      </c>
      <c r="M191" s="111">
        <f t="shared" si="503"/>
        <v>18.126829405583909</v>
      </c>
      <c r="N191" s="111">
        <f t="shared" si="504"/>
        <v>24.309201164648961</v>
      </c>
      <c r="O191" s="33">
        <f t="shared" si="285"/>
        <v>0.98499763654453798</v>
      </c>
      <c r="P191" s="33">
        <f t="shared" si="286"/>
        <v>-0.25432229208977913</v>
      </c>
      <c r="Q191" s="112">
        <v>13795</v>
      </c>
      <c r="R191" s="112">
        <v>12799</v>
      </c>
      <c r="S191" s="33">
        <f t="shared" si="287"/>
        <v>0.36705975621841247</v>
      </c>
      <c r="T191" s="33">
        <f t="shared" si="288"/>
        <v>7.781857957652942E-2</v>
      </c>
      <c r="U191" s="112">
        <v>540</v>
      </c>
      <c r="V191" s="112">
        <v>394</v>
      </c>
      <c r="W191" s="33">
        <f t="shared" si="289"/>
        <v>2.103448275862069</v>
      </c>
      <c r="X191" s="33">
        <f t="shared" si="290"/>
        <v>0.37055837563451777</v>
      </c>
      <c r="Y191" s="113">
        <f t="shared" si="502"/>
        <v>3.9144617615077926E-2</v>
      </c>
      <c r="Z191" s="113">
        <f t="shared" si="502"/>
        <v>3.078365497304477E-2</v>
      </c>
      <c r="AA191" s="33">
        <f t="shared" si="291"/>
        <v>1.2701628526077662</v>
      </c>
      <c r="AB191" s="33">
        <f t="shared" si="292"/>
        <v>0.27160396156188416</v>
      </c>
      <c r="AC191" s="114">
        <f t="shared" si="17"/>
        <v>143.12407407407409</v>
      </c>
      <c r="AD191" s="114">
        <f t="shared" si="17"/>
        <v>140.91624365482232</v>
      </c>
      <c r="AE191" s="33">
        <f t="shared" si="293"/>
        <v>0.21670846633226948</v>
      </c>
      <c r="AF191" s="33">
        <f t="shared" si="294"/>
        <v>1.5667678629441021E-2</v>
      </c>
      <c r="AG191" s="112">
        <f>9238+529</f>
        <v>9767</v>
      </c>
      <c r="AH191" s="112">
        <f>9578+396</f>
        <v>9974</v>
      </c>
      <c r="AI191" s="33">
        <f t="shared" si="295"/>
        <v>0.37621530224038324</v>
      </c>
      <c r="AJ191" s="33">
        <f t="shared" si="296"/>
        <v>-2.0753960296771606E-2</v>
      </c>
      <c r="AK191" s="112">
        <f>24277+1073</f>
        <v>25350</v>
      </c>
      <c r="AL191" s="112">
        <f>37495+835</f>
        <v>38330</v>
      </c>
      <c r="AM191" s="150">
        <f t="shared" si="297"/>
        <v>0.29960012303906491</v>
      </c>
      <c r="AN191" s="267">
        <f t="shared" si="298"/>
        <v>-0.33863814244716933</v>
      </c>
      <c r="AO191" s="110">
        <f t="shared" si="11"/>
        <v>0.38528599605522684</v>
      </c>
      <c r="AP191" s="110">
        <f t="shared" si="272"/>
        <v>0.26021393164623013</v>
      </c>
      <c r="AQ191" s="33">
        <f t="shared" si="299"/>
        <v>5.8952887002008576E-2</v>
      </c>
      <c r="AR191" s="33">
        <f t="shared" si="300"/>
        <v>0.48065091525935866</v>
      </c>
      <c r="AS191" s="68"/>
    </row>
    <row r="192" spans="1:45" s="81" customFormat="1" ht="15.75" x14ac:dyDescent="0.25">
      <c r="A192" s="260" t="s">
        <v>83</v>
      </c>
      <c r="B192" s="260" t="s">
        <v>87</v>
      </c>
      <c r="C192" s="261">
        <f t="shared" si="465"/>
        <v>43063</v>
      </c>
      <c r="D192" s="260" t="s">
        <v>30</v>
      </c>
      <c r="E192" s="109">
        <v>2298</v>
      </c>
      <c r="F192" s="109">
        <v>1954</v>
      </c>
      <c r="G192" s="33">
        <f t="shared" si="279"/>
        <v>7.9416342412451364</v>
      </c>
      <c r="H192" s="33">
        <f t="shared" si="280"/>
        <v>0.17604912998976457</v>
      </c>
      <c r="I192" s="109">
        <v>5714.11</v>
      </c>
      <c r="J192" s="111">
        <f>9848.26+321.5</f>
        <v>10169.76</v>
      </c>
      <c r="K192" s="33">
        <f t="shared" si="281"/>
        <v>2.3389292726252808</v>
      </c>
      <c r="L192" s="33">
        <f t="shared" si="282"/>
        <v>-0.43812735010462395</v>
      </c>
      <c r="M192" s="111">
        <f t="shared" si="503"/>
        <v>0.40216236649276965</v>
      </c>
      <c r="N192" s="111">
        <f t="shared" si="504"/>
        <v>0.19213826088324601</v>
      </c>
      <c r="O192" s="33">
        <f t="shared" si="285"/>
        <v>1.6779945039730204</v>
      </c>
      <c r="P192" s="33">
        <f t="shared" si="286"/>
        <v>1.0930884075043548</v>
      </c>
      <c r="Q192" s="112">
        <v>3323</v>
      </c>
      <c r="R192" s="112">
        <v>7819</v>
      </c>
      <c r="S192" s="33">
        <f t="shared" si="287"/>
        <v>1.3584102200141945</v>
      </c>
      <c r="T192" s="33">
        <f t="shared" si="288"/>
        <v>-0.5750095920194398</v>
      </c>
      <c r="U192" s="112">
        <v>10</v>
      </c>
      <c r="V192" s="112">
        <v>23</v>
      </c>
      <c r="W192" s="33">
        <f t="shared" si="289"/>
        <v>1.5</v>
      </c>
      <c r="X192" s="33">
        <f t="shared" si="290"/>
        <v>-0.56521739130434778</v>
      </c>
      <c r="Y192" s="113">
        <f t="shared" si="502"/>
        <v>3.0093289196509178E-3</v>
      </c>
      <c r="Z192" s="113">
        <f t="shared" si="502"/>
        <v>2.9415526282133265E-3</v>
      </c>
      <c r="AA192" s="33">
        <f t="shared" si="291"/>
        <v>6.0036111947035765E-2</v>
      </c>
      <c r="AB192" s="33">
        <f t="shared" si="292"/>
        <v>2.3040992293501171E-2</v>
      </c>
      <c r="AC192" s="114">
        <f t="shared" si="17"/>
        <v>229.8</v>
      </c>
      <c r="AD192" s="114">
        <f t="shared" si="17"/>
        <v>84.956521739130437</v>
      </c>
      <c r="AE192" s="33">
        <f t="shared" si="293"/>
        <v>2.5766536964980546</v>
      </c>
      <c r="AF192" s="33">
        <f t="shared" si="294"/>
        <v>1.7049129989764586</v>
      </c>
      <c r="AG192" s="112">
        <v>3237</v>
      </c>
      <c r="AH192" s="112">
        <f>7375+358</f>
        <v>7733</v>
      </c>
      <c r="AI192" s="33">
        <f t="shared" si="295"/>
        <v>1.3871681415929205</v>
      </c>
      <c r="AJ192" s="33">
        <f t="shared" si="296"/>
        <v>-0.58140437087805508</v>
      </c>
      <c r="AK192" s="112">
        <v>43213</v>
      </c>
      <c r="AL192" s="112">
        <f>92551+3880</f>
        <v>96431</v>
      </c>
      <c r="AM192" s="150">
        <f t="shared" si="297"/>
        <v>1.9644645674693009</v>
      </c>
      <c r="AN192" s="267">
        <f t="shared" si="298"/>
        <v>-0.55187647125924233</v>
      </c>
      <c r="AO192" s="110">
        <f t="shared" si="11"/>
        <v>7.4908013792145886E-2</v>
      </c>
      <c r="AP192" s="110">
        <f t="shared" si="272"/>
        <v>8.019205442233307E-2</v>
      </c>
      <c r="AQ192" s="33">
        <f t="shared" si="299"/>
        <v>-0.1947388517344317</v>
      </c>
      <c r="AR192" s="33">
        <f t="shared" si="300"/>
        <v>-6.5892321480612998E-2</v>
      </c>
      <c r="AS192" s="68"/>
    </row>
    <row r="193" spans="1:45" s="81" customFormat="1" ht="15.75" x14ac:dyDescent="0.25">
      <c r="A193" s="260" t="s">
        <v>83</v>
      </c>
      <c r="B193" s="260" t="s">
        <v>87</v>
      </c>
      <c r="C193" s="261">
        <f t="shared" si="465"/>
        <v>43063</v>
      </c>
      <c r="D193" s="260" t="s">
        <v>228</v>
      </c>
      <c r="E193" s="109">
        <v>14932</v>
      </c>
      <c r="F193" s="109"/>
      <c r="G193" s="33">
        <f t="shared" si="279"/>
        <v>5.9033749422098936</v>
      </c>
      <c r="H193" s="33" t="e">
        <f t="shared" si="280"/>
        <v>#DIV/0!</v>
      </c>
      <c r="I193" s="109">
        <f>21704.51</f>
        <v>21704.51</v>
      </c>
      <c r="J193" s="111"/>
      <c r="K193" s="33">
        <f t="shared" si="281"/>
        <v>3.8052421604484548</v>
      </c>
      <c r="L193" s="33" t="e">
        <f t="shared" si="282"/>
        <v>#DIV/0!</v>
      </c>
      <c r="M193" s="111">
        <f t="shared" si="503"/>
        <v>0.68796761594710043</v>
      </c>
      <c r="N193" s="111"/>
      <c r="O193" s="33">
        <f t="shared" si="285"/>
        <v>0.43663414073717111</v>
      </c>
      <c r="P193" s="33" t="e">
        <f t="shared" si="286"/>
        <v>#DIV/0!</v>
      </c>
      <c r="Q193" s="112">
        <v>20859</v>
      </c>
      <c r="R193" s="112"/>
      <c r="S193" s="33">
        <f t="shared" si="287"/>
        <v>2.7016858917480033</v>
      </c>
      <c r="T193" s="33" t="e">
        <f t="shared" si="288"/>
        <v>#DIV/0!</v>
      </c>
      <c r="U193" s="112">
        <v>140</v>
      </c>
      <c r="V193" s="112"/>
      <c r="W193" s="33">
        <f t="shared" si="289"/>
        <v>5.3636363636363633</v>
      </c>
      <c r="X193" s="33" t="e">
        <f t="shared" si="290"/>
        <v>#DIV/0!</v>
      </c>
      <c r="Y193" s="113">
        <f t="shared" si="502"/>
        <v>6.7117311472266166E-3</v>
      </c>
      <c r="Z193" s="113"/>
      <c r="AA193" s="33">
        <f t="shared" si="291"/>
        <v>0.71911840975554464</v>
      </c>
      <c r="AB193" s="33" t="e">
        <f t="shared" si="292"/>
        <v>#DIV/0!</v>
      </c>
      <c r="AC193" s="114">
        <f t="shared" si="17"/>
        <v>106.65714285714286</v>
      </c>
      <c r="AD193" s="114"/>
      <c r="AE193" s="33">
        <f t="shared" si="293"/>
        <v>8.4816062347269072E-2</v>
      </c>
      <c r="AF193" s="33" t="e">
        <f t="shared" si="294"/>
        <v>#DIV/0!</v>
      </c>
      <c r="AG193" s="112">
        <v>22511</v>
      </c>
      <c r="AH193" s="112"/>
      <c r="AI193" s="33">
        <f t="shared" si="295"/>
        <v>3.0839985486211901</v>
      </c>
      <c r="AJ193" s="33" t="e">
        <f t="shared" si="296"/>
        <v>#DIV/0!</v>
      </c>
      <c r="AK193" s="112">
        <v>1444383</v>
      </c>
      <c r="AL193" s="112"/>
      <c r="AM193" s="150">
        <f t="shared" si="297"/>
        <v>3.1343212237093692</v>
      </c>
      <c r="AN193" s="267" t="e">
        <f t="shared" si="298"/>
        <v>#DIV/0!</v>
      </c>
      <c r="AO193" s="110">
        <f t="shared" si="11"/>
        <v>1.5585201432030148E-2</v>
      </c>
      <c r="AP193" s="110"/>
      <c r="AQ193" s="33">
        <f t="shared" si="299"/>
        <v>-1.2171931585671274E-2</v>
      </c>
      <c r="AR193" s="33" t="e">
        <f t="shared" si="300"/>
        <v>#DIV/0!</v>
      </c>
      <c r="AS193" s="68"/>
    </row>
    <row r="194" spans="1:45" s="108" customFormat="1" ht="15.75" customHeight="1" x14ac:dyDescent="0.3">
      <c r="A194" s="272" t="s">
        <v>88</v>
      </c>
      <c r="B194" s="272" t="s">
        <v>89</v>
      </c>
      <c r="C194" s="273">
        <f t="shared" si="465"/>
        <v>43070</v>
      </c>
      <c r="D194" s="274" t="s">
        <v>28</v>
      </c>
      <c r="E194" s="115">
        <f>SUM(E195:E197)</f>
        <v>0</v>
      </c>
      <c r="F194" s="115">
        <f>SUM(F195:F197)</f>
        <v>12192</v>
      </c>
      <c r="G194" s="116">
        <f t="shared" ref="G194" si="577">(E194-E190)/E190</f>
        <v>-1</v>
      </c>
      <c r="H194" s="116">
        <f t="shared" ref="H194" si="578">(E194-F194)/F194</f>
        <v>-1</v>
      </c>
      <c r="I194" s="115">
        <f>SUM(I195:I197)</f>
        <v>0</v>
      </c>
      <c r="J194" s="115">
        <f>SUM(J195:J197)</f>
        <v>8272.69</v>
      </c>
      <c r="K194" s="116">
        <f t="shared" ref="K194" si="579">(I194-I190)/I190</f>
        <v>-1</v>
      </c>
      <c r="L194" s="116">
        <f t="shared" ref="L194" si="580">(I194-J194)/J194</f>
        <v>-1</v>
      </c>
      <c r="M194" s="117" t="e">
        <f t="shared" ref="M194" si="581">E194/I194</f>
        <v>#DIV/0!</v>
      </c>
      <c r="N194" s="117">
        <f t="shared" ref="N194" si="582">F194/J194</f>
        <v>1.4737648817978191</v>
      </c>
      <c r="O194" s="116" t="e">
        <f t="shared" ref="O194" si="583">(M194-M190)/M190</f>
        <v>#DIV/0!</v>
      </c>
      <c r="P194" s="116" t="e">
        <f t="shared" ref="P194" si="584">(M194-N194)/N194</f>
        <v>#DIV/0!</v>
      </c>
      <c r="Q194" s="118">
        <f>SUM(Q195:Q197)</f>
        <v>0</v>
      </c>
      <c r="R194" s="118">
        <f>SUM(R195:R197)</f>
        <v>13343</v>
      </c>
      <c r="S194" s="116">
        <f t="shared" ref="S194" si="585">(Q194-Q190)/Q190</f>
        <v>-1</v>
      </c>
      <c r="T194" s="116">
        <f t="shared" ref="T194" si="586">(Q194-R194)/R194</f>
        <v>-1</v>
      </c>
      <c r="U194" s="118">
        <f>SUM(U195:U197)</f>
        <v>0</v>
      </c>
      <c r="V194" s="118">
        <f>SUM(V195:V197)</f>
        <v>133</v>
      </c>
      <c r="W194" s="116">
        <f t="shared" ref="W194" si="587">(U194-U190)/U190</f>
        <v>-1</v>
      </c>
      <c r="X194" s="116">
        <f t="shared" ref="X194" si="588">(U194-V194)/V194</f>
        <v>-1</v>
      </c>
      <c r="Y194" s="119" t="e">
        <f t="shared" ref="Y194" si="589">U194/Q194</f>
        <v>#DIV/0!</v>
      </c>
      <c r="Z194" s="119">
        <f t="shared" ref="Z194" si="590">V194/R194</f>
        <v>9.9677733643108741E-3</v>
      </c>
      <c r="AA194" s="116" t="e">
        <f t="shared" ref="AA194" si="591">(Y194-Y190)/Y190</f>
        <v>#DIV/0!</v>
      </c>
      <c r="AB194" s="116" t="e">
        <f t="shared" ref="AB194" si="592">(Y194-Z194)/Z194</f>
        <v>#DIV/0!</v>
      </c>
      <c r="AC194" s="120" t="e">
        <f t="shared" ref="AC194" si="593">E194/U194</f>
        <v>#DIV/0!</v>
      </c>
      <c r="AD194" s="275">
        <f t="shared" ref="AD194" si="594">F194/V194</f>
        <v>91.669172932330824</v>
      </c>
      <c r="AE194" s="116" t="e">
        <f t="shared" ref="AE194" si="595">(AC194-AC190)/AC190</f>
        <v>#DIV/0!</v>
      </c>
      <c r="AF194" s="116" t="e">
        <f t="shared" ref="AF194" si="596">(AC194-AD194)/AD194</f>
        <v>#DIV/0!</v>
      </c>
      <c r="AG194" s="118">
        <f>SUM(AG195:AG197)</f>
        <v>0</v>
      </c>
      <c r="AH194" s="118">
        <f>SUM(AH195:AH197)</f>
        <v>10500</v>
      </c>
      <c r="AI194" s="116">
        <f t="shared" ref="AI194" si="597">(AG194-AG190)/AG190</f>
        <v>-1</v>
      </c>
      <c r="AJ194" s="116">
        <f t="shared" ref="AJ194" si="598">(AG194-AH194)/AH194</f>
        <v>-1</v>
      </c>
      <c r="AK194" s="118">
        <f>SUM(AK195:AK197)</f>
        <v>0</v>
      </c>
      <c r="AL194" s="118">
        <f>SUM(AL195:AL197)</f>
        <v>91972</v>
      </c>
      <c r="AM194" s="276">
        <f t="shared" ref="AM194" si="599">(AK194-AK190)/AK190</f>
        <v>-1</v>
      </c>
      <c r="AN194" s="277">
        <f t="shared" ref="AN194" si="600">(AK194-AL194)/AL194</f>
        <v>-1</v>
      </c>
      <c r="AO194" s="116" t="e">
        <f t="shared" ref="AO194" si="601">AG194/AK194</f>
        <v>#DIV/0!</v>
      </c>
      <c r="AP194" s="116">
        <f t="shared" ref="AP194" si="602">AH194/AL194</f>
        <v>0.11416518070717174</v>
      </c>
      <c r="AQ194" s="116" t="e">
        <f t="shared" ref="AQ194" si="603">(AO194-AO190)/AO190</f>
        <v>#DIV/0!</v>
      </c>
      <c r="AR194" s="116" t="e">
        <f t="shared" ref="AR194" si="604">(AO194-AP194)/AP194</f>
        <v>#DIV/0!</v>
      </c>
      <c r="AS194" s="106"/>
    </row>
    <row r="195" spans="1:45" ht="15.75" x14ac:dyDescent="0.25">
      <c r="A195" s="37" t="s">
        <v>88</v>
      </c>
      <c r="B195" s="37" t="s">
        <v>89</v>
      </c>
      <c r="C195" s="38">
        <f t="shared" si="465"/>
        <v>43070</v>
      </c>
      <c r="D195" s="37" t="s">
        <v>29</v>
      </c>
      <c r="E195" s="109"/>
      <c r="F195" s="109">
        <v>10522</v>
      </c>
      <c r="G195" s="33">
        <f t="shared" si="279"/>
        <v>-1</v>
      </c>
      <c r="H195" s="33">
        <f t="shared" si="280"/>
        <v>-1</v>
      </c>
      <c r="I195" s="109"/>
      <c r="J195" s="111">
        <v>1291.3599999999999</v>
      </c>
      <c r="K195" s="33">
        <f t="shared" si="281"/>
        <v>-1</v>
      </c>
      <c r="L195" s="33">
        <f t="shared" si="282"/>
        <v>-1</v>
      </c>
      <c r="M195" s="111" t="e">
        <f t="shared" si="503"/>
        <v>#DIV/0!</v>
      </c>
      <c r="N195" s="111">
        <f t="shared" si="504"/>
        <v>8.1479990087969281</v>
      </c>
      <c r="O195" s="33" t="e">
        <f t="shared" si="285"/>
        <v>#DIV/0!</v>
      </c>
      <c r="P195" s="33" t="e">
        <f t="shared" si="286"/>
        <v>#DIV/0!</v>
      </c>
      <c r="Q195" s="112"/>
      <c r="R195" s="112">
        <v>7802</v>
      </c>
      <c r="S195" s="33">
        <f t="shared" si="287"/>
        <v>-1</v>
      </c>
      <c r="T195" s="33">
        <f t="shared" si="288"/>
        <v>-1</v>
      </c>
      <c r="U195" s="112"/>
      <c r="V195" s="112">
        <v>106</v>
      </c>
      <c r="W195" s="33">
        <f t="shared" si="289"/>
        <v>-1</v>
      </c>
      <c r="X195" s="33">
        <f t="shared" si="290"/>
        <v>-1</v>
      </c>
      <c r="Y195" s="113" t="e">
        <f t="shared" si="502"/>
        <v>#DIV/0!</v>
      </c>
      <c r="Z195" s="113">
        <f t="shared" si="502"/>
        <v>1.3586259933350423E-2</v>
      </c>
      <c r="AA195" s="33" t="e">
        <f t="shared" si="291"/>
        <v>#DIV/0!</v>
      </c>
      <c r="AB195" s="33" t="e">
        <f t="shared" si="292"/>
        <v>#DIV/0!</v>
      </c>
      <c r="AC195" s="114" t="e">
        <f t="shared" si="17"/>
        <v>#DIV/0!</v>
      </c>
      <c r="AD195" s="114">
        <f t="shared" si="17"/>
        <v>99.264150943396231</v>
      </c>
      <c r="AE195" s="33" t="e">
        <f t="shared" si="293"/>
        <v>#DIV/0!</v>
      </c>
      <c r="AF195" s="33" t="e">
        <f t="shared" si="294"/>
        <v>#DIV/0!</v>
      </c>
      <c r="AG195" s="112"/>
      <c r="AH195" s="112">
        <v>5470</v>
      </c>
      <c r="AI195" s="33">
        <f t="shared" si="295"/>
        <v>-1</v>
      </c>
      <c r="AJ195" s="33">
        <f t="shared" si="296"/>
        <v>-1</v>
      </c>
      <c r="AK195" s="112"/>
      <c r="AL195" s="112">
        <v>21954</v>
      </c>
      <c r="AM195" s="150">
        <f t="shared" si="297"/>
        <v>-1</v>
      </c>
      <c r="AN195" s="267">
        <f t="shared" si="298"/>
        <v>-1</v>
      </c>
      <c r="AO195" s="110" t="e">
        <f t="shared" si="11"/>
        <v>#DIV/0!</v>
      </c>
      <c r="AP195" s="110">
        <f t="shared" si="11"/>
        <v>0.2491573289605539</v>
      </c>
      <c r="AQ195" s="33" t="e">
        <f t="shared" si="299"/>
        <v>#DIV/0!</v>
      </c>
      <c r="AR195" s="33" t="e">
        <f t="shared" si="300"/>
        <v>#DIV/0!</v>
      </c>
      <c r="AS195" s="23"/>
    </row>
    <row r="196" spans="1:45" ht="15.75" x14ac:dyDescent="0.25">
      <c r="A196" s="37" t="s">
        <v>88</v>
      </c>
      <c r="B196" s="37" t="s">
        <v>89</v>
      </c>
      <c r="C196" s="38">
        <f t="shared" si="465"/>
        <v>43070</v>
      </c>
      <c r="D196" s="37" t="s">
        <v>30</v>
      </c>
      <c r="E196" s="109"/>
      <c r="F196" s="109">
        <v>1670</v>
      </c>
      <c r="G196" s="33">
        <f t="shared" si="279"/>
        <v>-1</v>
      </c>
      <c r="H196" s="33">
        <f t="shared" si="280"/>
        <v>-1</v>
      </c>
      <c r="I196" s="109"/>
      <c r="J196" s="111">
        <v>6981.33</v>
      </c>
      <c r="K196" s="33">
        <f t="shared" si="281"/>
        <v>-1</v>
      </c>
      <c r="L196" s="33">
        <f t="shared" si="282"/>
        <v>-1</v>
      </c>
      <c r="M196" s="111" t="e">
        <f t="shared" si="503"/>
        <v>#DIV/0!</v>
      </c>
      <c r="N196" s="111">
        <f t="shared" si="504"/>
        <v>0.23920943430549765</v>
      </c>
      <c r="O196" s="33" t="e">
        <f t="shared" si="285"/>
        <v>#DIV/0!</v>
      </c>
      <c r="P196" s="33" t="e">
        <f t="shared" si="286"/>
        <v>#DIV/0!</v>
      </c>
      <c r="Q196" s="112"/>
      <c r="R196" s="112">
        <v>5541</v>
      </c>
      <c r="S196" s="33">
        <f t="shared" si="287"/>
        <v>-1</v>
      </c>
      <c r="T196" s="33">
        <f t="shared" si="288"/>
        <v>-1</v>
      </c>
      <c r="U196" s="112"/>
      <c r="V196" s="112">
        <v>27</v>
      </c>
      <c r="W196" s="33">
        <f t="shared" si="289"/>
        <v>-1</v>
      </c>
      <c r="X196" s="33">
        <f t="shared" si="290"/>
        <v>-1</v>
      </c>
      <c r="Y196" s="113" t="e">
        <f t="shared" si="502"/>
        <v>#DIV/0!</v>
      </c>
      <c r="Z196" s="113">
        <f t="shared" si="502"/>
        <v>4.8727666486193828E-3</v>
      </c>
      <c r="AA196" s="33" t="e">
        <f t="shared" si="291"/>
        <v>#DIV/0!</v>
      </c>
      <c r="AB196" s="33" t="e">
        <f t="shared" si="292"/>
        <v>#DIV/0!</v>
      </c>
      <c r="AC196" s="114" t="e">
        <f t="shared" si="17"/>
        <v>#DIV/0!</v>
      </c>
      <c r="AD196" s="114">
        <f t="shared" si="17"/>
        <v>61.851851851851855</v>
      </c>
      <c r="AE196" s="33" t="e">
        <f t="shared" si="293"/>
        <v>#DIV/0!</v>
      </c>
      <c r="AF196" s="33" t="e">
        <f t="shared" si="294"/>
        <v>#DIV/0!</v>
      </c>
      <c r="AG196" s="112"/>
      <c r="AH196" s="112">
        <v>5030</v>
      </c>
      <c r="AI196" s="33">
        <f t="shared" si="295"/>
        <v>-1</v>
      </c>
      <c r="AJ196" s="33">
        <f t="shared" si="296"/>
        <v>-1</v>
      </c>
      <c r="AK196" s="112"/>
      <c r="AL196" s="112">
        <v>70018</v>
      </c>
      <c r="AM196" s="150">
        <f t="shared" si="297"/>
        <v>-1</v>
      </c>
      <c r="AN196" s="267">
        <f t="shared" si="298"/>
        <v>-1</v>
      </c>
      <c r="AO196" s="110" t="e">
        <f t="shared" si="11"/>
        <v>#DIV/0!</v>
      </c>
      <c r="AP196" s="110">
        <f t="shared" si="11"/>
        <v>7.1838670056271245E-2</v>
      </c>
      <c r="AQ196" s="33" t="e">
        <f t="shared" si="299"/>
        <v>#DIV/0!</v>
      </c>
      <c r="AR196" s="33" t="e">
        <f t="shared" si="300"/>
        <v>#DIV/0!</v>
      </c>
      <c r="AS196" s="23"/>
    </row>
    <row r="197" spans="1:45" ht="15.75" x14ac:dyDescent="0.25">
      <c r="A197" s="37" t="s">
        <v>88</v>
      </c>
      <c r="B197" s="37" t="s">
        <v>89</v>
      </c>
      <c r="C197" s="38">
        <f t="shared" si="465"/>
        <v>43070</v>
      </c>
      <c r="D197" s="260" t="s">
        <v>228</v>
      </c>
      <c r="E197" s="109"/>
      <c r="F197" s="109"/>
      <c r="G197" s="33">
        <f t="shared" si="279"/>
        <v>-1</v>
      </c>
      <c r="H197" s="33" t="e">
        <f t="shared" si="280"/>
        <v>#DIV/0!</v>
      </c>
      <c r="I197" s="109"/>
      <c r="J197" s="111"/>
      <c r="K197" s="33">
        <f t="shared" si="281"/>
        <v>-1</v>
      </c>
      <c r="L197" s="33" t="e">
        <f t="shared" si="282"/>
        <v>#DIV/0!</v>
      </c>
      <c r="M197" s="111"/>
      <c r="N197" s="111"/>
      <c r="O197" s="33">
        <f t="shared" si="285"/>
        <v>-1</v>
      </c>
      <c r="P197" s="33" t="e">
        <f t="shared" si="286"/>
        <v>#DIV/0!</v>
      </c>
      <c r="Q197" s="112"/>
      <c r="R197" s="112"/>
      <c r="S197" s="33">
        <f t="shared" si="287"/>
        <v>-1</v>
      </c>
      <c r="T197" s="33" t="e">
        <f t="shared" si="288"/>
        <v>#DIV/0!</v>
      </c>
      <c r="U197" s="112"/>
      <c r="V197" s="112"/>
      <c r="W197" s="33">
        <f t="shared" si="289"/>
        <v>-1</v>
      </c>
      <c r="X197" s="33" t="e">
        <f t="shared" si="290"/>
        <v>#DIV/0!</v>
      </c>
      <c r="Y197" s="113"/>
      <c r="Z197" s="113"/>
      <c r="AA197" s="33">
        <f t="shared" si="291"/>
        <v>-1</v>
      </c>
      <c r="AB197" s="33" t="e">
        <f t="shared" si="292"/>
        <v>#DIV/0!</v>
      </c>
      <c r="AC197" s="114"/>
      <c r="AD197" s="114"/>
      <c r="AE197" s="33">
        <f t="shared" si="293"/>
        <v>-1</v>
      </c>
      <c r="AF197" s="33" t="e">
        <f t="shared" si="294"/>
        <v>#DIV/0!</v>
      </c>
      <c r="AG197" s="112"/>
      <c r="AH197" s="112"/>
      <c r="AI197" s="33">
        <f t="shared" si="295"/>
        <v>-1</v>
      </c>
      <c r="AJ197" s="33" t="e">
        <f t="shared" si="296"/>
        <v>#DIV/0!</v>
      </c>
      <c r="AK197" s="112"/>
      <c r="AL197" s="112"/>
      <c r="AM197" s="150">
        <f t="shared" si="297"/>
        <v>-1</v>
      </c>
      <c r="AN197" s="267" t="e">
        <f t="shared" si="298"/>
        <v>#DIV/0!</v>
      </c>
      <c r="AO197" s="110"/>
      <c r="AP197" s="110"/>
      <c r="AQ197" s="33">
        <f t="shared" si="299"/>
        <v>-1</v>
      </c>
      <c r="AR197" s="33" t="e">
        <f t="shared" si="300"/>
        <v>#DIV/0!</v>
      </c>
      <c r="AS197" s="36"/>
    </row>
    <row r="198" spans="1:45" ht="15.75" customHeight="1" x14ac:dyDescent="0.3">
      <c r="A198" s="29" t="s">
        <v>88</v>
      </c>
      <c r="B198" s="29" t="s">
        <v>90</v>
      </c>
      <c r="C198" s="30">
        <f t="shared" si="465"/>
        <v>43077</v>
      </c>
      <c r="D198" s="31" t="s">
        <v>28</v>
      </c>
      <c r="E198" s="32">
        <f>SUM(E199:E201)</f>
        <v>0</v>
      </c>
      <c r="F198" s="32">
        <f>SUM(F199:F201)</f>
        <v>12850</v>
      </c>
      <c r="G198" s="33" t="e">
        <f t="shared" si="279"/>
        <v>#DIV/0!</v>
      </c>
      <c r="H198" s="33">
        <f t="shared" si="280"/>
        <v>-1</v>
      </c>
      <c r="I198" s="32">
        <f>SUM(I199:I201)</f>
        <v>0</v>
      </c>
      <c r="J198" s="32">
        <f>SUM(J199:J201)</f>
        <v>3733.8399999999997</v>
      </c>
      <c r="K198" s="33" t="e">
        <f t="shared" si="281"/>
        <v>#DIV/0!</v>
      </c>
      <c r="L198" s="33">
        <f t="shared" si="282"/>
        <v>-1</v>
      </c>
      <c r="M198" s="34" t="e">
        <f t="shared" ref="M198" si="605">E198/I198</f>
        <v>#DIV/0!</v>
      </c>
      <c r="N198" s="34">
        <f t="shared" ref="N198" si="606">F198/J198</f>
        <v>3.4414972253765561</v>
      </c>
      <c r="O198" s="33" t="e">
        <f t="shared" si="285"/>
        <v>#DIV/0!</v>
      </c>
      <c r="P198" s="33" t="e">
        <f t="shared" si="286"/>
        <v>#DIV/0!</v>
      </c>
      <c r="Q198" s="35">
        <f>SUM(Q199:Q201)</f>
        <v>0</v>
      </c>
      <c r="R198" s="35">
        <f>SUM(R199:R201)</f>
        <v>9723</v>
      </c>
      <c r="S198" s="33" t="e">
        <f t="shared" si="287"/>
        <v>#DIV/0!</v>
      </c>
      <c r="T198" s="33">
        <f t="shared" si="288"/>
        <v>-1</v>
      </c>
      <c r="U198" s="35">
        <f>SUM(U199:U201)</f>
        <v>0</v>
      </c>
      <c r="V198" s="35">
        <f>SUM(V199:V201)</f>
        <v>130</v>
      </c>
      <c r="W198" s="33" t="e">
        <f t="shared" si="289"/>
        <v>#DIV/0!</v>
      </c>
      <c r="X198" s="33">
        <f t="shared" si="290"/>
        <v>-1</v>
      </c>
      <c r="Y198" s="88" t="e">
        <f t="shared" ref="Y198" si="607">U198/Q198</f>
        <v>#DIV/0!</v>
      </c>
      <c r="Z198" s="88">
        <f t="shared" ref="Z198" si="608">V198/R198</f>
        <v>1.3370358942713155E-2</v>
      </c>
      <c r="AA198" s="33" t="e">
        <f t="shared" si="291"/>
        <v>#DIV/0!</v>
      </c>
      <c r="AB198" s="33" t="e">
        <f t="shared" si="292"/>
        <v>#DIV/0!</v>
      </c>
      <c r="AC198" s="97" t="e">
        <f t="shared" ref="AC198" si="609">E198/U198</f>
        <v>#DIV/0!</v>
      </c>
      <c r="AD198" s="145">
        <f t="shared" ref="AD198" si="610">F198/V198</f>
        <v>98.84615384615384</v>
      </c>
      <c r="AE198" s="33" t="e">
        <f t="shared" si="293"/>
        <v>#DIV/0!</v>
      </c>
      <c r="AF198" s="33" t="e">
        <f t="shared" si="294"/>
        <v>#DIV/0!</v>
      </c>
      <c r="AG198" s="35">
        <f>SUM(AG199:AG201)</f>
        <v>0</v>
      </c>
      <c r="AH198" s="35">
        <f>SUM(AH199:AH201)</f>
        <v>7649</v>
      </c>
      <c r="AI198" s="33" t="e">
        <f t="shared" si="295"/>
        <v>#DIV/0!</v>
      </c>
      <c r="AJ198" s="33">
        <f t="shared" si="296"/>
        <v>-1</v>
      </c>
      <c r="AK198" s="35">
        <f>SUM(AK199:AK201)</f>
        <v>0</v>
      </c>
      <c r="AL198" s="35">
        <f>SUM(AL199:AL201)</f>
        <v>45984</v>
      </c>
      <c r="AM198" s="150" t="e">
        <f t="shared" si="297"/>
        <v>#DIV/0!</v>
      </c>
      <c r="AN198" s="267">
        <f t="shared" si="298"/>
        <v>-1</v>
      </c>
      <c r="AO198" s="33" t="e">
        <f t="shared" ref="AO198" si="611">AG198/AK198</f>
        <v>#DIV/0!</v>
      </c>
      <c r="AP198" s="33">
        <f t="shared" ref="AP198" si="612">AH198/AL198</f>
        <v>0.16634046624913013</v>
      </c>
      <c r="AQ198" s="33" t="e">
        <f t="shared" si="299"/>
        <v>#DIV/0!</v>
      </c>
      <c r="AR198" s="33" t="e">
        <f t="shared" si="300"/>
        <v>#DIV/0!</v>
      </c>
      <c r="AS198" s="23"/>
    </row>
    <row r="199" spans="1:45" ht="15.75" x14ac:dyDescent="0.25">
      <c r="A199" s="37" t="s">
        <v>88</v>
      </c>
      <c r="B199" s="37" t="s">
        <v>90</v>
      </c>
      <c r="C199" s="38">
        <f t="shared" si="465"/>
        <v>43077</v>
      </c>
      <c r="D199" s="37" t="s">
        <v>29</v>
      </c>
      <c r="E199" s="109"/>
      <c r="F199" s="109">
        <f>12446</f>
        <v>12446</v>
      </c>
      <c r="G199" s="33" t="e">
        <f t="shared" ref="G199:G209" si="613">(E199-E195)/E195</f>
        <v>#DIV/0!</v>
      </c>
      <c r="H199" s="33">
        <f t="shared" ref="H199:H209" si="614">(E199-F199)/F199</f>
        <v>-1</v>
      </c>
      <c r="I199" s="109"/>
      <c r="J199" s="111">
        <f>828.86+34.08</f>
        <v>862.94</v>
      </c>
      <c r="K199" s="33" t="e">
        <f t="shared" ref="K199:K209" si="615">(I199-I195)/I195</f>
        <v>#DIV/0!</v>
      </c>
      <c r="L199" s="33">
        <f t="shared" ref="L199:L209" si="616">(I199-J199)/J199</f>
        <v>-1</v>
      </c>
      <c r="M199" s="111" t="e">
        <f t="shared" si="503"/>
        <v>#DIV/0!</v>
      </c>
      <c r="N199" s="111">
        <f t="shared" si="504"/>
        <v>14.422787215797158</v>
      </c>
      <c r="O199" s="33" t="e">
        <f t="shared" ref="O199:O209" si="617">(M199-M195)/M195</f>
        <v>#DIV/0!</v>
      </c>
      <c r="P199" s="33" t="e">
        <f t="shared" ref="P199:P209" si="618">(M199-N199)/N199</f>
        <v>#DIV/0!</v>
      </c>
      <c r="Q199" s="112"/>
      <c r="R199" s="112">
        <v>6907</v>
      </c>
      <c r="S199" s="33" t="e">
        <f t="shared" ref="S199:S209" si="619">(Q199-Q195)/Q195</f>
        <v>#DIV/0!</v>
      </c>
      <c r="T199" s="33">
        <f t="shared" ref="T199:T209" si="620">(Q199-R199)/R199</f>
        <v>-1</v>
      </c>
      <c r="U199" s="112"/>
      <c r="V199" s="112">
        <v>123</v>
      </c>
      <c r="W199" s="33" t="e">
        <f t="shared" ref="W199:W209" si="621">(U199-U195)/U195</f>
        <v>#DIV/0!</v>
      </c>
      <c r="X199" s="33">
        <f t="shared" ref="X199:X209" si="622">(U199-V199)/V199</f>
        <v>-1</v>
      </c>
      <c r="Y199" s="113" t="e">
        <f t="shared" si="502"/>
        <v>#DIV/0!</v>
      </c>
      <c r="Z199" s="113">
        <f t="shared" si="502"/>
        <v>1.7808020848414652E-2</v>
      </c>
      <c r="AA199" s="33" t="e">
        <f t="shared" ref="AA199:AA209" si="623">(Y199-Y195)/Y195</f>
        <v>#DIV/0!</v>
      </c>
      <c r="AB199" s="33" t="e">
        <f t="shared" ref="AB199:AB209" si="624">(Y199-Z199)/Z199</f>
        <v>#DIV/0!</v>
      </c>
      <c r="AC199" s="114" t="e">
        <f t="shared" si="17"/>
        <v>#DIV/0!</v>
      </c>
      <c r="AD199" s="114">
        <f t="shared" si="17"/>
        <v>101.1869918699187</v>
      </c>
      <c r="AE199" s="33" t="e">
        <f t="shared" ref="AE199:AE209" si="625">(AC199-AC195)/AC195</f>
        <v>#DIV/0!</v>
      </c>
      <c r="AF199" s="33" t="e">
        <f t="shared" ref="AF199:AF209" si="626">(AC199-AD199)/AD199</f>
        <v>#DIV/0!</v>
      </c>
      <c r="AG199" s="112"/>
      <c r="AH199" s="112">
        <f>5014+201</f>
        <v>5215</v>
      </c>
      <c r="AI199" s="33" t="e">
        <f t="shared" ref="AI199:AI209" si="627">(AG199-AG195)/AG195</f>
        <v>#DIV/0!</v>
      </c>
      <c r="AJ199" s="33">
        <f t="shared" ref="AJ199:AJ209" si="628">(AG199-AH199)/AH199</f>
        <v>-1</v>
      </c>
      <c r="AK199" s="112"/>
      <c r="AL199" s="112">
        <f>11434+569</f>
        <v>12003</v>
      </c>
      <c r="AM199" s="150" t="e">
        <f t="shared" ref="AM199:AM209" si="629">(AK199-AK195)/AK195</f>
        <v>#DIV/0!</v>
      </c>
      <c r="AN199" s="267">
        <f t="shared" ref="AN199:AN209" si="630">(AK199-AL199)/AL199</f>
        <v>-1</v>
      </c>
      <c r="AO199" s="110" t="e">
        <f t="shared" si="11"/>
        <v>#DIV/0!</v>
      </c>
      <c r="AP199" s="110">
        <f t="shared" si="11"/>
        <v>0.43447471465466969</v>
      </c>
      <c r="AQ199" s="33" t="e">
        <f t="shared" ref="AQ199:AQ209" si="631">(AO199-AO195)/AO195</f>
        <v>#DIV/0!</v>
      </c>
      <c r="AR199" s="33" t="e">
        <f t="shared" ref="AR199:AR209" si="632">(AO199-AP199)/AP199</f>
        <v>#DIV/0!</v>
      </c>
      <c r="AS199" s="23"/>
    </row>
    <row r="200" spans="1:45" ht="15.75" x14ac:dyDescent="0.25">
      <c r="A200" s="37" t="s">
        <v>88</v>
      </c>
      <c r="B200" s="37" t="s">
        <v>90</v>
      </c>
      <c r="C200" s="38">
        <f t="shared" si="465"/>
        <v>43077</v>
      </c>
      <c r="D200" s="37" t="s">
        <v>30</v>
      </c>
      <c r="E200" s="109"/>
      <c r="F200" s="109">
        <f>404</f>
        <v>404</v>
      </c>
      <c r="G200" s="33" t="e">
        <f t="shared" si="613"/>
        <v>#DIV/0!</v>
      </c>
      <c r="H200" s="33">
        <f t="shared" si="614"/>
        <v>-1</v>
      </c>
      <c r="I200" s="109"/>
      <c r="J200" s="111">
        <f>2683.39+187.51</f>
        <v>2870.8999999999996</v>
      </c>
      <c r="K200" s="33" t="e">
        <f t="shared" si="615"/>
        <v>#DIV/0!</v>
      </c>
      <c r="L200" s="33">
        <f t="shared" si="616"/>
        <v>-1</v>
      </c>
      <c r="M200" s="111" t="e">
        <f t="shared" si="503"/>
        <v>#DIV/0!</v>
      </c>
      <c r="N200" s="111">
        <f t="shared" si="504"/>
        <v>0.14072242154028355</v>
      </c>
      <c r="O200" s="33" t="e">
        <f t="shared" si="617"/>
        <v>#DIV/0!</v>
      </c>
      <c r="P200" s="33" t="e">
        <f t="shared" si="618"/>
        <v>#DIV/0!</v>
      </c>
      <c r="Q200" s="112"/>
      <c r="R200" s="112">
        <v>2816</v>
      </c>
      <c r="S200" s="33" t="e">
        <f t="shared" si="619"/>
        <v>#DIV/0!</v>
      </c>
      <c r="T200" s="33">
        <f t="shared" si="620"/>
        <v>-1</v>
      </c>
      <c r="U200" s="112"/>
      <c r="V200" s="112">
        <v>7</v>
      </c>
      <c r="W200" s="33" t="e">
        <f t="shared" si="621"/>
        <v>#DIV/0!</v>
      </c>
      <c r="X200" s="33">
        <f t="shared" si="622"/>
        <v>-1</v>
      </c>
      <c r="Y200" s="113" t="e">
        <f t="shared" si="502"/>
        <v>#DIV/0!</v>
      </c>
      <c r="Z200" s="113">
        <f t="shared" si="502"/>
        <v>2.4857954545454545E-3</v>
      </c>
      <c r="AA200" s="33" t="e">
        <f t="shared" si="623"/>
        <v>#DIV/0!</v>
      </c>
      <c r="AB200" s="33" t="e">
        <f t="shared" si="624"/>
        <v>#DIV/0!</v>
      </c>
      <c r="AC200" s="114" t="e">
        <f t="shared" si="17"/>
        <v>#DIV/0!</v>
      </c>
      <c r="AD200" s="114">
        <f t="shared" si="17"/>
        <v>57.714285714285715</v>
      </c>
      <c r="AE200" s="33" t="e">
        <f t="shared" si="625"/>
        <v>#DIV/0!</v>
      </c>
      <c r="AF200" s="33" t="e">
        <f t="shared" si="626"/>
        <v>#DIV/0!</v>
      </c>
      <c r="AG200" s="112"/>
      <c r="AH200" s="112">
        <f>2211+223</f>
        <v>2434</v>
      </c>
      <c r="AI200" s="33" t="e">
        <f t="shared" si="627"/>
        <v>#DIV/0!</v>
      </c>
      <c r="AJ200" s="33">
        <f t="shared" si="628"/>
        <v>-1</v>
      </c>
      <c r="AK200" s="112"/>
      <c r="AL200" s="112">
        <f>32083+1898</f>
        <v>33981</v>
      </c>
      <c r="AM200" s="150" t="e">
        <f t="shared" si="629"/>
        <v>#DIV/0!</v>
      </c>
      <c r="AN200" s="267">
        <f t="shared" si="630"/>
        <v>-1</v>
      </c>
      <c r="AO200" s="110" t="e">
        <f t="shared" si="11"/>
        <v>#DIV/0!</v>
      </c>
      <c r="AP200" s="110">
        <f t="shared" si="11"/>
        <v>7.1628262852770672E-2</v>
      </c>
      <c r="AQ200" s="33" t="e">
        <f t="shared" si="631"/>
        <v>#DIV/0!</v>
      </c>
      <c r="AR200" s="33" t="e">
        <f t="shared" si="632"/>
        <v>#DIV/0!</v>
      </c>
      <c r="AS200" s="23"/>
    </row>
    <row r="201" spans="1:45" ht="15.75" x14ac:dyDescent="0.25">
      <c r="A201" s="37" t="s">
        <v>88</v>
      </c>
      <c r="B201" s="37" t="s">
        <v>90</v>
      </c>
      <c r="C201" s="38">
        <f t="shared" si="465"/>
        <v>43077</v>
      </c>
      <c r="D201" s="260" t="s">
        <v>228</v>
      </c>
      <c r="E201" s="109"/>
      <c r="F201" s="109"/>
      <c r="G201" s="33" t="e">
        <f t="shared" si="613"/>
        <v>#DIV/0!</v>
      </c>
      <c r="H201" s="33" t="e">
        <f t="shared" si="614"/>
        <v>#DIV/0!</v>
      </c>
      <c r="I201" s="109"/>
      <c r="J201" s="111"/>
      <c r="K201" s="33" t="e">
        <f t="shared" si="615"/>
        <v>#DIV/0!</v>
      </c>
      <c r="L201" s="33" t="e">
        <f t="shared" si="616"/>
        <v>#DIV/0!</v>
      </c>
      <c r="M201" s="111"/>
      <c r="N201" s="111"/>
      <c r="O201" s="33" t="e">
        <f t="shared" si="617"/>
        <v>#DIV/0!</v>
      </c>
      <c r="P201" s="33" t="e">
        <f t="shared" si="618"/>
        <v>#DIV/0!</v>
      </c>
      <c r="Q201" s="112"/>
      <c r="R201" s="112"/>
      <c r="S201" s="33" t="e">
        <f t="shared" si="619"/>
        <v>#DIV/0!</v>
      </c>
      <c r="T201" s="33" t="e">
        <f t="shared" si="620"/>
        <v>#DIV/0!</v>
      </c>
      <c r="U201" s="112"/>
      <c r="V201" s="112"/>
      <c r="W201" s="33" t="e">
        <f t="shared" si="621"/>
        <v>#DIV/0!</v>
      </c>
      <c r="X201" s="33" t="e">
        <f t="shared" si="622"/>
        <v>#DIV/0!</v>
      </c>
      <c r="Y201" s="113"/>
      <c r="Z201" s="113"/>
      <c r="AA201" s="33" t="e">
        <f t="shared" si="623"/>
        <v>#DIV/0!</v>
      </c>
      <c r="AB201" s="33" t="e">
        <f t="shared" si="624"/>
        <v>#DIV/0!</v>
      </c>
      <c r="AC201" s="114"/>
      <c r="AD201" s="114"/>
      <c r="AE201" s="33" t="e">
        <f t="shared" si="625"/>
        <v>#DIV/0!</v>
      </c>
      <c r="AF201" s="33" t="e">
        <f t="shared" si="626"/>
        <v>#DIV/0!</v>
      </c>
      <c r="AG201" s="112"/>
      <c r="AH201" s="112"/>
      <c r="AI201" s="33" t="e">
        <f t="shared" si="627"/>
        <v>#DIV/0!</v>
      </c>
      <c r="AJ201" s="33" t="e">
        <f t="shared" si="628"/>
        <v>#DIV/0!</v>
      </c>
      <c r="AK201" s="112"/>
      <c r="AL201" s="112"/>
      <c r="AM201" s="150" t="e">
        <f t="shared" si="629"/>
        <v>#DIV/0!</v>
      </c>
      <c r="AN201" s="267" t="e">
        <f t="shared" si="630"/>
        <v>#DIV/0!</v>
      </c>
      <c r="AO201" s="110"/>
      <c r="AP201" s="110"/>
      <c r="AQ201" s="33" t="e">
        <f t="shared" si="631"/>
        <v>#DIV/0!</v>
      </c>
      <c r="AR201" s="33" t="e">
        <f t="shared" si="632"/>
        <v>#DIV/0!</v>
      </c>
      <c r="AS201" s="36"/>
    </row>
    <row r="202" spans="1:45" ht="15.75" customHeight="1" x14ac:dyDescent="0.3">
      <c r="A202" s="29" t="s">
        <v>88</v>
      </c>
      <c r="B202" s="29" t="s">
        <v>91</v>
      </c>
      <c r="C202" s="30">
        <f t="shared" ref="C202:C209" si="633">C198+7</f>
        <v>43084</v>
      </c>
      <c r="D202" s="31" t="s">
        <v>28</v>
      </c>
      <c r="E202" s="32">
        <f>SUM(E203:E205)</f>
        <v>0</v>
      </c>
      <c r="F202" s="32">
        <f>SUM(F203:F205)</f>
        <v>10480</v>
      </c>
      <c r="G202" s="33" t="e">
        <f t="shared" si="613"/>
        <v>#DIV/0!</v>
      </c>
      <c r="H202" s="33">
        <f t="shared" si="614"/>
        <v>-1</v>
      </c>
      <c r="I202" s="32">
        <f>SUM(I203:I205)</f>
        <v>0</v>
      </c>
      <c r="J202" s="32">
        <f>SUM(J203:J205)</f>
        <v>3636.18</v>
      </c>
      <c r="K202" s="33" t="e">
        <f t="shared" si="615"/>
        <v>#DIV/0!</v>
      </c>
      <c r="L202" s="33">
        <f t="shared" si="616"/>
        <v>-1</v>
      </c>
      <c r="M202" s="34" t="e">
        <f t="shared" ref="M202" si="634">E202/I202</f>
        <v>#DIV/0!</v>
      </c>
      <c r="N202" s="34">
        <f t="shared" ref="N202" si="635">F202/J202</f>
        <v>2.8821455483501919</v>
      </c>
      <c r="O202" s="33" t="e">
        <f t="shared" si="617"/>
        <v>#DIV/0!</v>
      </c>
      <c r="P202" s="33" t="e">
        <f t="shared" si="618"/>
        <v>#DIV/0!</v>
      </c>
      <c r="Q202" s="35">
        <f>SUM(Q203:Q205)</f>
        <v>0</v>
      </c>
      <c r="R202" s="35">
        <f>SUM(R203:R205)</f>
        <v>9386</v>
      </c>
      <c r="S202" s="33" t="e">
        <f t="shared" si="619"/>
        <v>#DIV/0!</v>
      </c>
      <c r="T202" s="33">
        <f t="shared" si="620"/>
        <v>-1</v>
      </c>
      <c r="U202" s="35">
        <f>SUM(U203:U205)</f>
        <v>0</v>
      </c>
      <c r="V202" s="35">
        <f>SUM(V203:V205)</f>
        <v>85</v>
      </c>
      <c r="W202" s="33" t="e">
        <f t="shared" si="621"/>
        <v>#DIV/0!</v>
      </c>
      <c r="X202" s="33">
        <f t="shared" si="622"/>
        <v>-1</v>
      </c>
      <c r="Y202" s="88" t="e">
        <f t="shared" ref="Y202" si="636">U202/Q202</f>
        <v>#DIV/0!</v>
      </c>
      <c r="Z202" s="88">
        <f t="shared" ref="Z202" si="637">V202/R202</f>
        <v>9.0560409119965907E-3</v>
      </c>
      <c r="AA202" s="33" t="e">
        <f t="shared" si="623"/>
        <v>#DIV/0!</v>
      </c>
      <c r="AB202" s="33" t="e">
        <f t="shared" si="624"/>
        <v>#DIV/0!</v>
      </c>
      <c r="AC202" s="97" t="e">
        <f t="shared" ref="AC202" si="638">E202/U202</f>
        <v>#DIV/0!</v>
      </c>
      <c r="AD202" s="145">
        <f t="shared" ref="AD202" si="639">F202/V202</f>
        <v>123.29411764705883</v>
      </c>
      <c r="AE202" s="33" t="e">
        <f t="shared" si="625"/>
        <v>#DIV/0!</v>
      </c>
      <c r="AF202" s="33" t="e">
        <f t="shared" si="626"/>
        <v>#DIV/0!</v>
      </c>
      <c r="AG202" s="35">
        <f>SUM(AG203:AG205)</f>
        <v>0</v>
      </c>
      <c r="AH202" s="35">
        <f>SUM(AH203:AH205)</f>
        <v>7482</v>
      </c>
      <c r="AI202" s="33" t="e">
        <f t="shared" si="627"/>
        <v>#DIV/0!</v>
      </c>
      <c r="AJ202" s="33">
        <f t="shared" si="628"/>
        <v>-1</v>
      </c>
      <c r="AK202" s="35">
        <f>SUM(AK203:AK205)</f>
        <v>0</v>
      </c>
      <c r="AL202" s="35">
        <f>SUM(AL203:AL205)</f>
        <v>47799</v>
      </c>
      <c r="AM202" s="150" t="e">
        <f t="shared" si="629"/>
        <v>#DIV/0!</v>
      </c>
      <c r="AN202" s="267">
        <f t="shared" si="630"/>
        <v>-1</v>
      </c>
      <c r="AO202" s="33" t="e">
        <f t="shared" ref="AO202" si="640">AG202/AK202</f>
        <v>#DIV/0!</v>
      </c>
      <c r="AP202" s="33">
        <f t="shared" ref="AP202" si="641">AH202/AL202</f>
        <v>0.15653047134877299</v>
      </c>
      <c r="AQ202" s="33" t="e">
        <f t="shared" si="631"/>
        <v>#DIV/0!</v>
      </c>
      <c r="AR202" s="33" t="e">
        <f t="shared" si="632"/>
        <v>#DIV/0!</v>
      </c>
      <c r="AS202" s="23"/>
    </row>
    <row r="203" spans="1:45" ht="15.75" x14ac:dyDescent="0.25">
      <c r="A203" s="37" t="s">
        <v>88</v>
      </c>
      <c r="B203" s="37" t="s">
        <v>91</v>
      </c>
      <c r="C203" s="38">
        <f t="shared" si="633"/>
        <v>43084</v>
      </c>
      <c r="D203" s="37" t="s">
        <v>29</v>
      </c>
      <c r="E203" s="109"/>
      <c r="F203" s="109">
        <v>9860</v>
      </c>
      <c r="G203" s="33" t="e">
        <f t="shared" si="613"/>
        <v>#DIV/0!</v>
      </c>
      <c r="H203" s="33">
        <f t="shared" si="614"/>
        <v>-1</v>
      </c>
      <c r="I203" s="109"/>
      <c r="J203" s="111">
        <f>693.41+24.54</f>
        <v>717.94999999999993</v>
      </c>
      <c r="K203" s="33" t="e">
        <f t="shared" si="615"/>
        <v>#DIV/0!</v>
      </c>
      <c r="L203" s="33">
        <f t="shared" si="616"/>
        <v>-1</v>
      </c>
      <c r="M203" s="111" t="e">
        <f t="shared" si="503"/>
        <v>#DIV/0!</v>
      </c>
      <c r="N203" s="111">
        <f t="shared" si="504"/>
        <v>13.73354690438053</v>
      </c>
      <c r="O203" s="33" t="e">
        <f t="shared" si="617"/>
        <v>#DIV/0!</v>
      </c>
      <c r="P203" s="33" t="e">
        <f t="shared" si="618"/>
        <v>#DIV/0!</v>
      </c>
      <c r="Q203" s="112"/>
      <c r="R203" s="112">
        <v>6385</v>
      </c>
      <c r="S203" s="33" t="e">
        <f t="shared" si="619"/>
        <v>#DIV/0!</v>
      </c>
      <c r="T203" s="33">
        <f t="shared" si="620"/>
        <v>-1</v>
      </c>
      <c r="U203" s="112"/>
      <c r="V203" s="112">
        <v>76</v>
      </c>
      <c r="W203" s="33" t="e">
        <f t="shared" si="621"/>
        <v>#DIV/0!</v>
      </c>
      <c r="X203" s="33">
        <f t="shared" si="622"/>
        <v>-1</v>
      </c>
      <c r="Y203" s="113" t="e">
        <f t="shared" si="502"/>
        <v>#DIV/0!</v>
      </c>
      <c r="Z203" s="113">
        <f t="shared" si="502"/>
        <v>1.1902897415818325E-2</v>
      </c>
      <c r="AA203" s="33" t="e">
        <f t="shared" si="623"/>
        <v>#DIV/0!</v>
      </c>
      <c r="AB203" s="33" t="e">
        <f t="shared" si="624"/>
        <v>#DIV/0!</v>
      </c>
      <c r="AC203" s="114" t="e">
        <f t="shared" si="17"/>
        <v>#DIV/0!</v>
      </c>
      <c r="AD203" s="114">
        <f t="shared" si="17"/>
        <v>129.73684210526315</v>
      </c>
      <c r="AE203" s="33" t="e">
        <f t="shared" si="625"/>
        <v>#DIV/0!</v>
      </c>
      <c r="AF203" s="33" t="e">
        <f t="shared" si="626"/>
        <v>#DIV/0!</v>
      </c>
      <c r="AG203" s="112"/>
      <c r="AH203" s="112">
        <f>4604+159</f>
        <v>4763</v>
      </c>
      <c r="AI203" s="33" t="e">
        <f t="shared" si="627"/>
        <v>#DIV/0!</v>
      </c>
      <c r="AJ203" s="33">
        <f t="shared" si="628"/>
        <v>-1</v>
      </c>
      <c r="AK203" s="112"/>
      <c r="AL203" s="112">
        <f>10667+365</f>
        <v>11032</v>
      </c>
      <c r="AM203" s="150" t="e">
        <f t="shared" si="629"/>
        <v>#DIV/0!</v>
      </c>
      <c r="AN203" s="267">
        <f t="shared" si="630"/>
        <v>-1</v>
      </c>
      <c r="AO203" s="110" t="e">
        <f t="shared" si="11"/>
        <v>#DIV/0!</v>
      </c>
      <c r="AP203" s="110">
        <f t="shared" si="11"/>
        <v>0.43174401740391588</v>
      </c>
      <c r="AQ203" s="33" t="e">
        <f t="shared" si="631"/>
        <v>#DIV/0!</v>
      </c>
      <c r="AR203" s="33" t="e">
        <f t="shared" si="632"/>
        <v>#DIV/0!</v>
      </c>
      <c r="AS203" s="23"/>
    </row>
    <row r="204" spans="1:45" ht="15.75" x14ac:dyDescent="0.25">
      <c r="A204" s="37" t="s">
        <v>88</v>
      </c>
      <c r="B204" s="37" t="s">
        <v>91</v>
      </c>
      <c r="C204" s="38">
        <f t="shared" si="633"/>
        <v>43084</v>
      </c>
      <c r="D204" s="37" t="s">
        <v>30</v>
      </c>
      <c r="E204" s="109"/>
      <c r="F204" s="109">
        <v>620</v>
      </c>
      <c r="G204" s="33" t="e">
        <f t="shared" si="613"/>
        <v>#DIV/0!</v>
      </c>
      <c r="H204" s="33">
        <f t="shared" si="614"/>
        <v>-1</v>
      </c>
      <c r="I204" s="109"/>
      <c r="J204" s="111">
        <f>2764.16+154.07</f>
        <v>2918.23</v>
      </c>
      <c r="K204" s="33" t="e">
        <f t="shared" si="615"/>
        <v>#DIV/0!</v>
      </c>
      <c r="L204" s="33">
        <f t="shared" si="616"/>
        <v>-1</v>
      </c>
      <c r="M204" s="111" t="e">
        <f t="shared" si="503"/>
        <v>#DIV/0!</v>
      </c>
      <c r="N204" s="111">
        <f t="shared" si="504"/>
        <v>0.21245755132391894</v>
      </c>
      <c r="O204" s="33" t="e">
        <f t="shared" si="617"/>
        <v>#DIV/0!</v>
      </c>
      <c r="P204" s="33" t="e">
        <f t="shared" si="618"/>
        <v>#DIV/0!</v>
      </c>
      <c r="Q204" s="112"/>
      <c r="R204" s="112">
        <v>3001</v>
      </c>
      <c r="S204" s="33" t="e">
        <f t="shared" si="619"/>
        <v>#DIV/0!</v>
      </c>
      <c r="T204" s="33">
        <f t="shared" si="620"/>
        <v>-1</v>
      </c>
      <c r="U204" s="112"/>
      <c r="V204" s="112">
        <v>9</v>
      </c>
      <c r="W204" s="33" t="e">
        <f t="shared" si="621"/>
        <v>#DIV/0!</v>
      </c>
      <c r="X204" s="33">
        <f t="shared" si="622"/>
        <v>-1</v>
      </c>
      <c r="Y204" s="113" t="e">
        <f t="shared" si="502"/>
        <v>#DIV/0!</v>
      </c>
      <c r="Z204" s="113">
        <f t="shared" si="502"/>
        <v>2.9990003332222592E-3</v>
      </c>
      <c r="AA204" s="33" t="e">
        <f t="shared" si="623"/>
        <v>#DIV/0!</v>
      </c>
      <c r="AB204" s="33" t="e">
        <f t="shared" si="624"/>
        <v>#DIV/0!</v>
      </c>
      <c r="AC204" s="114" t="e">
        <f t="shared" si="17"/>
        <v>#DIV/0!</v>
      </c>
      <c r="AD204" s="114">
        <f t="shared" si="17"/>
        <v>68.888888888888886</v>
      </c>
      <c r="AE204" s="33" t="e">
        <f t="shared" si="625"/>
        <v>#DIV/0!</v>
      </c>
      <c r="AF204" s="33" t="e">
        <f t="shared" si="626"/>
        <v>#DIV/0!</v>
      </c>
      <c r="AG204" s="112"/>
      <c r="AH204" s="112">
        <f>2530+189</f>
        <v>2719</v>
      </c>
      <c r="AI204" s="33" t="e">
        <f t="shared" si="627"/>
        <v>#DIV/0!</v>
      </c>
      <c r="AJ204" s="33">
        <f t="shared" si="628"/>
        <v>-1</v>
      </c>
      <c r="AK204" s="112"/>
      <c r="AL204" s="112">
        <f>34866+1901</f>
        <v>36767</v>
      </c>
      <c r="AM204" s="150" t="e">
        <f t="shared" si="629"/>
        <v>#DIV/0!</v>
      </c>
      <c r="AN204" s="267">
        <f t="shared" si="630"/>
        <v>-1</v>
      </c>
      <c r="AO204" s="110" t="e">
        <f t="shared" si="11"/>
        <v>#DIV/0!</v>
      </c>
      <c r="AP204" s="110">
        <f t="shared" si="11"/>
        <v>7.395218538363206E-2</v>
      </c>
      <c r="AQ204" s="33" t="e">
        <f t="shared" si="631"/>
        <v>#DIV/0!</v>
      </c>
      <c r="AR204" s="33" t="e">
        <f t="shared" si="632"/>
        <v>#DIV/0!</v>
      </c>
      <c r="AS204" s="23"/>
    </row>
    <row r="205" spans="1:45" ht="15.75" x14ac:dyDescent="0.25">
      <c r="A205" s="37" t="s">
        <v>88</v>
      </c>
      <c r="B205" s="37" t="s">
        <v>91</v>
      </c>
      <c r="C205" s="38">
        <f t="shared" si="633"/>
        <v>43084</v>
      </c>
      <c r="D205" s="260" t="s">
        <v>228</v>
      </c>
      <c r="E205" s="109"/>
      <c r="F205" s="109"/>
      <c r="G205" s="33" t="e">
        <f t="shared" si="613"/>
        <v>#DIV/0!</v>
      </c>
      <c r="H205" s="33" t="e">
        <f t="shared" si="614"/>
        <v>#DIV/0!</v>
      </c>
      <c r="I205" s="109"/>
      <c r="J205" s="111"/>
      <c r="K205" s="33" t="e">
        <f t="shared" si="615"/>
        <v>#DIV/0!</v>
      </c>
      <c r="L205" s="33" t="e">
        <f t="shared" si="616"/>
        <v>#DIV/0!</v>
      </c>
      <c r="M205" s="111"/>
      <c r="N205" s="111"/>
      <c r="O205" s="33" t="e">
        <f t="shared" si="617"/>
        <v>#DIV/0!</v>
      </c>
      <c r="P205" s="33" t="e">
        <f t="shared" si="618"/>
        <v>#DIV/0!</v>
      </c>
      <c r="Q205" s="112"/>
      <c r="R205" s="112"/>
      <c r="S205" s="33" t="e">
        <f t="shared" si="619"/>
        <v>#DIV/0!</v>
      </c>
      <c r="T205" s="33" t="e">
        <f t="shared" si="620"/>
        <v>#DIV/0!</v>
      </c>
      <c r="U205" s="112"/>
      <c r="V205" s="112"/>
      <c r="W205" s="33" t="e">
        <f t="shared" si="621"/>
        <v>#DIV/0!</v>
      </c>
      <c r="X205" s="33" t="e">
        <f t="shared" si="622"/>
        <v>#DIV/0!</v>
      </c>
      <c r="Y205" s="113"/>
      <c r="Z205" s="113"/>
      <c r="AA205" s="33" t="e">
        <f t="shared" si="623"/>
        <v>#DIV/0!</v>
      </c>
      <c r="AB205" s="33" t="e">
        <f t="shared" si="624"/>
        <v>#DIV/0!</v>
      </c>
      <c r="AC205" s="114"/>
      <c r="AD205" s="114"/>
      <c r="AE205" s="33" t="e">
        <f t="shared" si="625"/>
        <v>#DIV/0!</v>
      </c>
      <c r="AF205" s="33" t="e">
        <f t="shared" si="626"/>
        <v>#DIV/0!</v>
      </c>
      <c r="AG205" s="112"/>
      <c r="AH205" s="112"/>
      <c r="AI205" s="33" t="e">
        <f t="shared" si="627"/>
        <v>#DIV/0!</v>
      </c>
      <c r="AJ205" s="33" t="e">
        <f t="shared" si="628"/>
        <v>#DIV/0!</v>
      </c>
      <c r="AK205" s="112"/>
      <c r="AL205" s="112"/>
      <c r="AM205" s="150" t="e">
        <f t="shared" si="629"/>
        <v>#DIV/0!</v>
      </c>
      <c r="AN205" s="267" t="e">
        <f t="shared" si="630"/>
        <v>#DIV/0!</v>
      </c>
      <c r="AO205" s="110"/>
      <c r="AP205" s="110"/>
      <c r="AQ205" s="33" t="e">
        <f t="shared" si="631"/>
        <v>#DIV/0!</v>
      </c>
      <c r="AR205" s="33" t="e">
        <f t="shared" si="632"/>
        <v>#DIV/0!</v>
      </c>
      <c r="AS205" s="36"/>
    </row>
    <row r="206" spans="1:45" ht="15.75" customHeight="1" x14ac:dyDescent="0.3">
      <c r="A206" s="29" t="s">
        <v>88</v>
      </c>
      <c r="B206" s="29" t="s">
        <v>92</v>
      </c>
      <c r="C206" s="30">
        <f t="shared" si="633"/>
        <v>43091</v>
      </c>
      <c r="D206" s="31" t="s">
        <v>28</v>
      </c>
      <c r="E206" s="32">
        <f>SUM(E207:E209)</f>
        <v>0</v>
      </c>
      <c r="F206" s="32">
        <f>SUM(F207:F209)</f>
        <v>12334</v>
      </c>
      <c r="G206" s="33" t="e">
        <f t="shared" ref="G206" si="642">(E206-E202)/E202</f>
        <v>#DIV/0!</v>
      </c>
      <c r="H206" s="33">
        <f t="shared" ref="H206" si="643">(E206-F206)/F206</f>
        <v>-1</v>
      </c>
      <c r="I206" s="32">
        <f>SUM(I207:I209)</f>
        <v>0</v>
      </c>
      <c r="J206" s="32">
        <f>SUM(J207:J209)</f>
        <v>6202.5</v>
      </c>
      <c r="K206" s="33" t="e">
        <f t="shared" ref="K206" si="644">(I206-I202)/I202</f>
        <v>#DIV/0!</v>
      </c>
      <c r="L206" s="33">
        <f t="shared" ref="L206" si="645">(I206-J206)/J206</f>
        <v>-1</v>
      </c>
      <c r="M206" s="34" t="e">
        <f t="shared" ref="M206" si="646">E206/I206</f>
        <v>#DIV/0!</v>
      </c>
      <c r="N206" s="34">
        <f t="shared" ref="N206" si="647">F206/J206</f>
        <v>1.9885530028214429</v>
      </c>
      <c r="O206" s="33" t="e">
        <f t="shared" ref="O206" si="648">(M206-M202)/M202</f>
        <v>#DIV/0!</v>
      </c>
      <c r="P206" s="33" t="e">
        <f t="shared" ref="P206" si="649">(M206-N206)/N206</f>
        <v>#DIV/0!</v>
      </c>
      <c r="Q206" s="35">
        <f>SUM(Q207:Q209)</f>
        <v>0</v>
      </c>
      <c r="R206" s="35">
        <f>SUM(R207:R209)</f>
        <v>11962</v>
      </c>
      <c r="S206" s="33" t="e">
        <f t="shared" ref="S206" si="650">(Q206-Q202)/Q202</f>
        <v>#DIV/0!</v>
      </c>
      <c r="T206" s="33">
        <f t="shared" ref="T206" si="651">(Q206-R206)/R206</f>
        <v>-1</v>
      </c>
      <c r="U206" s="35">
        <f>SUM(U207:U209)</f>
        <v>0</v>
      </c>
      <c r="V206" s="35">
        <f>SUM(V207:V209)</f>
        <v>123</v>
      </c>
      <c r="W206" s="33" t="e">
        <f t="shared" ref="W206" si="652">(U206-U202)/U202</f>
        <v>#DIV/0!</v>
      </c>
      <c r="X206" s="33">
        <f t="shared" ref="X206" si="653">(U206-V206)/V206</f>
        <v>-1</v>
      </c>
      <c r="Y206" s="88" t="e">
        <f t="shared" ref="Y206" si="654">U206/Q206</f>
        <v>#DIV/0!</v>
      </c>
      <c r="Z206" s="88">
        <f t="shared" ref="Z206" si="655">V206/R206</f>
        <v>1.0282561444574486E-2</v>
      </c>
      <c r="AA206" s="33" t="e">
        <f t="shared" ref="AA206" si="656">(Y206-Y202)/Y202</f>
        <v>#DIV/0!</v>
      </c>
      <c r="AB206" s="33" t="e">
        <f t="shared" ref="AB206" si="657">(Y206-Z206)/Z206</f>
        <v>#DIV/0!</v>
      </c>
      <c r="AC206" s="97" t="e">
        <f t="shared" ref="AC206" si="658">E206/U206</f>
        <v>#DIV/0!</v>
      </c>
      <c r="AD206" s="145">
        <f t="shared" ref="AD206" si="659">F206/V206</f>
        <v>100.27642276422765</v>
      </c>
      <c r="AE206" s="33" t="e">
        <f t="shared" ref="AE206" si="660">(AC206-AC202)/AC202</f>
        <v>#DIV/0!</v>
      </c>
      <c r="AF206" s="33" t="e">
        <f t="shared" ref="AF206" si="661">(AC206-AD206)/AD206</f>
        <v>#DIV/0!</v>
      </c>
      <c r="AG206" s="35">
        <f>SUM(AG207:AG209)</f>
        <v>0</v>
      </c>
      <c r="AH206" s="35">
        <f>SUM(AH207:AH209)</f>
        <v>10010</v>
      </c>
      <c r="AI206" s="33" t="e">
        <f t="shared" ref="AI206" si="662">(AG206-AG202)/AG202</f>
        <v>#DIV/0!</v>
      </c>
      <c r="AJ206" s="33">
        <f t="shared" ref="AJ206" si="663">(AG206-AH206)/AH206</f>
        <v>-1</v>
      </c>
      <c r="AK206" s="35">
        <f>SUM(AK207:AK209)</f>
        <v>0</v>
      </c>
      <c r="AL206" s="35">
        <f>SUM(AL207:AL209)</f>
        <v>71078</v>
      </c>
      <c r="AM206" s="150" t="e">
        <f t="shared" ref="AM206" si="664">(AK206-AK202)/AK202</f>
        <v>#DIV/0!</v>
      </c>
      <c r="AN206" s="267">
        <f t="shared" ref="AN206" si="665">(AK206-AL206)/AL206</f>
        <v>-1</v>
      </c>
      <c r="AO206" s="33" t="e">
        <f t="shared" ref="AO206" si="666">AG206/AK206</f>
        <v>#DIV/0!</v>
      </c>
      <c r="AP206" s="33">
        <f t="shared" ref="AP206" si="667">AH206/AL206</f>
        <v>0.14083119952727988</v>
      </c>
      <c r="AQ206" s="33" t="e">
        <f t="shared" ref="AQ206" si="668">(AO206-AO202)/AO202</f>
        <v>#DIV/0!</v>
      </c>
      <c r="AR206" s="33" t="e">
        <f t="shared" ref="AR206" si="669">(AO206-AP206)/AP206</f>
        <v>#DIV/0!</v>
      </c>
      <c r="AS206" s="23"/>
    </row>
    <row r="207" spans="1:45" ht="15.75" x14ac:dyDescent="0.25">
      <c r="A207" s="37" t="s">
        <v>88</v>
      </c>
      <c r="B207" s="37" t="s">
        <v>92</v>
      </c>
      <c r="C207" s="38">
        <f t="shared" si="633"/>
        <v>43091</v>
      </c>
      <c r="D207" s="37" t="s">
        <v>29</v>
      </c>
      <c r="E207" s="109"/>
      <c r="F207" s="109">
        <v>10506</v>
      </c>
      <c r="G207" s="33" t="e">
        <f t="shared" si="613"/>
        <v>#DIV/0!</v>
      </c>
      <c r="H207" s="33">
        <f t="shared" si="614"/>
        <v>-1</v>
      </c>
      <c r="I207" s="109"/>
      <c r="J207" s="109">
        <f>771.61+23.42</f>
        <v>795.03</v>
      </c>
      <c r="K207" s="33" t="e">
        <f t="shared" si="615"/>
        <v>#DIV/0!</v>
      </c>
      <c r="L207" s="33">
        <f t="shared" si="616"/>
        <v>-1</v>
      </c>
      <c r="M207" s="111" t="e">
        <f t="shared" si="503"/>
        <v>#DIV/0!</v>
      </c>
      <c r="N207" s="111">
        <f t="shared" si="504"/>
        <v>13.214595675634882</v>
      </c>
      <c r="O207" s="33" t="e">
        <f t="shared" si="617"/>
        <v>#DIV/0!</v>
      </c>
      <c r="P207" s="33" t="e">
        <f t="shared" si="618"/>
        <v>#DIV/0!</v>
      </c>
      <c r="Q207" s="112"/>
      <c r="R207" s="112">
        <v>6945</v>
      </c>
      <c r="S207" s="33" t="e">
        <f t="shared" si="619"/>
        <v>#DIV/0!</v>
      </c>
      <c r="T207" s="33">
        <f t="shared" si="620"/>
        <v>-1</v>
      </c>
      <c r="U207" s="112"/>
      <c r="V207" s="112">
        <v>103</v>
      </c>
      <c r="W207" s="33" t="e">
        <f t="shared" si="621"/>
        <v>#DIV/0!</v>
      </c>
      <c r="X207" s="33">
        <f t="shared" si="622"/>
        <v>-1</v>
      </c>
      <c r="Y207" s="113" t="e">
        <f t="shared" si="502"/>
        <v>#DIV/0!</v>
      </c>
      <c r="Z207" s="113">
        <f t="shared" si="502"/>
        <v>1.4830813534917206E-2</v>
      </c>
      <c r="AA207" s="33" t="e">
        <f t="shared" si="623"/>
        <v>#DIV/0!</v>
      </c>
      <c r="AB207" s="33" t="e">
        <f t="shared" si="624"/>
        <v>#DIV/0!</v>
      </c>
      <c r="AC207" s="114" t="e">
        <f t="shared" si="17"/>
        <v>#DIV/0!</v>
      </c>
      <c r="AD207" s="114">
        <f t="shared" si="17"/>
        <v>102</v>
      </c>
      <c r="AE207" s="33" t="e">
        <f t="shared" si="625"/>
        <v>#DIV/0!</v>
      </c>
      <c r="AF207" s="33" t="e">
        <f t="shared" si="626"/>
        <v>#DIV/0!</v>
      </c>
      <c r="AG207" s="112"/>
      <c r="AH207" s="112">
        <f>5017+162</f>
        <v>5179</v>
      </c>
      <c r="AI207" s="33" t="e">
        <f t="shared" si="627"/>
        <v>#DIV/0!</v>
      </c>
      <c r="AJ207" s="33">
        <f t="shared" si="628"/>
        <v>-1</v>
      </c>
      <c r="AK207" s="112"/>
      <c r="AL207" s="112">
        <f>11195+421</f>
        <v>11616</v>
      </c>
      <c r="AM207" s="150" t="e">
        <f t="shared" si="629"/>
        <v>#DIV/0!</v>
      </c>
      <c r="AN207" s="267">
        <f t="shared" si="630"/>
        <v>-1</v>
      </c>
      <c r="AO207" s="110" t="e">
        <f t="shared" si="11"/>
        <v>#DIV/0!</v>
      </c>
      <c r="AP207" s="110">
        <f t="shared" si="11"/>
        <v>0.44585055096418735</v>
      </c>
      <c r="AQ207" s="33" t="e">
        <f t="shared" si="631"/>
        <v>#DIV/0!</v>
      </c>
      <c r="AR207" s="33" t="e">
        <f t="shared" si="632"/>
        <v>#DIV/0!</v>
      </c>
      <c r="AS207" s="23"/>
    </row>
    <row r="208" spans="1:45" ht="15.75" customHeight="1" x14ac:dyDescent="0.25">
      <c r="A208" s="37" t="s">
        <v>88</v>
      </c>
      <c r="B208" s="37" t="s">
        <v>92</v>
      </c>
      <c r="C208" s="38">
        <f t="shared" si="633"/>
        <v>43091</v>
      </c>
      <c r="D208" s="37" t="s">
        <v>30</v>
      </c>
      <c r="E208" s="109"/>
      <c r="F208" s="109">
        <v>1828</v>
      </c>
      <c r="G208" s="33" t="e">
        <f t="shared" si="613"/>
        <v>#DIV/0!</v>
      </c>
      <c r="H208" s="33">
        <f t="shared" si="614"/>
        <v>-1</v>
      </c>
      <c r="I208" s="109"/>
      <c r="J208" s="109">
        <f>5254.85+152.62</f>
        <v>5407.47</v>
      </c>
      <c r="K208" s="33" t="e">
        <f t="shared" si="615"/>
        <v>#DIV/0!</v>
      </c>
      <c r="L208" s="33">
        <f t="shared" si="616"/>
        <v>-1</v>
      </c>
      <c r="M208" s="111" t="e">
        <f t="shared" si="503"/>
        <v>#DIV/0!</v>
      </c>
      <c r="N208" s="111">
        <f t="shared" si="504"/>
        <v>0.33805088146582413</v>
      </c>
      <c r="O208" s="33" t="e">
        <f t="shared" si="617"/>
        <v>#DIV/0!</v>
      </c>
      <c r="P208" s="33" t="e">
        <f t="shared" si="618"/>
        <v>#DIV/0!</v>
      </c>
      <c r="Q208" s="112"/>
      <c r="R208" s="112">
        <v>5017</v>
      </c>
      <c r="S208" s="33" t="e">
        <f t="shared" si="619"/>
        <v>#DIV/0!</v>
      </c>
      <c r="T208" s="33">
        <f t="shared" si="620"/>
        <v>-1</v>
      </c>
      <c r="U208" s="112"/>
      <c r="V208" s="112">
        <v>20</v>
      </c>
      <c r="W208" s="33" t="e">
        <f t="shared" si="621"/>
        <v>#DIV/0!</v>
      </c>
      <c r="X208" s="33">
        <f t="shared" si="622"/>
        <v>-1</v>
      </c>
      <c r="Y208" s="113" t="e">
        <f t="shared" si="502"/>
        <v>#DIV/0!</v>
      </c>
      <c r="Z208" s="113">
        <f t="shared" si="502"/>
        <v>3.9864460833167236E-3</v>
      </c>
      <c r="AA208" s="33" t="e">
        <f t="shared" si="623"/>
        <v>#DIV/0!</v>
      </c>
      <c r="AB208" s="33" t="e">
        <f t="shared" si="624"/>
        <v>#DIV/0!</v>
      </c>
      <c r="AC208" s="114" t="e">
        <f t="shared" si="17"/>
        <v>#DIV/0!</v>
      </c>
      <c r="AD208" s="114">
        <f t="shared" si="17"/>
        <v>91.4</v>
      </c>
      <c r="AE208" s="33" t="e">
        <f t="shared" si="625"/>
        <v>#DIV/0!</v>
      </c>
      <c r="AF208" s="33" t="e">
        <f t="shared" si="626"/>
        <v>#DIV/0!</v>
      </c>
      <c r="AG208" s="112"/>
      <c r="AH208" s="112">
        <f>4646+185</f>
        <v>4831</v>
      </c>
      <c r="AI208" s="33" t="e">
        <f t="shared" si="627"/>
        <v>#DIV/0!</v>
      </c>
      <c r="AJ208" s="33">
        <f t="shared" si="628"/>
        <v>-1</v>
      </c>
      <c r="AK208" s="112"/>
      <c r="AL208" s="112">
        <f>57225+2237</f>
        <v>59462</v>
      </c>
      <c r="AM208" s="150" t="e">
        <f t="shared" si="629"/>
        <v>#DIV/0!</v>
      </c>
      <c r="AN208" s="267">
        <f t="shared" si="630"/>
        <v>-1</v>
      </c>
      <c r="AO208" s="110" t="e">
        <f t="shared" si="11"/>
        <v>#DIV/0!</v>
      </c>
      <c r="AP208" s="110">
        <f t="shared" si="11"/>
        <v>8.1245164979314527E-2</v>
      </c>
      <c r="AQ208" s="33" t="e">
        <f t="shared" si="631"/>
        <v>#DIV/0!</v>
      </c>
      <c r="AR208" s="33" t="e">
        <f t="shared" si="632"/>
        <v>#DIV/0!</v>
      </c>
      <c r="AS208" s="23"/>
    </row>
    <row r="209" spans="1:45" s="330" customFormat="1" ht="15.75" customHeight="1" thickBot="1" x14ac:dyDescent="0.3">
      <c r="A209" s="318" t="s">
        <v>88</v>
      </c>
      <c r="B209" s="318" t="s">
        <v>92</v>
      </c>
      <c r="C209" s="319">
        <f t="shared" si="633"/>
        <v>43091</v>
      </c>
      <c r="D209" s="318" t="s">
        <v>228</v>
      </c>
      <c r="E209" s="320"/>
      <c r="F209" s="320"/>
      <c r="G209" s="321" t="e">
        <f t="shared" si="613"/>
        <v>#DIV/0!</v>
      </c>
      <c r="H209" s="321" t="e">
        <f t="shared" si="614"/>
        <v>#DIV/0!</v>
      </c>
      <c r="I209" s="320"/>
      <c r="J209" s="320"/>
      <c r="K209" s="321" t="e">
        <f t="shared" si="615"/>
        <v>#DIV/0!</v>
      </c>
      <c r="L209" s="321" t="e">
        <f t="shared" si="616"/>
        <v>#DIV/0!</v>
      </c>
      <c r="M209" s="322"/>
      <c r="N209" s="322"/>
      <c r="O209" s="321" t="e">
        <f t="shared" si="617"/>
        <v>#DIV/0!</v>
      </c>
      <c r="P209" s="321" t="e">
        <f t="shared" si="618"/>
        <v>#DIV/0!</v>
      </c>
      <c r="Q209" s="323"/>
      <c r="R209" s="323"/>
      <c r="S209" s="321" t="e">
        <f t="shared" si="619"/>
        <v>#DIV/0!</v>
      </c>
      <c r="T209" s="321" t="e">
        <f t="shared" si="620"/>
        <v>#DIV/0!</v>
      </c>
      <c r="U209" s="323"/>
      <c r="V209" s="323"/>
      <c r="W209" s="321" t="e">
        <f t="shared" si="621"/>
        <v>#DIV/0!</v>
      </c>
      <c r="X209" s="321" t="e">
        <f t="shared" si="622"/>
        <v>#DIV/0!</v>
      </c>
      <c r="Y209" s="324"/>
      <c r="Z209" s="324"/>
      <c r="AA209" s="321" t="e">
        <f t="shared" si="623"/>
        <v>#DIV/0!</v>
      </c>
      <c r="AB209" s="321" t="e">
        <f t="shared" si="624"/>
        <v>#DIV/0!</v>
      </c>
      <c r="AC209" s="325"/>
      <c r="AD209" s="325"/>
      <c r="AE209" s="321" t="e">
        <f t="shared" si="625"/>
        <v>#DIV/0!</v>
      </c>
      <c r="AF209" s="321" t="e">
        <f t="shared" si="626"/>
        <v>#DIV/0!</v>
      </c>
      <c r="AG209" s="323"/>
      <c r="AH209" s="323"/>
      <c r="AI209" s="321" t="e">
        <f t="shared" si="627"/>
        <v>#DIV/0!</v>
      </c>
      <c r="AJ209" s="321" t="e">
        <f t="shared" si="628"/>
        <v>#DIV/0!</v>
      </c>
      <c r="AK209" s="323"/>
      <c r="AL209" s="323"/>
      <c r="AM209" s="326" t="e">
        <f t="shared" si="629"/>
        <v>#DIV/0!</v>
      </c>
      <c r="AN209" s="327" t="e">
        <f t="shared" si="630"/>
        <v>#DIV/0!</v>
      </c>
      <c r="AO209" s="328"/>
      <c r="AP209" s="328"/>
      <c r="AQ209" s="321" t="e">
        <f t="shared" si="631"/>
        <v>#DIV/0!</v>
      </c>
      <c r="AR209" s="321" t="e">
        <f t="shared" si="632"/>
        <v>#DIV/0!</v>
      </c>
      <c r="AS209" s="329"/>
    </row>
    <row r="210" spans="1:45" s="313" customFormat="1" ht="21" customHeight="1" thickBot="1" x14ac:dyDescent="0.35">
      <c r="A210" s="314" t="s">
        <v>93</v>
      </c>
      <c r="B210" s="315"/>
      <c r="C210" s="316"/>
      <c r="D210" s="317" t="s">
        <v>94</v>
      </c>
      <c r="E210" s="306">
        <f t="shared" ref="E210:F212" si="670">E2+E6+E10+E14+E18+E22+E26+E30+E34+E38+E42+E46+E50+E54+E58+E62+E66+E70+E74+E78+E82+E86+E90+E94+E98+E102+E106+E110+E114+E118+E122+E126+E130+E134+E138+E142+E146+E150+E154+E158+E162+E166+E170+E174+E178+E182+E186+E190+E194+E198+E202+E206</f>
        <v>885998</v>
      </c>
      <c r="F210" s="306">
        <f t="shared" si="670"/>
        <v>423573</v>
      </c>
      <c r="G210" s="307"/>
      <c r="H210" s="307"/>
      <c r="I210" s="306">
        <f t="shared" ref="I210:J212" si="671">I2+I6+I10+I14+I18+I22+I26+I30+I34+I38+I42+I46+I50+I54+I58+I62+I66+I70+I74+I78+I82+I86+I90+I94+I98+I102+I106+I110+I114+I118+I122+I126+I130+I134+I138+I142+I146+I150+I154+I158+I162+I166+I170+I174+I178+I182+I186+I190+I194+I198+I202+I206</f>
        <v>166393.76</v>
      </c>
      <c r="J210" s="306">
        <f t="shared" si="671"/>
        <v>166380.15</v>
      </c>
      <c r="K210" s="307"/>
      <c r="L210" s="307"/>
      <c r="M210" s="308">
        <f>E210/I210</f>
        <v>5.3247068880467632</v>
      </c>
      <c r="N210" s="308"/>
      <c r="O210" s="307"/>
      <c r="P210" s="307"/>
      <c r="Q210" s="309">
        <f t="shared" ref="Q210:R212" si="672">Q2+Q6+Q10+Q14+Q18+Q22+Q26+Q30+Q34+Q38+Q42+Q46+Q50+Q54+Q58+Q62+Q66+Q70+Q74+Q78+Q82+Q86+Q90+Q94+Q98+Q102+Q106+Q110+Q114+Q118+Q122+Q126+Q130+Q134+Q138+Q142+Q146+Q150+Q154+Q158+Q162+Q166+Q170+Q174+Q178+Q182+Q186+Q190+Q194+Q198+Q202+Q206</f>
        <v>505570</v>
      </c>
      <c r="R210" s="309">
        <f t="shared" si="672"/>
        <v>336939</v>
      </c>
      <c r="S210" s="307"/>
      <c r="T210" s="307"/>
      <c r="U210" s="309">
        <f t="shared" ref="U210:V212" si="673">U2+U6+U10+U14+U18+U22+U26+U30+U34+U38+U42+U46+U50+U54+U58+U62+U66+U70+U74+U78+U82+U86+U90+U94+U98+U102+U106+U110+U114+U118+U122+U126+U130+U134+U138+U142+U146+U150+U154+U158+U162+U166+U170+U174+U178+U182+U186+U190+U194+U198+U202+U206</f>
        <v>8963</v>
      </c>
      <c r="V210" s="309">
        <f t="shared" si="673"/>
        <v>3700</v>
      </c>
      <c r="W210" s="307"/>
      <c r="X210" s="307"/>
      <c r="Y210" s="310">
        <f t="shared" si="502"/>
        <v>1.7728504460312124E-2</v>
      </c>
      <c r="Z210" s="307"/>
      <c r="AA210" s="307"/>
      <c r="AB210" s="307"/>
      <c r="AC210" s="311">
        <f t="shared" si="17"/>
        <v>98.850608055338611</v>
      </c>
      <c r="AD210" s="306"/>
      <c r="AE210" s="307"/>
      <c r="AF210" s="307"/>
      <c r="AG210" s="309">
        <f t="shared" ref="AG210:AH212" si="674">AG2+AG6+AG10+AG14+AG18+AG22+AG26+AG30+AG34+AG38+AG42+AG46+AG50+AG54+AG58+AG62+AG66+AG70+AG74+AG78+AG82+AG86+AG90+AG94+AG98+AG102+AG106+AG110+AG114+AG118+AG122+AG126+AG130+AG134+AG138+AG142+AG146+AG150+AG154+AG158+AG162+AG166+AG170+AG174+AG178+AG182+AG186+AG190+AG194+AG198+AG202+AG206</f>
        <v>414297</v>
      </c>
      <c r="AH210" s="309">
        <f t="shared" si="674"/>
        <v>285870.18</v>
      </c>
      <c r="AI210" s="307"/>
      <c r="AJ210" s="307"/>
      <c r="AK210" s="309">
        <f t="shared" ref="AK210:AL212" si="675">AK2+AK6+AK10+AK14+AK18+AK22+AK26+AK30+AK34+AK38+AK42+AK46+AK50+AK54+AK58+AK62+AK66+AK70+AK74+AK78+AK82+AK86+AK90+AK94+AK98+AK102+AK106+AK110+AK114+AK118+AK122+AK126+AK130+AK134+AK138+AK142+AK146+AK150+AK154+AK158+AK162+AK166+AK170+AK174+AK178+AK182+AK186+AK190+AK194+AK198+AK202+AK206</f>
        <v>8701664</v>
      </c>
      <c r="AL210" s="309">
        <f t="shared" si="675"/>
        <v>2174455</v>
      </c>
      <c r="AM210" s="307"/>
      <c r="AN210" s="307"/>
      <c r="AO210" s="307">
        <f t="shared" si="11"/>
        <v>4.7611238494154683E-2</v>
      </c>
      <c r="AP210" s="307">
        <f t="shared" si="11"/>
        <v>0.13146750795026799</v>
      </c>
      <c r="AQ210" s="307"/>
      <c r="AR210" s="307"/>
      <c r="AS210" s="312"/>
    </row>
    <row r="211" spans="1:45" s="343" customFormat="1" ht="21" customHeight="1" thickBot="1" x14ac:dyDescent="0.35">
      <c r="A211" s="331" t="s">
        <v>93</v>
      </c>
      <c r="B211" s="332"/>
      <c r="C211" s="332"/>
      <c r="D211" s="333" t="s">
        <v>29</v>
      </c>
      <c r="E211" s="334">
        <f t="shared" si="670"/>
        <v>813319</v>
      </c>
      <c r="F211" s="334">
        <f t="shared" si="670"/>
        <v>391293</v>
      </c>
      <c r="G211" s="335"/>
      <c r="H211" s="335"/>
      <c r="I211" s="334">
        <f t="shared" si="671"/>
        <v>43359.81</v>
      </c>
      <c r="J211" s="334">
        <f t="shared" si="671"/>
        <v>32737.919999999998</v>
      </c>
      <c r="K211" s="335"/>
      <c r="L211" s="335"/>
      <c r="M211" s="336">
        <f>E211/I211</f>
        <v>18.757439204645962</v>
      </c>
      <c r="N211" s="336"/>
      <c r="O211" s="337"/>
      <c r="P211" s="337"/>
      <c r="Q211" s="338">
        <f t="shared" si="672"/>
        <v>316745</v>
      </c>
      <c r="R211" s="338">
        <f t="shared" si="672"/>
        <v>204475</v>
      </c>
      <c r="S211" s="335"/>
      <c r="T211" s="335"/>
      <c r="U211" s="338">
        <f t="shared" si="673"/>
        <v>8191</v>
      </c>
      <c r="V211" s="338">
        <f t="shared" si="673"/>
        <v>3297</v>
      </c>
      <c r="W211" s="335"/>
      <c r="X211" s="335"/>
      <c r="Y211" s="339">
        <f t="shared" si="502"/>
        <v>2.5859918862176198E-2</v>
      </c>
      <c r="Z211" s="335"/>
      <c r="AA211" s="335"/>
      <c r="AB211" s="335"/>
      <c r="AC211" s="340">
        <f t="shared" si="17"/>
        <v>99.294225369307782</v>
      </c>
      <c r="AD211" s="341"/>
      <c r="AE211" s="335"/>
      <c r="AF211" s="335"/>
      <c r="AG211" s="338">
        <f t="shared" si="674"/>
        <v>233660</v>
      </c>
      <c r="AH211" s="338">
        <f t="shared" si="674"/>
        <v>161114</v>
      </c>
      <c r="AI211" s="335"/>
      <c r="AJ211" s="335"/>
      <c r="AK211" s="338">
        <f t="shared" si="675"/>
        <v>622001</v>
      </c>
      <c r="AL211" s="338">
        <f t="shared" si="675"/>
        <v>464815</v>
      </c>
      <c r="AM211" s="335"/>
      <c r="AN211" s="335"/>
      <c r="AO211" s="335">
        <f t="shared" si="11"/>
        <v>0.3756585600344694</v>
      </c>
      <c r="AP211" s="335">
        <f t="shared" si="11"/>
        <v>0.34661962286070802</v>
      </c>
      <c r="AQ211" s="335"/>
      <c r="AR211" s="335"/>
      <c r="AS211" s="342"/>
    </row>
    <row r="212" spans="1:45" s="343" customFormat="1" ht="21" customHeight="1" thickBot="1" x14ac:dyDescent="0.35">
      <c r="A212" s="331" t="s">
        <v>93</v>
      </c>
      <c r="B212" s="344"/>
      <c r="C212" s="344"/>
      <c r="D212" s="333" t="s">
        <v>30</v>
      </c>
      <c r="E212" s="334">
        <f t="shared" si="670"/>
        <v>19672</v>
      </c>
      <c r="F212" s="334">
        <f t="shared" si="670"/>
        <v>32280</v>
      </c>
      <c r="G212" s="335"/>
      <c r="H212" s="335"/>
      <c r="I212" s="334">
        <f t="shared" si="671"/>
        <v>54103.670000000013</v>
      </c>
      <c r="J212" s="334">
        <f t="shared" si="671"/>
        <v>133642.22999999998</v>
      </c>
      <c r="K212" s="335"/>
      <c r="L212" s="335"/>
      <c r="M212" s="336">
        <f t="shared" si="503"/>
        <v>0.36359825497974529</v>
      </c>
      <c r="N212" s="336"/>
      <c r="O212" s="337"/>
      <c r="P212" s="337"/>
      <c r="Q212" s="338">
        <f t="shared" si="672"/>
        <v>55884</v>
      </c>
      <c r="R212" s="338">
        <f t="shared" si="672"/>
        <v>132464</v>
      </c>
      <c r="S212" s="335"/>
      <c r="T212" s="335"/>
      <c r="U212" s="338">
        <f t="shared" si="673"/>
        <v>208</v>
      </c>
      <c r="V212" s="338">
        <f t="shared" si="673"/>
        <v>403</v>
      </c>
      <c r="W212" s="335"/>
      <c r="X212" s="335"/>
      <c r="Y212" s="339">
        <f t="shared" si="502"/>
        <v>3.7219955622360603E-3</v>
      </c>
      <c r="Z212" s="335"/>
      <c r="AA212" s="335"/>
      <c r="AB212" s="335"/>
      <c r="AC212" s="340">
        <f t="shared" si="17"/>
        <v>94.57692307692308</v>
      </c>
      <c r="AD212" s="341"/>
      <c r="AE212" s="335"/>
      <c r="AF212" s="335"/>
      <c r="AG212" s="338">
        <f t="shared" si="674"/>
        <v>43595</v>
      </c>
      <c r="AH212" s="338">
        <f t="shared" si="674"/>
        <v>124756.18</v>
      </c>
      <c r="AI212" s="335"/>
      <c r="AJ212" s="335"/>
      <c r="AK212" s="338">
        <f t="shared" si="675"/>
        <v>616098</v>
      </c>
      <c r="AL212" s="338">
        <f t="shared" si="675"/>
        <v>1709640</v>
      </c>
      <c r="AM212" s="335"/>
      <c r="AN212" s="335"/>
      <c r="AO212" s="335">
        <f t="shared" si="11"/>
        <v>7.0759846647773572E-2</v>
      </c>
      <c r="AP212" s="335">
        <f t="shared" si="11"/>
        <v>7.2972192976299102E-2</v>
      </c>
      <c r="AQ212" s="335"/>
      <c r="AR212" s="335"/>
      <c r="AS212" s="342"/>
    </row>
    <row r="213" spans="1:45" ht="15.75" x14ac:dyDescent="0.25">
      <c r="A213" s="44"/>
      <c r="B213" s="45"/>
      <c r="C213" s="45"/>
      <c r="D213" s="37"/>
      <c r="E213" s="109"/>
      <c r="F213" s="109"/>
      <c r="G213" s="110"/>
      <c r="H213" s="110"/>
      <c r="I213" s="109"/>
      <c r="J213" s="109"/>
      <c r="K213" s="110"/>
      <c r="L213" s="110"/>
      <c r="M213" s="111"/>
      <c r="N213" s="111"/>
      <c r="O213" s="110"/>
      <c r="P213" s="110"/>
      <c r="Q213" s="112"/>
      <c r="R213" s="112"/>
      <c r="S213" s="110"/>
      <c r="T213" s="110"/>
      <c r="U213" s="112"/>
      <c r="V213" s="112"/>
      <c r="W213" s="110"/>
      <c r="X213" s="110"/>
      <c r="Y213" s="110"/>
      <c r="Z213" s="110"/>
      <c r="AA213" s="110"/>
      <c r="AB213" s="110"/>
      <c r="AC213" s="114"/>
      <c r="AD213" s="112"/>
      <c r="AE213" s="110"/>
      <c r="AF213" s="110"/>
      <c r="AG213" s="112"/>
      <c r="AH213" s="112"/>
      <c r="AI213" s="110"/>
      <c r="AJ213" s="110"/>
      <c r="AK213" s="112"/>
      <c r="AL213" s="112"/>
      <c r="AM213" s="110"/>
      <c r="AN213" s="110"/>
      <c r="AO213" s="110"/>
      <c r="AP213" s="110"/>
      <c r="AQ213" s="40"/>
      <c r="AR213" s="40"/>
      <c r="AS213" s="23"/>
    </row>
    <row r="214" spans="1:45" ht="15.75" x14ac:dyDescent="0.25">
      <c r="A214" s="44"/>
      <c r="B214" s="36"/>
      <c r="C214" s="36"/>
      <c r="D214" s="37"/>
      <c r="E214" s="109"/>
      <c r="F214" s="109"/>
      <c r="G214" s="110"/>
      <c r="H214" s="110"/>
      <c r="I214" s="109"/>
      <c r="J214" s="109"/>
      <c r="K214" s="110"/>
      <c r="L214" s="110"/>
      <c r="M214" s="111"/>
      <c r="N214" s="111"/>
      <c r="O214" s="110"/>
      <c r="P214" s="110"/>
      <c r="Q214" s="112"/>
      <c r="R214" s="112"/>
      <c r="S214" s="110"/>
      <c r="T214" s="110"/>
      <c r="U214" s="112"/>
      <c r="V214" s="112"/>
      <c r="W214" s="110"/>
      <c r="X214" s="110"/>
      <c r="Y214" s="110"/>
      <c r="Z214" s="110"/>
      <c r="AA214" s="110"/>
      <c r="AB214" s="110"/>
      <c r="AC214" s="114"/>
      <c r="AD214" s="112"/>
      <c r="AE214" s="110"/>
      <c r="AF214" s="110"/>
      <c r="AG214" s="112"/>
      <c r="AH214" s="112"/>
      <c r="AI214" s="110"/>
      <c r="AJ214" s="110"/>
      <c r="AK214" s="112"/>
      <c r="AL214" s="112"/>
      <c r="AM214" s="110"/>
      <c r="AN214" s="110"/>
      <c r="AO214" s="110"/>
      <c r="AP214" s="110"/>
      <c r="AQ214" s="40"/>
      <c r="AR214" s="40"/>
      <c r="AS214" s="23"/>
    </row>
    <row r="215" spans="1:45" ht="15.75" x14ac:dyDescent="0.25">
      <c r="A215" s="44"/>
      <c r="B215" s="44"/>
      <c r="C215" s="46"/>
      <c r="D215" s="36"/>
      <c r="E215" s="109"/>
      <c r="F215" s="109"/>
      <c r="G215" s="110"/>
      <c r="H215" s="110"/>
      <c r="I215" s="109"/>
      <c r="J215" s="109"/>
      <c r="K215" s="110"/>
      <c r="L215" s="110"/>
      <c r="M215" s="111"/>
      <c r="N215" s="111"/>
      <c r="O215" s="110"/>
      <c r="P215" s="110"/>
      <c r="Q215" s="112"/>
      <c r="R215" s="112"/>
      <c r="S215" s="110"/>
      <c r="T215" s="110"/>
      <c r="U215" s="112"/>
      <c r="V215" s="112"/>
      <c r="W215" s="110"/>
      <c r="X215" s="110"/>
      <c r="Y215" s="110"/>
      <c r="Z215" s="110"/>
      <c r="AA215" s="110"/>
      <c r="AB215" s="110"/>
      <c r="AC215" s="114"/>
      <c r="AD215" s="112"/>
      <c r="AE215" s="110"/>
      <c r="AF215" s="110"/>
      <c r="AG215" s="112"/>
      <c r="AH215" s="112"/>
      <c r="AI215" s="110"/>
      <c r="AJ215" s="110"/>
      <c r="AK215" s="112"/>
      <c r="AL215" s="112"/>
      <c r="AM215" s="110"/>
      <c r="AN215" s="110"/>
      <c r="AO215" s="110"/>
      <c r="AP215" s="110"/>
      <c r="AQ215" s="40"/>
      <c r="AR215" s="40"/>
      <c r="AS215" s="23"/>
    </row>
    <row r="216" spans="1:45" ht="15.75" x14ac:dyDescent="0.25">
      <c r="A216" s="44"/>
      <c r="B216" s="45"/>
      <c r="C216" s="45"/>
      <c r="D216" s="37"/>
      <c r="E216" s="109"/>
      <c r="F216" s="109"/>
      <c r="G216" s="110"/>
      <c r="H216" s="110"/>
      <c r="I216" s="109"/>
      <c r="J216" s="109"/>
      <c r="K216" s="110"/>
      <c r="L216" s="110"/>
      <c r="M216" s="111"/>
      <c r="N216" s="111"/>
      <c r="O216" s="110"/>
      <c r="P216" s="110"/>
      <c r="Q216" s="112"/>
      <c r="R216" s="112"/>
      <c r="S216" s="110"/>
      <c r="T216" s="110"/>
      <c r="U216" s="112"/>
      <c r="V216" s="112"/>
      <c r="W216" s="110"/>
      <c r="X216" s="110"/>
      <c r="Y216" s="110"/>
      <c r="Z216" s="110"/>
      <c r="AA216" s="110"/>
      <c r="AB216" s="110"/>
      <c r="AC216" s="114"/>
      <c r="AD216" s="112"/>
      <c r="AE216" s="110"/>
      <c r="AF216" s="110"/>
      <c r="AG216" s="112"/>
      <c r="AH216" s="112"/>
      <c r="AI216" s="110"/>
      <c r="AJ216" s="110"/>
      <c r="AK216" s="112"/>
      <c r="AL216" s="112"/>
      <c r="AM216" s="110"/>
      <c r="AN216" s="110"/>
      <c r="AO216" s="110"/>
      <c r="AP216" s="110"/>
      <c r="AQ216" s="40"/>
      <c r="AR216" s="40"/>
      <c r="AS216" s="23"/>
    </row>
    <row r="217" spans="1:45" ht="15.75" x14ac:dyDescent="0.25">
      <c r="A217" s="44"/>
      <c r="B217" s="36"/>
      <c r="C217" s="36"/>
      <c r="D217" s="37"/>
      <c r="E217" s="109"/>
      <c r="F217" s="109"/>
      <c r="G217" s="110"/>
      <c r="H217" s="110"/>
      <c r="I217" s="109"/>
      <c r="J217" s="109"/>
      <c r="K217" s="110"/>
      <c r="L217" s="110"/>
      <c r="M217" s="111"/>
      <c r="N217" s="111"/>
      <c r="O217" s="110"/>
      <c r="P217" s="110"/>
      <c r="Q217" s="112"/>
      <c r="R217" s="112"/>
      <c r="S217" s="110"/>
      <c r="T217" s="110"/>
      <c r="U217" s="112"/>
      <c r="V217" s="112"/>
      <c r="W217" s="110"/>
      <c r="X217" s="110"/>
      <c r="Y217" s="110"/>
      <c r="Z217" s="110"/>
      <c r="AA217" s="110"/>
      <c r="AB217" s="110"/>
      <c r="AC217" s="114"/>
      <c r="AD217" s="112"/>
      <c r="AE217" s="110"/>
      <c r="AF217" s="110"/>
      <c r="AG217" s="112"/>
      <c r="AH217" s="112"/>
      <c r="AI217" s="110"/>
      <c r="AJ217" s="110"/>
      <c r="AK217" s="112"/>
      <c r="AL217" s="112"/>
      <c r="AM217" s="110"/>
      <c r="AN217" s="110"/>
      <c r="AO217" s="110"/>
      <c r="AP217" s="110"/>
      <c r="AQ217" s="40"/>
      <c r="AR217" s="40"/>
      <c r="AS217" s="23"/>
    </row>
    <row r="218" spans="1:45" ht="15.75" x14ac:dyDescent="0.25">
      <c r="A218" s="44"/>
      <c r="B218" s="44"/>
      <c r="C218" s="46"/>
      <c r="D218" s="37"/>
      <c r="E218" s="109"/>
      <c r="F218" s="109"/>
      <c r="G218" s="110"/>
      <c r="H218" s="110"/>
      <c r="I218" s="109"/>
      <c r="J218" s="109"/>
      <c r="K218" s="110"/>
      <c r="L218" s="110"/>
      <c r="M218" s="111"/>
      <c r="N218" s="111"/>
      <c r="O218" s="110"/>
      <c r="P218" s="110"/>
      <c r="Q218" s="112"/>
      <c r="R218" s="112"/>
      <c r="S218" s="110"/>
      <c r="T218" s="110"/>
      <c r="U218" s="112"/>
      <c r="V218" s="112"/>
      <c r="W218" s="110"/>
      <c r="X218" s="110"/>
      <c r="Y218" s="110"/>
      <c r="Z218" s="110"/>
      <c r="AA218" s="110"/>
      <c r="AB218" s="110"/>
      <c r="AC218" s="114"/>
      <c r="AD218" s="112"/>
      <c r="AE218" s="110"/>
      <c r="AF218" s="110"/>
      <c r="AG218" s="112"/>
      <c r="AH218" s="112"/>
      <c r="AI218" s="110"/>
      <c r="AJ218" s="110"/>
      <c r="AK218" s="112"/>
      <c r="AL218" s="112"/>
      <c r="AM218" s="110"/>
      <c r="AN218" s="110"/>
      <c r="AO218" s="110"/>
      <c r="AP218" s="110"/>
      <c r="AQ218" s="40"/>
      <c r="AR218" s="40"/>
      <c r="AS218" s="23"/>
    </row>
    <row r="219" spans="1:45" ht="15.75" x14ac:dyDescent="0.25">
      <c r="A219" s="44"/>
      <c r="B219" s="45"/>
      <c r="C219" s="45"/>
      <c r="D219" s="37"/>
      <c r="E219" s="109"/>
      <c r="F219" s="109"/>
      <c r="G219" s="110"/>
      <c r="H219" s="110"/>
      <c r="I219" s="109"/>
      <c r="J219" s="109"/>
      <c r="K219" s="110"/>
      <c r="L219" s="110"/>
      <c r="M219" s="111"/>
      <c r="N219" s="111"/>
      <c r="O219" s="110"/>
      <c r="P219" s="110"/>
      <c r="Q219" s="112"/>
      <c r="R219" s="112"/>
      <c r="S219" s="110"/>
      <c r="T219" s="110"/>
      <c r="U219" s="112"/>
      <c r="V219" s="112"/>
      <c r="W219" s="110"/>
      <c r="X219" s="110"/>
      <c r="Y219" s="110"/>
      <c r="Z219" s="110"/>
      <c r="AA219" s="110"/>
      <c r="AB219" s="110"/>
      <c r="AC219" s="114"/>
      <c r="AD219" s="112"/>
      <c r="AE219" s="110"/>
      <c r="AF219" s="110"/>
      <c r="AG219" s="112"/>
      <c r="AH219" s="112"/>
      <c r="AI219" s="110"/>
      <c r="AJ219" s="110"/>
      <c r="AK219" s="112"/>
      <c r="AL219" s="112"/>
      <c r="AM219" s="110"/>
      <c r="AN219" s="110"/>
      <c r="AO219" s="110"/>
      <c r="AP219" s="110"/>
      <c r="AQ219" s="40"/>
      <c r="AR219" s="40"/>
      <c r="AS219" s="23"/>
    </row>
    <row r="220" spans="1:45" ht="15.75" x14ac:dyDescent="0.25">
      <c r="A220" s="44"/>
      <c r="B220" s="36"/>
      <c r="C220" s="36"/>
      <c r="D220" s="37"/>
      <c r="E220" s="109"/>
      <c r="F220" s="109"/>
      <c r="G220" s="110"/>
      <c r="H220" s="110"/>
      <c r="I220" s="109"/>
      <c r="J220" s="109"/>
      <c r="K220" s="110"/>
      <c r="L220" s="110"/>
      <c r="M220" s="111"/>
      <c r="N220" s="111"/>
      <c r="O220" s="110"/>
      <c r="P220" s="110"/>
      <c r="Q220" s="112"/>
      <c r="R220" s="112"/>
      <c r="S220" s="110"/>
      <c r="T220" s="110"/>
      <c r="U220" s="112"/>
      <c r="V220" s="112"/>
      <c r="W220" s="110"/>
      <c r="X220" s="110"/>
      <c r="Y220" s="110"/>
      <c r="Z220" s="110"/>
      <c r="AA220" s="110"/>
      <c r="AB220" s="110"/>
      <c r="AC220" s="114"/>
      <c r="AD220" s="112"/>
      <c r="AE220" s="110"/>
      <c r="AF220" s="110"/>
      <c r="AG220" s="112"/>
      <c r="AH220" s="112"/>
      <c r="AI220" s="110"/>
      <c r="AJ220" s="110"/>
      <c r="AK220" s="112"/>
      <c r="AL220" s="112"/>
      <c r="AM220" s="110"/>
      <c r="AN220" s="110"/>
      <c r="AO220" s="110"/>
      <c r="AP220" s="110"/>
      <c r="AQ220" s="40"/>
      <c r="AR220" s="40"/>
      <c r="AS220" s="23"/>
    </row>
    <row r="221" spans="1:45" ht="15.75" x14ac:dyDescent="0.25">
      <c r="A221" s="44"/>
      <c r="B221" s="44"/>
      <c r="C221" s="46"/>
      <c r="D221" s="36"/>
      <c r="E221" s="109"/>
      <c r="F221" s="109"/>
      <c r="G221" s="110"/>
      <c r="H221" s="110"/>
      <c r="I221" s="109"/>
      <c r="J221" s="109"/>
      <c r="K221" s="110"/>
      <c r="L221" s="110"/>
      <c r="M221" s="111"/>
      <c r="N221" s="111"/>
      <c r="O221" s="110"/>
      <c r="P221" s="110"/>
      <c r="Q221" s="112"/>
      <c r="R221" s="112"/>
      <c r="S221" s="110"/>
      <c r="T221" s="110"/>
      <c r="U221" s="112"/>
      <c r="V221" s="112"/>
      <c r="W221" s="110"/>
      <c r="X221" s="110"/>
      <c r="Y221" s="110"/>
      <c r="Z221" s="110"/>
      <c r="AA221" s="110"/>
      <c r="AB221" s="110"/>
      <c r="AC221" s="114"/>
      <c r="AD221" s="112"/>
      <c r="AE221" s="110"/>
      <c r="AF221" s="110"/>
      <c r="AG221" s="112"/>
      <c r="AH221" s="112"/>
      <c r="AI221" s="110"/>
      <c r="AJ221" s="110"/>
      <c r="AK221" s="112"/>
      <c r="AL221" s="112"/>
      <c r="AM221" s="110"/>
      <c r="AN221" s="110"/>
      <c r="AO221" s="110"/>
      <c r="AP221" s="110"/>
      <c r="AQ221" s="40"/>
      <c r="AR221" s="40"/>
      <c r="AS221" s="23"/>
    </row>
    <row r="222" spans="1:45" ht="15.75" x14ac:dyDescent="0.25">
      <c r="A222" s="44"/>
      <c r="B222" s="45"/>
      <c r="C222" s="45"/>
      <c r="D222" s="37"/>
      <c r="E222" s="109"/>
      <c r="F222" s="109"/>
      <c r="G222" s="110"/>
      <c r="H222" s="110"/>
      <c r="I222" s="109"/>
      <c r="J222" s="109"/>
      <c r="K222" s="110"/>
      <c r="L222" s="110"/>
      <c r="M222" s="111"/>
      <c r="N222" s="111"/>
      <c r="O222" s="110"/>
      <c r="P222" s="110"/>
      <c r="Q222" s="112"/>
      <c r="R222" s="112"/>
      <c r="S222" s="110"/>
      <c r="T222" s="110"/>
      <c r="U222" s="112"/>
      <c r="V222" s="112"/>
      <c r="W222" s="110"/>
      <c r="X222" s="110"/>
      <c r="Y222" s="110"/>
      <c r="Z222" s="110"/>
      <c r="AA222" s="110"/>
      <c r="AB222" s="110"/>
      <c r="AC222" s="114"/>
      <c r="AD222" s="112"/>
      <c r="AE222" s="110"/>
      <c r="AF222" s="110"/>
      <c r="AG222" s="112"/>
      <c r="AH222" s="112"/>
      <c r="AI222" s="110"/>
      <c r="AJ222" s="110"/>
      <c r="AK222" s="112"/>
      <c r="AL222" s="112"/>
      <c r="AM222" s="110"/>
      <c r="AN222" s="110"/>
      <c r="AO222" s="110"/>
      <c r="AP222" s="110"/>
      <c r="AQ222" s="40"/>
      <c r="AR222" s="40"/>
      <c r="AS222" s="23"/>
    </row>
    <row r="223" spans="1:45" ht="15.75" x14ac:dyDescent="0.25">
      <c r="A223" s="44"/>
      <c r="B223" s="36"/>
      <c r="C223" s="36"/>
      <c r="D223" s="37"/>
      <c r="E223" s="109"/>
      <c r="F223" s="109"/>
      <c r="G223" s="110"/>
      <c r="H223" s="110"/>
      <c r="I223" s="109"/>
      <c r="J223" s="109"/>
      <c r="K223" s="110"/>
      <c r="L223" s="110"/>
      <c r="M223" s="111"/>
      <c r="N223" s="111"/>
      <c r="O223" s="110"/>
      <c r="P223" s="110"/>
      <c r="Q223" s="112"/>
      <c r="R223" s="112"/>
      <c r="S223" s="110"/>
      <c r="T223" s="110"/>
      <c r="U223" s="112"/>
      <c r="V223" s="112"/>
      <c r="W223" s="110"/>
      <c r="X223" s="110"/>
      <c r="Y223" s="110"/>
      <c r="Z223" s="110"/>
      <c r="AA223" s="110"/>
      <c r="AB223" s="110"/>
      <c r="AC223" s="114"/>
      <c r="AD223" s="112"/>
      <c r="AE223" s="110"/>
      <c r="AF223" s="110"/>
      <c r="AG223" s="112"/>
      <c r="AH223" s="112"/>
      <c r="AI223" s="110"/>
      <c r="AJ223" s="110"/>
      <c r="AK223" s="112"/>
      <c r="AL223" s="112"/>
      <c r="AM223" s="110"/>
      <c r="AN223" s="110"/>
      <c r="AO223" s="110"/>
      <c r="AP223" s="110"/>
      <c r="AQ223" s="40"/>
      <c r="AR223" s="40"/>
      <c r="AS223" s="23"/>
    </row>
    <row r="224" spans="1:45" ht="15.75" x14ac:dyDescent="0.25">
      <c r="A224" s="44"/>
      <c r="B224" s="44"/>
      <c r="C224" s="46"/>
      <c r="D224" s="36"/>
      <c r="E224" s="109"/>
      <c r="F224" s="109"/>
      <c r="G224" s="110"/>
      <c r="H224" s="110"/>
      <c r="I224" s="109"/>
      <c r="J224" s="109"/>
      <c r="K224" s="110"/>
      <c r="L224" s="110"/>
      <c r="M224" s="111"/>
      <c r="N224" s="111"/>
      <c r="O224" s="110"/>
      <c r="P224" s="110"/>
      <c r="Q224" s="112"/>
      <c r="R224" s="112"/>
      <c r="S224" s="110"/>
      <c r="T224" s="110"/>
      <c r="U224" s="112"/>
      <c r="V224" s="112"/>
      <c r="W224" s="110"/>
      <c r="X224" s="110"/>
      <c r="Y224" s="110"/>
      <c r="Z224" s="110"/>
      <c r="AA224" s="110"/>
      <c r="AB224" s="110"/>
      <c r="AC224" s="114"/>
      <c r="AD224" s="112"/>
      <c r="AE224" s="110"/>
      <c r="AF224" s="110"/>
      <c r="AG224" s="112"/>
      <c r="AH224" s="112"/>
      <c r="AI224" s="110"/>
      <c r="AJ224" s="110"/>
      <c r="AK224" s="112"/>
      <c r="AL224" s="112"/>
      <c r="AM224" s="110"/>
      <c r="AN224" s="110"/>
      <c r="AO224" s="110"/>
      <c r="AP224" s="110"/>
      <c r="AQ224" s="40"/>
      <c r="AR224" s="40"/>
      <c r="AS224" s="23"/>
    </row>
    <row r="225" spans="1:45" ht="15.75" x14ac:dyDescent="0.25">
      <c r="A225" s="44"/>
      <c r="B225" s="45"/>
      <c r="C225" s="45"/>
      <c r="D225" s="37"/>
      <c r="E225" s="109"/>
      <c r="F225" s="109"/>
      <c r="G225" s="110"/>
      <c r="H225" s="110"/>
      <c r="I225" s="109"/>
      <c r="J225" s="109"/>
      <c r="K225" s="110"/>
      <c r="L225" s="110"/>
      <c r="M225" s="111"/>
      <c r="N225" s="111"/>
      <c r="O225" s="110"/>
      <c r="P225" s="110"/>
      <c r="Q225" s="112"/>
      <c r="R225" s="112"/>
      <c r="S225" s="110"/>
      <c r="T225" s="110"/>
      <c r="U225" s="112"/>
      <c r="V225" s="112"/>
      <c r="W225" s="110"/>
      <c r="X225" s="110"/>
      <c r="Y225" s="110"/>
      <c r="Z225" s="110"/>
      <c r="AA225" s="110"/>
      <c r="AB225" s="110"/>
      <c r="AC225" s="114"/>
      <c r="AD225" s="112"/>
      <c r="AE225" s="110"/>
      <c r="AF225" s="110"/>
      <c r="AG225" s="112"/>
      <c r="AH225" s="112"/>
      <c r="AI225" s="110"/>
      <c r="AJ225" s="110"/>
      <c r="AK225" s="112"/>
      <c r="AL225" s="112"/>
      <c r="AM225" s="110"/>
      <c r="AN225" s="110"/>
      <c r="AO225" s="110"/>
      <c r="AP225" s="110"/>
      <c r="AQ225" s="40"/>
      <c r="AR225" s="40"/>
      <c r="AS225" s="23"/>
    </row>
    <row r="226" spans="1:45" ht="15.75" x14ac:dyDescent="0.25">
      <c r="A226" s="44"/>
      <c r="B226" s="36"/>
      <c r="C226" s="36"/>
      <c r="D226" s="37"/>
      <c r="E226" s="109"/>
      <c r="F226" s="109"/>
      <c r="G226" s="110"/>
      <c r="H226" s="110"/>
      <c r="I226" s="109"/>
      <c r="J226" s="109"/>
      <c r="K226" s="110"/>
      <c r="L226" s="110"/>
      <c r="M226" s="111"/>
      <c r="N226" s="111"/>
      <c r="O226" s="110"/>
      <c r="P226" s="110"/>
      <c r="Q226" s="112"/>
      <c r="R226" s="112"/>
      <c r="S226" s="110"/>
      <c r="T226" s="110"/>
      <c r="U226" s="112"/>
      <c r="V226" s="112"/>
      <c r="W226" s="110"/>
      <c r="X226" s="110"/>
      <c r="Y226" s="110"/>
      <c r="Z226" s="110"/>
      <c r="AA226" s="110"/>
      <c r="AB226" s="110"/>
      <c r="AC226" s="114"/>
      <c r="AD226" s="112"/>
      <c r="AE226" s="110"/>
      <c r="AF226" s="110"/>
      <c r="AG226" s="112"/>
      <c r="AH226" s="112"/>
      <c r="AI226" s="110"/>
      <c r="AJ226" s="110"/>
      <c r="AK226" s="112"/>
      <c r="AL226" s="112"/>
      <c r="AM226" s="110"/>
      <c r="AN226" s="110"/>
      <c r="AO226" s="110"/>
      <c r="AP226" s="110"/>
      <c r="AQ226" s="40"/>
      <c r="AR226" s="40"/>
      <c r="AS226" s="23"/>
    </row>
    <row r="227" spans="1:45" ht="15.75" x14ac:dyDescent="0.25">
      <c r="A227" s="44"/>
      <c r="B227" s="23"/>
      <c r="C227" s="23"/>
      <c r="D227" s="23"/>
      <c r="E227" s="68"/>
      <c r="F227" s="68"/>
      <c r="G227" s="110"/>
      <c r="H227" s="110"/>
      <c r="I227" s="68"/>
      <c r="J227" s="68"/>
      <c r="K227" s="110"/>
      <c r="L227" s="110"/>
      <c r="M227" s="68"/>
      <c r="N227" s="68"/>
      <c r="O227" s="110"/>
      <c r="P227" s="110"/>
      <c r="Q227" s="68"/>
      <c r="R227" s="68"/>
      <c r="S227" s="110"/>
      <c r="T227" s="110"/>
      <c r="U227" s="68"/>
      <c r="V227" s="68"/>
      <c r="W227" s="110"/>
      <c r="X227" s="110"/>
      <c r="Y227" s="110"/>
      <c r="Z227" s="110"/>
      <c r="AA227" s="110"/>
      <c r="AB227" s="110"/>
      <c r="AC227" s="114"/>
      <c r="AD227" s="68"/>
      <c r="AE227" s="110"/>
      <c r="AF227" s="110"/>
      <c r="AG227" s="68"/>
      <c r="AH227" s="68"/>
      <c r="AI227" s="110"/>
      <c r="AJ227" s="110"/>
      <c r="AK227" s="68"/>
      <c r="AL227" s="68"/>
      <c r="AM227" s="110"/>
      <c r="AN227" s="110"/>
      <c r="AO227" s="68"/>
      <c r="AP227" s="68"/>
      <c r="AQ227" s="40"/>
      <c r="AR227" s="40"/>
      <c r="AS227" s="23"/>
    </row>
    <row r="228" spans="1:45" ht="15.75" x14ac:dyDescent="0.25">
      <c r="A228" s="44"/>
      <c r="B228" s="23"/>
      <c r="C228" s="23"/>
      <c r="D228" s="23"/>
      <c r="E228" s="68"/>
      <c r="F228" s="68"/>
      <c r="G228" s="110"/>
      <c r="H228" s="110"/>
      <c r="I228" s="68"/>
      <c r="J228" s="68"/>
      <c r="K228" s="110"/>
      <c r="L228" s="110"/>
      <c r="M228" s="68"/>
      <c r="N228" s="68"/>
      <c r="O228" s="110"/>
      <c r="P228" s="110"/>
      <c r="Q228" s="68"/>
      <c r="R228" s="68"/>
      <c r="S228" s="110"/>
      <c r="T228" s="110"/>
      <c r="U228" s="68"/>
      <c r="V228" s="68"/>
      <c r="W228" s="110"/>
      <c r="X228" s="110"/>
      <c r="Y228" s="110"/>
      <c r="Z228" s="110"/>
      <c r="AA228" s="110"/>
      <c r="AB228" s="110"/>
      <c r="AC228" s="114"/>
      <c r="AD228" s="68"/>
      <c r="AE228" s="110"/>
      <c r="AF228" s="110"/>
      <c r="AG228" s="68"/>
      <c r="AH228" s="68"/>
      <c r="AI228" s="110"/>
      <c r="AJ228" s="110"/>
      <c r="AK228" s="68"/>
      <c r="AL228" s="68"/>
      <c r="AM228" s="110"/>
      <c r="AN228" s="110"/>
      <c r="AO228" s="68"/>
      <c r="AP228" s="68"/>
      <c r="AQ228" s="40"/>
      <c r="AR228" s="40"/>
      <c r="AS228" s="23"/>
    </row>
    <row r="229" spans="1:45" ht="15.75" x14ac:dyDescent="0.25">
      <c r="A229" s="44"/>
      <c r="B229" s="23"/>
      <c r="C229" s="23"/>
      <c r="D229" s="23"/>
      <c r="E229" s="68"/>
      <c r="F229" s="68"/>
      <c r="G229" s="110"/>
      <c r="H229" s="110"/>
      <c r="I229" s="68"/>
      <c r="J229" s="68"/>
      <c r="K229" s="110"/>
      <c r="L229" s="110"/>
      <c r="M229" s="68"/>
      <c r="N229" s="68"/>
      <c r="O229" s="110"/>
      <c r="P229" s="110"/>
      <c r="Q229" s="68"/>
      <c r="R229" s="68"/>
      <c r="S229" s="110"/>
      <c r="T229" s="110"/>
      <c r="U229" s="68"/>
      <c r="V229" s="68"/>
      <c r="W229" s="110"/>
      <c r="X229" s="110"/>
      <c r="Y229" s="110"/>
      <c r="Z229" s="110"/>
      <c r="AA229" s="110"/>
      <c r="AB229" s="110"/>
      <c r="AC229" s="114"/>
      <c r="AD229" s="68"/>
      <c r="AE229" s="110"/>
      <c r="AF229" s="110"/>
      <c r="AG229" s="68"/>
      <c r="AH229" s="68"/>
      <c r="AI229" s="110"/>
      <c r="AJ229" s="110"/>
      <c r="AK229" s="68"/>
      <c r="AL229" s="68"/>
      <c r="AM229" s="110"/>
      <c r="AN229" s="110"/>
      <c r="AO229" s="68"/>
      <c r="AP229" s="68"/>
      <c r="AQ229" s="40"/>
      <c r="AR229" s="40"/>
      <c r="AS229" s="23"/>
    </row>
    <row r="230" spans="1:45" ht="15.75" x14ac:dyDescent="0.25">
      <c r="A230" s="44"/>
      <c r="B230" s="23"/>
      <c r="C230" s="23"/>
      <c r="D230" s="23"/>
      <c r="E230" s="68"/>
      <c r="F230" s="68"/>
      <c r="G230" s="110"/>
      <c r="H230" s="110"/>
      <c r="I230" s="68"/>
      <c r="J230" s="68"/>
      <c r="K230" s="110"/>
      <c r="L230" s="110"/>
      <c r="M230" s="68"/>
      <c r="N230" s="68"/>
      <c r="O230" s="110"/>
      <c r="P230" s="110"/>
      <c r="Q230" s="68"/>
      <c r="R230" s="68"/>
      <c r="S230" s="110"/>
      <c r="T230" s="110"/>
      <c r="U230" s="68"/>
      <c r="V230" s="68"/>
      <c r="W230" s="110"/>
      <c r="X230" s="110"/>
      <c r="Y230" s="110"/>
      <c r="Z230" s="110"/>
      <c r="AA230" s="110"/>
      <c r="AB230" s="110"/>
      <c r="AC230" s="114"/>
      <c r="AD230" s="68"/>
      <c r="AE230" s="110"/>
      <c r="AF230" s="110"/>
      <c r="AG230" s="68"/>
      <c r="AH230" s="68"/>
      <c r="AI230" s="110"/>
      <c r="AJ230" s="110"/>
      <c r="AK230" s="68"/>
      <c r="AL230" s="68"/>
      <c r="AM230" s="110"/>
      <c r="AN230" s="110"/>
      <c r="AO230" s="68"/>
      <c r="AP230" s="68"/>
      <c r="AQ230" s="40"/>
      <c r="AR230" s="40"/>
      <c r="AS230" s="23"/>
    </row>
    <row r="231" spans="1:45" ht="15.75" x14ac:dyDescent="0.25">
      <c r="A231" s="44"/>
      <c r="B231" s="23"/>
      <c r="C231" s="23"/>
      <c r="D231" s="23"/>
      <c r="E231" s="68"/>
      <c r="F231" s="68"/>
      <c r="G231" s="110"/>
      <c r="H231" s="110"/>
      <c r="I231" s="68"/>
      <c r="J231" s="68"/>
      <c r="K231" s="110"/>
      <c r="L231" s="110"/>
      <c r="M231" s="68"/>
      <c r="N231" s="68"/>
      <c r="O231" s="110"/>
      <c r="P231" s="110"/>
      <c r="Q231" s="68"/>
      <c r="R231" s="68"/>
      <c r="S231" s="110"/>
      <c r="T231" s="110"/>
      <c r="U231" s="68"/>
      <c r="V231" s="68"/>
      <c r="W231" s="110"/>
      <c r="X231" s="110"/>
      <c r="Y231" s="110"/>
      <c r="Z231" s="110"/>
      <c r="AA231" s="110"/>
      <c r="AB231" s="110"/>
      <c r="AC231" s="114"/>
      <c r="AD231" s="68"/>
      <c r="AE231" s="110"/>
      <c r="AF231" s="110"/>
      <c r="AG231" s="68"/>
      <c r="AH231" s="68"/>
      <c r="AI231" s="110"/>
      <c r="AJ231" s="110"/>
      <c r="AK231" s="68"/>
      <c r="AL231" s="68"/>
      <c r="AM231" s="110"/>
      <c r="AN231" s="110"/>
      <c r="AO231" s="68"/>
      <c r="AP231" s="68"/>
      <c r="AQ231" s="40"/>
      <c r="AR231" s="40"/>
      <c r="AS231" s="23"/>
    </row>
    <row r="232" spans="1:45" ht="15.75" x14ac:dyDescent="0.25">
      <c r="A232" s="44"/>
      <c r="B232" s="23"/>
      <c r="C232" s="23"/>
      <c r="D232" s="23"/>
      <c r="E232" s="68"/>
      <c r="F232" s="68"/>
      <c r="G232" s="110"/>
      <c r="H232" s="110"/>
      <c r="I232" s="68"/>
      <c r="J232" s="68"/>
      <c r="K232" s="110"/>
      <c r="L232" s="110"/>
      <c r="M232" s="68"/>
      <c r="N232" s="68"/>
      <c r="O232" s="110"/>
      <c r="P232" s="110"/>
      <c r="Q232" s="68"/>
      <c r="R232" s="68"/>
      <c r="S232" s="110"/>
      <c r="T232" s="110"/>
      <c r="U232" s="68"/>
      <c r="V232" s="68"/>
      <c r="W232" s="110"/>
      <c r="X232" s="110"/>
      <c r="Y232" s="110"/>
      <c r="Z232" s="110"/>
      <c r="AA232" s="110"/>
      <c r="AB232" s="110"/>
      <c r="AC232" s="114"/>
      <c r="AD232" s="68"/>
      <c r="AE232" s="110"/>
      <c r="AF232" s="110"/>
      <c r="AG232" s="68"/>
      <c r="AH232" s="68"/>
      <c r="AI232" s="110"/>
      <c r="AJ232" s="110"/>
      <c r="AK232" s="68"/>
      <c r="AL232" s="68"/>
      <c r="AM232" s="110"/>
      <c r="AN232" s="110"/>
      <c r="AO232" s="68"/>
      <c r="AP232" s="68"/>
      <c r="AQ232" s="40"/>
      <c r="AR232" s="40"/>
      <c r="AS232" s="23"/>
    </row>
    <row r="233" spans="1:45" ht="15.75" x14ac:dyDescent="0.25">
      <c r="A233" s="44"/>
      <c r="B233" s="23"/>
      <c r="C233" s="23"/>
      <c r="D233" s="23"/>
      <c r="E233" s="68"/>
      <c r="F233" s="68"/>
      <c r="G233" s="110"/>
      <c r="H233" s="110"/>
      <c r="I233" s="68"/>
      <c r="J233" s="68"/>
      <c r="K233" s="110"/>
      <c r="L233" s="110"/>
      <c r="M233" s="68"/>
      <c r="N233" s="68"/>
      <c r="O233" s="110"/>
      <c r="P233" s="110"/>
      <c r="Q233" s="68"/>
      <c r="R233" s="68"/>
      <c r="S233" s="110"/>
      <c r="T233" s="110"/>
      <c r="U233" s="68"/>
      <c r="V233" s="68"/>
      <c r="W233" s="110"/>
      <c r="X233" s="110"/>
      <c r="Y233" s="110"/>
      <c r="Z233" s="110"/>
      <c r="AA233" s="110"/>
      <c r="AB233" s="110"/>
      <c r="AC233" s="114"/>
      <c r="AD233" s="68"/>
      <c r="AE233" s="110"/>
      <c r="AF233" s="110"/>
      <c r="AG233" s="68"/>
      <c r="AH233" s="68"/>
      <c r="AI233" s="110"/>
      <c r="AJ233" s="110"/>
      <c r="AK233" s="68"/>
      <c r="AL233" s="68"/>
      <c r="AM233" s="110"/>
      <c r="AN233" s="110"/>
      <c r="AO233" s="68"/>
      <c r="AP233" s="68"/>
      <c r="AQ233" s="40"/>
      <c r="AR233" s="40"/>
      <c r="AS233" s="23"/>
    </row>
    <row r="234" spans="1:45" ht="15.75" x14ac:dyDescent="0.25">
      <c r="A234" s="44"/>
      <c r="B234" s="23"/>
      <c r="C234" s="23"/>
      <c r="D234" s="23"/>
      <c r="E234" s="68"/>
      <c r="F234" s="68"/>
      <c r="G234" s="110"/>
      <c r="H234" s="110"/>
      <c r="I234" s="68"/>
      <c r="J234" s="68"/>
      <c r="K234" s="110"/>
      <c r="L234" s="110"/>
      <c r="M234" s="68"/>
      <c r="N234" s="68"/>
      <c r="O234" s="110"/>
      <c r="P234" s="110"/>
      <c r="Q234" s="68"/>
      <c r="R234" s="68"/>
      <c r="S234" s="110"/>
      <c r="T234" s="110"/>
      <c r="U234" s="68"/>
      <c r="V234" s="68"/>
      <c r="W234" s="110"/>
      <c r="X234" s="110"/>
      <c r="Y234" s="110"/>
      <c r="Z234" s="110"/>
      <c r="AA234" s="110"/>
      <c r="AB234" s="110"/>
      <c r="AC234" s="114"/>
      <c r="AD234" s="68"/>
      <c r="AE234" s="110"/>
      <c r="AF234" s="110"/>
      <c r="AG234" s="68"/>
      <c r="AH234" s="68"/>
      <c r="AI234" s="110"/>
      <c r="AJ234" s="110"/>
      <c r="AK234" s="68"/>
      <c r="AL234" s="68"/>
      <c r="AM234" s="110"/>
      <c r="AN234" s="110"/>
      <c r="AO234" s="68"/>
      <c r="AP234" s="68"/>
      <c r="AQ234" s="40"/>
      <c r="AR234" s="40"/>
      <c r="AS234" s="23"/>
    </row>
    <row r="235" spans="1:45" ht="15.75" x14ac:dyDescent="0.25">
      <c r="A235" s="44"/>
      <c r="B235" s="23"/>
      <c r="C235" s="23"/>
      <c r="D235" s="23"/>
      <c r="E235" s="68"/>
      <c r="F235" s="68"/>
      <c r="G235" s="110"/>
      <c r="H235" s="110"/>
      <c r="I235" s="68"/>
      <c r="J235" s="68"/>
      <c r="K235" s="110"/>
      <c r="L235" s="110"/>
      <c r="M235" s="68"/>
      <c r="N235" s="68"/>
      <c r="O235" s="110"/>
      <c r="P235" s="110"/>
      <c r="Q235" s="68"/>
      <c r="R235" s="68"/>
      <c r="S235" s="110"/>
      <c r="T235" s="110"/>
      <c r="U235" s="68"/>
      <c r="V235" s="68"/>
      <c r="W235" s="110"/>
      <c r="X235" s="110"/>
      <c r="Y235" s="110"/>
      <c r="Z235" s="110"/>
      <c r="AA235" s="110"/>
      <c r="AB235" s="110"/>
      <c r="AC235" s="114"/>
      <c r="AD235" s="68"/>
      <c r="AE235" s="110"/>
      <c r="AF235" s="110"/>
      <c r="AG235" s="68"/>
      <c r="AH235" s="68"/>
      <c r="AI235" s="110"/>
      <c r="AJ235" s="110"/>
      <c r="AK235" s="68"/>
      <c r="AL235" s="68"/>
      <c r="AM235" s="110"/>
      <c r="AN235" s="110"/>
      <c r="AO235" s="68"/>
      <c r="AP235" s="68"/>
      <c r="AQ235" s="40"/>
      <c r="AR235" s="40"/>
      <c r="AS235" s="23"/>
    </row>
    <row r="236" spans="1:45" ht="15.75" x14ac:dyDescent="0.25">
      <c r="A236" s="44"/>
      <c r="B236" s="23"/>
      <c r="C236" s="23"/>
      <c r="D236" s="23"/>
      <c r="E236" s="68"/>
      <c r="F236" s="68"/>
      <c r="G236" s="110"/>
      <c r="H236" s="110"/>
      <c r="I236" s="68"/>
      <c r="J236" s="68"/>
      <c r="K236" s="110"/>
      <c r="L236" s="110"/>
      <c r="M236" s="68"/>
      <c r="N236" s="68"/>
      <c r="O236" s="110"/>
      <c r="P236" s="110"/>
      <c r="Q236" s="68"/>
      <c r="R236" s="68"/>
      <c r="S236" s="110"/>
      <c r="T236" s="110"/>
      <c r="U236" s="68"/>
      <c r="V236" s="68"/>
      <c r="W236" s="110"/>
      <c r="X236" s="110"/>
      <c r="Y236" s="110"/>
      <c r="Z236" s="110"/>
      <c r="AA236" s="110"/>
      <c r="AB236" s="110"/>
      <c r="AC236" s="114"/>
      <c r="AD236" s="68"/>
      <c r="AE236" s="110"/>
      <c r="AF236" s="110"/>
      <c r="AG236" s="68"/>
      <c r="AH236" s="68"/>
      <c r="AI236" s="110"/>
      <c r="AJ236" s="110"/>
      <c r="AK236" s="68"/>
      <c r="AL236" s="68"/>
      <c r="AM236" s="110"/>
      <c r="AN236" s="110"/>
      <c r="AO236" s="68"/>
      <c r="AP236" s="68"/>
      <c r="AQ236" s="40"/>
      <c r="AR236" s="40"/>
      <c r="AS236" s="23"/>
    </row>
    <row r="237" spans="1:45" ht="15.75" x14ac:dyDescent="0.25">
      <c r="A237" s="44"/>
      <c r="B237" s="23"/>
      <c r="C237" s="23"/>
      <c r="D237" s="23"/>
      <c r="E237" s="68"/>
      <c r="F237" s="68"/>
      <c r="G237" s="110"/>
      <c r="H237" s="110"/>
      <c r="I237" s="68"/>
      <c r="J237" s="68"/>
      <c r="K237" s="110"/>
      <c r="L237" s="110"/>
      <c r="M237" s="68"/>
      <c r="N237" s="68"/>
      <c r="O237" s="110"/>
      <c r="P237" s="110"/>
      <c r="Q237" s="68"/>
      <c r="R237" s="68"/>
      <c r="S237" s="110"/>
      <c r="T237" s="110"/>
      <c r="U237" s="68"/>
      <c r="V237" s="68"/>
      <c r="W237" s="110"/>
      <c r="X237" s="110"/>
      <c r="Y237" s="110"/>
      <c r="Z237" s="110"/>
      <c r="AA237" s="110"/>
      <c r="AB237" s="110"/>
      <c r="AC237" s="114"/>
      <c r="AD237" s="68"/>
      <c r="AE237" s="110"/>
      <c r="AF237" s="110"/>
      <c r="AG237" s="68"/>
      <c r="AH237" s="68"/>
      <c r="AI237" s="110"/>
      <c r="AJ237" s="110"/>
      <c r="AK237" s="68"/>
      <c r="AL237" s="68"/>
      <c r="AM237" s="110"/>
      <c r="AN237" s="110"/>
      <c r="AO237" s="68"/>
      <c r="AP237" s="68"/>
      <c r="AQ237" s="40"/>
      <c r="AR237" s="40"/>
      <c r="AS237" s="23"/>
    </row>
    <row r="238" spans="1:45" ht="15.75" x14ac:dyDescent="0.25">
      <c r="A238" s="44"/>
      <c r="B238" s="23"/>
      <c r="C238" s="23"/>
      <c r="D238" s="23"/>
      <c r="E238" s="68"/>
      <c r="F238" s="68"/>
      <c r="G238" s="110"/>
      <c r="H238" s="110"/>
      <c r="I238" s="68"/>
      <c r="J238" s="68"/>
      <c r="K238" s="110"/>
      <c r="L238" s="110"/>
      <c r="M238" s="68"/>
      <c r="N238" s="68"/>
      <c r="O238" s="110"/>
      <c r="P238" s="110"/>
      <c r="Q238" s="68"/>
      <c r="R238" s="68"/>
      <c r="S238" s="110"/>
      <c r="T238" s="110"/>
      <c r="U238" s="68"/>
      <c r="V238" s="68"/>
      <c r="W238" s="110"/>
      <c r="X238" s="110"/>
      <c r="Y238" s="110"/>
      <c r="Z238" s="110"/>
      <c r="AA238" s="110"/>
      <c r="AB238" s="110"/>
      <c r="AC238" s="114"/>
      <c r="AD238" s="68"/>
      <c r="AE238" s="110"/>
      <c r="AF238" s="110"/>
      <c r="AG238" s="68"/>
      <c r="AH238" s="68"/>
      <c r="AI238" s="110"/>
      <c r="AJ238" s="110"/>
      <c r="AK238" s="68"/>
      <c r="AL238" s="68"/>
      <c r="AM238" s="110"/>
      <c r="AN238" s="110"/>
      <c r="AO238" s="68"/>
      <c r="AP238" s="68"/>
      <c r="AQ238" s="40"/>
      <c r="AR238" s="40"/>
      <c r="AS238" s="23"/>
    </row>
    <row r="239" spans="1:45" ht="15.75" x14ac:dyDescent="0.25">
      <c r="A239" s="44"/>
      <c r="B239" s="23"/>
      <c r="C239" s="23"/>
      <c r="D239" s="23"/>
      <c r="E239" s="68"/>
      <c r="F239" s="68"/>
      <c r="G239" s="110"/>
      <c r="H239" s="110"/>
      <c r="I239" s="68"/>
      <c r="J239" s="68"/>
      <c r="K239" s="110"/>
      <c r="L239" s="110"/>
      <c r="M239" s="68"/>
      <c r="N239" s="68"/>
      <c r="O239" s="110"/>
      <c r="P239" s="110"/>
      <c r="Q239" s="68"/>
      <c r="R239" s="68"/>
      <c r="S239" s="110"/>
      <c r="T239" s="110"/>
      <c r="U239" s="68"/>
      <c r="V239" s="68"/>
      <c r="W239" s="110"/>
      <c r="X239" s="110"/>
      <c r="Y239" s="110"/>
      <c r="Z239" s="110"/>
      <c r="AA239" s="110"/>
      <c r="AB239" s="110"/>
      <c r="AC239" s="114"/>
      <c r="AD239" s="68"/>
      <c r="AE239" s="110"/>
      <c r="AF239" s="110"/>
      <c r="AG239" s="68"/>
      <c r="AH239" s="68"/>
      <c r="AI239" s="110"/>
      <c r="AJ239" s="110"/>
      <c r="AK239" s="68"/>
      <c r="AL239" s="68"/>
      <c r="AM239" s="110"/>
      <c r="AN239" s="110"/>
      <c r="AO239" s="68"/>
      <c r="AP239" s="68"/>
      <c r="AQ239" s="40"/>
      <c r="AR239" s="40"/>
      <c r="AS239" s="23"/>
    </row>
    <row r="240" spans="1:45" ht="15.75" x14ac:dyDescent="0.25">
      <c r="A240" s="44"/>
      <c r="B240" s="23"/>
      <c r="C240" s="23"/>
      <c r="D240" s="23"/>
      <c r="E240" s="68"/>
      <c r="F240" s="68"/>
      <c r="G240" s="110"/>
      <c r="H240" s="110"/>
      <c r="I240" s="68"/>
      <c r="J240" s="68"/>
      <c r="K240" s="110"/>
      <c r="L240" s="110"/>
      <c r="M240" s="68"/>
      <c r="N240" s="68"/>
      <c r="O240" s="110"/>
      <c r="P240" s="110"/>
      <c r="Q240" s="68"/>
      <c r="R240" s="68"/>
      <c r="S240" s="110"/>
      <c r="T240" s="110"/>
      <c r="U240" s="68"/>
      <c r="V240" s="68"/>
      <c r="W240" s="110"/>
      <c r="X240" s="110"/>
      <c r="Y240" s="110"/>
      <c r="Z240" s="110"/>
      <c r="AA240" s="110"/>
      <c r="AB240" s="110"/>
      <c r="AC240" s="114"/>
      <c r="AD240" s="68"/>
      <c r="AE240" s="110"/>
      <c r="AF240" s="110"/>
      <c r="AG240" s="68"/>
      <c r="AH240" s="68"/>
      <c r="AI240" s="110"/>
      <c r="AJ240" s="110"/>
      <c r="AK240" s="68"/>
      <c r="AL240" s="68"/>
      <c r="AM240" s="110"/>
      <c r="AN240" s="110"/>
      <c r="AO240" s="68"/>
      <c r="AP240" s="68"/>
      <c r="AQ240" s="40"/>
      <c r="AR240" s="40"/>
      <c r="AS240" s="23"/>
    </row>
    <row r="241" spans="1:45" ht="15.75" x14ac:dyDescent="0.25">
      <c r="A241" s="44"/>
      <c r="B241" s="23"/>
      <c r="C241" s="23"/>
      <c r="D241" s="23"/>
      <c r="E241" s="68"/>
      <c r="F241" s="68"/>
      <c r="G241" s="110"/>
      <c r="H241" s="110"/>
      <c r="I241" s="68"/>
      <c r="J241" s="68"/>
      <c r="K241" s="110"/>
      <c r="L241" s="110"/>
      <c r="M241" s="68"/>
      <c r="N241" s="68"/>
      <c r="O241" s="110"/>
      <c r="P241" s="110"/>
      <c r="Q241" s="68"/>
      <c r="R241" s="68"/>
      <c r="S241" s="110"/>
      <c r="T241" s="110"/>
      <c r="U241" s="68"/>
      <c r="V241" s="68"/>
      <c r="W241" s="110"/>
      <c r="X241" s="110"/>
      <c r="Y241" s="110"/>
      <c r="Z241" s="110"/>
      <c r="AA241" s="110"/>
      <c r="AB241" s="110"/>
      <c r="AC241" s="114"/>
      <c r="AD241" s="68"/>
      <c r="AE241" s="110"/>
      <c r="AF241" s="110"/>
      <c r="AG241" s="68"/>
      <c r="AH241" s="68"/>
      <c r="AI241" s="110"/>
      <c r="AJ241" s="110"/>
      <c r="AK241" s="68"/>
      <c r="AL241" s="68"/>
      <c r="AM241" s="110"/>
      <c r="AN241" s="110"/>
      <c r="AO241" s="68"/>
      <c r="AP241" s="68"/>
      <c r="AQ241" s="40"/>
      <c r="AR241" s="40"/>
      <c r="AS241" s="23"/>
    </row>
    <row r="242" spans="1:45" ht="15.75" x14ac:dyDescent="0.25">
      <c r="A242" s="44"/>
      <c r="B242" s="23"/>
      <c r="C242" s="23"/>
      <c r="D242" s="23"/>
      <c r="E242" s="68"/>
      <c r="F242" s="68"/>
      <c r="G242" s="110"/>
      <c r="H242" s="110"/>
      <c r="I242" s="68"/>
      <c r="J242" s="68"/>
      <c r="K242" s="110"/>
      <c r="L242" s="110"/>
      <c r="M242" s="68"/>
      <c r="N242" s="68"/>
      <c r="O242" s="110"/>
      <c r="P242" s="110"/>
      <c r="Q242" s="68"/>
      <c r="R242" s="68"/>
      <c r="S242" s="110"/>
      <c r="T242" s="110"/>
      <c r="U242" s="68"/>
      <c r="V242" s="68"/>
      <c r="W242" s="110"/>
      <c r="X242" s="110"/>
      <c r="Y242" s="110"/>
      <c r="Z242" s="110"/>
      <c r="AA242" s="110"/>
      <c r="AB242" s="110"/>
      <c r="AC242" s="114"/>
      <c r="AD242" s="68"/>
      <c r="AE242" s="110"/>
      <c r="AF242" s="110"/>
      <c r="AG242" s="68"/>
      <c r="AH242" s="68"/>
      <c r="AI242" s="110"/>
      <c r="AJ242" s="110"/>
      <c r="AK242" s="68"/>
      <c r="AL242" s="68"/>
      <c r="AM242" s="110"/>
      <c r="AN242" s="110"/>
      <c r="AO242" s="68"/>
      <c r="AP242" s="68"/>
      <c r="AQ242" s="40"/>
      <c r="AR242" s="40"/>
      <c r="AS242" s="23"/>
    </row>
    <row r="243" spans="1:45" ht="15.75" x14ac:dyDescent="0.25">
      <c r="A243" s="44"/>
      <c r="B243" s="23"/>
      <c r="C243" s="23"/>
      <c r="D243" s="23"/>
      <c r="E243" s="68"/>
      <c r="F243" s="68"/>
      <c r="G243" s="110"/>
      <c r="H243" s="110"/>
      <c r="I243" s="68"/>
      <c r="J243" s="68"/>
      <c r="K243" s="110"/>
      <c r="L243" s="110"/>
      <c r="M243" s="68"/>
      <c r="N243" s="68"/>
      <c r="O243" s="110"/>
      <c r="P243" s="110"/>
      <c r="Q243" s="68"/>
      <c r="R243" s="68"/>
      <c r="S243" s="110"/>
      <c r="T243" s="110"/>
      <c r="U243" s="68"/>
      <c r="V243" s="68"/>
      <c r="W243" s="110"/>
      <c r="X243" s="110"/>
      <c r="Y243" s="110"/>
      <c r="Z243" s="110"/>
      <c r="AA243" s="110"/>
      <c r="AB243" s="110"/>
      <c r="AC243" s="114"/>
      <c r="AD243" s="68"/>
      <c r="AE243" s="110"/>
      <c r="AF243" s="110"/>
      <c r="AG243" s="68"/>
      <c r="AH243" s="68"/>
      <c r="AI243" s="110"/>
      <c r="AJ243" s="110"/>
      <c r="AK243" s="68"/>
      <c r="AL243" s="68"/>
      <c r="AM243" s="110"/>
      <c r="AN243" s="110"/>
      <c r="AO243" s="68"/>
      <c r="AP243" s="68"/>
      <c r="AQ243" s="40"/>
      <c r="AR243" s="40"/>
      <c r="AS243" s="23"/>
    </row>
    <row r="244" spans="1:45" ht="15.75" x14ac:dyDescent="0.25">
      <c r="A244" s="44"/>
      <c r="B244" s="23"/>
      <c r="C244" s="23"/>
      <c r="D244" s="23"/>
      <c r="E244" s="68"/>
      <c r="F244" s="68"/>
      <c r="G244" s="110"/>
      <c r="H244" s="110"/>
      <c r="I244" s="68"/>
      <c r="J244" s="68"/>
      <c r="K244" s="110"/>
      <c r="L244" s="110"/>
      <c r="M244" s="68"/>
      <c r="N244" s="68"/>
      <c r="O244" s="110"/>
      <c r="P244" s="110"/>
      <c r="Q244" s="68"/>
      <c r="R244" s="68"/>
      <c r="S244" s="110"/>
      <c r="T244" s="110"/>
      <c r="U244" s="68"/>
      <c r="V244" s="68"/>
      <c r="W244" s="110"/>
      <c r="X244" s="110"/>
      <c r="Y244" s="110"/>
      <c r="Z244" s="110"/>
      <c r="AA244" s="110"/>
      <c r="AB244" s="110"/>
      <c r="AC244" s="114"/>
      <c r="AD244" s="68"/>
      <c r="AE244" s="110"/>
      <c r="AF244" s="110"/>
      <c r="AG244" s="68"/>
      <c r="AH244" s="68"/>
      <c r="AI244" s="110"/>
      <c r="AJ244" s="110"/>
      <c r="AK244" s="68"/>
      <c r="AL244" s="68"/>
      <c r="AM244" s="110"/>
      <c r="AN244" s="110"/>
      <c r="AO244" s="68"/>
      <c r="AP244" s="68"/>
      <c r="AQ244" s="40"/>
      <c r="AR244" s="40"/>
      <c r="AS244" s="23"/>
    </row>
    <row r="245" spans="1:45" ht="15.75" x14ac:dyDescent="0.25">
      <c r="A245" s="44"/>
      <c r="B245" s="23"/>
      <c r="C245" s="23"/>
      <c r="D245" s="23"/>
      <c r="E245" s="68"/>
      <c r="F245" s="68"/>
      <c r="G245" s="110"/>
      <c r="H245" s="110"/>
      <c r="I245" s="68"/>
      <c r="J245" s="68"/>
      <c r="K245" s="110"/>
      <c r="L245" s="110"/>
      <c r="M245" s="68"/>
      <c r="N245" s="68"/>
      <c r="O245" s="110"/>
      <c r="P245" s="110"/>
      <c r="Q245" s="68"/>
      <c r="R245" s="68"/>
      <c r="S245" s="110"/>
      <c r="T245" s="110"/>
      <c r="U245" s="68"/>
      <c r="V245" s="68"/>
      <c r="W245" s="110"/>
      <c r="X245" s="110"/>
      <c r="Y245" s="110"/>
      <c r="Z245" s="110"/>
      <c r="AA245" s="110"/>
      <c r="AB245" s="110"/>
      <c r="AC245" s="114"/>
      <c r="AD245" s="68"/>
      <c r="AE245" s="110"/>
      <c r="AF245" s="110"/>
      <c r="AG245" s="68"/>
      <c r="AH245" s="68"/>
      <c r="AI245" s="110"/>
      <c r="AJ245" s="110"/>
      <c r="AK245" s="68"/>
      <c r="AL245" s="68"/>
      <c r="AM245" s="110"/>
      <c r="AN245" s="110"/>
      <c r="AO245" s="68"/>
      <c r="AP245" s="68"/>
      <c r="AQ245" s="40"/>
      <c r="AR245" s="40"/>
      <c r="AS245" s="23"/>
    </row>
    <row r="246" spans="1:45" ht="15.75" x14ac:dyDescent="0.25">
      <c r="A246" s="44"/>
      <c r="B246" s="23"/>
      <c r="C246" s="23"/>
      <c r="D246" s="23"/>
      <c r="E246" s="68"/>
      <c r="F246" s="68"/>
      <c r="G246" s="110"/>
      <c r="H246" s="110"/>
      <c r="I246" s="68"/>
      <c r="J246" s="68"/>
      <c r="K246" s="110"/>
      <c r="L246" s="110"/>
      <c r="M246" s="68"/>
      <c r="N246" s="68"/>
      <c r="O246" s="110"/>
      <c r="P246" s="110"/>
      <c r="Q246" s="68"/>
      <c r="R246" s="68"/>
      <c r="S246" s="110"/>
      <c r="T246" s="110"/>
      <c r="U246" s="68"/>
      <c r="V246" s="68"/>
      <c r="W246" s="110"/>
      <c r="X246" s="110"/>
      <c r="Y246" s="110"/>
      <c r="Z246" s="110"/>
      <c r="AA246" s="110"/>
      <c r="AB246" s="110"/>
      <c r="AC246" s="114"/>
      <c r="AD246" s="68"/>
      <c r="AE246" s="110"/>
      <c r="AF246" s="110"/>
      <c r="AG246" s="68"/>
      <c r="AH246" s="68"/>
      <c r="AI246" s="110"/>
      <c r="AJ246" s="110"/>
      <c r="AK246" s="68"/>
      <c r="AL246" s="68"/>
      <c r="AM246" s="110"/>
      <c r="AN246" s="110"/>
      <c r="AO246" s="68"/>
      <c r="AP246" s="68"/>
      <c r="AQ246" s="40"/>
      <c r="AR246" s="40"/>
      <c r="AS246" s="23"/>
    </row>
    <row r="247" spans="1:45" ht="15.75" x14ac:dyDescent="0.25">
      <c r="A247" s="44"/>
      <c r="B247" s="23"/>
      <c r="C247" s="23"/>
      <c r="D247" s="23"/>
      <c r="E247" s="68"/>
      <c r="F247" s="68"/>
      <c r="G247" s="110"/>
      <c r="H247" s="110"/>
      <c r="I247" s="68"/>
      <c r="J247" s="68"/>
      <c r="K247" s="110"/>
      <c r="L247" s="110"/>
      <c r="M247" s="68"/>
      <c r="N247" s="68"/>
      <c r="O247" s="110"/>
      <c r="P247" s="110"/>
      <c r="Q247" s="68"/>
      <c r="R247" s="68"/>
      <c r="S247" s="110"/>
      <c r="T247" s="110"/>
      <c r="U247" s="68"/>
      <c r="V247" s="68"/>
      <c r="W247" s="110"/>
      <c r="X247" s="110"/>
      <c r="Y247" s="110"/>
      <c r="Z247" s="110"/>
      <c r="AA247" s="110"/>
      <c r="AB247" s="110"/>
      <c r="AC247" s="114"/>
      <c r="AD247" s="68"/>
      <c r="AE247" s="110"/>
      <c r="AF247" s="110"/>
      <c r="AG247" s="68"/>
      <c r="AH247" s="68"/>
      <c r="AI247" s="110"/>
      <c r="AJ247" s="110"/>
      <c r="AK247" s="68"/>
      <c r="AL247" s="68"/>
      <c r="AM247" s="110"/>
      <c r="AN247" s="110"/>
      <c r="AO247" s="68"/>
      <c r="AP247" s="68"/>
      <c r="AQ247" s="40"/>
      <c r="AR247" s="40"/>
      <c r="AS247" s="23"/>
    </row>
    <row r="248" spans="1:45" ht="15.75" x14ac:dyDescent="0.25">
      <c r="A248" s="44"/>
      <c r="B248" s="23"/>
      <c r="C248" s="23"/>
      <c r="D248" s="23"/>
      <c r="E248" s="68"/>
      <c r="F248" s="68"/>
      <c r="G248" s="110"/>
      <c r="H248" s="110"/>
      <c r="I248" s="68"/>
      <c r="J248" s="68"/>
      <c r="K248" s="110"/>
      <c r="L248" s="110"/>
      <c r="M248" s="68"/>
      <c r="N248" s="68"/>
      <c r="O248" s="110"/>
      <c r="P248" s="110"/>
      <c r="Q248" s="68"/>
      <c r="R248" s="68"/>
      <c r="S248" s="110"/>
      <c r="T248" s="110"/>
      <c r="U248" s="68"/>
      <c r="V248" s="68"/>
      <c r="W248" s="110"/>
      <c r="X248" s="110"/>
      <c r="Y248" s="110"/>
      <c r="Z248" s="110"/>
      <c r="AA248" s="110"/>
      <c r="AB248" s="110"/>
      <c r="AC248" s="114"/>
      <c r="AD248" s="68"/>
      <c r="AE248" s="110"/>
      <c r="AF248" s="110"/>
      <c r="AG248" s="68"/>
      <c r="AH248" s="68"/>
      <c r="AI248" s="110"/>
      <c r="AJ248" s="110"/>
      <c r="AK248" s="68"/>
      <c r="AL248" s="68"/>
      <c r="AM248" s="110"/>
      <c r="AN248" s="110"/>
      <c r="AO248" s="68"/>
      <c r="AP248" s="68"/>
      <c r="AQ248" s="40"/>
      <c r="AR248" s="40"/>
      <c r="AS248" s="23"/>
    </row>
    <row r="249" spans="1:45" ht="15.75" x14ac:dyDescent="0.25">
      <c r="A249" s="44"/>
      <c r="B249" s="23"/>
      <c r="C249" s="23"/>
      <c r="D249" s="23"/>
      <c r="E249" s="68"/>
      <c r="F249" s="68"/>
      <c r="G249" s="110"/>
      <c r="H249" s="110"/>
      <c r="I249" s="68"/>
      <c r="J249" s="68"/>
      <c r="K249" s="110"/>
      <c r="L249" s="110"/>
      <c r="M249" s="68"/>
      <c r="N249" s="68"/>
      <c r="O249" s="110"/>
      <c r="P249" s="110"/>
      <c r="Q249" s="68"/>
      <c r="R249" s="68"/>
      <c r="S249" s="110"/>
      <c r="T249" s="110"/>
      <c r="U249" s="68"/>
      <c r="V249" s="68"/>
      <c r="W249" s="110"/>
      <c r="X249" s="110"/>
      <c r="Y249" s="110"/>
      <c r="Z249" s="110"/>
      <c r="AA249" s="110"/>
      <c r="AB249" s="110"/>
      <c r="AC249" s="114"/>
      <c r="AD249" s="68"/>
      <c r="AE249" s="110"/>
      <c r="AF249" s="110"/>
      <c r="AG249" s="68"/>
      <c r="AH249" s="68"/>
      <c r="AI249" s="110"/>
      <c r="AJ249" s="110"/>
      <c r="AK249" s="68"/>
      <c r="AL249" s="68"/>
      <c r="AM249" s="110"/>
      <c r="AN249" s="110"/>
      <c r="AO249" s="68"/>
      <c r="AP249" s="68"/>
      <c r="AQ249" s="40"/>
      <c r="AR249" s="40"/>
      <c r="AS249" s="23"/>
    </row>
    <row r="250" spans="1:45" ht="15.75" x14ac:dyDescent="0.25">
      <c r="A250" s="44"/>
      <c r="B250" s="23"/>
      <c r="C250" s="23"/>
      <c r="D250" s="23"/>
      <c r="E250" s="68"/>
      <c r="F250" s="68"/>
      <c r="G250" s="110"/>
      <c r="H250" s="110"/>
      <c r="I250" s="68"/>
      <c r="J250" s="68"/>
      <c r="K250" s="110"/>
      <c r="L250" s="110"/>
      <c r="M250" s="68"/>
      <c r="N250" s="68"/>
      <c r="O250" s="110"/>
      <c r="P250" s="110"/>
      <c r="Q250" s="68"/>
      <c r="R250" s="68"/>
      <c r="S250" s="110"/>
      <c r="T250" s="110"/>
      <c r="U250" s="68"/>
      <c r="V250" s="68"/>
      <c r="W250" s="110"/>
      <c r="X250" s="110"/>
      <c r="Y250" s="110"/>
      <c r="Z250" s="110"/>
      <c r="AA250" s="110"/>
      <c r="AB250" s="110"/>
      <c r="AC250" s="114"/>
      <c r="AD250" s="68"/>
      <c r="AE250" s="110"/>
      <c r="AF250" s="110"/>
      <c r="AG250" s="68"/>
      <c r="AH250" s="68"/>
      <c r="AI250" s="110"/>
      <c r="AJ250" s="110"/>
      <c r="AK250" s="68"/>
      <c r="AL250" s="68"/>
      <c r="AM250" s="110"/>
      <c r="AN250" s="110"/>
      <c r="AO250" s="68"/>
      <c r="AP250" s="68"/>
      <c r="AQ250" s="40"/>
      <c r="AR250" s="40"/>
      <c r="AS250" s="23"/>
    </row>
    <row r="251" spans="1:45" ht="15.75" x14ac:dyDescent="0.25">
      <c r="A251" s="44"/>
      <c r="B251" s="23"/>
      <c r="C251" s="23"/>
      <c r="D251" s="23"/>
      <c r="E251" s="68"/>
      <c r="F251" s="68"/>
      <c r="G251" s="110"/>
      <c r="H251" s="110"/>
      <c r="I251" s="68"/>
      <c r="J251" s="68"/>
      <c r="K251" s="110"/>
      <c r="L251" s="110"/>
      <c r="M251" s="68"/>
      <c r="N251" s="68"/>
      <c r="O251" s="110"/>
      <c r="P251" s="110"/>
      <c r="Q251" s="68"/>
      <c r="R251" s="68"/>
      <c r="S251" s="110"/>
      <c r="T251" s="110"/>
      <c r="U251" s="68"/>
      <c r="V251" s="68"/>
      <c r="W251" s="110"/>
      <c r="X251" s="110"/>
      <c r="Y251" s="110"/>
      <c r="Z251" s="110"/>
      <c r="AA251" s="110"/>
      <c r="AB251" s="110"/>
      <c r="AC251" s="114"/>
      <c r="AD251" s="68"/>
      <c r="AE251" s="110"/>
      <c r="AF251" s="110"/>
      <c r="AG251" s="68"/>
      <c r="AH251" s="68"/>
      <c r="AI251" s="110"/>
      <c r="AJ251" s="110"/>
      <c r="AK251" s="68"/>
      <c r="AL251" s="68"/>
      <c r="AM251" s="110"/>
      <c r="AN251" s="110"/>
      <c r="AO251" s="68"/>
      <c r="AP251" s="68"/>
      <c r="AQ251" s="40"/>
      <c r="AR251" s="40"/>
      <c r="AS251" s="23"/>
    </row>
    <row r="252" spans="1:45" ht="15.75" x14ac:dyDescent="0.25">
      <c r="A252" s="44"/>
      <c r="B252" s="23"/>
      <c r="C252" s="23"/>
      <c r="D252" s="23"/>
      <c r="E252" s="68"/>
      <c r="F252" s="68"/>
      <c r="G252" s="110"/>
      <c r="H252" s="110"/>
      <c r="I252" s="68"/>
      <c r="J252" s="68"/>
      <c r="K252" s="110"/>
      <c r="L252" s="110"/>
      <c r="M252" s="68"/>
      <c r="N252" s="68"/>
      <c r="O252" s="110"/>
      <c r="P252" s="110"/>
      <c r="Q252" s="68"/>
      <c r="R252" s="68"/>
      <c r="S252" s="110"/>
      <c r="T252" s="110"/>
      <c r="U252" s="68"/>
      <c r="V252" s="68"/>
      <c r="W252" s="110"/>
      <c r="X252" s="110"/>
      <c r="Y252" s="110"/>
      <c r="Z252" s="110"/>
      <c r="AA252" s="110"/>
      <c r="AB252" s="110"/>
      <c r="AC252" s="114"/>
      <c r="AD252" s="68"/>
      <c r="AE252" s="110"/>
      <c r="AF252" s="110"/>
      <c r="AG252" s="68"/>
      <c r="AH252" s="68"/>
      <c r="AI252" s="110"/>
      <c r="AJ252" s="110"/>
      <c r="AK252" s="68"/>
      <c r="AL252" s="68"/>
      <c r="AM252" s="110"/>
      <c r="AN252" s="110"/>
      <c r="AO252" s="68"/>
      <c r="AP252" s="68"/>
      <c r="AQ252" s="40"/>
      <c r="AR252" s="40"/>
      <c r="AS252" s="23"/>
    </row>
    <row r="253" spans="1:45" ht="15.75" x14ac:dyDescent="0.25">
      <c r="A253" s="44"/>
      <c r="B253" s="23"/>
      <c r="C253" s="23"/>
      <c r="D253" s="23"/>
      <c r="E253" s="68"/>
      <c r="F253" s="68"/>
      <c r="G253" s="110"/>
      <c r="H253" s="110"/>
      <c r="I253" s="68"/>
      <c r="J253" s="68"/>
      <c r="K253" s="110"/>
      <c r="L253" s="110"/>
      <c r="M253" s="68"/>
      <c r="N253" s="68"/>
      <c r="O253" s="110"/>
      <c r="P253" s="110"/>
      <c r="Q253" s="68"/>
      <c r="R253" s="68"/>
      <c r="S253" s="110"/>
      <c r="T253" s="110"/>
      <c r="U253" s="68"/>
      <c r="V253" s="68"/>
      <c r="W253" s="110"/>
      <c r="X253" s="110"/>
      <c r="Y253" s="110"/>
      <c r="Z253" s="110"/>
      <c r="AA253" s="110"/>
      <c r="AB253" s="110"/>
      <c r="AC253" s="114"/>
      <c r="AD253" s="68"/>
      <c r="AE253" s="110"/>
      <c r="AF253" s="110"/>
      <c r="AG253" s="68"/>
      <c r="AH253" s="68"/>
      <c r="AI253" s="110"/>
      <c r="AJ253" s="110"/>
      <c r="AK253" s="68"/>
      <c r="AL253" s="68"/>
      <c r="AM253" s="110"/>
      <c r="AN253" s="110"/>
      <c r="AO253" s="68"/>
      <c r="AP253" s="68"/>
      <c r="AQ253" s="40"/>
      <c r="AR253" s="40"/>
      <c r="AS253" s="23"/>
    </row>
    <row r="254" spans="1:45" ht="15.75" x14ac:dyDescent="0.25">
      <c r="A254" s="44"/>
      <c r="B254" s="23"/>
      <c r="C254" s="23"/>
      <c r="D254" s="23"/>
      <c r="E254" s="68"/>
      <c r="F254" s="68"/>
      <c r="G254" s="110"/>
      <c r="H254" s="110"/>
      <c r="I254" s="68"/>
      <c r="J254" s="68"/>
      <c r="K254" s="110"/>
      <c r="L254" s="110"/>
      <c r="M254" s="68"/>
      <c r="N254" s="68"/>
      <c r="O254" s="110"/>
      <c r="P254" s="110"/>
      <c r="Q254" s="68"/>
      <c r="R254" s="68"/>
      <c r="S254" s="110"/>
      <c r="T254" s="110"/>
      <c r="U254" s="68"/>
      <c r="V254" s="68"/>
      <c r="W254" s="110"/>
      <c r="X254" s="110"/>
      <c r="Y254" s="110"/>
      <c r="Z254" s="110"/>
      <c r="AA254" s="110"/>
      <c r="AB254" s="110"/>
      <c r="AC254" s="114"/>
      <c r="AD254" s="68"/>
      <c r="AE254" s="110"/>
      <c r="AF254" s="110"/>
      <c r="AG254" s="68"/>
      <c r="AH254" s="68"/>
      <c r="AI254" s="110"/>
      <c r="AJ254" s="110"/>
      <c r="AK254" s="68"/>
      <c r="AL254" s="68"/>
      <c r="AM254" s="110"/>
      <c r="AN254" s="110"/>
      <c r="AO254" s="68"/>
      <c r="AP254" s="68"/>
      <c r="AQ254" s="40"/>
      <c r="AR254" s="40"/>
      <c r="AS254" s="23"/>
    </row>
    <row r="255" spans="1:45" ht="15.75" x14ac:dyDescent="0.25">
      <c r="A255" s="44"/>
      <c r="B255" s="23"/>
      <c r="C255" s="23"/>
      <c r="D255" s="23"/>
      <c r="E255" s="68"/>
      <c r="F255" s="68"/>
      <c r="G255" s="110"/>
      <c r="H255" s="110"/>
      <c r="I255" s="68"/>
      <c r="J255" s="68"/>
      <c r="K255" s="110"/>
      <c r="L255" s="110"/>
      <c r="M255" s="68"/>
      <c r="N255" s="68"/>
      <c r="O255" s="110"/>
      <c r="P255" s="110"/>
      <c r="Q255" s="68"/>
      <c r="R255" s="68"/>
      <c r="S255" s="110"/>
      <c r="T255" s="110"/>
      <c r="U255" s="68"/>
      <c r="V255" s="68"/>
      <c r="W255" s="110"/>
      <c r="X255" s="110"/>
      <c r="Y255" s="110"/>
      <c r="Z255" s="110"/>
      <c r="AA255" s="110"/>
      <c r="AB255" s="110"/>
      <c r="AC255" s="114"/>
      <c r="AD255" s="68"/>
      <c r="AE255" s="110"/>
      <c r="AF255" s="110"/>
      <c r="AG255" s="68"/>
      <c r="AH255" s="68"/>
      <c r="AI255" s="110"/>
      <c r="AJ255" s="110"/>
      <c r="AK255" s="68"/>
      <c r="AL255" s="68"/>
      <c r="AM255" s="110"/>
      <c r="AN255" s="110"/>
      <c r="AO255" s="68"/>
      <c r="AP255" s="68"/>
      <c r="AQ255" s="40"/>
      <c r="AR255" s="40"/>
      <c r="AS255" s="23"/>
    </row>
    <row r="256" spans="1:45" ht="15.75" x14ac:dyDescent="0.25">
      <c r="A256" s="44"/>
      <c r="B256" s="23"/>
      <c r="C256" s="23"/>
      <c r="D256" s="23"/>
      <c r="E256" s="68"/>
      <c r="F256" s="68"/>
      <c r="G256" s="110"/>
      <c r="H256" s="110"/>
      <c r="I256" s="68"/>
      <c r="J256" s="68"/>
      <c r="K256" s="110"/>
      <c r="L256" s="110"/>
      <c r="M256" s="68"/>
      <c r="N256" s="68"/>
      <c r="O256" s="110"/>
      <c r="P256" s="110"/>
      <c r="Q256" s="68"/>
      <c r="R256" s="68"/>
      <c r="S256" s="110"/>
      <c r="T256" s="110"/>
      <c r="U256" s="68"/>
      <c r="V256" s="68"/>
      <c r="W256" s="110"/>
      <c r="X256" s="110"/>
      <c r="Y256" s="110"/>
      <c r="Z256" s="110"/>
      <c r="AA256" s="110"/>
      <c r="AB256" s="110"/>
      <c r="AC256" s="114"/>
      <c r="AD256" s="68"/>
      <c r="AE256" s="110"/>
      <c r="AF256" s="110"/>
      <c r="AG256" s="68"/>
      <c r="AH256" s="68"/>
      <c r="AI256" s="110"/>
      <c r="AJ256" s="110"/>
      <c r="AK256" s="68"/>
      <c r="AL256" s="68"/>
      <c r="AM256" s="110"/>
      <c r="AN256" s="110"/>
      <c r="AO256" s="68"/>
      <c r="AP256" s="68"/>
      <c r="AQ256" s="40"/>
      <c r="AR256" s="40"/>
      <c r="AS256" s="23"/>
    </row>
    <row r="257" spans="1:45" ht="15.75" x14ac:dyDescent="0.25">
      <c r="A257" s="44"/>
      <c r="B257" s="23"/>
      <c r="C257" s="23"/>
      <c r="D257" s="23"/>
      <c r="E257" s="68"/>
      <c r="F257" s="68"/>
      <c r="G257" s="110"/>
      <c r="H257" s="110"/>
      <c r="I257" s="68"/>
      <c r="J257" s="68"/>
      <c r="K257" s="110"/>
      <c r="L257" s="110"/>
      <c r="M257" s="68"/>
      <c r="N257" s="68"/>
      <c r="O257" s="110"/>
      <c r="P257" s="110"/>
      <c r="Q257" s="68"/>
      <c r="R257" s="68"/>
      <c r="S257" s="110"/>
      <c r="T257" s="110"/>
      <c r="U257" s="68"/>
      <c r="V257" s="68"/>
      <c r="W257" s="110"/>
      <c r="X257" s="110"/>
      <c r="Y257" s="110"/>
      <c r="Z257" s="110"/>
      <c r="AA257" s="110"/>
      <c r="AB257" s="110"/>
      <c r="AC257" s="114"/>
      <c r="AD257" s="68"/>
      <c r="AE257" s="110"/>
      <c r="AF257" s="110"/>
      <c r="AG257" s="68"/>
      <c r="AH257" s="68"/>
      <c r="AI257" s="110"/>
      <c r="AJ257" s="110"/>
      <c r="AK257" s="68"/>
      <c r="AL257" s="68"/>
      <c r="AM257" s="110"/>
      <c r="AN257" s="110"/>
      <c r="AO257" s="68"/>
      <c r="AP257" s="68"/>
      <c r="AQ257" s="40"/>
      <c r="AR257" s="40"/>
      <c r="AS257" s="23"/>
    </row>
    <row r="258" spans="1:45" ht="15.75" x14ac:dyDescent="0.25">
      <c r="A258" s="44"/>
      <c r="B258" s="23"/>
      <c r="C258" s="23"/>
      <c r="D258" s="23"/>
      <c r="E258" s="68"/>
      <c r="F258" s="68"/>
      <c r="G258" s="110"/>
      <c r="H258" s="110"/>
      <c r="I258" s="68"/>
      <c r="J258" s="68"/>
      <c r="K258" s="110"/>
      <c r="L258" s="110"/>
      <c r="M258" s="68"/>
      <c r="N258" s="68"/>
      <c r="O258" s="110"/>
      <c r="P258" s="110"/>
      <c r="Q258" s="68"/>
      <c r="R258" s="68"/>
      <c r="S258" s="110"/>
      <c r="T258" s="110"/>
      <c r="U258" s="68"/>
      <c r="V258" s="68"/>
      <c r="W258" s="110"/>
      <c r="X258" s="110"/>
      <c r="Y258" s="110"/>
      <c r="Z258" s="110"/>
      <c r="AA258" s="110"/>
      <c r="AB258" s="110"/>
      <c r="AC258" s="114"/>
      <c r="AD258" s="68"/>
      <c r="AE258" s="110"/>
      <c r="AF258" s="110"/>
      <c r="AG258" s="68"/>
      <c r="AH258" s="68"/>
      <c r="AI258" s="110"/>
      <c r="AJ258" s="110"/>
      <c r="AK258" s="68"/>
      <c r="AL258" s="68"/>
      <c r="AM258" s="110"/>
      <c r="AN258" s="110"/>
      <c r="AO258" s="68"/>
      <c r="AP258" s="68"/>
      <c r="AQ258" s="40"/>
      <c r="AR258" s="40"/>
      <c r="AS258" s="23"/>
    </row>
    <row r="259" spans="1:45" ht="15.75" x14ac:dyDescent="0.25">
      <c r="A259" s="44"/>
      <c r="B259" s="23"/>
      <c r="C259" s="23"/>
      <c r="D259" s="23"/>
      <c r="E259" s="68"/>
      <c r="F259" s="68"/>
      <c r="G259" s="110"/>
      <c r="H259" s="110"/>
      <c r="I259" s="68"/>
      <c r="J259" s="68"/>
      <c r="K259" s="110"/>
      <c r="L259" s="110"/>
      <c r="M259" s="68"/>
      <c r="N259" s="68"/>
      <c r="O259" s="110"/>
      <c r="P259" s="110"/>
      <c r="Q259" s="68"/>
      <c r="R259" s="68"/>
      <c r="S259" s="110"/>
      <c r="T259" s="110"/>
      <c r="U259" s="68"/>
      <c r="V259" s="68"/>
      <c r="W259" s="110"/>
      <c r="X259" s="110"/>
      <c r="Y259" s="110"/>
      <c r="Z259" s="110"/>
      <c r="AA259" s="110"/>
      <c r="AB259" s="110"/>
      <c r="AC259" s="114"/>
      <c r="AD259" s="68"/>
      <c r="AE259" s="110"/>
      <c r="AF259" s="110"/>
      <c r="AG259" s="68"/>
      <c r="AH259" s="68"/>
      <c r="AI259" s="110"/>
      <c r="AJ259" s="110"/>
      <c r="AK259" s="68"/>
      <c r="AL259" s="68"/>
      <c r="AM259" s="110"/>
      <c r="AN259" s="110"/>
      <c r="AO259" s="68"/>
      <c r="AP259" s="68"/>
      <c r="AQ259" s="40"/>
      <c r="AR259" s="40"/>
      <c r="AS259" s="23"/>
    </row>
    <row r="260" spans="1:45" ht="15.75" x14ac:dyDescent="0.25">
      <c r="A260" s="44"/>
      <c r="B260" s="23"/>
      <c r="C260" s="23"/>
      <c r="D260" s="23"/>
      <c r="E260" s="68"/>
      <c r="F260" s="68"/>
      <c r="G260" s="110"/>
      <c r="H260" s="110"/>
      <c r="I260" s="68"/>
      <c r="J260" s="68"/>
      <c r="K260" s="110"/>
      <c r="L260" s="110"/>
      <c r="M260" s="68"/>
      <c r="N260" s="68"/>
      <c r="O260" s="110"/>
      <c r="P260" s="110"/>
      <c r="Q260" s="68"/>
      <c r="R260" s="68"/>
      <c r="S260" s="110"/>
      <c r="T260" s="110"/>
      <c r="U260" s="68"/>
      <c r="V260" s="68"/>
      <c r="W260" s="110"/>
      <c r="X260" s="110"/>
      <c r="Y260" s="110"/>
      <c r="Z260" s="110"/>
      <c r="AA260" s="110"/>
      <c r="AB260" s="110"/>
      <c r="AC260" s="114"/>
      <c r="AD260" s="68"/>
      <c r="AE260" s="110"/>
      <c r="AF260" s="110"/>
      <c r="AG260" s="68"/>
      <c r="AH260" s="68"/>
      <c r="AI260" s="110"/>
      <c r="AJ260" s="110"/>
      <c r="AK260" s="68"/>
      <c r="AL260" s="68"/>
      <c r="AM260" s="110"/>
      <c r="AN260" s="110"/>
      <c r="AO260" s="68"/>
      <c r="AP260" s="68"/>
      <c r="AQ260" s="40"/>
      <c r="AR260" s="40"/>
      <c r="AS260" s="23"/>
    </row>
    <row r="261" spans="1:45" ht="15.75" x14ac:dyDescent="0.25">
      <c r="A261" s="44"/>
      <c r="B261" s="23"/>
      <c r="C261" s="23"/>
      <c r="D261" s="23"/>
      <c r="E261" s="68"/>
      <c r="F261" s="68"/>
      <c r="G261" s="110"/>
      <c r="H261" s="110"/>
      <c r="I261" s="68"/>
      <c r="J261" s="68"/>
      <c r="K261" s="110"/>
      <c r="L261" s="110"/>
      <c r="M261" s="68"/>
      <c r="N261" s="68"/>
      <c r="O261" s="110"/>
      <c r="P261" s="110"/>
      <c r="Q261" s="68"/>
      <c r="R261" s="68"/>
      <c r="S261" s="110"/>
      <c r="T261" s="110"/>
      <c r="U261" s="68"/>
      <c r="V261" s="68"/>
      <c r="W261" s="110"/>
      <c r="X261" s="110"/>
      <c r="Y261" s="110"/>
      <c r="Z261" s="110"/>
      <c r="AA261" s="110"/>
      <c r="AB261" s="110"/>
      <c r="AC261" s="114"/>
      <c r="AD261" s="68"/>
      <c r="AE261" s="110"/>
      <c r="AF261" s="110"/>
      <c r="AG261" s="68"/>
      <c r="AH261" s="68"/>
      <c r="AI261" s="110"/>
      <c r="AJ261" s="110"/>
      <c r="AK261" s="68"/>
      <c r="AL261" s="68"/>
      <c r="AM261" s="110"/>
      <c r="AN261" s="110"/>
      <c r="AO261" s="68"/>
      <c r="AP261" s="68"/>
      <c r="AQ261" s="40"/>
      <c r="AR261" s="40"/>
      <c r="AS261" s="23"/>
    </row>
    <row r="262" spans="1:45" ht="15.75" x14ac:dyDescent="0.25">
      <c r="A262" s="44"/>
      <c r="B262" s="23"/>
      <c r="C262" s="23"/>
      <c r="D262" s="23"/>
      <c r="E262" s="68"/>
      <c r="F262" s="68"/>
      <c r="G262" s="110"/>
      <c r="H262" s="110"/>
      <c r="I262" s="68"/>
      <c r="J262" s="68"/>
      <c r="K262" s="110"/>
      <c r="L262" s="110"/>
      <c r="M262" s="68"/>
      <c r="N262" s="68"/>
      <c r="O262" s="110"/>
      <c r="P262" s="110"/>
      <c r="Q262" s="68"/>
      <c r="R262" s="68"/>
      <c r="S262" s="110"/>
      <c r="T262" s="110"/>
      <c r="U262" s="68"/>
      <c r="V262" s="68"/>
      <c r="W262" s="110"/>
      <c r="X262" s="110"/>
      <c r="Y262" s="110"/>
      <c r="Z262" s="110"/>
      <c r="AA262" s="110"/>
      <c r="AB262" s="110"/>
      <c r="AC262" s="114"/>
      <c r="AD262" s="68"/>
      <c r="AE262" s="110"/>
      <c r="AF262" s="110"/>
      <c r="AG262" s="68"/>
      <c r="AH262" s="68"/>
      <c r="AI262" s="110"/>
      <c r="AJ262" s="110"/>
      <c r="AK262" s="68"/>
      <c r="AL262" s="68"/>
      <c r="AM262" s="110"/>
      <c r="AN262" s="110"/>
      <c r="AO262" s="68"/>
      <c r="AP262" s="68"/>
      <c r="AQ262" s="40"/>
      <c r="AR262" s="40"/>
      <c r="AS262" s="23"/>
    </row>
    <row r="263" spans="1:45" ht="15.75" x14ac:dyDescent="0.25">
      <c r="A263" s="44"/>
      <c r="B263" s="23"/>
      <c r="C263" s="23"/>
      <c r="D263" s="23"/>
      <c r="E263" s="68"/>
      <c r="F263" s="68"/>
      <c r="G263" s="110"/>
      <c r="H263" s="110"/>
      <c r="I263" s="68"/>
      <c r="J263" s="68"/>
      <c r="K263" s="110"/>
      <c r="L263" s="110"/>
      <c r="M263" s="68"/>
      <c r="N263" s="68"/>
      <c r="O263" s="110"/>
      <c r="P263" s="110"/>
      <c r="Q263" s="68"/>
      <c r="R263" s="68"/>
      <c r="S263" s="110"/>
      <c r="T263" s="110"/>
      <c r="U263" s="68"/>
      <c r="V263" s="68"/>
      <c r="W263" s="110"/>
      <c r="X263" s="110"/>
      <c r="Y263" s="110"/>
      <c r="Z263" s="110"/>
      <c r="AA263" s="110"/>
      <c r="AB263" s="110"/>
      <c r="AC263" s="114"/>
      <c r="AD263" s="68"/>
      <c r="AE263" s="110"/>
      <c r="AF263" s="110"/>
      <c r="AG263" s="68"/>
      <c r="AH263" s="68"/>
      <c r="AI263" s="110"/>
      <c r="AJ263" s="110"/>
      <c r="AK263" s="68"/>
      <c r="AL263" s="68"/>
      <c r="AM263" s="110"/>
      <c r="AN263" s="110"/>
      <c r="AO263" s="68"/>
      <c r="AP263" s="68"/>
      <c r="AQ263" s="40"/>
      <c r="AR263" s="40"/>
      <c r="AS263" s="23"/>
    </row>
    <row r="264" spans="1:45" ht="15.75" x14ac:dyDescent="0.25">
      <c r="A264" s="44"/>
      <c r="B264" s="23"/>
      <c r="C264" s="23"/>
      <c r="D264" s="23"/>
      <c r="E264" s="68"/>
      <c r="F264" s="68"/>
      <c r="G264" s="110"/>
      <c r="H264" s="110"/>
      <c r="I264" s="68"/>
      <c r="J264" s="68"/>
      <c r="K264" s="110"/>
      <c r="L264" s="110"/>
      <c r="M264" s="68"/>
      <c r="N264" s="68"/>
      <c r="O264" s="110"/>
      <c r="P264" s="110"/>
      <c r="Q264" s="68"/>
      <c r="R264" s="68"/>
      <c r="S264" s="110"/>
      <c r="T264" s="110"/>
      <c r="U264" s="68"/>
      <c r="V264" s="68"/>
      <c r="W264" s="110"/>
      <c r="X264" s="110"/>
      <c r="Y264" s="110"/>
      <c r="Z264" s="110"/>
      <c r="AA264" s="110"/>
      <c r="AB264" s="110"/>
      <c r="AC264" s="114"/>
      <c r="AD264" s="68"/>
      <c r="AE264" s="110"/>
      <c r="AF264" s="110"/>
      <c r="AG264" s="68"/>
      <c r="AH264" s="68"/>
      <c r="AI264" s="110"/>
      <c r="AJ264" s="110"/>
      <c r="AK264" s="68"/>
      <c r="AL264" s="68"/>
      <c r="AM264" s="110"/>
      <c r="AN264" s="110"/>
      <c r="AO264" s="68"/>
      <c r="AP264" s="68"/>
      <c r="AQ264" s="40"/>
      <c r="AR264" s="40"/>
      <c r="AS264" s="23"/>
    </row>
    <row r="265" spans="1:45" ht="15.75" x14ac:dyDescent="0.25">
      <c r="A265" s="44"/>
      <c r="B265" s="23"/>
      <c r="C265" s="23"/>
      <c r="D265" s="23"/>
      <c r="E265" s="68"/>
      <c r="F265" s="68"/>
      <c r="G265" s="110"/>
      <c r="H265" s="110"/>
      <c r="I265" s="68"/>
      <c r="J265" s="68"/>
      <c r="K265" s="110"/>
      <c r="L265" s="110"/>
      <c r="M265" s="68"/>
      <c r="N265" s="68"/>
      <c r="O265" s="110"/>
      <c r="P265" s="110"/>
      <c r="Q265" s="68"/>
      <c r="R265" s="68"/>
      <c r="S265" s="110"/>
      <c r="T265" s="110"/>
      <c r="U265" s="68"/>
      <c r="V265" s="68"/>
      <c r="W265" s="110"/>
      <c r="X265" s="110"/>
      <c r="Y265" s="110"/>
      <c r="Z265" s="110"/>
      <c r="AA265" s="110"/>
      <c r="AB265" s="110"/>
      <c r="AC265" s="114"/>
      <c r="AD265" s="68"/>
      <c r="AE265" s="110"/>
      <c r="AF265" s="110"/>
      <c r="AG265" s="68"/>
      <c r="AH265" s="68"/>
      <c r="AI265" s="110"/>
      <c r="AJ265" s="110"/>
      <c r="AK265" s="68"/>
      <c r="AL265" s="68"/>
      <c r="AM265" s="110"/>
      <c r="AN265" s="110"/>
      <c r="AO265" s="68"/>
      <c r="AP265" s="68"/>
      <c r="AQ265" s="40"/>
      <c r="AR265" s="40"/>
      <c r="AS265" s="23"/>
    </row>
    <row r="266" spans="1:45" ht="15.75" x14ac:dyDescent="0.25">
      <c r="A266" s="44"/>
      <c r="B266" s="23"/>
      <c r="C266" s="23"/>
      <c r="D266" s="23"/>
      <c r="E266" s="68"/>
      <c r="F266" s="68"/>
      <c r="G266" s="110"/>
      <c r="H266" s="110"/>
      <c r="I266" s="68"/>
      <c r="J266" s="68"/>
      <c r="K266" s="110"/>
      <c r="L266" s="110"/>
      <c r="M266" s="68"/>
      <c r="N266" s="68"/>
      <c r="O266" s="110"/>
      <c r="P266" s="110"/>
      <c r="Q266" s="68"/>
      <c r="R266" s="68"/>
      <c r="S266" s="110"/>
      <c r="T266" s="110"/>
      <c r="U266" s="68"/>
      <c r="V266" s="68"/>
      <c r="W266" s="110"/>
      <c r="X266" s="110"/>
      <c r="Y266" s="110"/>
      <c r="Z266" s="110"/>
      <c r="AA266" s="110"/>
      <c r="AB266" s="110"/>
      <c r="AC266" s="114"/>
      <c r="AD266" s="68"/>
      <c r="AE266" s="110"/>
      <c r="AF266" s="110"/>
      <c r="AG266" s="68"/>
      <c r="AH266" s="68"/>
      <c r="AI266" s="110"/>
      <c r="AJ266" s="110"/>
      <c r="AK266" s="68"/>
      <c r="AL266" s="68"/>
      <c r="AM266" s="110"/>
      <c r="AN266" s="110"/>
      <c r="AO266" s="68"/>
      <c r="AP266" s="68"/>
      <c r="AQ266" s="40"/>
      <c r="AR266" s="40"/>
      <c r="AS266" s="23"/>
    </row>
    <row r="267" spans="1:45" ht="15.75" x14ac:dyDescent="0.25">
      <c r="A267" s="44"/>
      <c r="B267" s="23"/>
      <c r="C267" s="23"/>
      <c r="D267" s="23"/>
      <c r="E267" s="68"/>
      <c r="F267" s="68"/>
      <c r="G267" s="110"/>
      <c r="H267" s="110"/>
      <c r="I267" s="68"/>
      <c r="J267" s="68"/>
      <c r="K267" s="110"/>
      <c r="L267" s="110"/>
      <c r="M267" s="68"/>
      <c r="N267" s="68"/>
      <c r="O267" s="110"/>
      <c r="P267" s="110"/>
      <c r="Q267" s="68"/>
      <c r="R267" s="68"/>
      <c r="S267" s="110"/>
      <c r="T267" s="110"/>
      <c r="U267" s="68"/>
      <c r="V267" s="68"/>
      <c r="W267" s="110"/>
      <c r="X267" s="110"/>
      <c r="Y267" s="110"/>
      <c r="Z267" s="110"/>
      <c r="AA267" s="110"/>
      <c r="AB267" s="110"/>
      <c r="AC267" s="114"/>
      <c r="AD267" s="68"/>
      <c r="AE267" s="110"/>
      <c r="AF267" s="110"/>
      <c r="AG267" s="68"/>
      <c r="AH267" s="68"/>
      <c r="AI267" s="110"/>
      <c r="AJ267" s="110"/>
      <c r="AK267" s="68"/>
      <c r="AL267" s="68"/>
      <c r="AM267" s="110"/>
      <c r="AN267" s="110"/>
      <c r="AO267" s="68"/>
      <c r="AP267" s="68"/>
      <c r="AQ267" s="40"/>
      <c r="AR267" s="40"/>
      <c r="AS267" s="23"/>
    </row>
    <row r="268" spans="1:45" ht="15.75" x14ac:dyDescent="0.25">
      <c r="A268" s="44"/>
      <c r="B268" s="23"/>
      <c r="C268" s="23"/>
      <c r="D268" s="23"/>
      <c r="E268" s="68"/>
      <c r="F268" s="68"/>
      <c r="G268" s="110"/>
      <c r="H268" s="110"/>
      <c r="I268" s="68"/>
      <c r="J268" s="68"/>
      <c r="K268" s="110"/>
      <c r="L268" s="110"/>
      <c r="M268" s="68"/>
      <c r="N268" s="68"/>
      <c r="O268" s="110"/>
      <c r="P268" s="110"/>
      <c r="Q268" s="68"/>
      <c r="R268" s="68"/>
      <c r="S268" s="110"/>
      <c r="T268" s="110"/>
      <c r="U268" s="68"/>
      <c r="V268" s="68"/>
      <c r="W268" s="110"/>
      <c r="X268" s="110"/>
      <c r="Y268" s="110"/>
      <c r="Z268" s="110"/>
      <c r="AA268" s="110"/>
      <c r="AB268" s="110"/>
      <c r="AC268" s="114"/>
      <c r="AD268" s="68"/>
      <c r="AE268" s="110"/>
      <c r="AF268" s="110"/>
      <c r="AG268" s="68"/>
      <c r="AH268" s="68"/>
      <c r="AI268" s="110"/>
      <c r="AJ268" s="110"/>
      <c r="AK268" s="68"/>
      <c r="AL268" s="68"/>
      <c r="AM268" s="110"/>
      <c r="AN268" s="110"/>
      <c r="AO268" s="68"/>
      <c r="AP268" s="68"/>
      <c r="AQ268" s="40"/>
      <c r="AR268" s="40"/>
      <c r="AS268" s="23"/>
    </row>
    <row r="269" spans="1:45" ht="15.75" x14ac:dyDescent="0.25">
      <c r="A269" s="44"/>
      <c r="B269" s="23"/>
      <c r="C269" s="23"/>
      <c r="D269" s="23"/>
      <c r="E269" s="68"/>
      <c r="F269" s="68"/>
      <c r="G269" s="110"/>
      <c r="H269" s="110"/>
      <c r="I269" s="68"/>
      <c r="J269" s="68"/>
      <c r="K269" s="110"/>
      <c r="L269" s="110"/>
      <c r="M269" s="68"/>
      <c r="N269" s="68"/>
      <c r="O269" s="110"/>
      <c r="P269" s="110"/>
      <c r="Q269" s="68"/>
      <c r="R269" s="68"/>
      <c r="S269" s="110"/>
      <c r="T269" s="110"/>
      <c r="U269" s="68"/>
      <c r="V269" s="68"/>
      <c r="W269" s="110"/>
      <c r="X269" s="110"/>
      <c r="Y269" s="110"/>
      <c r="Z269" s="110"/>
      <c r="AA269" s="110"/>
      <c r="AB269" s="110"/>
      <c r="AC269" s="114"/>
      <c r="AD269" s="68"/>
      <c r="AE269" s="110"/>
      <c r="AF269" s="110"/>
      <c r="AG269" s="68"/>
      <c r="AH269" s="68"/>
      <c r="AI269" s="110"/>
      <c r="AJ269" s="110"/>
      <c r="AK269" s="68"/>
      <c r="AL269" s="68"/>
      <c r="AM269" s="110"/>
      <c r="AN269" s="110"/>
      <c r="AO269" s="68"/>
      <c r="AP269" s="68"/>
      <c r="AQ269" s="40"/>
      <c r="AR269" s="40"/>
      <c r="AS269" s="23"/>
    </row>
    <row r="270" spans="1:45" ht="15.75" x14ac:dyDescent="0.25">
      <c r="A270" s="44"/>
      <c r="B270" s="23"/>
      <c r="C270" s="23"/>
      <c r="D270" s="23"/>
      <c r="E270" s="68"/>
      <c r="F270" s="68"/>
      <c r="G270" s="110"/>
      <c r="H270" s="110"/>
      <c r="I270" s="68"/>
      <c r="J270" s="68"/>
      <c r="K270" s="110"/>
      <c r="L270" s="110"/>
      <c r="M270" s="68"/>
      <c r="N270" s="68"/>
      <c r="O270" s="110"/>
      <c r="P270" s="110"/>
      <c r="Q270" s="68"/>
      <c r="R270" s="68"/>
      <c r="S270" s="110"/>
      <c r="T270" s="110"/>
      <c r="U270" s="68"/>
      <c r="V270" s="68"/>
      <c r="W270" s="110"/>
      <c r="X270" s="110"/>
      <c r="Y270" s="110"/>
      <c r="Z270" s="110"/>
      <c r="AA270" s="110"/>
      <c r="AB270" s="110"/>
      <c r="AC270" s="114"/>
      <c r="AD270" s="68"/>
      <c r="AE270" s="110"/>
      <c r="AF270" s="110"/>
      <c r="AG270" s="68"/>
      <c r="AH270" s="68"/>
      <c r="AI270" s="110"/>
      <c r="AJ270" s="110"/>
      <c r="AK270" s="68"/>
      <c r="AL270" s="68"/>
      <c r="AM270" s="110"/>
      <c r="AN270" s="110"/>
      <c r="AO270" s="68"/>
      <c r="AP270" s="68"/>
      <c r="AQ270" s="40"/>
      <c r="AR270" s="40"/>
      <c r="AS270" s="23"/>
    </row>
    <row r="271" spans="1:45" ht="15.75" x14ac:dyDescent="0.25">
      <c r="A271" s="44"/>
      <c r="B271" s="23"/>
      <c r="C271" s="23"/>
      <c r="D271" s="23"/>
      <c r="E271" s="68"/>
      <c r="F271" s="68"/>
      <c r="G271" s="110"/>
      <c r="H271" s="110"/>
      <c r="I271" s="68"/>
      <c r="J271" s="68"/>
      <c r="K271" s="110"/>
      <c r="L271" s="110"/>
      <c r="M271" s="68"/>
      <c r="N271" s="68"/>
      <c r="O271" s="110"/>
      <c r="P271" s="110"/>
      <c r="Q271" s="68"/>
      <c r="R271" s="68"/>
      <c r="S271" s="110"/>
      <c r="T271" s="110"/>
      <c r="U271" s="68"/>
      <c r="V271" s="68"/>
      <c r="W271" s="110"/>
      <c r="X271" s="110"/>
      <c r="Y271" s="110"/>
      <c r="Z271" s="110"/>
      <c r="AA271" s="110"/>
      <c r="AB271" s="110"/>
      <c r="AC271" s="114"/>
      <c r="AD271" s="68"/>
      <c r="AE271" s="110"/>
      <c r="AF271" s="110"/>
      <c r="AG271" s="68"/>
      <c r="AH271" s="68"/>
      <c r="AI271" s="110"/>
      <c r="AJ271" s="110"/>
      <c r="AK271" s="68"/>
      <c r="AL271" s="68"/>
      <c r="AM271" s="110"/>
      <c r="AN271" s="110"/>
      <c r="AO271" s="68"/>
      <c r="AP271" s="68"/>
      <c r="AQ271" s="40"/>
      <c r="AR271" s="40"/>
      <c r="AS271" s="23"/>
    </row>
    <row r="272" spans="1:45" ht="15.75" x14ac:dyDescent="0.25">
      <c r="A272" s="44"/>
      <c r="B272" s="23"/>
      <c r="C272" s="23"/>
      <c r="D272" s="23"/>
      <c r="E272" s="68"/>
      <c r="F272" s="68"/>
      <c r="G272" s="110"/>
      <c r="H272" s="110"/>
      <c r="I272" s="68"/>
      <c r="J272" s="68"/>
      <c r="K272" s="110"/>
      <c r="L272" s="110"/>
      <c r="M272" s="68"/>
      <c r="N272" s="68"/>
      <c r="O272" s="110"/>
      <c r="P272" s="110"/>
      <c r="Q272" s="68"/>
      <c r="R272" s="68"/>
      <c r="S272" s="110"/>
      <c r="T272" s="110"/>
      <c r="U272" s="68"/>
      <c r="V272" s="68"/>
      <c r="W272" s="110"/>
      <c r="X272" s="110"/>
      <c r="Y272" s="110"/>
      <c r="Z272" s="110"/>
      <c r="AA272" s="110"/>
      <c r="AB272" s="110"/>
      <c r="AC272" s="114"/>
      <c r="AD272" s="68"/>
      <c r="AE272" s="110"/>
      <c r="AF272" s="110"/>
      <c r="AG272" s="68"/>
      <c r="AH272" s="68"/>
      <c r="AI272" s="110"/>
      <c r="AJ272" s="110"/>
      <c r="AK272" s="68"/>
      <c r="AL272" s="68"/>
      <c r="AM272" s="110"/>
      <c r="AN272" s="110"/>
      <c r="AO272" s="68"/>
      <c r="AP272" s="68"/>
      <c r="AQ272" s="40"/>
      <c r="AR272" s="40"/>
      <c r="AS272" s="23"/>
    </row>
    <row r="273" spans="1:45" ht="15.75" x14ac:dyDescent="0.25">
      <c r="A273" s="44"/>
      <c r="B273" s="23"/>
      <c r="C273" s="23"/>
      <c r="D273" s="23"/>
      <c r="E273" s="68"/>
      <c r="F273" s="68"/>
      <c r="G273" s="110"/>
      <c r="H273" s="110"/>
      <c r="I273" s="68"/>
      <c r="J273" s="68"/>
      <c r="K273" s="110"/>
      <c r="L273" s="110"/>
      <c r="M273" s="68"/>
      <c r="N273" s="68"/>
      <c r="O273" s="110"/>
      <c r="P273" s="110"/>
      <c r="Q273" s="68"/>
      <c r="R273" s="68"/>
      <c r="S273" s="110"/>
      <c r="T273" s="110"/>
      <c r="U273" s="68"/>
      <c r="V273" s="68"/>
      <c r="W273" s="110"/>
      <c r="X273" s="110"/>
      <c r="Y273" s="110"/>
      <c r="Z273" s="110"/>
      <c r="AA273" s="110"/>
      <c r="AB273" s="110"/>
      <c r="AC273" s="114"/>
      <c r="AD273" s="68"/>
      <c r="AE273" s="110"/>
      <c r="AF273" s="110"/>
      <c r="AG273" s="68"/>
      <c r="AH273" s="68"/>
      <c r="AI273" s="110"/>
      <c r="AJ273" s="110"/>
      <c r="AK273" s="68"/>
      <c r="AL273" s="68"/>
      <c r="AM273" s="110"/>
      <c r="AN273" s="110"/>
      <c r="AO273" s="68"/>
      <c r="AP273" s="68"/>
      <c r="AQ273" s="40"/>
      <c r="AR273" s="40"/>
      <c r="AS273" s="23"/>
    </row>
    <row r="274" spans="1:45" ht="15.75" x14ac:dyDescent="0.25">
      <c r="A274" s="44"/>
      <c r="B274" s="23"/>
      <c r="C274" s="23"/>
      <c r="D274" s="23"/>
      <c r="E274" s="68"/>
      <c r="F274" s="68"/>
      <c r="G274" s="110"/>
      <c r="H274" s="110"/>
      <c r="I274" s="68"/>
      <c r="J274" s="68"/>
      <c r="K274" s="110"/>
      <c r="L274" s="110"/>
      <c r="M274" s="68"/>
      <c r="N274" s="68"/>
      <c r="O274" s="110"/>
      <c r="P274" s="110"/>
      <c r="Q274" s="68"/>
      <c r="R274" s="68"/>
      <c r="S274" s="110"/>
      <c r="T274" s="110"/>
      <c r="U274" s="68"/>
      <c r="V274" s="68"/>
      <c r="W274" s="110"/>
      <c r="X274" s="110"/>
      <c r="Y274" s="110"/>
      <c r="Z274" s="110"/>
      <c r="AA274" s="110"/>
      <c r="AB274" s="110"/>
      <c r="AC274" s="114"/>
      <c r="AD274" s="68"/>
      <c r="AE274" s="110"/>
      <c r="AF274" s="110"/>
      <c r="AG274" s="68"/>
      <c r="AH274" s="68"/>
      <c r="AI274" s="110"/>
      <c r="AJ274" s="110"/>
      <c r="AK274" s="68"/>
      <c r="AL274" s="68"/>
      <c r="AM274" s="110"/>
      <c r="AN274" s="110"/>
      <c r="AO274" s="68"/>
      <c r="AP274" s="68"/>
      <c r="AQ274" s="40"/>
      <c r="AR274" s="40"/>
      <c r="AS274" s="23"/>
    </row>
    <row r="275" spans="1:45" ht="15.75" x14ac:dyDescent="0.25">
      <c r="A275" s="44"/>
      <c r="B275" s="23"/>
      <c r="C275" s="23"/>
      <c r="D275" s="23"/>
      <c r="E275" s="68"/>
      <c r="F275" s="68"/>
      <c r="G275" s="110"/>
      <c r="H275" s="110"/>
      <c r="I275" s="68"/>
      <c r="J275" s="68"/>
      <c r="K275" s="110"/>
      <c r="L275" s="110"/>
      <c r="M275" s="68"/>
      <c r="N275" s="68"/>
      <c r="O275" s="110"/>
      <c r="P275" s="110"/>
      <c r="Q275" s="68"/>
      <c r="R275" s="68"/>
      <c r="S275" s="110"/>
      <c r="T275" s="110"/>
      <c r="U275" s="68"/>
      <c r="V275" s="68"/>
      <c r="W275" s="110"/>
      <c r="X275" s="110"/>
      <c r="Y275" s="110"/>
      <c r="Z275" s="110"/>
      <c r="AA275" s="110"/>
      <c r="AB275" s="110"/>
      <c r="AC275" s="114"/>
      <c r="AD275" s="68"/>
      <c r="AE275" s="110"/>
      <c r="AF275" s="110"/>
      <c r="AG275" s="68"/>
      <c r="AH275" s="68"/>
      <c r="AI275" s="110"/>
      <c r="AJ275" s="110"/>
      <c r="AK275" s="68"/>
      <c r="AL275" s="68"/>
      <c r="AM275" s="110"/>
      <c r="AN275" s="110"/>
      <c r="AO275" s="68"/>
      <c r="AP275" s="68"/>
      <c r="AQ275" s="40"/>
      <c r="AR275" s="40"/>
      <c r="AS275" s="23"/>
    </row>
    <row r="276" spans="1:45" ht="15.75" x14ac:dyDescent="0.25">
      <c r="A276" s="44"/>
      <c r="B276" s="23"/>
      <c r="C276" s="23"/>
      <c r="D276" s="23"/>
      <c r="E276" s="68"/>
      <c r="F276" s="68"/>
      <c r="G276" s="110"/>
      <c r="H276" s="110"/>
      <c r="I276" s="68"/>
      <c r="J276" s="68"/>
      <c r="K276" s="110"/>
      <c r="L276" s="110"/>
      <c r="M276" s="68"/>
      <c r="N276" s="68"/>
      <c r="O276" s="110"/>
      <c r="P276" s="110"/>
      <c r="Q276" s="68"/>
      <c r="R276" s="68"/>
      <c r="S276" s="110"/>
      <c r="T276" s="110"/>
      <c r="U276" s="68"/>
      <c r="V276" s="68"/>
      <c r="W276" s="110"/>
      <c r="X276" s="110"/>
      <c r="Y276" s="110"/>
      <c r="Z276" s="110"/>
      <c r="AA276" s="110"/>
      <c r="AB276" s="110"/>
      <c r="AC276" s="114"/>
      <c r="AD276" s="68"/>
      <c r="AE276" s="110"/>
      <c r="AF276" s="110"/>
      <c r="AG276" s="68"/>
      <c r="AH276" s="68"/>
      <c r="AI276" s="110"/>
      <c r="AJ276" s="110"/>
      <c r="AK276" s="68"/>
      <c r="AL276" s="68"/>
      <c r="AM276" s="110"/>
      <c r="AN276" s="110"/>
      <c r="AO276" s="68"/>
      <c r="AP276" s="68"/>
      <c r="AQ276" s="40"/>
      <c r="AR276" s="40"/>
      <c r="AS276" s="23"/>
    </row>
    <row r="277" spans="1:45" ht="15.75" x14ac:dyDescent="0.25">
      <c r="A277" s="44"/>
      <c r="B277" s="23"/>
      <c r="C277" s="23"/>
      <c r="D277" s="23"/>
      <c r="E277" s="68"/>
      <c r="F277" s="68"/>
      <c r="G277" s="110"/>
      <c r="H277" s="110"/>
      <c r="I277" s="68"/>
      <c r="J277" s="68"/>
      <c r="K277" s="110"/>
      <c r="L277" s="110"/>
      <c r="M277" s="68"/>
      <c r="N277" s="68"/>
      <c r="O277" s="110"/>
      <c r="P277" s="110"/>
      <c r="Q277" s="68"/>
      <c r="R277" s="68"/>
      <c r="S277" s="110"/>
      <c r="T277" s="110"/>
      <c r="U277" s="68"/>
      <c r="V277" s="68"/>
      <c r="W277" s="110"/>
      <c r="X277" s="110"/>
      <c r="Y277" s="110"/>
      <c r="Z277" s="110"/>
      <c r="AA277" s="110"/>
      <c r="AB277" s="110"/>
      <c r="AC277" s="114"/>
      <c r="AD277" s="68"/>
      <c r="AE277" s="110"/>
      <c r="AF277" s="110"/>
      <c r="AG277" s="68"/>
      <c r="AH277" s="68"/>
      <c r="AI277" s="110"/>
      <c r="AJ277" s="110"/>
      <c r="AK277" s="68"/>
      <c r="AL277" s="68"/>
      <c r="AM277" s="110"/>
      <c r="AN277" s="110"/>
      <c r="AO277" s="68"/>
      <c r="AP277" s="68"/>
      <c r="AQ277" s="40"/>
      <c r="AR277" s="40"/>
      <c r="AS277" s="23"/>
    </row>
    <row r="278" spans="1:45" ht="15.75" x14ac:dyDescent="0.25">
      <c r="A278" s="44"/>
      <c r="B278" s="23"/>
      <c r="C278" s="23"/>
      <c r="D278" s="23"/>
      <c r="E278" s="68"/>
      <c r="F278" s="68"/>
      <c r="G278" s="110"/>
      <c r="H278" s="110"/>
      <c r="I278" s="68"/>
      <c r="J278" s="68"/>
      <c r="K278" s="110"/>
      <c r="L278" s="110"/>
      <c r="M278" s="68"/>
      <c r="N278" s="68"/>
      <c r="O278" s="110"/>
      <c r="P278" s="110"/>
      <c r="Q278" s="68"/>
      <c r="R278" s="68"/>
      <c r="S278" s="110"/>
      <c r="T278" s="110"/>
      <c r="U278" s="68"/>
      <c r="V278" s="68"/>
      <c r="W278" s="110"/>
      <c r="X278" s="110"/>
      <c r="Y278" s="110"/>
      <c r="Z278" s="110"/>
      <c r="AA278" s="110"/>
      <c r="AB278" s="110"/>
      <c r="AC278" s="114"/>
      <c r="AD278" s="68"/>
      <c r="AE278" s="110"/>
      <c r="AF278" s="110"/>
      <c r="AG278" s="68"/>
      <c r="AH278" s="68"/>
      <c r="AI278" s="110"/>
      <c r="AJ278" s="110"/>
      <c r="AK278" s="68"/>
      <c r="AL278" s="68"/>
      <c r="AM278" s="110"/>
      <c r="AN278" s="110"/>
      <c r="AO278" s="68"/>
      <c r="AP278" s="68"/>
      <c r="AQ278" s="40"/>
      <c r="AR278" s="40"/>
      <c r="AS278" s="23"/>
    </row>
    <row r="279" spans="1:45" ht="15.75" x14ac:dyDescent="0.25">
      <c r="A279" s="44"/>
      <c r="B279" s="23"/>
      <c r="C279" s="23"/>
      <c r="D279" s="23"/>
      <c r="E279" s="68"/>
      <c r="F279" s="68"/>
      <c r="G279" s="110"/>
      <c r="H279" s="110"/>
      <c r="I279" s="68"/>
      <c r="J279" s="68"/>
      <c r="K279" s="110"/>
      <c r="L279" s="110"/>
      <c r="M279" s="68"/>
      <c r="N279" s="68"/>
      <c r="O279" s="110"/>
      <c r="P279" s="110"/>
      <c r="Q279" s="68"/>
      <c r="R279" s="68"/>
      <c r="S279" s="110"/>
      <c r="T279" s="110"/>
      <c r="U279" s="68"/>
      <c r="V279" s="68"/>
      <c r="W279" s="110"/>
      <c r="X279" s="110"/>
      <c r="Y279" s="110"/>
      <c r="Z279" s="110"/>
      <c r="AA279" s="110"/>
      <c r="AB279" s="110"/>
      <c r="AC279" s="114"/>
      <c r="AD279" s="68"/>
      <c r="AE279" s="110"/>
      <c r="AF279" s="110"/>
      <c r="AG279" s="68"/>
      <c r="AH279" s="68"/>
      <c r="AI279" s="110"/>
      <c r="AJ279" s="110"/>
      <c r="AK279" s="68"/>
      <c r="AL279" s="68"/>
      <c r="AM279" s="110"/>
      <c r="AN279" s="110"/>
      <c r="AO279" s="68"/>
      <c r="AP279" s="68"/>
      <c r="AQ279" s="40"/>
      <c r="AR279" s="40"/>
      <c r="AS279" s="23"/>
    </row>
    <row r="280" spans="1:45" ht="15.75" x14ac:dyDescent="0.25">
      <c r="A280" s="44"/>
      <c r="B280" s="23"/>
      <c r="C280" s="23"/>
      <c r="D280" s="23"/>
      <c r="E280" s="68"/>
      <c r="F280" s="68"/>
      <c r="G280" s="110"/>
      <c r="H280" s="110"/>
      <c r="I280" s="68"/>
      <c r="J280" s="68"/>
      <c r="K280" s="110"/>
      <c r="L280" s="110"/>
      <c r="M280" s="68"/>
      <c r="N280" s="68"/>
      <c r="O280" s="110"/>
      <c r="P280" s="110"/>
      <c r="Q280" s="68"/>
      <c r="R280" s="68"/>
      <c r="S280" s="110"/>
      <c r="T280" s="110"/>
      <c r="U280" s="68"/>
      <c r="V280" s="68"/>
      <c r="W280" s="110"/>
      <c r="X280" s="110"/>
      <c r="Y280" s="110"/>
      <c r="Z280" s="110"/>
      <c r="AA280" s="110"/>
      <c r="AB280" s="110"/>
      <c r="AC280" s="114"/>
      <c r="AD280" s="68"/>
      <c r="AE280" s="110"/>
      <c r="AF280" s="110"/>
      <c r="AG280" s="68"/>
      <c r="AH280" s="68"/>
      <c r="AI280" s="110"/>
      <c r="AJ280" s="110"/>
      <c r="AK280" s="68"/>
      <c r="AL280" s="68"/>
      <c r="AM280" s="110"/>
      <c r="AN280" s="110"/>
      <c r="AO280" s="68"/>
      <c r="AP280" s="68"/>
      <c r="AQ280" s="40"/>
      <c r="AR280" s="40"/>
      <c r="AS280" s="23"/>
    </row>
    <row r="281" spans="1:45" ht="15.75" x14ac:dyDescent="0.25">
      <c r="A281" s="44"/>
      <c r="B281" s="23"/>
      <c r="C281" s="23"/>
      <c r="D281" s="23"/>
      <c r="E281" s="68"/>
      <c r="F281" s="68"/>
      <c r="G281" s="110"/>
      <c r="H281" s="110"/>
      <c r="I281" s="68"/>
      <c r="J281" s="68"/>
      <c r="K281" s="110"/>
      <c r="L281" s="110"/>
      <c r="M281" s="68"/>
      <c r="N281" s="68"/>
      <c r="O281" s="110"/>
      <c r="P281" s="110"/>
      <c r="Q281" s="68"/>
      <c r="R281" s="68"/>
      <c r="S281" s="110"/>
      <c r="T281" s="110"/>
      <c r="U281" s="68"/>
      <c r="V281" s="68"/>
      <c r="W281" s="110"/>
      <c r="X281" s="110"/>
      <c r="Y281" s="110"/>
      <c r="Z281" s="110"/>
      <c r="AA281" s="110"/>
      <c r="AB281" s="110"/>
      <c r="AC281" s="114"/>
      <c r="AD281" s="68"/>
      <c r="AE281" s="110"/>
      <c r="AF281" s="110"/>
      <c r="AG281" s="68"/>
      <c r="AH281" s="68"/>
      <c r="AI281" s="110"/>
      <c r="AJ281" s="110"/>
      <c r="AK281" s="68"/>
      <c r="AL281" s="68"/>
      <c r="AM281" s="110"/>
      <c r="AN281" s="110"/>
      <c r="AO281" s="68"/>
      <c r="AP281" s="68"/>
      <c r="AQ281" s="40"/>
      <c r="AR281" s="40"/>
      <c r="AS281" s="23"/>
    </row>
    <row r="282" spans="1:45" ht="15.75" x14ac:dyDescent="0.25">
      <c r="A282" s="44"/>
      <c r="B282" s="23"/>
      <c r="C282" s="23"/>
      <c r="D282" s="23"/>
      <c r="E282" s="68"/>
      <c r="F282" s="68"/>
      <c r="G282" s="110"/>
      <c r="H282" s="110"/>
      <c r="I282" s="68"/>
      <c r="J282" s="68"/>
      <c r="K282" s="110"/>
      <c r="L282" s="110"/>
      <c r="M282" s="68"/>
      <c r="N282" s="68"/>
      <c r="O282" s="110"/>
      <c r="P282" s="110"/>
      <c r="Q282" s="68"/>
      <c r="R282" s="68"/>
      <c r="S282" s="110"/>
      <c r="T282" s="110"/>
      <c r="U282" s="68"/>
      <c r="V282" s="68"/>
      <c r="W282" s="110"/>
      <c r="X282" s="110"/>
      <c r="Y282" s="110"/>
      <c r="Z282" s="110"/>
      <c r="AA282" s="110"/>
      <c r="AB282" s="110"/>
      <c r="AC282" s="114"/>
      <c r="AD282" s="68"/>
      <c r="AE282" s="110"/>
      <c r="AF282" s="110"/>
      <c r="AG282" s="68"/>
      <c r="AH282" s="68"/>
      <c r="AI282" s="110"/>
      <c r="AJ282" s="110"/>
      <c r="AK282" s="68"/>
      <c r="AL282" s="68"/>
      <c r="AM282" s="110"/>
      <c r="AN282" s="110"/>
      <c r="AO282" s="68"/>
      <c r="AP282" s="68"/>
      <c r="AQ282" s="40"/>
      <c r="AR282" s="40"/>
      <c r="AS282" s="23"/>
    </row>
    <row r="283" spans="1:45" ht="15.75" x14ac:dyDescent="0.25">
      <c r="A283" s="44"/>
      <c r="B283" s="23"/>
      <c r="C283" s="23"/>
      <c r="D283" s="23"/>
      <c r="E283" s="68"/>
      <c r="F283" s="68"/>
      <c r="G283" s="110"/>
      <c r="H283" s="110"/>
      <c r="I283" s="68"/>
      <c r="J283" s="68"/>
      <c r="K283" s="110"/>
      <c r="L283" s="110"/>
      <c r="M283" s="68"/>
      <c r="N283" s="68"/>
      <c r="O283" s="110"/>
      <c r="P283" s="110"/>
      <c r="Q283" s="68"/>
      <c r="R283" s="68"/>
      <c r="S283" s="110"/>
      <c r="T283" s="110"/>
      <c r="U283" s="68"/>
      <c r="V283" s="68"/>
      <c r="W283" s="110"/>
      <c r="X283" s="110"/>
      <c r="Y283" s="110"/>
      <c r="Z283" s="110"/>
      <c r="AA283" s="110"/>
      <c r="AB283" s="110"/>
      <c r="AC283" s="114"/>
      <c r="AD283" s="68"/>
      <c r="AE283" s="110"/>
      <c r="AF283" s="110"/>
      <c r="AG283" s="68"/>
      <c r="AH283" s="68"/>
      <c r="AI283" s="110"/>
      <c r="AJ283" s="110"/>
      <c r="AK283" s="68"/>
      <c r="AL283" s="68"/>
      <c r="AM283" s="110"/>
      <c r="AN283" s="110"/>
      <c r="AO283" s="68"/>
      <c r="AP283" s="68"/>
      <c r="AQ283" s="40"/>
      <c r="AR283" s="40"/>
      <c r="AS283" s="23"/>
    </row>
    <row r="284" spans="1:45" ht="15.75" x14ac:dyDescent="0.25">
      <c r="A284" s="44"/>
      <c r="B284" s="23"/>
      <c r="C284" s="23"/>
      <c r="D284" s="23"/>
      <c r="E284" s="68"/>
      <c r="F284" s="68"/>
      <c r="G284" s="110"/>
      <c r="H284" s="110"/>
      <c r="I284" s="68"/>
      <c r="J284" s="68"/>
      <c r="K284" s="110"/>
      <c r="L284" s="110"/>
      <c r="M284" s="68"/>
      <c r="N284" s="68"/>
      <c r="O284" s="110"/>
      <c r="P284" s="110"/>
      <c r="Q284" s="68"/>
      <c r="R284" s="68"/>
      <c r="S284" s="110"/>
      <c r="T284" s="110"/>
      <c r="U284" s="68"/>
      <c r="V284" s="68"/>
      <c r="W284" s="110"/>
      <c r="X284" s="110"/>
      <c r="Y284" s="110"/>
      <c r="Z284" s="110"/>
      <c r="AA284" s="110"/>
      <c r="AB284" s="110"/>
      <c r="AC284" s="114"/>
      <c r="AD284" s="68"/>
      <c r="AE284" s="110"/>
      <c r="AF284" s="110"/>
      <c r="AG284" s="68"/>
      <c r="AH284" s="68"/>
      <c r="AI284" s="110"/>
      <c r="AJ284" s="110"/>
      <c r="AK284" s="68"/>
      <c r="AL284" s="68"/>
      <c r="AM284" s="110"/>
      <c r="AN284" s="110"/>
      <c r="AO284" s="68"/>
      <c r="AP284" s="68"/>
      <c r="AQ284" s="40"/>
      <c r="AR284" s="40"/>
      <c r="AS284" s="23"/>
    </row>
    <row r="285" spans="1:45" ht="15.75" x14ac:dyDescent="0.25">
      <c r="A285" s="44"/>
      <c r="B285" s="23"/>
      <c r="C285" s="23"/>
      <c r="D285" s="23"/>
      <c r="E285" s="68"/>
      <c r="F285" s="68"/>
      <c r="G285" s="110"/>
      <c r="H285" s="110"/>
      <c r="I285" s="68"/>
      <c r="J285" s="68"/>
      <c r="K285" s="110"/>
      <c r="L285" s="110"/>
      <c r="M285" s="68"/>
      <c r="N285" s="68"/>
      <c r="O285" s="110"/>
      <c r="P285" s="110"/>
      <c r="Q285" s="68"/>
      <c r="R285" s="68"/>
      <c r="S285" s="110"/>
      <c r="T285" s="110"/>
      <c r="U285" s="68"/>
      <c r="V285" s="68"/>
      <c r="W285" s="110"/>
      <c r="X285" s="110"/>
      <c r="Y285" s="110"/>
      <c r="Z285" s="110"/>
      <c r="AA285" s="110"/>
      <c r="AB285" s="110"/>
      <c r="AC285" s="114"/>
      <c r="AD285" s="68"/>
      <c r="AE285" s="110"/>
      <c r="AF285" s="110"/>
      <c r="AG285" s="68"/>
      <c r="AH285" s="68"/>
      <c r="AI285" s="110"/>
      <c r="AJ285" s="110"/>
      <c r="AK285" s="68"/>
      <c r="AL285" s="68"/>
      <c r="AM285" s="110"/>
      <c r="AN285" s="110"/>
      <c r="AO285" s="68"/>
      <c r="AP285" s="68"/>
      <c r="AQ285" s="40"/>
      <c r="AR285" s="40"/>
      <c r="AS285" s="23"/>
    </row>
    <row r="286" spans="1:45" ht="15.75" x14ac:dyDescent="0.25">
      <c r="A286" s="44"/>
      <c r="B286" s="23"/>
      <c r="C286" s="23"/>
      <c r="D286" s="23"/>
      <c r="E286" s="68"/>
      <c r="F286" s="68"/>
      <c r="G286" s="110"/>
      <c r="H286" s="110"/>
      <c r="I286" s="68"/>
      <c r="J286" s="68"/>
      <c r="K286" s="110"/>
      <c r="L286" s="110"/>
      <c r="M286" s="68"/>
      <c r="N286" s="68"/>
      <c r="O286" s="110"/>
      <c r="P286" s="110"/>
      <c r="Q286" s="68"/>
      <c r="R286" s="68"/>
      <c r="S286" s="110"/>
      <c r="T286" s="110"/>
      <c r="U286" s="68"/>
      <c r="V286" s="68"/>
      <c r="W286" s="110"/>
      <c r="X286" s="110"/>
      <c r="Y286" s="110"/>
      <c r="Z286" s="110"/>
      <c r="AA286" s="110"/>
      <c r="AB286" s="110"/>
      <c r="AC286" s="114"/>
      <c r="AD286" s="68"/>
      <c r="AE286" s="110"/>
      <c r="AF286" s="110"/>
      <c r="AG286" s="68"/>
      <c r="AH286" s="68"/>
      <c r="AI286" s="110"/>
      <c r="AJ286" s="110"/>
      <c r="AK286" s="68"/>
      <c r="AL286" s="68"/>
      <c r="AM286" s="110"/>
      <c r="AN286" s="110"/>
      <c r="AO286" s="68"/>
      <c r="AP286" s="68"/>
      <c r="AQ286" s="40"/>
      <c r="AR286" s="40"/>
      <c r="AS286" s="23"/>
    </row>
    <row r="287" spans="1:45" ht="15.75" x14ac:dyDescent="0.25">
      <c r="A287" s="44"/>
      <c r="B287" s="23"/>
      <c r="C287" s="23"/>
      <c r="D287" s="23"/>
      <c r="E287" s="68"/>
      <c r="F287" s="68"/>
      <c r="G287" s="110"/>
      <c r="H287" s="110"/>
      <c r="I287" s="68"/>
      <c r="J287" s="68"/>
      <c r="K287" s="110"/>
      <c r="L287" s="110"/>
      <c r="M287" s="68"/>
      <c r="N287" s="68"/>
      <c r="O287" s="110"/>
      <c r="P287" s="110"/>
      <c r="Q287" s="68"/>
      <c r="R287" s="68"/>
      <c r="S287" s="110"/>
      <c r="T287" s="110"/>
      <c r="U287" s="68"/>
      <c r="V287" s="68"/>
      <c r="W287" s="110"/>
      <c r="X287" s="110"/>
      <c r="Y287" s="110"/>
      <c r="Z287" s="110"/>
      <c r="AA287" s="110"/>
      <c r="AB287" s="110"/>
      <c r="AC287" s="114"/>
      <c r="AD287" s="68"/>
      <c r="AE287" s="110"/>
      <c r="AF287" s="110"/>
      <c r="AG287" s="68"/>
      <c r="AH287" s="68"/>
      <c r="AI287" s="110"/>
      <c r="AJ287" s="110"/>
      <c r="AK287" s="68"/>
      <c r="AL287" s="68"/>
      <c r="AM287" s="110"/>
      <c r="AN287" s="110"/>
      <c r="AO287" s="68"/>
      <c r="AP287" s="68"/>
      <c r="AQ287" s="40"/>
      <c r="AR287" s="40"/>
      <c r="AS287" s="23"/>
    </row>
    <row r="288" spans="1:45" ht="15.75" x14ac:dyDescent="0.25">
      <c r="A288" s="44"/>
      <c r="B288" s="23"/>
      <c r="C288" s="23"/>
      <c r="D288" s="23"/>
      <c r="E288" s="68"/>
      <c r="F288" s="68"/>
      <c r="G288" s="110"/>
      <c r="H288" s="110"/>
      <c r="I288" s="68"/>
      <c r="J288" s="68"/>
      <c r="K288" s="110"/>
      <c r="L288" s="110"/>
      <c r="M288" s="68"/>
      <c r="N288" s="68"/>
      <c r="O288" s="110"/>
      <c r="P288" s="110"/>
      <c r="Q288" s="68"/>
      <c r="R288" s="68"/>
      <c r="S288" s="110"/>
      <c r="T288" s="110"/>
      <c r="U288" s="68"/>
      <c r="V288" s="68"/>
      <c r="W288" s="110"/>
      <c r="X288" s="110"/>
      <c r="Y288" s="110"/>
      <c r="Z288" s="110"/>
      <c r="AA288" s="110"/>
      <c r="AB288" s="110"/>
      <c r="AC288" s="114"/>
      <c r="AD288" s="68"/>
      <c r="AE288" s="110"/>
      <c r="AF288" s="110"/>
      <c r="AG288" s="68"/>
      <c r="AH288" s="68"/>
      <c r="AI288" s="110"/>
      <c r="AJ288" s="110"/>
      <c r="AK288" s="68"/>
      <c r="AL288" s="68"/>
      <c r="AM288" s="110"/>
      <c r="AN288" s="110"/>
      <c r="AO288" s="68"/>
      <c r="AP288" s="68"/>
      <c r="AQ288" s="40"/>
      <c r="AR288" s="40"/>
      <c r="AS288" s="23"/>
    </row>
    <row r="289" spans="1:45" ht="15.75" x14ac:dyDescent="0.25">
      <c r="A289" s="44"/>
      <c r="B289" s="23"/>
      <c r="C289" s="23"/>
      <c r="D289" s="23"/>
      <c r="E289" s="68"/>
      <c r="F289" s="68"/>
      <c r="G289" s="110"/>
      <c r="H289" s="110"/>
      <c r="I289" s="68"/>
      <c r="J289" s="68"/>
      <c r="K289" s="110"/>
      <c r="L289" s="110"/>
      <c r="M289" s="68"/>
      <c r="N289" s="68"/>
      <c r="O289" s="110"/>
      <c r="P289" s="110"/>
      <c r="Q289" s="68"/>
      <c r="R289" s="68"/>
      <c r="S289" s="110"/>
      <c r="T289" s="110"/>
      <c r="U289" s="68"/>
      <c r="V289" s="68"/>
      <c r="W289" s="110"/>
      <c r="X289" s="110"/>
      <c r="Y289" s="110"/>
      <c r="Z289" s="110"/>
      <c r="AA289" s="110"/>
      <c r="AB289" s="110"/>
      <c r="AC289" s="114"/>
      <c r="AD289" s="68"/>
      <c r="AE289" s="110"/>
      <c r="AF289" s="110"/>
      <c r="AG289" s="68"/>
      <c r="AH289" s="68"/>
      <c r="AI289" s="110"/>
      <c r="AJ289" s="110"/>
      <c r="AK289" s="68"/>
      <c r="AL289" s="68"/>
      <c r="AM289" s="110"/>
      <c r="AN289" s="110"/>
      <c r="AO289" s="68"/>
      <c r="AP289" s="68"/>
      <c r="AQ289" s="40"/>
      <c r="AR289" s="40"/>
      <c r="AS289" s="23"/>
    </row>
    <row r="290" spans="1:45" ht="15.75" x14ac:dyDescent="0.25">
      <c r="A290" s="44"/>
      <c r="B290" s="23"/>
      <c r="C290" s="23"/>
      <c r="D290" s="23"/>
      <c r="E290" s="68"/>
      <c r="F290" s="68"/>
      <c r="G290" s="110"/>
      <c r="H290" s="110"/>
      <c r="I290" s="68"/>
      <c r="J290" s="68"/>
      <c r="K290" s="110"/>
      <c r="L290" s="110"/>
      <c r="M290" s="68"/>
      <c r="N290" s="68"/>
      <c r="O290" s="110"/>
      <c r="P290" s="110"/>
      <c r="Q290" s="68"/>
      <c r="R290" s="68"/>
      <c r="S290" s="110"/>
      <c r="T290" s="110"/>
      <c r="U290" s="68"/>
      <c r="V290" s="68"/>
      <c r="W290" s="110"/>
      <c r="X290" s="110"/>
      <c r="Y290" s="110"/>
      <c r="Z290" s="110"/>
      <c r="AA290" s="110"/>
      <c r="AB290" s="110"/>
      <c r="AC290" s="114"/>
      <c r="AD290" s="68"/>
      <c r="AE290" s="110"/>
      <c r="AF290" s="110"/>
      <c r="AG290" s="68"/>
      <c r="AH290" s="68"/>
      <c r="AI290" s="110"/>
      <c r="AJ290" s="110"/>
      <c r="AK290" s="68"/>
      <c r="AL290" s="68"/>
      <c r="AM290" s="110"/>
      <c r="AN290" s="110"/>
      <c r="AO290" s="68"/>
      <c r="AP290" s="68"/>
      <c r="AQ290" s="40"/>
      <c r="AR290" s="40"/>
      <c r="AS290" s="23"/>
    </row>
    <row r="291" spans="1:45" ht="15.75" x14ac:dyDescent="0.25">
      <c r="A291" s="44"/>
      <c r="B291" s="23"/>
      <c r="C291" s="23"/>
      <c r="D291" s="23"/>
      <c r="E291" s="68"/>
      <c r="F291" s="68"/>
      <c r="G291" s="110"/>
      <c r="H291" s="110"/>
      <c r="I291" s="68"/>
      <c r="J291" s="68"/>
      <c r="K291" s="110"/>
      <c r="L291" s="110"/>
      <c r="M291" s="68"/>
      <c r="N291" s="68"/>
      <c r="O291" s="110"/>
      <c r="P291" s="110"/>
      <c r="Q291" s="68"/>
      <c r="R291" s="68"/>
      <c r="S291" s="110"/>
      <c r="T291" s="110"/>
      <c r="U291" s="68"/>
      <c r="V291" s="68"/>
      <c r="W291" s="110"/>
      <c r="X291" s="110"/>
      <c r="Y291" s="110"/>
      <c r="Z291" s="110"/>
      <c r="AA291" s="110"/>
      <c r="AB291" s="110"/>
      <c r="AC291" s="114"/>
      <c r="AD291" s="68"/>
      <c r="AE291" s="110"/>
      <c r="AF291" s="110"/>
      <c r="AG291" s="68"/>
      <c r="AH291" s="68"/>
      <c r="AI291" s="110"/>
      <c r="AJ291" s="110"/>
      <c r="AK291" s="68"/>
      <c r="AL291" s="68"/>
      <c r="AM291" s="110"/>
      <c r="AN291" s="110"/>
      <c r="AO291" s="68"/>
      <c r="AP291" s="68"/>
      <c r="AQ291" s="40"/>
      <c r="AR291" s="40"/>
      <c r="AS291" s="23"/>
    </row>
    <row r="292" spans="1:45" ht="15.75" x14ac:dyDescent="0.25">
      <c r="A292" s="44"/>
      <c r="B292" s="23"/>
      <c r="C292" s="23"/>
      <c r="D292" s="23"/>
      <c r="E292" s="68"/>
      <c r="F292" s="68"/>
      <c r="G292" s="110"/>
      <c r="H292" s="110"/>
      <c r="I292" s="68"/>
      <c r="J292" s="68"/>
      <c r="K292" s="110"/>
      <c r="L292" s="110"/>
      <c r="M292" s="68"/>
      <c r="N292" s="68"/>
      <c r="O292" s="110"/>
      <c r="P292" s="110"/>
      <c r="Q292" s="68"/>
      <c r="R292" s="68"/>
      <c r="S292" s="110"/>
      <c r="T292" s="110"/>
      <c r="U292" s="68"/>
      <c r="V292" s="68"/>
      <c r="W292" s="110"/>
      <c r="X292" s="110"/>
      <c r="Y292" s="110"/>
      <c r="Z292" s="110"/>
      <c r="AA292" s="110"/>
      <c r="AB292" s="110"/>
      <c r="AC292" s="114"/>
      <c r="AD292" s="68"/>
      <c r="AE292" s="110"/>
      <c r="AF292" s="110"/>
      <c r="AG292" s="68"/>
      <c r="AH292" s="68"/>
      <c r="AI292" s="110"/>
      <c r="AJ292" s="110"/>
      <c r="AK292" s="68"/>
      <c r="AL292" s="68"/>
      <c r="AM292" s="110"/>
      <c r="AN292" s="110"/>
      <c r="AO292" s="68"/>
      <c r="AP292" s="68"/>
      <c r="AQ292" s="40"/>
      <c r="AR292" s="40"/>
      <c r="AS292" s="23"/>
    </row>
    <row r="293" spans="1:45" ht="15.75" x14ac:dyDescent="0.25">
      <c r="A293" s="44"/>
      <c r="B293" s="23"/>
      <c r="C293" s="23"/>
      <c r="D293" s="23"/>
      <c r="E293" s="68"/>
      <c r="F293" s="68"/>
      <c r="G293" s="110"/>
      <c r="H293" s="110"/>
      <c r="I293" s="68"/>
      <c r="J293" s="68"/>
      <c r="K293" s="110"/>
      <c r="L293" s="110"/>
      <c r="M293" s="68"/>
      <c r="N293" s="68"/>
      <c r="O293" s="110"/>
      <c r="P293" s="110"/>
      <c r="Q293" s="68"/>
      <c r="R293" s="68"/>
      <c r="S293" s="110"/>
      <c r="T293" s="110"/>
      <c r="U293" s="68"/>
      <c r="V293" s="68"/>
      <c r="W293" s="110"/>
      <c r="X293" s="110"/>
      <c r="Y293" s="110"/>
      <c r="Z293" s="110"/>
      <c r="AA293" s="110"/>
      <c r="AB293" s="110"/>
      <c r="AC293" s="114"/>
      <c r="AD293" s="68"/>
      <c r="AE293" s="110"/>
      <c r="AF293" s="110"/>
      <c r="AG293" s="68"/>
      <c r="AH293" s="68"/>
      <c r="AI293" s="110"/>
      <c r="AJ293" s="110"/>
      <c r="AK293" s="68"/>
      <c r="AL293" s="68"/>
      <c r="AM293" s="110"/>
      <c r="AN293" s="110"/>
      <c r="AO293" s="68"/>
      <c r="AP293" s="68"/>
      <c r="AQ293" s="40"/>
      <c r="AR293" s="40"/>
      <c r="AS293" s="23"/>
    </row>
    <row r="294" spans="1:45" ht="15.75" x14ac:dyDescent="0.25">
      <c r="A294" s="44"/>
      <c r="B294" s="23"/>
      <c r="C294" s="23"/>
      <c r="D294" s="23"/>
      <c r="E294" s="68"/>
      <c r="F294" s="68"/>
      <c r="G294" s="110"/>
      <c r="H294" s="110"/>
      <c r="I294" s="68"/>
      <c r="J294" s="68"/>
      <c r="K294" s="110"/>
      <c r="L294" s="110"/>
      <c r="M294" s="68"/>
      <c r="N294" s="68"/>
      <c r="O294" s="110"/>
      <c r="P294" s="110"/>
      <c r="Q294" s="68"/>
      <c r="R294" s="68"/>
      <c r="S294" s="110"/>
      <c r="T294" s="110"/>
      <c r="U294" s="68"/>
      <c r="V294" s="68"/>
      <c r="W294" s="110"/>
      <c r="X294" s="110"/>
      <c r="Y294" s="110"/>
      <c r="Z294" s="110"/>
      <c r="AA294" s="110"/>
      <c r="AB294" s="110"/>
      <c r="AC294" s="114"/>
      <c r="AD294" s="68"/>
      <c r="AE294" s="110"/>
      <c r="AF294" s="110"/>
      <c r="AG294" s="68"/>
      <c r="AH294" s="68"/>
      <c r="AI294" s="110"/>
      <c r="AJ294" s="110"/>
      <c r="AK294" s="68"/>
      <c r="AL294" s="68"/>
      <c r="AM294" s="110"/>
      <c r="AN294" s="110"/>
      <c r="AO294" s="68"/>
      <c r="AP294" s="68"/>
      <c r="AQ294" s="40"/>
      <c r="AR294" s="40"/>
      <c r="AS294" s="23"/>
    </row>
    <row r="295" spans="1:45" ht="15.75" x14ac:dyDescent="0.25">
      <c r="A295" s="44"/>
      <c r="B295" s="23"/>
      <c r="C295" s="23"/>
      <c r="D295" s="23"/>
      <c r="E295" s="68"/>
      <c r="F295" s="68"/>
      <c r="G295" s="110"/>
      <c r="H295" s="110"/>
      <c r="I295" s="68"/>
      <c r="J295" s="68"/>
      <c r="K295" s="110"/>
      <c r="L295" s="110"/>
      <c r="M295" s="68"/>
      <c r="N295" s="68"/>
      <c r="O295" s="110"/>
      <c r="P295" s="110"/>
      <c r="Q295" s="68"/>
      <c r="R295" s="68"/>
      <c r="S295" s="110"/>
      <c r="T295" s="110"/>
      <c r="U295" s="68"/>
      <c r="V295" s="68"/>
      <c r="W295" s="110"/>
      <c r="X295" s="110"/>
      <c r="Y295" s="110"/>
      <c r="Z295" s="110"/>
      <c r="AA295" s="110"/>
      <c r="AB295" s="110"/>
      <c r="AC295" s="114"/>
      <c r="AD295" s="68"/>
      <c r="AE295" s="110"/>
      <c r="AF295" s="110"/>
      <c r="AG295" s="68"/>
      <c r="AH295" s="68"/>
      <c r="AI295" s="110"/>
      <c r="AJ295" s="110"/>
      <c r="AK295" s="68"/>
      <c r="AL295" s="68"/>
      <c r="AM295" s="110"/>
      <c r="AN295" s="110"/>
      <c r="AO295" s="68"/>
      <c r="AP295" s="68"/>
      <c r="AQ295" s="40"/>
      <c r="AR295" s="40"/>
      <c r="AS295" s="23"/>
    </row>
    <row r="296" spans="1:45" ht="15.75" x14ac:dyDescent="0.25">
      <c r="A296" s="44"/>
      <c r="B296" s="23"/>
      <c r="C296" s="23"/>
      <c r="D296" s="23"/>
      <c r="E296" s="68"/>
      <c r="F296" s="68"/>
      <c r="G296" s="110"/>
      <c r="H296" s="110"/>
      <c r="I296" s="68"/>
      <c r="J296" s="68"/>
      <c r="K296" s="110"/>
      <c r="L296" s="110"/>
      <c r="M296" s="68"/>
      <c r="N296" s="68"/>
      <c r="O296" s="110"/>
      <c r="P296" s="110"/>
      <c r="Q296" s="68"/>
      <c r="R296" s="68"/>
      <c r="S296" s="110"/>
      <c r="T296" s="110"/>
      <c r="U296" s="68"/>
      <c r="V296" s="68"/>
      <c r="W296" s="110"/>
      <c r="X296" s="110"/>
      <c r="Y296" s="110"/>
      <c r="Z296" s="110"/>
      <c r="AA296" s="110"/>
      <c r="AB296" s="110"/>
      <c r="AC296" s="114"/>
      <c r="AD296" s="68"/>
      <c r="AE296" s="110"/>
      <c r="AF296" s="110"/>
      <c r="AG296" s="68"/>
      <c r="AH296" s="68"/>
      <c r="AI296" s="110"/>
      <c r="AJ296" s="110"/>
      <c r="AK296" s="68"/>
      <c r="AL296" s="68"/>
      <c r="AM296" s="110"/>
      <c r="AN296" s="110"/>
      <c r="AO296" s="68"/>
      <c r="AP296" s="68"/>
      <c r="AQ296" s="40"/>
      <c r="AR296" s="40"/>
      <c r="AS296" s="23"/>
    </row>
    <row r="297" spans="1:45" ht="15.75" x14ac:dyDescent="0.25">
      <c r="A297" s="44"/>
      <c r="B297" s="23"/>
      <c r="C297" s="23"/>
      <c r="D297" s="23"/>
      <c r="E297" s="68"/>
      <c r="F297" s="68"/>
      <c r="G297" s="110"/>
      <c r="H297" s="110"/>
      <c r="I297" s="68"/>
      <c r="J297" s="68"/>
      <c r="K297" s="110"/>
      <c r="L297" s="110"/>
      <c r="M297" s="68"/>
      <c r="N297" s="68"/>
      <c r="O297" s="110"/>
      <c r="P297" s="110"/>
      <c r="Q297" s="68"/>
      <c r="R297" s="68"/>
      <c r="S297" s="110"/>
      <c r="T297" s="110"/>
      <c r="U297" s="68"/>
      <c r="V297" s="68"/>
      <c r="W297" s="110"/>
      <c r="X297" s="110"/>
      <c r="Y297" s="110"/>
      <c r="Z297" s="110"/>
      <c r="AA297" s="110"/>
      <c r="AB297" s="110"/>
      <c r="AC297" s="114"/>
      <c r="AD297" s="68"/>
      <c r="AE297" s="110"/>
      <c r="AF297" s="110"/>
      <c r="AG297" s="68"/>
      <c r="AH297" s="68"/>
      <c r="AI297" s="110"/>
      <c r="AJ297" s="110"/>
      <c r="AK297" s="68"/>
      <c r="AL297" s="68"/>
      <c r="AM297" s="110"/>
      <c r="AN297" s="110"/>
      <c r="AO297" s="68"/>
      <c r="AP297" s="68"/>
      <c r="AQ297" s="40"/>
      <c r="AR297" s="40"/>
      <c r="AS297" s="23"/>
    </row>
    <row r="298" spans="1:45" ht="15.75" x14ac:dyDescent="0.25">
      <c r="A298" s="44"/>
      <c r="B298" s="23"/>
      <c r="C298" s="23"/>
      <c r="D298" s="23"/>
      <c r="E298" s="68"/>
      <c r="F298" s="68"/>
      <c r="G298" s="110"/>
      <c r="H298" s="110"/>
      <c r="I298" s="68"/>
      <c r="J298" s="68"/>
      <c r="K298" s="110"/>
      <c r="L298" s="110"/>
      <c r="M298" s="68"/>
      <c r="N298" s="68"/>
      <c r="O298" s="110"/>
      <c r="P298" s="110"/>
      <c r="Q298" s="68"/>
      <c r="R298" s="68"/>
      <c r="S298" s="110"/>
      <c r="T298" s="110"/>
      <c r="U298" s="68"/>
      <c r="V298" s="68"/>
      <c r="W298" s="110"/>
      <c r="X298" s="110"/>
      <c r="Y298" s="110"/>
      <c r="Z298" s="110"/>
      <c r="AA298" s="110"/>
      <c r="AB298" s="110"/>
      <c r="AC298" s="114"/>
      <c r="AD298" s="68"/>
      <c r="AE298" s="110"/>
      <c r="AF298" s="110"/>
      <c r="AG298" s="68"/>
      <c r="AH298" s="68"/>
      <c r="AI298" s="110"/>
      <c r="AJ298" s="110"/>
      <c r="AK298" s="68"/>
      <c r="AL298" s="68"/>
      <c r="AM298" s="110"/>
      <c r="AN298" s="110"/>
      <c r="AO298" s="68"/>
      <c r="AP298" s="68"/>
      <c r="AQ298" s="40"/>
      <c r="AR298" s="40"/>
      <c r="AS298" s="23"/>
    </row>
    <row r="299" spans="1:45" ht="15.75" x14ac:dyDescent="0.25">
      <c r="A299" s="44"/>
      <c r="B299" s="23"/>
      <c r="C299" s="23"/>
      <c r="D299" s="23"/>
      <c r="E299" s="68"/>
      <c r="F299" s="68"/>
      <c r="G299" s="110"/>
      <c r="H299" s="110"/>
      <c r="I299" s="68"/>
      <c r="J299" s="68"/>
      <c r="K299" s="110"/>
      <c r="L299" s="110"/>
      <c r="M299" s="68"/>
      <c r="N299" s="68"/>
      <c r="O299" s="110"/>
      <c r="P299" s="110"/>
      <c r="Q299" s="68"/>
      <c r="R299" s="68"/>
      <c r="S299" s="110"/>
      <c r="T299" s="110"/>
      <c r="U299" s="68"/>
      <c r="V299" s="68"/>
      <c r="W299" s="110"/>
      <c r="X299" s="110"/>
      <c r="Y299" s="110"/>
      <c r="Z299" s="110"/>
      <c r="AA299" s="110"/>
      <c r="AB299" s="110"/>
      <c r="AC299" s="114"/>
      <c r="AD299" s="68"/>
      <c r="AE299" s="110"/>
      <c r="AF299" s="110"/>
      <c r="AG299" s="68"/>
      <c r="AH299" s="68"/>
      <c r="AI299" s="110"/>
      <c r="AJ299" s="110"/>
      <c r="AK299" s="68"/>
      <c r="AL299" s="68"/>
      <c r="AM299" s="110"/>
      <c r="AN299" s="110"/>
      <c r="AO299" s="68"/>
      <c r="AP299" s="68"/>
      <c r="AQ299" s="40"/>
      <c r="AR299" s="40"/>
      <c r="AS299" s="23"/>
    </row>
    <row r="300" spans="1:45" ht="15.75" x14ac:dyDescent="0.25">
      <c r="A300" s="44"/>
      <c r="B300" s="23"/>
      <c r="C300" s="23"/>
      <c r="D300" s="23"/>
      <c r="E300" s="68"/>
      <c r="F300" s="68"/>
      <c r="G300" s="110"/>
      <c r="H300" s="110"/>
      <c r="I300" s="68"/>
      <c r="J300" s="68"/>
      <c r="K300" s="110"/>
      <c r="L300" s="110"/>
      <c r="M300" s="68"/>
      <c r="N300" s="68"/>
      <c r="O300" s="110"/>
      <c r="P300" s="110"/>
      <c r="Q300" s="68"/>
      <c r="R300" s="68"/>
      <c r="S300" s="110"/>
      <c r="T300" s="110"/>
      <c r="U300" s="68"/>
      <c r="V300" s="68"/>
      <c r="W300" s="110"/>
      <c r="X300" s="110"/>
      <c r="Y300" s="110"/>
      <c r="Z300" s="110"/>
      <c r="AA300" s="110"/>
      <c r="AB300" s="110"/>
      <c r="AC300" s="114"/>
      <c r="AD300" s="68"/>
      <c r="AE300" s="110"/>
      <c r="AF300" s="110"/>
      <c r="AG300" s="68"/>
      <c r="AH300" s="68"/>
      <c r="AI300" s="110"/>
      <c r="AJ300" s="110"/>
      <c r="AK300" s="68"/>
      <c r="AL300" s="68"/>
      <c r="AM300" s="110"/>
      <c r="AN300" s="110"/>
      <c r="AO300" s="68"/>
      <c r="AP300" s="68"/>
      <c r="AQ300" s="40"/>
      <c r="AR300" s="40"/>
      <c r="AS300" s="23"/>
    </row>
    <row r="301" spans="1:45" ht="15.75" x14ac:dyDescent="0.25">
      <c r="A301" s="44"/>
      <c r="B301" s="23"/>
      <c r="C301" s="23"/>
      <c r="D301" s="23"/>
      <c r="E301" s="68"/>
      <c r="F301" s="68"/>
      <c r="G301" s="110"/>
      <c r="H301" s="110"/>
      <c r="I301" s="68"/>
      <c r="J301" s="68"/>
      <c r="K301" s="110"/>
      <c r="L301" s="110"/>
      <c r="M301" s="68"/>
      <c r="N301" s="68"/>
      <c r="O301" s="110"/>
      <c r="P301" s="110"/>
      <c r="Q301" s="68"/>
      <c r="R301" s="68"/>
      <c r="S301" s="110"/>
      <c r="T301" s="110"/>
      <c r="U301" s="68"/>
      <c r="V301" s="68"/>
      <c r="W301" s="110"/>
      <c r="X301" s="110"/>
      <c r="Y301" s="110"/>
      <c r="Z301" s="110"/>
      <c r="AA301" s="110"/>
      <c r="AB301" s="110"/>
      <c r="AC301" s="114"/>
      <c r="AD301" s="68"/>
      <c r="AE301" s="110"/>
      <c r="AF301" s="110"/>
      <c r="AG301" s="68"/>
      <c r="AH301" s="68"/>
      <c r="AI301" s="110"/>
      <c r="AJ301" s="110"/>
      <c r="AK301" s="68"/>
      <c r="AL301" s="68"/>
      <c r="AM301" s="110"/>
      <c r="AN301" s="110"/>
      <c r="AO301" s="68"/>
      <c r="AP301" s="68"/>
      <c r="AQ301" s="40"/>
      <c r="AR301" s="40"/>
      <c r="AS301" s="23"/>
    </row>
    <row r="302" spans="1:45" ht="15.75" x14ac:dyDescent="0.25">
      <c r="A302" s="44"/>
      <c r="B302" s="23"/>
      <c r="C302" s="23"/>
      <c r="D302" s="23"/>
      <c r="E302" s="68"/>
      <c r="F302" s="68"/>
      <c r="G302" s="110"/>
      <c r="H302" s="110"/>
      <c r="I302" s="68"/>
      <c r="J302" s="68"/>
      <c r="K302" s="110"/>
      <c r="L302" s="110"/>
      <c r="M302" s="68"/>
      <c r="N302" s="68"/>
      <c r="O302" s="110"/>
      <c r="P302" s="110"/>
      <c r="Q302" s="68"/>
      <c r="R302" s="68"/>
      <c r="S302" s="110"/>
      <c r="T302" s="110"/>
      <c r="U302" s="68"/>
      <c r="V302" s="68"/>
      <c r="W302" s="110"/>
      <c r="X302" s="110"/>
      <c r="Y302" s="110"/>
      <c r="Z302" s="110"/>
      <c r="AA302" s="110"/>
      <c r="AB302" s="110"/>
      <c r="AC302" s="114"/>
      <c r="AD302" s="68"/>
      <c r="AE302" s="110"/>
      <c r="AF302" s="110"/>
      <c r="AG302" s="68"/>
      <c r="AH302" s="68"/>
      <c r="AI302" s="110"/>
      <c r="AJ302" s="110"/>
      <c r="AK302" s="68"/>
      <c r="AL302" s="68"/>
      <c r="AM302" s="110"/>
      <c r="AN302" s="110"/>
      <c r="AO302" s="68"/>
      <c r="AP302" s="68"/>
      <c r="AQ302" s="40"/>
      <c r="AR302" s="40"/>
      <c r="AS302" s="23"/>
    </row>
    <row r="303" spans="1:45" ht="15.75" x14ac:dyDescent="0.25">
      <c r="A303" s="44"/>
      <c r="B303" s="23"/>
      <c r="C303" s="23"/>
      <c r="D303" s="23"/>
      <c r="E303" s="68"/>
      <c r="F303" s="68"/>
      <c r="G303" s="110"/>
      <c r="H303" s="110"/>
      <c r="I303" s="68"/>
      <c r="J303" s="68"/>
      <c r="K303" s="110"/>
      <c r="L303" s="110"/>
      <c r="M303" s="68"/>
      <c r="N303" s="68"/>
      <c r="O303" s="110"/>
      <c r="P303" s="110"/>
      <c r="Q303" s="68"/>
      <c r="R303" s="68"/>
      <c r="S303" s="110"/>
      <c r="T303" s="110"/>
      <c r="U303" s="68"/>
      <c r="V303" s="68"/>
      <c r="W303" s="110"/>
      <c r="X303" s="110"/>
      <c r="Y303" s="110"/>
      <c r="Z303" s="110"/>
      <c r="AA303" s="110"/>
      <c r="AB303" s="110"/>
      <c r="AC303" s="114"/>
      <c r="AD303" s="68"/>
      <c r="AE303" s="110"/>
      <c r="AF303" s="110"/>
      <c r="AG303" s="68"/>
      <c r="AH303" s="68"/>
      <c r="AI303" s="110"/>
      <c r="AJ303" s="110"/>
      <c r="AK303" s="68"/>
      <c r="AL303" s="68"/>
      <c r="AM303" s="110"/>
      <c r="AN303" s="110"/>
      <c r="AO303" s="68"/>
      <c r="AP303" s="68"/>
      <c r="AQ303" s="40"/>
      <c r="AR303" s="40"/>
      <c r="AS303" s="23"/>
    </row>
    <row r="304" spans="1:45" ht="15.75" x14ac:dyDescent="0.25">
      <c r="A304" s="44"/>
      <c r="B304" s="23"/>
      <c r="C304" s="23"/>
      <c r="D304" s="23"/>
      <c r="E304" s="68"/>
      <c r="F304" s="68"/>
      <c r="G304" s="110"/>
      <c r="H304" s="110"/>
      <c r="I304" s="68"/>
      <c r="J304" s="68"/>
      <c r="K304" s="110"/>
      <c r="L304" s="110"/>
      <c r="M304" s="68"/>
      <c r="N304" s="68"/>
      <c r="O304" s="110"/>
      <c r="P304" s="110"/>
      <c r="Q304" s="68"/>
      <c r="R304" s="68"/>
      <c r="S304" s="110"/>
      <c r="T304" s="110"/>
      <c r="U304" s="68"/>
      <c r="V304" s="68"/>
      <c r="W304" s="110"/>
      <c r="X304" s="110"/>
      <c r="Y304" s="110"/>
      <c r="Z304" s="110"/>
      <c r="AA304" s="110"/>
      <c r="AB304" s="110"/>
      <c r="AC304" s="114"/>
      <c r="AD304" s="68"/>
      <c r="AE304" s="110"/>
      <c r="AF304" s="110"/>
      <c r="AG304" s="68"/>
      <c r="AH304" s="68"/>
      <c r="AI304" s="110"/>
      <c r="AJ304" s="110"/>
      <c r="AK304" s="68"/>
      <c r="AL304" s="68"/>
      <c r="AM304" s="110"/>
      <c r="AN304" s="110"/>
      <c r="AO304" s="68"/>
      <c r="AP304" s="68"/>
      <c r="AQ304" s="40"/>
      <c r="AR304" s="40"/>
      <c r="AS304" s="23"/>
    </row>
    <row r="305" spans="1:45" ht="15.75" x14ac:dyDescent="0.25">
      <c r="A305" s="44"/>
      <c r="B305" s="23"/>
      <c r="C305" s="23"/>
      <c r="D305" s="23"/>
      <c r="E305" s="68"/>
      <c r="F305" s="68"/>
      <c r="G305" s="110"/>
      <c r="H305" s="110"/>
      <c r="I305" s="68"/>
      <c r="J305" s="68"/>
      <c r="K305" s="110"/>
      <c r="L305" s="110"/>
      <c r="M305" s="68"/>
      <c r="N305" s="68"/>
      <c r="O305" s="110"/>
      <c r="P305" s="110"/>
      <c r="Q305" s="68"/>
      <c r="R305" s="68"/>
      <c r="S305" s="110"/>
      <c r="T305" s="110"/>
      <c r="U305" s="68"/>
      <c r="V305" s="68"/>
      <c r="W305" s="110"/>
      <c r="X305" s="110"/>
      <c r="Y305" s="110"/>
      <c r="Z305" s="110"/>
      <c r="AA305" s="110"/>
      <c r="AB305" s="110"/>
      <c r="AC305" s="114"/>
      <c r="AD305" s="68"/>
      <c r="AE305" s="110"/>
      <c r="AF305" s="110"/>
      <c r="AG305" s="68"/>
      <c r="AH305" s="68"/>
      <c r="AI305" s="110"/>
      <c r="AJ305" s="110"/>
      <c r="AK305" s="68"/>
      <c r="AL305" s="68"/>
      <c r="AM305" s="110"/>
      <c r="AN305" s="110"/>
      <c r="AO305" s="68"/>
      <c r="AP305" s="68"/>
      <c r="AQ305" s="40"/>
      <c r="AR305" s="40"/>
      <c r="AS305" s="23"/>
    </row>
    <row r="306" spans="1:45" ht="15.75" x14ac:dyDescent="0.25">
      <c r="A306" s="44"/>
      <c r="B306" s="23"/>
      <c r="C306" s="23"/>
      <c r="D306" s="23"/>
      <c r="E306" s="68"/>
      <c r="F306" s="68"/>
      <c r="G306" s="110"/>
      <c r="H306" s="110"/>
      <c r="I306" s="68"/>
      <c r="J306" s="68"/>
      <c r="K306" s="110"/>
      <c r="L306" s="110"/>
      <c r="M306" s="68"/>
      <c r="N306" s="68"/>
      <c r="O306" s="110"/>
      <c r="P306" s="110"/>
      <c r="Q306" s="68"/>
      <c r="R306" s="68"/>
      <c r="S306" s="110"/>
      <c r="T306" s="110"/>
      <c r="U306" s="68"/>
      <c r="V306" s="68"/>
      <c r="W306" s="110"/>
      <c r="X306" s="110"/>
      <c r="Y306" s="110"/>
      <c r="Z306" s="110"/>
      <c r="AA306" s="110"/>
      <c r="AB306" s="110"/>
      <c r="AC306" s="114"/>
      <c r="AD306" s="68"/>
      <c r="AE306" s="110"/>
      <c r="AF306" s="110"/>
      <c r="AG306" s="68"/>
      <c r="AH306" s="68"/>
      <c r="AI306" s="110"/>
      <c r="AJ306" s="110"/>
      <c r="AK306" s="68"/>
      <c r="AL306" s="68"/>
      <c r="AM306" s="110"/>
      <c r="AN306" s="110"/>
      <c r="AO306" s="68"/>
      <c r="AP306" s="68"/>
      <c r="AQ306" s="40"/>
      <c r="AR306" s="40"/>
      <c r="AS306" s="23"/>
    </row>
    <row r="307" spans="1:45" ht="15.75" x14ac:dyDescent="0.25">
      <c r="A307" s="44"/>
      <c r="B307" s="23"/>
      <c r="C307" s="23"/>
      <c r="D307" s="23"/>
      <c r="E307" s="68"/>
      <c r="F307" s="68"/>
      <c r="G307" s="110"/>
      <c r="H307" s="110"/>
      <c r="I307" s="68"/>
      <c r="J307" s="68"/>
      <c r="K307" s="110"/>
      <c r="L307" s="110"/>
      <c r="M307" s="68"/>
      <c r="N307" s="68"/>
      <c r="O307" s="110"/>
      <c r="P307" s="110"/>
      <c r="Q307" s="68"/>
      <c r="R307" s="68"/>
      <c r="S307" s="110"/>
      <c r="T307" s="110"/>
      <c r="U307" s="68"/>
      <c r="V307" s="68"/>
      <c r="W307" s="110"/>
      <c r="X307" s="110"/>
      <c r="Y307" s="110"/>
      <c r="Z307" s="110"/>
      <c r="AA307" s="110"/>
      <c r="AB307" s="110"/>
      <c r="AC307" s="114"/>
      <c r="AD307" s="68"/>
      <c r="AE307" s="110"/>
      <c r="AF307" s="110"/>
      <c r="AG307" s="68"/>
      <c r="AH307" s="68"/>
      <c r="AI307" s="110"/>
      <c r="AJ307" s="110"/>
      <c r="AK307" s="68"/>
      <c r="AL307" s="68"/>
      <c r="AM307" s="110"/>
      <c r="AN307" s="110"/>
      <c r="AO307" s="68"/>
      <c r="AP307" s="68"/>
      <c r="AQ307" s="40"/>
      <c r="AR307" s="40"/>
      <c r="AS307" s="23"/>
    </row>
    <row r="308" spans="1:45" ht="15.75" x14ac:dyDescent="0.25">
      <c r="A308" s="44"/>
      <c r="B308" s="23"/>
      <c r="C308" s="23"/>
      <c r="D308" s="23"/>
      <c r="E308" s="68"/>
      <c r="F308" s="68"/>
      <c r="G308" s="110"/>
      <c r="H308" s="110"/>
      <c r="I308" s="68"/>
      <c r="J308" s="68"/>
      <c r="K308" s="110"/>
      <c r="L308" s="110"/>
      <c r="M308" s="68"/>
      <c r="N308" s="68"/>
      <c r="O308" s="110"/>
      <c r="P308" s="110"/>
      <c r="Q308" s="68"/>
      <c r="R308" s="68"/>
      <c r="S308" s="110"/>
      <c r="T308" s="110"/>
      <c r="U308" s="68"/>
      <c r="V308" s="68"/>
      <c r="W308" s="110"/>
      <c r="X308" s="110"/>
      <c r="Y308" s="110"/>
      <c r="Z308" s="110"/>
      <c r="AA308" s="110"/>
      <c r="AB308" s="110"/>
      <c r="AC308" s="114"/>
      <c r="AD308" s="68"/>
      <c r="AE308" s="110"/>
      <c r="AF308" s="110"/>
      <c r="AG308" s="68"/>
      <c r="AH308" s="68"/>
      <c r="AI308" s="110"/>
      <c r="AJ308" s="110"/>
      <c r="AK308" s="68"/>
      <c r="AL308" s="68"/>
      <c r="AM308" s="110"/>
      <c r="AN308" s="110"/>
      <c r="AO308" s="68"/>
      <c r="AP308" s="68"/>
      <c r="AQ308" s="40"/>
      <c r="AR308" s="40"/>
      <c r="AS308" s="23"/>
    </row>
    <row r="309" spans="1:45" ht="15.75" x14ac:dyDescent="0.25">
      <c r="A309" s="44"/>
      <c r="B309" s="23"/>
      <c r="C309" s="23"/>
      <c r="D309" s="23"/>
      <c r="E309" s="68"/>
      <c r="F309" s="68"/>
      <c r="G309" s="110"/>
      <c r="H309" s="110"/>
      <c r="I309" s="68"/>
      <c r="J309" s="68"/>
      <c r="K309" s="110"/>
      <c r="L309" s="110"/>
      <c r="M309" s="68"/>
      <c r="N309" s="68"/>
      <c r="O309" s="110"/>
      <c r="P309" s="110"/>
      <c r="Q309" s="68"/>
      <c r="R309" s="68"/>
      <c r="S309" s="110"/>
      <c r="T309" s="110"/>
      <c r="U309" s="68"/>
      <c r="V309" s="68"/>
      <c r="W309" s="110"/>
      <c r="X309" s="110"/>
      <c r="Y309" s="110"/>
      <c r="Z309" s="110"/>
      <c r="AA309" s="110"/>
      <c r="AB309" s="110"/>
      <c r="AC309" s="114"/>
      <c r="AD309" s="68"/>
      <c r="AE309" s="110"/>
      <c r="AF309" s="110"/>
      <c r="AG309" s="68"/>
      <c r="AH309" s="68"/>
      <c r="AI309" s="110"/>
      <c r="AJ309" s="110"/>
      <c r="AK309" s="68"/>
      <c r="AL309" s="68"/>
      <c r="AM309" s="110"/>
      <c r="AN309" s="110"/>
      <c r="AO309" s="68"/>
      <c r="AP309" s="68"/>
      <c r="AQ309" s="40"/>
      <c r="AR309" s="40"/>
      <c r="AS309" s="23"/>
    </row>
    <row r="310" spans="1:45" ht="15.75" x14ac:dyDescent="0.25">
      <c r="A310" s="44"/>
      <c r="B310" s="23"/>
      <c r="C310" s="23"/>
      <c r="D310" s="23"/>
      <c r="E310" s="68"/>
      <c r="F310" s="68"/>
      <c r="G310" s="110"/>
      <c r="H310" s="110"/>
      <c r="I310" s="68"/>
      <c r="J310" s="68"/>
      <c r="K310" s="110"/>
      <c r="L310" s="110"/>
      <c r="M310" s="68"/>
      <c r="N310" s="68"/>
      <c r="O310" s="110"/>
      <c r="P310" s="110"/>
      <c r="Q310" s="68"/>
      <c r="R310" s="68"/>
      <c r="S310" s="110"/>
      <c r="T310" s="110"/>
      <c r="U310" s="68"/>
      <c r="V310" s="68"/>
      <c r="W310" s="110"/>
      <c r="X310" s="110"/>
      <c r="Y310" s="110"/>
      <c r="Z310" s="110"/>
      <c r="AA310" s="110"/>
      <c r="AB310" s="110"/>
      <c r="AC310" s="114"/>
      <c r="AD310" s="68"/>
      <c r="AE310" s="110"/>
      <c r="AF310" s="110"/>
      <c r="AG310" s="68"/>
      <c r="AH310" s="68"/>
      <c r="AI310" s="110"/>
      <c r="AJ310" s="110"/>
      <c r="AK310" s="68"/>
      <c r="AL310" s="68"/>
      <c r="AM310" s="110"/>
      <c r="AN310" s="110"/>
      <c r="AO310" s="68"/>
      <c r="AP310" s="68"/>
      <c r="AQ310" s="40"/>
      <c r="AR310" s="40"/>
      <c r="AS310" s="23"/>
    </row>
    <row r="311" spans="1:45" ht="15.75" x14ac:dyDescent="0.25">
      <c r="A311" s="44"/>
      <c r="B311" s="23"/>
      <c r="C311" s="23"/>
      <c r="D311" s="23"/>
      <c r="E311" s="68"/>
      <c r="F311" s="68"/>
      <c r="G311" s="110"/>
      <c r="H311" s="110"/>
      <c r="I311" s="68"/>
      <c r="J311" s="68"/>
      <c r="K311" s="110"/>
      <c r="L311" s="110"/>
      <c r="M311" s="68"/>
      <c r="N311" s="68"/>
      <c r="O311" s="110"/>
      <c r="P311" s="110"/>
      <c r="Q311" s="68"/>
      <c r="R311" s="68"/>
      <c r="S311" s="110"/>
      <c r="T311" s="110"/>
      <c r="U311" s="68"/>
      <c r="V311" s="68"/>
      <c r="W311" s="110"/>
      <c r="X311" s="110"/>
      <c r="Y311" s="110"/>
      <c r="Z311" s="110"/>
      <c r="AA311" s="110"/>
      <c r="AB311" s="110"/>
      <c r="AC311" s="114"/>
      <c r="AD311" s="68"/>
      <c r="AE311" s="110"/>
      <c r="AF311" s="110"/>
      <c r="AG311" s="68"/>
      <c r="AH311" s="68"/>
      <c r="AI311" s="110"/>
      <c r="AJ311" s="110"/>
      <c r="AK311" s="68"/>
      <c r="AL311" s="68"/>
      <c r="AM311" s="110"/>
      <c r="AN311" s="110"/>
      <c r="AO311" s="68"/>
      <c r="AP311" s="68"/>
      <c r="AQ311" s="40"/>
      <c r="AR311" s="40"/>
      <c r="AS311" s="23"/>
    </row>
    <row r="312" spans="1:45" ht="15.75" x14ac:dyDescent="0.25">
      <c r="A312" s="44"/>
      <c r="B312" s="23"/>
      <c r="C312" s="23"/>
      <c r="D312" s="23"/>
      <c r="E312" s="68"/>
      <c r="F312" s="68"/>
      <c r="G312" s="110"/>
      <c r="H312" s="110"/>
      <c r="I312" s="68"/>
      <c r="J312" s="68"/>
      <c r="K312" s="110"/>
      <c r="L312" s="110"/>
      <c r="M312" s="68"/>
      <c r="N312" s="68"/>
      <c r="O312" s="110"/>
      <c r="P312" s="110"/>
      <c r="Q312" s="68"/>
      <c r="R312" s="68"/>
      <c r="S312" s="110"/>
      <c r="T312" s="110"/>
      <c r="U312" s="68"/>
      <c r="V312" s="68"/>
      <c r="W312" s="110"/>
      <c r="X312" s="110"/>
      <c r="Y312" s="110"/>
      <c r="Z312" s="110"/>
      <c r="AA312" s="110"/>
      <c r="AB312" s="110"/>
      <c r="AC312" s="114"/>
      <c r="AD312" s="68"/>
      <c r="AE312" s="110"/>
      <c r="AF312" s="110"/>
      <c r="AG312" s="68"/>
      <c r="AH312" s="68"/>
      <c r="AI312" s="110"/>
      <c r="AJ312" s="110"/>
      <c r="AK312" s="68"/>
      <c r="AL312" s="68"/>
      <c r="AM312" s="110"/>
      <c r="AN312" s="110"/>
      <c r="AO312" s="68"/>
      <c r="AP312" s="68"/>
      <c r="AQ312" s="40"/>
      <c r="AR312" s="40"/>
      <c r="AS312" s="23"/>
    </row>
    <row r="313" spans="1:45" ht="15.75" x14ac:dyDescent="0.25">
      <c r="A313" s="44"/>
      <c r="B313" s="23"/>
      <c r="C313" s="23"/>
      <c r="D313" s="23"/>
      <c r="E313" s="68"/>
      <c r="F313" s="68"/>
      <c r="G313" s="110"/>
      <c r="H313" s="110"/>
      <c r="I313" s="68"/>
      <c r="J313" s="68"/>
      <c r="K313" s="110"/>
      <c r="L313" s="110"/>
      <c r="M313" s="68"/>
      <c r="N313" s="68"/>
      <c r="O313" s="110"/>
      <c r="P313" s="110"/>
      <c r="Q313" s="68"/>
      <c r="R313" s="68"/>
      <c r="S313" s="110"/>
      <c r="T313" s="110"/>
      <c r="U313" s="68"/>
      <c r="V313" s="68"/>
      <c r="W313" s="110"/>
      <c r="X313" s="110"/>
      <c r="Y313" s="110"/>
      <c r="Z313" s="110"/>
      <c r="AA313" s="110"/>
      <c r="AB313" s="110"/>
      <c r="AC313" s="114"/>
      <c r="AD313" s="68"/>
      <c r="AE313" s="110"/>
      <c r="AF313" s="110"/>
      <c r="AG313" s="68"/>
      <c r="AH313" s="68"/>
      <c r="AI313" s="110"/>
      <c r="AJ313" s="110"/>
      <c r="AK313" s="68"/>
      <c r="AL313" s="68"/>
      <c r="AM313" s="110"/>
      <c r="AN313" s="110"/>
      <c r="AO313" s="68"/>
      <c r="AP313" s="68"/>
      <c r="AQ313" s="40"/>
      <c r="AR313" s="40"/>
      <c r="AS313" s="23"/>
    </row>
    <row r="314" spans="1:45" ht="15.75" x14ac:dyDescent="0.25">
      <c r="A314" s="44"/>
      <c r="B314" s="23"/>
      <c r="C314" s="23"/>
      <c r="D314" s="23"/>
      <c r="E314" s="68"/>
      <c r="F314" s="68"/>
      <c r="G314" s="110"/>
      <c r="H314" s="110"/>
      <c r="I314" s="68"/>
      <c r="J314" s="68"/>
      <c r="K314" s="110"/>
      <c r="L314" s="110"/>
      <c r="M314" s="68"/>
      <c r="N314" s="68"/>
      <c r="O314" s="110"/>
      <c r="P314" s="110"/>
      <c r="Q314" s="68"/>
      <c r="R314" s="68"/>
      <c r="S314" s="110"/>
      <c r="T314" s="110"/>
      <c r="U314" s="68"/>
      <c r="V314" s="68"/>
      <c r="W314" s="110"/>
      <c r="X314" s="110"/>
      <c r="Y314" s="110"/>
      <c r="Z314" s="110"/>
      <c r="AA314" s="110"/>
      <c r="AB314" s="110"/>
      <c r="AC314" s="114"/>
      <c r="AD314" s="68"/>
      <c r="AE314" s="110"/>
      <c r="AF314" s="110"/>
      <c r="AG314" s="68"/>
      <c r="AH314" s="68"/>
      <c r="AI314" s="110"/>
      <c r="AJ314" s="110"/>
      <c r="AK314" s="68"/>
      <c r="AL314" s="68"/>
      <c r="AM314" s="110"/>
      <c r="AN314" s="110"/>
      <c r="AO314" s="68"/>
      <c r="AP314" s="68"/>
      <c r="AQ314" s="40"/>
      <c r="AR314" s="40"/>
      <c r="AS314" s="23"/>
    </row>
    <row r="315" spans="1:45" ht="15.75" x14ac:dyDescent="0.25">
      <c r="A315" s="44"/>
      <c r="B315" s="23"/>
      <c r="C315" s="23"/>
      <c r="D315" s="23"/>
      <c r="E315" s="68"/>
      <c r="F315" s="68"/>
      <c r="G315" s="110"/>
      <c r="H315" s="110"/>
      <c r="I315" s="68"/>
      <c r="J315" s="68"/>
      <c r="K315" s="110"/>
      <c r="L315" s="110"/>
      <c r="M315" s="68"/>
      <c r="N315" s="68"/>
      <c r="O315" s="110"/>
      <c r="P315" s="110"/>
      <c r="Q315" s="68"/>
      <c r="R315" s="68"/>
      <c r="S315" s="110"/>
      <c r="T315" s="110"/>
      <c r="U315" s="68"/>
      <c r="V315" s="68"/>
      <c r="W315" s="110"/>
      <c r="X315" s="110"/>
      <c r="Y315" s="110"/>
      <c r="Z315" s="110"/>
      <c r="AA315" s="110"/>
      <c r="AB315" s="110"/>
      <c r="AC315" s="114"/>
      <c r="AD315" s="68"/>
      <c r="AE315" s="110"/>
      <c r="AF315" s="110"/>
      <c r="AG315" s="68"/>
      <c r="AH315" s="68"/>
      <c r="AI315" s="110"/>
      <c r="AJ315" s="110"/>
      <c r="AK315" s="68"/>
      <c r="AL315" s="68"/>
      <c r="AM315" s="110"/>
      <c r="AN315" s="110"/>
      <c r="AO315" s="68"/>
      <c r="AP315" s="68"/>
      <c r="AQ315" s="40"/>
      <c r="AR315" s="40"/>
      <c r="AS315" s="23"/>
    </row>
    <row r="316" spans="1:45" ht="15.75" x14ac:dyDescent="0.25">
      <c r="A316" s="44"/>
      <c r="B316" s="23"/>
      <c r="C316" s="23"/>
      <c r="D316" s="23"/>
      <c r="E316" s="68"/>
      <c r="F316" s="68"/>
      <c r="G316" s="110"/>
      <c r="H316" s="110"/>
      <c r="I316" s="68"/>
      <c r="J316" s="68"/>
      <c r="K316" s="110"/>
      <c r="L316" s="110"/>
      <c r="M316" s="68"/>
      <c r="N316" s="68"/>
      <c r="O316" s="110"/>
      <c r="P316" s="110"/>
      <c r="Q316" s="68"/>
      <c r="R316" s="68"/>
      <c r="S316" s="110"/>
      <c r="T316" s="110"/>
      <c r="U316" s="68"/>
      <c r="V316" s="68"/>
      <c r="W316" s="110"/>
      <c r="X316" s="110"/>
      <c r="Y316" s="110"/>
      <c r="Z316" s="110"/>
      <c r="AA316" s="110"/>
      <c r="AB316" s="110"/>
      <c r="AC316" s="114"/>
      <c r="AD316" s="68"/>
      <c r="AE316" s="110"/>
      <c r="AF316" s="110"/>
      <c r="AG316" s="68"/>
      <c r="AH316" s="68"/>
      <c r="AI316" s="110"/>
      <c r="AJ316" s="110"/>
      <c r="AK316" s="68"/>
      <c r="AL316" s="68"/>
      <c r="AM316" s="110"/>
      <c r="AN316" s="110"/>
      <c r="AO316" s="68"/>
      <c r="AP316" s="68"/>
      <c r="AQ316" s="40"/>
      <c r="AR316" s="40"/>
      <c r="AS316" s="23"/>
    </row>
    <row r="317" spans="1:45" ht="15.75" x14ac:dyDescent="0.25">
      <c r="A317" s="44"/>
      <c r="B317" s="23"/>
      <c r="C317" s="23"/>
      <c r="D317" s="23"/>
      <c r="E317" s="68"/>
      <c r="F317" s="68"/>
      <c r="G317" s="110"/>
      <c r="H317" s="110"/>
      <c r="I317" s="68"/>
      <c r="J317" s="68"/>
      <c r="K317" s="110"/>
      <c r="L317" s="110"/>
      <c r="M317" s="68"/>
      <c r="N317" s="68"/>
      <c r="O317" s="110"/>
      <c r="P317" s="110"/>
      <c r="Q317" s="68"/>
      <c r="R317" s="68"/>
      <c r="S317" s="110"/>
      <c r="T317" s="110"/>
      <c r="U317" s="68"/>
      <c r="V317" s="68"/>
      <c r="W317" s="110"/>
      <c r="X317" s="110"/>
      <c r="Y317" s="110"/>
      <c r="Z317" s="110"/>
      <c r="AA317" s="110"/>
      <c r="AB317" s="110"/>
      <c r="AC317" s="114"/>
      <c r="AD317" s="68"/>
      <c r="AE317" s="110"/>
      <c r="AF317" s="110"/>
      <c r="AG317" s="68"/>
      <c r="AH317" s="68"/>
      <c r="AI317" s="110"/>
      <c r="AJ317" s="110"/>
      <c r="AK317" s="68"/>
      <c r="AL317" s="68"/>
      <c r="AM317" s="110"/>
      <c r="AN317" s="110"/>
      <c r="AO317" s="68"/>
      <c r="AP317" s="68"/>
      <c r="AQ317" s="40"/>
      <c r="AR317" s="40"/>
      <c r="AS317" s="23"/>
    </row>
    <row r="318" spans="1:45" ht="15.75" x14ac:dyDescent="0.25">
      <c r="A318" s="44"/>
      <c r="B318" s="23"/>
      <c r="C318" s="23"/>
      <c r="D318" s="23"/>
      <c r="E318" s="68"/>
      <c r="F318" s="68"/>
      <c r="G318" s="110"/>
      <c r="H318" s="110"/>
      <c r="I318" s="68"/>
      <c r="J318" s="68"/>
      <c r="K318" s="110"/>
      <c r="L318" s="110"/>
      <c r="M318" s="68"/>
      <c r="N318" s="68"/>
      <c r="O318" s="110"/>
      <c r="P318" s="110"/>
      <c r="Q318" s="68"/>
      <c r="R318" s="68"/>
      <c r="S318" s="110"/>
      <c r="T318" s="110"/>
      <c r="U318" s="68"/>
      <c r="V318" s="68"/>
      <c r="W318" s="110"/>
      <c r="X318" s="110"/>
      <c r="Y318" s="110"/>
      <c r="Z318" s="110"/>
      <c r="AA318" s="110"/>
      <c r="AB318" s="110"/>
      <c r="AC318" s="114"/>
      <c r="AD318" s="68"/>
      <c r="AE318" s="110"/>
      <c r="AF318" s="110"/>
      <c r="AG318" s="68"/>
      <c r="AH318" s="68"/>
      <c r="AI318" s="110"/>
      <c r="AJ318" s="110"/>
      <c r="AK318" s="68"/>
      <c r="AL318" s="68"/>
      <c r="AM318" s="110"/>
      <c r="AN318" s="110"/>
      <c r="AO318" s="68"/>
      <c r="AP318" s="68"/>
      <c r="AQ318" s="40"/>
      <c r="AR318" s="40"/>
      <c r="AS318" s="23"/>
    </row>
    <row r="319" spans="1:45" ht="15.75" x14ac:dyDescent="0.25">
      <c r="A319" s="44"/>
      <c r="B319" s="23"/>
      <c r="C319" s="23"/>
      <c r="D319" s="23"/>
      <c r="E319" s="68"/>
      <c r="F319" s="68"/>
      <c r="G319" s="110"/>
      <c r="H319" s="110"/>
      <c r="I319" s="68"/>
      <c r="J319" s="68"/>
      <c r="K319" s="110"/>
      <c r="L319" s="110"/>
      <c r="M319" s="68"/>
      <c r="N319" s="68"/>
      <c r="O319" s="110"/>
      <c r="P319" s="110"/>
      <c r="Q319" s="68"/>
      <c r="R319" s="68"/>
      <c r="S319" s="110"/>
      <c r="T319" s="110"/>
      <c r="U319" s="68"/>
      <c r="V319" s="68"/>
      <c r="W319" s="110"/>
      <c r="X319" s="110"/>
      <c r="Y319" s="110"/>
      <c r="Z319" s="110"/>
      <c r="AA319" s="110"/>
      <c r="AB319" s="110"/>
      <c r="AC319" s="114"/>
      <c r="AD319" s="68"/>
      <c r="AE319" s="110"/>
      <c r="AF319" s="110"/>
      <c r="AG319" s="68"/>
      <c r="AH319" s="68"/>
      <c r="AI319" s="110"/>
      <c r="AJ319" s="110"/>
      <c r="AK319" s="68"/>
      <c r="AL319" s="68"/>
      <c r="AM319" s="110"/>
      <c r="AN319" s="110"/>
      <c r="AO319" s="68"/>
      <c r="AP319" s="68"/>
      <c r="AQ319" s="40"/>
      <c r="AR319" s="40"/>
      <c r="AS319" s="23"/>
    </row>
    <row r="320" spans="1:45" ht="15.75" x14ac:dyDescent="0.25">
      <c r="A320" s="44"/>
      <c r="B320" s="23"/>
      <c r="C320" s="23"/>
      <c r="D320" s="23"/>
      <c r="E320" s="68"/>
      <c r="F320" s="68"/>
      <c r="G320" s="110"/>
      <c r="H320" s="110"/>
      <c r="I320" s="68"/>
      <c r="J320" s="68"/>
      <c r="K320" s="110"/>
      <c r="L320" s="110"/>
      <c r="M320" s="68"/>
      <c r="N320" s="68"/>
      <c r="O320" s="110"/>
      <c r="P320" s="110"/>
      <c r="Q320" s="68"/>
      <c r="R320" s="68"/>
      <c r="S320" s="110"/>
      <c r="T320" s="110"/>
      <c r="U320" s="68"/>
      <c r="V320" s="68"/>
      <c r="W320" s="110"/>
      <c r="X320" s="110"/>
      <c r="Y320" s="110"/>
      <c r="Z320" s="110"/>
      <c r="AA320" s="110"/>
      <c r="AB320" s="110"/>
      <c r="AC320" s="114"/>
      <c r="AD320" s="68"/>
      <c r="AE320" s="110"/>
      <c r="AF320" s="110"/>
      <c r="AG320" s="68"/>
      <c r="AH320" s="68"/>
      <c r="AI320" s="110"/>
      <c r="AJ320" s="110"/>
      <c r="AK320" s="68"/>
      <c r="AL320" s="68"/>
      <c r="AM320" s="110"/>
      <c r="AN320" s="110"/>
      <c r="AO320" s="68"/>
      <c r="AP320" s="68"/>
      <c r="AQ320" s="40"/>
      <c r="AR320" s="40"/>
      <c r="AS320" s="23"/>
    </row>
    <row r="321" spans="1:45" ht="15.75" x14ac:dyDescent="0.25">
      <c r="A321" s="44"/>
      <c r="B321" s="23"/>
      <c r="C321" s="23"/>
      <c r="D321" s="23"/>
      <c r="E321" s="68"/>
      <c r="F321" s="68"/>
      <c r="G321" s="110"/>
      <c r="H321" s="110"/>
      <c r="I321" s="68"/>
      <c r="J321" s="68"/>
      <c r="K321" s="110"/>
      <c r="L321" s="110"/>
      <c r="M321" s="68"/>
      <c r="N321" s="68"/>
      <c r="O321" s="110"/>
      <c r="P321" s="110"/>
      <c r="Q321" s="68"/>
      <c r="R321" s="68"/>
      <c r="S321" s="110"/>
      <c r="T321" s="110"/>
      <c r="U321" s="68"/>
      <c r="V321" s="68"/>
      <c r="W321" s="110"/>
      <c r="X321" s="110"/>
      <c r="Y321" s="110"/>
      <c r="Z321" s="110"/>
      <c r="AA321" s="110"/>
      <c r="AB321" s="110"/>
      <c r="AC321" s="114"/>
      <c r="AD321" s="68"/>
      <c r="AE321" s="110"/>
      <c r="AF321" s="110"/>
      <c r="AG321" s="68"/>
      <c r="AH321" s="68"/>
      <c r="AI321" s="110"/>
      <c r="AJ321" s="110"/>
      <c r="AK321" s="68"/>
      <c r="AL321" s="68"/>
      <c r="AM321" s="110"/>
      <c r="AN321" s="110"/>
      <c r="AO321" s="68"/>
      <c r="AP321" s="68"/>
      <c r="AQ321" s="40"/>
      <c r="AR321" s="40"/>
      <c r="AS321" s="23"/>
    </row>
    <row r="322" spans="1:45" ht="15.75" x14ac:dyDescent="0.25">
      <c r="A322" s="44"/>
      <c r="B322" s="23"/>
      <c r="C322" s="23"/>
      <c r="D322" s="23"/>
      <c r="E322" s="68"/>
      <c r="F322" s="68"/>
      <c r="G322" s="110"/>
      <c r="H322" s="110"/>
      <c r="I322" s="68"/>
      <c r="J322" s="68"/>
      <c r="K322" s="110"/>
      <c r="L322" s="110"/>
      <c r="M322" s="68"/>
      <c r="N322" s="68"/>
      <c r="O322" s="110"/>
      <c r="P322" s="110"/>
      <c r="Q322" s="68"/>
      <c r="R322" s="68"/>
      <c r="S322" s="110"/>
      <c r="T322" s="110"/>
      <c r="U322" s="68"/>
      <c r="V322" s="68"/>
      <c r="W322" s="110"/>
      <c r="X322" s="110"/>
      <c r="Y322" s="110"/>
      <c r="Z322" s="110"/>
      <c r="AA322" s="110"/>
      <c r="AB322" s="110"/>
      <c r="AC322" s="114"/>
      <c r="AD322" s="68"/>
      <c r="AE322" s="110"/>
      <c r="AF322" s="110"/>
      <c r="AG322" s="68"/>
      <c r="AH322" s="68"/>
      <c r="AI322" s="110"/>
      <c r="AJ322" s="110"/>
      <c r="AK322" s="68"/>
      <c r="AL322" s="68"/>
      <c r="AM322" s="110"/>
      <c r="AN322" s="110"/>
      <c r="AO322" s="68"/>
      <c r="AP322" s="68"/>
      <c r="AQ322" s="40"/>
      <c r="AR322" s="40"/>
      <c r="AS322" s="23"/>
    </row>
    <row r="323" spans="1:45" ht="15.75" x14ac:dyDescent="0.25">
      <c r="A323" s="44"/>
      <c r="B323" s="23"/>
      <c r="C323" s="23"/>
      <c r="D323" s="23"/>
      <c r="E323" s="68"/>
      <c r="F323" s="68"/>
      <c r="G323" s="110"/>
      <c r="H323" s="110"/>
      <c r="I323" s="68"/>
      <c r="J323" s="68"/>
      <c r="K323" s="110"/>
      <c r="L323" s="110"/>
      <c r="M323" s="68"/>
      <c r="N323" s="68"/>
      <c r="O323" s="110"/>
      <c r="P323" s="110"/>
      <c r="Q323" s="68"/>
      <c r="R323" s="68"/>
      <c r="S323" s="110"/>
      <c r="T323" s="110"/>
      <c r="U323" s="68"/>
      <c r="V323" s="68"/>
      <c r="W323" s="110"/>
      <c r="X323" s="110"/>
      <c r="Y323" s="110"/>
      <c r="Z323" s="110"/>
      <c r="AA323" s="110"/>
      <c r="AB323" s="110"/>
      <c r="AC323" s="114"/>
      <c r="AD323" s="68"/>
      <c r="AE323" s="110"/>
      <c r="AF323" s="110"/>
      <c r="AG323" s="68"/>
      <c r="AH323" s="68"/>
      <c r="AI323" s="110"/>
      <c r="AJ323" s="110"/>
      <c r="AK323" s="68"/>
      <c r="AL323" s="68"/>
      <c r="AM323" s="110"/>
      <c r="AN323" s="110"/>
      <c r="AO323" s="68"/>
      <c r="AP323" s="68"/>
      <c r="AQ323" s="40"/>
      <c r="AR323" s="40"/>
      <c r="AS323" s="23"/>
    </row>
    <row r="324" spans="1:45" ht="15.75" x14ac:dyDescent="0.25">
      <c r="A324" s="44"/>
      <c r="B324" s="23"/>
      <c r="C324" s="23"/>
      <c r="D324" s="23"/>
      <c r="E324" s="68"/>
      <c r="F324" s="68"/>
      <c r="G324" s="110"/>
      <c r="H324" s="110"/>
      <c r="I324" s="68"/>
      <c r="J324" s="68"/>
      <c r="K324" s="110"/>
      <c r="L324" s="110"/>
      <c r="M324" s="68"/>
      <c r="N324" s="68"/>
      <c r="O324" s="110"/>
      <c r="P324" s="110"/>
      <c r="Q324" s="68"/>
      <c r="R324" s="68"/>
      <c r="S324" s="110"/>
      <c r="T324" s="110"/>
      <c r="U324" s="68"/>
      <c r="V324" s="68"/>
      <c r="W324" s="110"/>
      <c r="X324" s="110"/>
      <c r="Y324" s="110"/>
      <c r="Z324" s="110"/>
      <c r="AA324" s="110"/>
      <c r="AB324" s="110"/>
      <c r="AC324" s="114"/>
      <c r="AD324" s="68"/>
      <c r="AE324" s="110"/>
      <c r="AF324" s="110"/>
      <c r="AG324" s="68"/>
      <c r="AH324" s="68"/>
      <c r="AI324" s="110"/>
      <c r="AJ324" s="110"/>
      <c r="AK324" s="68"/>
      <c r="AL324" s="68"/>
      <c r="AM324" s="110"/>
      <c r="AN324" s="110"/>
      <c r="AO324" s="68"/>
      <c r="AP324" s="68"/>
      <c r="AQ324" s="40"/>
      <c r="AR324" s="40"/>
      <c r="AS324" s="23"/>
    </row>
    <row r="325" spans="1:45" ht="15.75" x14ac:dyDescent="0.25">
      <c r="A325" s="44"/>
      <c r="B325" s="23"/>
      <c r="C325" s="23"/>
      <c r="D325" s="23"/>
      <c r="E325" s="68"/>
      <c r="F325" s="68"/>
      <c r="G325" s="110"/>
      <c r="H325" s="110"/>
      <c r="I325" s="68"/>
      <c r="J325" s="68"/>
      <c r="K325" s="110"/>
      <c r="L325" s="110"/>
      <c r="M325" s="68"/>
      <c r="N325" s="68"/>
      <c r="O325" s="110"/>
      <c r="P325" s="110"/>
      <c r="Q325" s="68"/>
      <c r="R325" s="68"/>
      <c r="S325" s="110"/>
      <c r="T325" s="110"/>
      <c r="U325" s="68"/>
      <c r="V325" s="68"/>
      <c r="W325" s="110"/>
      <c r="X325" s="110"/>
      <c r="Y325" s="110"/>
      <c r="Z325" s="110"/>
      <c r="AA325" s="110"/>
      <c r="AB325" s="110"/>
      <c r="AC325" s="114"/>
      <c r="AD325" s="68"/>
      <c r="AE325" s="110"/>
      <c r="AF325" s="110"/>
      <c r="AG325" s="68"/>
      <c r="AH325" s="68"/>
      <c r="AI325" s="110"/>
      <c r="AJ325" s="110"/>
      <c r="AK325" s="68"/>
      <c r="AL325" s="68"/>
      <c r="AM325" s="110"/>
      <c r="AN325" s="110"/>
      <c r="AO325" s="68"/>
      <c r="AP325" s="68"/>
      <c r="AQ325" s="40"/>
      <c r="AR325" s="40"/>
      <c r="AS325" s="23"/>
    </row>
    <row r="326" spans="1:45" ht="15.75" x14ac:dyDescent="0.25">
      <c r="A326" s="44"/>
      <c r="B326" s="23"/>
      <c r="C326" s="23"/>
      <c r="D326" s="23"/>
      <c r="E326" s="68"/>
      <c r="F326" s="68"/>
      <c r="G326" s="110"/>
      <c r="H326" s="110"/>
      <c r="I326" s="68"/>
      <c r="J326" s="68"/>
      <c r="K326" s="110"/>
      <c r="L326" s="110"/>
      <c r="M326" s="68"/>
      <c r="N326" s="68"/>
      <c r="O326" s="110"/>
      <c r="P326" s="110"/>
      <c r="Q326" s="68"/>
      <c r="R326" s="68"/>
      <c r="S326" s="110"/>
      <c r="T326" s="110"/>
      <c r="U326" s="68"/>
      <c r="V326" s="68"/>
      <c r="W326" s="110"/>
      <c r="X326" s="110"/>
      <c r="Y326" s="110"/>
      <c r="Z326" s="110"/>
      <c r="AA326" s="110"/>
      <c r="AB326" s="110"/>
      <c r="AC326" s="114"/>
      <c r="AD326" s="68"/>
      <c r="AE326" s="110"/>
      <c r="AF326" s="110"/>
      <c r="AG326" s="68"/>
      <c r="AH326" s="68"/>
      <c r="AI326" s="110"/>
      <c r="AJ326" s="110"/>
      <c r="AK326" s="68"/>
      <c r="AL326" s="68"/>
      <c r="AM326" s="110"/>
      <c r="AN326" s="110"/>
      <c r="AO326" s="68"/>
      <c r="AP326" s="68"/>
      <c r="AQ326" s="40"/>
      <c r="AR326" s="40"/>
      <c r="AS326" s="23"/>
    </row>
    <row r="327" spans="1:45" ht="15.75" x14ac:dyDescent="0.25">
      <c r="A327" s="44"/>
      <c r="B327" s="23"/>
      <c r="C327" s="23"/>
      <c r="D327" s="23"/>
      <c r="E327" s="68"/>
      <c r="F327" s="68"/>
      <c r="G327" s="110"/>
      <c r="H327" s="110"/>
      <c r="I327" s="68"/>
      <c r="J327" s="68"/>
      <c r="K327" s="110"/>
      <c r="L327" s="110"/>
      <c r="M327" s="68"/>
      <c r="N327" s="68"/>
      <c r="O327" s="110"/>
      <c r="P327" s="110"/>
      <c r="Q327" s="68"/>
      <c r="R327" s="68"/>
      <c r="S327" s="110"/>
      <c r="T327" s="110"/>
      <c r="U327" s="68"/>
      <c r="V327" s="68"/>
      <c r="W327" s="110"/>
      <c r="X327" s="110"/>
      <c r="Y327" s="110"/>
      <c r="Z327" s="110"/>
      <c r="AA327" s="110"/>
      <c r="AB327" s="110"/>
      <c r="AC327" s="114"/>
      <c r="AD327" s="68"/>
      <c r="AE327" s="110"/>
      <c r="AF327" s="110"/>
      <c r="AG327" s="68"/>
      <c r="AH327" s="68"/>
      <c r="AI327" s="110"/>
      <c r="AJ327" s="110"/>
      <c r="AK327" s="68"/>
      <c r="AL327" s="68"/>
      <c r="AM327" s="110"/>
      <c r="AN327" s="110"/>
      <c r="AO327" s="68"/>
      <c r="AP327" s="68"/>
      <c r="AQ327" s="40"/>
      <c r="AR327" s="40"/>
      <c r="AS327" s="23"/>
    </row>
    <row r="328" spans="1:45" ht="15.75" x14ac:dyDescent="0.25">
      <c r="A328" s="44"/>
      <c r="B328" s="23"/>
      <c r="C328" s="23"/>
      <c r="D328" s="23"/>
      <c r="E328" s="68"/>
      <c r="F328" s="68"/>
      <c r="G328" s="110"/>
      <c r="H328" s="110"/>
      <c r="I328" s="68"/>
      <c r="J328" s="68"/>
      <c r="K328" s="110"/>
      <c r="L328" s="110"/>
      <c r="M328" s="68"/>
      <c r="N328" s="68"/>
      <c r="O328" s="110"/>
      <c r="P328" s="110"/>
      <c r="Q328" s="68"/>
      <c r="R328" s="68"/>
      <c r="S328" s="110"/>
      <c r="T328" s="110"/>
      <c r="U328" s="68"/>
      <c r="V328" s="68"/>
      <c r="W328" s="110"/>
      <c r="X328" s="110"/>
      <c r="Y328" s="110"/>
      <c r="Z328" s="110"/>
      <c r="AA328" s="110"/>
      <c r="AB328" s="110"/>
      <c r="AC328" s="114"/>
      <c r="AD328" s="68"/>
      <c r="AE328" s="110"/>
      <c r="AF328" s="110"/>
      <c r="AG328" s="68"/>
      <c r="AH328" s="68"/>
      <c r="AI328" s="110"/>
      <c r="AJ328" s="110"/>
      <c r="AK328" s="68"/>
      <c r="AL328" s="68"/>
      <c r="AM328" s="110"/>
      <c r="AN328" s="110"/>
      <c r="AO328" s="68"/>
      <c r="AP328" s="68"/>
      <c r="AQ328" s="40"/>
      <c r="AR328" s="40"/>
      <c r="AS328" s="23"/>
    </row>
    <row r="329" spans="1:45" ht="15.75" x14ac:dyDescent="0.25">
      <c r="A329" s="44"/>
      <c r="B329" s="23"/>
      <c r="C329" s="23"/>
      <c r="D329" s="23"/>
      <c r="E329" s="68"/>
      <c r="F329" s="68"/>
      <c r="G329" s="110"/>
      <c r="H329" s="110"/>
      <c r="I329" s="68"/>
      <c r="J329" s="68"/>
      <c r="K329" s="110"/>
      <c r="L329" s="110"/>
      <c r="M329" s="68"/>
      <c r="N329" s="68"/>
      <c r="O329" s="110"/>
      <c r="P329" s="110"/>
      <c r="Q329" s="68"/>
      <c r="R329" s="68"/>
      <c r="S329" s="110"/>
      <c r="T329" s="110"/>
      <c r="U329" s="68"/>
      <c r="V329" s="68"/>
      <c r="W329" s="110"/>
      <c r="X329" s="110"/>
      <c r="Y329" s="110"/>
      <c r="Z329" s="110"/>
      <c r="AA329" s="110"/>
      <c r="AB329" s="110"/>
      <c r="AC329" s="114"/>
      <c r="AD329" s="68"/>
      <c r="AE329" s="110"/>
      <c r="AF329" s="110"/>
      <c r="AG329" s="68"/>
      <c r="AH329" s="68"/>
      <c r="AI329" s="110"/>
      <c r="AJ329" s="110"/>
      <c r="AK329" s="68"/>
      <c r="AL329" s="68"/>
      <c r="AM329" s="110"/>
      <c r="AN329" s="110"/>
      <c r="AO329" s="68"/>
      <c r="AP329" s="68"/>
      <c r="AQ329" s="40"/>
      <c r="AR329" s="40"/>
      <c r="AS329" s="23"/>
    </row>
    <row r="330" spans="1:45" ht="15.75" x14ac:dyDescent="0.25">
      <c r="A330" s="44"/>
      <c r="B330" s="23"/>
      <c r="C330" s="23"/>
      <c r="D330" s="23"/>
      <c r="E330" s="68"/>
      <c r="F330" s="68"/>
      <c r="G330" s="110"/>
      <c r="H330" s="110"/>
      <c r="I330" s="68"/>
      <c r="J330" s="68"/>
      <c r="K330" s="110"/>
      <c r="L330" s="110"/>
      <c r="M330" s="68"/>
      <c r="N330" s="68"/>
      <c r="O330" s="110"/>
      <c r="P330" s="110"/>
      <c r="Q330" s="68"/>
      <c r="R330" s="68"/>
      <c r="S330" s="110"/>
      <c r="T330" s="110"/>
      <c r="U330" s="68"/>
      <c r="V330" s="68"/>
      <c r="W330" s="110"/>
      <c r="X330" s="110"/>
      <c r="Y330" s="110"/>
      <c r="Z330" s="110"/>
      <c r="AA330" s="110"/>
      <c r="AB330" s="110"/>
      <c r="AC330" s="114"/>
      <c r="AD330" s="68"/>
      <c r="AE330" s="110"/>
      <c r="AF330" s="110"/>
      <c r="AG330" s="68"/>
      <c r="AH330" s="68"/>
      <c r="AI330" s="110"/>
      <c r="AJ330" s="110"/>
      <c r="AK330" s="68"/>
      <c r="AL330" s="68"/>
      <c r="AM330" s="110"/>
      <c r="AN330" s="110"/>
      <c r="AO330" s="68"/>
      <c r="AP330" s="68"/>
      <c r="AQ330" s="40"/>
      <c r="AR330" s="40"/>
      <c r="AS330" s="23"/>
    </row>
    <row r="331" spans="1:45" ht="15.75" x14ac:dyDescent="0.25">
      <c r="A331" s="44"/>
      <c r="B331" s="23"/>
      <c r="C331" s="23"/>
      <c r="D331" s="23"/>
      <c r="E331" s="68"/>
      <c r="F331" s="68"/>
      <c r="G331" s="110"/>
      <c r="H331" s="110"/>
      <c r="I331" s="68"/>
      <c r="J331" s="68"/>
      <c r="K331" s="110"/>
      <c r="L331" s="110"/>
      <c r="M331" s="68"/>
      <c r="N331" s="68"/>
      <c r="O331" s="110"/>
      <c r="P331" s="110"/>
      <c r="Q331" s="68"/>
      <c r="R331" s="68"/>
      <c r="S331" s="110"/>
      <c r="T331" s="110"/>
      <c r="U331" s="68"/>
      <c r="V331" s="68"/>
      <c r="W331" s="110"/>
      <c r="X331" s="110"/>
      <c r="Y331" s="110"/>
      <c r="Z331" s="110"/>
      <c r="AA331" s="110"/>
      <c r="AB331" s="110"/>
      <c r="AC331" s="114"/>
      <c r="AD331" s="68"/>
      <c r="AE331" s="110"/>
      <c r="AF331" s="110"/>
      <c r="AG331" s="68"/>
      <c r="AH331" s="68"/>
      <c r="AI331" s="110"/>
      <c r="AJ331" s="110"/>
      <c r="AK331" s="68"/>
      <c r="AL331" s="68"/>
      <c r="AM331" s="110"/>
      <c r="AN331" s="110"/>
      <c r="AO331" s="68"/>
      <c r="AP331" s="68"/>
      <c r="AQ331" s="40"/>
      <c r="AR331" s="40"/>
      <c r="AS331" s="23"/>
    </row>
    <row r="332" spans="1:45" ht="15.75" x14ac:dyDescent="0.25">
      <c r="A332" s="44"/>
      <c r="B332" s="23"/>
      <c r="C332" s="23"/>
      <c r="D332" s="23"/>
      <c r="E332" s="68"/>
      <c r="F332" s="68"/>
      <c r="G332" s="110"/>
      <c r="H332" s="110"/>
      <c r="I332" s="68"/>
      <c r="J332" s="68"/>
      <c r="K332" s="110"/>
      <c r="L332" s="110"/>
      <c r="M332" s="68"/>
      <c r="N332" s="68"/>
      <c r="O332" s="110"/>
      <c r="P332" s="110"/>
      <c r="Q332" s="68"/>
      <c r="R332" s="68"/>
      <c r="S332" s="110"/>
      <c r="T332" s="110"/>
      <c r="U332" s="68"/>
      <c r="V332" s="68"/>
      <c r="W332" s="110"/>
      <c r="X332" s="110"/>
      <c r="Y332" s="110"/>
      <c r="Z332" s="110"/>
      <c r="AA332" s="110"/>
      <c r="AB332" s="110"/>
      <c r="AC332" s="114"/>
      <c r="AD332" s="68"/>
      <c r="AE332" s="110"/>
      <c r="AF332" s="110"/>
      <c r="AG332" s="68"/>
      <c r="AH332" s="68"/>
      <c r="AI332" s="110"/>
      <c r="AJ332" s="110"/>
      <c r="AK332" s="68"/>
      <c r="AL332" s="68"/>
      <c r="AM332" s="110"/>
      <c r="AN332" s="110"/>
      <c r="AO332" s="68"/>
      <c r="AP332" s="68"/>
      <c r="AQ332" s="40"/>
      <c r="AR332" s="40"/>
      <c r="AS332" s="23"/>
    </row>
    <row r="333" spans="1:45" ht="15.75" x14ac:dyDescent="0.25">
      <c r="A333" s="44"/>
      <c r="B333" s="23"/>
      <c r="C333" s="23"/>
      <c r="D333" s="23"/>
      <c r="E333" s="68"/>
      <c r="F333" s="68"/>
      <c r="G333" s="110"/>
      <c r="H333" s="110"/>
      <c r="I333" s="68"/>
      <c r="J333" s="68"/>
      <c r="K333" s="110"/>
      <c r="L333" s="110"/>
      <c r="M333" s="68"/>
      <c r="N333" s="68"/>
      <c r="O333" s="110"/>
      <c r="P333" s="110"/>
      <c r="Q333" s="68"/>
      <c r="R333" s="68"/>
      <c r="S333" s="110"/>
      <c r="T333" s="110"/>
      <c r="U333" s="68"/>
      <c r="V333" s="68"/>
      <c r="W333" s="110"/>
      <c r="X333" s="110"/>
      <c r="Y333" s="110"/>
      <c r="Z333" s="110"/>
      <c r="AA333" s="110"/>
      <c r="AB333" s="110"/>
      <c r="AC333" s="114"/>
      <c r="AD333" s="68"/>
      <c r="AE333" s="110"/>
      <c r="AF333" s="110"/>
      <c r="AG333" s="68"/>
      <c r="AH333" s="68"/>
      <c r="AI333" s="110"/>
      <c r="AJ333" s="110"/>
      <c r="AK333" s="68"/>
      <c r="AL333" s="68"/>
      <c r="AM333" s="110"/>
      <c r="AN333" s="110"/>
      <c r="AO333" s="68"/>
      <c r="AP333" s="68"/>
      <c r="AQ333" s="40"/>
      <c r="AR333" s="40"/>
      <c r="AS333" s="23"/>
    </row>
    <row r="334" spans="1:45" ht="15.75" x14ac:dyDescent="0.25">
      <c r="A334" s="44"/>
      <c r="B334" s="23"/>
      <c r="C334" s="23"/>
      <c r="D334" s="23"/>
      <c r="E334" s="68"/>
      <c r="F334" s="68"/>
      <c r="G334" s="110"/>
      <c r="H334" s="110"/>
      <c r="I334" s="68"/>
      <c r="J334" s="68"/>
      <c r="K334" s="110"/>
      <c r="L334" s="110"/>
      <c r="M334" s="68"/>
      <c r="N334" s="68"/>
      <c r="O334" s="110"/>
      <c r="P334" s="110"/>
      <c r="Q334" s="68"/>
      <c r="R334" s="68"/>
      <c r="S334" s="110"/>
      <c r="T334" s="110"/>
      <c r="U334" s="68"/>
      <c r="V334" s="68"/>
      <c r="W334" s="110"/>
      <c r="X334" s="110"/>
      <c r="Y334" s="110"/>
      <c r="Z334" s="110"/>
      <c r="AA334" s="110"/>
      <c r="AB334" s="110"/>
      <c r="AC334" s="114"/>
      <c r="AD334" s="68"/>
      <c r="AE334" s="110"/>
      <c r="AF334" s="110"/>
      <c r="AG334" s="68"/>
      <c r="AH334" s="68"/>
      <c r="AI334" s="110"/>
      <c r="AJ334" s="110"/>
      <c r="AK334" s="68"/>
      <c r="AL334" s="68"/>
      <c r="AM334" s="110"/>
      <c r="AN334" s="110"/>
      <c r="AO334" s="68"/>
      <c r="AP334" s="68"/>
      <c r="AQ334" s="40"/>
      <c r="AR334" s="40"/>
      <c r="AS334" s="23"/>
    </row>
    <row r="335" spans="1:45" ht="15.75" x14ac:dyDescent="0.25">
      <c r="A335" s="44"/>
      <c r="B335" s="23"/>
      <c r="C335" s="23"/>
      <c r="D335" s="23"/>
      <c r="E335" s="68"/>
      <c r="F335" s="68"/>
      <c r="G335" s="110"/>
      <c r="H335" s="110"/>
      <c r="I335" s="68"/>
      <c r="J335" s="68"/>
      <c r="K335" s="110"/>
      <c r="L335" s="110"/>
      <c r="M335" s="68"/>
      <c r="N335" s="68"/>
      <c r="O335" s="110"/>
      <c r="P335" s="110"/>
      <c r="Q335" s="68"/>
      <c r="R335" s="68"/>
      <c r="S335" s="110"/>
      <c r="T335" s="110"/>
      <c r="U335" s="68"/>
      <c r="V335" s="68"/>
      <c r="W335" s="110"/>
      <c r="X335" s="110"/>
      <c r="Y335" s="110"/>
      <c r="Z335" s="110"/>
      <c r="AA335" s="110"/>
      <c r="AB335" s="110"/>
      <c r="AC335" s="114"/>
      <c r="AD335" s="68"/>
      <c r="AE335" s="110"/>
      <c r="AF335" s="110"/>
      <c r="AG335" s="68"/>
      <c r="AH335" s="68"/>
      <c r="AI335" s="110"/>
      <c r="AJ335" s="110"/>
      <c r="AK335" s="68"/>
      <c r="AL335" s="68"/>
      <c r="AM335" s="110"/>
      <c r="AN335" s="110"/>
      <c r="AO335" s="68"/>
      <c r="AP335" s="68"/>
      <c r="AQ335" s="40"/>
      <c r="AR335" s="40"/>
      <c r="AS335" s="23"/>
    </row>
    <row r="336" spans="1:45" ht="15.75" x14ac:dyDescent="0.25">
      <c r="A336" s="44"/>
      <c r="B336" s="23"/>
      <c r="C336" s="23"/>
      <c r="D336" s="23"/>
      <c r="E336" s="68"/>
      <c r="F336" s="68"/>
      <c r="G336" s="110"/>
      <c r="H336" s="110"/>
      <c r="I336" s="68"/>
      <c r="J336" s="68"/>
      <c r="K336" s="110"/>
      <c r="L336" s="110"/>
      <c r="M336" s="68"/>
      <c r="N336" s="68"/>
      <c r="O336" s="110"/>
      <c r="P336" s="110"/>
      <c r="Q336" s="68"/>
      <c r="R336" s="68"/>
      <c r="S336" s="110"/>
      <c r="T336" s="110"/>
      <c r="U336" s="68"/>
      <c r="V336" s="68"/>
      <c r="W336" s="110"/>
      <c r="X336" s="110"/>
      <c r="Y336" s="110"/>
      <c r="Z336" s="110"/>
      <c r="AA336" s="110"/>
      <c r="AB336" s="110"/>
      <c r="AC336" s="114"/>
      <c r="AD336" s="68"/>
      <c r="AE336" s="110"/>
      <c r="AF336" s="110"/>
      <c r="AG336" s="68"/>
      <c r="AH336" s="68"/>
      <c r="AI336" s="110"/>
      <c r="AJ336" s="110"/>
      <c r="AK336" s="68"/>
      <c r="AL336" s="68"/>
      <c r="AM336" s="110"/>
      <c r="AN336" s="110"/>
      <c r="AO336" s="68"/>
      <c r="AP336" s="68"/>
      <c r="AQ336" s="40"/>
      <c r="AR336" s="40"/>
      <c r="AS336" s="23"/>
    </row>
    <row r="337" spans="1:45" ht="15.75" x14ac:dyDescent="0.25">
      <c r="A337" s="44"/>
      <c r="B337" s="23"/>
      <c r="C337" s="23"/>
      <c r="D337" s="23"/>
      <c r="E337" s="68"/>
      <c r="F337" s="68"/>
      <c r="G337" s="110"/>
      <c r="H337" s="110"/>
      <c r="I337" s="68"/>
      <c r="J337" s="68"/>
      <c r="K337" s="110"/>
      <c r="L337" s="110"/>
      <c r="M337" s="68"/>
      <c r="N337" s="68"/>
      <c r="O337" s="110"/>
      <c r="P337" s="110"/>
      <c r="Q337" s="68"/>
      <c r="R337" s="68"/>
      <c r="S337" s="110"/>
      <c r="T337" s="110"/>
      <c r="U337" s="68"/>
      <c r="V337" s="68"/>
      <c r="W337" s="110"/>
      <c r="X337" s="110"/>
      <c r="Y337" s="110"/>
      <c r="Z337" s="110"/>
      <c r="AA337" s="110"/>
      <c r="AB337" s="110"/>
      <c r="AC337" s="114"/>
      <c r="AD337" s="68"/>
      <c r="AE337" s="110"/>
      <c r="AF337" s="110"/>
      <c r="AG337" s="68"/>
      <c r="AH337" s="68"/>
      <c r="AI337" s="110"/>
      <c r="AJ337" s="110"/>
      <c r="AK337" s="68"/>
      <c r="AL337" s="68"/>
      <c r="AM337" s="110"/>
      <c r="AN337" s="110"/>
      <c r="AO337" s="68"/>
      <c r="AP337" s="68"/>
      <c r="AQ337" s="40"/>
      <c r="AR337" s="40"/>
      <c r="AS337" s="23"/>
    </row>
    <row r="338" spans="1:45" ht="15.75" x14ac:dyDescent="0.25">
      <c r="A338" s="44"/>
      <c r="B338" s="23"/>
      <c r="C338" s="23"/>
      <c r="D338" s="23"/>
      <c r="E338" s="68"/>
      <c r="F338" s="68"/>
      <c r="G338" s="110"/>
      <c r="H338" s="110"/>
      <c r="I338" s="68"/>
      <c r="J338" s="68"/>
      <c r="K338" s="110"/>
      <c r="L338" s="110"/>
      <c r="M338" s="68"/>
      <c r="N338" s="68"/>
      <c r="O338" s="110"/>
      <c r="P338" s="110"/>
      <c r="Q338" s="68"/>
      <c r="R338" s="68"/>
      <c r="S338" s="110"/>
      <c r="T338" s="110"/>
      <c r="U338" s="68"/>
      <c r="V338" s="68"/>
      <c r="W338" s="110"/>
      <c r="X338" s="110"/>
      <c r="Y338" s="110"/>
      <c r="Z338" s="110"/>
      <c r="AA338" s="110"/>
      <c r="AB338" s="110"/>
      <c r="AC338" s="114"/>
      <c r="AD338" s="68"/>
      <c r="AE338" s="110"/>
      <c r="AF338" s="110"/>
      <c r="AG338" s="68"/>
      <c r="AH338" s="68"/>
      <c r="AI338" s="110"/>
      <c r="AJ338" s="110"/>
      <c r="AK338" s="68"/>
      <c r="AL338" s="68"/>
      <c r="AM338" s="110"/>
      <c r="AN338" s="110"/>
      <c r="AO338" s="68"/>
      <c r="AP338" s="68"/>
      <c r="AQ338" s="40"/>
      <c r="AR338" s="40"/>
      <c r="AS338" s="23"/>
    </row>
    <row r="339" spans="1:45" ht="15.75" x14ac:dyDescent="0.25">
      <c r="A339" s="44"/>
      <c r="B339" s="23"/>
      <c r="C339" s="23"/>
      <c r="D339" s="23"/>
      <c r="E339" s="68"/>
      <c r="F339" s="68"/>
      <c r="G339" s="110"/>
      <c r="H339" s="110"/>
      <c r="I339" s="68"/>
      <c r="J339" s="68"/>
      <c r="K339" s="110"/>
      <c r="L339" s="110"/>
      <c r="M339" s="68"/>
      <c r="N339" s="68"/>
      <c r="O339" s="110"/>
      <c r="P339" s="110"/>
      <c r="Q339" s="68"/>
      <c r="R339" s="68"/>
      <c r="S339" s="110"/>
      <c r="T339" s="110"/>
      <c r="U339" s="68"/>
      <c r="V339" s="68"/>
      <c r="W339" s="110"/>
      <c r="X339" s="110"/>
      <c r="Y339" s="110"/>
      <c r="Z339" s="110"/>
      <c r="AA339" s="110"/>
      <c r="AB339" s="110"/>
      <c r="AC339" s="114"/>
      <c r="AD339" s="68"/>
      <c r="AE339" s="110"/>
      <c r="AF339" s="110"/>
      <c r="AG339" s="68"/>
      <c r="AH339" s="68"/>
      <c r="AI339" s="110"/>
      <c r="AJ339" s="110"/>
      <c r="AK339" s="68"/>
      <c r="AL339" s="68"/>
      <c r="AM339" s="110"/>
      <c r="AN339" s="110"/>
      <c r="AO339" s="68"/>
      <c r="AP339" s="68"/>
      <c r="AQ339" s="40"/>
      <c r="AR339" s="40"/>
      <c r="AS339" s="23"/>
    </row>
    <row r="340" spans="1:45" ht="15.75" x14ac:dyDescent="0.25">
      <c r="A340" s="44"/>
      <c r="B340" s="23"/>
      <c r="C340" s="23"/>
      <c r="D340" s="23"/>
      <c r="E340" s="68"/>
      <c r="F340" s="68"/>
      <c r="G340" s="110"/>
      <c r="H340" s="110"/>
      <c r="I340" s="68"/>
      <c r="J340" s="68"/>
      <c r="K340" s="110"/>
      <c r="L340" s="110"/>
      <c r="M340" s="68"/>
      <c r="N340" s="68"/>
      <c r="O340" s="110"/>
      <c r="P340" s="110"/>
      <c r="Q340" s="68"/>
      <c r="R340" s="68"/>
      <c r="S340" s="110"/>
      <c r="T340" s="110"/>
      <c r="U340" s="68"/>
      <c r="V340" s="68"/>
      <c r="W340" s="110"/>
      <c r="X340" s="110"/>
      <c r="Y340" s="110"/>
      <c r="Z340" s="110"/>
      <c r="AA340" s="110"/>
      <c r="AB340" s="110"/>
      <c r="AC340" s="114"/>
      <c r="AD340" s="68"/>
      <c r="AE340" s="110"/>
      <c r="AF340" s="110"/>
      <c r="AG340" s="68"/>
      <c r="AH340" s="68"/>
      <c r="AI340" s="110"/>
      <c r="AJ340" s="110"/>
      <c r="AK340" s="68"/>
      <c r="AL340" s="68"/>
      <c r="AM340" s="110"/>
      <c r="AN340" s="110"/>
      <c r="AO340" s="68"/>
      <c r="AP340" s="68"/>
      <c r="AQ340" s="40"/>
      <c r="AR340" s="40"/>
      <c r="AS340" s="23"/>
    </row>
    <row r="341" spans="1:45" ht="15.75" x14ac:dyDescent="0.25">
      <c r="A341" s="44"/>
      <c r="B341" s="23"/>
      <c r="C341" s="23"/>
      <c r="D341" s="23"/>
      <c r="E341" s="68"/>
      <c r="F341" s="68"/>
      <c r="G341" s="110"/>
      <c r="H341" s="110"/>
      <c r="I341" s="68"/>
      <c r="J341" s="68"/>
      <c r="K341" s="110"/>
      <c r="L341" s="110"/>
      <c r="M341" s="68"/>
      <c r="N341" s="68"/>
      <c r="O341" s="110"/>
      <c r="P341" s="110"/>
      <c r="Q341" s="68"/>
      <c r="R341" s="68"/>
      <c r="S341" s="110"/>
      <c r="T341" s="110"/>
      <c r="U341" s="68"/>
      <c r="V341" s="68"/>
      <c r="W341" s="110"/>
      <c r="X341" s="110"/>
      <c r="Y341" s="110"/>
      <c r="Z341" s="110"/>
      <c r="AA341" s="110"/>
      <c r="AB341" s="110"/>
      <c r="AC341" s="114"/>
      <c r="AD341" s="68"/>
      <c r="AE341" s="110"/>
      <c r="AF341" s="110"/>
      <c r="AG341" s="68"/>
      <c r="AH341" s="68"/>
      <c r="AI341" s="110"/>
      <c r="AJ341" s="110"/>
      <c r="AK341" s="68"/>
      <c r="AL341" s="68"/>
      <c r="AM341" s="110"/>
      <c r="AN341" s="110"/>
      <c r="AO341" s="68"/>
      <c r="AP341" s="68"/>
      <c r="AQ341" s="40"/>
      <c r="AR341" s="40"/>
      <c r="AS341" s="23"/>
    </row>
    <row r="342" spans="1:45" ht="15.75" x14ac:dyDescent="0.25">
      <c r="A342" s="44"/>
      <c r="B342" s="23"/>
      <c r="C342" s="23"/>
      <c r="D342" s="23"/>
      <c r="E342" s="68"/>
      <c r="F342" s="68"/>
      <c r="G342" s="110"/>
      <c r="H342" s="110"/>
      <c r="I342" s="68"/>
      <c r="J342" s="68"/>
      <c r="K342" s="110"/>
      <c r="L342" s="110"/>
      <c r="M342" s="68"/>
      <c r="N342" s="68"/>
      <c r="O342" s="110"/>
      <c r="P342" s="110"/>
      <c r="Q342" s="68"/>
      <c r="R342" s="68"/>
      <c r="S342" s="110"/>
      <c r="T342" s="110"/>
      <c r="U342" s="68"/>
      <c r="V342" s="68"/>
      <c r="W342" s="110"/>
      <c r="X342" s="110"/>
      <c r="Y342" s="110"/>
      <c r="Z342" s="110"/>
      <c r="AA342" s="110"/>
      <c r="AB342" s="110"/>
      <c r="AC342" s="114"/>
      <c r="AD342" s="68"/>
      <c r="AE342" s="110"/>
      <c r="AF342" s="110"/>
      <c r="AG342" s="68"/>
      <c r="AH342" s="68"/>
      <c r="AI342" s="110"/>
      <c r="AJ342" s="110"/>
      <c r="AK342" s="68"/>
      <c r="AL342" s="68"/>
      <c r="AM342" s="110"/>
      <c r="AN342" s="110"/>
      <c r="AO342" s="68"/>
      <c r="AP342" s="68"/>
      <c r="AQ342" s="40"/>
      <c r="AR342" s="40"/>
      <c r="AS342" s="23"/>
    </row>
    <row r="343" spans="1:45" ht="15.75" x14ac:dyDescent="0.25">
      <c r="A343" s="44"/>
      <c r="B343" s="23"/>
      <c r="C343" s="23"/>
      <c r="D343" s="23"/>
      <c r="E343" s="68"/>
      <c r="F343" s="68"/>
      <c r="G343" s="110"/>
      <c r="H343" s="110"/>
      <c r="I343" s="68"/>
      <c r="J343" s="68"/>
      <c r="K343" s="110"/>
      <c r="L343" s="110"/>
      <c r="M343" s="68"/>
      <c r="N343" s="68"/>
      <c r="O343" s="110"/>
      <c r="P343" s="110"/>
      <c r="Q343" s="68"/>
      <c r="R343" s="68"/>
      <c r="S343" s="110"/>
      <c r="T343" s="110"/>
      <c r="U343" s="68"/>
      <c r="V343" s="68"/>
      <c r="W343" s="110"/>
      <c r="X343" s="110"/>
      <c r="Y343" s="110"/>
      <c r="Z343" s="110"/>
      <c r="AA343" s="110"/>
      <c r="AB343" s="110"/>
      <c r="AC343" s="114"/>
      <c r="AD343" s="68"/>
      <c r="AE343" s="110"/>
      <c r="AF343" s="110"/>
      <c r="AG343" s="68"/>
      <c r="AH343" s="68"/>
      <c r="AI343" s="110"/>
      <c r="AJ343" s="110"/>
      <c r="AK343" s="68"/>
      <c r="AL343" s="68"/>
      <c r="AM343" s="110"/>
      <c r="AN343" s="110"/>
      <c r="AO343" s="68"/>
      <c r="AP343" s="68"/>
      <c r="AQ343" s="40"/>
      <c r="AR343" s="40"/>
      <c r="AS343" s="23"/>
    </row>
    <row r="344" spans="1:45" ht="15.75" x14ac:dyDescent="0.25">
      <c r="A344" s="44"/>
      <c r="B344" s="23"/>
      <c r="C344" s="23"/>
      <c r="D344" s="23"/>
      <c r="E344" s="68"/>
      <c r="F344" s="68"/>
      <c r="G344" s="110"/>
      <c r="H344" s="110"/>
      <c r="I344" s="68"/>
      <c r="J344" s="68"/>
      <c r="K344" s="110"/>
      <c r="L344" s="110"/>
      <c r="M344" s="68"/>
      <c r="N344" s="68"/>
      <c r="O344" s="110"/>
      <c r="P344" s="110"/>
      <c r="Q344" s="68"/>
      <c r="R344" s="68"/>
      <c r="S344" s="110"/>
      <c r="T344" s="110"/>
      <c r="U344" s="68"/>
      <c r="V344" s="68"/>
      <c r="W344" s="110"/>
      <c r="X344" s="110"/>
      <c r="Y344" s="110"/>
      <c r="Z344" s="110"/>
      <c r="AA344" s="110"/>
      <c r="AB344" s="110"/>
      <c r="AC344" s="114"/>
      <c r="AD344" s="68"/>
      <c r="AE344" s="110"/>
      <c r="AF344" s="110"/>
      <c r="AG344" s="68"/>
      <c r="AH344" s="68"/>
      <c r="AI344" s="110"/>
      <c r="AJ344" s="110"/>
      <c r="AK344" s="68"/>
      <c r="AL344" s="68"/>
      <c r="AM344" s="110"/>
      <c r="AN344" s="110"/>
      <c r="AO344" s="68"/>
      <c r="AP344" s="68"/>
      <c r="AQ344" s="40"/>
      <c r="AR344" s="40"/>
      <c r="AS344" s="23"/>
    </row>
    <row r="345" spans="1:45" ht="15.75" x14ac:dyDescent="0.25">
      <c r="A345" s="44"/>
      <c r="B345" s="23"/>
      <c r="C345" s="23"/>
      <c r="D345" s="23"/>
      <c r="E345" s="68"/>
      <c r="F345" s="68"/>
      <c r="G345" s="110"/>
      <c r="H345" s="110"/>
      <c r="I345" s="68"/>
      <c r="J345" s="68"/>
      <c r="K345" s="110"/>
      <c r="L345" s="110"/>
      <c r="M345" s="68"/>
      <c r="N345" s="68"/>
      <c r="O345" s="110"/>
      <c r="P345" s="110"/>
      <c r="Q345" s="68"/>
      <c r="R345" s="68"/>
      <c r="S345" s="110"/>
      <c r="T345" s="110"/>
      <c r="U345" s="68"/>
      <c r="V345" s="68"/>
      <c r="W345" s="110"/>
      <c r="X345" s="110"/>
      <c r="Y345" s="110"/>
      <c r="Z345" s="110"/>
      <c r="AA345" s="110"/>
      <c r="AB345" s="110"/>
      <c r="AC345" s="114"/>
      <c r="AD345" s="68"/>
      <c r="AE345" s="110"/>
      <c r="AF345" s="110"/>
      <c r="AG345" s="68"/>
      <c r="AH345" s="68"/>
      <c r="AI345" s="110"/>
      <c r="AJ345" s="110"/>
      <c r="AK345" s="68"/>
      <c r="AL345" s="68"/>
      <c r="AM345" s="110"/>
      <c r="AN345" s="110"/>
      <c r="AO345" s="68"/>
      <c r="AP345" s="68"/>
      <c r="AQ345" s="40"/>
      <c r="AR345" s="40"/>
      <c r="AS345" s="23"/>
    </row>
    <row r="346" spans="1:45" ht="15.75" x14ac:dyDescent="0.25">
      <c r="A346" s="44"/>
      <c r="B346" s="23"/>
      <c r="C346" s="23"/>
      <c r="D346" s="23"/>
      <c r="E346" s="68"/>
      <c r="F346" s="68"/>
      <c r="G346" s="110"/>
      <c r="H346" s="110"/>
      <c r="I346" s="68"/>
      <c r="J346" s="68"/>
      <c r="K346" s="110"/>
      <c r="L346" s="110"/>
      <c r="M346" s="68"/>
      <c r="N346" s="68"/>
      <c r="O346" s="110"/>
      <c r="P346" s="110"/>
      <c r="Q346" s="68"/>
      <c r="R346" s="68"/>
      <c r="S346" s="110"/>
      <c r="T346" s="110"/>
      <c r="U346" s="68"/>
      <c r="V346" s="68"/>
      <c r="W346" s="110"/>
      <c r="X346" s="110"/>
      <c r="Y346" s="110"/>
      <c r="Z346" s="110"/>
      <c r="AA346" s="110"/>
      <c r="AB346" s="110"/>
      <c r="AC346" s="114"/>
      <c r="AD346" s="68"/>
      <c r="AE346" s="110"/>
      <c r="AF346" s="110"/>
      <c r="AG346" s="68"/>
      <c r="AH346" s="68"/>
      <c r="AI346" s="110"/>
      <c r="AJ346" s="110"/>
      <c r="AK346" s="68"/>
      <c r="AL346" s="68"/>
      <c r="AM346" s="110"/>
      <c r="AN346" s="110"/>
      <c r="AO346" s="68"/>
      <c r="AP346" s="68"/>
      <c r="AQ346" s="40"/>
      <c r="AR346" s="40"/>
      <c r="AS346" s="23"/>
    </row>
    <row r="347" spans="1:45" ht="15.75" x14ac:dyDescent="0.25">
      <c r="A347" s="44"/>
      <c r="B347" s="23"/>
      <c r="C347" s="23"/>
      <c r="D347" s="23"/>
      <c r="E347" s="68"/>
      <c r="F347" s="68"/>
      <c r="G347" s="110"/>
      <c r="H347" s="110"/>
      <c r="I347" s="68"/>
      <c r="J347" s="68"/>
      <c r="K347" s="110"/>
      <c r="L347" s="110"/>
      <c r="M347" s="68"/>
      <c r="N347" s="68"/>
      <c r="O347" s="110"/>
      <c r="P347" s="110"/>
      <c r="Q347" s="68"/>
      <c r="R347" s="68"/>
      <c r="S347" s="110"/>
      <c r="T347" s="110"/>
      <c r="U347" s="68"/>
      <c r="V347" s="68"/>
      <c r="W347" s="110"/>
      <c r="X347" s="110"/>
      <c r="Y347" s="110"/>
      <c r="Z347" s="110"/>
      <c r="AA347" s="110"/>
      <c r="AB347" s="110"/>
      <c r="AC347" s="114"/>
      <c r="AD347" s="68"/>
      <c r="AE347" s="110"/>
      <c r="AF347" s="110"/>
      <c r="AG347" s="68"/>
      <c r="AH347" s="68"/>
      <c r="AI347" s="110"/>
      <c r="AJ347" s="110"/>
      <c r="AK347" s="68"/>
      <c r="AL347" s="68"/>
      <c r="AM347" s="110"/>
      <c r="AN347" s="110"/>
      <c r="AO347" s="68"/>
      <c r="AP347" s="68"/>
      <c r="AQ347" s="40"/>
      <c r="AR347" s="40"/>
      <c r="AS347" s="23"/>
    </row>
    <row r="348" spans="1:45" ht="15.75" x14ac:dyDescent="0.25">
      <c r="A348" s="44"/>
      <c r="B348" s="23"/>
      <c r="C348" s="23"/>
      <c r="D348" s="23"/>
      <c r="E348" s="68"/>
      <c r="F348" s="68"/>
      <c r="G348" s="110"/>
      <c r="H348" s="110"/>
      <c r="I348" s="68"/>
      <c r="J348" s="68"/>
      <c r="K348" s="110"/>
      <c r="L348" s="110"/>
      <c r="M348" s="68"/>
      <c r="N348" s="68"/>
      <c r="O348" s="110"/>
      <c r="P348" s="110"/>
      <c r="Q348" s="68"/>
      <c r="R348" s="68"/>
      <c r="S348" s="110"/>
      <c r="T348" s="110"/>
      <c r="U348" s="68"/>
      <c r="V348" s="68"/>
      <c r="W348" s="110"/>
      <c r="X348" s="110"/>
      <c r="Y348" s="110"/>
      <c r="Z348" s="110"/>
      <c r="AA348" s="110"/>
      <c r="AB348" s="110"/>
      <c r="AC348" s="114"/>
      <c r="AD348" s="68"/>
      <c r="AE348" s="110"/>
      <c r="AF348" s="110"/>
      <c r="AG348" s="68"/>
      <c r="AH348" s="68"/>
      <c r="AI348" s="110"/>
      <c r="AJ348" s="110"/>
      <c r="AK348" s="68"/>
      <c r="AL348" s="68"/>
      <c r="AM348" s="110"/>
      <c r="AN348" s="110"/>
      <c r="AO348" s="68"/>
      <c r="AP348" s="68"/>
      <c r="AQ348" s="40"/>
      <c r="AR348" s="40"/>
      <c r="AS348" s="23"/>
    </row>
    <row r="349" spans="1:45" ht="15.75" x14ac:dyDescent="0.25">
      <c r="A349" s="44"/>
      <c r="B349" s="23"/>
      <c r="C349" s="23"/>
      <c r="D349" s="23"/>
      <c r="E349" s="68"/>
      <c r="F349" s="68"/>
      <c r="G349" s="110"/>
      <c r="H349" s="110"/>
      <c r="I349" s="68"/>
      <c r="J349" s="68"/>
      <c r="K349" s="110"/>
      <c r="L349" s="110"/>
      <c r="M349" s="68"/>
      <c r="N349" s="68"/>
      <c r="O349" s="110"/>
      <c r="P349" s="110"/>
      <c r="Q349" s="68"/>
      <c r="R349" s="68"/>
      <c r="S349" s="110"/>
      <c r="T349" s="110"/>
      <c r="U349" s="68"/>
      <c r="V349" s="68"/>
      <c r="W349" s="110"/>
      <c r="X349" s="110"/>
      <c r="Y349" s="110"/>
      <c r="Z349" s="110"/>
      <c r="AA349" s="110"/>
      <c r="AB349" s="110"/>
      <c r="AC349" s="114"/>
      <c r="AD349" s="68"/>
      <c r="AE349" s="110"/>
      <c r="AF349" s="110"/>
      <c r="AG349" s="68"/>
      <c r="AH349" s="68"/>
      <c r="AI349" s="110"/>
      <c r="AJ349" s="110"/>
      <c r="AK349" s="68"/>
      <c r="AL349" s="68"/>
      <c r="AM349" s="110"/>
      <c r="AN349" s="110"/>
      <c r="AO349" s="68"/>
      <c r="AP349" s="68"/>
      <c r="AQ349" s="40"/>
      <c r="AR349" s="40"/>
      <c r="AS349" s="23"/>
    </row>
    <row r="350" spans="1:45" ht="15.75" x14ac:dyDescent="0.25">
      <c r="A350" s="44"/>
      <c r="B350" s="23"/>
      <c r="C350" s="23"/>
      <c r="D350" s="23"/>
      <c r="E350" s="68"/>
      <c r="F350" s="68"/>
      <c r="G350" s="110"/>
      <c r="H350" s="110"/>
      <c r="I350" s="68"/>
      <c r="J350" s="68"/>
      <c r="K350" s="110"/>
      <c r="L350" s="110"/>
      <c r="M350" s="68"/>
      <c r="N350" s="68"/>
      <c r="O350" s="110"/>
      <c r="P350" s="110"/>
      <c r="Q350" s="68"/>
      <c r="R350" s="68"/>
      <c r="S350" s="110"/>
      <c r="T350" s="110"/>
      <c r="U350" s="68"/>
      <c r="V350" s="68"/>
      <c r="W350" s="110"/>
      <c r="X350" s="110"/>
      <c r="Y350" s="110"/>
      <c r="Z350" s="110"/>
      <c r="AA350" s="110"/>
      <c r="AB350" s="110"/>
      <c r="AC350" s="114"/>
      <c r="AD350" s="68"/>
      <c r="AE350" s="110"/>
      <c r="AF350" s="110"/>
      <c r="AG350" s="68"/>
      <c r="AH350" s="68"/>
      <c r="AI350" s="110"/>
      <c r="AJ350" s="110"/>
      <c r="AK350" s="68"/>
      <c r="AL350" s="68"/>
      <c r="AM350" s="110"/>
      <c r="AN350" s="110"/>
      <c r="AO350" s="68"/>
      <c r="AP350" s="68"/>
      <c r="AQ350" s="40"/>
      <c r="AR350" s="40"/>
      <c r="AS350" s="23"/>
    </row>
    <row r="351" spans="1:45" ht="15.75" x14ac:dyDescent="0.25">
      <c r="A351" s="44"/>
      <c r="B351" s="23"/>
      <c r="C351" s="23"/>
      <c r="D351" s="23"/>
      <c r="E351" s="68"/>
      <c r="F351" s="68"/>
      <c r="G351" s="110"/>
      <c r="H351" s="110"/>
      <c r="I351" s="68"/>
      <c r="J351" s="68"/>
      <c r="K351" s="110"/>
      <c r="L351" s="110"/>
      <c r="M351" s="68"/>
      <c r="N351" s="68"/>
      <c r="O351" s="110"/>
      <c r="P351" s="110"/>
      <c r="Q351" s="68"/>
      <c r="R351" s="68"/>
      <c r="S351" s="110"/>
      <c r="T351" s="110"/>
      <c r="U351" s="68"/>
      <c r="V351" s="68"/>
      <c r="W351" s="110"/>
      <c r="X351" s="110"/>
      <c r="Y351" s="110"/>
      <c r="Z351" s="110"/>
      <c r="AA351" s="110"/>
      <c r="AB351" s="110"/>
      <c r="AC351" s="114"/>
      <c r="AD351" s="68"/>
      <c r="AE351" s="110"/>
      <c r="AF351" s="110"/>
      <c r="AG351" s="68"/>
      <c r="AH351" s="68"/>
      <c r="AI351" s="110"/>
      <c r="AJ351" s="110"/>
      <c r="AK351" s="68"/>
      <c r="AL351" s="68"/>
      <c r="AM351" s="110"/>
      <c r="AN351" s="110"/>
      <c r="AO351" s="68"/>
      <c r="AP351" s="68"/>
      <c r="AQ351" s="40"/>
      <c r="AR351" s="40"/>
      <c r="AS351" s="23"/>
    </row>
    <row r="352" spans="1:45" ht="15.75" x14ac:dyDescent="0.25">
      <c r="A352" s="44"/>
      <c r="B352" s="23"/>
      <c r="C352" s="23"/>
      <c r="D352" s="23"/>
      <c r="E352" s="68"/>
      <c r="F352" s="68"/>
      <c r="G352" s="110"/>
      <c r="H352" s="110"/>
      <c r="I352" s="68"/>
      <c r="J352" s="68"/>
      <c r="K352" s="110"/>
      <c r="L352" s="110"/>
      <c r="M352" s="68"/>
      <c r="N352" s="68"/>
      <c r="O352" s="110"/>
      <c r="P352" s="110"/>
      <c r="Q352" s="68"/>
      <c r="R352" s="68"/>
      <c r="S352" s="110"/>
      <c r="T352" s="110"/>
      <c r="U352" s="68"/>
      <c r="V352" s="68"/>
      <c r="W352" s="110"/>
      <c r="X352" s="110"/>
      <c r="Y352" s="110"/>
      <c r="Z352" s="110"/>
      <c r="AA352" s="110"/>
      <c r="AB352" s="110"/>
      <c r="AC352" s="114"/>
      <c r="AD352" s="68"/>
      <c r="AE352" s="110"/>
      <c r="AF352" s="110"/>
      <c r="AG352" s="68"/>
      <c r="AH352" s="68"/>
      <c r="AI352" s="110"/>
      <c r="AJ352" s="110"/>
      <c r="AK352" s="68"/>
      <c r="AL352" s="68"/>
      <c r="AM352" s="110"/>
      <c r="AN352" s="110"/>
      <c r="AO352" s="68"/>
      <c r="AP352" s="68"/>
      <c r="AQ352" s="40"/>
      <c r="AR352" s="40"/>
      <c r="AS352" s="23"/>
    </row>
    <row r="353" spans="1:45" ht="15.75" x14ac:dyDescent="0.25">
      <c r="A353" s="44"/>
      <c r="B353" s="23"/>
      <c r="C353" s="23"/>
      <c r="D353" s="23"/>
      <c r="E353" s="68"/>
      <c r="F353" s="68"/>
      <c r="G353" s="110"/>
      <c r="H353" s="110"/>
      <c r="I353" s="68"/>
      <c r="J353" s="68"/>
      <c r="K353" s="110"/>
      <c r="L353" s="110"/>
      <c r="M353" s="68"/>
      <c r="N353" s="68"/>
      <c r="O353" s="110"/>
      <c r="P353" s="110"/>
      <c r="Q353" s="68"/>
      <c r="R353" s="68"/>
      <c r="S353" s="110"/>
      <c r="T353" s="110"/>
      <c r="U353" s="68"/>
      <c r="V353" s="68"/>
      <c r="W353" s="110"/>
      <c r="X353" s="110"/>
      <c r="Y353" s="110"/>
      <c r="Z353" s="110"/>
      <c r="AA353" s="110"/>
      <c r="AB353" s="110"/>
      <c r="AC353" s="114"/>
      <c r="AD353" s="68"/>
      <c r="AE353" s="110"/>
      <c r="AF353" s="110"/>
      <c r="AG353" s="68"/>
      <c r="AH353" s="68"/>
      <c r="AI353" s="110"/>
      <c r="AJ353" s="110"/>
      <c r="AK353" s="68"/>
      <c r="AL353" s="68"/>
      <c r="AM353" s="110"/>
      <c r="AN353" s="110"/>
      <c r="AO353" s="68"/>
      <c r="AP353" s="68"/>
      <c r="AQ353" s="40"/>
      <c r="AR353" s="40"/>
      <c r="AS353" s="23"/>
    </row>
    <row r="354" spans="1:45" ht="15.75" x14ac:dyDescent="0.25">
      <c r="A354" s="44"/>
      <c r="B354" s="23"/>
      <c r="C354" s="23"/>
      <c r="D354" s="23"/>
      <c r="E354" s="68"/>
      <c r="F354" s="68"/>
      <c r="G354" s="110"/>
      <c r="H354" s="110"/>
      <c r="I354" s="68"/>
      <c r="J354" s="68"/>
      <c r="K354" s="110"/>
      <c r="L354" s="110"/>
      <c r="M354" s="68"/>
      <c r="N354" s="68"/>
      <c r="O354" s="110"/>
      <c r="P354" s="110"/>
      <c r="Q354" s="68"/>
      <c r="R354" s="68"/>
      <c r="S354" s="110"/>
      <c r="T354" s="110"/>
      <c r="U354" s="68"/>
      <c r="V354" s="68"/>
      <c r="W354" s="110"/>
      <c r="X354" s="110"/>
      <c r="Y354" s="110"/>
      <c r="Z354" s="110"/>
      <c r="AA354" s="110"/>
      <c r="AB354" s="110"/>
      <c r="AC354" s="114"/>
      <c r="AD354" s="68"/>
      <c r="AE354" s="110"/>
      <c r="AF354" s="110"/>
      <c r="AG354" s="68"/>
      <c r="AH354" s="68"/>
      <c r="AI354" s="110"/>
      <c r="AJ354" s="110"/>
      <c r="AK354" s="68"/>
      <c r="AL354" s="68"/>
      <c r="AM354" s="110"/>
      <c r="AN354" s="110"/>
      <c r="AO354" s="68"/>
      <c r="AP354" s="68"/>
      <c r="AQ354" s="40"/>
      <c r="AR354" s="40"/>
      <c r="AS354" s="23"/>
    </row>
    <row r="355" spans="1:45" ht="15.75" x14ac:dyDescent="0.25">
      <c r="A355" s="44"/>
      <c r="B355" s="23"/>
      <c r="C355" s="23"/>
      <c r="D355" s="23"/>
      <c r="E355" s="68"/>
      <c r="F355" s="68"/>
      <c r="G355" s="110"/>
      <c r="H355" s="110"/>
      <c r="I355" s="68"/>
      <c r="J355" s="68"/>
      <c r="K355" s="110"/>
      <c r="L355" s="110"/>
      <c r="M355" s="68"/>
      <c r="N355" s="68"/>
      <c r="O355" s="110"/>
      <c r="P355" s="110"/>
      <c r="Q355" s="68"/>
      <c r="R355" s="68"/>
      <c r="S355" s="110"/>
      <c r="T355" s="110"/>
      <c r="U355" s="68"/>
      <c r="V355" s="68"/>
      <c r="W355" s="110"/>
      <c r="X355" s="110"/>
      <c r="Y355" s="110"/>
      <c r="Z355" s="110"/>
      <c r="AA355" s="110"/>
      <c r="AB355" s="110"/>
      <c r="AC355" s="114"/>
      <c r="AD355" s="68"/>
      <c r="AE355" s="110"/>
      <c r="AF355" s="110"/>
      <c r="AG355" s="68"/>
      <c r="AH355" s="68"/>
      <c r="AI355" s="110"/>
      <c r="AJ355" s="110"/>
      <c r="AK355" s="68"/>
      <c r="AL355" s="68"/>
      <c r="AM355" s="110"/>
      <c r="AN355" s="110"/>
      <c r="AO355" s="68"/>
      <c r="AP355" s="68"/>
      <c r="AQ355" s="40"/>
      <c r="AR355" s="40"/>
      <c r="AS355" s="23"/>
    </row>
    <row r="356" spans="1:45" ht="15.75" x14ac:dyDescent="0.25">
      <c r="A356" s="44"/>
      <c r="B356" s="23"/>
      <c r="C356" s="23"/>
      <c r="D356" s="23"/>
      <c r="E356" s="68"/>
      <c r="F356" s="68"/>
      <c r="G356" s="110"/>
      <c r="H356" s="110"/>
      <c r="I356" s="68"/>
      <c r="J356" s="68"/>
      <c r="K356" s="110"/>
      <c r="L356" s="110"/>
      <c r="M356" s="68"/>
      <c r="N356" s="68"/>
      <c r="O356" s="110"/>
      <c r="P356" s="110"/>
      <c r="Q356" s="68"/>
      <c r="R356" s="68"/>
      <c r="S356" s="110"/>
      <c r="T356" s="110"/>
      <c r="U356" s="68"/>
      <c r="V356" s="68"/>
      <c r="W356" s="110"/>
      <c r="X356" s="110"/>
      <c r="Y356" s="110"/>
      <c r="Z356" s="110"/>
      <c r="AA356" s="110"/>
      <c r="AB356" s="110"/>
      <c r="AC356" s="114"/>
      <c r="AD356" s="68"/>
      <c r="AE356" s="110"/>
      <c r="AF356" s="110"/>
      <c r="AG356" s="68"/>
      <c r="AH356" s="68"/>
      <c r="AI356" s="110"/>
      <c r="AJ356" s="110"/>
      <c r="AK356" s="68"/>
      <c r="AL356" s="68"/>
      <c r="AM356" s="110"/>
      <c r="AN356" s="110"/>
      <c r="AO356" s="68"/>
      <c r="AP356" s="68"/>
      <c r="AQ356" s="40"/>
      <c r="AR356" s="40"/>
      <c r="AS356" s="23"/>
    </row>
    <row r="357" spans="1:45" ht="15.75" x14ac:dyDescent="0.25">
      <c r="A357" s="44"/>
      <c r="B357" s="23"/>
      <c r="C357" s="23"/>
      <c r="D357" s="23"/>
      <c r="E357" s="68"/>
      <c r="F357" s="68"/>
      <c r="G357" s="110"/>
      <c r="H357" s="110"/>
      <c r="I357" s="68"/>
      <c r="J357" s="68"/>
      <c r="K357" s="110"/>
      <c r="L357" s="110"/>
      <c r="M357" s="68"/>
      <c r="N357" s="68"/>
      <c r="O357" s="110"/>
      <c r="P357" s="110"/>
      <c r="Q357" s="68"/>
      <c r="R357" s="68"/>
      <c r="S357" s="110"/>
      <c r="T357" s="110"/>
      <c r="U357" s="68"/>
      <c r="V357" s="68"/>
      <c r="W357" s="110"/>
      <c r="X357" s="110"/>
      <c r="Y357" s="110"/>
      <c r="Z357" s="110"/>
      <c r="AA357" s="110"/>
      <c r="AB357" s="110"/>
      <c r="AC357" s="114"/>
      <c r="AD357" s="68"/>
      <c r="AE357" s="110"/>
      <c r="AF357" s="110"/>
      <c r="AG357" s="68"/>
      <c r="AH357" s="68"/>
      <c r="AI357" s="110"/>
      <c r="AJ357" s="110"/>
      <c r="AK357" s="68"/>
      <c r="AL357" s="68"/>
      <c r="AM357" s="110"/>
      <c r="AN357" s="110"/>
      <c r="AO357" s="68"/>
      <c r="AP357" s="68"/>
      <c r="AQ357" s="40"/>
      <c r="AR357" s="40"/>
      <c r="AS357" s="23"/>
    </row>
    <row r="358" spans="1:45" ht="15.75" x14ac:dyDescent="0.25">
      <c r="A358" s="44"/>
      <c r="B358" s="23"/>
      <c r="C358" s="23"/>
      <c r="D358" s="23"/>
      <c r="E358" s="68"/>
      <c r="F358" s="68"/>
      <c r="G358" s="110"/>
      <c r="H358" s="110"/>
      <c r="I358" s="68"/>
      <c r="J358" s="68"/>
      <c r="K358" s="110"/>
      <c r="L358" s="110"/>
      <c r="M358" s="68"/>
      <c r="N358" s="68"/>
      <c r="O358" s="110"/>
      <c r="P358" s="110"/>
      <c r="Q358" s="68"/>
      <c r="R358" s="68"/>
      <c r="S358" s="110"/>
      <c r="T358" s="110"/>
      <c r="U358" s="68"/>
      <c r="V358" s="68"/>
      <c r="W358" s="110"/>
      <c r="X358" s="110"/>
      <c r="Y358" s="110"/>
      <c r="Z358" s="110"/>
      <c r="AA358" s="110"/>
      <c r="AB358" s="110"/>
      <c r="AC358" s="114"/>
      <c r="AD358" s="68"/>
      <c r="AE358" s="110"/>
      <c r="AF358" s="110"/>
      <c r="AG358" s="68"/>
      <c r="AH358" s="68"/>
      <c r="AI358" s="110"/>
      <c r="AJ358" s="110"/>
      <c r="AK358" s="68"/>
      <c r="AL358" s="68"/>
      <c r="AM358" s="110"/>
      <c r="AN358" s="110"/>
      <c r="AO358" s="68"/>
      <c r="AP358" s="68"/>
      <c r="AQ358" s="40"/>
      <c r="AR358" s="40"/>
      <c r="AS358" s="23"/>
    </row>
    <row r="359" spans="1:45" ht="15.75" x14ac:dyDescent="0.25">
      <c r="A359" s="44"/>
      <c r="B359" s="23"/>
      <c r="C359" s="23"/>
      <c r="D359" s="23"/>
      <c r="E359" s="68"/>
      <c r="F359" s="68"/>
      <c r="G359" s="110"/>
      <c r="H359" s="110"/>
      <c r="I359" s="68"/>
      <c r="J359" s="68"/>
      <c r="K359" s="110"/>
      <c r="L359" s="110"/>
      <c r="M359" s="68"/>
      <c r="N359" s="68"/>
      <c r="O359" s="110"/>
      <c r="P359" s="110"/>
      <c r="Q359" s="68"/>
      <c r="R359" s="68"/>
      <c r="S359" s="110"/>
      <c r="T359" s="110"/>
      <c r="U359" s="68"/>
      <c r="V359" s="68"/>
      <c r="W359" s="110"/>
      <c r="X359" s="110"/>
      <c r="Y359" s="110"/>
      <c r="Z359" s="110"/>
      <c r="AA359" s="110"/>
      <c r="AB359" s="110"/>
      <c r="AC359" s="114"/>
      <c r="AD359" s="68"/>
      <c r="AE359" s="110"/>
      <c r="AF359" s="110"/>
      <c r="AG359" s="68"/>
      <c r="AH359" s="68"/>
      <c r="AI359" s="110"/>
      <c r="AJ359" s="110"/>
      <c r="AK359" s="68"/>
      <c r="AL359" s="68"/>
      <c r="AM359" s="110"/>
      <c r="AN359" s="110"/>
      <c r="AO359" s="68"/>
      <c r="AP359" s="68"/>
      <c r="AQ359" s="40"/>
      <c r="AR359" s="40"/>
      <c r="AS359" s="23"/>
    </row>
    <row r="360" spans="1:45" ht="15.75" x14ac:dyDescent="0.25">
      <c r="A360" s="44"/>
      <c r="B360" s="23"/>
      <c r="C360" s="23"/>
      <c r="D360" s="23"/>
      <c r="E360" s="68"/>
      <c r="F360" s="68"/>
      <c r="G360" s="110"/>
      <c r="H360" s="110"/>
      <c r="I360" s="68"/>
      <c r="J360" s="68"/>
      <c r="K360" s="110"/>
      <c r="L360" s="110"/>
      <c r="M360" s="68"/>
      <c r="N360" s="68"/>
      <c r="O360" s="110"/>
      <c r="P360" s="110"/>
      <c r="Q360" s="68"/>
      <c r="R360" s="68"/>
      <c r="S360" s="110"/>
      <c r="T360" s="110"/>
      <c r="U360" s="68"/>
      <c r="V360" s="68"/>
      <c r="W360" s="110"/>
      <c r="X360" s="110"/>
      <c r="Y360" s="110"/>
      <c r="Z360" s="110"/>
      <c r="AA360" s="110"/>
      <c r="AB360" s="110"/>
      <c r="AC360" s="114"/>
      <c r="AD360" s="68"/>
      <c r="AE360" s="110"/>
      <c r="AF360" s="110"/>
      <c r="AG360" s="68"/>
      <c r="AH360" s="68"/>
      <c r="AI360" s="110"/>
      <c r="AJ360" s="110"/>
      <c r="AK360" s="68"/>
      <c r="AL360" s="68"/>
      <c r="AM360" s="110"/>
      <c r="AN360" s="110"/>
      <c r="AO360" s="68"/>
      <c r="AP360" s="68"/>
      <c r="AQ360" s="40"/>
      <c r="AR360" s="40"/>
      <c r="AS360" s="23"/>
    </row>
    <row r="361" spans="1:45" ht="15.75" x14ac:dyDescent="0.25">
      <c r="A361" s="44"/>
      <c r="B361" s="23"/>
      <c r="C361" s="23"/>
      <c r="D361" s="23"/>
      <c r="E361" s="68"/>
      <c r="F361" s="68"/>
      <c r="G361" s="110"/>
      <c r="H361" s="110"/>
      <c r="I361" s="68"/>
      <c r="J361" s="68"/>
      <c r="K361" s="110"/>
      <c r="L361" s="110"/>
      <c r="M361" s="68"/>
      <c r="N361" s="68"/>
      <c r="O361" s="110"/>
      <c r="P361" s="110"/>
      <c r="Q361" s="68"/>
      <c r="R361" s="68"/>
      <c r="S361" s="110"/>
      <c r="T361" s="110"/>
      <c r="U361" s="68"/>
      <c r="V361" s="68"/>
      <c r="W361" s="110"/>
      <c r="X361" s="110"/>
      <c r="Y361" s="110"/>
      <c r="Z361" s="110"/>
      <c r="AA361" s="110"/>
      <c r="AB361" s="110"/>
      <c r="AC361" s="114"/>
      <c r="AD361" s="68"/>
      <c r="AE361" s="110"/>
      <c r="AF361" s="110"/>
      <c r="AG361" s="68"/>
      <c r="AH361" s="68"/>
      <c r="AI361" s="110"/>
      <c r="AJ361" s="110"/>
      <c r="AK361" s="68"/>
      <c r="AL361" s="68"/>
      <c r="AM361" s="110"/>
      <c r="AN361" s="110"/>
      <c r="AO361" s="68"/>
      <c r="AP361" s="68"/>
      <c r="AQ361" s="40"/>
      <c r="AR361" s="40"/>
      <c r="AS361" s="23"/>
    </row>
    <row r="362" spans="1:45" ht="15.75" x14ac:dyDescent="0.25">
      <c r="A362" s="44"/>
      <c r="B362" s="23"/>
      <c r="C362" s="23"/>
      <c r="D362" s="23"/>
      <c r="E362" s="68"/>
      <c r="F362" s="68"/>
      <c r="G362" s="110"/>
      <c r="H362" s="110"/>
      <c r="I362" s="68"/>
      <c r="J362" s="68"/>
      <c r="K362" s="110"/>
      <c r="L362" s="110"/>
      <c r="M362" s="68"/>
      <c r="N362" s="68"/>
      <c r="O362" s="110"/>
      <c r="P362" s="110"/>
      <c r="Q362" s="68"/>
      <c r="R362" s="68"/>
      <c r="S362" s="110"/>
      <c r="T362" s="110"/>
      <c r="U362" s="68"/>
      <c r="V362" s="68"/>
      <c r="W362" s="110"/>
      <c r="X362" s="110"/>
      <c r="Y362" s="110"/>
      <c r="Z362" s="110"/>
      <c r="AA362" s="110"/>
      <c r="AB362" s="110"/>
      <c r="AC362" s="114"/>
      <c r="AD362" s="68"/>
      <c r="AE362" s="110"/>
      <c r="AF362" s="110"/>
      <c r="AG362" s="68"/>
      <c r="AH362" s="68"/>
      <c r="AI362" s="110"/>
      <c r="AJ362" s="110"/>
      <c r="AK362" s="68"/>
      <c r="AL362" s="68"/>
      <c r="AM362" s="110"/>
      <c r="AN362" s="110"/>
      <c r="AO362" s="68"/>
      <c r="AP362" s="68"/>
      <c r="AQ362" s="40"/>
      <c r="AR362" s="40"/>
      <c r="AS362" s="23"/>
    </row>
    <row r="363" spans="1:45" ht="15.75" x14ac:dyDescent="0.25">
      <c r="A363" s="44"/>
      <c r="B363" s="23"/>
      <c r="C363" s="23"/>
      <c r="D363" s="23"/>
      <c r="E363" s="68"/>
      <c r="F363" s="68"/>
      <c r="G363" s="110"/>
      <c r="H363" s="110"/>
      <c r="I363" s="68"/>
      <c r="J363" s="68"/>
      <c r="K363" s="110"/>
      <c r="L363" s="110"/>
      <c r="M363" s="68"/>
      <c r="N363" s="68"/>
      <c r="O363" s="110"/>
      <c r="P363" s="110"/>
      <c r="Q363" s="68"/>
      <c r="R363" s="68"/>
      <c r="S363" s="110"/>
      <c r="T363" s="110"/>
      <c r="U363" s="68"/>
      <c r="V363" s="68"/>
      <c r="W363" s="110"/>
      <c r="X363" s="110"/>
      <c r="Y363" s="110"/>
      <c r="Z363" s="110"/>
      <c r="AA363" s="110"/>
      <c r="AB363" s="110"/>
      <c r="AC363" s="114"/>
      <c r="AD363" s="68"/>
      <c r="AE363" s="110"/>
      <c r="AF363" s="110"/>
      <c r="AG363" s="68"/>
      <c r="AH363" s="68"/>
      <c r="AI363" s="110"/>
      <c r="AJ363" s="110"/>
      <c r="AK363" s="68"/>
      <c r="AL363" s="68"/>
      <c r="AM363" s="110"/>
      <c r="AN363" s="110"/>
      <c r="AO363" s="68"/>
      <c r="AP363" s="68"/>
      <c r="AQ363" s="40"/>
      <c r="AR363" s="40"/>
      <c r="AS363" s="23"/>
    </row>
    <row r="364" spans="1:45" ht="15.75" x14ac:dyDescent="0.25">
      <c r="A364" s="44"/>
      <c r="B364" s="23"/>
      <c r="C364" s="23"/>
      <c r="D364" s="23"/>
      <c r="E364" s="68"/>
      <c r="F364" s="68"/>
      <c r="G364" s="110"/>
      <c r="H364" s="110"/>
      <c r="I364" s="68"/>
      <c r="J364" s="68"/>
      <c r="K364" s="110"/>
      <c r="L364" s="110"/>
      <c r="M364" s="68"/>
      <c r="N364" s="68"/>
      <c r="O364" s="110"/>
      <c r="P364" s="110"/>
      <c r="Q364" s="68"/>
      <c r="R364" s="68"/>
      <c r="S364" s="110"/>
      <c r="T364" s="110"/>
      <c r="U364" s="68"/>
      <c r="V364" s="68"/>
      <c r="W364" s="110"/>
      <c r="X364" s="110"/>
      <c r="Y364" s="110"/>
      <c r="Z364" s="110"/>
      <c r="AA364" s="110"/>
      <c r="AB364" s="110"/>
      <c r="AC364" s="114"/>
      <c r="AD364" s="68"/>
      <c r="AE364" s="110"/>
      <c r="AF364" s="110"/>
      <c r="AG364" s="68"/>
      <c r="AH364" s="68"/>
      <c r="AI364" s="110"/>
      <c r="AJ364" s="110"/>
      <c r="AK364" s="68"/>
      <c r="AL364" s="68"/>
      <c r="AM364" s="110"/>
      <c r="AN364" s="110"/>
      <c r="AO364" s="68"/>
      <c r="AP364" s="68"/>
      <c r="AQ364" s="40"/>
      <c r="AR364" s="40"/>
      <c r="AS364" s="23"/>
    </row>
    <row r="365" spans="1:45" ht="15.75" x14ac:dyDescent="0.25">
      <c r="A365" s="44"/>
      <c r="B365" s="23"/>
      <c r="C365" s="23"/>
      <c r="D365" s="23"/>
      <c r="E365" s="68"/>
      <c r="F365" s="68"/>
      <c r="G365" s="110"/>
      <c r="H365" s="110"/>
      <c r="I365" s="68"/>
      <c r="J365" s="68"/>
      <c r="K365" s="110"/>
      <c r="L365" s="110"/>
      <c r="M365" s="68"/>
      <c r="N365" s="68"/>
      <c r="O365" s="110"/>
      <c r="P365" s="110"/>
      <c r="Q365" s="68"/>
      <c r="R365" s="68"/>
      <c r="S365" s="110"/>
      <c r="T365" s="110"/>
      <c r="U365" s="68"/>
      <c r="V365" s="68"/>
      <c r="W365" s="110"/>
      <c r="X365" s="110"/>
      <c r="Y365" s="110"/>
      <c r="Z365" s="110"/>
      <c r="AA365" s="110"/>
      <c r="AB365" s="110"/>
      <c r="AC365" s="114"/>
      <c r="AD365" s="68"/>
      <c r="AE365" s="110"/>
      <c r="AF365" s="110"/>
      <c r="AG365" s="68"/>
      <c r="AH365" s="68"/>
      <c r="AI365" s="110"/>
      <c r="AJ365" s="110"/>
      <c r="AK365" s="68"/>
      <c r="AL365" s="68"/>
      <c r="AM365" s="110"/>
      <c r="AN365" s="110"/>
      <c r="AO365" s="68"/>
      <c r="AP365" s="68"/>
      <c r="AQ365" s="40"/>
      <c r="AR365" s="40"/>
      <c r="AS365" s="23"/>
    </row>
    <row r="366" spans="1:45" ht="15.75" x14ac:dyDescent="0.25">
      <c r="A366" s="44"/>
      <c r="B366" s="23"/>
      <c r="C366" s="23"/>
      <c r="D366" s="23"/>
      <c r="E366" s="68"/>
      <c r="F366" s="68"/>
      <c r="G366" s="110"/>
      <c r="H366" s="110"/>
      <c r="I366" s="68"/>
      <c r="J366" s="68"/>
      <c r="K366" s="110"/>
      <c r="L366" s="110"/>
      <c r="M366" s="68"/>
      <c r="N366" s="68"/>
      <c r="O366" s="110"/>
      <c r="P366" s="110"/>
      <c r="Q366" s="68"/>
      <c r="R366" s="68"/>
      <c r="S366" s="110"/>
      <c r="T366" s="110"/>
      <c r="U366" s="68"/>
      <c r="V366" s="68"/>
      <c r="W366" s="110"/>
      <c r="X366" s="110"/>
      <c r="Y366" s="110"/>
      <c r="Z366" s="110"/>
      <c r="AA366" s="110"/>
      <c r="AB366" s="110"/>
      <c r="AC366" s="114"/>
      <c r="AD366" s="68"/>
      <c r="AE366" s="110"/>
      <c r="AF366" s="110"/>
      <c r="AG366" s="68"/>
      <c r="AH366" s="68"/>
      <c r="AI366" s="110"/>
      <c r="AJ366" s="110"/>
      <c r="AK366" s="68"/>
      <c r="AL366" s="68"/>
      <c r="AM366" s="110"/>
      <c r="AN366" s="110"/>
      <c r="AO366" s="68"/>
      <c r="AP366" s="68"/>
      <c r="AQ366" s="40"/>
      <c r="AR366" s="40"/>
      <c r="AS366" s="23"/>
    </row>
    <row r="367" spans="1:45" ht="15.75" x14ac:dyDescent="0.25">
      <c r="A367" s="44"/>
      <c r="B367" s="23"/>
      <c r="C367" s="23"/>
      <c r="D367" s="23"/>
      <c r="E367" s="68"/>
      <c r="F367" s="68"/>
      <c r="G367" s="110"/>
      <c r="H367" s="110"/>
      <c r="I367" s="68"/>
      <c r="J367" s="68"/>
      <c r="K367" s="110"/>
      <c r="L367" s="110"/>
      <c r="M367" s="68"/>
      <c r="N367" s="68"/>
      <c r="O367" s="110"/>
      <c r="P367" s="110"/>
      <c r="Q367" s="68"/>
      <c r="R367" s="68"/>
      <c r="S367" s="110"/>
      <c r="T367" s="110"/>
      <c r="U367" s="68"/>
      <c r="V367" s="68"/>
      <c r="W367" s="110"/>
      <c r="X367" s="110"/>
      <c r="Y367" s="110"/>
      <c r="Z367" s="110"/>
      <c r="AA367" s="110"/>
      <c r="AB367" s="110"/>
      <c r="AC367" s="114"/>
      <c r="AD367" s="68"/>
      <c r="AE367" s="110"/>
      <c r="AF367" s="110"/>
      <c r="AG367" s="68"/>
      <c r="AH367" s="68"/>
      <c r="AI367" s="110"/>
      <c r="AJ367" s="110"/>
      <c r="AK367" s="68"/>
      <c r="AL367" s="68"/>
      <c r="AM367" s="110"/>
      <c r="AN367" s="110"/>
      <c r="AO367" s="68"/>
      <c r="AP367" s="68"/>
      <c r="AQ367" s="40"/>
      <c r="AR367" s="40"/>
      <c r="AS367" s="23"/>
    </row>
    <row r="368" spans="1:45" ht="15.75" x14ac:dyDescent="0.25">
      <c r="A368" s="44"/>
      <c r="B368" s="23"/>
      <c r="C368" s="23"/>
      <c r="D368" s="23"/>
      <c r="E368" s="68"/>
      <c r="F368" s="68"/>
      <c r="G368" s="110"/>
      <c r="H368" s="110"/>
      <c r="I368" s="68"/>
      <c r="J368" s="68"/>
      <c r="K368" s="110"/>
      <c r="L368" s="110"/>
      <c r="M368" s="68"/>
      <c r="N368" s="68"/>
      <c r="O368" s="110"/>
      <c r="P368" s="110"/>
      <c r="Q368" s="68"/>
      <c r="R368" s="68"/>
      <c r="S368" s="110"/>
      <c r="T368" s="110"/>
      <c r="U368" s="68"/>
      <c r="V368" s="68"/>
      <c r="W368" s="110"/>
      <c r="X368" s="110"/>
      <c r="Y368" s="110"/>
      <c r="Z368" s="110"/>
      <c r="AA368" s="110"/>
      <c r="AB368" s="110"/>
      <c r="AC368" s="114"/>
      <c r="AD368" s="68"/>
      <c r="AE368" s="110"/>
      <c r="AF368" s="110"/>
      <c r="AG368" s="68"/>
      <c r="AH368" s="68"/>
      <c r="AI368" s="110"/>
      <c r="AJ368" s="110"/>
      <c r="AK368" s="68"/>
      <c r="AL368" s="68"/>
      <c r="AM368" s="110"/>
      <c r="AN368" s="110"/>
      <c r="AO368" s="68"/>
      <c r="AP368" s="68"/>
      <c r="AQ368" s="40"/>
      <c r="AR368" s="40"/>
      <c r="AS368" s="23"/>
    </row>
    <row r="369" spans="1:45" ht="15.75" x14ac:dyDescent="0.25">
      <c r="A369" s="44"/>
      <c r="B369" s="23"/>
      <c r="C369" s="23"/>
      <c r="D369" s="23"/>
      <c r="E369" s="68"/>
      <c r="F369" s="68"/>
      <c r="G369" s="110"/>
      <c r="H369" s="110"/>
      <c r="I369" s="68"/>
      <c r="J369" s="68"/>
      <c r="K369" s="110"/>
      <c r="L369" s="110"/>
      <c r="M369" s="68"/>
      <c r="N369" s="68"/>
      <c r="O369" s="110"/>
      <c r="P369" s="110"/>
      <c r="Q369" s="68"/>
      <c r="R369" s="68"/>
      <c r="S369" s="110"/>
      <c r="T369" s="110"/>
      <c r="U369" s="68"/>
      <c r="V369" s="68"/>
      <c r="W369" s="110"/>
      <c r="X369" s="110"/>
      <c r="Y369" s="110"/>
      <c r="Z369" s="110"/>
      <c r="AA369" s="110"/>
      <c r="AB369" s="110"/>
      <c r="AC369" s="114"/>
      <c r="AD369" s="68"/>
      <c r="AE369" s="110"/>
      <c r="AF369" s="110"/>
      <c r="AG369" s="68"/>
      <c r="AH369" s="68"/>
      <c r="AI369" s="110"/>
      <c r="AJ369" s="110"/>
      <c r="AK369" s="68"/>
      <c r="AL369" s="68"/>
      <c r="AM369" s="110"/>
      <c r="AN369" s="110"/>
      <c r="AO369" s="68"/>
      <c r="AP369" s="68"/>
      <c r="AQ369" s="40"/>
      <c r="AR369" s="40"/>
      <c r="AS369" s="23"/>
    </row>
    <row r="370" spans="1:45" ht="15.75" x14ac:dyDescent="0.25">
      <c r="A370" s="44"/>
      <c r="B370" s="23"/>
      <c r="C370" s="23"/>
      <c r="D370" s="23"/>
      <c r="E370" s="68"/>
      <c r="F370" s="68"/>
      <c r="G370" s="110"/>
      <c r="H370" s="110"/>
      <c r="I370" s="68"/>
      <c r="J370" s="68"/>
      <c r="K370" s="110"/>
      <c r="L370" s="110"/>
      <c r="M370" s="68"/>
      <c r="N370" s="68"/>
      <c r="O370" s="110"/>
      <c r="P370" s="110"/>
      <c r="Q370" s="68"/>
      <c r="R370" s="68"/>
      <c r="S370" s="110"/>
      <c r="T370" s="110"/>
      <c r="U370" s="68"/>
      <c r="V370" s="68"/>
      <c r="W370" s="110"/>
      <c r="X370" s="110"/>
      <c r="Y370" s="110"/>
      <c r="Z370" s="110"/>
      <c r="AA370" s="110"/>
      <c r="AB370" s="110"/>
      <c r="AC370" s="114"/>
      <c r="AD370" s="68"/>
      <c r="AE370" s="110"/>
      <c r="AF370" s="110"/>
      <c r="AG370" s="68"/>
      <c r="AH370" s="68"/>
      <c r="AI370" s="110"/>
      <c r="AJ370" s="110"/>
      <c r="AK370" s="68"/>
      <c r="AL370" s="68"/>
      <c r="AM370" s="110"/>
      <c r="AN370" s="110"/>
      <c r="AO370" s="68"/>
      <c r="AP370" s="68"/>
      <c r="AQ370" s="40"/>
      <c r="AR370" s="40"/>
      <c r="AS370" s="23"/>
    </row>
    <row r="371" spans="1:45" ht="15.75" x14ac:dyDescent="0.25">
      <c r="A371" s="44"/>
      <c r="B371" s="23"/>
      <c r="C371" s="23"/>
      <c r="D371" s="23"/>
      <c r="E371" s="68"/>
      <c r="F371" s="68"/>
      <c r="G371" s="110"/>
      <c r="H371" s="110"/>
      <c r="I371" s="68"/>
      <c r="J371" s="68"/>
      <c r="K371" s="110"/>
      <c r="L371" s="110"/>
      <c r="M371" s="68"/>
      <c r="N371" s="68"/>
      <c r="O371" s="110"/>
      <c r="P371" s="110"/>
      <c r="Q371" s="68"/>
      <c r="R371" s="68"/>
      <c r="S371" s="110"/>
      <c r="T371" s="110"/>
      <c r="U371" s="68"/>
      <c r="V371" s="68"/>
      <c r="W371" s="110"/>
      <c r="X371" s="110"/>
      <c r="Y371" s="110"/>
      <c r="Z371" s="110"/>
      <c r="AA371" s="110"/>
      <c r="AB371" s="110"/>
      <c r="AC371" s="114"/>
      <c r="AD371" s="68"/>
      <c r="AE371" s="110"/>
      <c r="AF371" s="110"/>
      <c r="AG371" s="68"/>
      <c r="AH371" s="68"/>
      <c r="AI371" s="110"/>
      <c r="AJ371" s="110"/>
      <c r="AK371" s="68"/>
      <c r="AL371" s="68"/>
      <c r="AM371" s="110"/>
      <c r="AN371" s="110"/>
      <c r="AO371" s="68"/>
      <c r="AP371" s="68"/>
      <c r="AQ371" s="40"/>
      <c r="AR371" s="40"/>
      <c r="AS371" s="23"/>
    </row>
    <row r="372" spans="1:45" ht="15.75" x14ac:dyDescent="0.25">
      <c r="A372" s="44"/>
      <c r="B372" s="23"/>
      <c r="C372" s="23"/>
      <c r="D372" s="23"/>
      <c r="E372" s="68"/>
      <c r="F372" s="68"/>
      <c r="G372" s="110"/>
      <c r="H372" s="110"/>
      <c r="I372" s="68"/>
      <c r="J372" s="68"/>
      <c r="K372" s="110"/>
      <c r="L372" s="110"/>
      <c r="M372" s="68"/>
      <c r="N372" s="68"/>
      <c r="O372" s="110"/>
      <c r="P372" s="110"/>
      <c r="Q372" s="68"/>
      <c r="R372" s="68"/>
      <c r="S372" s="110"/>
      <c r="T372" s="110"/>
      <c r="U372" s="68"/>
      <c r="V372" s="68"/>
      <c r="W372" s="110"/>
      <c r="X372" s="110"/>
      <c r="Y372" s="110"/>
      <c r="Z372" s="110"/>
      <c r="AA372" s="110"/>
      <c r="AB372" s="110"/>
      <c r="AC372" s="114"/>
      <c r="AD372" s="68"/>
      <c r="AE372" s="110"/>
      <c r="AF372" s="110"/>
      <c r="AG372" s="68"/>
      <c r="AH372" s="68"/>
      <c r="AI372" s="110"/>
      <c r="AJ372" s="110"/>
      <c r="AK372" s="68"/>
      <c r="AL372" s="68"/>
      <c r="AM372" s="110"/>
      <c r="AN372" s="110"/>
      <c r="AO372" s="68"/>
      <c r="AP372" s="68"/>
      <c r="AQ372" s="40"/>
      <c r="AR372" s="40"/>
      <c r="AS372" s="23"/>
    </row>
    <row r="373" spans="1:45" ht="15.75" x14ac:dyDescent="0.25">
      <c r="A373" s="44"/>
      <c r="B373" s="23"/>
      <c r="C373" s="23"/>
      <c r="D373" s="23"/>
      <c r="E373" s="68"/>
      <c r="F373" s="68"/>
      <c r="G373" s="110"/>
      <c r="H373" s="110"/>
      <c r="I373" s="68"/>
      <c r="J373" s="68"/>
      <c r="K373" s="110"/>
      <c r="L373" s="110"/>
      <c r="M373" s="68"/>
      <c r="N373" s="68"/>
      <c r="O373" s="110"/>
      <c r="P373" s="110"/>
      <c r="Q373" s="68"/>
      <c r="R373" s="68"/>
      <c r="S373" s="110"/>
      <c r="T373" s="110"/>
      <c r="U373" s="68"/>
      <c r="V373" s="68"/>
      <c r="W373" s="110"/>
      <c r="X373" s="110"/>
      <c r="Y373" s="110"/>
      <c r="Z373" s="110"/>
      <c r="AA373" s="110"/>
      <c r="AB373" s="110"/>
      <c r="AC373" s="114"/>
      <c r="AD373" s="68"/>
      <c r="AE373" s="110"/>
      <c r="AF373" s="110"/>
      <c r="AG373" s="68"/>
      <c r="AH373" s="68"/>
      <c r="AI373" s="110"/>
      <c r="AJ373" s="110"/>
      <c r="AK373" s="68"/>
      <c r="AL373" s="68"/>
      <c r="AM373" s="110"/>
      <c r="AN373" s="110"/>
      <c r="AO373" s="68"/>
      <c r="AP373" s="68"/>
      <c r="AQ373" s="40"/>
      <c r="AR373" s="40"/>
      <c r="AS373" s="23"/>
    </row>
    <row r="374" spans="1:45" ht="15.75" x14ac:dyDescent="0.25">
      <c r="A374" s="44"/>
      <c r="B374" s="23"/>
      <c r="C374" s="23"/>
      <c r="D374" s="23"/>
      <c r="E374" s="68"/>
      <c r="F374" s="68"/>
      <c r="G374" s="110"/>
      <c r="H374" s="110"/>
      <c r="I374" s="68"/>
      <c r="J374" s="68"/>
      <c r="K374" s="110"/>
      <c r="L374" s="110"/>
      <c r="M374" s="68"/>
      <c r="N374" s="68"/>
      <c r="O374" s="110"/>
      <c r="P374" s="110"/>
      <c r="Q374" s="68"/>
      <c r="R374" s="68"/>
      <c r="S374" s="110"/>
      <c r="T374" s="110"/>
      <c r="U374" s="68"/>
      <c r="V374" s="68"/>
      <c r="W374" s="110"/>
      <c r="X374" s="110"/>
      <c r="Y374" s="110"/>
      <c r="Z374" s="110"/>
      <c r="AA374" s="110"/>
      <c r="AB374" s="110"/>
      <c r="AC374" s="114"/>
      <c r="AD374" s="68"/>
      <c r="AE374" s="110"/>
      <c r="AF374" s="110"/>
      <c r="AG374" s="68"/>
      <c r="AH374" s="68"/>
      <c r="AI374" s="110"/>
      <c r="AJ374" s="110"/>
      <c r="AK374" s="68"/>
      <c r="AL374" s="68"/>
      <c r="AM374" s="110"/>
      <c r="AN374" s="110"/>
      <c r="AO374" s="68"/>
      <c r="AP374" s="68"/>
      <c r="AQ374" s="40"/>
      <c r="AR374" s="40"/>
      <c r="AS374" s="23"/>
    </row>
    <row r="375" spans="1:45" ht="15.75" x14ac:dyDescent="0.25">
      <c r="A375" s="44"/>
      <c r="B375" s="23"/>
      <c r="C375" s="23"/>
      <c r="D375" s="23"/>
      <c r="E375" s="68"/>
      <c r="F375" s="68"/>
      <c r="G375" s="110"/>
      <c r="H375" s="110"/>
      <c r="I375" s="68"/>
      <c r="J375" s="68"/>
      <c r="K375" s="110"/>
      <c r="L375" s="110"/>
      <c r="M375" s="68"/>
      <c r="N375" s="68"/>
      <c r="O375" s="110"/>
      <c r="P375" s="110"/>
      <c r="Q375" s="68"/>
      <c r="R375" s="68"/>
      <c r="S375" s="110"/>
      <c r="T375" s="110"/>
      <c r="U375" s="68"/>
      <c r="V375" s="68"/>
      <c r="W375" s="110"/>
      <c r="X375" s="110"/>
      <c r="Y375" s="110"/>
      <c r="Z375" s="110"/>
      <c r="AA375" s="110"/>
      <c r="AB375" s="110"/>
      <c r="AC375" s="114"/>
      <c r="AD375" s="68"/>
      <c r="AE375" s="110"/>
      <c r="AF375" s="110"/>
      <c r="AG375" s="68"/>
      <c r="AH375" s="68"/>
      <c r="AI375" s="110"/>
      <c r="AJ375" s="110"/>
      <c r="AK375" s="68"/>
      <c r="AL375" s="68"/>
      <c r="AM375" s="110"/>
      <c r="AN375" s="110"/>
      <c r="AO375" s="68"/>
      <c r="AP375" s="68"/>
      <c r="AQ375" s="40"/>
      <c r="AR375" s="40"/>
      <c r="AS375" s="23"/>
    </row>
    <row r="376" spans="1:45" ht="15.75" x14ac:dyDescent="0.25">
      <c r="A376" s="44"/>
      <c r="B376" s="23"/>
      <c r="C376" s="23"/>
      <c r="D376" s="23"/>
      <c r="E376" s="68"/>
      <c r="F376" s="68"/>
      <c r="G376" s="110"/>
      <c r="H376" s="110"/>
      <c r="I376" s="68"/>
      <c r="J376" s="68"/>
      <c r="K376" s="110"/>
      <c r="L376" s="110"/>
      <c r="M376" s="68"/>
      <c r="N376" s="68"/>
      <c r="O376" s="110"/>
      <c r="P376" s="110"/>
      <c r="Q376" s="68"/>
      <c r="R376" s="68"/>
      <c r="S376" s="110"/>
      <c r="T376" s="110"/>
      <c r="U376" s="68"/>
      <c r="V376" s="68"/>
      <c r="W376" s="110"/>
      <c r="X376" s="110"/>
      <c r="Y376" s="110"/>
      <c r="Z376" s="110"/>
      <c r="AA376" s="110"/>
      <c r="AB376" s="110"/>
      <c r="AC376" s="114"/>
      <c r="AD376" s="68"/>
      <c r="AE376" s="110"/>
      <c r="AF376" s="110"/>
      <c r="AG376" s="68"/>
      <c r="AH376" s="68"/>
      <c r="AI376" s="110"/>
      <c r="AJ376" s="110"/>
      <c r="AK376" s="68"/>
      <c r="AL376" s="68"/>
      <c r="AM376" s="110"/>
      <c r="AN376" s="110"/>
      <c r="AO376" s="68"/>
      <c r="AP376" s="68"/>
      <c r="AQ376" s="40"/>
      <c r="AR376" s="40"/>
      <c r="AS376" s="23"/>
    </row>
    <row r="377" spans="1:45" ht="15.75" x14ac:dyDescent="0.25">
      <c r="A377" s="44"/>
      <c r="B377" s="23"/>
      <c r="C377" s="23"/>
      <c r="D377" s="23"/>
      <c r="E377" s="68"/>
      <c r="F377" s="68"/>
      <c r="G377" s="110"/>
      <c r="H377" s="110"/>
      <c r="I377" s="68"/>
      <c r="J377" s="68"/>
      <c r="K377" s="110"/>
      <c r="L377" s="110"/>
      <c r="M377" s="68"/>
      <c r="N377" s="68"/>
      <c r="O377" s="110"/>
      <c r="P377" s="110"/>
      <c r="Q377" s="68"/>
      <c r="R377" s="68"/>
      <c r="S377" s="110"/>
      <c r="T377" s="110"/>
      <c r="U377" s="68"/>
      <c r="V377" s="68"/>
      <c r="W377" s="110"/>
      <c r="X377" s="110"/>
      <c r="Y377" s="110"/>
      <c r="Z377" s="110"/>
      <c r="AA377" s="110"/>
      <c r="AB377" s="110"/>
      <c r="AC377" s="114"/>
      <c r="AD377" s="68"/>
      <c r="AE377" s="110"/>
      <c r="AF377" s="110"/>
      <c r="AG377" s="68"/>
      <c r="AH377" s="68"/>
      <c r="AI377" s="110"/>
      <c r="AJ377" s="110"/>
      <c r="AK377" s="68"/>
      <c r="AL377" s="68"/>
      <c r="AM377" s="110"/>
      <c r="AN377" s="110"/>
      <c r="AO377" s="68"/>
      <c r="AP377" s="68"/>
      <c r="AQ377" s="40"/>
      <c r="AR377" s="40"/>
      <c r="AS377" s="23"/>
    </row>
    <row r="378" spans="1:45" ht="15.75" x14ac:dyDescent="0.25">
      <c r="A378" s="44"/>
      <c r="B378" s="23"/>
      <c r="C378" s="23"/>
      <c r="D378" s="23"/>
      <c r="E378" s="68"/>
      <c r="F378" s="68"/>
      <c r="G378" s="110"/>
      <c r="H378" s="110"/>
      <c r="I378" s="68"/>
      <c r="J378" s="68"/>
      <c r="K378" s="110"/>
      <c r="L378" s="110"/>
      <c r="M378" s="68"/>
      <c r="N378" s="68"/>
      <c r="O378" s="110"/>
      <c r="P378" s="110"/>
      <c r="Q378" s="68"/>
      <c r="R378" s="68"/>
      <c r="S378" s="110"/>
      <c r="T378" s="110"/>
      <c r="U378" s="68"/>
      <c r="V378" s="68"/>
      <c r="W378" s="110"/>
      <c r="X378" s="110"/>
      <c r="Y378" s="110"/>
      <c r="Z378" s="110"/>
      <c r="AA378" s="110"/>
      <c r="AB378" s="110"/>
      <c r="AC378" s="114"/>
      <c r="AD378" s="68"/>
      <c r="AE378" s="110"/>
      <c r="AF378" s="110"/>
      <c r="AG378" s="68"/>
      <c r="AH378" s="68"/>
      <c r="AI378" s="110"/>
      <c r="AJ378" s="110"/>
      <c r="AK378" s="68"/>
      <c r="AL378" s="68"/>
      <c r="AM378" s="110"/>
      <c r="AN378" s="110"/>
      <c r="AO378" s="68"/>
      <c r="AP378" s="68"/>
      <c r="AQ378" s="40"/>
      <c r="AR378" s="40"/>
      <c r="AS378" s="23"/>
    </row>
    <row r="379" spans="1:45" ht="15.75" x14ac:dyDescent="0.25">
      <c r="A379" s="44"/>
      <c r="B379" s="23"/>
      <c r="C379" s="23"/>
      <c r="D379" s="23"/>
      <c r="E379" s="68"/>
      <c r="F379" s="68"/>
      <c r="G379" s="110"/>
      <c r="H379" s="110"/>
      <c r="I379" s="68"/>
      <c r="J379" s="68"/>
      <c r="K379" s="110"/>
      <c r="L379" s="110"/>
      <c r="M379" s="68"/>
      <c r="N379" s="68"/>
      <c r="O379" s="110"/>
      <c r="P379" s="110"/>
      <c r="Q379" s="68"/>
      <c r="R379" s="68"/>
      <c r="S379" s="110"/>
      <c r="T379" s="110"/>
      <c r="U379" s="68"/>
      <c r="V379" s="68"/>
      <c r="W379" s="110"/>
      <c r="X379" s="110"/>
      <c r="Y379" s="110"/>
      <c r="Z379" s="110"/>
      <c r="AA379" s="110"/>
      <c r="AB379" s="110"/>
      <c r="AC379" s="114"/>
      <c r="AD379" s="68"/>
      <c r="AE379" s="110"/>
      <c r="AF379" s="110"/>
      <c r="AG379" s="68"/>
      <c r="AH379" s="68"/>
      <c r="AI379" s="110"/>
      <c r="AJ379" s="110"/>
      <c r="AK379" s="68"/>
      <c r="AL379" s="68"/>
      <c r="AM379" s="110"/>
      <c r="AN379" s="110"/>
      <c r="AO379" s="68"/>
      <c r="AP379" s="68"/>
      <c r="AQ379" s="40"/>
      <c r="AR379" s="40"/>
      <c r="AS379" s="23"/>
    </row>
    <row r="380" spans="1:45" ht="15.75" x14ac:dyDescent="0.25">
      <c r="A380" s="44"/>
      <c r="B380" s="23"/>
      <c r="C380" s="23"/>
      <c r="D380" s="23"/>
      <c r="E380" s="68"/>
      <c r="F380" s="68"/>
      <c r="G380" s="110"/>
      <c r="H380" s="110"/>
      <c r="I380" s="68"/>
      <c r="J380" s="68"/>
      <c r="K380" s="110"/>
      <c r="L380" s="110"/>
      <c r="M380" s="68"/>
      <c r="N380" s="68"/>
      <c r="O380" s="110"/>
      <c r="P380" s="110"/>
      <c r="Q380" s="68"/>
      <c r="R380" s="68"/>
      <c r="S380" s="110"/>
      <c r="T380" s="110"/>
      <c r="U380" s="68"/>
      <c r="V380" s="68"/>
      <c r="W380" s="110"/>
      <c r="X380" s="110"/>
      <c r="Y380" s="110"/>
      <c r="Z380" s="110"/>
      <c r="AA380" s="110"/>
      <c r="AB380" s="110"/>
      <c r="AC380" s="114"/>
      <c r="AD380" s="68"/>
      <c r="AE380" s="110"/>
      <c r="AF380" s="110"/>
      <c r="AG380" s="68"/>
      <c r="AH380" s="68"/>
      <c r="AI380" s="110"/>
      <c r="AJ380" s="110"/>
      <c r="AK380" s="68"/>
      <c r="AL380" s="68"/>
      <c r="AM380" s="110"/>
      <c r="AN380" s="110"/>
      <c r="AO380" s="68"/>
      <c r="AP380" s="68"/>
      <c r="AQ380" s="40"/>
      <c r="AR380" s="40"/>
      <c r="AS380" s="23"/>
    </row>
    <row r="381" spans="1:45" ht="15.75" x14ac:dyDescent="0.25">
      <c r="A381" s="44"/>
      <c r="B381" s="23"/>
      <c r="C381" s="23"/>
      <c r="D381" s="23"/>
      <c r="E381" s="68"/>
      <c r="F381" s="68"/>
      <c r="G381" s="110"/>
      <c r="H381" s="110"/>
      <c r="I381" s="68"/>
      <c r="J381" s="68"/>
      <c r="K381" s="110"/>
      <c r="L381" s="110"/>
      <c r="M381" s="68"/>
      <c r="N381" s="68"/>
      <c r="O381" s="110"/>
      <c r="P381" s="110"/>
      <c r="Q381" s="68"/>
      <c r="R381" s="68"/>
      <c r="S381" s="110"/>
      <c r="T381" s="110"/>
      <c r="U381" s="68"/>
      <c r="V381" s="68"/>
      <c r="W381" s="110"/>
      <c r="X381" s="110"/>
      <c r="Y381" s="110"/>
      <c r="Z381" s="110"/>
      <c r="AA381" s="110"/>
      <c r="AB381" s="110"/>
      <c r="AC381" s="114"/>
      <c r="AD381" s="68"/>
      <c r="AE381" s="110"/>
      <c r="AF381" s="110"/>
      <c r="AG381" s="68"/>
      <c r="AH381" s="68"/>
      <c r="AI381" s="110"/>
      <c r="AJ381" s="110"/>
      <c r="AK381" s="68"/>
      <c r="AL381" s="68"/>
      <c r="AM381" s="110"/>
      <c r="AN381" s="110"/>
      <c r="AO381" s="68"/>
      <c r="AP381" s="68"/>
      <c r="AQ381" s="40"/>
      <c r="AR381" s="40"/>
      <c r="AS381" s="23"/>
    </row>
    <row r="382" spans="1:45" ht="15.75" x14ac:dyDescent="0.25">
      <c r="A382" s="44"/>
      <c r="B382" s="23"/>
      <c r="C382" s="23"/>
      <c r="D382" s="23"/>
      <c r="E382" s="68"/>
      <c r="F382" s="68"/>
      <c r="G382" s="110"/>
      <c r="H382" s="110"/>
      <c r="I382" s="68"/>
      <c r="J382" s="68"/>
      <c r="K382" s="110"/>
      <c r="L382" s="110"/>
      <c r="M382" s="68"/>
      <c r="N382" s="68"/>
      <c r="O382" s="110"/>
      <c r="P382" s="110"/>
      <c r="Q382" s="68"/>
      <c r="R382" s="68"/>
      <c r="S382" s="110"/>
      <c r="T382" s="110"/>
      <c r="U382" s="68"/>
      <c r="V382" s="68"/>
      <c r="W382" s="110"/>
      <c r="X382" s="110"/>
      <c r="Y382" s="110"/>
      <c r="Z382" s="110"/>
      <c r="AA382" s="110"/>
      <c r="AB382" s="110"/>
      <c r="AC382" s="114"/>
      <c r="AD382" s="68"/>
      <c r="AE382" s="110"/>
      <c r="AF382" s="110"/>
      <c r="AG382" s="68"/>
      <c r="AH382" s="68"/>
      <c r="AI382" s="110"/>
      <c r="AJ382" s="110"/>
      <c r="AK382" s="68"/>
      <c r="AL382" s="68"/>
      <c r="AM382" s="110"/>
      <c r="AN382" s="110"/>
      <c r="AO382" s="68"/>
      <c r="AP382" s="68"/>
      <c r="AQ382" s="40"/>
      <c r="AR382" s="40"/>
      <c r="AS382" s="23"/>
    </row>
    <row r="383" spans="1:45" ht="15.75" x14ac:dyDescent="0.25">
      <c r="A383" s="44"/>
      <c r="B383" s="23"/>
      <c r="C383" s="23"/>
      <c r="D383" s="23"/>
      <c r="E383" s="68"/>
      <c r="F383" s="68"/>
      <c r="G383" s="110"/>
      <c r="H383" s="110"/>
      <c r="I383" s="68"/>
      <c r="J383" s="68"/>
      <c r="K383" s="110"/>
      <c r="L383" s="110"/>
      <c r="M383" s="68"/>
      <c r="N383" s="68"/>
      <c r="O383" s="110"/>
      <c r="P383" s="110"/>
      <c r="Q383" s="68"/>
      <c r="R383" s="68"/>
      <c r="S383" s="110"/>
      <c r="T383" s="110"/>
      <c r="U383" s="68"/>
      <c r="V383" s="68"/>
      <c r="W383" s="110"/>
      <c r="X383" s="110"/>
      <c r="Y383" s="110"/>
      <c r="Z383" s="110"/>
      <c r="AA383" s="110"/>
      <c r="AB383" s="110"/>
      <c r="AC383" s="114"/>
      <c r="AD383" s="68"/>
      <c r="AE383" s="110"/>
      <c r="AF383" s="110"/>
      <c r="AG383" s="68"/>
      <c r="AH383" s="68"/>
      <c r="AI383" s="110"/>
      <c r="AJ383" s="110"/>
      <c r="AK383" s="68"/>
      <c r="AL383" s="68"/>
      <c r="AM383" s="110"/>
      <c r="AN383" s="110"/>
      <c r="AO383" s="68"/>
      <c r="AP383" s="68"/>
      <c r="AQ383" s="40"/>
      <c r="AR383" s="40"/>
      <c r="AS383" s="23"/>
    </row>
    <row r="384" spans="1:45" ht="15.75" x14ac:dyDescent="0.25">
      <c r="A384" s="44"/>
      <c r="B384" s="23"/>
      <c r="C384" s="23"/>
      <c r="D384" s="23"/>
      <c r="E384" s="68"/>
      <c r="F384" s="68"/>
      <c r="G384" s="110"/>
      <c r="H384" s="110"/>
      <c r="I384" s="68"/>
      <c r="J384" s="68"/>
      <c r="K384" s="110"/>
      <c r="L384" s="110"/>
      <c r="M384" s="68"/>
      <c r="N384" s="68"/>
      <c r="O384" s="110"/>
      <c r="P384" s="110"/>
      <c r="Q384" s="68"/>
      <c r="R384" s="68"/>
      <c r="S384" s="110"/>
      <c r="T384" s="110"/>
      <c r="U384" s="68"/>
      <c r="V384" s="68"/>
      <c r="W384" s="110"/>
      <c r="X384" s="110"/>
      <c r="Y384" s="110"/>
      <c r="Z384" s="110"/>
      <c r="AA384" s="110"/>
      <c r="AB384" s="110"/>
      <c r="AC384" s="114"/>
      <c r="AD384" s="68"/>
      <c r="AE384" s="110"/>
      <c r="AF384" s="110"/>
      <c r="AG384" s="68"/>
      <c r="AH384" s="68"/>
      <c r="AI384" s="110"/>
      <c r="AJ384" s="110"/>
      <c r="AK384" s="68"/>
      <c r="AL384" s="68"/>
      <c r="AM384" s="110"/>
      <c r="AN384" s="110"/>
      <c r="AO384" s="68"/>
      <c r="AP384" s="68"/>
      <c r="AQ384" s="40"/>
      <c r="AR384" s="40"/>
      <c r="AS384" s="23"/>
    </row>
    <row r="385" spans="1:45" ht="15.75" x14ac:dyDescent="0.25">
      <c r="A385" s="44"/>
      <c r="B385" s="23"/>
      <c r="C385" s="23"/>
      <c r="D385" s="23"/>
      <c r="E385" s="68"/>
      <c r="F385" s="68"/>
      <c r="G385" s="110"/>
      <c r="H385" s="110"/>
      <c r="I385" s="68"/>
      <c r="J385" s="68"/>
      <c r="K385" s="110"/>
      <c r="L385" s="110"/>
      <c r="M385" s="68"/>
      <c r="N385" s="68"/>
      <c r="O385" s="110"/>
      <c r="P385" s="110"/>
      <c r="Q385" s="68"/>
      <c r="R385" s="68"/>
      <c r="S385" s="110"/>
      <c r="T385" s="110"/>
      <c r="U385" s="68"/>
      <c r="V385" s="68"/>
      <c r="W385" s="110"/>
      <c r="X385" s="110"/>
      <c r="Y385" s="110"/>
      <c r="Z385" s="110"/>
      <c r="AA385" s="110"/>
      <c r="AB385" s="110"/>
      <c r="AC385" s="114"/>
      <c r="AD385" s="68"/>
      <c r="AE385" s="110"/>
      <c r="AF385" s="110"/>
      <c r="AG385" s="68"/>
      <c r="AH385" s="68"/>
      <c r="AI385" s="110"/>
      <c r="AJ385" s="110"/>
      <c r="AK385" s="68"/>
      <c r="AL385" s="68"/>
      <c r="AM385" s="110"/>
      <c r="AN385" s="110"/>
      <c r="AO385" s="68"/>
      <c r="AP385" s="68"/>
      <c r="AQ385" s="40"/>
      <c r="AR385" s="40"/>
      <c r="AS385" s="23"/>
    </row>
    <row r="386" spans="1:45" ht="15.75" x14ac:dyDescent="0.25">
      <c r="A386" s="44"/>
      <c r="B386" s="23"/>
      <c r="C386" s="23"/>
      <c r="D386" s="23"/>
      <c r="E386" s="68"/>
      <c r="F386" s="68"/>
      <c r="G386" s="110"/>
      <c r="H386" s="110"/>
      <c r="I386" s="68"/>
      <c r="J386" s="68"/>
      <c r="K386" s="110"/>
      <c r="L386" s="110"/>
      <c r="M386" s="68"/>
      <c r="N386" s="68"/>
      <c r="O386" s="110"/>
      <c r="P386" s="110"/>
      <c r="Q386" s="68"/>
      <c r="R386" s="68"/>
      <c r="S386" s="110"/>
      <c r="T386" s="110"/>
      <c r="U386" s="68"/>
      <c r="V386" s="68"/>
      <c r="W386" s="110"/>
      <c r="X386" s="110"/>
      <c r="Y386" s="110"/>
      <c r="Z386" s="110"/>
      <c r="AA386" s="110"/>
      <c r="AB386" s="110"/>
      <c r="AC386" s="114"/>
      <c r="AD386" s="68"/>
      <c r="AE386" s="110"/>
      <c r="AF386" s="110"/>
      <c r="AG386" s="68"/>
      <c r="AH386" s="68"/>
      <c r="AI386" s="110"/>
      <c r="AJ386" s="110"/>
      <c r="AK386" s="68"/>
      <c r="AL386" s="68"/>
      <c r="AM386" s="110"/>
      <c r="AN386" s="110"/>
      <c r="AO386" s="68"/>
      <c r="AP386" s="68"/>
      <c r="AQ386" s="40"/>
      <c r="AR386" s="40"/>
      <c r="AS386" s="23"/>
    </row>
    <row r="387" spans="1:45" ht="15.75" x14ac:dyDescent="0.25">
      <c r="A387" s="44"/>
      <c r="B387" s="23"/>
      <c r="C387" s="23"/>
      <c r="D387" s="23"/>
      <c r="E387" s="68"/>
      <c r="F387" s="68"/>
      <c r="G387" s="110"/>
      <c r="H387" s="110"/>
      <c r="I387" s="68"/>
      <c r="J387" s="68"/>
      <c r="K387" s="110"/>
      <c r="L387" s="110"/>
      <c r="M387" s="68"/>
      <c r="N387" s="68"/>
      <c r="O387" s="110"/>
      <c r="P387" s="110"/>
      <c r="Q387" s="68"/>
      <c r="R387" s="68"/>
      <c r="S387" s="110"/>
      <c r="T387" s="110"/>
      <c r="U387" s="68"/>
      <c r="V387" s="68"/>
      <c r="W387" s="110"/>
      <c r="X387" s="110"/>
      <c r="Y387" s="110"/>
      <c r="Z387" s="110"/>
      <c r="AA387" s="110"/>
      <c r="AB387" s="110"/>
      <c r="AC387" s="114"/>
      <c r="AD387" s="68"/>
      <c r="AE387" s="110"/>
      <c r="AF387" s="110"/>
      <c r="AG387" s="68"/>
      <c r="AH387" s="68"/>
      <c r="AI387" s="110"/>
      <c r="AJ387" s="110"/>
      <c r="AK387" s="68"/>
      <c r="AL387" s="68"/>
      <c r="AM387" s="110"/>
      <c r="AN387" s="110"/>
      <c r="AO387" s="68"/>
      <c r="AP387" s="68"/>
      <c r="AQ387" s="40"/>
      <c r="AR387" s="40"/>
      <c r="AS387" s="23"/>
    </row>
    <row r="388" spans="1:45" ht="15.75" x14ac:dyDescent="0.25">
      <c r="A388" s="44"/>
      <c r="B388" s="23"/>
      <c r="C388" s="23"/>
      <c r="D388" s="23"/>
      <c r="E388" s="68"/>
      <c r="F388" s="68"/>
      <c r="G388" s="110"/>
      <c r="H388" s="110"/>
      <c r="I388" s="68"/>
      <c r="J388" s="68"/>
      <c r="K388" s="110"/>
      <c r="L388" s="110"/>
      <c r="M388" s="68"/>
      <c r="N388" s="68"/>
      <c r="O388" s="110"/>
      <c r="P388" s="110"/>
      <c r="Q388" s="68"/>
      <c r="R388" s="68"/>
      <c r="S388" s="110"/>
      <c r="T388" s="110"/>
      <c r="U388" s="68"/>
      <c r="V388" s="68"/>
      <c r="W388" s="110"/>
      <c r="X388" s="110"/>
      <c r="Y388" s="110"/>
      <c r="Z388" s="110"/>
      <c r="AA388" s="110"/>
      <c r="AB388" s="110"/>
      <c r="AC388" s="114"/>
      <c r="AD388" s="68"/>
      <c r="AE388" s="110"/>
      <c r="AF388" s="110"/>
      <c r="AG388" s="68"/>
      <c r="AH388" s="68"/>
      <c r="AI388" s="110"/>
      <c r="AJ388" s="110"/>
      <c r="AK388" s="68"/>
      <c r="AL388" s="68"/>
      <c r="AM388" s="110"/>
      <c r="AN388" s="110"/>
      <c r="AO388" s="68"/>
      <c r="AP388" s="68"/>
      <c r="AQ388" s="40"/>
      <c r="AR388" s="40"/>
      <c r="AS388" s="23"/>
    </row>
    <row r="389" spans="1:45" ht="15.75" x14ac:dyDescent="0.25">
      <c r="A389" s="44"/>
      <c r="B389" s="23"/>
      <c r="C389" s="23"/>
      <c r="D389" s="23"/>
      <c r="E389" s="68"/>
      <c r="F389" s="68"/>
      <c r="G389" s="110"/>
      <c r="H389" s="110"/>
      <c r="I389" s="68"/>
      <c r="J389" s="68"/>
      <c r="K389" s="110"/>
      <c r="L389" s="110"/>
      <c r="M389" s="68"/>
      <c r="N389" s="68"/>
      <c r="O389" s="110"/>
      <c r="P389" s="110"/>
      <c r="Q389" s="68"/>
      <c r="R389" s="68"/>
      <c r="S389" s="110"/>
      <c r="T389" s="110"/>
      <c r="U389" s="68"/>
      <c r="V389" s="68"/>
      <c r="W389" s="110"/>
      <c r="X389" s="110"/>
      <c r="Y389" s="110"/>
      <c r="Z389" s="110"/>
      <c r="AA389" s="110"/>
      <c r="AB389" s="110"/>
      <c r="AC389" s="114"/>
      <c r="AD389" s="68"/>
      <c r="AE389" s="110"/>
      <c r="AF389" s="110"/>
      <c r="AG389" s="68"/>
      <c r="AH389" s="68"/>
      <c r="AI389" s="110"/>
      <c r="AJ389" s="110"/>
      <c r="AK389" s="68"/>
      <c r="AL389" s="68"/>
      <c r="AM389" s="110"/>
      <c r="AN389" s="110"/>
      <c r="AO389" s="68"/>
      <c r="AP389" s="68"/>
      <c r="AQ389" s="40"/>
      <c r="AR389" s="40"/>
      <c r="AS389" s="23"/>
    </row>
    <row r="390" spans="1:45" ht="15.75" x14ac:dyDescent="0.25">
      <c r="A390" s="44"/>
      <c r="B390" s="23"/>
      <c r="C390" s="23"/>
      <c r="D390" s="23"/>
      <c r="E390" s="68"/>
      <c r="F390" s="68"/>
      <c r="G390" s="110"/>
      <c r="H390" s="110"/>
      <c r="I390" s="68"/>
      <c r="J390" s="68"/>
      <c r="K390" s="110"/>
      <c r="L390" s="110"/>
      <c r="M390" s="68"/>
      <c r="N390" s="68"/>
      <c r="O390" s="110"/>
      <c r="P390" s="110"/>
      <c r="Q390" s="68"/>
      <c r="R390" s="68"/>
      <c r="S390" s="110"/>
      <c r="T390" s="110"/>
      <c r="U390" s="68"/>
      <c r="V390" s="68"/>
      <c r="W390" s="110"/>
      <c r="X390" s="110"/>
      <c r="Y390" s="110"/>
      <c r="Z390" s="110"/>
      <c r="AA390" s="110"/>
      <c r="AB390" s="110"/>
      <c r="AC390" s="114"/>
      <c r="AD390" s="68"/>
      <c r="AE390" s="110"/>
      <c r="AF390" s="110"/>
      <c r="AG390" s="68"/>
      <c r="AH390" s="68"/>
      <c r="AI390" s="110"/>
      <c r="AJ390" s="110"/>
      <c r="AK390" s="68"/>
      <c r="AL390" s="68"/>
      <c r="AM390" s="110"/>
      <c r="AN390" s="110"/>
      <c r="AO390" s="68"/>
      <c r="AP390" s="68"/>
      <c r="AQ390" s="40"/>
      <c r="AR390" s="40"/>
      <c r="AS390" s="23"/>
    </row>
    <row r="391" spans="1:45" ht="15.75" x14ac:dyDescent="0.25">
      <c r="A391" s="44"/>
      <c r="B391" s="23"/>
      <c r="C391" s="23"/>
      <c r="D391" s="23"/>
      <c r="E391" s="68"/>
      <c r="F391" s="68"/>
      <c r="G391" s="110"/>
      <c r="H391" s="110"/>
      <c r="I391" s="68"/>
      <c r="J391" s="68"/>
      <c r="K391" s="110"/>
      <c r="L391" s="110"/>
      <c r="M391" s="68"/>
      <c r="N391" s="68"/>
      <c r="O391" s="110"/>
      <c r="P391" s="110"/>
      <c r="Q391" s="68"/>
      <c r="R391" s="68"/>
      <c r="S391" s="110"/>
      <c r="T391" s="110"/>
      <c r="U391" s="68"/>
      <c r="V391" s="68"/>
      <c r="W391" s="110"/>
      <c r="X391" s="110"/>
      <c r="Y391" s="110"/>
      <c r="Z391" s="110"/>
      <c r="AA391" s="110"/>
      <c r="AB391" s="110"/>
      <c r="AC391" s="114"/>
      <c r="AD391" s="68"/>
      <c r="AE391" s="110"/>
      <c r="AF391" s="110"/>
      <c r="AG391" s="68"/>
      <c r="AH391" s="68"/>
      <c r="AI391" s="110"/>
      <c r="AJ391" s="110"/>
      <c r="AK391" s="68"/>
      <c r="AL391" s="68"/>
      <c r="AM391" s="110"/>
      <c r="AN391" s="110"/>
      <c r="AO391" s="68"/>
      <c r="AP391" s="68"/>
      <c r="AQ391" s="40"/>
      <c r="AR391" s="40"/>
      <c r="AS391" s="23"/>
    </row>
    <row r="392" spans="1:45" ht="15.75" x14ac:dyDescent="0.25">
      <c r="A392" s="44"/>
      <c r="B392" s="23"/>
      <c r="C392" s="23"/>
      <c r="D392" s="23"/>
      <c r="E392" s="68"/>
      <c r="F392" s="68"/>
      <c r="G392" s="110"/>
      <c r="H392" s="110"/>
      <c r="I392" s="68"/>
      <c r="J392" s="68"/>
      <c r="K392" s="110"/>
      <c r="L392" s="110"/>
      <c r="M392" s="68"/>
      <c r="N392" s="68"/>
      <c r="O392" s="110"/>
      <c r="P392" s="110"/>
      <c r="Q392" s="68"/>
      <c r="R392" s="68"/>
      <c r="S392" s="110"/>
      <c r="T392" s="110"/>
      <c r="U392" s="68"/>
      <c r="V392" s="68"/>
      <c r="W392" s="110"/>
      <c r="X392" s="110"/>
      <c r="Y392" s="110"/>
      <c r="Z392" s="110"/>
      <c r="AA392" s="110"/>
      <c r="AB392" s="110"/>
      <c r="AC392" s="114"/>
      <c r="AD392" s="68"/>
      <c r="AE392" s="110"/>
      <c r="AF392" s="110"/>
      <c r="AG392" s="68"/>
      <c r="AH392" s="68"/>
      <c r="AI392" s="110"/>
      <c r="AJ392" s="110"/>
      <c r="AK392" s="68"/>
      <c r="AL392" s="68"/>
      <c r="AM392" s="110"/>
      <c r="AN392" s="110"/>
      <c r="AO392" s="68"/>
      <c r="AP392" s="68"/>
      <c r="AQ392" s="40"/>
      <c r="AR392" s="40"/>
      <c r="AS392" s="23"/>
    </row>
    <row r="393" spans="1:45" ht="15.75" x14ac:dyDescent="0.25">
      <c r="A393" s="44"/>
      <c r="B393" s="23"/>
      <c r="C393" s="23"/>
      <c r="D393" s="23"/>
      <c r="E393" s="68"/>
      <c r="F393" s="68"/>
      <c r="G393" s="110"/>
      <c r="H393" s="110"/>
      <c r="I393" s="68"/>
      <c r="J393" s="68"/>
      <c r="K393" s="110"/>
      <c r="L393" s="110"/>
      <c r="M393" s="68"/>
      <c r="N393" s="68"/>
      <c r="O393" s="110"/>
      <c r="P393" s="110"/>
      <c r="Q393" s="68"/>
      <c r="R393" s="68"/>
      <c r="S393" s="110"/>
      <c r="T393" s="110"/>
      <c r="U393" s="68"/>
      <c r="V393" s="68"/>
      <c r="W393" s="110"/>
      <c r="X393" s="110"/>
      <c r="Y393" s="110"/>
      <c r="Z393" s="110"/>
      <c r="AA393" s="110"/>
      <c r="AB393" s="110"/>
      <c r="AC393" s="114"/>
      <c r="AD393" s="68"/>
      <c r="AE393" s="110"/>
      <c r="AF393" s="110"/>
      <c r="AG393" s="68"/>
      <c r="AH393" s="68"/>
      <c r="AI393" s="110"/>
      <c r="AJ393" s="110"/>
      <c r="AK393" s="68"/>
      <c r="AL393" s="68"/>
      <c r="AM393" s="110"/>
      <c r="AN393" s="110"/>
      <c r="AO393" s="68"/>
      <c r="AP393" s="68"/>
      <c r="AQ393" s="40"/>
      <c r="AR393" s="40"/>
      <c r="AS393" s="23"/>
    </row>
    <row r="394" spans="1:45" ht="15.75" x14ac:dyDescent="0.25">
      <c r="A394" s="44"/>
      <c r="B394" s="23"/>
      <c r="C394" s="23"/>
      <c r="D394" s="23"/>
      <c r="E394" s="68"/>
      <c r="F394" s="68"/>
      <c r="G394" s="110"/>
      <c r="H394" s="110"/>
      <c r="I394" s="68"/>
      <c r="J394" s="68"/>
      <c r="K394" s="110"/>
      <c r="L394" s="110"/>
      <c r="M394" s="68"/>
      <c r="N394" s="68"/>
      <c r="O394" s="110"/>
      <c r="P394" s="110"/>
      <c r="Q394" s="68"/>
      <c r="R394" s="68"/>
      <c r="S394" s="110"/>
      <c r="T394" s="110"/>
      <c r="U394" s="68"/>
      <c r="V394" s="68"/>
      <c r="W394" s="110"/>
      <c r="X394" s="110"/>
      <c r="Y394" s="110"/>
      <c r="Z394" s="110"/>
      <c r="AA394" s="110"/>
      <c r="AB394" s="110"/>
      <c r="AC394" s="114"/>
      <c r="AD394" s="68"/>
      <c r="AE394" s="110"/>
      <c r="AF394" s="110"/>
      <c r="AG394" s="68"/>
      <c r="AH394" s="68"/>
      <c r="AI394" s="110"/>
      <c r="AJ394" s="110"/>
      <c r="AK394" s="68"/>
      <c r="AL394" s="68"/>
      <c r="AM394" s="110"/>
      <c r="AN394" s="110"/>
      <c r="AO394" s="68"/>
      <c r="AP394" s="68"/>
      <c r="AQ394" s="40"/>
      <c r="AR394" s="40"/>
      <c r="AS394" s="23"/>
    </row>
    <row r="395" spans="1:45" ht="15.75" x14ac:dyDescent="0.25">
      <c r="A395" s="44"/>
      <c r="B395" s="23"/>
      <c r="C395" s="23"/>
      <c r="D395" s="23"/>
      <c r="E395" s="68"/>
      <c r="F395" s="68"/>
      <c r="G395" s="110"/>
      <c r="H395" s="110"/>
      <c r="I395" s="68"/>
      <c r="J395" s="68"/>
      <c r="K395" s="110"/>
      <c r="L395" s="110"/>
      <c r="M395" s="68"/>
      <c r="N395" s="68"/>
      <c r="O395" s="110"/>
      <c r="P395" s="110"/>
      <c r="Q395" s="68"/>
      <c r="R395" s="68"/>
      <c r="S395" s="110"/>
      <c r="T395" s="110"/>
      <c r="U395" s="68"/>
      <c r="V395" s="68"/>
      <c r="W395" s="110"/>
      <c r="X395" s="110"/>
      <c r="Y395" s="110"/>
      <c r="Z395" s="110"/>
      <c r="AA395" s="110"/>
      <c r="AB395" s="110"/>
      <c r="AC395" s="114"/>
      <c r="AD395" s="68"/>
      <c r="AE395" s="110"/>
      <c r="AF395" s="110"/>
      <c r="AG395" s="68"/>
      <c r="AH395" s="68"/>
      <c r="AI395" s="110"/>
      <c r="AJ395" s="110"/>
      <c r="AK395" s="68"/>
      <c r="AL395" s="68"/>
      <c r="AM395" s="110"/>
      <c r="AN395" s="110"/>
      <c r="AO395" s="68"/>
      <c r="AP395" s="68"/>
      <c r="AQ395" s="40"/>
      <c r="AR395" s="40"/>
      <c r="AS395" s="23"/>
    </row>
    <row r="396" spans="1:45" ht="15.75" x14ac:dyDescent="0.25">
      <c r="A396" s="44"/>
      <c r="B396" s="23"/>
      <c r="C396" s="23"/>
      <c r="D396" s="23"/>
      <c r="E396" s="68"/>
      <c r="F396" s="68"/>
      <c r="G396" s="110"/>
      <c r="H396" s="110"/>
      <c r="I396" s="68"/>
      <c r="J396" s="68"/>
      <c r="K396" s="110"/>
      <c r="L396" s="110"/>
      <c r="M396" s="68"/>
      <c r="N396" s="68"/>
      <c r="O396" s="110"/>
      <c r="P396" s="110"/>
      <c r="Q396" s="68"/>
      <c r="R396" s="68"/>
      <c r="S396" s="110"/>
      <c r="T396" s="110"/>
      <c r="U396" s="68"/>
      <c r="V396" s="68"/>
      <c r="W396" s="110"/>
      <c r="X396" s="110"/>
      <c r="Y396" s="110"/>
      <c r="Z396" s="110"/>
      <c r="AA396" s="110"/>
      <c r="AB396" s="110"/>
      <c r="AC396" s="114"/>
      <c r="AD396" s="68"/>
      <c r="AE396" s="110"/>
      <c r="AF396" s="110"/>
      <c r="AG396" s="68"/>
      <c r="AH396" s="68"/>
      <c r="AI396" s="110"/>
      <c r="AJ396" s="110"/>
      <c r="AK396" s="68"/>
      <c r="AL396" s="68"/>
      <c r="AM396" s="110"/>
      <c r="AN396" s="110"/>
      <c r="AO396" s="68"/>
      <c r="AP396" s="68"/>
      <c r="AQ396" s="40"/>
      <c r="AR396" s="40"/>
      <c r="AS396" s="23"/>
    </row>
    <row r="397" spans="1:45" ht="15.75" x14ac:dyDescent="0.25">
      <c r="A397" s="44"/>
      <c r="B397" s="23"/>
      <c r="C397" s="23"/>
      <c r="D397" s="23"/>
      <c r="E397" s="68"/>
      <c r="F397" s="68"/>
      <c r="G397" s="110"/>
      <c r="H397" s="110"/>
      <c r="I397" s="68"/>
      <c r="J397" s="68"/>
      <c r="K397" s="110"/>
      <c r="L397" s="110"/>
      <c r="M397" s="68"/>
      <c r="N397" s="68"/>
      <c r="O397" s="110"/>
      <c r="P397" s="110"/>
      <c r="Q397" s="68"/>
      <c r="R397" s="68"/>
      <c r="S397" s="110"/>
      <c r="T397" s="110"/>
      <c r="U397" s="68"/>
      <c r="V397" s="68"/>
      <c r="W397" s="110"/>
      <c r="X397" s="110"/>
      <c r="Y397" s="110"/>
      <c r="Z397" s="110"/>
      <c r="AA397" s="110"/>
      <c r="AB397" s="110"/>
      <c r="AC397" s="114"/>
      <c r="AD397" s="68"/>
      <c r="AE397" s="110"/>
      <c r="AF397" s="110"/>
      <c r="AG397" s="68"/>
      <c r="AH397" s="68"/>
      <c r="AI397" s="110"/>
      <c r="AJ397" s="110"/>
      <c r="AK397" s="68"/>
      <c r="AL397" s="68"/>
      <c r="AM397" s="110"/>
      <c r="AN397" s="110"/>
      <c r="AO397" s="68"/>
      <c r="AP397" s="68"/>
      <c r="AQ397" s="40"/>
      <c r="AR397" s="40"/>
      <c r="AS397" s="23"/>
    </row>
    <row r="398" spans="1:45" ht="15.75" x14ac:dyDescent="0.25">
      <c r="A398" s="44"/>
      <c r="B398" s="23"/>
      <c r="C398" s="23"/>
      <c r="D398" s="23"/>
      <c r="E398" s="68"/>
      <c r="F398" s="68"/>
      <c r="G398" s="110"/>
      <c r="H398" s="110"/>
      <c r="I398" s="68"/>
      <c r="J398" s="68"/>
      <c r="K398" s="110"/>
      <c r="L398" s="110"/>
      <c r="M398" s="68"/>
      <c r="N398" s="68"/>
      <c r="O398" s="110"/>
      <c r="P398" s="110"/>
      <c r="Q398" s="68"/>
      <c r="R398" s="68"/>
      <c r="S398" s="110"/>
      <c r="T398" s="110"/>
      <c r="U398" s="68"/>
      <c r="V398" s="68"/>
      <c r="W398" s="110"/>
      <c r="X398" s="110"/>
      <c r="Y398" s="110"/>
      <c r="Z398" s="110"/>
      <c r="AA398" s="110"/>
      <c r="AB398" s="110"/>
      <c r="AC398" s="114"/>
      <c r="AD398" s="68"/>
      <c r="AE398" s="110"/>
      <c r="AF398" s="110"/>
      <c r="AG398" s="68"/>
      <c r="AH398" s="68"/>
      <c r="AI398" s="110"/>
      <c r="AJ398" s="110"/>
      <c r="AK398" s="68"/>
      <c r="AL398" s="68"/>
      <c r="AM398" s="110"/>
      <c r="AN398" s="110"/>
      <c r="AO398" s="68"/>
      <c r="AP398" s="68"/>
      <c r="AQ398" s="40"/>
      <c r="AR398" s="40"/>
      <c r="AS398" s="23"/>
    </row>
    <row r="399" spans="1:45" ht="15.75" x14ac:dyDescent="0.25">
      <c r="A399" s="44"/>
      <c r="B399" s="23"/>
      <c r="C399" s="23"/>
      <c r="D399" s="23"/>
      <c r="E399" s="68"/>
      <c r="F399" s="68"/>
      <c r="G399" s="110"/>
      <c r="H399" s="110"/>
      <c r="I399" s="68"/>
      <c r="J399" s="68"/>
      <c r="K399" s="110"/>
      <c r="L399" s="110"/>
      <c r="M399" s="68"/>
      <c r="N399" s="68"/>
      <c r="O399" s="110"/>
      <c r="P399" s="110"/>
      <c r="Q399" s="68"/>
      <c r="R399" s="68"/>
      <c r="S399" s="110"/>
      <c r="T399" s="110"/>
      <c r="U399" s="68"/>
      <c r="V399" s="68"/>
      <c r="W399" s="110"/>
      <c r="X399" s="110"/>
      <c r="Y399" s="110"/>
      <c r="Z399" s="110"/>
      <c r="AA399" s="110"/>
      <c r="AB399" s="110"/>
      <c r="AC399" s="114"/>
      <c r="AD399" s="68"/>
      <c r="AE399" s="110"/>
      <c r="AF399" s="110"/>
      <c r="AG399" s="68"/>
      <c r="AH399" s="68"/>
      <c r="AI399" s="110"/>
      <c r="AJ399" s="110"/>
      <c r="AK399" s="68"/>
      <c r="AL399" s="68"/>
      <c r="AM399" s="110"/>
      <c r="AN399" s="110"/>
      <c r="AO399" s="68"/>
      <c r="AP399" s="68"/>
      <c r="AQ399" s="40"/>
      <c r="AR399" s="40"/>
      <c r="AS399" s="23"/>
    </row>
    <row r="400" spans="1:45" ht="15.75" x14ac:dyDescent="0.25">
      <c r="A400" s="44"/>
      <c r="B400" s="23"/>
      <c r="C400" s="23"/>
      <c r="D400" s="23"/>
      <c r="E400" s="68"/>
      <c r="F400" s="68"/>
      <c r="G400" s="110"/>
      <c r="H400" s="110"/>
      <c r="I400" s="68"/>
      <c r="J400" s="68"/>
      <c r="K400" s="110"/>
      <c r="L400" s="110"/>
      <c r="M400" s="68"/>
      <c r="N400" s="68"/>
      <c r="O400" s="110"/>
      <c r="P400" s="110"/>
      <c r="Q400" s="68"/>
      <c r="R400" s="68"/>
      <c r="S400" s="110"/>
      <c r="T400" s="110"/>
      <c r="U400" s="68"/>
      <c r="V400" s="68"/>
      <c r="W400" s="110"/>
      <c r="X400" s="110"/>
      <c r="Y400" s="110"/>
      <c r="Z400" s="110"/>
      <c r="AA400" s="110"/>
      <c r="AB400" s="110"/>
      <c r="AC400" s="114"/>
      <c r="AD400" s="68"/>
      <c r="AE400" s="110"/>
      <c r="AF400" s="110"/>
      <c r="AG400" s="68"/>
      <c r="AH400" s="68"/>
      <c r="AI400" s="110"/>
      <c r="AJ400" s="110"/>
      <c r="AK400" s="68"/>
      <c r="AL400" s="68"/>
      <c r="AM400" s="110"/>
      <c r="AN400" s="110"/>
      <c r="AO400" s="68"/>
      <c r="AP400" s="68"/>
      <c r="AQ400" s="40"/>
      <c r="AR400" s="40"/>
      <c r="AS400" s="23"/>
    </row>
    <row r="401" spans="1:45" ht="15.75" x14ac:dyDescent="0.25">
      <c r="A401" s="44"/>
      <c r="B401" s="23"/>
      <c r="C401" s="23"/>
      <c r="D401" s="23"/>
      <c r="E401" s="68"/>
      <c r="F401" s="68"/>
      <c r="G401" s="110"/>
      <c r="H401" s="110"/>
      <c r="I401" s="68"/>
      <c r="J401" s="68"/>
      <c r="K401" s="110"/>
      <c r="L401" s="110"/>
      <c r="M401" s="68"/>
      <c r="N401" s="68"/>
      <c r="O401" s="110"/>
      <c r="P401" s="110"/>
      <c r="Q401" s="68"/>
      <c r="R401" s="68"/>
      <c r="S401" s="110"/>
      <c r="T401" s="110"/>
      <c r="U401" s="68"/>
      <c r="V401" s="68"/>
      <c r="W401" s="110"/>
      <c r="X401" s="110"/>
      <c r="Y401" s="110"/>
      <c r="Z401" s="110"/>
      <c r="AA401" s="110"/>
      <c r="AB401" s="110"/>
      <c r="AC401" s="114"/>
      <c r="AD401" s="68"/>
      <c r="AE401" s="110"/>
      <c r="AF401" s="110"/>
      <c r="AG401" s="68"/>
      <c r="AH401" s="68"/>
      <c r="AI401" s="110"/>
      <c r="AJ401" s="110"/>
      <c r="AK401" s="68"/>
      <c r="AL401" s="68"/>
      <c r="AM401" s="110"/>
      <c r="AN401" s="110"/>
      <c r="AO401" s="68"/>
      <c r="AP401" s="68"/>
      <c r="AQ401" s="40"/>
      <c r="AR401" s="40"/>
      <c r="AS401" s="23"/>
    </row>
    <row r="402" spans="1:45" ht="15.75" x14ac:dyDescent="0.25">
      <c r="A402" s="44"/>
      <c r="B402" s="23"/>
      <c r="C402" s="23"/>
      <c r="D402" s="23"/>
      <c r="E402" s="68"/>
      <c r="F402" s="68"/>
      <c r="G402" s="110"/>
      <c r="H402" s="110"/>
      <c r="I402" s="68"/>
      <c r="J402" s="68"/>
      <c r="K402" s="110"/>
      <c r="L402" s="110"/>
      <c r="M402" s="68"/>
      <c r="N402" s="68"/>
      <c r="O402" s="110"/>
      <c r="P402" s="110"/>
      <c r="Q402" s="68"/>
      <c r="R402" s="68"/>
      <c r="S402" s="110"/>
      <c r="T402" s="110"/>
      <c r="U402" s="68"/>
      <c r="V402" s="68"/>
      <c r="W402" s="110"/>
      <c r="X402" s="110"/>
      <c r="Y402" s="110"/>
      <c r="Z402" s="110"/>
      <c r="AA402" s="110"/>
      <c r="AB402" s="110"/>
      <c r="AC402" s="114"/>
      <c r="AD402" s="68"/>
      <c r="AE402" s="110"/>
      <c r="AF402" s="110"/>
      <c r="AG402" s="68"/>
      <c r="AH402" s="68"/>
      <c r="AI402" s="110"/>
      <c r="AJ402" s="110"/>
      <c r="AK402" s="68"/>
      <c r="AL402" s="68"/>
      <c r="AM402" s="110"/>
      <c r="AN402" s="110"/>
      <c r="AO402" s="68"/>
      <c r="AP402" s="68"/>
      <c r="AQ402" s="40"/>
      <c r="AR402" s="40"/>
      <c r="AS402" s="23"/>
    </row>
    <row r="403" spans="1:45" ht="15.75" x14ac:dyDescent="0.25">
      <c r="A403" s="44"/>
      <c r="B403" s="23"/>
      <c r="C403" s="23"/>
      <c r="D403" s="23"/>
      <c r="E403" s="68"/>
      <c r="F403" s="68"/>
      <c r="G403" s="110"/>
      <c r="H403" s="110"/>
      <c r="I403" s="68"/>
      <c r="J403" s="68"/>
      <c r="K403" s="110"/>
      <c r="L403" s="110"/>
      <c r="M403" s="68"/>
      <c r="N403" s="68"/>
      <c r="O403" s="110"/>
      <c r="P403" s="110"/>
      <c r="Q403" s="68"/>
      <c r="R403" s="68"/>
      <c r="S403" s="110"/>
      <c r="T403" s="110"/>
      <c r="U403" s="68"/>
      <c r="V403" s="68"/>
      <c r="W403" s="110"/>
      <c r="X403" s="110"/>
      <c r="Y403" s="110"/>
      <c r="Z403" s="110"/>
      <c r="AA403" s="110"/>
      <c r="AB403" s="110"/>
      <c r="AC403" s="114"/>
      <c r="AD403" s="68"/>
      <c r="AE403" s="110"/>
      <c r="AF403" s="110"/>
      <c r="AG403" s="68"/>
      <c r="AH403" s="68"/>
      <c r="AI403" s="110"/>
      <c r="AJ403" s="110"/>
      <c r="AK403" s="68"/>
      <c r="AL403" s="68"/>
      <c r="AM403" s="110"/>
      <c r="AN403" s="110"/>
      <c r="AO403" s="68"/>
      <c r="AP403" s="68"/>
      <c r="AQ403" s="40"/>
      <c r="AR403" s="40"/>
      <c r="AS403" s="23"/>
    </row>
    <row r="404" spans="1:45" ht="15.75" x14ac:dyDescent="0.25">
      <c r="A404" s="44"/>
      <c r="B404" s="23"/>
      <c r="C404" s="23"/>
      <c r="D404" s="23"/>
      <c r="E404" s="68"/>
      <c r="F404" s="68"/>
      <c r="G404" s="110"/>
      <c r="H404" s="110"/>
      <c r="I404" s="68"/>
      <c r="J404" s="68"/>
      <c r="K404" s="110"/>
      <c r="L404" s="110"/>
      <c r="M404" s="68"/>
      <c r="N404" s="68"/>
      <c r="O404" s="110"/>
      <c r="P404" s="110"/>
      <c r="Q404" s="68"/>
      <c r="R404" s="68"/>
      <c r="S404" s="110"/>
      <c r="T404" s="110"/>
      <c r="U404" s="68"/>
      <c r="V404" s="68"/>
      <c r="W404" s="110"/>
      <c r="X404" s="110"/>
      <c r="Y404" s="110"/>
      <c r="Z404" s="110"/>
      <c r="AA404" s="110"/>
      <c r="AB404" s="110"/>
      <c r="AC404" s="114"/>
      <c r="AD404" s="68"/>
      <c r="AE404" s="110"/>
      <c r="AF404" s="110"/>
      <c r="AG404" s="68"/>
      <c r="AH404" s="68"/>
      <c r="AI404" s="110"/>
      <c r="AJ404" s="110"/>
      <c r="AK404" s="68"/>
      <c r="AL404" s="68"/>
      <c r="AM404" s="110"/>
      <c r="AN404" s="110"/>
      <c r="AO404" s="68"/>
      <c r="AP404" s="68"/>
      <c r="AQ404" s="40"/>
      <c r="AR404" s="40"/>
      <c r="AS404" s="23"/>
    </row>
    <row r="405" spans="1:45" ht="15.75" x14ac:dyDescent="0.25">
      <c r="A405" s="44"/>
      <c r="B405" s="23"/>
      <c r="C405" s="23"/>
      <c r="D405" s="23"/>
      <c r="E405" s="68"/>
      <c r="F405" s="68"/>
      <c r="G405" s="110"/>
      <c r="H405" s="110"/>
      <c r="I405" s="68"/>
      <c r="J405" s="68"/>
      <c r="K405" s="110"/>
      <c r="L405" s="110"/>
      <c r="M405" s="68"/>
      <c r="N405" s="68"/>
      <c r="O405" s="110"/>
      <c r="P405" s="110"/>
      <c r="Q405" s="68"/>
      <c r="R405" s="68"/>
      <c r="S405" s="110"/>
      <c r="T405" s="110"/>
      <c r="U405" s="68"/>
      <c r="V405" s="68"/>
      <c r="W405" s="110"/>
      <c r="X405" s="110"/>
      <c r="Y405" s="110"/>
      <c r="Z405" s="110"/>
      <c r="AA405" s="110"/>
      <c r="AB405" s="110"/>
      <c r="AC405" s="114"/>
      <c r="AD405" s="68"/>
      <c r="AE405" s="110"/>
      <c r="AF405" s="110"/>
      <c r="AG405" s="68"/>
      <c r="AH405" s="68"/>
      <c r="AI405" s="110"/>
      <c r="AJ405" s="110"/>
      <c r="AK405" s="68"/>
      <c r="AL405" s="68"/>
      <c r="AM405" s="110"/>
      <c r="AN405" s="110"/>
      <c r="AO405" s="68"/>
      <c r="AP405" s="68"/>
      <c r="AQ405" s="40"/>
      <c r="AR405" s="40"/>
      <c r="AS405" s="23"/>
    </row>
    <row r="406" spans="1:45" ht="15.75" x14ac:dyDescent="0.25">
      <c r="A406" s="44"/>
      <c r="B406" s="23"/>
      <c r="C406" s="23"/>
      <c r="D406" s="23"/>
      <c r="E406" s="68"/>
      <c r="F406" s="68"/>
      <c r="G406" s="110"/>
      <c r="H406" s="110"/>
      <c r="I406" s="68"/>
      <c r="J406" s="68"/>
      <c r="K406" s="110"/>
      <c r="L406" s="110"/>
      <c r="M406" s="68"/>
      <c r="N406" s="68"/>
      <c r="O406" s="110"/>
      <c r="P406" s="110"/>
      <c r="Q406" s="68"/>
      <c r="R406" s="68"/>
      <c r="S406" s="110"/>
      <c r="T406" s="110"/>
      <c r="U406" s="68"/>
      <c r="V406" s="68"/>
      <c r="W406" s="110"/>
      <c r="X406" s="110"/>
      <c r="Y406" s="110"/>
      <c r="Z406" s="110"/>
      <c r="AA406" s="110"/>
      <c r="AB406" s="110"/>
      <c r="AC406" s="114"/>
      <c r="AD406" s="68"/>
      <c r="AE406" s="110"/>
      <c r="AF406" s="110"/>
      <c r="AG406" s="68"/>
      <c r="AH406" s="68"/>
      <c r="AI406" s="110"/>
      <c r="AJ406" s="110"/>
      <c r="AK406" s="68"/>
      <c r="AL406" s="68"/>
      <c r="AM406" s="110"/>
      <c r="AN406" s="110"/>
      <c r="AO406" s="68"/>
      <c r="AP406" s="68"/>
      <c r="AQ406" s="40"/>
      <c r="AR406" s="40"/>
      <c r="AS406" s="23"/>
    </row>
    <row r="407" spans="1:45" ht="15.75" x14ac:dyDescent="0.25">
      <c r="A407" s="44"/>
      <c r="B407" s="23"/>
      <c r="C407" s="23"/>
      <c r="D407" s="23"/>
      <c r="E407" s="68"/>
      <c r="F407" s="68"/>
      <c r="G407" s="110"/>
      <c r="H407" s="110"/>
      <c r="I407" s="68"/>
      <c r="J407" s="68"/>
      <c r="K407" s="110"/>
      <c r="L407" s="110"/>
      <c r="M407" s="68"/>
      <c r="N407" s="68"/>
      <c r="O407" s="110"/>
      <c r="P407" s="110"/>
      <c r="Q407" s="68"/>
      <c r="R407" s="68"/>
      <c r="S407" s="110"/>
      <c r="T407" s="110"/>
      <c r="U407" s="68"/>
      <c r="V407" s="68"/>
      <c r="W407" s="110"/>
      <c r="X407" s="110"/>
      <c r="Y407" s="110"/>
      <c r="Z407" s="110"/>
      <c r="AA407" s="110"/>
      <c r="AB407" s="110"/>
      <c r="AC407" s="114"/>
      <c r="AD407" s="68"/>
      <c r="AE407" s="110"/>
      <c r="AF407" s="110"/>
      <c r="AG407" s="68"/>
      <c r="AH407" s="68"/>
      <c r="AI407" s="110"/>
      <c r="AJ407" s="110"/>
      <c r="AK407" s="68"/>
      <c r="AL407" s="68"/>
      <c r="AM407" s="110"/>
      <c r="AN407" s="110"/>
      <c r="AO407" s="68"/>
      <c r="AP407" s="68"/>
      <c r="AQ407" s="40"/>
      <c r="AR407" s="40"/>
      <c r="AS407" s="23"/>
    </row>
    <row r="408" spans="1:45" ht="15.75" x14ac:dyDescent="0.25">
      <c r="A408" s="44"/>
      <c r="B408" s="23"/>
      <c r="C408" s="23"/>
      <c r="D408" s="23"/>
      <c r="E408" s="68"/>
      <c r="F408" s="68"/>
      <c r="G408" s="110"/>
      <c r="H408" s="110"/>
      <c r="I408" s="68"/>
      <c r="J408" s="68"/>
      <c r="K408" s="110"/>
      <c r="L408" s="110"/>
      <c r="M408" s="68"/>
      <c r="N408" s="68"/>
      <c r="O408" s="110"/>
      <c r="P408" s="110"/>
      <c r="Q408" s="68"/>
      <c r="R408" s="68"/>
      <c r="S408" s="110"/>
      <c r="T408" s="110"/>
      <c r="U408" s="68"/>
      <c r="V408" s="68"/>
      <c r="W408" s="110"/>
      <c r="X408" s="110"/>
      <c r="Y408" s="110"/>
      <c r="Z408" s="110"/>
      <c r="AA408" s="110"/>
      <c r="AB408" s="110"/>
      <c r="AC408" s="114"/>
      <c r="AD408" s="68"/>
      <c r="AE408" s="110"/>
      <c r="AF408" s="110"/>
      <c r="AG408" s="68"/>
      <c r="AH408" s="68"/>
      <c r="AI408" s="110"/>
      <c r="AJ408" s="110"/>
      <c r="AK408" s="68"/>
      <c r="AL408" s="68"/>
      <c r="AM408" s="110"/>
      <c r="AN408" s="110"/>
      <c r="AO408" s="68"/>
      <c r="AP408" s="68"/>
      <c r="AQ408" s="40"/>
      <c r="AR408" s="40"/>
      <c r="AS408" s="23"/>
    </row>
    <row r="409" spans="1:45" ht="15.75" x14ac:dyDescent="0.25">
      <c r="A409" s="44"/>
      <c r="B409" s="23"/>
      <c r="C409" s="23"/>
      <c r="D409" s="23"/>
      <c r="E409" s="68"/>
      <c r="F409" s="68"/>
      <c r="G409" s="110"/>
      <c r="H409" s="110"/>
      <c r="I409" s="68"/>
      <c r="J409" s="68"/>
      <c r="K409" s="110"/>
      <c r="L409" s="110"/>
      <c r="M409" s="68"/>
      <c r="N409" s="68"/>
      <c r="O409" s="110"/>
      <c r="P409" s="110"/>
      <c r="Q409" s="68"/>
      <c r="R409" s="68"/>
      <c r="S409" s="110"/>
      <c r="T409" s="110"/>
      <c r="U409" s="68"/>
      <c r="V409" s="68"/>
      <c r="W409" s="110"/>
      <c r="X409" s="110"/>
      <c r="Y409" s="110"/>
      <c r="Z409" s="110"/>
      <c r="AA409" s="110"/>
      <c r="AB409" s="110"/>
      <c r="AC409" s="114"/>
      <c r="AD409" s="68"/>
      <c r="AE409" s="110"/>
      <c r="AF409" s="110"/>
      <c r="AG409" s="68"/>
      <c r="AH409" s="68"/>
      <c r="AI409" s="110"/>
      <c r="AJ409" s="110"/>
      <c r="AK409" s="68"/>
      <c r="AL409" s="68"/>
      <c r="AM409" s="110"/>
      <c r="AN409" s="110"/>
      <c r="AO409" s="68"/>
      <c r="AP409" s="68"/>
      <c r="AQ409" s="40"/>
      <c r="AR409" s="40"/>
      <c r="AS409" s="23"/>
    </row>
    <row r="410" spans="1:45" ht="15.75" x14ac:dyDescent="0.25">
      <c r="A410" s="44"/>
      <c r="B410" s="23"/>
      <c r="C410" s="23"/>
      <c r="D410" s="23"/>
      <c r="E410" s="68"/>
      <c r="F410" s="68"/>
      <c r="G410" s="110"/>
      <c r="H410" s="110"/>
      <c r="I410" s="68"/>
      <c r="J410" s="68"/>
      <c r="K410" s="110"/>
      <c r="L410" s="110"/>
      <c r="M410" s="68"/>
      <c r="N410" s="68"/>
      <c r="O410" s="110"/>
      <c r="P410" s="110"/>
      <c r="Q410" s="68"/>
      <c r="R410" s="68"/>
      <c r="S410" s="110"/>
      <c r="T410" s="110"/>
      <c r="U410" s="68"/>
      <c r="V410" s="68"/>
      <c r="W410" s="110"/>
      <c r="X410" s="110"/>
      <c r="Y410" s="110"/>
      <c r="Z410" s="110"/>
      <c r="AA410" s="110"/>
      <c r="AB410" s="110"/>
      <c r="AC410" s="114"/>
      <c r="AD410" s="68"/>
      <c r="AE410" s="110"/>
      <c r="AF410" s="110"/>
      <c r="AG410" s="68"/>
      <c r="AH410" s="68"/>
      <c r="AI410" s="110"/>
      <c r="AJ410" s="110"/>
      <c r="AK410" s="68"/>
      <c r="AL410" s="68"/>
      <c r="AM410" s="110"/>
      <c r="AN410" s="110"/>
      <c r="AO410" s="68"/>
      <c r="AP410" s="68"/>
      <c r="AQ410" s="40"/>
      <c r="AR410" s="40"/>
      <c r="AS410" s="23"/>
    </row>
    <row r="411" spans="1:45" ht="15.75" x14ac:dyDescent="0.25">
      <c r="A411" s="44"/>
      <c r="B411" s="23"/>
      <c r="C411" s="23"/>
      <c r="D411" s="23"/>
      <c r="E411" s="68"/>
      <c r="F411" s="68"/>
      <c r="G411" s="110"/>
      <c r="H411" s="110"/>
      <c r="I411" s="68"/>
      <c r="J411" s="68"/>
      <c r="K411" s="110"/>
      <c r="L411" s="110"/>
      <c r="M411" s="68"/>
      <c r="N411" s="68"/>
      <c r="O411" s="110"/>
      <c r="P411" s="110"/>
      <c r="Q411" s="68"/>
      <c r="R411" s="68"/>
      <c r="S411" s="110"/>
      <c r="T411" s="110"/>
      <c r="U411" s="68"/>
      <c r="V411" s="68"/>
      <c r="W411" s="110"/>
      <c r="X411" s="110"/>
      <c r="Y411" s="110"/>
      <c r="Z411" s="110"/>
      <c r="AA411" s="110"/>
      <c r="AB411" s="110"/>
      <c r="AC411" s="114"/>
      <c r="AD411" s="68"/>
      <c r="AE411" s="110"/>
      <c r="AF411" s="110"/>
      <c r="AG411" s="68"/>
      <c r="AH411" s="68"/>
      <c r="AI411" s="110"/>
      <c r="AJ411" s="110"/>
      <c r="AK411" s="68"/>
      <c r="AL411" s="68"/>
      <c r="AM411" s="110"/>
      <c r="AN411" s="110"/>
      <c r="AO411" s="68"/>
      <c r="AP411" s="68"/>
      <c r="AQ411" s="40"/>
      <c r="AR411" s="40"/>
      <c r="AS411" s="23"/>
    </row>
    <row r="412" spans="1:45" ht="15.75" x14ac:dyDescent="0.25">
      <c r="A412" s="44"/>
      <c r="B412" s="23"/>
      <c r="C412" s="23"/>
      <c r="D412" s="23"/>
      <c r="E412" s="68"/>
      <c r="F412" s="68"/>
      <c r="G412" s="110"/>
      <c r="H412" s="110"/>
      <c r="I412" s="68"/>
      <c r="J412" s="68"/>
      <c r="K412" s="110"/>
      <c r="L412" s="110"/>
      <c r="M412" s="68"/>
      <c r="N412" s="68"/>
      <c r="O412" s="110"/>
      <c r="P412" s="110"/>
      <c r="Q412" s="68"/>
      <c r="R412" s="68"/>
      <c r="S412" s="110"/>
      <c r="T412" s="110"/>
      <c r="U412" s="68"/>
      <c r="V412" s="68"/>
      <c r="W412" s="110"/>
      <c r="X412" s="110"/>
      <c r="Y412" s="110"/>
      <c r="Z412" s="110"/>
      <c r="AA412" s="110"/>
      <c r="AB412" s="110"/>
      <c r="AC412" s="114"/>
      <c r="AD412" s="68"/>
      <c r="AE412" s="110"/>
      <c r="AF412" s="110"/>
      <c r="AG412" s="68"/>
      <c r="AH412" s="68"/>
      <c r="AI412" s="110"/>
      <c r="AJ412" s="110"/>
      <c r="AK412" s="68"/>
      <c r="AL412" s="68"/>
      <c r="AM412" s="110"/>
      <c r="AN412" s="110"/>
      <c r="AO412" s="68"/>
      <c r="AP412" s="68"/>
      <c r="AQ412" s="40"/>
      <c r="AR412" s="40"/>
      <c r="AS412" s="23"/>
    </row>
    <row r="413" spans="1:45" ht="15.75" x14ac:dyDescent="0.25">
      <c r="A413" s="44"/>
      <c r="B413" s="23"/>
      <c r="C413" s="23"/>
      <c r="D413" s="23"/>
      <c r="E413" s="68"/>
      <c r="F413" s="68"/>
      <c r="G413" s="110"/>
      <c r="H413" s="110"/>
      <c r="I413" s="68"/>
      <c r="J413" s="68"/>
      <c r="K413" s="110"/>
      <c r="L413" s="110"/>
      <c r="M413" s="68"/>
      <c r="N413" s="68"/>
      <c r="O413" s="110"/>
      <c r="P413" s="110"/>
      <c r="Q413" s="68"/>
      <c r="R413" s="68"/>
      <c r="S413" s="110"/>
      <c r="T413" s="110"/>
      <c r="U413" s="68"/>
      <c r="V413" s="68"/>
      <c r="W413" s="110"/>
      <c r="X413" s="110"/>
      <c r="Y413" s="110"/>
      <c r="Z413" s="110"/>
      <c r="AA413" s="110"/>
      <c r="AB413" s="110"/>
      <c r="AC413" s="114"/>
      <c r="AD413" s="68"/>
      <c r="AE413" s="110"/>
      <c r="AF413" s="110"/>
      <c r="AG413" s="68"/>
      <c r="AH413" s="68"/>
      <c r="AI413" s="110"/>
      <c r="AJ413" s="110"/>
      <c r="AK413" s="68"/>
      <c r="AL413" s="68"/>
      <c r="AM413" s="110"/>
      <c r="AN413" s="110"/>
      <c r="AO413" s="68"/>
      <c r="AP413" s="68"/>
      <c r="AQ413" s="40"/>
      <c r="AR413" s="40"/>
      <c r="AS413" s="23"/>
    </row>
    <row r="414" spans="1:45" ht="15.75" x14ac:dyDescent="0.25">
      <c r="A414" s="44"/>
      <c r="B414" s="23"/>
      <c r="C414" s="23"/>
      <c r="D414" s="23"/>
      <c r="E414" s="68"/>
      <c r="F414" s="68"/>
      <c r="G414" s="110"/>
      <c r="H414" s="110"/>
      <c r="I414" s="68"/>
      <c r="J414" s="68"/>
      <c r="K414" s="110"/>
      <c r="L414" s="110"/>
      <c r="M414" s="68"/>
      <c r="N414" s="68"/>
      <c r="O414" s="110"/>
      <c r="P414" s="110"/>
      <c r="Q414" s="68"/>
      <c r="R414" s="68"/>
      <c r="S414" s="110"/>
      <c r="T414" s="110"/>
      <c r="U414" s="68"/>
      <c r="V414" s="68"/>
      <c r="W414" s="110"/>
      <c r="X414" s="110"/>
      <c r="Y414" s="110"/>
      <c r="Z414" s="110"/>
      <c r="AA414" s="110"/>
      <c r="AB414" s="110"/>
      <c r="AC414" s="114"/>
      <c r="AD414" s="68"/>
      <c r="AE414" s="110"/>
      <c r="AF414" s="110"/>
      <c r="AG414" s="68"/>
      <c r="AH414" s="68"/>
      <c r="AI414" s="110"/>
      <c r="AJ414" s="110"/>
      <c r="AK414" s="68"/>
      <c r="AL414" s="68"/>
      <c r="AM414" s="110"/>
      <c r="AN414" s="110"/>
      <c r="AO414" s="68"/>
      <c r="AP414" s="68"/>
      <c r="AQ414" s="40"/>
      <c r="AR414" s="40"/>
      <c r="AS414" s="23"/>
    </row>
    <row r="415" spans="1:45" ht="15.75" x14ac:dyDescent="0.25">
      <c r="A415" s="44"/>
      <c r="B415" s="23"/>
      <c r="C415" s="23"/>
      <c r="D415" s="23"/>
      <c r="E415" s="68"/>
      <c r="F415" s="68"/>
      <c r="G415" s="110"/>
      <c r="H415" s="110"/>
      <c r="I415" s="68"/>
      <c r="J415" s="68"/>
      <c r="K415" s="110"/>
      <c r="L415" s="110"/>
      <c r="M415" s="68"/>
      <c r="N415" s="68"/>
      <c r="O415" s="110"/>
      <c r="P415" s="110"/>
      <c r="Q415" s="68"/>
      <c r="R415" s="68"/>
      <c r="S415" s="110"/>
      <c r="T415" s="110"/>
      <c r="U415" s="68"/>
      <c r="V415" s="68"/>
      <c r="W415" s="110"/>
      <c r="X415" s="110"/>
      <c r="Y415" s="110"/>
      <c r="Z415" s="110"/>
      <c r="AA415" s="110"/>
      <c r="AB415" s="110"/>
      <c r="AC415" s="114"/>
      <c r="AD415" s="68"/>
      <c r="AE415" s="110"/>
      <c r="AF415" s="110"/>
      <c r="AG415" s="68"/>
      <c r="AH415" s="68"/>
      <c r="AI415" s="110"/>
      <c r="AJ415" s="110"/>
      <c r="AK415" s="68"/>
      <c r="AL415" s="68"/>
      <c r="AM415" s="110"/>
      <c r="AN415" s="110"/>
      <c r="AO415" s="68"/>
      <c r="AP415" s="68"/>
      <c r="AQ415" s="40"/>
      <c r="AR415" s="40"/>
      <c r="AS415" s="23"/>
    </row>
    <row r="416" spans="1:45" ht="15.75" x14ac:dyDescent="0.25">
      <c r="A416" s="44"/>
      <c r="B416" s="23"/>
      <c r="C416" s="23"/>
      <c r="D416" s="23"/>
      <c r="E416" s="68"/>
      <c r="F416" s="68"/>
      <c r="G416" s="110"/>
      <c r="H416" s="110"/>
      <c r="I416" s="68"/>
      <c r="J416" s="68"/>
      <c r="K416" s="110"/>
      <c r="L416" s="110"/>
      <c r="M416" s="68"/>
      <c r="N416" s="68"/>
      <c r="O416" s="110"/>
      <c r="P416" s="110"/>
      <c r="Q416" s="68"/>
      <c r="R416" s="68"/>
      <c r="S416" s="110"/>
      <c r="T416" s="110"/>
      <c r="U416" s="68"/>
      <c r="V416" s="68"/>
      <c r="W416" s="110"/>
      <c r="X416" s="110"/>
      <c r="Y416" s="110"/>
      <c r="Z416" s="110"/>
      <c r="AA416" s="110"/>
      <c r="AB416" s="110"/>
      <c r="AC416" s="114"/>
      <c r="AD416" s="68"/>
      <c r="AE416" s="110"/>
      <c r="AF416" s="110"/>
      <c r="AG416" s="68"/>
      <c r="AH416" s="68"/>
      <c r="AI416" s="110"/>
      <c r="AJ416" s="110"/>
      <c r="AK416" s="68"/>
      <c r="AL416" s="68"/>
      <c r="AM416" s="110"/>
      <c r="AN416" s="110"/>
      <c r="AO416" s="68"/>
      <c r="AP416" s="68"/>
      <c r="AQ416" s="40"/>
      <c r="AR416" s="40"/>
      <c r="AS416" s="23"/>
    </row>
    <row r="417" spans="1:45" ht="15.75" x14ac:dyDescent="0.25">
      <c r="A417" s="44"/>
      <c r="B417" s="23"/>
      <c r="C417" s="23"/>
      <c r="D417" s="23"/>
      <c r="E417" s="68"/>
      <c r="F417" s="68"/>
      <c r="G417" s="110"/>
      <c r="H417" s="110"/>
      <c r="I417" s="68"/>
      <c r="J417" s="68"/>
      <c r="K417" s="110"/>
      <c r="L417" s="110"/>
      <c r="M417" s="68"/>
      <c r="N417" s="68"/>
      <c r="O417" s="110"/>
      <c r="P417" s="110"/>
      <c r="Q417" s="68"/>
      <c r="R417" s="68"/>
      <c r="S417" s="110"/>
      <c r="T417" s="110"/>
      <c r="U417" s="68"/>
      <c r="V417" s="68"/>
      <c r="W417" s="110"/>
      <c r="X417" s="110"/>
      <c r="Y417" s="110"/>
      <c r="Z417" s="110"/>
      <c r="AA417" s="110"/>
      <c r="AB417" s="110"/>
      <c r="AC417" s="114"/>
      <c r="AD417" s="68"/>
      <c r="AE417" s="110"/>
      <c r="AF417" s="110"/>
      <c r="AG417" s="68"/>
      <c r="AH417" s="68"/>
      <c r="AI417" s="110"/>
      <c r="AJ417" s="110"/>
      <c r="AK417" s="68"/>
      <c r="AL417" s="68"/>
      <c r="AM417" s="110"/>
      <c r="AN417" s="110"/>
      <c r="AO417" s="68"/>
      <c r="AP417" s="68"/>
      <c r="AQ417" s="40"/>
      <c r="AR417" s="40"/>
      <c r="AS417" s="23"/>
    </row>
    <row r="418" spans="1:45" ht="15.75" x14ac:dyDescent="0.25">
      <c r="A418" s="44"/>
      <c r="B418" s="23"/>
      <c r="C418" s="23"/>
      <c r="D418" s="23"/>
      <c r="E418" s="68"/>
      <c r="F418" s="68"/>
      <c r="G418" s="110"/>
      <c r="H418" s="110"/>
      <c r="I418" s="68"/>
      <c r="J418" s="68"/>
      <c r="K418" s="110"/>
      <c r="L418" s="110"/>
      <c r="M418" s="68"/>
      <c r="N418" s="68"/>
      <c r="O418" s="110"/>
      <c r="P418" s="110"/>
      <c r="Q418" s="68"/>
      <c r="R418" s="68"/>
      <c r="S418" s="110"/>
      <c r="T418" s="110"/>
      <c r="U418" s="68"/>
      <c r="V418" s="68"/>
      <c r="W418" s="110"/>
      <c r="X418" s="110"/>
      <c r="Y418" s="110"/>
      <c r="Z418" s="110"/>
      <c r="AA418" s="110"/>
      <c r="AB418" s="110"/>
      <c r="AC418" s="114"/>
      <c r="AD418" s="68"/>
      <c r="AE418" s="110"/>
      <c r="AF418" s="110"/>
      <c r="AG418" s="68"/>
      <c r="AH418" s="68"/>
      <c r="AI418" s="110"/>
      <c r="AJ418" s="110"/>
      <c r="AK418" s="68"/>
      <c r="AL418" s="68"/>
      <c r="AM418" s="110"/>
      <c r="AN418" s="110"/>
      <c r="AO418" s="68"/>
      <c r="AP418" s="68"/>
      <c r="AQ418" s="40"/>
      <c r="AR418" s="40"/>
      <c r="AS418" s="23"/>
    </row>
    <row r="419" spans="1:45" ht="15.75" x14ac:dyDescent="0.25">
      <c r="A419" s="44"/>
      <c r="B419" s="23"/>
      <c r="C419" s="23"/>
      <c r="D419" s="23"/>
      <c r="E419" s="68"/>
      <c r="F419" s="68"/>
      <c r="G419" s="110"/>
      <c r="H419" s="110"/>
      <c r="I419" s="68"/>
      <c r="J419" s="68"/>
      <c r="K419" s="110"/>
      <c r="L419" s="110"/>
      <c r="M419" s="68"/>
      <c r="N419" s="68"/>
      <c r="O419" s="110"/>
      <c r="P419" s="110"/>
      <c r="Q419" s="68"/>
      <c r="R419" s="68"/>
      <c r="S419" s="110"/>
      <c r="T419" s="110"/>
      <c r="U419" s="68"/>
      <c r="V419" s="68"/>
      <c r="W419" s="110"/>
      <c r="X419" s="110"/>
      <c r="Y419" s="110"/>
      <c r="Z419" s="110"/>
      <c r="AA419" s="110"/>
      <c r="AB419" s="110"/>
      <c r="AC419" s="114"/>
      <c r="AD419" s="68"/>
      <c r="AE419" s="110"/>
      <c r="AF419" s="110"/>
      <c r="AG419" s="68"/>
      <c r="AH419" s="68"/>
      <c r="AI419" s="110"/>
      <c r="AJ419" s="110"/>
      <c r="AK419" s="68"/>
      <c r="AL419" s="68"/>
      <c r="AM419" s="110"/>
      <c r="AN419" s="110"/>
      <c r="AO419" s="68"/>
      <c r="AP419" s="68"/>
      <c r="AQ419" s="40"/>
      <c r="AR419" s="40"/>
      <c r="AS419" s="23"/>
    </row>
    <row r="420" spans="1:45" ht="15.75" x14ac:dyDescent="0.25">
      <c r="A420" s="44"/>
      <c r="B420" s="23"/>
      <c r="C420" s="23"/>
      <c r="D420" s="23"/>
      <c r="E420" s="68"/>
      <c r="F420" s="68"/>
      <c r="G420" s="110"/>
      <c r="H420" s="110"/>
      <c r="I420" s="68"/>
      <c r="J420" s="68"/>
      <c r="K420" s="110"/>
      <c r="L420" s="110"/>
      <c r="M420" s="68"/>
      <c r="N420" s="68"/>
      <c r="O420" s="110"/>
      <c r="P420" s="110"/>
      <c r="Q420" s="68"/>
      <c r="R420" s="68"/>
      <c r="S420" s="110"/>
      <c r="T420" s="110"/>
      <c r="U420" s="68"/>
      <c r="V420" s="68"/>
      <c r="W420" s="110"/>
      <c r="X420" s="110"/>
      <c r="Y420" s="110"/>
      <c r="Z420" s="110"/>
      <c r="AA420" s="110"/>
      <c r="AB420" s="110"/>
      <c r="AC420" s="114"/>
      <c r="AD420" s="68"/>
      <c r="AE420" s="110"/>
      <c r="AF420" s="110"/>
      <c r="AG420" s="68"/>
      <c r="AH420" s="68"/>
      <c r="AI420" s="110"/>
      <c r="AJ420" s="110"/>
      <c r="AK420" s="68"/>
      <c r="AL420" s="68"/>
      <c r="AM420" s="110"/>
      <c r="AN420" s="110"/>
      <c r="AO420" s="68"/>
      <c r="AP420" s="68"/>
      <c r="AQ420" s="40"/>
      <c r="AR420" s="40"/>
      <c r="AS420" s="23"/>
    </row>
    <row r="421" spans="1:45" ht="15.75" x14ac:dyDescent="0.25">
      <c r="A421" s="44"/>
      <c r="B421" s="23"/>
      <c r="C421" s="23"/>
      <c r="D421" s="23"/>
      <c r="E421" s="68"/>
      <c r="F421" s="68"/>
      <c r="G421" s="110"/>
      <c r="H421" s="110"/>
      <c r="I421" s="68"/>
      <c r="J421" s="68"/>
      <c r="K421" s="110"/>
      <c r="L421" s="110"/>
      <c r="M421" s="68"/>
      <c r="N421" s="68"/>
      <c r="O421" s="110"/>
      <c r="P421" s="110"/>
      <c r="Q421" s="68"/>
      <c r="R421" s="68"/>
      <c r="S421" s="110"/>
      <c r="T421" s="110"/>
      <c r="U421" s="68"/>
      <c r="V421" s="68"/>
      <c r="W421" s="110"/>
      <c r="X421" s="110"/>
      <c r="Y421" s="110"/>
      <c r="Z421" s="110"/>
      <c r="AA421" s="110"/>
      <c r="AB421" s="110"/>
      <c r="AC421" s="114"/>
      <c r="AD421" s="68"/>
      <c r="AE421" s="110"/>
      <c r="AF421" s="110"/>
      <c r="AG421" s="68"/>
      <c r="AH421" s="68"/>
      <c r="AI421" s="110"/>
      <c r="AJ421" s="110"/>
      <c r="AK421" s="68"/>
      <c r="AL421" s="68"/>
      <c r="AM421" s="110"/>
      <c r="AN421" s="110"/>
      <c r="AO421" s="68"/>
      <c r="AP421" s="68"/>
      <c r="AQ421" s="40"/>
      <c r="AR421" s="40"/>
      <c r="AS421" s="23"/>
    </row>
    <row r="422" spans="1:45" ht="15.75" x14ac:dyDescent="0.25">
      <c r="A422" s="44"/>
      <c r="B422" s="23"/>
      <c r="C422" s="23"/>
      <c r="D422" s="23"/>
      <c r="E422" s="68"/>
      <c r="F422" s="68"/>
      <c r="G422" s="110"/>
      <c r="H422" s="110"/>
      <c r="I422" s="68"/>
      <c r="J422" s="68"/>
      <c r="K422" s="110"/>
      <c r="L422" s="110"/>
      <c r="M422" s="68"/>
      <c r="N422" s="68"/>
      <c r="O422" s="110"/>
      <c r="P422" s="110"/>
      <c r="Q422" s="68"/>
      <c r="R422" s="68"/>
      <c r="S422" s="110"/>
      <c r="T422" s="110"/>
      <c r="U422" s="68"/>
      <c r="V422" s="68"/>
      <c r="W422" s="110"/>
      <c r="X422" s="110"/>
      <c r="Y422" s="110"/>
      <c r="Z422" s="110"/>
      <c r="AA422" s="110"/>
      <c r="AB422" s="110"/>
      <c r="AC422" s="114"/>
      <c r="AD422" s="68"/>
      <c r="AE422" s="110"/>
      <c r="AF422" s="110"/>
      <c r="AG422" s="68"/>
      <c r="AH422" s="68"/>
      <c r="AI422" s="110"/>
      <c r="AJ422" s="110"/>
      <c r="AK422" s="68"/>
      <c r="AL422" s="68"/>
      <c r="AM422" s="110"/>
      <c r="AN422" s="110"/>
      <c r="AO422" s="68"/>
      <c r="AP422" s="68"/>
      <c r="AQ422" s="40"/>
      <c r="AR422" s="40"/>
      <c r="AS422" s="23"/>
    </row>
    <row r="423" spans="1:45" ht="15.75" x14ac:dyDescent="0.25">
      <c r="A423" s="44"/>
      <c r="B423" s="23"/>
      <c r="C423" s="23"/>
      <c r="D423" s="23"/>
      <c r="E423" s="68"/>
      <c r="F423" s="68"/>
      <c r="G423" s="110"/>
      <c r="H423" s="110"/>
      <c r="I423" s="68"/>
      <c r="J423" s="68"/>
      <c r="K423" s="110"/>
      <c r="L423" s="110"/>
      <c r="M423" s="68"/>
      <c r="N423" s="68"/>
      <c r="O423" s="110"/>
      <c r="P423" s="110"/>
      <c r="Q423" s="68"/>
      <c r="R423" s="68"/>
      <c r="S423" s="110"/>
      <c r="T423" s="110"/>
      <c r="U423" s="68"/>
      <c r="V423" s="68"/>
      <c r="W423" s="110"/>
      <c r="X423" s="110"/>
      <c r="Y423" s="110"/>
      <c r="Z423" s="110"/>
      <c r="AA423" s="110"/>
      <c r="AB423" s="110"/>
      <c r="AC423" s="114"/>
      <c r="AD423" s="68"/>
      <c r="AE423" s="110"/>
      <c r="AF423" s="110"/>
      <c r="AG423" s="68"/>
      <c r="AH423" s="68"/>
      <c r="AI423" s="110"/>
      <c r="AJ423" s="110"/>
      <c r="AK423" s="68"/>
      <c r="AL423" s="68"/>
      <c r="AM423" s="110"/>
      <c r="AN423" s="110"/>
      <c r="AO423" s="68"/>
      <c r="AP423" s="68"/>
      <c r="AQ423" s="40"/>
      <c r="AR423" s="40"/>
      <c r="AS423" s="23"/>
    </row>
    <row r="424" spans="1:45" ht="15.75" x14ac:dyDescent="0.25">
      <c r="A424" s="44"/>
      <c r="B424" s="23"/>
      <c r="C424" s="23"/>
      <c r="D424" s="23"/>
      <c r="E424" s="68"/>
      <c r="F424" s="68"/>
      <c r="G424" s="110"/>
      <c r="H424" s="110"/>
      <c r="I424" s="68"/>
      <c r="J424" s="68"/>
      <c r="K424" s="110"/>
      <c r="L424" s="110"/>
      <c r="M424" s="68"/>
      <c r="N424" s="68"/>
      <c r="O424" s="110"/>
      <c r="P424" s="110"/>
      <c r="Q424" s="68"/>
      <c r="R424" s="68"/>
      <c r="S424" s="110"/>
      <c r="T424" s="110"/>
      <c r="U424" s="68"/>
      <c r="V424" s="68"/>
      <c r="W424" s="110"/>
      <c r="X424" s="110"/>
      <c r="Y424" s="110"/>
      <c r="Z424" s="110"/>
      <c r="AA424" s="110"/>
      <c r="AB424" s="110"/>
      <c r="AC424" s="114"/>
      <c r="AD424" s="68"/>
      <c r="AE424" s="110"/>
      <c r="AF424" s="110"/>
      <c r="AG424" s="68"/>
      <c r="AH424" s="68"/>
      <c r="AI424" s="110"/>
      <c r="AJ424" s="110"/>
      <c r="AK424" s="68"/>
      <c r="AL424" s="68"/>
      <c r="AM424" s="110"/>
      <c r="AN424" s="110"/>
      <c r="AO424" s="68"/>
      <c r="AP424" s="68"/>
      <c r="AQ424" s="40"/>
      <c r="AR424" s="40"/>
      <c r="AS424" s="23"/>
    </row>
    <row r="425" spans="1:45" ht="15.75" x14ac:dyDescent="0.25">
      <c r="A425" s="44"/>
      <c r="B425" s="23"/>
      <c r="C425" s="23"/>
      <c r="D425" s="23"/>
      <c r="E425" s="68"/>
      <c r="F425" s="68"/>
      <c r="G425" s="110"/>
      <c r="H425" s="110"/>
      <c r="I425" s="68"/>
      <c r="J425" s="68"/>
      <c r="K425" s="110"/>
      <c r="L425" s="110"/>
      <c r="M425" s="68"/>
      <c r="N425" s="68"/>
      <c r="O425" s="110"/>
      <c r="P425" s="110"/>
      <c r="Q425" s="68"/>
      <c r="R425" s="68"/>
      <c r="S425" s="110"/>
      <c r="T425" s="110"/>
      <c r="U425" s="68"/>
      <c r="V425" s="68"/>
      <c r="W425" s="110"/>
      <c r="X425" s="110"/>
      <c r="Y425" s="110"/>
      <c r="Z425" s="110"/>
      <c r="AA425" s="110"/>
      <c r="AB425" s="110"/>
      <c r="AC425" s="114"/>
      <c r="AD425" s="68"/>
      <c r="AE425" s="110"/>
      <c r="AF425" s="110"/>
      <c r="AG425" s="68"/>
      <c r="AH425" s="68"/>
      <c r="AI425" s="110"/>
      <c r="AJ425" s="110"/>
      <c r="AK425" s="68"/>
      <c r="AL425" s="68"/>
      <c r="AM425" s="110"/>
      <c r="AN425" s="110"/>
      <c r="AO425" s="68"/>
      <c r="AP425" s="68"/>
      <c r="AQ425" s="40"/>
      <c r="AR425" s="40"/>
      <c r="AS425" s="23"/>
    </row>
    <row r="426" spans="1:45" ht="15.75" x14ac:dyDescent="0.25">
      <c r="A426" s="44"/>
      <c r="B426" s="23"/>
      <c r="C426" s="23"/>
      <c r="D426" s="23"/>
      <c r="E426" s="68"/>
      <c r="F426" s="68"/>
      <c r="G426" s="110"/>
      <c r="H426" s="110"/>
      <c r="I426" s="68"/>
      <c r="J426" s="68"/>
      <c r="K426" s="110"/>
      <c r="L426" s="110"/>
      <c r="M426" s="68"/>
      <c r="N426" s="68"/>
      <c r="O426" s="110"/>
      <c r="P426" s="110"/>
      <c r="Q426" s="68"/>
      <c r="R426" s="68"/>
      <c r="S426" s="110"/>
      <c r="T426" s="110"/>
      <c r="U426" s="68"/>
      <c r="V426" s="68"/>
      <c r="W426" s="110"/>
      <c r="X426" s="110"/>
      <c r="Y426" s="110"/>
      <c r="Z426" s="110"/>
      <c r="AA426" s="110"/>
      <c r="AB426" s="110"/>
      <c r="AC426" s="114"/>
      <c r="AD426" s="68"/>
      <c r="AE426" s="110"/>
      <c r="AF426" s="110"/>
      <c r="AG426" s="68"/>
      <c r="AH426" s="68"/>
      <c r="AI426" s="110"/>
      <c r="AJ426" s="110"/>
      <c r="AK426" s="68"/>
      <c r="AL426" s="68"/>
      <c r="AM426" s="110"/>
      <c r="AN426" s="110"/>
      <c r="AO426" s="68"/>
      <c r="AP426" s="68"/>
      <c r="AQ426" s="40"/>
      <c r="AR426" s="40"/>
      <c r="AS426" s="23"/>
    </row>
    <row r="427" spans="1:45" ht="15.75" x14ac:dyDescent="0.25">
      <c r="A427" s="44"/>
      <c r="B427" s="23"/>
      <c r="C427" s="23"/>
      <c r="D427" s="23"/>
      <c r="E427" s="68"/>
      <c r="F427" s="68"/>
      <c r="G427" s="110"/>
      <c r="H427" s="110"/>
      <c r="I427" s="68"/>
      <c r="J427" s="68"/>
      <c r="K427" s="110"/>
      <c r="L427" s="110"/>
      <c r="M427" s="68"/>
      <c r="N427" s="68"/>
      <c r="O427" s="110"/>
      <c r="P427" s="110"/>
      <c r="Q427" s="68"/>
      <c r="R427" s="68"/>
      <c r="S427" s="110"/>
      <c r="T427" s="110"/>
      <c r="U427" s="68"/>
      <c r="V427" s="68"/>
      <c r="W427" s="110"/>
      <c r="X427" s="110"/>
      <c r="Y427" s="110"/>
      <c r="Z427" s="110"/>
      <c r="AA427" s="110"/>
      <c r="AB427" s="110"/>
      <c r="AC427" s="114"/>
      <c r="AD427" s="68"/>
      <c r="AE427" s="110"/>
      <c r="AF427" s="110"/>
      <c r="AG427" s="68"/>
      <c r="AH427" s="68"/>
      <c r="AI427" s="110"/>
      <c r="AJ427" s="110"/>
      <c r="AK427" s="68"/>
      <c r="AL427" s="68"/>
      <c r="AM427" s="110"/>
      <c r="AN427" s="110"/>
      <c r="AO427" s="68"/>
      <c r="AP427" s="68"/>
      <c r="AQ427" s="40"/>
      <c r="AR427" s="40"/>
      <c r="AS427" s="23"/>
    </row>
    <row r="428" spans="1:45" ht="15.75" x14ac:dyDescent="0.25">
      <c r="A428" s="44"/>
      <c r="B428" s="23"/>
      <c r="C428" s="23"/>
      <c r="D428" s="23"/>
      <c r="E428" s="68"/>
      <c r="F428" s="68"/>
      <c r="G428" s="110"/>
      <c r="H428" s="110"/>
      <c r="I428" s="68"/>
      <c r="J428" s="68"/>
      <c r="K428" s="110"/>
      <c r="L428" s="110"/>
      <c r="M428" s="68"/>
      <c r="N428" s="68"/>
      <c r="O428" s="110"/>
      <c r="P428" s="110"/>
      <c r="Q428" s="68"/>
      <c r="R428" s="68"/>
      <c r="S428" s="110"/>
      <c r="T428" s="110"/>
      <c r="U428" s="68"/>
      <c r="V428" s="68"/>
      <c r="W428" s="110"/>
      <c r="X428" s="110"/>
      <c r="Y428" s="110"/>
      <c r="Z428" s="110"/>
      <c r="AA428" s="110"/>
      <c r="AB428" s="110"/>
      <c r="AC428" s="114"/>
      <c r="AD428" s="68"/>
      <c r="AE428" s="110"/>
      <c r="AF428" s="110"/>
      <c r="AG428" s="68"/>
      <c r="AH428" s="68"/>
      <c r="AI428" s="110"/>
      <c r="AJ428" s="110"/>
      <c r="AK428" s="68"/>
      <c r="AL428" s="68"/>
      <c r="AM428" s="110"/>
      <c r="AN428" s="110"/>
      <c r="AO428" s="68"/>
      <c r="AP428" s="68"/>
      <c r="AQ428" s="40"/>
      <c r="AR428" s="40"/>
      <c r="AS428" s="23"/>
    </row>
    <row r="429" spans="1:45" ht="15.75" x14ac:dyDescent="0.25">
      <c r="A429" s="44"/>
      <c r="B429" s="23"/>
      <c r="C429" s="23"/>
      <c r="D429" s="23"/>
      <c r="E429" s="68"/>
      <c r="F429" s="68"/>
      <c r="G429" s="110"/>
      <c r="H429" s="110"/>
      <c r="I429" s="68"/>
      <c r="J429" s="68"/>
      <c r="K429" s="110"/>
      <c r="L429" s="110"/>
      <c r="M429" s="68"/>
      <c r="N429" s="68"/>
      <c r="O429" s="110"/>
      <c r="P429" s="110"/>
      <c r="Q429" s="68"/>
      <c r="R429" s="68"/>
      <c r="S429" s="110"/>
      <c r="T429" s="110"/>
      <c r="U429" s="68"/>
      <c r="V429" s="68"/>
      <c r="W429" s="110"/>
      <c r="X429" s="110"/>
      <c r="Y429" s="110"/>
      <c r="Z429" s="110"/>
      <c r="AA429" s="110"/>
      <c r="AB429" s="110"/>
      <c r="AC429" s="114"/>
      <c r="AD429" s="68"/>
      <c r="AE429" s="110"/>
      <c r="AF429" s="110"/>
      <c r="AG429" s="68"/>
      <c r="AH429" s="68"/>
      <c r="AI429" s="110"/>
      <c r="AJ429" s="110"/>
      <c r="AK429" s="68"/>
      <c r="AL429" s="68"/>
      <c r="AM429" s="110"/>
      <c r="AN429" s="110"/>
      <c r="AO429" s="68"/>
      <c r="AP429" s="68"/>
      <c r="AQ429" s="40"/>
      <c r="AR429" s="40"/>
      <c r="AS429" s="23"/>
    </row>
    <row r="430" spans="1:45" ht="15.75" x14ac:dyDescent="0.25">
      <c r="A430" s="44"/>
      <c r="B430" s="23"/>
      <c r="C430" s="23"/>
      <c r="D430" s="23"/>
      <c r="E430" s="68"/>
      <c r="F430" s="68"/>
      <c r="G430" s="110"/>
      <c r="H430" s="110"/>
      <c r="I430" s="68"/>
      <c r="J430" s="68"/>
      <c r="K430" s="110"/>
      <c r="L430" s="110"/>
      <c r="M430" s="68"/>
      <c r="N430" s="68"/>
      <c r="O430" s="110"/>
      <c r="P430" s="110"/>
      <c r="Q430" s="68"/>
      <c r="R430" s="68"/>
      <c r="S430" s="110"/>
      <c r="T430" s="110"/>
      <c r="U430" s="68"/>
      <c r="V430" s="68"/>
      <c r="W430" s="110"/>
      <c r="X430" s="110"/>
      <c r="Y430" s="110"/>
      <c r="Z430" s="110"/>
      <c r="AA430" s="110"/>
      <c r="AB430" s="110"/>
      <c r="AC430" s="114"/>
      <c r="AD430" s="68"/>
      <c r="AE430" s="110"/>
      <c r="AF430" s="110"/>
      <c r="AG430" s="68"/>
      <c r="AH430" s="68"/>
      <c r="AI430" s="110"/>
      <c r="AJ430" s="110"/>
      <c r="AK430" s="68"/>
      <c r="AL430" s="68"/>
      <c r="AM430" s="110"/>
      <c r="AN430" s="110"/>
      <c r="AO430" s="68"/>
      <c r="AP430" s="68"/>
      <c r="AQ430" s="40"/>
      <c r="AR430" s="40"/>
      <c r="AS430" s="23"/>
    </row>
    <row r="431" spans="1:45" ht="15.75" x14ac:dyDescent="0.25">
      <c r="A431" s="44"/>
      <c r="B431" s="23"/>
      <c r="C431" s="23"/>
      <c r="D431" s="23"/>
      <c r="E431" s="68"/>
      <c r="F431" s="68"/>
      <c r="G431" s="110"/>
      <c r="H431" s="110"/>
      <c r="I431" s="68"/>
      <c r="J431" s="68"/>
      <c r="K431" s="110"/>
      <c r="L431" s="110"/>
      <c r="M431" s="68"/>
      <c r="N431" s="68"/>
      <c r="O431" s="110"/>
      <c r="P431" s="110"/>
      <c r="Q431" s="68"/>
      <c r="R431" s="68"/>
      <c r="S431" s="110"/>
      <c r="T431" s="110"/>
      <c r="U431" s="68"/>
      <c r="V431" s="68"/>
      <c r="W431" s="110"/>
      <c r="X431" s="110"/>
      <c r="Y431" s="110"/>
      <c r="Z431" s="110"/>
      <c r="AA431" s="110"/>
      <c r="AB431" s="110"/>
      <c r="AC431" s="114"/>
      <c r="AD431" s="68"/>
      <c r="AE431" s="110"/>
      <c r="AF431" s="110"/>
      <c r="AG431" s="68"/>
      <c r="AH431" s="68"/>
      <c r="AI431" s="110"/>
      <c r="AJ431" s="110"/>
      <c r="AK431" s="68"/>
      <c r="AL431" s="68"/>
      <c r="AM431" s="110"/>
      <c r="AN431" s="110"/>
      <c r="AO431" s="68"/>
      <c r="AP431" s="68"/>
      <c r="AQ431" s="40"/>
      <c r="AR431" s="40"/>
      <c r="AS431" s="23"/>
    </row>
    <row r="432" spans="1:45" ht="15.75" x14ac:dyDescent="0.25">
      <c r="A432" s="44"/>
      <c r="B432" s="23"/>
      <c r="C432" s="23"/>
      <c r="D432" s="23"/>
      <c r="E432" s="68"/>
      <c r="F432" s="68"/>
      <c r="G432" s="110"/>
      <c r="H432" s="110"/>
      <c r="I432" s="68"/>
      <c r="J432" s="68"/>
      <c r="K432" s="110"/>
      <c r="L432" s="110"/>
      <c r="M432" s="68"/>
      <c r="N432" s="68"/>
      <c r="O432" s="110"/>
      <c r="P432" s="110"/>
      <c r="Q432" s="68"/>
      <c r="R432" s="68"/>
      <c r="S432" s="110"/>
      <c r="T432" s="110"/>
      <c r="U432" s="68"/>
      <c r="V432" s="68"/>
      <c r="W432" s="110"/>
      <c r="X432" s="110"/>
      <c r="Y432" s="110"/>
      <c r="Z432" s="110"/>
      <c r="AA432" s="110"/>
      <c r="AB432" s="110"/>
      <c r="AC432" s="114"/>
      <c r="AD432" s="68"/>
      <c r="AE432" s="110"/>
      <c r="AF432" s="110"/>
      <c r="AG432" s="68"/>
      <c r="AH432" s="68"/>
      <c r="AI432" s="110"/>
      <c r="AJ432" s="110"/>
      <c r="AK432" s="68"/>
      <c r="AL432" s="68"/>
      <c r="AM432" s="110"/>
      <c r="AN432" s="110"/>
      <c r="AO432" s="68"/>
      <c r="AP432" s="68"/>
      <c r="AQ432" s="40"/>
      <c r="AR432" s="40"/>
      <c r="AS432" s="23"/>
    </row>
    <row r="433" spans="1:45" ht="15.75" x14ac:dyDescent="0.25">
      <c r="A433" s="44"/>
      <c r="B433" s="23"/>
      <c r="C433" s="23"/>
      <c r="D433" s="23"/>
      <c r="E433" s="68"/>
      <c r="F433" s="68"/>
      <c r="G433" s="110"/>
      <c r="H433" s="110"/>
      <c r="I433" s="68"/>
      <c r="J433" s="68"/>
      <c r="K433" s="110"/>
      <c r="L433" s="110"/>
      <c r="M433" s="68"/>
      <c r="N433" s="68"/>
      <c r="O433" s="110"/>
      <c r="P433" s="110"/>
      <c r="Q433" s="68"/>
      <c r="R433" s="68"/>
      <c r="S433" s="110"/>
      <c r="T433" s="110"/>
      <c r="U433" s="68"/>
      <c r="V433" s="68"/>
      <c r="W433" s="110"/>
      <c r="X433" s="110"/>
      <c r="Y433" s="110"/>
      <c r="Z433" s="110"/>
      <c r="AA433" s="110"/>
      <c r="AB433" s="110"/>
      <c r="AC433" s="114"/>
      <c r="AD433" s="68"/>
      <c r="AE433" s="110"/>
      <c r="AF433" s="110"/>
      <c r="AG433" s="68"/>
      <c r="AH433" s="68"/>
      <c r="AI433" s="110"/>
      <c r="AJ433" s="110"/>
      <c r="AK433" s="68"/>
      <c r="AL433" s="68"/>
      <c r="AM433" s="110"/>
      <c r="AN433" s="110"/>
      <c r="AO433" s="68"/>
      <c r="AP433" s="68"/>
      <c r="AQ433" s="40"/>
      <c r="AR433" s="40"/>
      <c r="AS433" s="23"/>
    </row>
    <row r="434" spans="1:45" ht="15.75" x14ac:dyDescent="0.25">
      <c r="A434" s="44"/>
      <c r="B434" s="23"/>
      <c r="C434" s="23"/>
      <c r="D434" s="23"/>
      <c r="E434" s="68"/>
      <c r="F434" s="68"/>
      <c r="G434" s="110"/>
      <c r="H434" s="110"/>
      <c r="I434" s="68"/>
      <c r="J434" s="68"/>
      <c r="K434" s="110"/>
      <c r="L434" s="110"/>
      <c r="M434" s="68"/>
      <c r="N434" s="68"/>
      <c r="O434" s="110"/>
      <c r="P434" s="110"/>
      <c r="Q434" s="68"/>
      <c r="R434" s="68"/>
      <c r="S434" s="110"/>
      <c r="T434" s="110"/>
      <c r="U434" s="68"/>
      <c r="V434" s="68"/>
      <c r="W434" s="110"/>
      <c r="X434" s="110"/>
      <c r="Y434" s="110"/>
      <c r="Z434" s="110"/>
      <c r="AA434" s="110"/>
      <c r="AB434" s="110"/>
      <c r="AC434" s="114"/>
      <c r="AD434" s="68"/>
      <c r="AE434" s="110"/>
      <c r="AF434" s="110"/>
      <c r="AG434" s="68"/>
      <c r="AH434" s="68"/>
      <c r="AI434" s="110"/>
      <c r="AJ434" s="110"/>
      <c r="AK434" s="68"/>
      <c r="AL434" s="68"/>
      <c r="AM434" s="110"/>
      <c r="AN434" s="110"/>
      <c r="AO434" s="68"/>
      <c r="AP434" s="68"/>
      <c r="AQ434" s="40"/>
      <c r="AR434" s="40"/>
      <c r="AS434" s="23"/>
    </row>
    <row r="435" spans="1:45" ht="15.75" x14ac:dyDescent="0.25">
      <c r="A435" s="44"/>
      <c r="B435" s="23"/>
      <c r="C435" s="23"/>
      <c r="D435" s="23"/>
      <c r="E435" s="68"/>
      <c r="F435" s="68"/>
      <c r="G435" s="110"/>
      <c r="H435" s="110"/>
      <c r="I435" s="68"/>
      <c r="J435" s="68"/>
      <c r="K435" s="110"/>
      <c r="L435" s="110"/>
      <c r="M435" s="68"/>
      <c r="N435" s="68"/>
      <c r="O435" s="110"/>
      <c r="P435" s="110"/>
      <c r="Q435" s="68"/>
      <c r="R435" s="68"/>
      <c r="S435" s="110"/>
      <c r="T435" s="110"/>
      <c r="U435" s="68"/>
      <c r="V435" s="68"/>
      <c r="W435" s="110"/>
      <c r="X435" s="110"/>
      <c r="Y435" s="110"/>
      <c r="Z435" s="110"/>
      <c r="AA435" s="110"/>
      <c r="AB435" s="110"/>
      <c r="AC435" s="114"/>
      <c r="AD435" s="68"/>
      <c r="AE435" s="110"/>
      <c r="AF435" s="110"/>
      <c r="AG435" s="68"/>
      <c r="AH435" s="68"/>
      <c r="AI435" s="110"/>
      <c r="AJ435" s="110"/>
      <c r="AK435" s="68"/>
      <c r="AL435" s="68"/>
      <c r="AM435" s="110"/>
      <c r="AN435" s="110"/>
      <c r="AO435" s="68"/>
      <c r="AP435" s="68"/>
      <c r="AQ435" s="40"/>
      <c r="AR435" s="40"/>
      <c r="AS435" s="23"/>
    </row>
    <row r="436" spans="1:45" ht="15.75" x14ac:dyDescent="0.25">
      <c r="A436" s="44"/>
      <c r="B436" s="23"/>
      <c r="C436" s="23"/>
      <c r="D436" s="23"/>
      <c r="E436" s="68"/>
      <c r="F436" s="68"/>
      <c r="G436" s="110"/>
      <c r="H436" s="110"/>
      <c r="I436" s="68"/>
      <c r="J436" s="68"/>
      <c r="K436" s="110"/>
      <c r="L436" s="110"/>
      <c r="M436" s="68"/>
      <c r="N436" s="68"/>
      <c r="O436" s="110"/>
      <c r="P436" s="110"/>
      <c r="Q436" s="68"/>
      <c r="R436" s="68"/>
      <c r="S436" s="110"/>
      <c r="T436" s="110"/>
      <c r="U436" s="68"/>
      <c r="V436" s="68"/>
      <c r="W436" s="110"/>
      <c r="X436" s="110"/>
      <c r="Y436" s="110"/>
      <c r="Z436" s="110"/>
      <c r="AA436" s="110"/>
      <c r="AB436" s="110"/>
      <c r="AC436" s="114"/>
      <c r="AD436" s="68"/>
      <c r="AE436" s="110"/>
      <c r="AF436" s="110"/>
      <c r="AG436" s="68"/>
      <c r="AH436" s="68"/>
      <c r="AI436" s="110"/>
      <c r="AJ436" s="110"/>
      <c r="AK436" s="68"/>
      <c r="AL436" s="68"/>
      <c r="AM436" s="110"/>
      <c r="AN436" s="110"/>
      <c r="AO436" s="68"/>
      <c r="AP436" s="68"/>
      <c r="AQ436" s="40"/>
      <c r="AR436" s="40"/>
      <c r="AS436" s="23"/>
    </row>
    <row r="437" spans="1:45" ht="15.75" x14ac:dyDescent="0.25">
      <c r="A437" s="44"/>
      <c r="B437" s="23"/>
      <c r="C437" s="23"/>
      <c r="D437" s="23"/>
      <c r="E437" s="68"/>
      <c r="F437" s="68"/>
      <c r="G437" s="110"/>
      <c r="H437" s="110"/>
      <c r="I437" s="68"/>
      <c r="J437" s="68"/>
      <c r="K437" s="110"/>
      <c r="L437" s="110"/>
      <c r="M437" s="68"/>
      <c r="N437" s="68"/>
      <c r="O437" s="110"/>
      <c r="P437" s="110"/>
      <c r="Q437" s="68"/>
      <c r="R437" s="68"/>
      <c r="S437" s="110"/>
      <c r="T437" s="110"/>
      <c r="U437" s="68"/>
      <c r="V437" s="68"/>
      <c r="W437" s="110"/>
      <c r="X437" s="110"/>
      <c r="Y437" s="110"/>
      <c r="Z437" s="110"/>
      <c r="AA437" s="110"/>
      <c r="AB437" s="110"/>
      <c r="AC437" s="114"/>
      <c r="AD437" s="68"/>
      <c r="AE437" s="110"/>
      <c r="AF437" s="110"/>
      <c r="AG437" s="68"/>
      <c r="AH437" s="68"/>
      <c r="AI437" s="110"/>
      <c r="AJ437" s="110"/>
      <c r="AK437" s="68"/>
      <c r="AL437" s="68"/>
      <c r="AM437" s="110"/>
      <c r="AN437" s="110"/>
      <c r="AO437" s="68"/>
      <c r="AP437" s="68"/>
      <c r="AQ437" s="40"/>
      <c r="AR437" s="40"/>
      <c r="AS437" s="23"/>
    </row>
    <row r="438" spans="1:45" ht="15.75" x14ac:dyDescent="0.25">
      <c r="A438" s="44"/>
      <c r="B438" s="23"/>
      <c r="C438" s="23"/>
      <c r="D438" s="23"/>
      <c r="E438" s="68"/>
      <c r="F438" s="68"/>
      <c r="G438" s="110"/>
      <c r="H438" s="110"/>
      <c r="I438" s="68"/>
      <c r="J438" s="68"/>
      <c r="K438" s="110"/>
      <c r="L438" s="110"/>
      <c r="M438" s="68"/>
      <c r="N438" s="68"/>
      <c r="O438" s="110"/>
      <c r="P438" s="110"/>
      <c r="Q438" s="68"/>
      <c r="R438" s="68"/>
      <c r="S438" s="110"/>
      <c r="T438" s="110"/>
      <c r="U438" s="68"/>
      <c r="V438" s="68"/>
      <c r="W438" s="110"/>
      <c r="X438" s="110"/>
      <c r="Y438" s="110"/>
      <c r="Z438" s="110"/>
      <c r="AA438" s="110"/>
      <c r="AB438" s="110"/>
      <c r="AC438" s="114"/>
      <c r="AD438" s="68"/>
      <c r="AE438" s="110"/>
      <c r="AF438" s="110"/>
      <c r="AG438" s="68"/>
      <c r="AH438" s="68"/>
      <c r="AI438" s="110"/>
      <c r="AJ438" s="110"/>
      <c r="AK438" s="68"/>
      <c r="AL438" s="68"/>
      <c r="AM438" s="110"/>
      <c r="AN438" s="110"/>
      <c r="AO438" s="68"/>
      <c r="AP438" s="68"/>
      <c r="AQ438" s="40"/>
      <c r="AR438" s="40"/>
      <c r="AS438" s="23"/>
    </row>
    <row r="439" spans="1:45" ht="15.75" x14ac:dyDescent="0.25">
      <c r="A439" s="44"/>
      <c r="B439" s="23"/>
      <c r="C439" s="23"/>
      <c r="D439" s="23"/>
      <c r="E439" s="68"/>
      <c r="F439" s="68"/>
      <c r="G439" s="110"/>
      <c r="H439" s="110"/>
      <c r="I439" s="68"/>
      <c r="J439" s="68"/>
      <c r="K439" s="110"/>
      <c r="L439" s="110"/>
      <c r="M439" s="68"/>
      <c r="N439" s="68"/>
      <c r="O439" s="110"/>
      <c r="P439" s="110"/>
      <c r="Q439" s="68"/>
      <c r="R439" s="68"/>
      <c r="S439" s="110"/>
      <c r="T439" s="110"/>
      <c r="U439" s="68"/>
      <c r="V439" s="68"/>
      <c r="W439" s="110"/>
      <c r="X439" s="110"/>
      <c r="Y439" s="110"/>
      <c r="Z439" s="110"/>
      <c r="AA439" s="110"/>
      <c r="AB439" s="110"/>
      <c r="AC439" s="114"/>
      <c r="AD439" s="68"/>
      <c r="AE439" s="110"/>
      <c r="AF439" s="110"/>
      <c r="AG439" s="68"/>
      <c r="AH439" s="68"/>
      <c r="AI439" s="110"/>
      <c r="AJ439" s="110"/>
      <c r="AK439" s="68"/>
      <c r="AL439" s="68"/>
      <c r="AM439" s="110"/>
      <c r="AN439" s="110"/>
      <c r="AO439" s="68"/>
      <c r="AP439" s="68"/>
      <c r="AQ439" s="40"/>
      <c r="AR439" s="40"/>
      <c r="AS439" s="23"/>
    </row>
    <row r="440" spans="1:45" ht="15.75" x14ac:dyDescent="0.25">
      <c r="A440" s="44"/>
      <c r="B440" s="23"/>
      <c r="C440" s="23"/>
      <c r="D440" s="23"/>
      <c r="E440" s="68"/>
      <c r="F440" s="68"/>
      <c r="G440" s="110"/>
      <c r="H440" s="110"/>
      <c r="I440" s="68"/>
      <c r="J440" s="68"/>
      <c r="K440" s="110"/>
      <c r="L440" s="110"/>
      <c r="M440" s="68"/>
      <c r="N440" s="68"/>
      <c r="O440" s="110"/>
      <c r="P440" s="110"/>
      <c r="Q440" s="68"/>
      <c r="R440" s="68"/>
      <c r="S440" s="110"/>
      <c r="T440" s="110"/>
      <c r="U440" s="68"/>
      <c r="V440" s="68"/>
      <c r="W440" s="110"/>
      <c r="X440" s="110"/>
      <c r="Y440" s="110"/>
      <c r="Z440" s="110"/>
      <c r="AA440" s="110"/>
      <c r="AB440" s="110"/>
      <c r="AC440" s="114"/>
      <c r="AD440" s="68"/>
      <c r="AE440" s="110"/>
      <c r="AF440" s="110"/>
      <c r="AG440" s="68"/>
      <c r="AH440" s="68"/>
      <c r="AI440" s="110"/>
      <c r="AJ440" s="110"/>
      <c r="AK440" s="68"/>
      <c r="AL440" s="68"/>
      <c r="AM440" s="110"/>
      <c r="AN440" s="110"/>
      <c r="AO440" s="68"/>
      <c r="AP440" s="68"/>
      <c r="AQ440" s="40"/>
      <c r="AR440" s="40"/>
      <c r="AS440" s="23"/>
    </row>
    <row r="441" spans="1:45" ht="15.75" x14ac:dyDescent="0.25">
      <c r="A441" s="44"/>
      <c r="B441" s="23"/>
      <c r="C441" s="23"/>
      <c r="D441" s="23"/>
      <c r="E441" s="68"/>
      <c r="F441" s="68"/>
      <c r="G441" s="110"/>
      <c r="H441" s="110"/>
      <c r="I441" s="68"/>
      <c r="J441" s="68"/>
      <c r="K441" s="110"/>
      <c r="L441" s="110"/>
      <c r="M441" s="68"/>
      <c r="N441" s="68"/>
      <c r="O441" s="110"/>
      <c r="P441" s="110"/>
      <c r="Q441" s="68"/>
      <c r="R441" s="68"/>
      <c r="S441" s="110"/>
      <c r="T441" s="110"/>
      <c r="U441" s="68"/>
      <c r="V441" s="68"/>
      <c r="W441" s="110"/>
      <c r="X441" s="110"/>
      <c r="Y441" s="110"/>
      <c r="Z441" s="110"/>
      <c r="AA441" s="110"/>
      <c r="AB441" s="110"/>
      <c r="AC441" s="114"/>
      <c r="AD441" s="68"/>
      <c r="AE441" s="110"/>
      <c r="AF441" s="110"/>
      <c r="AG441" s="68"/>
      <c r="AH441" s="68"/>
      <c r="AI441" s="110"/>
      <c r="AJ441" s="110"/>
      <c r="AK441" s="68"/>
      <c r="AL441" s="68"/>
      <c r="AM441" s="110"/>
      <c r="AN441" s="110"/>
      <c r="AO441" s="68"/>
      <c r="AP441" s="68"/>
      <c r="AQ441" s="40"/>
      <c r="AR441" s="40"/>
      <c r="AS441" s="23"/>
    </row>
    <row r="442" spans="1:45" ht="15.75" x14ac:dyDescent="0.25">
      <c r="A442" s="44"/>
      <c r="B442" s="23"/>
      <c r="C442" s="23"/>
      <c r="D442" s="23"/>
      <c r="E442" s="68"/>
      <c r="F442" s="68"/>
      <c r="G442" s="110"/>
      <c r="H442" s="110"/>
      <c r="I442" s="68"/>
      <c r="J442" s="68"/>
      <c r="K442" s="110"/>
      <c r="L442" s="110"/>
      <c r="M442" s="68"/>
      <c r="N442" s="68"/>
      <c r="O442" s="110"/>
      <c r="P442" s="110"/>
      <c r="Q442" s="68"/>
      <c r="R442" s="68"/>
      <c r="S442" s="110"/>
      <c r="T442" s="110"/>
      <c r="U442" s="68"/>
      <c r="V442" s="68"/>
      <c r="W442" s="110"/>
      <c r="X442" s="110"/>
      <c r="Y442" s="110"/>
      <c r="Z442" s="110"/>
      <c r="AA442" s="110"/>
      <c r="AB442" s="110"/>
      <c r="AC442" s="114"/>
      <c r="AD442" s="68"/>
      <c r="AE442" s="110"/>
      <c r="AF442" s="110"/>
      <c r="AG442" s="68"/>
      <c r="AH442" s="68"/>
      <c r="AI442" s="110"/>
      <c r="AJ442" s="110"/>
      <c r="AK442" s="68"/>
      <c r="AL442" s="68"/>
      <c r="AM442" s="110"/>
      <c r="AN442" s="110"/>
      <c r="AO442" s="68"/>
      <c r="AP442" s="68"/>
      <c r="AQ442" s="40"/>
      <c r="AR442" s="40"/>
      <c r="AS442" s="23"/>
    </row>
    <row r="443" spans="1:45" ht="15.75" x14ac:dyDescent="0.25">
      <c r="A443" s="44"/>
      <c r="B443" s="23"/>
      <c r="C443" s="23"/>
      <c r="D443" s="23"/>
      <c r="E443" s="68"/>
      <c r="F443" s="68"/>
      <c r="G443" s="110"/>
      <c r="H443" s="110"/>
      <c r="I443" s="68"/>
      <c r="J443" s="68"/>
      <c r="K443" s="110"/>
      <c r="L443" s="110"/>
      <c r="M443" s="68"/>
      <c r="N443" s="68"/>
      <c r="O443" s="110"/>
      <c r="P443" s="110"/>
      <c r="Q443" s="68"/>
      <c r="R443" s="68"/>
      <c r="S443" s="110"/>
      <c r="T443" s="110"/>
      <c r="U443" s="68"/>
      <c r="V443" s="68"/>
      <c r="W443" s="110"/>
      <c r="X443" s="110"/>
      <c r="Y443" s="110"/>
      <c r="Z443" s="110"/>
      <c r="AA443" s="110"/>
      <c r="AB443" s="110"/>
      <c r="AC443" s="114"/>
      <c r="AD443" s="68"/>
      <c r="AE443" s="110"/>
      <c r="AF443" s="110"/>
      <c r="AG443" s="68"/>
      <c r="AH443" s="68"/>
      <c r="AI443" s="110"/>
      <c r="AJ443" s="110"/>
      <c r="AK443" s="68"/>
      <c r="AL443" s="68"/>
      <c r="AM443" s="110"/>
      <c r="AN443" s="110"/>
      <c r="AO443" s="68"/>
      <c r="AP443" s="68"/>
      <c r="AQ443" s="40"/>
      <c r="AR443" s="40"/>
      <c r="AS443" s="23"/>
    </row>
    <row r="444" spans="1:45" ht="15.75" x14ac:dyDescent="0.25">
      <c r="A444" s="44"/>
      <c r="B444" s="23"/>
      <c r="C444" s="23"/>
      <c r="D444" s="23"/>
      <c r="E444" s="68"/>
      <c r="F444" s="68"/>
      <c r="G444" s="110"/>
      <c r="H444" s="110"/>
      <c r="I444" s="68"/>
      <c r="J444" s="68"/>
      <c r="K444" s="110"/>
      <c r="L444" s="110"/>
      <c r="M444" s="68"/>
      <c r="N444" s="68"/>
      <c r="O444" s="110"/>
      <c r="P444" s="110"/>
      <c r="Q444" s="68"/>
      <c r="R444" s="68"/>
      <c r="S444" s="110"/>
      <c r="T444" s="110"/>
      <c r="U444" s="68"/>
      <c r="V444" s="68"/>
      <c r="W444" s="110"/>
      <c r="X444" s="110"/>
      <c r="Y444" s="110"/>
      <c r="Z444" s="110"/>
      <c r="AA444" s="110"/>
      <c r="AB444" s="110"/>
      <c r="AC444" s="114"/>
      <c r="AD444" s="68"/>
      <c r="AE444" s="110"/>
      <c r="AF444" s="110"/>
      <c r="AG444" s="68"/>
      <c r="AH444" s="68"/>
      <c r="AI444" s="110"/>
      <c r="AJ444" s="110"/>
      <c r="AK444" s="68"/>
      <c r="AL444" s="68"/>
      <c r="AM444" s="110"/>
      <c r="AN444" s="110"/>
      <c r="AO444" s="68"/>
      <c r="AP444" s="68"/>
      <c r="AQ444" s="40"/>
      <c r="AR444" s="40"/>
      <c r="AS444" s="23"/>
    </row>
    <row r="445" spans="1:45" ht="15.75" x14ac:dyDescent="0.25">
      <c r="A445" s="44"/>
      <c r="B445" s="23"/>
      <c r="C445" s="23"/>
      <c r="D445" s="23"/>
      <c r="E445" s="68"/>
      <c r="F445" s="68"/>
      <c r="G445" s="110"/>
      <c r="H445" s="110"/>
      <c r="I445" s="68"/>
      <c r="J445" s="68"/>
      <c r="K445" s="110"/>
      <c r="L445" s="110"/>
      <c r="M445" s="68"/>
      <c r="N445" s="68"/>
      <c r="O445" s="110"/>
      <c r="P445" s="110"/>
      <c r="Q445" s="68"/>
      <c r="R445" s="68"/>
      <c r="S445" s="110"/>
      <c r="T445" s="110"/>
      <c r="U445" s="68"/>
      <c r="V445" s="68"/>
      <c r="W445" s="110"/>
      <c r="X445" s="110"/>
      <c r="Y445" s="110"/>
      <c r="Z445" s="110"/>
      <c r="AA445" s="110"/>
      <c r="AB445" s="110"/>
      <c r="AC445" s="114"/>
      <c r="AD445" s="68"/>
      <c r="AE445" s="110"/>
      <c r="AF445" s="110"/>
      <c r="AG445" s="68"/>
      <c r="AH445" s="68"/>
      <c r="AI445" s="110"/>
      <c r="AJ445" s="110"/>
      <c r="AK445" s="68"/>
      <c r="AL445" s="68"/>
      <c r="AM445" s="110"/>
      <c r="AN445" s="110"/>
      <c r="AO445" s="68"/>
      <c r="AP445" s="68"/>
      <c r="AQ445" s="40"/>
      <c r="AR445" s="40"/>
      <c r="AS445" s="23"/>
    </row>
    <row r="446" spans="1:45" ht="15.75" x14ac:dyDescent="0.25">
      <c r="A446" s="44"/>
      <c r="B446" s="23"/>
      <c r="C446" s="23"/>
      <c r="D446" s="23"/>
      <c r="E446" s="68"/>
      <c r="F446" s="68"/>
      <c r="G446" s="110"/>
      <c r="H446" s="110"/>
      <c r="I446" s="68"/>
      <c r="J446" s="68"/>
      <c r="K446" s="110"/>
      <c r="L446" s="110"/>
      <c r="M446" s="68"/>
      <c r="N446" s="68"/>
      <c r="O446" s="110"/>
      <c r="P446" s="110"/>
      <c r="Q446" s="68"/>
      <c r="R446" s="68"/>
      <c r="S446" s="110"/>
      <c r="T446" s="110"/>
      <c r="U446" s="68"/>
      <c r="V446" s="68"/>
      <c r="W446" s="110"/>
      <c r="X446" s="110"/>
      <c r="Y446" s="110"/>
      <c r="Z446" s="110"/>
      <c r="AA446" s="110"/>
      <c r="AB446" s="110"/>
      <c r="AC446" s="114"/>
      <c r="AD446" s="68"/>
      <c r="AE446" s="110"/>
      <c r="AF446" s="110"/>
      <c r="AG446" s="68"/>
      <c r="AH446" s="68"/>
      <c r="AI446" s="110"/>
      <c r="AJ446" s="110"/>
      <c r="AK446" s="68"/>
      <c r="AL446" s="68"/>
      <c r="AM446" s="110"/>
      <c r="AN446" s="110"/>
      <c r="AO446" s="68"/>
      <c r="AP446" s="68"/>
      <c r="AQ446" s="40"/>
      <c r="AR446" s="40"/>
      <c r="AS446" s="23"/>
    </row>
    <row r="447" spans="1:45" ht="15.75" x14ac:dyDescent="0.25">
      <c r="A447" s="44"/>
      <c r="B447" s="23"/>
      <c r="C447" s="23"/>
      <c r="D447" s="23"/>
      <c r="E447" s="68"/>
      <c r="F447" s="68"/>
      <c r="G447" s="110"/>
      <c r="H447" s="110"/>
      <c r="I447" s="68"/>
      <c r="J447" s="68"/>
      <c r="K447" s="110"/>
      <c r="L447" s="110"/>
      <c r="M447" s="68"/>
      <c r="N447" s="68"/>
      <c r="O447" s="110"/>
      <c r="P447" s="110"/>
      <c r="Q447" s="68"/>
      <c r="R447" s="68"/>
      <c r="S447" s="110"/>
      <c r="T447" s="110"/>
      <c r="U447" s="68"/>
      <c r="V447" s="68"/>
      <c r="W447" s="110"/>
      <c r="X447" s="110"/>
      <c r="Y447" s="110"/>
      <c r="Z447" s="110"/>
      <c r="AA447" s="110"/>
      <c r="AB447" s="110"/>
      <c r="AC447" s="114"/>
      <c r="AD447" s="68"/>
      <c r="AE447" s="110"/>
      <c r="AF447" s="110"/>
      <c r="AG447" s="68"/>
      <c r="AH447" s="68"/>
      <c r="AI447" s="110"/>
      <c r="AJ447" s="110"/>
      <c r="AK447" s="68"/>
      <c r="AL447" s="68"/>
      <c r="AM447" s="110"/>
      <c r="AN447" s="110"/>
      <c r="AO447" s="68"/>
      <c r="AP447" s="68"/>
      <c r="AQ447" s="40"/>
      <c r="AR447" s="40"/>
      <c r="AS447" s="23"/>
    </row>
    <row r="448" spans="1:45" ht="15.75" x14ac:dyDescent="0.25">
      <c r="A448" s="44"/>
      <c r="B448" s="23"/>
      <c r="C448" s="23"/>
      <c r="D448" s="23"/>
      <c r="E448" s="68"/>
      <c r="F448" s="68"/>
      <c r="G448" s="110"/>
      <c r="H448" s="110"/>
      <c r="I448" s="68"/>
      <c r="J448" s="68"/>
      <c r="K448" s="110"/>
      <c r="L448" s="110"/>
      <c r="M448" s="68"/>
      <c r="N448" s="68"/>
      <c r="O448" s="110"/>
      <c r="P448" s="110"/>
      <c r="Q448" s="68"/>
      <c r="R448" s="68"/>
      <c r="S448" s="110"/>
      <c r="T448" s="110"/>
      <c r="U448" s="68"/>
      <c r="V448" s="68"/>
      <c r="W448" s="110"/>
      <c r="X448" s="110"/>
      <c r="Y448" s="110"/>
      <c r="Z448" s="110"/>
      <c r="AA448" s="110"/>
      <c r="AB448" s="110"/>
      <c r="AC448" s="114"/>
      <c r="AD448" s="68"/>
      <c r="AE448" s="110"/>
      <c r="AF448" s="110"/>
      <c r="AG448" s="68"/>
      <c r="AH448" s="68"/>
      <c r="AI448" s="110"/>
      <c r="AJ448" s="110"/>
      <c r="AK448" s="68"/>
      <c r="AL448" s="68"/>
      <c r="AM448" s="110"/>
      <c r="AN448" s="110"/>
      <c r="AO448" s="68"/>
      <c r="AP448" s="68"/>
      <c r="AQ448" s="40"/>
      <c r="AR448" s="40"/>
      <c r="AS448" s="23"/>
    </row>
    <row r="449" spans="1:45" ht="15.75" x14ac:dyDescent="0.25">
      <c r="A449" s="44"/>
      <c r="B449" s="23"/>
      <c r="C449" s="23"/>
      <c r="D449" s="23"/>
      <c r="E449" s="68"/>
      <c r="F449" s="68"/>
      <c r="G449" s="110"/>
      <c r="H449" s="110"/>
      <c r="I449" s="68"/>
      <c r="J449" s="68"/>
      <c r="K449" s="110"/>
      <c r="L449" s="110"/>
      <c r="M449" s="68"/>
      <c r="N449" s="68"/>
      <c r="O449" s="110"/>
      <c r="P449" s="110"/>
      <c r="Q449" s="68"/>
      <c r="R449" s="68"/>
      <c r="S449" s="110"/>
      <c r="T449" s="110"/>
      <c r="U449" s="68"/>
      <c r="V449" s="68"/>
      <c r="W449" s="110"/>
      <c r="X449" s="110"/>
      <c r="Y449" s="110"/>
      <c r="Z449" s="110"/>
      <c r="AA449" s="110"/>
      <c r="AB449" s="110"/>
      <c r="AC449" s="114"/>
      <c r="AD449" s="68"/>
      <c r="AE449" s="110"/>
      <c r="AF449" s="110"/>
      <c r="AG449" s="68"/>
      <c r="AH449" s="68"/>
      <c r="AI449" s="110"/>
      <c r="AJ449" s="110"/>
      <c r="AK449" s="68"/>
      <c r="AL449" s="68"/>
      <c r="AM449" s="110"/>
      <c r="AN449" s="110"/>
      <c r="AO449" s="68"/>
      <c r="AP449" s="68"/>
      <c r="AQ449" s="40"/>
      <c r="AR449" s="40"/>
      <c r="AS449" s="23"/>
    </row>
    <row r="450" spans="1:45" ht="15.75" x14ac:dyDescent="0.25">
      <c r="A450" s="44"/>
      <c r="B450" s="23"/>
      <c r="C450" s="23"/>
      <c r="D450" s="23"/>
      <c r="E450" s="68"/>
      <c r="F450" s="68"/>
      <c r="G450" s="110"/>
      <c r="H450" s="110"/>
      <c r="I450" s="68"/>
      <c r="J450" s="68"/>
      <c r="K450" s="110"/>
      <c r="L450" s="110"/>
      <c r="M450" s="68"/>
      <c r="N450" s="68"/>
      <c r="O450" s="110"/>
      <c r="P450" s="110"/>
      <c r="Q450" s="68"/>
      <c r="R450" s="68"/>
      <c r="S450" s="110"/>
      <c r="T450" s="110"/>
      <c r="U450" s="68"/>
      <c r="V450" s="68"/>
      <c r="W450" s="110"/>
      <c r="X450" s="110"/>
      <c r="Y450" s="110"/>
      <c r="Z450" s="110"/>
      <c r="AA450" s="110"/>
      <c r="AB450" s="110"/>
      <c r="AC450" s="114"/>
      <c r="AD450" s="68"/>
      <c r="AE450" s="110"/>
      <c r="AF450" s="110"/>
      <c r="AG450" s="68"/>
      <c r="AH450" s="68"/>
      <c r="AI450" s="110"/>
      <c r="AJ450" s="110"/>
      <c r="AK450" s="68"/>
      <c r="AL450" s="68"/>
      <c r="AM450" s="110"/>
      <c r="AN450" s="110"/>
      <c r="AO450" s="68"/>
      <c r="AP450" s="68"/>
      <c r="AQ450" s="40"/>
      <c r="AR450" s="40"/>
      <c r="AS450" s="23"/>
    </row>
    <row r="451" spans="1:45" ht="15.75" x14ac:dyDescent="0.25">
      <c r="A451" s="44"/>
      <c r="B451" s="23"/>
      <c r="C451" s="23"/>
      <c r="D451" s="23"/>
      <c r="E451" s="68"/>
      <c r="F451" s="68"/>
      <c r="G451" s="110"/>
      <c r="H451" s="110"/>
      <c r="I451" s="68"/>
      <c r="J451" s="68"/>
      <c r="K451" s="110"/>
      <c r="L451" s="110"/>
      <c r="M451" s="68"/>
      <c r="N451" s="68"/>
      <c r="O451" s="110"/>
      <c r="P451" s="110"/>
      <c r="Q451" s="68"/>
      <c r="R451" s="68"/>
      <c r="S451" s="110"/>
      <c r="T451" s="110"/>
      <c r="U451" s="68"/>
      <c r="V451" s="68"/>
      <c r="W451" s="110"/>
      <c r="X451" s="110"/>
      <c r="Y451" s="110"/>
      <c r="Z451" s="110"/>
      <c r="AA451" s="110"/>
      <c r="AB451" s="110"/>
      <c r="AC451" s="114"/>
      <c r="AD451" s="68"/>
      <c r="AE451" s="110"/>
      <c r="AF451" s="110"/>
      <c r="AG451" s="68"/>
      <c r="AH451" s="68"/>
      <c r="AI451" s="110"/>
      <c r="AJ451" s="110"/>
      <c r="AK451" s="68"/>
      <c r="AL451" s="68"/>
      <c r="AM451" s="110"/>
      <c r="AN451" s="110"/>
      <c r="AO451" s="68"/>
      <c r="AP451" s="68"/>
      <c r="AQ451" s="40"/>
      <c r="AR451" s="40"/>
      <c r="AS451" s="23"/>
    </row>
    <row r="452" spans="1:45" ht="15.75" x14ac:dyDescent="0.25">
      <c r="A452" s="44"/>
      <c r="B452" s="23"/>
      <c r="C452" s="23"/>
      <c r="D452" s="23"/>
      <c r="E452" s="68"/>
      <c r="F452" s="68"/>
      <c r="G452" s="110"/>
      <c r="H452" s="110"/>
      <c r="I452" s="68"/>
      <c r="J452" s="68"/>
      <c r="K452" s="110"/>
      <c r="L452" s="110"/>
      <c r="M452" s="68"/>
      <c r="N452" s="68"/>
      <c r="O452" s="110"/>
      <c r="P452" s="110"/>
      <c r="Q452" s="68"/>
      <c r="R452" s="68"/>
      <c r="S452" s="110"/>
      <c r="T452" s="110"/>
      <c r="U452" s="68"/>
      <c r="V452" s="68"/>
      <c r="W452" s="110"/>
      <c r="X452" s="110"/>
      <c r="Y452" s="110"/>
      <c r="Z452" s="110"/>
      <c r="AA452" s="110"/>
      <c r="AB452" s="110"/>
      <c r="AC452" s="114"/>
      <c r="AD452" s="68"/>
      <c r="AE452" s="110"/>
      <c r="AF452" s="110"/>
      <c r="AG452" s="68"/>
      <c r="AH452" s="68"/>
      <c r="AI452" s="110"/>
      <c r="AJ452" s="110"/>
      <c r="AK452" s="68"/>
      <c r="AL452" s="68"/>
      <c r="AM452" s="110"/>
      <c r="AN452" s="110"/>
      <c r="AO452" s="68"/>
      <c r="AP452" s="68"/>
      <c r="AQ452" s="40"/>
      <c r="AR452" s="40"/>
      <c r="AS452" s="23"/>
    </row>
    <row r="453" spans="1:45" ht="15.75" x14ac:dyDescent="0.25">
      <c r="A453" s="44"/>
      <c r="B453" s="23"/>
      <c r="C453" s="23"/>
      <c r="D453" s="23"/>
      <c r="E453" s="68"/>
      <c r="F453" s="68"/>
      <c r="G453" s="110"/>
      <c r="H453" s="110"/>
      <c r="I453" s="68"/>
      <c r="J453" s="68"/>
      <c r="K453" s="110"/>
      <c r="L453" s="110"/>
      <c r="M453" s="68"/>
      <c r="N453" s="68"/>
      <c r="O453" s="110"/>
      <c r="P453" s="110"/>
      <c r="Q453" s="68"/>
      <c r="R453" s="68"/>
      <c r="S453" s="110"/>
      <c r="T453" s="110"/>
      <c r="U453" s="68"/>
      <c r="V453" s="68"/>
      <c r="W453" s="110"/>
      <c r="X453" s="110"/>
      <c r="Y453" s="110"/>
      <c r="Z453" s="110"/>
      <c r="AA453" s="110"/>
      <c r="AB453" s="110"/>
      <c r="AC453" s="114"/>
      <c r="AD453" s="68"/>
      <c r="AE453" s="110"/>
      <c r="AF453" s="110"/>
      <c r="AG453" s="68"/>
      <c r="AH453" s="68"/>
      <c r="AI453" s="110"/>
      <c r="AJ453" s="110"/>
      <c r="AK453" s="68"/>
      <c r="AL453" s="68"/>
      <c r="AM453" s="110"/>
      <c r="AN453" s="110"/>
      <c r="AO453" s="68"/>
      <c r="AP453" s="68"/>
      <c r="AQ453" s="40"/>
      <c r="AR453" s="40"/>
      <c r="AS453" s="23"/>
    </row>
    <row r="454" spans="1:45" ht="15.75" x14ac:dyDescent="0.25">
      <c r="A454" s="44"/>
      <c r="B454" s="23"/>
      <c r="C454" s="23"/>
      <c r="D454" s="23"/>
      <c r="E454" s="68"/>
      <c r="F454" s="68"/>
      <c r="G454" s="110"/>
      <c r="H454" s="110"/>
      <c r="I454" s="68"/>
      <c r="J454" s="68"/>
      <c r="K454" s="110"/>
      <c r="L454" s="110"/>
      <c r="M454" s="68"/>
      <c r="N454" s="68"/>
      <c r="O454" s="110"/>
      <c r="P454" s="110"/>
      <c r="Q454" s="68"/>
      <c r="R454" s="68"/>
      <c r="S454" s="110"/>
      <c r="T454" s="110"/>
      <c r="U454" s="68"/>
      <c r="V454" s="68"/>
      <c r="W454" s="110"/>
      <c r="X454" s="110"/>
      <c r="Y454" s="110"/>
      <c r="Z454" s="110"/>
      <c r="AA454" s="110"/>
      <c r="AB454" s="110"/>
      <c r="AC454" s="114"/>
      <c r="AD454" s="68"/>
      <c r="AE454" s="110"/>
      <c r="AF454" s="110"/>
      <c r="AG454" s="68"/>
      <c r="AH454" s="68"/>
      <c r="AI454" s="110"/>
      <c r="AJ454" s="110"/>
      <c r="AK454" s="68"/>
      <c r="AL454" s="68"/>
      <c r="AM454" s="110"/>
      <c r="AN454" s="110"/>
      <c r="AO454" s="68"/>
      <c r="AP454" s="68"/>
      <c r="AQ454" s="40"/>
      <c r="AR454" s="40"/>
      <c r="AS454" s="23"/>
    </row>
    <row r="455" spans="1:45" ht="15.75" x14ac:dyDescent="0.25">
      <c r="A455" s="44"/>
      <c r="B455" s="23"/>
      <c r="C455" s="23"/>
      <c r="D455" s="23"/>
      <c r="E455" s="68"/>
      <c r="F455" s="68"/>
      <c r="G455" s="110"/>
      <c r="H455" s="110"/>
      <c r="I455" s="68"/>
      <c r="J455" s="68"/>
      <c r="K455" s="110"/>
      <c r="L455" s="110"/>
      <c r="M455" s="68"/>
      <c r="N455" s="68"/>
      <c r="O455" s="110"/>
      <c r="P455" s="110"/>
      <c r="Q455" s="68"/>
      <c r="R455" s="68"/>
      <c r="S455" s="110"/>
      <c r="T455" s="110"/>
      <c r="U455" s="68"/>
      <c r="V455" s="68"/>
      <c r="W455" s="110"/>
      <c r="X455" s="110"/>
      <c r="Y455" s="110"/>
      <c r="Z455" s="110"/>
      <c r="AA455" s="110"/>
      <c r="AB455" s="110"/>
      <c r="AC455" s="114"/>
      <c r="AD455" s="68"/>
      <c r="AE455" s="110"/>
      <c r="AF455" s="110"/>
      <c r="AG455" s="68"/>
      <c r="AH455" s="68"/>
      <c r="AI455" s="110"/>
      <c r="AJ455" s="110"/>
      <c r="AK455" s="68"/>
      <c r="AL455" s="68"/>
      <c r="AM455" s="110"/>
      <c r="AN455" s="110"/>
      <c r="AO455" s="68"/>
      <c r="AP455" s="68"/>
      <c r="AQ455" s="40"/>
      <c r="AR455" s="40"/>
      <c r="AS455" s="23"/>
    </row>
    <row r="456" spans="1:45" ht="15.75" x14ac:dyDescent="0.25">
      <c r="A456" s="44"/>
      <c r="B456" s="23"/>
      <c r="C456" s="23"/>
      <c r="D456" s="23"/>
      <c r="E456" s="68"/>
      <c r="F456" s="68"/>
      <c r="G456" s="110"/>
      <c r="H456" s="110"/>
      <c r="I456" s="68"/>
      <c r="J456" s="68"/>
      <c r="K456" s="110"/>
      <c r="L456" s="110"/>
      <c r="M456" s="68"/>
      <c r="N456" s="68"/>
      <c r="O456" s="110"/>
      <c r="P456" s="110"/>
      <c r="Q456" s="68"/>
      <c r="R456" s="68"/>
      <c r="S456" s="110"/>
      <c r="T456" s="110"/>
      <c r="U456" s="68"/>
      <c r="V456" s="68"/>
      <c r="W456" s="110"/>
      <c r="X456" s="110"/>
      <c r="Y456" s="110"/>
      <c r="Z456" s="110"/>
      <c r="AA456" s="110"/>
      <c r="AB456" s="110"/>
      <c r="AC456" s="114"/>
      <c r="AD456" s="68"/>
      <c r="AE456" s="110"/>
      <c r="AF456" s="110"/>
      <c r="AG456" s="68"/>
      <c r="AH456" s="68"/>
      <c r="AI456" s="110"/>
      <c r="AJ456" s="110"/>
      <c r="AK456" s="68"/>
      <c r="AL456" s="68"/>
      <c r="AM456" s="110"/>
      <c r="AN456" s="110"/>
      <c r="AO456" s="68"/>
      <c r="AP456" s="68"/>
      <c r="AQ456" s="40"/>
      <c r="AR456" s="40"/>
      <c r="AS456" s="23"/>
    </row>
    <row r="457" spans="1:45" ht="15.75" x14ac:dyDescent="0.25">
      <c r="A457" s="44"/>
      <c r="B457" s="23"/>
      <c r="C457" s="23"/>
      <c r="D457" s="23"/>
      <c r="E457" s="68"/>
      <c r="F457" s="68"/>
      <c r="G457" s="110"/>
      <c r="H457" s="110"/>
      <c r="I457" s="68"/>
      <c r="J457" s="68"/>
      <c r="K457" s="110"/>
      <c r="L457" s="110"/>
      <c r="M457" s="68"/>
      <c r="N457" s="68"/>
      <c r="O457" s="110"/>
      <c r="P457" s="110"/>
      <c r="Q457" s="68"/>
      <c r="R457" s="68"/>
      <c r="S457" s="110"/>
      <c r="T457" s="110"/>
      <c r="U457" s="68"/>
      <c r="V457" s="68"/>
      <c r="W457" s="110"/>
      <c r="X457" s="110"/>
      <c r="Y457" s="110"/>
      <c r="Z457" s="110"/>
      <c r="AA457" s="110"/>
      <c r="AB457" s="110"/>
      <c r="AC457" s="114"/>
      <c r="AD457" s="68"/>
      <c r="AE457" s="110"/>
      <c r="AF457" s="110"/>
      <c r="AG457" s="68"/>
      <c r="AH457" s="68"/>
      <c r="AI457" s="110"/>
      <c r="AJ457" s="110"/>
      <c r="AK457" s="68"/>
      <c r="AL457" s="68"/>
      <c r="AM457" s="110"/>
      <c r="AN457" s="110"/>
      <c r="AO457" s="68"/>
      <c r="AP457" s="68"/>
      <c r="AQ457" s="40"/>
      <c r="AR457" s="40"/>
      <c r="AS457" s="23"/>
    </row>
    <row r="458" spans="1:45" ht="15.75" x14ac:dyDescent="0.25">
      <c r="A458" s="44"/>
      <c r="B458" s="23"/>
      <c r="C458" s="23"/>
      <c r="D458" s="23"/>
      <c r="E458" s="68"/>
      <c r="F458" s="68"/>
      <c r="G458" s="110"/>
      <c r="H458" s="110"/>
      <c r="I458" s="68"/>
      <c r="J458" s="68"/>
      <c r="K458" s="110"/>
      <c r="L458" s="110"/>
      <c r="M458" s="68"/>
      <c r="N458" s="68"/>
      <c r="O458" s="110"/>
      <c r="P458" s="110"/>
      <c r="Q458" s="68"/>
      <c r="R458" s="68"/>
      <c r="S458" s="110"/>
      <c r="T458" s="110"/>
      <c r="U458" s="68"/>
      <c r="V458" s="68"/>
      <c r="W458" s="110"/>
      <c r="X458" s="110"/>
      <c r="Y458" s="110"/>
      <c r="Z458" s="110"/>
      <c r="AA458" s="110"/>
      <c r="AB458" s="110"/>
      <c r="AC458" s="114"/>
      <c r="AD458" s="68"/>
      <c r="AE458" s="110"/>
      <c r="AF458" s="110"/>
      <c r="AG458" s="68"/>
      <c r="AH458" s="68"/>
      <c r="AI458" s="110"/>
      <c r="AJ458" s="110"/>
      <c r="AK458" s="68"/>
      <c r="AL458" s="68"/>
      <c r="AM458" s="110"/>
      <c r="AN458" s="110"/>
      <c r="AO458" s="68"/>
      <c r="AP458" s="68"/>
      <c r="AQ458" s="40"/>
      <c r="AR458" s="40"/>
      <c r="AS458" s="23"/>
    </row>
    <row r="459" spans="1:45" ht="15.75" x14ac:dyDescent="0.25">
      <c r="A459" s="44"/>
      <c r="B459" s="23"/>
      <c r="C459" s="23"/>
      <c r="D459" s="23"/>
      <c r="E459" s="68"/>
      <c r="F459" s="68"/>
      <c r="G459" s="110"/>
      <c r="H459" s="110"/>
      <c r="I459" s="68"/>
      <c r="J459" s="68"/>
      <c r="K459" s="110"/>
      <c r="L459" s="110"/>
      <c r="M459" s="68"/>
      <c r="N459" s="68"/>
      <c r="O459" s="110"/>
      <c r="P459" s="110"/>
      <c r="Q459" s="68"/>
      <c r="R459" s="68"/>
      <c r="S459" s="110"/>
      <c r="T459" s="110"/>
      <c r="U459" s="68"/>
      <c r="V459" s="68"/>
      <c r="W459" s="110"/>
      <c r="X459" s="110"/>
      <c r="Y459" s="110"/>
      <c r="Z459" s="110"/>
      <c r="AA459" s="110"/>
      <c r="AB459" s="110"/>
      <c r="AC459" s="114"/>
      <c r="AD459" s="68"/>
      <c r="AE459" s="110"/>
      <c r="AF459" s="110"/>
      <c r="AG459" s="68"/>
      <c r="AH459" s="68"/>
      <c r="AI459" s="110"/>
      <c r="AJ459" s="110"/>
      <c r="AK459" s="68"/>
      <c r="AL459" s="68"/>
      <c r="AM459" s="110"/>
      <c r="AN459" s="110"/>
      <c r="AO459" s="68"/>
      <c r="AP459" s="68"/>
      <c r="AQ459" s="40"/>
      <c r="AR459" s="40"/>
      <c r="AS459" s="23"/>
    </row>
    <row r="460" spans="1:45" ht="15.75" x14ac:dyDescent="0.25">
      <c r="A460" s="44"/>
      <c r="B460" s="23"/>
      <c r="C460" s="23"/>
      <c r="D460" s="23"/>
      <c r="E460" s="68"/>
      <c r="F460" s="68"/>
      <c r="G460" s="110"/>
      <c r="H460" s="110"/>
      <c r="I460" s="68"/>
      <c r="J460" s="68"/>
      <c r="K460" s="110"/>
      <c r="L460" s="110"/>
      <c r="M460" s="68"/>
      <c r="N460" s="68"/>
      <c r="O460" s="110"/>
      <c r="P460" s="110"/>
      <c r="Q460" s="68"/>
      <c r="R460" s="68"/>
      <c r="S460" s="110"/>
      <c r="T460" s="110"/>
      <c r="U460" s="68"/>
      <c r="V460" s="68"/>
      <c r="W460" s="110"/>
      <c r="X460" s="110"/>
      <c r="Y460" s="110"/>
      <c r="Z460" s="110"/>
      <c r="AA460" s="110"/>
      <c r="AB460" s="110"/>
      <c r="AC460" s="114"/>
      <c r="AD460" s="68"/>
      <c r="AE460" s="110"/>
      <c r="AF460" s="110"/>
      <c r="AG460" s="68"/>
      <c r="AH460" s="68"/>
      <c r="AI460" s="110"/>
      <c r="AJ460" s="110"/>
      <c r="AK460" s="68"/>
      <c r="AL460" s="68"/>
      <c r="AM460" s="110"/>
      <c r="AN460" s="110"/>
      <c r="AO460" s="68"/>
      <c r="AP460" s="68"/>
      <c r="AQ460" s="40"/>
      <c r="AR460" s="40"/>
      <c r="AS460" s="23"/>
    </row>
    <row r="461" spans="1:45" ht="15.75" x14ac:dyDescent="0.25">
      <c r="A461" s="44"/>
      <c r="B461" s="23"/>
      <c r="C461" s="23"/>
      <c r="D461" s="23"/>
      <c r="E461" s="68"/>
      <c r="F461" s="68"/>
      <c r="G461" s="110"/>
      <c r="H461" s="110"/>
      <c r="I461" s="68"/>
      <c r="J461" s="68"/>
      <c r="K461" s="110"/>
      <c r="L461" s="110"/>
      <c r="M461" s="68"/>
      <c r="N461" s="68"/>
      <c r="O461" s="110"/>
      <c r="P461" s="110"/>
      <c r="Q461" s="68"/>
      <c r="R461" s="68"/>
      <c r="S461" s="110"/>
      <c r="T461" s="110"/>
      <c r="U461" s="68"/>
      <c r="V461" s="68"/>
      <c r="W461" s="110"/>
      <c r="X461" s="110"/>
      <c r="Y461" s="110"/>
      <c r="Z461" s="110"/>
      <c r="AA461" s="110"/>
      <c r="AB461" s="110"/>
      <c r="AC461" s="114"/>
      <c r="AD461" s="68"/>
      <c r="AE461" s="110"/>
      <c r="AF461" s="110"/>
      <c r="AG461" s="68"/>
      <c r="AH461" s="68"/>
      <c r="AI461" s="110"/>
      <c r="AJ461" s="110"/>
      <c r="AK461" s="68"/>
      <c r="AL461" s="68"/>
      <c r="AM461" s="110"/>
      <c r="AN461" s="110"/>
      <c r="AO461" s="68"/>
      <c r="AP461" s="68"/>
      <c r="AQ461" s="40"/>
      <c r="AR461" s="40"/>
      <c r="AS461" s="23"/>
    </row>
    <row r="462" spans="1:45" ht="15.75" x14ac:dyDescent="0.25">
      <c r="A462" s="44"/>
      <c r="B462" s="23"/>
      <c r="C462" s="23"/>
      <c r="D462" s="23"/>
      <c r="E462" s="68"/>
      <c r="F462" s="68"/>
      <c r="G462" s="110"/>
      <c r="H462" s="110"/>
      <c r="I462" s="68"/>
      <c r="J462" s="68"/>
      <c r="K462" s="110"/>
      <c r="L462" s="110"/>
      <c r="M462" s="68"/>
      <c r="N462" s="68"/>
      <c r="O462" s="110"/>
      <c r="P462" s="110"/>
      <c r="Q462" s="68"/>
      <c r="R462" s="68"/>
      <c r="S462" s="110"/>
      <c r="T462" s="110"/>
      <c r="U462" s="68"/>
      <c r="V462" s="68"/>
      <c r="W462" s="110"/>
      <c r="X462" s="110"/>
      <c r="Y462" s="110"/>
      <c r="Z462" s="110"/>
      <c r="AA462" s="110"/>
      <c r="AB462" s="110"/>
      <c r="AC462" s="114"/>
      <c r="AD462" s="68"/>
      <c r="AE462" s="110"/>
      <c r="AF462" s="110"/>
      <c r="AG462" s="68"/>
      <c r="AH462" s="68"/>
      <c r="AI462" s="110"/>
      <c r="AJ462" s="110"/>
      <c r="AK462" s="68"/>
      <c r="AL462" s="68"/>
      <c r="AM462" s="110"/>
      <c r="AN462" s="110"/>
      <c r="AO462" s="68"/>
      <c r="AP462" s="68"/>
      <c r="AQ462" s="40"/>
      <c r="AR462" s="40"/>
      <c r="AS462" s="23"/>
    </row>
    <row r="463" spans="1:45" ht="15.75" x14ac:dyDescent="0.25">
      <c r="A463" s="44"/>
      <c r="B463" s="23"/>
      <c r="C463" s="23"/>
      <c r="D463" s="23"/>
      <c r="E463" s="68"/>
      <c r="F463" s="68"/>
      <c r="G463" s="110"/>
      <c r="H463" s="110"/>
      <c r="I463" s="68"/>
      <c r="J463" s="68"/>
      <c r="K463" s="110"/>
      <c r="L463" s="110"/>
      <c r="M463" s="68"/>
      <c r="N463" s="68"/>
      <c r="O463" s="110"/>
      <c r="P463" s="110"/>
      <c r="Q463" s="68"/>
      <c r="R463" s="68"/>
      <c r="S463" s="110"/>
      <c r="T463" s="110"/>
      <c r="U463" s="68"/>
      <c r="V463" s="68"/>
      <c r="W463" s="110"/>
      <c r="X463" s="110"/>
      <c r="Y463" s="110"/>
      <c r="Z463" s="110"/>
      <c r="AA463" s="110"/>
      <c r="AB463" s="110"/>
      <c r="AC463" s="114"/>
      <c r="AD463" s="68"/>
      <c r="AE463" s="110"/>
      <c r="AF463" s="110"/>
      <c r="AG463" s="68"/>
      <c r="AH463" s="68"/>
      <c r="AI463" s="110"/>
      <c r="AJ463" s="110"/>
      <c r="AK463" s="68"/>
      <c r="AL463" s="68"/>
      <c r="AM463" s="110"/>
      <c r="AN463" s="110"/>
      <c r="AO463" s="68"/>
      <c r="AP463" s="68"/>
      <c r="AQ463" s="40"/>
      <c r="AR463" s="40"/>
      <c r="AS463" s="23"/>
    </row>
    <row r="464" spans="1:45" ht="15.75" x14ac:dyDescent="0.25">
      <c r="A464" s="44"/>
      <c r="B464" s="23"/>
      <c r="C464" s="23"/>
      <c r="D464" s="23"/>
      <c r="E464" s="68"/>
      <c r="F464" s="68"/>
      <c r="G464" s="110"/>
      <c r="H464" s="110"/>
      <c r="I464" s="68"/>
      <c r="J464" s="68"/>
      <c r="K464" s="110"/>
      <c r="L464" s="110"/>
      <c r="M464" s="68"/>
      <c r="N464" s="68"/>
      <c r="O464" s="110"/>
      <c r="P464" s="110"/>
      <c r="Q464" s="68"/>
      <c r="R464" s="68"/>
      <c r="S464" s="110"/>
      <c r="T464" s="110"/>
      <c r="U464" s="68"/>
      <c r="V464" s="68"/>
      <c r="W464" s="110"/>
      <c r="X464" s="110"/>
      <c r="Y464" s="110"/>
      <c r="Z464" s="110"/>
      <c r="AA464" s="110"/>
      <c r="AB464" s="110"/>
      <c r="AC464" s="114"/>
      <c r="AD464" s="68"/>
      <c r="AE464" s="110"/>
      <c r="AF464" s="110"/>
      <c r="AG464" s="68"/>
      <c r="AH464" s="68"/>
      <c r="AI464" s="110"/>
      <c r="AJ464" s="110"/>
      <c r="AK464" s="68"/>
      <c r="AL464" s="68"/>
      <c r="AM464" s="110"/>
      <c r="AN464" s="110"/>
      <c r="AO464" s="68"/>
      <c r="AP464" s="68"/>
      <c r="AQ464" s="40"/>
      <c r="AR464" s="40"/>
      <c r="AS464" s="23"/>
    </row>
    <row r="465" spans="1:45" ht="15.75" x14ac:dyDescent="0.25">
      <c r="A465" s="44"/>
      <c r="B465" s="23"/>
      <c r="C465" s="23"/>
      <c r="D465" s="23"/>
      <c r="E465" s="68"/>
      <c r="F465" s="68"/>
      <c r="G465" s="110"/>
      <c r="H465" s="110"/>
      <c r="I465" s="68"/>
      <c r="J465" s="68"/>
      <c r="K465" s="110"/>
      <c r="L465" s="110"/>
      <c r="M465" s="68"/>
      <c r="N465" s="68"/>
      <c r="O465" s="110"/>
      <c r="P465" s="110"/>
      <c r="Q465" s="68"/>
      <c r="R465" s="68"/>
      <c r="S465" s="110"/>
      <c r="T465" s="110"/>
      <c r="U465" s="68"/>
      <c r="V465" s="68"/>
      <c r="W465" s="110"/>
      <c r="X465" s="110"/>
      <c r="Y465" s="110"/>
      <c r="Z465" s="110"/>
      <c r="AA465" s="110"/>
      <c r="AB465" s="110"/>
      <c r="AC465" s="114"/>
      <c r="AD465" s="68"/>
      <c r="AE465" s="110"/>
      <c r="AF465" s="110"/>
      <c r="AG465" s="68"/>
      <c r="AH465" s="68"/>
      <c r="AI465" s="110"/>
      <c r="AJ465" s="110"/>
      <c r="AK465" s="68"/>
      <c r="AL465" s="68"/>
      <c r="AM465" s="110"/>
      <c r="AN465" s="110"/>
      <c r="AO465" s="68"/>
      <c r="AP465" s="68"/>
      <c r="AQ465" s="40"/>
      <c r="AR465" s="40"/>
      <c r="AS465" s="23"/>
    </row>
    <row r="466" spans="1:45" ht="15.75" x14ac:dyDescent="0.25">
      <c r="A466" s="44"/>
      <c r="B466" s="23"/>
      <c r="C466" s="23"/>
      <c r="D466" s="23"/>
      <c r="E466" s="68"/>
      <c r="F466" s="68"/>
      <c r="G466" s="110"/>
      <c r="H466" s="110"/>
      <c r="I466" s="68"/>
      <c r="J466" s="68"/>
      <c r="K466" s="110"/>
      <c r="L466" s="110"/>
      <c r="M466" s="68"/>
      <c r="N466" s="68"/>
      <c r="O466" s="110"/>
      <c r="P466" s="110"/>
      <c r="Q466" s="68"/>
      <c r="R466" s="68"/>
      <c r="S466" s="110"/>
      <c r="T466" s="110"/>
      <c r="U466" s="68"/>
      <c r="V466" s="68"/>
      <c r="W466" s="110"/>
      <c r="X466" s="110"/>
      <c r="Y466" s="110"/>
      <c r="Z466" s="110"/>
      <c r="AA466" s="110"/>
      <c r="AB466" s="110"/>
      <c r="AC466" s="114"/>
      <c r="AD466" s="68"/>
      <c r="AE466" s="110"/>
      <c r="AF466" s="110"/>
      <c r="AG466" s="68"/>
      <c r="AH466" s="68"/>
      <c r="AI466" s="110"/>
      <c r="AJ466" s="110"/>
      <c r="AK466" s="68"/>
      <c r="AL466" s="68"/>
      <c r="AM466" s="110"/>
      <c r="AN466" s="110"/>
      <c r="AO466" s="68"/>
      <c r="AP466" s="68"/>
      <c r="AQ466" s="40"/>
      <c r="AR466" s="40"/>
      <c r="AS466" s="23"/>
    </row>
    <row r="467" spans="1:45" ht="15.75" x14ac:dyDescent="0.25">
      <c r="A467" s="44"/>
      <c r="B467" s="23"/>
      <c r="C467" s="23"/>
      <c r="D467" s="23"/>
      <c r="E467" s="68"/>
      <c r="F467" s="68"/>
      <c r="G467" s="110"/>
      <c r="H467" s="110"/>
      <c r="I467" s="68"/>
      <c r="J467" s="68"/>
      <c r="K467" s="110"/>
      <c r="L467" s="110"/>
      <c r="M467" s="68"/>
      <c r="N467" s="68"/>
      <c r="O467" s="110"/>
      <c r="P467" s="110"/>
      <c r="Q467" s="68"/>
      <c r="R467" s="68"/>
      <c r="S467" s="110"/>
      <c r="T467" s="110"/>
      <c r="U467" s="68"/>
      <c r="V467" s="68"/>
      <c r="W467" s="110"/>
      <c r="X467" s="110"/>
      <c r="Y467" s="110"/>
      <c r="Z467" s="110"/>
      <c r="AA467" s="110"/>
      <c r="AB467" s="110"/>
      <c r="AC467" s="114"/>
      <c r="AD467" s="68"/>
      <c r="AE467" s="110"/>
      <c r="AF467" s="110"/>
      <c r="AG467" s="68"/>
      <c r="AH467" s="68"/>
      <c r="AI467" s="110"/>
      <c r="AJ467" s="110"/>
      <c r="AK467" s="68"/>
      <c r="AL467" s="68"/>
      <c r="AM467" s="110"/>
      <c r="AN467" s="110"/>
      <c r="AO467" s="68"/>
      <c r="AP467" s="68"/>
      <c r="AQ467" s="40"/>
      <c r="AR467" s="40"/>
      <c r="AS467" s="23"/>
    </row>
    <row r="468" spans="1:45" ht="15.75" x14ac:dyDescent="0.25">
      <c r="A468" s="44"/>
      <c r="B468" s="23"/>
      <c r="C468" s="23"/>
      <c r="D468" s="23"/>
      <c r="E468" s="68"/>
      <c r="F468" s="68"/>
      <c r="G468" s="110"/>
      <c r="H468" s="110"/>
      <c r="I468" s="68"/>
      <c r="J468" s="68"/>
      <c r="K468" s="110"/>
      <c r="L468" s="110"/>
      <c r="M468" s="68"/>
      <c r="N468" s="68"/>
      <c r="O468" s="110"/>
      <c r="P468" s="110"/>
      <c r="Q468" s="68"/>
      <c r="R468" s="68"/>
      <c r="S468" s="110"/>
      <c r="T468" s="110"/>
      <c r="U468" s="68"/>
      <c r="V468" s="68"/>
      <c r="W468" s="110"/>
      <c r="X468" s="110"/>
      <c r="Y468" s="110"/>
      <c r="Z468" s="110"/>
      <c r="AA468" s="110"/>
      <c r="AB468" s="110"/>
      <c r="AC468" s="114"/>
      <c r="AD468" s="68"/>
      <c r="AE468" s="110"/>
      <c r="AF468" s="110"/>
      <c r="AG468" s="68"/>
      <c r="AH468" s="68"/>
      <c r="AI468" s="110"/>
      <c r="AJ468" s="110"/>
      <c r="AK468" s="68"/>
      <c r="AL468" s="68"/>
      <c r="AM468" s="110"/>
      <c r="AN468" s="110"/>
      <c r="AO468" s="68"/>
      <c r="AP468" s="68"/>
      <c r="AQ468" s="40"/>
      <c r="AR468" s="40"/>
      <c r="AS468" s="23"/>
    </row>
    <row r="469" spans="1:45" ht="15.75" x14ac:dyDescent="0.25">
      <c r="A469" s="44"/>
      <c r="B469" s="23"/>
      <c r="C469" s="23"/>
      <c r="D469" s="23"/>
      <c r="E469" s="68"/>
      <c r="F469" s="68"/>
      <c r="G469" s="110"/>
      <c r="H469" s="110"/>
      <c r="I469" s="68"/>
      <c r="J469" s="68"/>
      <c r="K469" s="110"/>
      <c r="L469" s="110"/>
      <c r="M469" s="68"/>
      <c r="N469" s="68"/>
      <c r="O469" s="110"/>
      <c r="P469" s="110"/>
      <c r="Q469" s="68"/>
      <c r="R469" s="68"/>
      <c r="S469" s="110"/>
      <c r="T469" s="110"/>
      <c r="U469" s="68"/>
      <c r="V469" s="68"/>
      <c r="W469" s="110"/>
      <c r="X469" s="110"/>
      <c r="Y469" s="110"/>
      <c r="Z469" s="110"/>
      <c r="AA469" s="110"/>
      <c r="AB469" s="110"/>
      <c r="AC469" s="114"/>
      <c r="AD469" s="68"/>
      <c r="AE469" s="110"/>
      <c r="AF469" s="110"/>
      <c r="AG469" s="68"/>
      <c r="AH469" s="68"/>
      <c r="AI469" s="110"/>
      <c r="AJ469" s="110"/>
      <c r="AK469" s="68"/>
      <c r="AL469" s="68"/>
      <c r="AM469" s="110"/>
      <c r="AN469" s="110"/>
      <c r="AO469" s="68"/>
      <c r="AP469" s="68"/>
      <c r="AQ469" s="40"/>
      <c r="AR469" s="40"/>
      <c r="AS469" s="23"/>
    </row>
    <row r="470" spans="1:45" ht="15.75" x14ac:dyDescent="0.25">
      <c r="A470" s="44"/>
      <c r="B470" s="23"/>
      <c r="C470" s="23"/>
      <c r="D470" s="23"/>
      <c r="E470" s="68"/>
      <c r="F470" s="68"/>
      <c r="G470" s="110"/>
      <c r="H470" s="110"/>
      <c r="I470" s="68"/>
      <c r="J470" s="68"/>
      <c r="K470" s="110"/>
      <c r="L470" s="110"/>
      <c r="M470" s="68"/>
      <c r="N470" s="68"/>
      <c r="O470" s="110"/>
      <c r="P470" s="110"/>
      <c r="Q470" s="68"/>
      <c r="R470" s="68"/>
      <c r="S470" s="110"/>
      <c r="T470" s="110"/>
      <c r="U470" s="68"/>
      <c r="V470" s="68"/>
      <c r="W470" s="110"/>
      <c r="X470" s="110"/>
      <c r="Y470" s="110"/>
      <c r="Z470" s="110"/>
      <c r="AA470" s="110"/>
      <c r="AB470" s="110"/>
      <c r="AC470" s="114"/>
      <c r="AD470" s="68"/>
      <c r="AE470" s="110"/>
      <c r="AF470" s="110"/>
      <c r="AG470" s="68"/>
      <c r="AH470" s="68"/>
      <c r="AI470" s="110"/>
      <c r="AJ470" s="110"/>
      <c r="AK470" s="68"/>
      <c r="AL470" s="68"/>
      <c r="AM470" s="110"/>
      <c r="AN470" s="110"/>
      <c r="AO470" s="68"/>
      <c r="AP470" s="68"/>
      <c r="AQ470" s="40"/>
      <c r="AR470" s="40"/>
      <c r="AS470" s="23"/>
    </row>
    <row r="471" spans="1:45" ht="15.75" x14ac:dyDescent="0.25">
      <c r="A471" s="44"/>
      <c r="B471" s="23"/>
      <c r="C471" s="23"/>
      <c r="D471" s="23"/>
      <c r="E471" s="68"/>
      <c r="F471" s="68"/>
      <c r="G471" s="110"/>
      <c r="H471" s="110"/>
      <c r="I471" s="68"/>
      <c r="J471" s="68"/>
      <c r="K471" s="110"/>
      <c r="L471" s="110"/>
      <c r="M471" s="68"/>
      <c r="N471" s="68"/>
      <c r="O471" s="110"/>
      <c r="P471" s="110"/>
      <c r="Q471" s="68"/>
      <c r="R471" s="68"/>
      <c r="S471" s="110"/>
      <c r="T471" s="110"/>
      <c r="U471" s="68"/>
      <c r="V471" s="68"/>
      <c r="W471" s="110"/>
      <c r="X471" s="110"/>
      <c r="Y471" s="110"/>
      <c r="Z471" s="110"/>
      <c r="AA471" s="110"/>
      <c r="AB471" s="110"/>
      <c r="AC471" s="114"/>
      <c r="AD471" s="68"/>
      <c r="AE471" s="110"/>
      <c r="AF471" s="110"/>
      <c r="AG471" s="68"/>
      <c r="AH471" s="68"/>
      <c r="AI471" s="110"/>
      <c r="AJ471" s="110"/>
      <c r="AK471" s="68"/>
      <c r="AL471" s="68"/>
      <c r="AM471" s="110"/>
      <c r="AN471" s="110"/>
      <c r="AO471" s="68"/>
      <c r="AP471" s="68"/>
      <c r="AQ471" s="40"/>
      <c r="AR471" s="40"/>
      <c r="AS471" s="23"/>
    </row>
    <row r="472" spans="1:45" ht="15.75" x14ac:dyDescent="0.25">
      <c r="A472" s="44"/>
      <c r="B472" s="23"/>
      <c r="C472" s="23"/>
      <c r="D472" s="23"/>
      <c r="E472" s="68"/>
      <c r="F472" s="68"/>
      <c r="G472" s="110"/>
      <c r="H472" s="110"/>
      <c r="I472" s="68"/>
      <c r="J472" s="68"/>
      <c r="K472" s="110"/>
      <c r="L472" s="110"/>
      <c r="M472" s="68"/>
      <c r="N472" s="68"/>
      <c r="O472" s="110"/>
      <c r="P472" s="110"/>
      <c r="Q472" s="68"/>
      <c r="R472" s="68"/>
      <c r="S472" s="110"/>
      <c r="T472" s="110"/>
      <c r="U472" s="68"/>
      <c r="V472" s="68"/>
      <c r="W472" s="110"/>
      <c r="X472" s="110"/>
      <c r="Y472" s="110"/>
      <c r="Z472" s="110"/>
      <c r="AA472" s="110"/>
      <c r="AB472" s="110"/>
      <c r="AC472" s="114"/>
      <c r="AD472" s="68"/>
      <c r="AE472" s="110"/>
      <c r="AF472" s="110"/>
      <c r="AG472" s="68"/>
      <c r="AH472" s="68"/>
      <c r="AI472" s="110"/>
      <c r="AJ472" s="110"/>
      <c r="AK472" s="68"/>
      <c r="AL472" s="68"/>
      <c r="AM472" s="110"/>
      <c r="AN472" s="110"/>
      <c r="AO472" s="68"/>
      <c r="AP472" s="68"/>
      <c r="AQ472" s="40"/>
      <c r="AR472" s="40"/>
      <c r="AS472" s="23"/>
    </row>
    <row r="473" spans="1:45" ht="15.75" x14ac:dyDescent="0.25">
      <c r="A473" s="44"/>
      <c r="B473" s="23"/>
      <c r="C473" s="23"/>
      <c r="D473" s="23"/>
      <c r="E473" s="68"/>
      <c r="F473" s="68"/>
      <c r="G473" s="110"/>
      <c r="H473" s="110"/>
      <c r="I473" s="68"/>
      <c r="J473" s="68"/>
      <c r="K473" s="110"/>
      <c r="L473" s="110"/>
      <c r="M473" s="68"/>
      <c r="N473" s="68"/>
      <c r="O473" s="110"/>
      <c r="P473" s="110"/>
      <c r="Q473" s="68"/>
      <c r="R473" s="68"/>
      <c r="S473" s="110"/>
      <c r="T473" s="110"/>
      <c r="U473" s="68"/>
      <c r="V473" s="68"/>
      <c r="W473" s="110"/>
      <c r="X473" s="110"/>
      <c r="Y473" s="110"/>
      <c r="Z473" s="110"/>
      <c r="AA473" s="110"/>
      <c r="AB473" s="110"/>
      <c r="AC473" s="114"/>
      <c r="AD473" s="68"/>
      <c r="AE473" s="110"/>
      <c r="AF473" s="110"/>
      <c r="AG473" s="68"/>
      <c r="AH473" s="68"/>
      <c r="AI473" s="110"/>
      <c r="AJ473" s="110"/>
      <c r="AK473" s="68"/>
      <c r="AL473" s="68"/>
      <c r="AM473" s="110"/>
      <c r="AN473" s="110"/>
      <c r="AO473" s="68"/>
      <c r="AP473" s="68"/>
      <c r="AQ473" s="40"/>
      <c r="AR473" s="40"/>
      <c r="AS473" s="23"/>
    </row>
    <row r="474" spans="1:45" ht="15.75" x14ac:dyDescent="0.25">
      <c r="A474" s="44"/>
      <c r="B474" s="23"/>
      <c r="C474" s="23"/>
      <c r="D474" s="23"/>
      <c r="E474" s="68"/>
      <c r="F474" s="68"/>
      <c r="G474" s="110"/>
      <c r="H474" s="110"/>
      <c r="I474" s="68"/>
      <c r="J474" s="68"/>
      <c r="K474" s="110"/>
      <c r="L474" s="110"/>
      <c r="M474" s="68"/>
      <c r="N474" s="68"/>
      <c r="O474" s="110"/>
      <c r="P474" s="110"/>
      <c r="Q474" s="68"/>
      <c r="R474" s="68"/>
      <c r="S474" s="110"/>
      <c r="T474" s="110"/>
      <c r="U474" s="68"/>
      <c r="V474" s="68"/>
      <c r="W474" s="110"/>
      <c r="X474" s="110"/>
      <c r="Y474" s="110"/>
      <c r="Z474" s="110"/>
      <c r="AA474" s="110"/>
      <c r="AB474" s="110"/>
      <c r="AC474" s="114"/>
      <c r="AD474" s="68"/>
      <c r="AE474" s="110"/>
      <c r="AF474" s="110"/>
      <c r="AG474" s="68"/>
      <c r="AH474" s="68"/>
      <c r="AI474" s="110"/>
      <c r="AJ474" s="110"/>
      <c r="AK474" s="68"/>
      <c r="AL474" s="68"/>
      <c r="AM474" s="110"/>
      <c r="AN474" s="110"/>
      <c r="AO474" s="68"/>
      <c r="AP474" s="68"/>
      <c r="AQ474" s="40"/>
      <c r="AR474" s="40"/>
      <c r="AS474" s="23"/>
    </row>
    <row r="475" spans="1:45" ht="15.75" x14ac:dyDescent="0.25">
      <c r="A475" s="44"/>
      <c r="B475" s="23"/>
      <c r="C475" s="23"/>
      <c r="D475" s="23"/>
      <c r="E475" s="68"/>
      <c r="F475" s="68"/>
      <c r="G475" s="110"/>
      <c r="H475" s="110"/>
      <c r="I475" s="68"/>
      <c r="J475" s="68"/>
      <c r="K475" s="110"/>
      <c r="L475" s="110"/>
      <c r="M475" s="68"/>
      <c r="N475" s="68"/>
      <c r="O475" s="110"/>
      <c r="P475" s="110"/>
      <c r="Q475" s="68"/>
      <c r="R475" s="68"/>
      <c r="S475" s="110"/>
      <c r="T475" s="110"/>
      <c r="U475" s="68"/>
      <c r="V475" s="68"/>
      <c r="W475" s="110"/>
      <c r="X475" s="110"/>
      <c r="Y475" s="110"/>
      <c r="Z475" s="110"/>
      <c r="AA475" s="110"/>
      <c r="AB475" s="110"/>
      <c r="AC475" s="114"/>
      <c r="AD475" s="68"/>
      <c r="AE475" s="110"/>
      <c r="AF475" s="110"/>
      <c r="AG475" s="68"/>
      <c r="AH475" s="68"/>
      <c r="AI475" s="110"/>
      <c r="AJ475" s="110"/>
      <c r="AK475" s="68"/>
      <c r="AL475" s="68"/>
      <c r="AM475" s="110"/>
      <c r="AN475" s="110"/>
      <c r="AO475" s="68"/>
      <c r="AP475" s="68"/>
      <c r="AQ475" s="40"/>
      <c r="AR475" s="40"/>
      <c r="AS475" s="23"/>
    </row>
    <row r="476" spans="1:45" ht="15.75" x14ac:dyDescent="0.25">
      <c r="A476" s="44"/>
      <c r="B476" s="23"/>
      <c r="C476" s="23"/>
      <c r="D476" s="23"/>
      <c r="E476" s="68"/>
      <c r="F476" s="68"/>
      <c r="G476" s="110"/>
      <c r="H476" s="110"/>
      <c r="I476" s="68"/>
      <c r="J476" s="68"/>
      <c r="K476" s="110"/>
      <c r="L476" s="110"/>
      <c r="M476" s="68"/>
      <c r="N476" s="68"/>
      <c r="O476" s="110"/>
      <c r="P476" s="110"/>
      <c r="Q476" s="68"/>
      <c r="R476" s="68"/>
      <c r="S476" s="110"/>
      <c r="T476" s="110"/>
      <c r="U476" s="68"/>
      <c r="V476" s="68"/>
      <c r="W476" s="110"/>
      <c r="X476" s="110"/>
      <c r="Y476" s="110"/>
      <c r="Z476" s="110"/>
      <c r="AA476" s="110"/>
      <c r="AB476" s="110"/>
      <c r="AC476" s="114"/>
      <c r="AD476" s="68"/>
      <c r="AE476" s="110"/>
      <c r="AF476" s="110"/>
      <c r="AG476" s="68"/>
      <c r="AH476" s="68"/>
      <c r="AI476" s="110"/>
      <c r="AJ476" s="110"/>
      <c r="AK476" s="68"/>
      <c r="AL476" s="68"/>
      <c r="AM476" s="110"/>
      <c r="AN476" s="110"/>
      <c r="AO476" s="68"/>
      <c r="AP476" s="68"/>
      <c r="AQ476" s="40"/>
      <c r="AR476" s="40"/>
      <c r="AS476" s="23"/>
    </row>
    <row r="477" spans="1:45" ht="15.75" x14ac:dyDescent="0.25">
      <c r="A477" s="44"/>
      <c r="B477" s="23"/>
      <c r="C477" s="23"/>
      <c r="D477" s="23"/>
      <c r="E477" s="68"/>
      <c r="F477" s="68"/>
      <c r="G477" s="110"/>
      <c r="H477" s="110"/>
      <c r="I477" s="68"/>
      <c r="J477" s="68"/>
      <c r="K477" s="110"/>
      <c r="L477" s="110"/>
      <c r="M477" s="68"/>
      <c r="N477" s="68"/>
      <c r="O477" s="110"/>
      <c r="P477" s="110"/>
      <c r="Q477" s="68"/>
      <c r="R477" s="68"/>
      <c r="S477" s="110"/>
      <c r="T477" s="110"/>
      <c r="U477" s="68"/>
      <c r="V477" s="68"/>
      <c r="W477" s="110"/>
      <c r="X477" s="110"/>
      <c r="Y477" s="110"/>
      <c r="Z477" s="110"/>
      <c r="AA477" s="110"/>
      <c r="AB477" s="110"/>
      <c r="AC477" s="114"/>
      <c r="AD477" s="68"/>
      <c r="AE477" s="110"/>
      <c r="AF477" s="110"/>
      <c r="AG477" s="68"/>
      <c r="AH477" s="68"/>
      <c r="AI477" s="110"/>
      <c r="AJ477" s="110"/>
      <c r="AK477" s="68"/>
      <c r="AL477" s="68"/>
      <c r="AM477" s="110"/>
      <c r="AN477" s="110"/>
      <c r="AO477" s="68"/>
      <c r="AP477" s="68"/>
      <c r="AQ477" s="40"/>
      <c r="AR477" s="40"/>
      <c r="AS477" s="23"/>
    </row>
    <row r="478" spans="1:45" ht="15.75" x14ac:dyDescent="0.25">
      <c r="A478" s="44"/>
      <c r="B478" s="23"/>
      <c r="C478" s="23"/>
      <c r="D478" s="23"/>
      <c r="E478" s="68"/>
      <c r="F478" s="68"/>
      <c r="G478" s="110"/>
      <c r="H478" s="110"/>
      <c r="I478" s="68"/>
      <c r="J478" s="68"/>
      <c r="K478" s="110"/>
      <c r="L478" s="110"/>
      <c r="M478" s="68"/>
      <c r="N478" s="68"/>
      <c r="O478" s="110"/>
      <c r="P478" s="110"/>
      <c r="Q478" s="68"/>
      <c r="R478" s="68"/>
      <c r="S478" s="110"/>
      <c r="T478" s="110"/>
      <c r="U478" s="68"/>
      <c r="V478" s="68"/>
      <c r="W478" s="110"/>
      <c r="X478" s="110"/>
      <c r="Y478" s="110"/>
      <c r="Z478" s="110"/>
      <c r="AA478" s="110"/>
      <c r="AB478" s="110"/>
      <c r="AC478" s="114"/>
      <c r="AD478" s="68"/>
      <c r="AE478" s="110"/>
      <c r="AF478" s="110"/>
      <c r="AG478" s="68"/>
      <c r="AH478" s="68"/>
      <c r="AI478" s="110"/>
      <c r="AJ478" s="110"/>
      <c r="AK478" s="68"/>
      <c r="AL478" s="68"/>
      <c r="AM478" s="110"/>
      <c r="AN478" s="110"/>
      <c r="AO478" s="68"/>
      <c r="AP478" s="68"/>
      <c r="AQ478" s="40"/>
      <c r="AR478" s="40"/>
      <c r="AS478" s="23"/>
    </row>
    <row r="479" spans="1:45" ht="15.75" x14ac:dyDescent="0.25">
      <c r="A479" s="44"/>
      <c r="B479" s="23"/>
      <c r="C479" s="23"/>
      <c r="D479" s="23"/>
      <c r="E479" s="68"/>
      <c r="F479" s="68"/>
      <c r="G479" s="110"/>
      <c r="H479" s="110"/>
      <c r="I479" s="68"/>
      <c r="J479" s="68"/>
      <c r="K479" s="110"/>
      <c r="L479" s="110"/>
      <c r="M479" s="68"/>
      <c r="N479" s="68"/>
      <c r="O479" s="110"/>
      <c r="P479" s="110"/>
      <c r="Q479" s="68"/>
      <c r="R479" s="68"/>
      <c r="S479" s="110"/>
      <c r="T479" s="110"/>
      <c r="U479" s="68"/>
      <c r="V479" s="68"/>
      <c r="W479" s="110"/>
      <c r="X479" s="110"/>
      <c r="Y479" s="110"/>
      <c r="Z479" s="110"/>
      <c r="AA479" s="110"/>
      <c r="AB479" s="110"/>
      <c r="AC479" s="114"/>
      <c r="AD479" s="68"/>
      <c r="AE479" s="110"/>
      <c r="AF479" s="110"/>
      <c r="AG479" s="68"/>
      <c r="AH479" s="68"/>
      <c r="AI479" s="110"/>
      <c r="AJ479" s="110"/>
      <c r="AK479" s="68"/>
      <c r="AL479" s="68"/>
      <c r="AM479" s="110"/>
      <c r="AN479" s="110"/>
      <c r="AO479" s="68"/>
      <c r="AP479" s="68"/>
      <c r="AQ479" s="40"/>
      <c r="AR479" s="40"/>
      <c r="AS479" s="23"/>
    </row>
    <row r="480" spans="1:45" ht="15.75" x14ac:dyDescent="0.25">
      <c r="A480" s="44"/>
      <c r="B480" s="23"/>
      <c r="C480" s="23"/>
      <c r="D480" s="23"/>
      <c r="E480" s="68"/>
      <c r="F480" s="68"/>
      <c r="G480" s="110"/>
      <c r="H480" s="110"/>
      <c r="I480" s="68"/>
      <c r="J480" s="68"/>
      <c r="K480" s="110"/>
      <c r="L480" s="110"/>
      <c r="M480" s="68"/>
      <c r="N480" s="68"/>
      <c r="O480" s="110"/>
      <c r="P480" s="110"/>
      <c r="Q480" s="68"/>
      <c r="R480" s="68"/>
      <c r="S480" s="110"/>
      <c r="T480" s="110"/>
      <c r="U480" s="68"/>
      <c r="V480" s="68"/>
      <c r="W480" s="110"/>
      <c r="X480" s="110"/>
      <c r="Y480" s="110"/>
      <c r="Z480" s="110"/>
      <c r="AA480" s="110"/>
      <c r="AB480" s="110"/>
      <c r="AC480" s="114"/>
      <c r="AD480" s="68"/>
      <c r="AE480" s="110"/>
      <c r="AF480" s="110"/>
      <c r="AG480" s="68"/>
      <c r="AH480" s="68"/>
      <c r="AI480" s="110"/>
      <c r="AJ480" s="110"/>
      <c r="AK480" s="68"/>
      <c r="AL480" s="68"/>
      <c r="AM480" s="110"/>
      <c r="AN480" s="110"/>
      <c r="AO480" s="68"/>
      <c r="AP480" s="68"/>
      <c r="AQ480" s="40"/>
      <c r="AR480" s="40"/>
      <c r="AS480" s="23"/>
    </row>
    <row r="481" spans="1:45" ht="15.75" x14ac:dyDescent="0.25">
      <c r="A481" s="44"/>
      <c r="B481" s="23"/>
      <c r="C481" s="23"/>
      <c r="D481" s="23"/>
      <c r="E481" s="68"/>
      <c r="F481" s="68"/>
      <c r="G481" s="110"/>
      <c r="H481" s="110"/>
      <c r="I481" s="68"/>
      <c r="J481" s="68"/>
      <c r="K481" s="110"/>
      <c r="L481" s="110"/>
      <c r="M481" s="68"/>
      <c r="N481" s="68"/>
      <c r="O481" s="110"/>
      <c r="P481" s="110"/>
      <c r="Q481" s="68"/>
      <c r="R481" s="68"/>
      <c r="S481" s="110"/>
      <c r="T481" s="110"/>
      <c r="U481" s="68"/>
      <c r="V481" s="68"/>
      <c r="W481" s="110"/>
      <c r="X481" s="110"/>
      <c r="Y481" s="110"/>
      <c r="Z481" s="110"/>
      <c r="AA481" s="110"/>
      <c r="AB481" s="110"/>
      <c r="AC481" s="114"/>
      <c r="AD481" s="68"/>
      <c r="AE481" s="110"/>
      <c r="AF481" s="110"/>
      <c r="AG481" s="68"/>
      <c r="AH481" s="68"/>
      <c r="AI481" s="110"/>
      <c r="AJ481" s="110"/>
      <c r="AK481" s="68"/>
      <c r="AL481" s="68"/>
      <c r="AM481" s="110"/>
      <c r="AN481" s="110"/>
      <c r="AO481" s="68"/>
      <c r="AP481" s="68"/>
      <c r="AQ481" s="40"/>
      <c r="AR481" s="40"/>
      <c r="AS481" s="23"/>
    </row>
    <row r="482" spans="1:45" ht="15.75" x14ac:dyDescent="0.25">
      <c r="A482" s="44"/>
      <c r="B482" s="23"/>
      <c r="C482" s="23"/>
      <c r="D482" s="23"/>
      <c r="E482" s="68"/>
      <c r="F482" s="68"/>
      <c r="G482" s="110"/>
      <c r="H482" s="110"/>
      <c r="I482" s="68"/>
      <c r="J482" s="68"/>
      <c r="K482" s="110"/>
      <c r="L482" s="110"/>
      <c r="M482" s="68"/>
      <c r="N482" s="68"/>
      <c r="O482" s="110"/>
      <c r="P482" s="110"/>
      <c r="Q482" s="68"/>
      <c r="R482" s="68"/>
      <c r="S482" s="110"/>
      <c r="T482" s="110"/>
      <c r="U482" s="68"/>
      <c r="V482" s="68"/>
      <c r="W482" s="110"/>
      <c r="X482" s="110"/>
      <c r="Y482" s="110"/>
      <c r="Z482" s="110"/>
      <c r="AA482" s="110"/>
      <c r="AB482" s="110"/>
      <c r="AC482" s="114"/>
      <c r="AD482" s="68"/>
      <c r="AE482" s="110"/>
      <c r="AF482" s="110"/>
      <c r="AG482" s="68"/>
      <c r="AH482" s="68"/>
      <c r="AI482" s="110"/>
      <c r="AJ482" s="110"/>
      <c r="AK482" s="68"/>
      <c r="AL482" s="68"/>
      <c r="AM482" s="110"/>
      <c r="AN482" s="110"/>
      <c r="AO482" s="68"/>
      <c r="AP482" s="68"/>
      <c r="AQ482" s="40"/>
      <c r="AR482" s="40"/>
      <c r="AS482" s="23"/>
    </row>
    <row r="483" spans="1:45" ht="15.75" x14ac:dyDescent="0.25">
      <c r="A483" s="44"/>
      <c r="B483" s="23"/>
      <c r="C483" s="23"/>
      <c r="D483" s="23"/>
      <c r="E483" s="68"/>
      <c r="F483" s="68"/>
      <c r="G483" s="110"/>
      <c r="H483" s="110"/>
      <c r="I483" s="68"/>
      <c r="J483" s="68"/>
      <c r="K483" s="110"/>
      <c r="L483" s="110"/>
      <c r="M483" s="68"/>
      <c r="N483" s="68"/>
      <c r="O483" s="110"/>
      <c r="P483" s="110"/>
      <c r="Q483" s="68"/>
      <c r="R483" s="68"/>
      <c r="S483" s="110"/>
      <c r="T483" s="110"/>
      <c r="U483" s="68"/>
      <c r="V483" s="68"/>
      <c r="W483" s="110"/>
      <c r="X483" s="110"/>
      <c r="Y483" s="110"/>
      <c r="Z483" s="110"/>
      <c r="AA483" s="110"/>
      <c r="AB483" s="110"/>
      <c r="AC483" s="114"/>
      <c r="AD483" s="68"/>
      <c r="AE483" s="110"/>
      <c r="AF483" s="110"/>
      <c r="AG483" s="68"/>
      <c r="AH483" s="68"/>
      <c r="AI483" s="110"/>
      <c r="AJ483" s="110"/>
      <c r="AK483" s="68"/>
      <c r="AL483" s="68"/>
      <c r="AM483" s="110"/>
      <c r="AN483" s="110"/>
      <c r="AO483" s="68"/>
      <c r="AP483" s="68"/>
      <c r="AQ483" s="40"/>
      <c r="AR483" s="40"/>
      <c r="AS483" s="23"/>
    </row>
    <row r="484" spans="1:45" ht="15.75" x14ac:dyDescent="0.25">
      <c r="A484" s="44"/>
      <c r="B484" s="23"/>
      <c r="C484" s="23"/>
      <c r="D484" s="23"/>
      <c r="E484" s="68"/>
      <c r="F484" s="68"/>
      <c r="G484" s="110"/>
      <c r="H484" s="110"/>
      <c r="I484" s="68"/>
      <c r="J484" s="68"/>
      <c r="K484" s="110"/>
      <c r="L484" s="110"/>
      <c r="M484" s="68"/>
      <c r="N484" s="68"/>
      <c r="O484" s="110"/>
      <c r="P484" s="110"/>
      <c r="Q484" s="68"/>
      <c r="R484" s="68"/>
      <c r="S484" s="110"/>
      <c r="T484" s="110"/>
      <c r="U484" s="68"/>
      <c r="V484" s="68"/>
      <c r="W484" s="110"/>
      <c r="X484" s="110"/>
      <c r="Y484" s="110"/>
      <c r="Z484" s="110"/>
      <c r="AA484" s="110"/>
      <c r="AB484" s="110"/>
      <c r="AC484" s="114"/>
      <c r="AD484" s="68"/>
      <c r="AE484" s="110"/>
      <c r="AF484" s="110"/>
      <c r="AG484" s="68"/>
      <c r="AH484" s="68"/>
      <c r="AI484" s="110"/>
      <c r="AJ484" s="110"/>
      <c r="AK484" s="68"/>
      <c r="AL484" s="68"/>
      <c r="AM484" s="110"/>
      <c r="AN484" s="110"/>
      <c r="AO484" s="68"/>
      <c r="AP484" s="68"/>
      <c r="AQ484" s="40"/>
      <c r="AR484" s="40"/>
      <c r="AS484" s="23"/>
    </row>
    <row r="485" spans="1:45" ht="15.75" x14ac:dyDescent="0.25">
      <c r="A485" s="44"/>
      <c r="B485" s="23"/>
      <c r="C485" s="23"/>
      <c r="D485" s="23"/>
      <c r="E485" s="68"/>
      <c r="F485" s="68"/>
      <c r="G485" s="110"/>
      <c r="H485" s="110"/>
      <c r="I485" s="68"/>
      <c r="J485" s="68"/>
      <c r="K485" s="110"/>
      <c r="L485" s="110"/>
      <c r="M485" s="68"/>
      <c r="N485" s="68"/>
      <c r="O485" s="110"/>
      <c r="P485" s="110"/>
      <c r="Q485" s="68"/>
      <c r="R485" s="68"/>
      <c r="S485" s="110"/>
      <c r="T485" s="110"/>
      <c r="U485" s="68"/>
      <c r="V485" s="68"/>
      <c r="W485" s="110"/>
      <c r="X485" s="110"/>
      <c r="Y485" s="110"/>
      <c r="Z485" s="110"/>
      <c r="AA485" s="110"/>
      <c r="AB485" s="110"/>
      <c r="AC485" s="114"/>
      <c r="AD485" s="68"/>
      <c r="AE485" s="110"/>
      <c r="AF485" s="110"/>
      <c r="AG485" s="68"/>
      <c r="AH485" s="68"/>
      <c r="AI485" s="110"/>
      <c r="AJ485" s="110"/>
      <c r="AK485" s="68"/>
      <c r="AL485" s="68"/>
      <c r="AM485" s="110"/>
      <c r="AN485" s="110"/>
      <c r="AO485" s="68"/>
      <c r="AP485" s="68"/>
      <c r="AQ485" s="40"/>
      <c r="AR485" s="40"/>
      <c r="AS485" s="23"/>
    </row>
    <row r="486" spans="1:45" ht="15.75" x14ac:dyDescent="0.25">
      <c r="A486" s="44"/>
      <c r="B486" s="23"/>
      <c r="C486" s="23"/>
      <c r="D486" s="23"/>
      <c r="E486" s="68"/>
      <c r="F486" s="68"/>
      <c r="G486" s="110"/>
      <c r="H486" s="110"/>
      <c r="I486" s="68"/>
      <c r="J486" s="68"/>
      <c r="K486" s="110"/>
      <c r="L486" s="110"/>
      <c r="M486" s="68"/>
      <c r="N486" s="68"/>
      <c r="O486" s="110"/>
      <c r="P486" s="110"/>
      <c r="Q486" s="68"/>
      <c r="R486" s="68"/>
      <c r="S486" s="110"/>
      <c r="T486" s="110"/>
      <c r="U486" s="68"/>
      <c r="V486" s="68"/>
      <c r="W486" s="110"/>
      <c r="X486" s="110"/>
      <c r="Y486" s="110"/>
      <c r="Z486" s="110"/>
      <c r="AA486" s="110"/>
      <c r="AB486" s="110"/>
      <c r="AC486" s="114"/>
      <c r="AD486" s="68"/>
      <c r="AE486" s="110"/>
      <c r="AF486" s="110"/>
      <c r="AG486" s="68"/>
      <c r="AH486" s="68"/>
      <c r="AI486" s="110"/>
      <c r="AJ486" s="110"/>
      <c r="AK486" s="68"/>
      <c r="AL486" s="68"/>
      <c r="AM486" s="110"/>
      <c r="AN486" s="110"/>
      <c r="AO486" s="68"/>
      <c r="AP486" s="68"/>
      <c r="AQ486" s="40"/>
      <c r="AR486" s="40"/>
      <c r="AS486" s="23"/>
    </row>
    <row r="487" spans="1:45" ht="15.75" x14ac:dyDescent="0.25">
      <c r="A487" s="44"/>
      <c r="B487" s="23"/>
      <c r="C487" s="23"/>
      <c r="D487" s="23"/>
      <c r="E487" s="68"/>
      <c r="F487" s="68"/>
      <c r="G487" s="110"/>
      <c r="H487" s="110"/>
      <c r="I487" s="68"/>
      <c r="J487" s="68"/>
      <c r="K487" s="110"/>
      <c r="L487" s="110"/>
      <c r="M487" s="68"/>
      <c r="N487" s="68"/>
      <c r="O487" s="110"/>
      <c r="P487" s="110"/>
      <c r="Q487" s="68"/>
      <c r="R487" s="68"/>
      <c r="S487" s="110"/>
      <c r="T487" s="110"/>
      <c r="U487" s="68"/>
      <c r="V487" s="68"/>
      <c r="W487" s="110"/>
      <c r="X487" s="110"/>
      <c r="Y487" s="110"/>
      <c r="Z487" s="110"/>
      <c r="AA487" s="110"/>
      <c r="AB487" s="110"/>
      <c r="AC487" s="114"/>
      <c r="AD487" s="68"/>
      <c r="AE487" s="110"/>
      <c r="AF487" s="110"/>
      <c r="AG487" s="68"/>
      <c r="AH487" s="68"/>
      <c r="AI487" s="110"/>
      <c r="AJ487" s="110"/>
      <c r="AK487" s="68"/>
      <c r="AL487" s="68"/>
      <c r="AM487" s="110"/>
      <c r="AN487" s="110"/>
      <c r="AO487" s="68"/>
      <c r="AP487" s="68"/>
      <c r="AQ487" s="40"/>
      <c r="AR487" s="40"/>
      <c r="AS487" s="23"/>
    </row>
    <row r="488" spans="1:45" ht="15.75" x14ac:dyDescent="0.25">
      <c r="A488" s="44"/>
      <c r="B488" s="23"/>
      <c r="C488" s="23"/>
      <c r="D488" s="23"/>
      <c r="E488" s="68"/>
      <c r="F488" s="68"/>
      <c r="G488" s="110"/>
      <c r="H488" s="110"/>
      <c r="I488" s="68"/>
      <c r="J488" s="68"/>
      <c r="K488" s="110"/>
      <c r="L488" s="110"/>
      <c r="M488" s="68"/>
      <c r="N488" s="68"/>
      <c r="O488" s="110"/>
      <c r="P488" s="110"/>
      <c r="Q488" s="68"/>
      <c r="R488" s="68"/>
      <c r="S488" s="110"/>
      <c r="T488" s="110"/>
      <c r="U488" s="68"/>
      <c r="V488" s="68"/>
      <c r="W488" s="110"/>
      <c r="X488" s="110"/>
      <c r="Y488" s="110"/>
      <c r="Z488" s="110"/>
      <c r="AA488" s="110"/>
      <c r="AB488" s="110"/>
      <c r="AC488" s="114"/>
      <c r="AD488" s="68"/>
      <c r="AE488" s="110"/>
      <c r="AF488" s="110"/>
      <c r="AG488" s="68"/>
      <c r="AH488" s="68"/>
      <c r="AI488" s="110"/>
      <c r="AJ488" s="110"/>
      <c r="AK488" s="68"/>
      <c r="AL488" s="68"/>
      <c r="AM488" s="110"/>
      <c r="AN488" s="110"/>
      <c r="AO488" s="68"/>
      <c r="AP488" s="68"/>
      <c r="AQ488" s="40"/>
      <c r="AR488" s="40"/>
      <c r="AS488" s="23"/>
    </row>
    <row r="489" spans="1:45" ht="15.75" x14ac:dyDescent="0.25">
      <c r="A489" s="44"/>
      <c r="B489" s="23"/>
      <c r="C489" s="23"/>
      <c r="D489" s="23"/>
      <c r="E489" s="68"/>
      <c r="F489" s="68"/>
      <c r="G489" s="110"/>
      <c r="H489" s="110"/>
      <c r="I489" s="68"/>
      <c r="J489" s="68"/>
      <c r="K489" s="110"/>
      <c r="L489" s="110"/>
      <c r="M489" s="68"/>
      <c r="N489" s="68"/>
      <c r="O489" s="110"/>
      <c r="P489" s="110"/>
      <c r="Q489" s="68"/>
      <c r="R489" s="68"/>
      <c r="S489" s="110"/>
      <c r="T489" s="110"/>
      <c r="U489" s="68"/>
      <c r="V489" s="68"/>
      <c r="W489" s="110"/>
      <c r="X489" s="110"/>
      <c r="Y489" s="110"/>
      <c r="Z489" s="110"/>
      <c r="AA489" s="110"/>
      <c r="AB489" s="110"/>
      <c r="AC489" s="114"/>
      <c r="AD489" s="68"/>
      <c r="AE489" s="110"/>
      <c r="AF489" s="110"/>
      <c r="AG489" s="68"/>
      <c r="AH489" s="68"/>
      <c r="AI489" s="110"/>
      <c r="AJ489" s="110"/>
      <c r="AK489" s="68"/>
      <c r="AL489" s="68"/>
      <c r="AM489" s="110"/>
      <c r="AN489" s="110"/>
      <c r="AO489" s="68"/>
      <c r="AP489" s="68"/>
      <c r="AQ489" s="40"/>
      <c r="AR489" s="40"/>
      <c r="AS489" s="23"/>
    </row>
    <row r="490" spans="1:45" ht="15.75" x14ac:dyDescent="0.25">
      <c r="A490" s="44"/>
      <c r="B490" s="23"/>
      <c r="C490" s="23"/>
      <c r="D490" s="23"/>
      <c r="E490" s="68"/>
      <c r="F490" s="68"/>
      <c r="G490" s="110"/>
      <c r="H490" s="110"/>
      <c r="I490" s="68"/>
      <c r="J490" s="68"/>
      <c r="K490" s="110"/>
      <c r="L490" s="110"/>
      <c r="M490" s="68"/>
      <c r="N490" s="68"/>
      <c r="O490" s="110"/>
      <c r="P490" s="110"/>
      <c r="Q490" s="68"/>
      <c r="R490" s="68"/>
      <c r="S490" s="110"/>
      <c r="T490" s="110"/>
      <c r="U490" s="68"/>
      <c r="V490" s="68"/>
      <c r="W490" s="110"/>
      <c r="X490" s="110"/>
      <c r="Y490" s="110"/>
      <c r="Z490" s="110"/>
      <c r="AA490" s="110"/>
      <c r="AB490" s="110"/>
      <c r="AC490" s="114"/>
      <c r="AD490" s="68"/>
      <c r="AE490" s="110"/>
      <c r="AF490" s="110"/>
      <c r="AG490" s="68"/>
      <c r="AH490" s="68"/>
      <c r="AI490" s="110"/>
      <c r="AJ490" s="110"/>
      <c r="AK490" s="68"/>
      <c r="AL490" s="68"/>
      <c r="AM490" s="110"/>
      <c r="AN490" s="110"/>
      <c r="AO490" s="68"/>
      <c r="AP490" s="68"/>
      <c r="AQ490" s="40"/>
      <c r="AR490" s="40"/>
      <c r="AS490" s="23"/>
    </row>
    <row r="491" spans="1:45" ht="15.75" x14ac:dyDescent="0.25">
      <c r="A491" s="44"/>
      <c r="B491" s="23"/>
      <c r="C491" s="23"/>
      <c r="D491" s="23"/>
      <c r="E491" s="68"/>
      <c r="F491" s="68"/>
      <c r="G491" s="110"/>
      <c r="H491" s="110"/>
      <c r="I491" s="68"/>
      <c r="J491" s="68"/>
      <c r="K491" s="110"/>
      <c r="L491" s="110"/>
      <c r="M491" s="68"/>
      <c r="N491" s="68"/>
      <c r="O491" s="110"/>
      <c r="P491" s="110"/>
      <c r="Q491" s="68"/>
      <c r="R491" s="68"/>
      <c r="S491" s="110"/>
      <c r="T491" s="110"/>
      <c r="U491" s="68"/>
      <c r="V491" s="68"/>
      <c r="W491" s="110"/>
      <c r="X491" s="110"/>
      <c r="Y491" s="110"/>
      <c r="Z491" s="110"/>
      <c r="AA491" s="110"/>
      <c r="AB491" s="110"/>
      <c r="AC491" s="114"/>
      <c r="AD491" s="68"/>
      <c r="AE491" s="110"/>
      <c r="AF491" s="110"/>
      <c r="AG491" s="68"/>
      <c r="AH491" s="68"/>
      <c r="AI491" s="110"/>
      <c r="AJ491" s="110"/>
      <c r="AK491" s="68"/>
      <c r="AL491" s="68"/>
      <c r="AM491" s="110"/>
      <c r="AN491" s="110"/>
      <c r="AO491" s="68"/>
      <c r="AP491" s="68"/>
      <c r="AQ491" s="40"/>
      <c r="AR491" s="40"/>
      <c r="AS491" s="23"/>
    </row>
    <row r="492" spans="1:45" ht="15.75" x14ac:dyDescent="0.25">
      <c r="A492" s="44"/>
      <c r="B492" s="23"/>
      <c r="C492" s="23"/>
      <c r="D492" s="23"/>
      <c r="E492" s="68"/>
      <c r="F492" s="68"/>
      <c r="G492" s="110"/>
      <c r="H492" s="110"/>
      <c r="I492" s="68"/>
      <c r="J492" s="68"/>
      <c r="K492" s="110"/>
      <c r="L492" s="110"/>
      <c r="M492" s="68"/>
      <c r="N492" s="68"/>
      <c r="O492" s="110"/>
      <c r="P492" s="110"/>
      <c r="Q492" s="68"/>
      <c r="R492" s="68"/>
      <c r="S492" s="110"/>
      <c r="T492" s="110"/>
      <c r="U492" s="68"/>
      <c r="V492" s="68"/>
      <c r="W492" s="110"/>
      <c r="X492" s="110"/>
      <c r="Y492" s="110"/>
      <c r="Z492" s="110"/>
      <c r="AA492" s="110"/>
      <c r="AB492" s="110"/>
      <c r="AC492" s="114"/>
      <c r="AD492" s="68"/>
      <c r="AE492" s="110"/>
      <c r="AF492" s="110"/>
      <c r="AG492" s="68"/>
      <c r="AH492" s="68"/>
      <c r="AI492" s="110"/>
      <c r="AJ492" s="110"/>
      <c r="AK492" s="68"/>
      <c r="AL492" s="68"/>
      <c r="AM492" s="110"/>
      <c r="AN492" s="110"/>
      <c r="AO492" s="68"/>
      <c r="AP492" s="68"/>
      <c r="AQ492" s="40"/>
      <c r="AR492" s="40"/>
      <c r="AS492" s="23"/>
    </row>
    <row r="493" spans="1:45" ht="15.75" x14ac:dyDescent="0.25">
      <c r="A493" s="44"/>
      <c r="B493" s="23"/>
      <c r="C493" s="23"/>
      <c r="D493" s="23"/>
      <c r="E493" s="68"/>
      <c r="F493" s="68"/>
      <c r="G493" s="110"/>
      <c r="H493" s="110"/>
      <c r="I493" s="68"/>
      <c r="J493" s="68"/>
      <c r="K493" s="110"/>
      <c r="L493" s="110"/>
      <c r="M493" s="68"/>
      <c r="N493" s="68"/>
      <c r="O493" s="110"/>
      <c r="P493" s="110"/>
      <c r="Q493" s="68"/>
      <c r="R493" s="68"/>
      <c r="S493" s="110"/>
      <c r="T493" s="110"/>
      <c r="U493" s="68"/>
      <c r="V493" s="68"/>
      <c r="W493" s="110"/>
      <c r="X493" s="110"/>
      <c r="Y493" s="110"/>
      <c r="Z493" s="110"/>
      <c r="AA493" s="110"/>
      <c r="AB493" s="110"/>
      <c r="AC493" s="114"/>
      <c r="AD493" s="68"/>
      <c r="AE493" s="110"/>
      <c r="AF493" s="110"/>
      <c r="AG493" s="68"/>
      <c r="AH493" s="68"/>
      <c r="AI493" s="110"/>
      <c r="AJ493" s="110"/>
      <c r="AK493" s="68"/>
      <c r="AL493" s="68"/>
      <c r="AM493" s="110"/>
      <c r="AN493" s="110"/>
      <c r="AO493" s="68"/>
      <c r="AP493" s="68"/>
      <c r="AQ493" s="40"/>
      <c r="AR493" s="40"/>
      <c r="AS493" s="23"/>
    </row>
    <row r="494" spans="1:45" ht="15.75" x14ac:dyDescent="0.25">
      <c r="A494" s="44"/>
      <c r="B494" s="23"/>
      <c r="C494" s="23"/>
      <c r="D494" s="23"/>
      <c r="E494" s="68"/>
      <c r="F494" s="68"/>
      <c r="G494" s="110"/>
      <c r="H494" s="110"/>
      <c r="I494" s="68"/>
      <c r="J494" s="68"/>
      <c r="K494" s="110"/>
      <c r="L494" s="110"/>
      <c r="M494" s="68"/>
      <c r="N494" s="68"/>
      <c r="O494" s="110"/>
      <c r="P494" s="110"/>
      <c r="Q494" s="68"/>
      <c r="R494" s="68"/>
      <c r="S494" s="110"/>
      <c r="T494" s="110"/>
      <c r="U494" s="68"/>
      <c r="V494" s="68"/>
      <c r="W494" s="110"/>
      <c r="X494" s="110"/>
      <c r="Y494" s="110"/>
      <c r="Z494" s="110"/>
      <c r="AA494" s="110"/>
      <c r="AB494" s="110"/>
      <c r="AC494" s="114"/>
      <c r="AD494" s="68"/>
      <c r="AE494" s="110"/>
      <c r="AF494" s="110"/>
      <c r="AG494" s="68"/>
      <c r="AH494" s="68"/>
      <c r="AI494" s="110"/>
      <c r="AJ494" s="110"/>
      <c r="AK494" s="68"/>
      <c r="AL494" s="68"/>
      <c r="AM494" s="110"/>
      <c r="AN494" s="110"/>
      <c r="AO494" s="68"/>
      <c r="AP494" s="68"/>
      <c r="AQ494" s="40"/>
      <c r="AR494" s="40"/>
      <c r="AS494" s="23"/>
    </row>
    <row r="495" spans="1:45" ht="15.75" x14ac:dyDescent="0.25">
      <c r="A495" s="44"/>
      <c r="B495" s="23"/>
      <c r="C495" s="23"/>
      <c r="D495" s="23"/>
      <c r="E495" s="68"/>
      <c r="F495" s="68"/>
      <c r="G495" s="110"/>
      <c r="H495" s="110"/>
      <c r="I495" s="68"/>
      <c r="J495" s="68"/>
      <c r="K495" s="110"/>
      <c r="L495" s="110"/>
      <c r="M495" s="68"/>
      <c r="N495" s="68"/>
      <c r="O495" s="110"/>
      <c r="P495" s="110"/>
      <c r="Q495" s="68"/>
      <c r="R495" s="68"/>
      <c r="S495" s="110"/>
      <c r="T495" s="110"/>
      <c r="U495" s="68"/>
      <c r="V495" s="68"/>
      <c r="W495" s="110"/>
      <c r="X495" s="110"/>
      <c r="Y495" s="110"/>
      <c r="Z495" s="110"/>
      <c r="AA495" s="110"/>
      <c r="AB495" s="110"/>
      <c r="AC495" s="114"/>
      <c r="AD495" s="68"/>
      <c r="AE495" s="110"/>
      <c r="AF495" s="110"/>
      <c r="AG495" s="68"/>
      <c r="AH495" s="68"/>
      <c r="AI495" s="110"/>
      <c r="AJ495" s="110"/>
      <c r="AK495" s="68"/>
      <c r="AL495" s="68"/>
      <c r="AM495" s="110"/>
      <c r="AN495" s="110"/>
      <c r="AO495" s="68"/>
      <c r="AP495" s="68"/>
      <c r="AQ495" s="40"/>
      <c r="AR495" s="40"/>
      <c r="AS495" s="23"/>
    </row>
    <row r="496" spans="1:45" ht="15.75" x14ac:dyDescent="0.25">
      <c r="A496" s="44"/>
      <c r="B496" s="23"/>
      <c r="C496" s="23"/>
      <c r="D496" s="23"/>
      <c r="E496" s="68"/>
      <c r="F496" s="68"/>
      <c r="G496" s="110"/>
      <c r="H496" s="110"/>
      <c r="I496" s="68"/>
      <c r="J496" s="68"/>
      <c r="K496" s="110"/>
      <c r="L496" s="110"/>
      <c r="M496" s="68"/>
      <c r="N496" s="68"/>
      <c r="O496" s="110"/>
      <c r="P496" s="110"/>
      <c r="Q496" s="68"/>
      <c r="R496" s="68"/>
      <c r="S496" s="110"/>
      <c r="T496" s="110"/>
      <c r="U496" s="68"/>
      <c r="V496" s="68"/>
      <c r="W496" s="110"/>
      <c r="X496" s="110"/>
      <c r="Y496" s="110"/>
      <c r="Z496" s="110"/>
      <c r="AA496" s="110"/>
      <c r="AB496" s="110"/>
      <c r="AC496" s="114"/>
      <c r="AD496" s="68"/>
      <c r="AE496" s="110"/>
      <c r="AF496" s="110"/>
      <c r="AG496" s="68"/>
      <c r="AH496" s="68"/>
      <c r="AI496" s="110"/>
      <c r="AJ496" s="110"/>
      <c r="AK496" s="68"/>
      <c r="AL496" s="68"/>
      <c r="AM496" s="110"/>
      <c r="AN496" s="110"/>
      <c r="AO496" s="68"/>
      <c r="AP496" s="68"/>
      <c r="AQ496" s="40"/>
      <c r="AR496" s="40"/>
      <c r="AS496" s="23"/>
    </row>
    <row r="497" spans="1:45" ht="15.75" x14ac:dyDescent="0.25">
      <c r="A497" s="44"/>
      <c r="B497" s="23"/>
      <c r="C497" s="23"/>
      <c r="D497" s="23"/>
      <c r="E497" s="68"/>
      <c r="F497" s="68"/>
      <c r="G497" s="110"/>
      <c r="H497" s="110"/>
      <c r="I497" s="68"/>
      <c r="J497" s="68"/>
      <c r="K497" s="110"/>
      <c r="L497" s="110"/>
      <c r="M497" s="68"/>
      <c r="N497" s="68"/>
      <c r="O497" s="110"/>
      <c r="P497" s="110"/>
      <c r="Q497" s="68"/>
      <c r="R497" s="68"/>
      <c r="S497" s="110"/>
      <c r="T497" s="110"/>
      <c r="U497" s="68"/>
      <c r="V497" s="68"/>
      <c r="W497" s="110"/>
      <c r="X497" s="110"/>
      <c r="Y497" s="110"/>
      <c r="Z497" s="110"/>
      <c r="AA497" s="110"/>
      <c r="AB497" s="110"/>
      <c r="AC497" s="114"/>
      <c r="AD497" s="68"/>
      <c r="AE497" s="110"/>
      <c r="AF497" s="110"/>
      <c r="AG497" s="68"/>
      <c r="AH497" s="68"/>
      <c r="AI497" s="110"/>
      <c r="AJ497" s="110"/>
      <c r="AK497" s="68"/>
      <c r="AL497" s="68"/>
      <c r="AM497" s="110"/>
      <c r="AN497" s="110"/>
      <c r="AO497" s="68"/>
      <c r="AP497" s="68"/>
      <c r="AQ497" s="40"/>
      <c r="AR497" s="40"/>
      <c r="AS497" s="23"/>
    </row>
    <row r="498" spans="1:45" ht="15.75" x14ac:dyDescent="0.25">
      <c r="A498" s="44"/>
      <c r="B498" s="23"/>
      <c r="C498" s="23"/>
      <c r="D498" s="23"/>
      <c r="E498" s="68"/>
      <c r="F498" s="68"/>
      <c r="G498" s="110"/>
      <c r="H498" s="110"/>
      <c r="I498" s="68"/>
      <c r="J498" s="68"/>
      <c r="K498" s="110"/>
      <c r="L498" s="110"/>
      <c r="M498" s="68"/>
      <c r="N498" s="68"/>
      <c r="O498" s="110"/>
      <c r="P498" s="110"/>
      <c r="Q498" s="68"/>
      <c r="R498" s="68"/>
      <c r="S498" s="110"/>
      <c r="T498" s="110"/>
      <c r="U498" s="68"/>
      <c r="V498" s="68"/>
      <c r="W498" s="110"/>
      <c r="X498" s="110"/>
      <c r="Y498" s="110"/>
      <c r="Z498" s="110"/>
      <c r="AA498" s="110"/>
      <c r="AB498" s="110"/>
      <c r="AC498" s="114"/>
      <c r="AD498" s="68"/>
      <c r="AE498" s="110"/>
      <c r="AF498" s="110"/>
      <c r="AG498" s="68"/>
      <c r="AH498" s="68"/>
      <c r="AI498" s="110"/>
      <c r="AJ498" s="110"/>
      <c r="AK498" s="68"/>
      <c r="AL498" s="68"/>
      <c r="AM498" s="110"/>
      <c r="AN498" s="110"/>
      <c r="AO498" s="68"/>
      <c r="AP498" s="68"/>
      <c r="AQ498" s="40"/>
      <c r="AR498" s="40"/>
      <c r="AS498" s="23"/>
    </row>
    <row r="499" spans="1:45" ht="15.75" x14ac:dyDescent="0.25">
      <c r="A499" s="44"/>
      <c r="B499" s="23"/>
      <c r="C499" s="23"/>
      <c r="D499" s="23"/>
      <c r="E499" s="68"/>
      <c r="F499" s="68"/>
      <c r="G499" s="110"/>
      <c r="H499" s="110"/>
      <c r="I499" s="68"/>
      <c r="J499" s="68"/>
      <c r="K499" s="110"/>
      <c r="L499" s="110"/>
      <c r="M499" s="68"/>
      <c r="N499" s="68"/>
      <c r="O499" s="110"/>
      <c r="P499" s="110"/>
      <c r="Q499" s="68"/>
      <c r="R499" s="68"/>
      <c r="S499" s="110"/>
      <c r="T499" s="110"/>
      <c r="U499" s="68"/>
      <c r="V499" s="68"/>
      <c r="W499" s="110"/>
      <c r="X499" s="110"/>
      <c r="Y499" s="110"/>
      <c r="Z499" s="110"/>
      <c r="AA499" s="110"/>
      <c r="AB499" s="110"/>
      <c r="AC499" s="114"/>
      <c r="AD499" s="68"/>
      <c r="AE499" s="110"/>
      <c r="AF499" s="110"/>
      <c r="AG499" s="68"/>
      <c r="AH499" s="68"/>
      <c r="AI499" s="110"/>
      <c r="AJ499" s="110"/>
      <c r="AK499" s="68"/>
      <c r="AL499" s="68"/>
      <c r="AM499" s="110"/>
      <c r="AN499" s="110"/>
      <c r="AO499" s="68"/>
      <c r="AP499" s="68"/>
      <c r="AQ499" s="40"/>
      <c r="AR499" s="40"/>
      <c r="AS499" s="23"/>
    </row>
    <row r="500" spans="1:45" ht="15.75" x14ac:dyDescent="0.25">
      <c r="A500" s="44"/>
      <c r="B500" s="23"/>
      <c r="C500" s="23"/>
      <c r="D500" s="23"/>
      <c r="E500" s="68"/>
      <c r="F500" s="68"/>
      <c r="G500" s="110"/>
      <c r="H500" s="110"/>
      <c r="I500" s="68"/>
      <c r="J500" s="68"/>
      <c r="K500" s="110"/>
      <c r="L500" s="110"/>
      <c r="M500" s="68"/>
      <c r="N500" s="68"/>
      <c r="O500" s="110"/>
      <c r="P500" s="110"/>
      <c r="Q500" s="68"/>
      <c r="R500" s="68"/>
      <c r="S500" s="110"/>
      <c r="T500" s="110"/>
      <c r="U500" s="68"/>
      <c r="V500" s="68"/>
      <c r="W500" s="110"/>
      <c r="X500" s="110"/>
      <c r="Y500" s="110"/>
      <c r="Z500" s="110"/>
      <c r="AA500" s="110"/>
      <c r="AB500" s="110"/>
      <c r="AC500" s="114"/>
      <c r="AD500" s="68"/>
      <c r="AE500" s="110"/>
      <c r="AF500" s="110"/>
      <c r="AG500" s="68"/>
      <c r="AH500" s="68"/>
      <c r="AI500" s="110"/>
      <c r="AJ500" s="110"/>
      <c r="AK500" s="68"/>
      <c r="AL500" s="68"/>
      <c r="AM500" s="110"/>
      <c r="AN500" s="110"/>
      <c r="AO500" s="68"/>
      <c r="AP500" s="68"/>
      <c r="AQ500" s="40"/>
      <c r="AR500" s="40"/>
      <c r="AS500" s="23"/>
    </row>
    <row r="501" spans="1:45" ht="15.75" x14ac:dyDescent="0.25">
      <c r="A501" s="44"/>
      <c r="B501" s="23"/>
      <c r="C501" s="23"/>
      <c r="D501" s="23"/>
      <c r="E501" s="68"/>
      <c r="F501" s="68"/>
      <c r="G501" s="110"/>
      <c r="H501" s="110"/>
      <c r="I501" s="68"/>
      <c r="J501" s="68"/>
      <c r="K501" s="110"/>
      <c r="L501" s="110"/>
      <c r="M501" s="68"/>
      <c r="N501" s="68"/>
      <c r="O501" s="110"/>
      <c r="P501" s="110"/>
      <c r="Q501" s="68"/>
      <c r="R501" s="68"/>
      <c r="S501" s="110"/>
      <c r="T501" s="110"/>
      <c r="U501" s="68"/>
      <c r="V501" s="68"/>
      <c r="W501" s="110"/>
      <c r="X501" s="110"/>
      <c r="Y501" s="110"/>
      <c r="Z501" s="110"/>
      <c r="AA501" s="110"/>
      <c r="AB501" s="110"/>
      <c r="AC501" s="114"/>
      <c r="AD501" s="68"/>
      <c r="AE501" s="110"/>
      <c r="AF501" s="110"/>
      <c r="AG501" s="68"/>
      <c r="AH501" s="68"/>
      <c r="AI501" s="110"/>
      <c r="AJ501" s="110"/>
      <c r="AK501" s="68"/>
      <c r="AL501" s="68"/>
      <c r="AM501" s="110"/>
      <c r="AN501" s="110"/>
      <c r="AO501" s="68"/>
      <c r="AP501" s="68"/>
      <c r="AQ501" s="40"/>
      <c r="AR501" s="40"/>
      <c r="AS501" s="23"/>
    </row>
    <row r="502" spans="1:45" ht="15.75" x14ac:dyDescent="0.25">
      <c r="A502" s="44"/>
      <c r="B502" s="23"/>
      <c r="C502" s="23"/>
      <c r="D502" s="23"/>
      <c r="E502" s="68"/>
      <c r="F502" s="68"/>
      <c r="G502" s="110"/>
      <c r="H502" s="110"/>
      <c r="I502" s="68"/>
      <c r="J502" s="68"/>
      <c r="K502" s="110"/>
      <c r="L502" s="110"/>
      <c r="M502" s="68"/>
      <c r="N502" s="68"/>
      <c r="O502" s="110"/>
      <c r="P502" s="110"/>
      <c r="Q502" s="68"/>
      <c r="R502" s="68"/>
      <c r="S502" s="110"/>
      <c r="T502" s="110"/>
      <c r="U502" s="68"/>
      <c r="V502" s="68"/>
      <c r="W502" s="110"/>
      <c r="X502" s="110"/>
      <c r="Y502" s="110"/>
      <c r="Z502" s="110"/>
      <c r="AA502" s="110"/>
      <c r="AB502" s="110"/>
      <c r="AC502" s="114"/>
      <c r="AD502" s="68"/>
      <c r="AE502" s="110"/>
      <c r="AF502" s="110"/>
      <c r="AG502" s="68"/>
      <c r="AH502" s="68"/>
      <c r="AI502" s="110"/>
      <c r="AJ502" s="110"/>
      <c r="AK502" s="68"/>
      <c r="AL502" s="68"/>
      <c r="AM502" s="110"/>
      <c r="AN502" s="110"/>
      <c r="AO502" s="68"/>
      <c r="AP502" s="68"/>
      <c r="AQ502" s="40"/>
      <c r="AR502" s="40"/>
      <c r="AS502" s="23"/>
    </row>
    <row r="503" spans="1:45" ht="15.75" x14ac:dyDescent="0.25">
      <c r="A503" s="44"/>
      <c r="B503" s="23"/>
      <c r="C503" s="23"/>
      <c r="D503" s="23"/>
      <c r="E503" s="68"/>
      <c r="F503" s="68"/>
      <c r="G503" s="110"/>
      <c r="H503" s="110"/>
      <c r="I503" s="68"/>
      <c r="J503" s="68"/>
      <c r="K503" s="110"/>
      <c r="L503" s="110"/>
      <c r="M503" s="68"/>
      <c r="N503" s="68"/>
      <c r="O503" s="110"/>
      <c r="P503" s="110"/>
      <c r="Q503" s="68"/>
      <c r="R503" s="68"/>
      <c r="S503" s="110"/>
      <c r="T503" s="110"/>
      <c r="U503" s="68"/>
      <c r="V503" s="68"/>
      <c r="W503" s="110"/>
      <c r="X503" s="110"/>
      <c r="Y503" s="110"/>
      <c r="Z503" s="110"/>
      <c r="AA503" s="110"/>
      <c r="AB503" s="110"/>
      <c r="AC503" s="114"/>
      <c r="AD503" s="68"/>
      <c r="AE503" s="110"/>
      <c r="AF503" s="110"/>
      <c r="AG503" s="68"/>
      <c r="AH503" s="68"/>
      <c r="AI503" s="110"/>
      <c r="AJ503" s="110"/>
      <c r="AK503" s="68"/>
      <c r="AL503" s="68"/>
      <c r="AM503" s="110"/>
      <c r="AN503" s="110"/>
      <c r="AO503" s="68"/>
      <c r="AP503" s="68"/>
      <c r="AQ503" s="40"/>
      <c r="AR503" s="40"/>
      <c r="AS503" s="23"/>
    </row>
    <row r="504" spans="1:45" ht="15.75" x14ac:dyDescent="0.25">
      <c r="A504" s="44"/>
      <c r="B504" s="23"/>
      <c r="C504" s="23"/>
      <c r="D504" s="23"/>
      <c r="E504" s="68"/>
      <c r="F504" s="68"/>
      <c r="G504" s="110"/>
      <c r="H504" s="110"/>
      <c r="I504" s="68"/>
      <c r="J504" s="68"/>
      <c r="K504" s="110"/>
      <c r="L504" s="110"/>
      <c r="M504" s="68"/>
      <c r="N504" s="68"/>
      <c r="O504" s="110"/>
      <c r="P504" s="110"/>
      <c r="Q504" s="68"/>
      <c r="R504" s="68"/>
      <c r="S504" s="110"/>
      <c r="T504" s="110"/>
      <c r="U504" s="68"/>
      <c r="V504" s="68"/>
      <c r="W504" s="110"/>
      <c r="X504" s="110"/>
      <c r="Y504" s="110"/>
      <c r="Z504" s="110"/>
      <c r="AA504" s="110"/>
      <c r="AB504" s="110"/>
      <c r="AC504" s="114"/>
      <c r="AD504" s="68"/>
      <c r="AE504" s="110"/>
      <c r="AF504" s="110"/>
      <c r="AG504" s="68"/>
      <c r="AH504" s="68"/>
      <c r="AI504" s="110"/>
      <c r="AJ504" s="110"/>
      <c r="AK504" s="68"/>
      <c r="AL504" s="68"/>
      <c r="AM504" s="110"/>
      <c r="AN504" s="110"/>
      <c r="AO504" s="68"/>
      <c r="AP504" s="68"/>
      <c r="AQ504" s="40"/>
      <c r="AR504" s="40"/>
      <c r="AS504" s="23"/>
    </row>
    <row r="505" spans="1:45" ht="15.75" x14ac:dyDescent="0.25">
      <c r="A505" s="44"/>
      <c r="B505" s="23"/>
      <c r="C505" s="23"/>
      <c r="D505" s="23"/>
      <c r="E505" s="68"/>
      <c r="F505" s="68"/>
      <c r="G505" s="110"/>
      <c r="H505" s="110"/>
      <c r="I505" s="68"/>
      <c r="J505" s="68"/>
      <c r="K505" s="110"/>
      <c r="L505" s="110"/>
      <c r="M505" s="68"/>
      <c r="N505" s="68"/>
      <c r="O505" s="110"/>
      <c r="P505" s="110"/>
      <c r="Q505" s="68"/>
      <c r="R505" s="68"/>
      <c r="S505" s="110"/>
      <c r="T505" s="110"/>
      <c r="U505" s="68"/>
      <c r="V505" s="68"/>
      <c r="W505" s="110"/>
      <c r="X505" s="110"/>
      <c r="Y505" s="110"/>
      <c r="Z505" s="110"/>
      <c r="AA505" s="110"/>
      <c r="AB505" s="110"/>
      <c r="AC505" s="114"/>
      <c r="AD505" s="68"/>
      <c r="AE505" s="110"/>
      <c r="AF505" s="110"/>
      <c r="AG505" s="68"/>
      <c r="AH505" s="68"/>
      <c r="AI505" s="110"/>
      <c r="AJ505" s="110"/>
      <c r="AK505" s="68"/>
      <c r="AL505" s="68"/>
      <c r="AM505" s="110"/>
      <c r="AN505" s="110"/>
      <c r="AO505" s="68"/>
      <c r="AP505" s="68"/>
      <c r="AQ505" s="40"/>
      <c r="AR505" s="40"/>
      <c r="AS505" s="23"/>
    </row>
    <row r="506" spans="1:45" ht="15.75" x14ac:dyDescent="0.25">
      <c r="A506" s="44"/>
      <c r="B506" s="23"/>
      <c r="C506" s="23"/>
      <c r="D506" s="23"/>
      <c r="E506" s="68"/>
      <c r="F506" s="68"/>
      <c r="G506" s="110"/>
      <c r="H506" s="110"/>
      <c r="I506" s="68"/>
      <c r="J506" s="68"/>
      <c r="K506" s="110"/>
      <c r="L506" s="110"/>
      <c r="M506" s="68"/>
      <c r="N506" s="68"/>
      <c r="O506" s="110"/>
      <c r="P506" s="110"/>
      <c r="Q506" s="68"/>
      <c r="R506" s="68"/>
      <c r="S506" s="110"/>
      <c r="T506" s="110"/>
      <c r="U506" s="68"/>
      <c r="V506" s="68"/>
      <c r="W506" s="110"/>
      <c r="X506" s="110"/>
      <c r="Y506" s="110"/>
      <c r="Z506" s="110"/>
      <c r="AA506" s="110"/>
      <c r="AB506" s="110"/>
      <c r="AC506" s="114"/>
      <c r="AD506" s="68"/>
      <c r="AE506" s="110"/>
      <c r="AF506" s="110"/>
      <c r="AG506" s="68"/>
      <c r="AH506" s="68"/>
      <c r="AI506" s="110"/>
      <c r="AJ506" s="110"/>
      <c r="AK506" s="68"/>
      <c r="AL506" s="68"/>
      <c r="AM506" s="110"/>
      <c r="AN506" s="110"/>
      <c r="AO506" s="68"/>
      <c r="AP506" s="68"/>
      <c r="AQ506" s="40"/>
      <c r="AR506" s="40"/>
      <c r="AS506" s="23"/>
    </row>
    <row r="507" spans="1:45" ht="15.75" x14ac:dyDescent="0.25">
      <c r="A507" s="44"/>
      <c r="B507" s="23"/>
      <c r="C507" s="23"/>
      <c r="D507" s="23"/>
      <c r="E507" s="68"/>
      <c r="F507" s="68"/>
      <c r="G507" s="110"/>
      <c r="H507" s="110"/>
      <c r="I507" s="68"/>
      <c r="J507" s="68"/>
      <c r="K507" s="110"/>
      <c r="L507" s="110"/>
      <c r="M507" s="68"/>
      <c r="N507" s="68"/>
      <c r="O507" s="110"/>
      <c r="P507" s="110"/>
      <c r="Q507" s="68"/>
      <c r="R507" s="68"/>
      <c r="S507" s="110"/>
      <c r="T507" s="110"/>
      <c r="U507" s="68"/>
      <c r="V507" s="68"/>
      <c r="W507" s="110"/>
      <c r="X507" s="110"/>
      <c r="Y507" s="110"/>
      <c r="Z507" s="110"/>
      <c r="AA507" s="110"/>
      <c r="AB507" s="110"/>
      <c r="AC507" s="114"/>
      <c r="AD507" s="68"/>
      <c r="AE507" s="110"/>
      <c r="AF507" s="110"/>
      <c r="AG507" s="68"/>
      <c r="AH507" s="68"/>
      <c r="AI507" s="110"/>
      <c r="AJ507" s="110"/>
      <c r="AK507" s="68"/>
      <c r="AL507" s="68"/>
      <c r="AM507" s="110"/>
      <c r="AN507" s="110"/>
      <c r="AO507" s="68"/>
      <c r="AP507" s="68"/>
      <c r="AQ507" s="40"/>
      <c r="AR507" s="40"/>
      <c r="AS507" s="23"/>
    </row>
    <row r="508" spans="1:45" ht="15.75" x14ac:dyDescent="0.25">
      <c r="A508" s="44"/>
      <c r="B508" s="23"/>
      <c r="C508" s="23"/>
      <c r="D508" s="23"/>
      <c r="E508" s="68"/>
      <c r="F508" s="68"/>
      <c r="G508" s="110"/>
      <c r="H508" s="110"/>
      <c r="I508" s="68"/>
      <c r="J508" s="68"/>
      <c r="K508" s="110"/>
      <c r="L508" s="110"/>
      <c r="M508" s="68"/>
      <c r="N508" s="68"/>
      <c r="O508" s="110"/>
      <c r="P508" s="110"/>
      <c r="Q508" s="68"/>
      <c r="R508" s="68"/>
      <c r="S508" s="110"/>
      <c r="T508" s="110"/>
      <c r="U508" s="68"/>
      <c r="V508" s="68"/>
      <c r="W508" s="110"/>
      <c r="X508" s="110"/>
      <c r="Y508" s="110"/>
      <c r="Z508" s="110"/>
      <c r="AA508" s="110"/>
      <c r="AB508" s="110"/>
      <c r="AC508" s="114"/>
      <c r="AD508" s="68"/>
      <c r="AE508" s="110"/>
      <c r="AF508" s="110"/>
      <c r="AG508" s="68"/>
      <c r="AH508" s="68"/>
      <c r="AI508" s="110"/>
      <c r="AJ508" s="110"/>
      <c r="AK508" s="68"/>
      <c r="AL508" s="68"/>
      <c r="AM508" s="110"/>
      <c r="AN508" s="110"/>
      <c r="AO508" s="68"/>
      <c r="AP508" s="68"/>
      <c r="AQ508" s="40"/>
      <c r="AR508" s="40"/>
      <c r="AS508" s="23"/>
    </row>
    <row r="509" spans="1:45" ht="15.75" x14ac:dyDescent="0.25">
      <c r="A509" s="44"/>
      <c r="B509" s="23"/>
      <c r="C509" s="23"/>
      <c r="D509" s="23"/>
      <c r="E509" s="68"/>
      <c r="F509" s="68"/>
      <c r="G509" s="110"/>
      <c r="H509" s="110"/>
      <c r="I509" s="68"/>
      <c r="J509" s="68"/>
      <c r="K509" s="110"/>
      <c r="L509" s="110"/>
      <c r="M509" s="68"/>
      <c r="N509" s="68"/>
      <c r="O509" s="110"/>
      <c r="P509" s="110"/>
      <c r="Q509" s="68"/>
      <c r="R509" s="68"/>
      <c r="S509" s="110"/>
      <c r="T509" s="110"/>
      <c r="U509" s="68"/>
      <c r="V509" s="68"/>
      <c r="W509" s="110"/>
      <c r="X509" s="110"/>
      <c r="Y509" s="110"/>
      <c r="Z509" s="110"/>
      <c r="AA509" s="110"/>
      <c r="AB509" s="110"/>
      <c r="AC509" s="114"/>
      <c r="AD509" s="68"/>
      <c r="AE509" s="110"/>
      <c r="AF509" s="110"/>
      <c r="AG509" s="68"/>
      <c r="AH509" s="68"/>
      <c r="AI509" s="110"/>
      <c r="AJ509" s="110"/>
      <c r="AK509" s="68"/>
      <c r="AL509" s="68"/>
      <c r="AM509" s="110"/>
      <c r="AN509" s="110"/>
      <c r="AO509" s="68"/>
      <c r="AP509" s="68"/>
      <c r="AQ509" s="40"/>
      <c r="AR509" s="40"/>
      <c r="AS509" s="23"/>
    </row>
    <row r="510" spans="1:45" ht="15.75" x14ac:dyDescent="0.25">
      <c r="A510" s="44"/>
      <c r="B510" s="23"/>
      <c r="C510" s="23"/>
      <c r="D510" s="23"/>
      <c r="E510" s="68"/>
      <c r="F510" s="68"/>
      <c r="G510" s="110"/>
      <c r="H510" s="110"/>
      <c r="I510" s="68"/>
      <c r="J510" s="68"/>
      <c r="K510" s="110"/>
      <c r="L510" s="110"/>
      <c r="M510" s="68"/>
      <c r="N510" s="68"/>
      <c r="O510" s="110"/>
      <c r="P510" s="110"/>
      <c r="Q510" s="68"/>
      <c r="R510" s="68"/>
      <c r="S510" s="110"/>
      <c r="T510" s="110"/>
      <c r="U510" s="68"/>
      <c r="V510" s="68"/>
      <c r="W510" s="110"/>
      <c r="X510" s="110"/>
      <c r="Y510" s="110"/>
      <c r="Z510" s="110"/>
      <c r="AA510" s="110"/>
      <c r="AB510" s="110"/>
      <c r="AC510" s="114"/>
      <c r="AD510" s="68"/>
      <c r="AE510" s="110"/>
      <c r="AF510" s="110"/>
      <c r="AG510" s="68"/>
      <c r="AH510" s="68"/>
      <c r="AI510" s="110"/>
      <c r="AJ510" s="110"/>
      <c r="AK510" s="68"/>
      <c r="AL510" s="68"/>
      <c r="AM510" s="110"/>
      <c r="AN510" s="110"/>
      <c r="AO510" s="68"/>
      <c r="AP510" s="68"/>
      <c r="AQ510" s="40"/>
      <c r="AR510" s="40"/>
      <c r="AS510" s="23"/>
    </row>
    <row r="511" spans="1:45" ht="15.75" x14ac:dyDescent="0.25">
      <c r="A511" s="44"/>
      <c r="B511" s="23"/>
      <c r="C511" s="23"/>
      <c r="D511" s="23"/>
      <c r="E511" s="68"/>
      <c r="F511" s="68"/>
      <c r="G511" s="110"/>
      <c r="H511" s="110"/>
      <c r="I511" s="68"/>
      <c r="J511" s="68"/>
      <c r="K511" s="110"/>
      <c r="L511" s="110"/>
      <c r="M511" s="68"/>
      <c r="N511" s="68"/>
      <c r="O511" s="110"/>
      <c r="P511" s="110"/>
      <c r="Q511" s="68"/>
      <c r="R511" s="68"/>
      <c r="S511" s="110"/>
      <c r="T511" s="110"/>
      <c r="U511" s="68"/>
      <c r="V511" s="68"/>
      <c r="W511" s="110"/>
      <c r="X511" s="110"/>
      <c r="Y511" s="110"/>
      <c r="Z511" s="110"/>
      <c r="AA511" s="110"/>
      <c r="AB511" s="110"/>
      <c r="AC511" s="114"/>
      <c r="AD511" s="68"/>
      <c r="AE511" s="110"/>
      <c r="AF511" s="110"/>
      <c r="AG511" s="68"/>
      <c r="AH511" s="68"/>
      <c r="AI511" s="110"/>
      <c r="AJ511" s="110"/>
      <c r="AK511" s="68"/>
      <c r="AL511" s="68"/>
      <c r="AM511" s="110"/>
      <c r="AN511" s="110"/>
      <c r="AO511" s="68"/>
      <c r="AP511" s="68"/>
      <c r="AQ511" s="40"/>
      <c r="AR511" s="40"/>
      <c r="AS511" s="23"/>
    </row>
    <row r="512" spans="1:45" ht="15.75" x14ac:dyDescent="0.25">
      <c r="A512" s="44"/>
      <c r="B512" s="23"/>
      <c r="C512" s="23"/>
      <c r="D512" s="23"/>
      <c r="E512" s="68"/>
      <c r="F512" s="68"/>
      <c r="G512" s="110"/>
      <c r="H512" s="110"/>
      <c r="I512" s="68"/>
      <c r="J512" s="68"/>
      <c r="K512" s="110"/>
      <c r="L512" s="110"/>
      <c r="M512" s="68"/>
      <c r="N512" s="68"/>
      <c r="O512" s="110"/>
      <c r="P512" s="110"/>
      <c r="Q512" s="68"/>
      <c r="R512" s="68"/>
      <c r="S512" s="110"/>
      <c r="T512" s="110"/>
      <c r="U512" s="68"/>
      <c r="V512" s="68"/>
      <c r="W512" s="110"/>
      <c r="X512" s="110"/>
      <c r="Y512" s="110"/>
      <c r="Z512" s="110"/>
      <c r="AA512" s="110"/>
      <c r="AB512" s="110"/>
      <c r="AC512" s="114"/>
      <c r="AD512" s="68"/>
      <c r="AE512" s="110"/>
      <c r="AF512" s="110"/>
      <c r="AG512" s="68"/>
      <c r="AH512" s="68"/>
      <c r="AI512" s="110"/>
      <c r="AJ512" s="110"/>
      <c r="AK512" s="68"/>
      <c r="AL512" s="68"/>
      <c r="AM512" s="110"/>
      <c r="AN512" s="110"/>
      <c r="AO512" s="68"/>
      <c r="AP512" s="68"/>
      <c r="AQ512" s="40"/>
      <c r="AR512" s="40"/>
      <c r="AS512" s="23"/>
    </row>
    <row r="513" spans="1:45" ht="15.75" x14ac:dyDescent="0.25">
      <c r="A513" s="44"/>
      <c r="B513" s="23"/>
      <c r="C513" s="23"/>
      <c r="D513" s="23"/>
      <c r="E513" s="68"/>
      <c r="F513" s="68"/>
      <c r="G513" s="110"/>
      <c r="H513" s="110"/>
      <c r="I513" s="68"/>
      <c r="J513" s="68"/>
      <c r="K513" s="110"/>
      <c r="L513" s="110"/>
      <c r="M513" s="68"/>
      <c r="N513" s="68"/>
      <c r="O513" s="110"/>
      <c r="P513" s="110"/>
      <c r="Q513" s="68"/>
      <c r="R513" s="68"/>
      <c r="S513" s="110"/>
      <c r="T513" s="110"/>
      <c r="U513" s="68"/>
      <c r="V513" s="68"/>
      <c r="W513" s="110"/>
      <c r="X513" s="110"/>
      <c r="Y513" s="110"/>
      <c r="Z513" s="110"/>
      <c r="AA513" s="110"/>
      <c r="AB513" s="110"/>
      <c r="AC513" s="114"/>
      <c r="AD513" s="68"/>
      <c r="AE513" s="110"/>
      <c r="AF513" s="110"/>
      <c r="AG513" s="68"/>
      <c r="AH513" s="68"/>
      <c r="AI513" s="110"/>
      <c r="AJ513" s="110"/>
      <c r="AK513" s="68"/>
      <c r="AL513" s="68"/>
      <c r="AM513" s="110"/>
      <c r="AN513" s="110"/>
      <c r="AO513" s="68"/>
      <c r="AP513" s="68"/>
      <c r="AQ513" s="40"/>
      <c r="AR513" s="40"/>
      <c r="AS513" s="23"/>
    </row>
    <row r="514" spans="1:45" ht="15.75" x14ac:dyDescent="0.25">
      <c r="A514" s="44"/>
      <c r="B514" s="23"/>
      <c r="C514" s="23"/>
      <c r="D514" s="23"/>
      <c r="E514" s="68"/>
      <c r="F514" s="68"/>
      <c r="G514" s="110"/>
      <c r="H514" s="110"/>
      <c r="I514" s="68"/>
      <c r="J514" s="68"/>
      <c r="K514" s="110"/>
      <c r="L514" s="110"/>
      <c r="M514" s="68"/>
      <c r="N514" s="68"/>
      <c r="O514" s="110"/>
      <c r="P514" s="110"/>
      <c r="Q514" s="68"/>
      <c r="R514" s="68"/>
      <c r="S514" s="110"/>
      <c r="T514" s="110"/>
      <c r="U514" s="68"/>
      <c r="V514" s="68"/>
      <c r="W514" s="110"/>
      <c r="X514" s="110"/>
      <c r="Y514" s="110"/>
      <c r="Z514" s="110"/>
      <c r="AA514" s="110"/>
      <c r="AB514" s="110"/>
      <c r="AC514" s="114"/>
      <c r="AD514" s="68"/>
      <c r="AE514" s="110"/>
      <c r="AF514" s="110"/>
      <c r="AG514" s="68"/>
      <c r="AH514" s="68"/>
      <c r="AI514" s="110"/>
      <c r="AJ514" s="110"/>
      <c r="AK514" s="68"/>
      <c r="AL514" s="68"/>
      <c r="AM514" s="110"/>
      <c r="AN514" s="110"/>
      <c r="AO514" s="68"/>
      <c r="AP514" s="68"/>
      <c r="AQ514" s="40"/>
      <c r="AR514" s="40"/>
      <c r="AS514" s="23"/>
    </row>
    <row r="515" spans="1:45" ht="15.75" x14ac:dyDescent="0.25">
      <c r="A515" s="44"/>
      <c r="B515" s="23"/>
      <c r="C515" s="23"/>
      <c r="D515" s="23"/>
      <c r="E515" s="68"/>
      <c r="F515" s="68"/>
      <c r="G515" s="110"/>
      <c r="H515" s="110"/>
      <c r="I515" s="68"/>
      <c r="J515" s="68"/>
      <c r="K515" s="110"/>
      <c r="L515" s="110"/>
      <c r="M515" s="68"/>
      <c r="N515" s="68"/>
      <c r="O515" s="110"/>
      <c r="P515" s="110"/>
      <c r="Q515" s="68"/>
      <c r="R515" s="68"/>
      <c r="S515" s="110"/>
      <c r="T515" s="110"/>
      <c r="U515" s="68"/>
      <c r="V515" s="68"/>
      <c r="W515" s="110"/>
      <c r="X515" s="110"/>
      <c r="Y515" s="110"/>
      <c r="Z515" s="110"/>
      <c r="AA515" s="110"/>
      <c r="AB515" s="110"/>
      <c r="AC515" s="114"/>
      <c r="AD515" s="68"/>
      <c r="AE515" s="110"/>
      <c r="AF515" s="110"/>
      <c r="AG515" s="68"/>
      <c r="AH515" s="68"/>
      <c r="AI515" s="110"/>
      <c r="AJ515" s="110"/>
      <c r="AK515" s="68"/>
      <c r="AL515" s="68"/>
      <c r="AM515" s="110"/>
      <c r="AN515" s="110"/>
      <c r="AO515" s="68"/>
      <c r="AP515" s="68"/>
      <c r="AQ515" s="40"/>
      <c r="AR515" s="40"/>
      <c r="AS515" s="23"/>
    </row>
    <row r="516" spans="1:45" ht="15.75" x14ac:dyDescent="0.25">
      <c r="A516" s="44"/>
      <c r="B516" s="23"/>
      <c r="C516" s="23"/>
      <c r="D516" s="23"/>
      <c r="E516" s="68"/>
      <c r="F516" s="68"/>
      <c r="G516" s="110"/>
      <c r="H516" s="110"/>
      <c r="I516" s="68"/>
      <c r="J516" s="68"/>
      <c r="K516" s="110"/>
      <c r="L516" s="110"/>
      <c r="M516" s="68"/>
      <c r="N516" s="68"/>
      <c r="O516" s="110"/>
      <c r="P516" s="110"/>
      <c r="Q516" s="68"/>
      <c r="R516" s="68"/>
      <c r="S516" s="110"/>
      <c r="T516" s="110"/>
      <c r="U516" s="68"/>
      <c r="V516" s="68"/>
      <c r="W516" s="110"/>
      <c r="X516" s="110"/>
      <c r="Y516" s="110"/>
      <c r="Z516" s="110"/>
      <c r="AA516" s="110"/>
      <c r="AB516" s="110"/>
      <c r="AC516" s="114"/>
      <c r="AD516" s="68"/>
      <c r="AE516" s="110"/>
      <c r="AF516" s="110"/>
      <c r="AG516" s="68"/>
      <c r="AH516" s="68"/>
      <c r="AI516" s="110"/>
      <c r="AJ516" s="110"/>
      <c r="AK516" s="68"/>
      <c r="AL516" s="68"/>
      <c r="AM516" s="110"/>
      <c r="AN516" s="110"/>
      <c r="AO516" s="68"/>
      <c r="AP516" s="68"/>
      <c r="AQ516" s="40"/>
      <c r="AR516" s="40"/>
      <c r="AS516" s="23"/>
    </row>
    <row r="517" spans="1:45" ht="15.75" x14ac:dyDescent="0.25">
      <c r="A517" s="44"/>
      <c r="B517" s="23"/>
      <c r="C517" s="23"/>
      <c r="D517" s="23"/>
      <c r="E517" s="68"/>
      <c r="F517" s="68"/>
      <c r="G517" s="110"/>
      <c r="H517" s="110"/>
      <c r="I517" s="68"/>
      <c r="J517" s="68"/>
      <c r="K517" s="110"/>
      <c r="L517" s="110"/>
      <c r="M517" s="68"/>
      <c r="N517" s="68"/>
      <c r="O517" s="110"/>
      <c r="P517" s="110"/>
      <c r="Q517" s="68"/>
      <c r="R517" s="68"/>
      <c r="S517" s="110"/>
      <c r="T517" s="110"/>
      <c r="U517" s="68"/>
      <c r="V517" s="68"/>
      <c r="W517" s="110"/>
      <c r="X517" s="110"/>
      <c r="Y517" s="110"/>
      <c r="Z517" s="110"/>
      <c r="AA517" s="110"/>
      <c r="AB517" s="110"/>
      <c r="AC517" s="114"/>
      <c r="AD517" s="68"/>
      <c r="AE517" s="110"/>
      <c r="AF517" s="110"/>
      <c r="AG517" s="68"/>
      <c r="AH517" s="68"/>
      <c r="AI517" s="110"/>
      <c r="AJ517" s="110"/>
      <c r="AK517" s="68"/>
      <c r="AL517" s="68"/>
      <c r="AM517" s="110"/>
      <c r="AN517" s="110"/>
      <c r="AO517" s="68"/>
      <c r="AP517" s="68"/>
      <c r="AQ517" s="40"/>
      <c r="AR517" s="40"/>
      <c r="AS517" s="23"/>
    </row>
    <row r="518" spans="1:45" ht="15.75" x14ac:dyDescent="0.25">
      <c r="A518" s="44"/>
      <c r="B518" s="23"/>
      <c r="C518" s="23"/>
      <c r="D518" s="23"/>
      <c r="E518" s="68"/>
      <c r="F518" s="68"/>
      <c r="G518" s="110"/>
      <c r="H518" s="110"/>
      <c r="I518" s="68"/>
      <c r="J518" s="68"/>
      <c r="K518" s="110"/>
      <c r="L518" s="110"/>
      <c r="M518" s="68"/>
      <c r="N518" s="68"/>
      <c r="O518" s="110"/>
      <c r="P518" s="110"/>
      <c r="Q518" s="68"/>
      <c r="R518" s="68"/>
      <c r="S518" s="110"/>
      <c r="T518" s="110"/>
      <c r="U518" s="68"/>
      <c r="V518" s="68"/>
      <c r="W518" s="110"/>
      <c r="X518" s="110"/>
      <c r="Y518" s="110"/>
      <c r="Z518" s="110"/>
      <c r="AA518" s="110"/>
      <c r="AB518" s="110"/>
      <c r="AC518" s="114"/>
      <c r="AD518" s="68"/>
      <c r="AE518" s="110"/>
      <c r="AF518" s="110"/>
      <c r="AG518" s="68"/>
      <c r="AH518" s="68"/>
      <c r="AI518" s="110"/>
      <c r="AJ518" s="110"/>
      <c r="AK518" s="68"/>
      <c r="AL518" s="68"/>
      <c r="AM518" s="110"/>
      <c r="AN518" s="110"/>
      <c r="AO518" s="68"/>
      <c r="AP518" s="68"/>
      <c r="AQ518" s="40"/>
      <c r="AR518" s="40"/>
      <c r="AS518" s="23"/>
    </row>
    <row r="519" spans="1:45" ht="15.75" x14ac:dyDescent="0.25">
      <c r="A519" s="44"/>
      <c r="B519" s="23"/>
      <c r="C519" s="23"/>
      <c r="D519" s="23"/>
      <c r="E519" s="68"/>
      <c r="F519" s="68"/>
      <c r="G519" s="110"/>
      <c r="H519" s="110"/>
      <c r="I519" s="68"/>
      <c r="J519" s="68"/>
      <c r="K519" s="110"/>
      <c r="L519" s="110"/>
      <c r="M519" s="68"/>
      <c r="N519" s="68"/>
      <c r="O519" s="110"/>
      <c r="P519" s="110"/>
      <c r="Q519" s="68"/>
      <c r="R519" s="68"/>
      <c r="S519" s="110"/>
      <c r="T519" s="110"/>
      <c r="U519" s="68"/>
      <c r="V519" s="68"/>
      <c r="W519" s="110"/>
      <c r="X519" s="110"/>
      <c r="Y519" s="110"/>
      <c r="Z519" s="110"/>
      <c r="AA519" s="110"/>
      <c r="AB519" s="110"/>
      <c r="AC519" s="114"/>
      <c r="AD519" s="68"/>
      <c r="AE519" s="110"/>
      <c r="AF519" s="110"/>
      <c r="AG519" s="68"/>
      <c r="AH519" s="68"/>
      <c r="AI519" s="110"/>
      <c r="AJ519" s="110"/>
      <c r="AK519" s="68"/>
      <c r="AL519" s="68"/>
      <c r="AM519" s="110"/>
      <c r="AN519" s="110"/>
      <c r="AO519" s="68"/>
      <c r="AP519" s="68"/>
      <c r="AQ519" s="40"/>
      <c r="AR519" s="40"/>
      <c r="AS519" s="23"/>
    </row>
    <row r="520" spans="1:45" ht="15.75" x14ac:dyDescent="0.25">
      <c r="A520" s="44"/>
      <c r="B520" s="23"/>
      <c r="C520" s="23"/>
      <c r="D520" s="23"/>
      <c r="E520" s="68"/>
      <c r="F520" s="68"/>
      <c r="G520" s="110"/>
      <c r="H520" s="110"/>
      <c r="I520" s="68"/>
      <c r="J520" s="68"/>
      <c r="K520" s="110"/>
      <c r="L520" s="110"/>
      <c r="M520" s="68"/>
      <c r="N520" s="68"/>
      <c r="O520" s="110"/>
      <c r="P520" s="110"/>
      <c r="Q520" s="68"/>
      <c r="R520" s="68"/>
      <c r="S520" s="110"/>
      <c r="T520" s="110"/>
      <c r="U520" s="68"/>
      <c r="V520" s="68"/>
      <c r="W520" s="110"/>
      <c r="X520" s="110"/>
      <c r="Y520" s="110"/>
      <c r="Z520" s="110"/>
      <c r="AA520" s="110"/>
      <c r="AB520" s="110"/>
      <c r="AC520" s="114"/>
      <c r="AD520" s="68"/>
      <c r="AE520" s="110"/>
      <c r="AF520" s="110"/>
      <c r="AG520" s="68"/>
      <c r="AH520" s="68"/>
      <c r="AI520" s="110"/>
      <c r="AJ520" s="110"/>
      <c r="AK520" s="68"/>
      <c r="AL520" s="68"/>
      <c r="AM520" s="110"/>
      <c r="AN520" s="110"/>
      <c r="AO520" s="68"/>
      <c r="AP520" s="68"/>
      <c r="AQ520" s="40"/>
      <c r="AR520" s="40"/>
      <c r="AS520" s="23"/>
    </row>
    <row r="521" spans="1:45" ht="15.75" x14ac:dyDescent="0.25">
      <c r="A521" s="44"/>
      <c r="B521" s="23"/>
      <c r="C521" s="23"/>
      <c r="D521" s="23"/>
      <c r="E521" s="68"/>
      <c r="F521" s="68"/>
      <c r="G521" s="110"/>
      <c r="H521" s="110"/>
      <c r="I521" s="68"/>
      <c r="J521" s="68"/>
      <c r="K521" s="110"/>
      <c r="L521" s="110"/>
      <c r="M521" s="68"/>
      <c r="N521" s="68"/>
      <c r="O521" s="110"/>
      <c r="P521" s="110"/>
      <c r="Q521" s="68"/>
      <c r="R521" s="68"/>
      <c r="S521" s="110"/>
      <c r="T521" s="110"/>
      <c r="U521" s="68"/>
      <c r="V521" s="68"/>
      <c r="W521" s="110"/>
      <c r="X521" s="110"/>
      <c r="Y521" s="110"/>
      <c r="Z521" s="110"/>
      <c r="AA521" s="110"/>
      <c r="AB521" s="110"/>
      <c r="AC521" s="114"/>
      <c r="AD521" s="68"/>
      <c r="AE521" s="110"/>
      <c r="AF521" s="110"/>
      <c r="AG521" s="68"/>
      <c r="AH521" s="68"/>
      <c r="AI521" s="110"/>
      <c r="AJ521" s="110"/>
      <c r="AK521" s="68"/>
      <c r="AL521" s="68"/>
      <c r="AM521" s="110"/>
      <c r="AN521" s="110"/>
      <c r="AO521" s="68"/>
      <c r="AP521" s="68"/>
      <c r="AQ521" s="40"/>
      <c r="AR521" s="40"/>
      <c r="AS521" s="23"/>
    </row>
    <row r="522" spans="1:45" ht="15.75" x14ac:dyDescent="0.25">
      <c r="A522" s="44"/>
      <c r="B522" s="23"/>
      <c r="C522" s="23"/>
      <c r="D522" s="23"/>
      <c r="E522" s="68"/>
      <c r="F522" s="68"/>
      <c r="G522" s="110"/>
      <c r="H522" s="110"/>
      <c r="I522" s="68"/>
      <c r="J522" s="68"/>
      <c r="K522" s="110"/>
      <c r="L522" s="110"/>
      <c r="M522" s="68"/>
      <c r="N522" s="68"/>
      <c r="O522" s="110"/>
      <c r="P522" s="110"/>
      <c r="Q522" s="68"/>
      <c r="R522" s="68"/>
      <c r="S522" s="110"/>
      <c r="T522" s="110"/>
      <c r="U522" s="68"/>
      <c r="V522" s="68"/>
      <c r="W522" s="110"/>
      <c r="X522" s="110"/>
      <c r="Y522" s="110"/>
      <c r="Z522" s="110"/>
      <c r="AA522" s="110"/>
      <c r="AB522" s="110"/>
      <c r="AC522" s="114"/>
      <c r="AD522" s="68"/>
      <c r="AE522" s="110"/>
      <c r="AF522" s="110"/>
      <c r="AG522" s="68"/>
      <c r="AH522" s="68"/>
      <c r="AI522" s="110"/>
      <c r="AJ522" s="110"/>
      <c r="AK522" s="68"/>
      <c r="AL522" s="68"/>
      <c r="AM522" s="110"/>
      <c r="AN522" s="110"/>
      <c r="AO522" s="68"/>
      <c r="AP522" s="68"/>
      <c r="AQ522" s="40"/>
      <c r="AR522" s="40"/>
      <c r="AS522" s="23"/>
    </row>
    <row r="523" spans="1:45" ht="15.75" x14ac:dyDescent="0.25">
      <c r="A523" s="44"/>
      <c r="B523" s="23"/>
      <c r="C523" s="23"/>
      <c r="D523" s="23"/>
      <c r="E523" s="68"/>
      <c r="F523" s="68"/>
      <c r="G523" s="110"/>
      <c r="H523" s="110"/>
      <c r="I523" s="68"/>
      <c r="J523" s="68"/>
      <c r="K523" s="110"/>
      <c r="L523" s="110"/>
      <c r="M523" s="68"/>
      <c r="N523" s="68"/>
      <c r="O523" s="110"/>
      <c r="P523" s="110"/>
      <c r="Q523" s="68"/>
      <c r="R523" s="68"/>
      <c r="S523" s="110"/>
      <c r="T523" s="110"/>
      <c r="U523" s="68"/>
      <c r="V523" s="68"/>
      <c r="W523" s="110"/>
      <c r="X523" s="110"/>
      <c r="Y523" s="110"/>
      <c r="Z523" s="110"/>
      <c r="AA523" s="110"/>
      <c r="AB523" s="110"/>
      <c r="AC523" s="114"/>
      <c r="AD523" s="68"/>
      <c r="AE523" s="110"/>
      <c r="AF523" s="110"/>
      <c r="AG523" s="68"/>
      <c r="AH523" s="68"/>
      <c r="AI523" s="110"/>
      <c r="AJ523" s="110"/>
      <c r="AK523" s="68"/>
      <c r="AL523" s="68"/>
      <c r="AM523" s="110"/>
      <c r="AN523" s="110"/>
      <c r="AO523" s="68"/>
      <c r="AP523" s="68"/>
      <c r="AQ523" s="40"/>
      <c r="AR523" s="40"/>
      <c r="AS523" s="23"/>
    </row>
    <row r="524" spans="1:45" ht="15.75" x14ac:dyDescent="0.25">
      <c r="A524" s="44"/>
      <c r="B524" s="23"/>
      <c r="C524" s="23"/>
      <c r="D524" s="23"/>
      <c r="E524" s="68"/>
      <c r="F524" s="68"/>
      <c r="G524" s="110"/>
      <c r="H524" s="110"/>
      <c r="I524" s="68"/>
      <c r="J524" s="68"/>
      <c r="K524" s="110"/>
      <c r="L524" s="110"/>
      <c r="M524" s="68"/>
      <c r="N524" s="68"/>
      <c r="O524" s="110"/>
      <c r="P524" s="110"/>
      <c r="Q524" s="68"/>
      <c r="R524" s="68"/>
      <c r="S524" s="110"/>
      <c r="T524" s="110"/>
      <c r="U524" s="68"/>
      <c r="V524" s="68"/>
      <c r="W524" s="110"/>
      <c r="X524" s="110"/>
      <c r="Y524" s="110"/>
      <c r="Z524" s="110"/>
      <c r="AA524" s="110"/>
      <c r="AB524" s="110"/>
      <c r="AC524" s="114"/>
      <c r="AD524" s="68"/>
      <c r="AE524" s="110"/>
      <c r="AF524" s="110"/>
      <c r="AG524" s="68"/>
      <c r="AH524" s="68"/>
      <c r="AI524" s="110"/>
      <c r="AJ524" s="110"/>
      <c r="AK524" s="68"/>
      <c r="AL524" s="68"/>
      <c r="AM524" s="110"/>
      <c r="AN524" s="110"/>
      <c r="AO524" s="68"/>
      <c r="AP524" s="68"/>
      <c r="AQ524" s="40"/>
      <c r="AR524" s="40"/>
      <c r="AS524" s="23"/>
    </row>
    <row r="525" spans="1:45" ht="15.75" x14ac:dyDescent="0.25">
      <c r="A525" s="44"/>
      <c r="B525" s="23"/>
      <c r="C525" s="23"/>
      <c r="D525" s="23"/>
      <c r="E525" s="68"/>
      <c r="F525" s="68"/>
      <c r="G525" s="110"/>
      <c r="H525" s="110"/>
      <c r="I525" s="68"/>
      <c r="J525" s="68"/>
      <c r="K525" s="110"/>
      <c r="L525" s="110"/>
      <c r="M525" s="68"/>
      <c r="N525" s="68"/>
      <c r="O525" s="110"/>
      <c r="P525" s="110"/>
      <c r="Q525" s="68"/>
      <c r="R525" s="68"/>
      <c r="S525" s="110"/>
      <c r="T525" s="110"/>
      <c r="U525" s="68"/>
      <c r="V525" s="68"/>
      <c r="W525" s="110"/>
      <c r="X525" s="110"/>
      <c r="Y525" s="110"/>
      <c r="Z525" s="110"/>
      <c r="AA525" s="110"/>
      <c r="AB525" s="110"/>
      <c r="AC525" s="114"/>
      <c r="AD525" s="68"/>
      <c r="AE525" s="110"/>
      <c r="AF525" s="110"/>
      <c r="AG525" s="68"/>
      <c r="AH525" s="68"/>
      <c r="AI525" s="110"/>
      <c r="AJ525" s="110"/>
      <c r="AK525" s="68"/>
      <c r="AL525" s="68"/>
      <c r="AM525" s="110"/>
      <c r="AN525" s="110"/>
      <c r="AO525" s="68"/>
      <c r="AP525" s="68"/>
      <c r="AQ525" s="40"/>
      <c r="AR525" s="40"/>
      <c r="AS525" s="23"/>
    </row>
    <row r="526" spans="1:45" ht="15.75" x14ac:dyDescent="0.25">
      <c r="A526" s="44"/>
      <c r="B526" s="23"/>
      <c r="C526" s="23"/>
      <c r="D526" s="23"/>
      <c r="E526" s="68"/>
      <c r="F526" s="68"/>
      <c r="G526" s="110"/>
      <c r="H526" s="110"/>
      <c r="I526" s="68"/>
      <c r="J526" s="68"/>
      <c r="K526" s="110"/>
      <c r="L526" s="110"/>
      <c r="M526" s="68"/>
      <c r="N526" s="68"/>
      <c r="O526" s="110"/>
      <c r="P526" s="110"/>
      <c r="Q526" s="68"/>
      <c r="R526" s="68"/>
      <c r="S526" s="110"/>
      <c r="T526" s="110"/>
      <c r="U526" s="68"/>
      <c r="V526" s="68"/>
      <c r="W526" s="110"/>
      <c r="X526" s="110"/>
      <c r="Y526" s="110"/>
      <c r="Z526" s="110"/>
      <c r="AA526" s="110"/>
      <c r="AB526" s="110"/>
      <c r="AC526" s="114"/>
      <c r="AD526" s="68"/>
      <c r="AE526" s="110"/>
      <c r="AF526" s="110"/>
      <c r="AG526" s="68"/>
      <c r="AH526" s="68"/>
      <c r="AI526" s="110"/>
      <c r="AJ526" s="110"/>
      <c r="AK526" s="68"/>
      <c r="AL526" s="68"/>
      <c r="AM526" s="110"/>
      <c r="AN526" s="110"/>
      <c r="AO526" s="68"/>
      <c r="AP526" s="68"/>
      <c r="AQ526" s="40"/>
      <c r="AR526" s="40"/>
      <c r="AS526" s="23"/>
    </row>
    <row r="527" spans="1:45" ht="15.75" x14ac:dyDescent="0.25">
      <c r="A527" s="44"/>
      <c r="B527" s="23"/>
      <c r="C527" s="23"/>
      <c r="D527" s="23"/>
      <c r="E527" s="68"/>
      <c r="F527" s="68"/>
      <c r="G527" s="110"/>
      <c r="H527" s="110"/>
      <c r="I527" s="68"/>
      <c r="J527" s="68"/>
      <c r="K527" s="110"/>
      <c r="L527" s="110"/>
      <c r="M527" s="68"/>
      <c r="N527" s="68"/>
      <c r="O527" s="110"/>
      <c r="P527" s="110"/>
      <c r="Q527" s="68"/>
      <c r="R527" s="68"/>
      <c r="S527" s="110"/>
      <c r="T527" s="110"/>
      <c r="U527" s="68"/>
      <c r="V527" s="68"/>
      <c r="W527" s="110"/>
      <c r="X527" s="110"/>
      <c r="Y527" s="110"/>
      <c r="Z527" s="110"/>
      <c r="AA527" s="110"/>
      <c r="AB527" s="110"/>
      <c r="AC527" s="114"/>
      <c r="AD527" s="68"/>
      <c r="AE527" s="110"/>
      <c r="AF527" s="110"/>
      <c r="AG527" s="68"/>
      <c r="AH527" s="68"/>
      <c r="AI527" s="110"/>
      <c r="AJ527" s="110"/>
      <c r="AK527" s="68"/>
      <c r="AL527" s="68"/>
      <c r="AM527" s="110"/>
      <c r="AN527" s="110"/>
      <c r="AO527" s="68"/>
      <c r="AP527" s="68"/>
      <c r="AQ527" s="40"/>
      <c r="AR527" s="40"/>
      <c r="AS527" s="23"/>
    </row>
    <row r="528" spans="1:45" ht="15.75" x14ac:dyDescent="0.25">
      <c r="A528" s="44"/>
      <c r="B528" s="23"/>
      <c r="C528" s="23"/>
      <c r="D528" s="23"/>
      <c r="E528" s="68"/>
      <c r="F528" s="68"/>
      <c r="G528" s="110"/>
      <c r="H528" s="110"/>
      <c r="I528" s="68"/>
      <c r="J528" s="68"/>
      <c r="K528" s="110"/>
      <c r="L528" s="110"/>
      <c r="M528" s="68"/>
      <c r="N528" s="68"/>
      <c r="O528" s="110"/>
      <c r="P528" s="110"/>
      <c r="Q528" s="68"/>
      <c r="R528" s="68"/>
      <c r="S528" s="110"/>
      <c r="T528" s="110"/>
      <c r="U528" s="68"/>
      <c r="V528" s="68"/>
      <c r="W528" s="110"/>
      <c r="X528" s="110"/>
      <c r="Y528" s="110"/>
      <c r="Z528" s="110"/>
      <c r="AA528" s="110"/>
      <c r="AB528" s="110"/>
      <c r="AC528" s="114"/>
      <c r="AD528" s="68"/>
      <c r="AE528" s="110"/>
      <c r="AF528" s="110"/>
      <c r="AG528" s="68"/>
      <c r="AH528" s="68"/>
      <c r="AI528" s="110"/>
      <c r="AJ528" s="110"/>
      <c r="AK528" s="68"/>
      <c r="AL528" s="68"/>
      <c r="AM528" s="110"/>
      <c r="AN528" s="110"/>
      <c r="AO528" s="68"/>
      <c r="AP528" s="68"/>
      <c r="AQ528" s="40"/>
      <c r="AR528" s="40"/>
      <c r="AS528" s="23"/>
    </row>
    <row r="529" spans="1:45" ht="15.75" x14ac:dyDescent="0.25">
      <c r="A529" s="44"/>
      <c r="B529" s="23"/>
      <c r="C529" s="23"/>
      <c r="D529" s="23"/>
      <c r="E529" s="68"/>
      <c r="F529" s="68"/>
      <c r="G529" s="110"/>
      <c r="H529" s="110"/>
      <c r="I529" s="68"/>
      <c r="J529" s="68"/>
      <c r="K529" s="110"/>
      <c r="L529" s="110"/>
      <c r="M529" s="68"/>
      <c r="N529" s="68"/>
      <c r="O529" s="110"/>
      <c r="P529" s="110"/>
      <c r="Q529" s="68"/>
      <c r="R529" s="68"/>
      <c r="S529" s="110"/>
      <c r="T529" s="110"/>
      <c r="U529" s="68"/>
      <c r="V529" s="68"/>
      <c r="W529" s="110"/>
      <c r="X529" s="110"/>
      <c r="Y529" s="110"/>
      <c r="Z529" s="110"/>
      <c r="AA529" s="110"/>
      <c r="AB529" s="110"/>
      <c r="AC529" s="114"/>
      <c r="AD529" s="68"/>
      <c r="AE529" s="110"/>
      <c r="AF529" s="110"/>
      <c r="AG529" s="68"/>
      <c r="AH529" s="68"/>
      <c r="AI529" s="110"/>
      <c r="AJ529" s="110"/>
      <c r="AK529" s="68"/>
      <c r="AL529" s="68"/>
      <c r="AM529" s="110"/>
      <c r="AN529" s="110"/>
      <c r="AO529" s="68"/>
      <c r="AP529" s="68"/>
      <c r="AQ529" s="40"/>
      <c r="AR529" s="40"/>
      <c r="AS529" s="23"/>
    </row>
    <row r="530" spans="1:45" ht="15.75" x14ac:dyDescent="0.25">
      <c r="A530" s="44"/>
      <c r="B530" s="23"/>
      <c r="C530" s="23"/>
      <c r="D530" s="23"/>
      <c r="E530" s="68"/>
      <c r="F530" s="68"/>
      <c r="G530" s="110"/>
      <c r="H530" s="110"/>
      <c r="I530" s="68"/>
      <c r="J530" s="68"/>
      <c r="K530" s="110"/>
      <c r="L530" s="110"/>
      <c r="M530" s="68"/>
      <c r="N530" s="68"/>
      <c r="O530" s="110"/>
      <c r="P530" s="110"/>
      <c r="Q530" s="68"/>
      <c r="R530" s="68"/>
      <c r="S530" s="110"/>
      <c r="T530" s="110"/>
      <c r="U530" s="68"/>
      <c r="V530" s="68"/>
      <c r="W530" s="110"/>
      <c r="X530" s="110"/>
      <c r="Y530" s="110"/>
      <c r="Z530" s="110"/>
      <c r="AA530" s="110"/>
      <c r="AB530" s="110"/>
      <c r="AC530" s="114"/>
      <c r="AD530" s="68"/>
      <c r="AE530" s="110"/>
      <c r="AF530" s="110"/>
      <c r="AG530" s="68"/>
      <c r="AH530" s="68"/>
      <c r="AI530" s="110"/>
      <c r="AJ530" s="110"/>
      <c r="AK530" s="68"/>
      <c r="AL530" s="68"/>
      <c r="AM530" s="110"/>
      <c r="AN530" s="110"/>
      <c r="AO530" s="68"/>
      <c r="AP530" s="68"/>
      <c r="AQ530" s="40"/>
      <c r="AR530" s="40"/>
      <c r="AS530" s="23"/>
    </row>
    <row r="531" spans="1:45" ht="15.75" x14ac:dyDescent="0.25">
      <c r="A531" s="44"/>
      <c r="B531" s="23"/>
      <c r="C531" s="23"/>
      <c r="D531" s="23"/>
      <c r="E531" s="68"/>
      <c r="F531" s="68"/>
      <c r="G531" s="110"/>
      <c r="H531" s="110"/>
      <c r="I531" s="68"/>
      <c r="J531" s="68"/>
      <c r="K531" s="110"/>
      <c r="L531" s="110"/>
      <c r="M531" s="68"/>
      <c r="N531" s="68"/>
      <c r="O531" s="110"/>
      <c r="P531" s="110"/>
      <c r="Q531" s="68"/>
      <c r="R531" s="68"/>
      <c r="S531" s="110"/>
      <c r="T531" s="110"/>
      <c r="U531" s="68"/>
      <c r="V531" s="68"/>
      <c r="W531" s="110"/>
      <c r="X531" s="110"/>
      <c r="Y531" s="110"/>
      <c r="Z531" s="110"/>
      <c r="AA531" s="110"/>
      <c r="AB531" s="110"/>
      <c r="AC531" s="114"/>
      <c r="AD531" s="68"/>
      <c r="AE531" s="110"/>
      <c r="AF531" s="110"/>
      <c r="AG531" s="68"/>
      <c r="AH531" s="68"/>
      <c r="AI531" s="110"/>
      <c r="AJ531" s="110"/>
      <c r="AK531" s="68"/>
      <c r="AL531" s="68"/>
      <c r="AM531" s="110"/>
      <c r="AN531" s="110"/>
      <c r="AO531" s="68"/>
      <c r="AP531" s="68"/>
      <c r="AQ531" s="40"/>
      <c r="AR531" s="40"/>
      <c r="AS531" s="23"/>
    </row>
    <row r="532" spans="1:45" ht="15.75" x14ac:dyDescent="0.25">
      <c r="A532" s="44"/>
      <c r="B532" s="23"/>
      <c r="C532" s="23"/>
      <c r="D532" s="23"/>
      <c r="E532" s="68"/>
      <c r="F532" s="68"/>
      <c r="G532" s="110"/>
      <c r="H532" s="110"/>
      <c r="I532" s="68"/>
      <c r="J532" s="68"/>
      <c r="K532" s="110"/>
      <c r="L532" s="110"/>
      <c r="M532" s="68"/>
      <c r="N532" s="68"/>
      <c r="O532" s="110"/>
      <c r="P532" s="110"/>
      <c r="Q532" s="68"/>
      <c r="R532" s="68"/>
      <c r="S532" s="110"/>
      <c r="T532" s="110"/>
      <c r="U532" s="68"/>
      <c r="V532" s="68"/>
      <c r="W532" s="110"/>
      <c r="X532" s="110"/>
      <c r="Y532" s="110"/>
      <c r="Z532" s="110"/>
      <c r="AA532" s="110"/>
      <c r="AB532" s="110"/>
      <c r="AC532" s="114"/>
      <c r="AD532" s="68"/>
      <c r="AE532" s="110"/>
      <c r="AF532" s="110"/>
      <c r="AG532" s="68"/>
      <c r="AH532" s="68"/>
      <c r="AI532" s="110"/>
      <c r="AJ532" s="110"/>
      <c r="AK532" s="68"/>
      <c r="AL532" s="68"/>
      <c r="AM532" s="110"/>
      <c r="AN532" s="110"/>
      <c r="AO532" s="68"/>
      <c r="AP532" s="68"/>
      <c r="AQ532" s="40"/>
      <c r="AR532" s="40"/>
      <c r="AS532" s="23"/>
    </row>
    <row r="533" spans="1:45" ht="15.75" x14ac:dyDescent="0.25">
      <c r="A533" s="44"/>
      <c r="B533" s="23"/>
      <c r="C533" s="23"/>
      <c r="D533" s="23"/>
      <c r="E533" s="68"/>
      <c r="F533" s="68"/>
      <c r="G533" s="110"/>
      <c r="H533" s="110"/>
      <c r="I533" s="68"/>
      <c r="J533" s="68"/>
      <c r="K533" s="110"/>
      <c r="L533" s="110"/>
      <c r="M533" s="68"/>
      <c r="N533" s="68"/>
      <c r="O533" s="110"/>
      <c r="P533" s="110"/>
      <c r="Q533" s="68"/>
      <c r="R533" s="68"/>
      <c r="S533" s="110"/>
      <c r="T533" s="110"/>
      <c r="U533" s="68"/>
      <c r="V533" s="68"/>
      <c r="W533" s="110"/>
      <c r="X533" s="110"/>
      <c r="Y533" s="110"/>
      <c r="Z533" s="110"/>
      <c r="AA533" s="110"/>
      <c r="AB533" s="110"/>
      <c r="AC533" s="114"/>
      <c r="AD533" s="68"/>
      <c r="AE533" s="110"/>
      <c r="AF533" s="110"/>
      <c r="AG533" s="68"/>
      <c r="AH533" s="68"/>
      <c r="AI533" s="110"/>
      <c r="AJ533" s="110"/>
      <c r="AK533" s="68"/>
      <c r="AL533" s="68"/>
      <c r="AM533" s="110"/>
      <c r="AN533" s="110"/>
      <c r="AO533" s="68"/>
      <c r="AP533" s="68"/>
      <c r="AQ533" s="40"/>
      <c r="AR533" s="40"/>
      <c r="AS533" s="23"/>
    </row>
    <row r="534" spans="1:45" ht="15.75" x14ac:dyDescent="0.25">
      <c r="A534" s="44"/>
      <c r="B534" s="23"/>
      <c r="C534" s="23"/>
      <c r="D534" s="23"/>
      <c r="E534" s="68"/>
      <c r="F534" s="68"/>
      <c r="G534" s="110"/>
      <c r="H534" s="110"/>
      <c r="I534" s="68"/>
      <c r="J534" s="68"/>
      <c r="K534" s="110"/>
      <c r="L534" s="110"/>
      <c r="M534" s="68"/>
      <c r="N534" s="68"/>
      <c r="O534" s="110"/>
      <c r="P534" s="110"/>
      <c r="Q534" s="68"/>
      <c r="R534" s="68"/>
      <c r="S534" s="110"/>
      <c r="T534" s="110"/>
      <c r="U534" s="68"/>
      <c r="V534" s="68"/>
      <c r="W534" s="110"/>
      <c r="X534" s="110"/>
      <c r="Y534" s="110"/>
      <c r="Z534" s="110"/>
      <c r="AA534" s="110"/>
      <c r="AB534" s="110"/>
      <c r="AC534" s="114"/>
      <c r="AD534" s="68"/>
      <c r="AE534" s="110"/>
      <c r="AF534" s="110"/>
      <c r="AG534" s="68"/>
      <c r="AH534" s="68"/>
      <c r="AI534" s="110"/>
      <c r="AJ534" s="110"/>
      <c r="AK534" s="68"/>
      <c r="AL534" s="68"/>
      <c r="AM534" s="110"/>
      <c r="AN534" s="110"/>
      <c r="AO534" s="68"/>
      <c r="AP534" s="68"/>
      <c r="AQ534" s="40"/>
      <c r="AR534" s="40"/>
      <c r="AS534" s="23"/>
    </row>
    <row r="535" spans="1:45" ht="15.75" x14ac:dyDescent="0.25">
      <c r="A535" s="44"/>
      <c r="B535" s="23"/>
      <c r="C535" s="23"/>
      <c r="D535" s="23"/>
      <c r="E535" s="68"/>
      <c r="F535" s="68"/>
      <c r="G535" s="110"/>
      <c r="H535" s="110"/>
      <c r="I535" s="68"/>
      <c r="J535" s="68"/>
      <c r="K535" s="110"/>
      <c r="L535" s="110"/>
      <c r="M535" s="68"/>
      <c r="N535" s="68"/>
      <c r="O535" s="110"/>
      <c r="P535" s="110"/>
      <c r="Q535" s="68"/>
      <c r="R535" s="68"/>
      <c r="S535" s="110"/>
      <c r="T535" s="110"/>
      <c r="U535" s="68"/>
      <c r="V535" s="68"/>
      <c r="W535" s="110"/>
      <c r="X535" s="110"/>
      <c r="Y535" s="110"/>
      <c r="Z535" s="110"/>
      <c r="AA535" s="110"/>
      <c r="AB535" s="110"/>
      <c r="AC535" s="114"/>
      <c r="AD535" s="68"/>
      <c r="AE535" s="110"/>
      <c r="AF535" s="110"/>
      <c r="AG535" s="68"/>
      <c r="AH535" s="68"/>
      <c r="AI535" s="110"/>
      <c r="AJ535" s="110"/>
      <c r="AK535" s="68"/>
      <c r="AL535" s="68"/>
      <c r="AM535" s="110"/>
      <c r="AN535" s="110"/>
      <c r="AO535" s="68"/>
      <c r="AP535" s="68"/>
      <c r="AQ535" s="40"/>
      <c r="AR535" s="40"/>
      <c r="AS535" s="23"/>
    </row>
    <row r="536" spans="1:45" ht="15.75" x14ac:dyDescent="0.25">
      <c r="A536" s="44"/>
      <c r="B536" s="23"/>
      <c r="C536" s="23"/>
      <c r="D536" s="23"/>
      <c r="E536" s="68"/>
      <c r="F536" s="68"/>
      <c r="G536" s="110"/>
      <c r="H536" s="110"/>
      <c r="I536" s="68"/>
      <c r="J536" s="68"/>
      <c r="K536" s="110"/>
      <c r="L536" s="110"/>
      <c r="M536" s="68"/>
      <c r="N536" s="68"/>
      <c r="O536" s="110"/>
      <c r="P536" s="110"/>
      <c r="Q536" s="68"/>
      <c r="R536" s="68"/>
      <c r="S536" s="110"/>
      <c r="T536" s="110"/>
      <c r="U536" s="68"/>
      <c r="V536" s="68"/>
      <c r="W536" s="110"/>
      <c r="X536" s="110"/>
      <c r="Y536" s="110"/>
      <c r="Z536" s="110"/>
      <c r="AA536" s="110"/>
      <c r="AB536" s="110"/>
      <c r="AC536" s="114"/>
      <c r="AD536" s="68"/>
      <c r="AE536" s="110"/>
      <c r="AF536" s="110"/>
      <c r="AG536" s="68"/>
      <c r="AH536" s="68"/>
      <c r="AI536" s="110"/>
      <c r="AJ536" s="110"/>
      <c r="AK536" s="68"/>
      <c r="AL536" s="68"/>
      <c r="AM536" s="110"/>
      <c r="AN536" s="110"/>
      <c r="AO536" s="68"/>
      <c r="AP536" s="68"/>
      <c r="AQ536" s="40"/>
      <c r="AR536" s="40"/>
      <c r="AS536" s="23"/>
    </row>
    <row r="537" spans="1:45" ht="15.75" x14ac:dyDescent="0.25">
      <c r="A537" s="44"/>
      <c r="B537" s="23"/>
      <c r="C537" s="23"/>
      <c r="D537" s="23"/>
      <c r="E537" s="68"/>
      <c r="F537" s="68"/>
      <c r="G537" s="110"/>
      <c r="H537" s="110"/>
      <c r="I537" s="68"/>
      <c r="J537" s="68"/>
      <c r="K537" s="110"/>
      <c r="L537" s="110"/>
      <c r="M537" s="68"/>
      <c r="N537" s="68"/>
      <c r="O537" s="110"/>
      <c r="P537" s="110"/>
      <c r="Q537" s="68"/>
      <c r="R537" s="68"/>
      <c r="S537" s="110"/>
      <c r="T537" s="110"/>
      <c r="U537" s="68"/>
      <c r="V537" s="68"/>
      <c r="W537" s="110"/>
      <c r="X537" s="110"/>
      <c r="Y537" s="110"/>
      <c r="Z537" s="110"/>
      <c r="AA537" s="110"/>
      <c r="AB537" s="110"/>
      <c r="AC537" s="114"/>
      <c r="AD537" s="68"/>
      <c r="AE537" s="110"/>
      <c r="AF537" s="110"/>
      <c r="AG537" s="68"/>
      <c r="AH537" s="68"/>
      <c r="AI537" s="110"/>
      <c r="AJ537" s="110"/>
      <c r="AK537" s="68"/>
      <c r="AL537" s="68"/>
      <c r="AM537" s="110"/>
      <c r="AN537" s="110"/>
      <c r="AO537" s="68"/>
      <c r="AP537" s="68"/>
      <c r="AQ537" s="40"/>
      <c r="AR537" s="40"/>
      <c r="AS537" s="23"/>
    </row>
    <row r="538" spans="1:45" ht="15.75" x14ac:dyDescent="0.25">
      <c r="A538" s="44"/>
      <c r="B538" s="23"/>
      <c r="C538" s="23"/>
      <c r="D538" s="23"/>
      <c r="E538" s="68"/>
      <c r="F538" s="68"/>
      <c r="G538" s="110"/>
      <c r="H538" s="110"/>
      <c r="I538" s="68"/>
      <c r="J538" s="68"/>
      <c r="K538" s="110"/>
      <c r="L538" s="110"/>
      <c r="M538" s="68"/>
      <c r="N538" s="68"/>
      <c r="O538" s="110"/>
      <c r="P538" s="110"/>
      <c r="Q538" s="68"/>
      <c r="R538" s="68"/>
      <c r="S538" s="110"/>
      <c r="T538" s="110"/>
      <c r="U538" s="68"/>
      <c r="V538" s="68"/>
      <c r="W538" s="110"/>
      <c r="X538" s="110"/>
      <c r="Y538" s="110"/>
      <c r="Z538" s="110"/>
      <c r="AA538" s="110"/>
      <c r="AB538" s="110"/>
      <c r="AC538" s="114"/>
      <c r="AD538" s="68"/>
      <c r="AE538" s="110"/>
      <c r="AF538" s="110"/>
      <c r="AG538" s="68"/>
      <c r="AH538" s="68"/>
      <c r="AI538" s="110"/>
      <c r="AJ538" s="110"/>
      <c r="AK538" s="68"/>
      <c r="AL538" s="68"/>
      <c r="AM538" s="110"/>
      <c r="AN538" s="110"/>
      <c r="AO538" s="68"/>
      <c r="AP538" s="68"/>
      <c r="AQ538" s="40"/>
      <c r="AR538" s="40"/>
      <c r="AS538" s="23"/>
    </row>
    <row r="539" spans="1:45" ht="15.75" x14ac:dyDescent="0.25">
      <c r="A539" s="44"/>
      <c r="B539" s="23"/>
      <c r="C539" s="23"/>
      <c r="D539" s="23"/>
      <c r="E539" s="68"/>
      <c r="F539" s="68"/>
      <c r="G539" s="110"/>
      <c r="H539" s="110"/>
      <c r="I539" s="68"/>
      <c r="J539" s="68"/>
      <c r="K539" s="110"/>
      <c r="L539" s="110"/>
      <c r="M539" s="68"/>
      <c r="N539" s="68"/>
      <c r="O539" s="110"/>
      <c r="P539" s="110"/>
      <c r="Q539" s="68"/>
      <c r="R539" s="68"/>
      <c r="S539" s="110"/>
      <c r="T539" s="110"/>
      <c r="U539" s="68"/>
      <c r="V539" s="68"/>
      <c r="W539" s="110"/>
      <c r="X539" s="110"/>
      <c r="Y539" s="110"/>
      <c r="Z539" s="110"/>
      <c r="AA539" s="110"/>
      <c r="AB539" s="110"/>
      <c r="AC539" s="114"/>
      <c r="AD539" s="68"/>
      <c r="AE539" s="110"/>
      <c r="AF539" s="110"/>
      <c r="AG539" s="68"/>
      <c r="AH539" s="68"/>
      <c r="AI539" s="110"/>
      <c r="AJ539" s="110"/>
      <c r="AK539" s="68"/>
      <c r="AL539" s="68"/>
      <c r="AM539" s="110"/>
      <c r="AN539" s="110"/>
      <c r="AO539" s="68"/>
      <c r="AP539" s="68"/>
      <c r="AQ539" s="40"/>
      <c r="AR539" s="40"/>
      <c r="AS539" s="23"/>
    </row>
    <row r="540" spans="1:45" ht="15.75" x14ac:dyDescent="0.25">
      <c r="A540" s="44"/>
      <c r="B540" s="23"/>
      <c r="C540" s="23"/>
      <c r="D540" s="23"/>
      <c r="E540" s="68"/>
      <c r="F540" s="68"/>
      <c r="G540" s="110"/>
      <c r="H540" s="110"/>
      <c r="I540" s="68"/>
      <c r="J540" s="68"/>
      <c r="K540" s="110"/>
      <c r="L540" s="110"/>
      <c r="M540" s="68"/>
      <c r="N540" s="68"/>
      <c r="O540" s="110"/>
      <c r="P540" s="110"/>
      <c r="Q540" s="68"/>
      <c r="R540" s="68"/>
      <c r="S540" s="110"/>
      <c r="T540" s="110"/>
      <c r="U540" s="68"/>
      <c r="V540" s="68"/>
      <c r="W540" s="110"/>
      <c r="X540" s="110"/>
      <c r="Y540" s="110"/>
      <c r="Z540" s="110"/>
      <c r="AA540" s="110"/>
      <c r="AB540" s="110"/>
      <c r="AC540" s="114"/>
      <c r="AD540" s="68"/>
      <c r="AE540" s="110"/>
      <c r="AF540" s="110"/>
      <c r="AG540" s="68"/>
      <c r="AH540" s="68"/>
      <c r="AI540" s="110"/>
      <c r="AJ540" s="110"/>
      <c r="AK540" s="68"/>
      <c r="AL540" s="68"/>
      <c r="AM540" s="110"/>
      <c r="AN540" s="110"/>
      <c r="AO540" s="68"/>
      <c r="AP540" s="68"/>
      <c r="AQ540" s="40"/>
      <c r="AR540" s="40"/>
      <c r="AS540" s="23"/>
    </row>
    <row r="541" spans="1:45" ht="15.75" x14ac:dyDescent="0.25">
      <c r="A541" s="44"/>
      <c r="B541" s="23"/>
      <c r="C541" s="23"/>
      <c r="D541" s="23"/>
      <c r="E541" s="68"/>
      <c r="F541" s="68"/>
      <c r="G541" s="110"/>
      <c r="H541" s="110"/>
      <c r="I541" s="68"/>
      <c r="J541" s="68"/>
      <c r="K541" s="110"/>
      <c r="L541" s="110"/>
      <c r="M541" s="68"/>
      <c r="N541" s="68"/>
      <c r="O541" s="110"/>
      <c r="P541" s="110"/>
      <c r="Q541" s="68"/>
      <c r="R541" s="68"/>
      <c r="S541" s="110"/>
      <c r="T541" s="110"/>
      <c r="U541" s="68"/>
      <c r="V541" s="68"/>
      <c r="W541" s="110"/>
      <c r="X541" s="110"/>
      <c r="Y541" s="110"/>
      <c r="Z541" s="110"/>
      <c r="AA541" s="110"/>
      <c r="AB541" s="110"/>
      <c r="AC541" s="114"/>
      <c r="AD541" s="68"/>
      <c r="AE541" s="110"/>
      <c r="AF541" s="110"/>
      <c r="AG541" s="68"/>
      <c r="AH541" s="68"/>
      <c r="AI541" s="110"/>
      <c r="AJ541" s="110"/>
      <c r="AK541" s="68"/>
      <c r="AL541" s="68"/>
      <c r="AM541" s="110"/>
      <c r="AN541" s="110"/>
      <c r="AO541" s="68"/>
      <c r="AP541" s="68"/>
      <c r="AQ541" s="40"/>
      <c r="AR541" s="40"/>
      <c r="AS541" s="23"/>
    </row>
    <row r="542" spans="1:45" ht="15.75" x14ac:dyDescent="0.25">
      <c r="A542" s="44"/>
      <c r="B542" s="23"/>
      <c r="C542" s="23"/>
      <c r="D542" s="23"/>
      <c r="E542" s="68"/>
      <c r="F542" s="68"/>
      <c r="G542" s="110"/>
      <c r="H542" s="110"/>
      <c r="I542" s="68"/>
      <c r="J542" s="68"/>
      <c r="K542" s="110"/>
      <c r="L542" s="110"/>
      <c r="M542" s="68"/>
      <c r="N542" s="68"/>
      <c r="O542" s="110"/>
      <c r="P542" s="110"/>
      <c r="Q542" s="68"/>
      <c r="R542" s="68"/>
      <c r="S542" s="110"/>
      <c r="T542" s="110"/>
      <c r="U542" s="68"/>
      <c r="V542" s="68"/>
      <c r="W542" s="110"/>
      <c r="X542" s="110"/>
      <c r="Y542" s="110"/>
      <c r="Z542" s="110"/>
      <c r="AA542" s="110"/>
      <c r="AB542" s="110"/>
      <c r="AC542" s="114"/>
      <c r="AD542" s="68"/>
      <c r="AE542" s="110"/>
      <c r="AF542" s="110"/>
      <c r="AG542" s="68"/>
      <c r="AH542" s="68"/>
      <c r="AI542" s="110"/>
      <c r="AJ542" s="110"/>
      <c r="AK542" s="68"/>
      <c r="AL542" s="68"/>
      <c r="AM542" s="110"/>
      <c r="AN542" s="110"/>
      <c r="AO542" s="68"/>
      <c r="AP542" s="68"/>
      <c r="AQ542" s="40"/>
      <c r="AR542" s="40"/>
      <c r="AS542" s="23"/>
    </row>
    <row r="543" spans="1:45" ht="15.75" x14ac:dyDescent="0.25">
      <c r="A543" s="44"/>
      <c r="B543" s="23"/>
      <c r="C543" s="23"/>
      <c r="D543" s="23"/>
      <c r="E543" s="68"/>
      <c r="F543" s="68"/>
      <c r="G543" s="110"/>
      <c r="H543" s="110"/>
      <c r="I543" s="68"/>
      <c r="J543" s="68"/>
      <c r="K543" s="110"/>
      <c r="L543" s="110"/>
      <c r="M543" s="68"/>
      <c r="N543" s="68"/>
      <c r="O543" s="110"/>
      <c r="P543" s="110"/>
      <c r="Q543" s="68"/>
      <c r="R543" s="68"/>
      <c r="S543" s="110"/>
      <c r="T543" s="110"/>
      <c r="U543" s="68"/>
      <c r="V543" s="68"/>
      <c r="W543" s="110"/>
      <c r="X543" s="110"/>
      <c r="Y543" s="110"/>
      <c r="Z543" s="110"/>
      <c r="AA543" s="110"/>
      <c r="AB543" s="110"/>
      <c r="AC543" s="114"/>
      <c r="AD543" s="68"/>
      <c r="AE543" s="110"/>
      <c r="AF543" s="110"/>
      <c r="AG543" s="68"/>
      <c r="AH543" s="68"/>
      <c r="AI543" s="110"/>
      <c r="AJ543" s="110"/>
      <c r="AK543" s="68"/>
      <c r="AL543" s="68"/>
      <c r="AM543" s="110"/>
      <c r="AN543" s="110"/>
      <c r="AO543" s="68"/>
      <c r="AP543" s="68"/>
      <c r="AQ543" s="40"/>
      <c r="AR543" s="40"/>
      <c r="AS543" s="23"/>
    </row>
    <row r="544" spans="1:45" ht="15.75" x14ac:dyDescent="0.25">
      <c r="A544" s="44"/>
      <c r="B544" s="23"/>
      <c r="C544" s="23"/>
      <c r="D544" s="23"/>
      <c r="E544" s="68"/>
      <c r="F544" s="68"/>
      <c r="G544" s="110"/>
      <c r="H544" s="110"/>
      <c r="I544" s="68"/>
      <c r="J544" s="68"/>
      <c r="K544" s="110"/>
      <c r="L544" s="110"/>
      <c r="M544" s="68"/>
      <c r="N544" s="68"/>
      <c r="O544" s="110"/>
      <c r="P544" s="110"/>
      <c r="Q544" s="68"/>
      <c r="R544" s="68"/>
      <c r="S544" s="110"/>
      <c r="T544" s="110"/>
      <c r="U544" s="68"/>
      <c r="V544" s="68"/>
      <c r="W544" s="110"/>
      <c r="X544" s="110"/>
      <c r="Y544" s="110"/>
      <c r="Z544" s="110"/>
      <c r="AA544" s="110"/>
      <c r="AB544" s="110"/>
      <c r="AC544" s="114"/>
      <c r="AD544" s="68"/>
      <c r="AE544" s="110"/>
      <c r="AF544" s="110"/>
      <c r="AG544" s="68"/>
      <c r="AH544" s="68"/>
      <c r="AI544" s="110"/>
      <c r="AJ544" s="110"/>
      <c r="AK544" s="68"/>
      <c r="AL544" s="68"/>
      <c r="AM544" s="110"/>
      <c r="AN544" s="110"/>
      <c r="AO544" s="68"/>
      <c r="AP544" s="68"/>
      <c r="AQ544" s="40"/>
      <c r="AR544" s="40"/>
      <c r="AS544" s="23"/>
    </row>
    <row r="545" spans="1:45" ht="15.75" x14ac:dyDescent="0.25">
      <c r="A545" s="44"/>
      <c r="B545" s="23"/>
      <c r="C545" s="23"/>
      <c r="D545" s="23"/>
      <c r="E545" s="68"/>
      <c r="F545" s="68"/>
      <c r="G545" s="110"/>
      <c r="H545" s="110"/>
      <c r="I545" s="68"/>
      <c r="J545" s="68"/>
      <c r="K545" s="110"/>
      <c r="L545" s="110"/>
      <c r="M545" s="68"/>
      <c r="N545" s="68"/>
      <c r="O545" s="110"/>
      <c r="P545" s="110"/>
      <c r="Q545" s="68"/>
      <c r="R545" s="68"/>
      <c r="S545" s="110"/>
      <c r="T545" s="110"/>
      <c r="U545" s="68"/>
      <c r="V545" s="68"/>
      <c r="W545" s="110"/>
      <c r="X545" s="110"/>
      <c r="Y545" s="110"/>
      <c r="Z545" s="110"/>
      <c r="AA545" s="110"/>
      <c r="AB545" s="110"/>
      <c r="AC545" s="114"/>
      <c r="AD545" s="68"/>
      <c r="AE545" s="110"/>
      <c r="AF545" s="110"/>
      <c r="AG545" s="68"/>
      <c r="AH545" s="68"/>
      <c r="AI545" s="110"/>
      <c r="AJ545" s="110"/>
      <c r="AK545" s="68"/>
      <c r="AL545" s="68"/>
      <c r="AM545" s="110"/>
      <c r="AN545" s="110"/>
      <c r="AO545" s="68"/>
      <c r="AP545" s="68"/>
      <c r="AQ545" s="40"/>
      <c r="AR545" s="40"/>
      <c r="AS545" s="23"/>
    </row>
    <row r="546" spans="1:45" ht="15.75" x14ac:dyDescent="0.25">
      <c r="A546" s="44"/>
      <c r="B546" s="23"/>
      <c r="C546" s="23"/>
      <c r="D546" s="23"/>
      <c r="E546" s="68"/>
      <c r="F546" s="68"/>
      <c r="G546" s="110"/>
      <c r="H546" s="110"/>
      <c r="I546" s="68"/>
      <c r="J546" s="68"/>
      <c r="K546" s="110"/>
      <c r="L546" s="110"/>
      <c r="M546" s="68"/>
      <c r="N546" s="68"/>
      <c r="O546" s="110"/>
      <c r="P546" s="110"/>
      <c r="Q546" s="68"/>
      <c r="R546" s="68"/>
      <c r="S546" s="110"/>
      <c r="T546" s="110"/>
      <c r="U546" s="68"/>
      <c r="V546" s="68"/>
      <c r="W546" s="110"/>
      <c r="X546" s="110"/>
      <c r="Y546" s="110"/>
      <c r="Z546" s="110"/>
      <c r="AA546" s="110"/>
      <c r="AB546" s="110"/>
      <c r="AC546" s="114"/>
      <c r="AD546" s="68"/>
      <c r="AE546" s="110"/>
      <c r="AF546" s="110"/>
      <c r="AG546" s="68"/>
      <c r="AH546" s="68"/>
      <c r="AI546" s="110"/>
      <c r="AJ546" s="110"/>
      <c r="AK546" s="68"/>
      <c r="AL546" s="68"/>
      <c r="AM546" s="110"/>
      <c r="AN546" s="110"/>
      <c r="AO546" s="68"/>
      <c r="AP546" s="68"/>
      <c r="AQ546" s="40"/>
      <c r="AR546" s="40"/>
      <c r="AS546" s="23"/>
    </row>
    <row r="547" spans="1:45" ht="15.75" x14ac:dyDescent="0.25">
      <c r="A547" s="44"/>
      <c r="B547" s="23"/>
      <c r="C547" s="23"/>
      <c r="D547" s="23"/>
      <c r="E547" s="68"/>
      <c r="F547" s="68"/>
      <c r="G547" s="110"/>
      <c r="H547" s="110"/>
      <c r="I547" s="68"/>
      <c r="J547" s="68"/>
      <c r="K547" s="110"/>
      <c r="L547" s="110"/>
      <c r="M547" s="68"/>
      <c r="N547" s="68"/>
      <c r="O547" s="110"/>
      <c r="P547" s="110"/>
      <c r="Q547" s="68"/>
      <c r="R547" s="68"/>
      <c r="S547" s="110"/>
      <c r="T547" s="110"/>
      <c r="U547" s="68"/>
      <c r="V547" s="68"/>
      <c r="W547" s="110"/>
      <c r="X547" s="110"/>
      <c r="Y547" s="110"/>
      <c r="Z547" s="110"/>
      <c r="AA547" s="110"/>
      <c r="AB547" s="110"/>
      <c r="AC547" s="114"/>
      <c r="AD547" s="68"/>
      <c r="AE547" s="110"/>
      <c r="AF547" s="110"/>
      <c r="AG547" s="68"/>
      <c r="AH547" s="68"/>
      <c r="AI547" s="110"/>
      <c r="AJ547" s="110"/>
      <c r="AK547" s="68"/>
      <c r="AL547" s="68"/>
      <c r="AM547" s="110"/>
      <c r="AN547" s="110"/>
      <c r="AO547" s="68"/>
      <c r="AP547" s="68"/>
      <c r="AQ547" s="40"/>
      <c r="AR547" s="40"/>
      <c r="AS547" s="23"/>
    </row>
    <row r="548" spans="1:45" ht="15.75" x14ac:dyDescent="0.25">
      <c r="A548" s="44"/>
      <c r="B548" s="23"/>
      <c r="C548" s="23"/>
      <c r="D548" s="23"/>
      <c r="E548" s="68"/>
      <c r="F548" s="68"/>
      <c r="G548" s="110"/>
      <c r="H548" s="110"/>
      <c r="I548" s="68"/>
      <c r="J548" s="68"/>
      <c r="K548" s="110"/>
      <c r="L548" s="110"/>
      <c r="M548" s="68"/>
      <c r="N548" s="68"/>
      <c r="O548" s="110"/>
      <c r="P548" s="110"/>
      <c r="Q548" s="68"/>
      <c r="R548" s="68"/>
      <c r="S548" s="110"/>
      <c r="T548" s="110"/>
      <c r="U548" s="68"/>
      <c r="V548" s="68"/>
      <c r="W548" s="110"/>
      <c r="X548" s="110"/>
      <c r="Y548" s="110"/>
      <c r="Z548" s="110"/>
      <c r="AA548" s="110"/>
      <c r="AB548" s="110"/>
      <c r="AC548" s="114"/>
      <c r="AD548" s="68"/>
      <c r="AE548" s="110"/>
      <c r="AF548" s="110"/>
      <c r="AG548" s="68"/>
      <c r="AH548" s="68"/>
      <c r="AI548" s="110"/>
      <c r="AJ548" s="110"/>
      <c r="AK548" s="68"/>
      <c r="AL548" s="68"/>
      <c r="AM548" s="110"/>
      <c r="AN548" s="110"/>
      <c r="AO548" s="68"/>
      <c r="AP548" s="68"/>
      <c r="AQ548" s="40"/>
      <c r="AR548" s="40"/>
      <c r="AS548" s="23"/>
    </row>
    <row r="549" spans="1:45" ht="15.75" x14ac:dyDescent="0.25">
      <c r="A549" s="44"/>
      <c r="B549" s="23"/>
      <c r="C549" s="23"/>
      <c r="D549" s="23"/>
      <c r="E549" s="68"/>
      <c r="F549" s="68"/>
      <c r="G549" s="110"/>
      <c r="H549" s="110"/>
      <c r="I549" s="68"/>
      <c r="J549" s="68"/>
      <c r="K549" s="110"/>
      <c r="L549" s="110"/>
      <c r="M549" s="68"/>
      <c r="N549" s="68"/>
      <c r="O549" s="110"/>
      <c r="P549" s="110"/>
      <c r="Q549" s="68"/>
      <c r="R549" s="68"/>
      <c r="S549" s="110"/>
      <c r="T549" s="110"/>
      <c r="U549" s="68"/>
      <c r="V549" s="68"/>
      <c r="W549" s="110"/>
      <c r="X549" s="110"/>
      <c r="Y549" s="110"/>
      <c r="Z549" s="110"/>
      <c r="AA549" s="110"/>
      <c r="AB549" s="110"/>
      <c r="AC549" s="114"/>
      <c r="AD549" s="68"/>
      <c r="AE549" s="110"/>
      <c r="AF549" s="110"/>
      <c r="AG549" s="68"/>
      <c r="AH549" s="68"/>
      <c r="AI549" s="110"/>
      <c r="AJ549" s="110"/>
      <c r="AK549" s="68"/>
      <c r="AL549" s="68"/>
      <c r="AM549" s="110"/>
      <c r="AN549" s="110"/>
      <c r="AO549" s="68"/>
      <c r="AP549" s="68"/>
      <c r="AQ549" s="40"/>
      <c r="AR549" s="40"/>
      <c r="AS549" s="23"/>
    </row>
    <row r="550" spans="1:45" ht="15.75" x14ac:dyDescent="0.25">
      <c r="A550" s="44"/>
      <c r="B550" s="23"/>
      <c r="C550" s="23"/>
      <c r="D550" s="23"/>
      <c r="E550" s="68"/>
      <c r="F550" s="68"/>
      <c r="G550" s="110"/>
      <c r="H550" s="110"/>
      <c r="I550" s="68"/>
      <c r="J550" s="68"/>
      <c r="K550" s="110"/>
      <c r="L550" s="110"/>
      <c r="M550" s="68"/>
      <c r="N550" s="68"/>
      <c r="O550" s="110"/>
      <c r="P550" s="110"/>
      <c r="Q550" s="68"/>
      <c r="R550" s="68"/>
      <c r="S550" s="110"/>
      <c r="T550" s="110"/>
      <c r="U550" s="68"/>
      <c r="V550" s="68"/>
      <c r="W550" s="110"/>
      <c r="X550" s="110"/>
      <c r="Y550" s="110"/>
      <c r="Z550" s="110"/>
      <c r="AA550" s="110"/>
      <c r="AB550" s="110"/>
      <c r="AC550" s="114"/>
      <c r="AD550" s="68"/>
      <c r="AE550" s="110"/>
      <c r="AF550" s="110"/>
      <c r="AG550" s="68"/>
      <c r="AH550" s="68"/>
      <c r="AI550" s="110"/>
      <c r="AJ550" s="110"/>
      <c r="AK550" s="68"/>
      <c r="AL550" s="68"/>
      <c r="AM550" s="110"/>
      <c r="AN550" s="110"/>
      <c r="AO550" s="68"/>
      <c r="AP550" s="68"/>
      <c r="AQ550" s="40"/>
      <c r="AR550" s="40"/>
      <c r="AS550" s="23"/>
    </row>
    <row r="551" spans="1:45" ht="15.75" x14ac:dyDescent="0.25">
      <c r="A551" s="44"/>
      <c r="B551" s="23"/>
      <c r="C551" s="23"/>
      <c r="D551" s="23"/>
      <c r="E551" s="68"/>
      <c r="F551" s="68"/>
      <c r="G551" s="110"/>
      <c r="H551" s="110"/>
      <c r="I551" s="68"/>
      <c r="J551" s="68"/>
      <c r="K551" s="110"/>
      <c r="L551" s="110"/>
      <c r="M551" s="68"/>
      <c r="N551" s="68"/>
      <c r="O551" s="110"/>
      <c r="P551" s="110"/>
      <c r="Q551" s="68"/>
      <c r="R551" s="68"/>
      <c r="S551" s="110"/>
      <c r="T551" s="110"/>
      <c r="U551" s="68"/>
      <c r="V551" s="68"/>
      <c r="W551" s="110"/>
      <c r="X551" s="110"/>
      <c r="Y551" s="110"/>
      <c r="Z551" s="110"/>
      <c r="AA551" s="110"/>
      <c r="AB551" s="110"/>
      <c r="AC551" s="114"/>
      <c r="AD551" s="68"/>
      <c r="AE551" s="110"/>
      <c r="AF551" s="110"/>
      <c r="AG551" s="68"/>
      <c r="AH551" s="68"/>
      <c r="AI551" s="110"/>
      <c r="AJ551" s="110"/>
      <c r="AK551" s="68"/>
      <c r="AL551" s="68"/>
      <c r="AM551" s="110"/>
      <c r="AN551" s="110"/>
      <c r="AO551" s="68"/>
      <c r="AP551" s="68"/>
      <c r="AQ551" s="40"/>
      <c r="AR551" s="40"/>
      <c r="AS551" s="23"/>
    </row>
    <row r="552" spans="1:45" ht="15.75" x14ac:dyDescent="0.25">
      <c r="A552" s="44"/>
      <c r="B552" s="23"/>
      <c r="C552" s="23"/>
      <c r="D552" s="23"/>
      <c r="E552" s="68"/>
      <c r="F552" s="68"/>
      <c r="G552" s="110"/>
      <c r="H552" s="110"/>
      <c r="I552" s="68"/>
      <c r="J552" s="68"/>
      <c r="K552" s="110"/>
      <c r="L552" s="110"/>
      <c r="M552" s="68"/>
      <c r="N552" s="68"/>
      <c r="O552" s="110"/>
      <c r="P552" s="110"/>
      <c r="Q552" s="68"/>
      <c r="R552" s="68"/>
      <c r="S552" s="110"/>
      <c r="T552" s="110"/>
      <c r="U552" s="68"/>
      <c r="V552" s="68"/>
      <c r="W552" s="110"/>
      <c r="X552" s="110"/>
      <c r="Y552" s="110"/>
      <c r="Z552" s="110"/>
      <c r="AA552" s="110"/>
      <c r="AB552" s="110"/>
      <c r="AC552" s="114"/>
      <c r="AD552" s="68"/>
      <c r="AE552" s="110"/>
      <c r="AF552" s="110"/>
      <c r="AG552" s="68"/>
      <c r="AH552" s="68"/>
      <c r="AI552" s="110"/>
      <c r="AJ552" s="110"/>
      <c r="AK552" s="68"/>
      <c r="AL552" s="68"/>
      <c r="AM552" s="110"/>
      <c r="AN552" s="110"/>
      <c r="AO552" s="68"/>
      <c r="AP552" s="68"/>
      <c r="AQ552" s="40"/>
      <c r="AR552" s="40"/>
      <c r="AS552" s="23"/>
    </row>
    <row r="553" spans="1:45" ht="15.75" x14ac:dyDescent="0.25">
      <c r="A553" s="44"/>
      <c r="B553" s="23"/>
      <c r="C553" s="23"/>
      <c r="D553" s="23"/>
      <c r="E553" s="68"/>
      <c r="F553" s="68"/>
      <c r="G553" s="110"/>
      <c r="H553" s="110"/>
      <c r="I553" s="68"/>
      <c r="J553" s="68"/>
      <c r="K553" s="110"/>
      <c r="L553" s="110"/>
      <c r="M553" s="68"/>
      <c r="N553" s="68"/>
      <c r="O553" s="110"/>
      <c r="P553" s="110"/>
      <c r="Q553" s="68"/>
      <c r="R553" s="68"/>
      <c r="S553" s="110"/>
      <c r="T553" s="110"/>
      <c r="U553" s="68"/>
      <c r="V553" s="68"/>
      <c r="W553" s="110"/>
      <c r="X553" s="110"/>
      <c r="Y553" s="110"/>
      <c r="Z553" s="110"/>
      <c r="AA553" s="110"/>
      <c r="AB553" s="110"/>
      <c r="AC553" s="114"/>
      <c r="AD553" s="68"/>
      <c r="AE553" s="110"/>
      <c r="AF553" s="110"/>
      <c r="AG553" s="68"/>
      <c r="AH553" s="68"/>
      <c r="AI553" s="110"/>
      <c r="AJ553" s="110"/>
      <c r="AK553" s="68"/>
      <c r="AL553" s="68"/>
      <c r="AM553" s="110"/>
      <c r="AN553" s="110"/>
      <c r="AO553" s="68"/>
      <c r="AP553" s="68"/>
      <c r="AQ553" s="40"/>
      <c r="AR553" s="40"/>
      <c r="AS553" s="23"/>
    </row>
    <row r="554" spans="1:45" ht="15.75" x14ac:dyDescent="0.25">
      <c r="A554" s="44"/>
      <c r="B554" s="23"/>
      <c r="C554" s="23"/>
      <c r="D554" s="23"/>
      <c r="E554" s="68"/>
      <c r="F554" s="68"/>
      <c r="G554" s="110"/>
      <c r="H554" s="110"/>
      <c r="I554" s="68"/>
      <c r="J554" s="68"/>
      <c r="K554" s="110"/>
      <c r="L554" s="110"/>
      <c r="M554" s="68"/>
      <c r="N554" s="68"/>
      <c r="O554" s="110"/>
      <c r="P554" s="110"/>
      <c r="Q554" s="68"/>
      <c r="R554" s="68"/>
      <c r="S554" s="110"/>
      <c r="T554" s="110"/>
      <c r="U554" s="68"/>
      <c r="V554" s="68"/>
      <c r="W554" s="110"/>
      <c r="X554" s="110"/>
      <c r="Y554" s="110"/>
      <c r="Z554" s="110"/>
      <c r="AA554" s="110"/>
      <c r="AB554" s="110"/>
      <c r="AC554" s="114"/>
      <c r="AD554" s="68"/>
      <c r="AE554" s="110"/>
      <c r="AF554" s="110"/>
      <c r="AG554" s="68"/>
      <c r="AH554" s="68"/>
      <c r="AI554" s="110"/>
      <c r="AJ554" s="110"/>
      <c r="AK554" s="68"/>
      <c r="AL554" s="68"/>
      <c r="AM554" s="110"/>
      <c r="AN554" s="110"/>
      <c r="AO554" s="68"/>
      <c r="AP554" s="68"/>
      <c r="AQ554" s="40"/>
      <c r="AR554" s="40"/>
      <c r="AS554" s="23"/>
    </row>
    <row r="555" spans="1:45" ht="15.75" x14ac:dyDescent="0.25">
      <c r="A555" s="44"/>
      <c r="B555" s="23"/>
      <c r="C555" s="23"/>
      <c r="D555" s="23"/>
      <c r="E555" s="68"/>
      <c r="F555" s="68"/>
      <c r="G555" s="110"/>
      <c r="H555" s="110"/>
      <c r="I555" s="68"/>
      <c r="J555" s="68"/>
      <c r="K555" s="110"/>
      <c r="L555" s="110"/>
      <c r="M555" s="68"/>
      <c r="N555" s="68"/>
      <c r="O555" s="110"/>
      <c r="P555" s="110"/>
      <c r="Q555" s="68"/>
      <c r="R555" s="68"/>
      <c r="S555" s="110"/>
      <c r="T555" s="110"/>
      <c r="U555" s="68"/>
      <c r="V555" s="68"/>
      <c r="W555" s="110"/>
      <c r="X555" s="110"/>
      <c r="Y555" s="110"/>
      <c r="Z555" s="110"/>
      <c r="AA555" s="110"/>
      <c r="AB555" s="110"/>
      <c r="AC555" s="114"/>
      <c r="AD555" s="68"/>
      <c r="AE555" s="110"/>
      <c r="AF555" s="110"/>
      <c r="AG555" s="68"/>
      <c r="AH555" s="68"/>
      <c r="AI555" s="110"/>
      <c r="AJ555" s="110"/>
      <c r="AK555" s="68"/>
      <c r="AL555" s="68"/>
      <c r="AM555" s="110"/>
      <c r="AN555" s="110"/>
      <c r="AO555" s="68"/>
      <c r="AP555" s="68"/>
      <c r="AQ555" s="40"/>
      <c r="AR555" s="40"/>
      <c r="AS555" s="23"/>
    </row>
    <row r="556" spans="1:45" ht="15.75" x14ac:dyDescent="0.25">
      <c r="A556" s="44"/>
      <c r="B556" s="23"/>
      <c r="C556" s="23"/>
      <c r="D556" s="23"/>
      <c r="E556" s="68"/>
      <c r="F556" s="68"/>
      <c r="G556" s="110"/>
      <c r="H556" s="110"/>
      <c r="I556" s="68"/>
      <c r="J556" s="68"/>
      <c r="K556" s="110"/>
      <c r="L556" s="110"/>
      <c r="M556" s="68"/>
      <c r="N556" s="68"/>
      <c r="O556" s="110"/>
      <c r="P556" s="110"/>
      <c r="Q556" s="68"/>
      <c r="R556" s="68"/>
      <c r="S556" s="110"/>
      <c r="T556" s="110"/>
      <c r="U556" s="68"/>
      <c r="V556" s="68"/>
      <c r="W556" s="110"/>
      <c r="X556" s="110"/>
      <c r="Y556" s="110"/>
      <c r="Z556" s="110"/>
      <c r="AA556" s="110"/>
      <c r="AB556" s="110"/>
      <c r="AC556" s="114"/>
      <c r="AD556" s="68"/>
      <c r="AE556" s="110"/>
      <c r="AF556" s="110"/>
      <c r="AG556" s="68"/>
      <c r="AH556" s="68"/>
      <c r="AI556" s="110"/>
      <c r="AJ556" s="110"/>
      <c r="AK556" s="68"/>
      <c r="AL556" s="68"/>
      <c r="AM556" s="110"/>
      <c r="AN556" s="110"/>
      <c r="AO556" s="68"/>
      <c r="AP556" s="68"/>
      <c r="AQ556" s="40"/>
      <c r="AR556" s="40"/>
      <c r="AS556" s="23"/>
    </row>
    <row r="557" spans="1:45" ht="15.75" x14ac:dyDescent="0.25">
      <c r="A557" s="44"/>
      <c r="B557" s="23"/>
      <c r="C557" s="23"/>
      <c r="D557" s="23"/>
      <c r="E557" s="68"/>
      <c r="F557" s="68"/>
      <c r="G557" s="110"/>
      <c r="H557" s="110"/>
      <c r="I557" s="68"/>
      <c r="J557" s="68"/>
      <c r="K557" s="110"/>
      <c r="L557" s="110"/>
      <c r="M557" s="68"/>
      <c r="N557" s="68"/>
      <c r="O557" s="110"/>
      <c r="P557" s="110"/>
      <c r="Q557" s="68"/>
      <c r="R557" s="68"/>
      <c r="S557" s="110"/>
      <c r="T557" s="110"/>
      <c r="U557" s="68"/>
      <c r="V557" s="68"/>
      <c r="W557" s="110"/>
      <c r="X557" s="110"/>
      <c r="Y557" s="110"/>
      <c r="Z557" s="110"/>
      <c r="AA557" s="110"/>
      <c r="AB557" s="110"/>
      <c r="AC557" s="114"/>
      <c r="AD557" s="68"/>
      <c r="AE557" s="110"/>
      <c r="AF557" s="110"/>
      <c r="AG557" s="68"/>
      <c r="AH557" s="68"/>
      <c r="AI557" s="110"/>
      <c r="AJ557" s="110"/>
      <c r="AK557" s="68"/>
      <c r="AL557" s="68"/>
      <c r="AM557" s="110"/>
      <c r="AN557" s="110"/>
      <c r="AO557" s="68"/>
      <c r="AP557" s="68"/>
      <c r="AQ557" s="40"/>
      <c r="AR557" s="40"/>
      <c r="AS557" s="23"/>
    </row>
    <row r="558" spans="1:45" ht="15.75" x14ac:dyDescent="0.25">
      <c r="A558" s="44"/>
      <c r="B558" s="23"/>
      <c r="C558" s="23"/>
      <c r="D558" s="23"/>
      <c r="E558" s="68"/>
      <c r="F558" s="68"/>
      <c r="G558" s="110"/>
      <c r="H558" s="110"/>
      <c r="I558" s="68"/>
      <c r="J558" s="68"/>
      <c r="K558" s="110"/>
      <c r="L558" s="110"/>
      <c r="M558" s="68"/>
      <c r="N558" s="68"/>
      <c r="O558" s="110"/>
      <c r="P558" s="110"/>
      <c r="Q558" s="68"/>
      <c r="R558" s="68"/>
      <c r="S558" s="110"/>
      <c r="T558" s="110"/>
      <c r="U558" s="68"/>
      <c r="V558" s="68"/>
      <c r="W558" s="110"/>
      <c r="X558" s="110"/>
      <c r="Y558" s="110"/>
      <c r="Z558" s="110"/>
      <c r="AA558" s="110"/>
      <c r="AB558" s="110"/>
      <c r="AC558" s="114"/>
      <c r="AD558" s="68"/>
      <c r="AE558" s="110"/>
      <c r="AF558" s="110"/>
      <c r="AG558" s="68"/>
      <c r="AH558" s="68"/>
      <c r="AI558" s="110"/>
      <c r="AJ558" s="110"/>
      <c r="AK558" s="68"/>
      <c r="AL558" s="68"/>
      <c r="AM558" s="110"/>
      <c r="AN558" s="110"/>
      <c r="AO558" s="68"/>
      <c r="AP558" s="68"/>
      <c r="AQ558" s="40"/>
      <c r="AR558" s="40"/>
      <c r="AS558" s="23"/>
    </row>
    <row r="559" spans="1:45" ht="15.75" x14ac:dyDescent="0.25">
      <c r="A559" s="44"/>
      <c r="B559" s="23"/>
      <c r="C559" s="23"/>
      <c r="D559" s="23"/>
      <c r="E559" s="68"/>
      <c r="F559" s="68"/>
      <c r="G559" s="110"/>
      <c r="H559" s="110"/>
      <c r="I559" s="68"/>
      <c r="J559" s="68"/>
      <c r="K559" s="110"/>
      <c r="L559" s="110"/>
      <c r="M559" s="68"/>
      <c r="N559" s="68"/>
      <c r="O559" s="110"/>
      <c r="P559" s="110"/>
      <c r="Q559" s="68"/>
      <c r="R559" s="68"/>
      <c r="S559" s="110"/>
      <c r="T559" s="110"/>
      <c r="U559" s="68"/>
      <c r="V559" s="68"/>
      <c r="W559" s="110"/>
      <c r="X559" s="110"/>
      <c r="Y559" s="110"/>
      <c r="Z559" s="110"/>
      <c r="AA559" s="110"/>
      <c r="AB559" s="110"/>
      <c r="AC559" s="114"/>
      <c r="AD559" s="68"/>
      <c r="AE559" s="110"/>
      <c r="AF559" s="110"/>
      <c r="AG559" s="68"/>
      <c r="AH559" s="68"/>
      <c r="AI559" s="110"/>
      <c r="AJ559" s="110"/>
      <c r="AK559" s="68"/>
      <c r="AL559" s="68"/>
      <c r="AM559" s="110"/>
      <c r="AN559" s="110"/>
      <c r="AO559" s="68"/>
      <c r="AP559" s="68"/>
      <c r="AQ559" s="40"/>
      <c r="AR559" s="40"/>
      <c r="AS559" s="23"/>
    </row>
    <row r="560" spans="1:45" ht="15.75" x14ac:dyDescent="0.25">
      <c r="A560" s="44"/>
      <c r="B560" s="23"/>
      <c r="C560" s="23"/>
      <c r="D560" s="23"/>
      <c r="E560" s="68"/>
      <c r="F560" s="68"/>
      <c r="G560" s="110"/>
      <c r="H560" s="110"/>
      <c r="I560" s="68"/>
      <c r="J560" s="68"/>
      <c r="K560" s="110"/>
      <c r="L560" s="110"/>
      <c r="M560" s="68"/>
      <c r="N560" s="68"/>
      <c r="O560" s="110"/>
      <c r="P560" s="110"/>
      <c r="Q560" s="68"/>
      <c r="R560" s="68"/>
      <c r="S560" s="110"/>
      <c r="T560" s="110"/>
      <c r="U560" s="68"/>
      <c r="V560" s="68"/>
      <c r="W560" s="110"/>
      <c r="X560" s="110"/>
      <c r="Y560" s="110"/>
      <c r="Z560" s="110"/>
      <c r="AA560" s="110"/>
      <c r="AB560" s="110"/>
      <c r="AC560" s="114"/>
      <c r="AD560" s="68"/>
      <c r="AE560" s="110"/>
      <c r="AF560" s="110"/>
      <c r="AG560" s="68"/>
      <c r="AH560" s="68"/>
      <c r="AI560" s="110"/>
      <c r="AJ560" s="110"/>
      <c r="AK560" s="68"/>
      <c r="AL560" s="68"/>
      <c r="AM560" s="110"/>
      <c r="AN560" s="110"/>
      <c r="AO560" s="68"/>
      <c r="AP560" s="68"/>
      <c r="AQ560" s="40"/>
      <c r="AR560" s="40"/>
      <c r="AS560" s="23"/>
    </row>
    <row r="561" spans="1:45" ht="15.75" x14ac:dyDescent="0.25">
      <c r="A561" s="44"/>
      <c r="B561" s="23"/>
      <c r="C561" s="23"/>
      <c r="D561" s="23"/>
      <c r="E561" s="68"/>
      <c r="F561" s="68"/>
      <c r="G561" s="110"/>
      <c r="H561" s="110"/>
      <c r="I561" s="68"/>
      <c r="J561" s="68"/>
      <c r="K561" s="110"/>
      <c r="L561" s="110"/>
      <c r="M561" s="68"/>
      <c r="N561" s="68"/>
      <c r="O561" s="110"/>
      <c r="P561" s="110"/>
      <c r="Q561" s="68"/>
      <c r="R561" s="68"/>
      <c r="S561" s="110"/>
      <c r="T561" s="110"/>
      <c r="U561" s="68"/>
      <c r="V561" s="68"/>
      <c r="W561" s="110"/>
      <c r="X561" s="110"/>
      <c r="Y561" s="110"/>
      <c r="Z561" s="110"/>
      <c r="AA561" s="110"/>
      <c r="AB561" s="110"/>
      <c r="AC561" s="114"/>
      <c r="AD561" s="68"/>
      <c r="AE561" s="110"/>
      <c r="AF561" s="110"/>
      <c r="AG561" s="68"/>
      <c r="AH561" s="68"/>
      <c r="AI561" s="110"/>
      <c r="AJ561" s="110"/>
      <c r="AK561" s="68"/>
      <c r="AL561" s="68"/>
      <c r="AM561" s="110"/>
      <c r="AN561" s="110"/>
      <c r="AO561" s="68"/>
      <c r="AP561" s="68"/>
      <c r="AQ561" s="40"/>
      <c r="AR561" s="40"/>
      <c r="AS561" s="23"/>
    </row>
    <row r="562" spans="1:45" ht="15.75" x14ac:dyDescent="0.25">
      <c r="A562" s="44"/>
      <c r="B562" s="23"/>
      <c r="C562" s="23"/>
      <c r="D562" s="23"/>
      <c r="E562" s="68"/>
      <c r="F562" s="68"/>
      <c r="G562" s="110"/>
      <c r="H562" s="110"/>
      <c r="I562" s="68"/>
      <c r="J562" s="68"/>
      <c r="K562" s="110"/>
      <c r="L562" s="110"/>
      <c r="M562" s="68"/>
      <c r="N562" s="68"/>
      <c r="O562" s="110"/>
      <c r="P562" s="110"/>
      <c r="Q562" s="68"/>
      <c r="R562" s="68"/>
      <c r="S562" s="110"/>
      <c r="T562" s="110"/>
      <c r="U562" s="68"/>
      <c r="V562" s="68"/>
      <c r="W562" s="110"/>
      <c r="X562" s="110"/>
      <c r="Y562" s="110"/>
      <c r="Z562" s="110"/>
      <c r="AA562" s="110"/>
      <c r="AB562" s="110"/>
      <c r="AC562" s="114"/>
      <c r="AD562" s="68"/>
      <c r="AE562" s="110"/>
      <c r="AF562" s="110"/>
      <c r="AG562" s="68"/>
      <c r="AH562" s="68"/>
      <c r="AI562" s="110"/>
      <c r="AJ562" s="110"/>
      <c r="AK562" s="68"/>
      <c r="AL562" s="68"/>
      <c r="AM562" s="110"/>
      <c r="AN562" s="110"/>
      <c r="AO562" s="68"/>
      <c r="AP562" s="68"/>
      <c r="AQ562" s="40"/>
      <c r="AR562" s="40"/>
      <c r="AS562" s="23"/>
    </row>
    <row r="563" spans="1:45" ht="15.75" x14ac:dyDescent="0.25">
      <c r="A563" s="44"/>
      <c r="B563" s="23"/>
      <c r="C563" s="23"/>
      <c r="D563" s="23"/>
      <c r="E563" s="68"/>
      <c r="F563" s="68"/>
      <c r="G563" s="110"/>
      <c r="H563" s="110"/>
      <c r="I563" s="68"/>
      <c r="J563" s="68"/>
      <c r="K563" s="110"/>
      <c r="L563" s="110"/>
      <c r="M563" s="68"/>
      <c r="N563" s="68"/>
      <c r="O563" s="110"/>
      <c r="P563" s="110"/>
      <c r="Q563" s="68"/>
      <c r="R563" s="68"/>
      <c r="S563" s="110"/>
      <c r="T563" s="110"/>
      <c r="U563" s="68"/>
      <c r="V563" s="68"/>
      <c r="W563" s="110"/>
      <c r="X563" s="110"/>
      <c r="Y563" s="110"/>
      <c r="Z563" s="110"/>
      <c r="AA563" s="110"/>
      <c r="AB563" s="110"/>
      <c r="AC563" s="114"/>
      <c r="AD563" s="68"/>
      <c r="AE563" s="110"/>
      <c r="AF563" s="110"/>
      <c r="AG563" s="68"/>
      <c r="AH563" s="68"/>
      <c r="AI563" s="110"/>
      <c r="AJ563" s="110"/>
      <c r="AK563" s="68"/>
      <c r="AL563" s="68"/>
      <c r="AM563" s="110"/>
      <c r="AN563" s="110"/>
      <c r="AO563" s="68"/>
      <c r="AP563" s="68"/>
      <c r="AQ563" s="40"/>
      <c r="AR563" s="40"/>
      <c r="AS563" s="23"/>
    </row>
    <row r="564" spans="1:45" ht="15.75" x14ac:dyDescent="0.25">
      <c r="A564" s="44"/>
      <c r="B564" s="23"/>
      <c r="C564" s="23"/>
      <c r="D564" s="23"/>
      <c r="E564" s="68"/>
      <c r="F564" s="68"/>
      <c r="G564" s="110"/>
      <c r="H564" s="110"/>
      <c r="I564" s="68"/>
      <c r="J564" s="68"/>
      <c r="K564" s="110"/>
      <c r="L564" s="110"/>
      <c r="M564" s="68"/>
      <c r="N564" s="68"/>
      <c r="O564" s="110"/>
      <c r="P564" s="110"/>
      <c r="Q564" s="68"/>
      <c r="R564" s="68"/>
      <c r="S564" s="110"/>
      <c r="T564" s="110"/>
      <c r="U564" s="68"/>
      <c r="V564" s="68"/>
      <c r="W564" s="110"/>
      <c r="X564" s="110"/>
      <c r="Y564" s="110"/>
      <c r="Z564" s="110"/>
      <c r="AA564" s="110"/>
      <c r="AB564" s="110"/>
      <c r="AC564" s="114"/>
      <c r="AD564" s="68"/>
      <c r="AE564" s="110"/>
      <c r="AF564" s="110"/>
      <c r="AG564" s="68"/>
      <c r="AH564" s="68"/>
      <c r="AI564" s="110"/>
      <c r="AJ564" s="110"/>
      <c r="AK564" s="68"/>
      <c r="AL564" s="68"/>
      <c r="AM564" s="110"/>
      <c r="AN564" s="110"/>
      <c r="AO564" s="68"/>
      <c r="AP564" s="68"/>
      <c r="AQ564" s="40"/>
      <c r="AR564" s="40"/>
      <c r="AS564" s="23"/>
    </row>
    <row r="565" spans="1:45" ht="15.75" x14ac:dyDescent="0.25">
      <c r="A565" s="44"/>
      <c r="B565" s="23"/>
      <c r="C565" s="23"/>
      <c r="D565" s="23"/>
      <c r="E565" s="68"/>
      <c r="F565" s="68"/>
      <c r="G565" s="110"/>
      <c r="H565" s="110"/>
      <c r="I565" s="68"/>
      <c r="J565" s="68"/>
      <c r="K565" s="110"/>
      <c r="L565" s="110"/>
      <c r="M565" s="68"/>
      <c r="N565" s="68"/>
      <c r="O565" s="110"/>
      <c r="P565" s="110"/>
      <c r="Q565" s="68"/>
      <c r="R565" s="68"/>
      <c r="S565" s="110"/>
      <c r="T565" s="110"/>
      <c r="U565" s="68"/>
      <c r="V565" s="68"/>
      <c r="W565" s="110"/>
      <c r="X565" s="110"/>
      <c r="Y565" s="110"/>
      <c r="Z565" s="110"/>
      <c r="AA565" s="110"/>
      <c r="AB565" s="110"/>
      <c r="AC565" s="114"/>
      <c r="AD565" s="68"/>
      <c r="AE565" s="110"/>
      <c r="AF565" s="110"/>
      <c r="AG565" s="68"/>
      <c r="AH565" s="68"/>
      <c r="AI565" s="110"/>
      <c r="AJ565" s="110"/>
      <c r="AK565" s="68"/>
      <c r="AL565" s="68"/>
      <c r="AM565" s="110"/>
      <c r="AN565" s="110"/>
      <c r="AO565" s="68"/>
      <c r="AP565" s="68"/>
      <c r="AQ565" s="40"/>
      <c r="AR565" s="40"/>
      <c r="AS565" s="23"/>
    </row>
    <row r="566" spans="1:45" ht="15.75" x14ac:dyDescent="0.25">
      <c r="A566" s="44"/>
      <c r="B566" s="23"/>
      <c r="C566" s="23"/>
      <c r="D566" s="23"/>
      <c r="E566" s="68"/>
      <c r="F566" s="68"/>
      <c r="G566" s="110"/>
      <c r="H566" s="110"/>
      <c r="I566" s="68"/>
      <c r="J566" s="68"/>
      <c r="K566" s="110"/>
      <c r="L566" s="110"/>
      <c r="M566" s="68"/>
      <c r="N566" s="68"/>
      <c r="O566" s="110"/>
      <c r="P566" s="110"/>
      <c r="Q566" s="68"/>
      <c r="R566" s="68"/>
      <c r="S566" s="110"/>
      <c r="T566" s="110"/>
      <c r="U566" s="68"/>
      <c r="V566" s="68"/>
      <c r="W566" s="110"/>
      <c r="X566" s="110"/>
      <c r="Y566" s="110"/>
      <c r="Z566" s="110"/>
      <c r="AA566" s="110"/>
      <c r="AB566" s="110"/>
      <c r="AC566" s="114"/>
      <c r="AD566" s="68"/>
      <c r="AE566" s="110"/>
      <c r="AF566" s="110"/>
      <c r="AG566" s="68"/>
      <c r="AH566" s="68"/>
      <c r="AI566" s="110"/>
      <c r="AJ566" s="110"/>
      <c r="AK566" s="68"/>
      <c r="AL566" s="68"/>
      <c r="AM566" s="110"/>
      <c r="AN566" s="110"/>
      <c r="AO566" s="68"/>
      <c r="AP566" s="68"/>
      <c r="AQ566" s="40"/>
      <c r="AR566" s="40"/>
      <c r="AS566" s="23"/>
    </row>
    <row r="567" spans="1:45" ht="15.75" x14ac:dyDescent="0.25">
      <c r="A567" s="44"/>
      <c r="B567" s="23"/>
      <c r="C567" s="23"/>
      <c r="D567" s="23"/>
      <c r="E567" s="68"/>
      <c r="F567" s="68"/>
      <c r="G567" s="110"/>
      <c r="H567" s="110"/>
      <c r="I567" s="68"/>
      <c r="J567" s="68"/>
      <c r="K567" s="110"/>
      <c r="L567" s="110"/>
      <c r="M567" s="68"/>
      <c r="N567" s="68"/>
      <c r="O567" s="110"/>
      <c r="P567" s="110"/>
      <c r="Q567" s="68"/>
      <c r="R567" s="68"/>
      <c r="S567" s="110"/>
      <c r="T567" s="110"/>
      <c r="U567" s="68"/>
      <c r="V567" s="68"/>
      <c r="W567" s="110"/>
      <c r="X567" s="110"/>
      <c r="Y567" s="110"/>
      <c r="Z567" s="110"/>
      <c r="AA567" s="110"/>
      <c r="AB567" s="110"/>
      <c r="AC567" s="114"/>
      <c r="AD567" s="68"/>
      <c r="AE567" s="110"/>
      <c r="AF567" s="110"/>
      <c r="AG567" s="68"/>
      <c r="AH567" s="68"/>
      <c r="AI567" s="110"/>
      <c r="AJ567" s="110"/>
      <c r="AK567" s="68"/>
      <c r="AL567" s="68"/>
      <c r="AM567" s="110"/>
      <c r="AN567" s="110"/>
      <c r="AO567" s="68"/>
      <c r="AP567" s="68"/>
      <c r="AQ567" s="40"/>
      <c r="AR567" s="40"/>
      <c r="AS567" s="23"/>
    </row>
    <row r="568" spans="1:45" ht="15.75" x14ac:dyDescent="0.25">
      <c r="A568" s="44"/>
      <c r="B568" s="23"/>
      <c r="C568" s="23"/>
      <c r="D568" s="23"/>
      <c r="E568" s="68"/>
      <c r="F568" s="68"/>
      <c r="G568" s="110"/>
      <c r="H568" s="110"/>
      <c r="I568" s="68"/>
      <c r="J568" s="68"/>
      <c r="K568" s="110"/>
      <c r="L568" s="110"/>
      <c r="M568" s="68"/>
      <c r="N568" s="68"/>
      <c r="O568" s="110"/>
      <c r="P568" s="110"/>
      <c r="Q568" s="68"/>
      <c r="R568" s="68"/>
      <c r="S568" s="110"/>
      <c r="T568" s="110"/>
      <c r="U568" s="68"/>
      <c r="V568" s="68"/>
      <c r="W568" s="110"/>
      <c r="X568" s="110"/>
      <c r="Y568" s="110"/>
      <c r="Z568" s="110"/>
      <c r="AA568" s="110"/>
      <c r="AB568" s="110"/>
      <c r="AC568" s="114"/>
      <c r="AD568" s="68"/>
      <c r="AE568" s="110"/>
      <c r="AF568" s="110"/>
      <c r="AG568" s="68"/>
      <c r="AH568" s="68"/>
      <c r="AI568" s="110"/>
      <c r="AJ568" s="110"/>
      <c r="AK568" s="68"/>
      <c r="AL568" s="68"/>
      <c r="AM568" s="110"/>
      <c r="AN568" s="110"/>
      <c r="AO568" s="68"/>
      <c r="AP568" s="68"/>
      <c r="AQ568" s="40"/>
      <c r="AR568" s="40"/>
      <c r="AS568" s="23"/>
    </row>
    <row r="569" spans="1:45" ht="15.75" x14ac:dyDescent="0.25">
      <c r="A569" s="44"/>
      <c r="B569" s="23"/>
      <c r="C569" s="23"/>
      <c r="D569" s="23"/>
      <c r="E569" s="68"/>
      <c r="F569" s="68"/>
      <c r="G569" s="110"/>
      <c r="H569" s="110"/>
      <c r="I569" s="68"/>
      <c r="J569" s="68"/>
      <c r="K569" s="110"/>
      <c r="L569" s="110"/>
      <c r="M569" s="68"/>
      <c r="N569" s="68"/>
      <c r="O569" s="110"/>
      <c r="P569" s="110"/>
      <c r="Q569" s="68"/>
      <c r="R569" s="68"/>
      <c r="S569" s="110"/>
      <c r="T569" s="110"/>
      <c r="U569" s="68"/>
      <c r="V569" s="68"/>
      <c r="W569" s="110"/>
      <c r="X569" s="110"/>
      <c r="Y569" s="110"/>
      <c r="Z569" s="110"/>
      <c r="AA569" s="110"/>
      <c r="AB569" s="110"/>
      <c r="AC569" s="114"/>
      <c r="AD569" s="68"/>
      <c r="AE569" s="110"/>
      <c r="AF569" s="110"/>
      <c r="AG569" s="68"/>
      <c r="AH569" s="68"/>
      <c r="AI569" s="110"/>
      <c r="AJ569" s="110"/>
      <c r="AK569" s="68"/>
      <c r="AL569" s="68"/>
      <c r="AM569" s="110"/>
      <c r="AN569" s="110"/>
      <c r="AO569" s="68"/>
      <c r="AP569" s="68"/>
      <c r="AQ569" s="40"/>
      <c r="AR569" s="40"/>
      <c r="AS569" s="23"/>
    </row>
    <row r="570" spans="1:45" ht="15.75" x14ac:dyDescent="0.25">
      <c r="A570" s="44"/>
      <c r="B570" s="23"/>
      <c r="C570" s="23"/>
      <c r="D570" s="23"/>
      <c r="E570" s="68"/>
      <c r="F570" s="68"/>
      <c r="G570" s="110"/>
      <c r="H570" s="110"/>
      <c r="I570" s="68"/>
      <c r="J570" s="68"/>
      <c r="K570" s="110"/>
      <c r="L570" s="110"/>
      <c r="M570" s="68"/>
      <c r="N570" s="68"/>
      <c r="O570" s="110"/>
      <c r="P570" s="110"/>
      <c r="Q570" s="68"/>
      <c r="R570" s="68"/>
      <c r="S570" s="110"/>
      <c r="T570" s="110"/>
      <c r="U570" s="68"/>
      <c r="V570" s="68"/>
      <c r="W570" s="110"/>
      <c r="X570" s="110"/>
      <c r="Y570" s="110"/>
      <c r="Z570" s="110"/>
      <c r="AA570" s="110"/>
      <c r="AB570" s="110"/>
      <c r="AC570" s="114"/>
      <c r="AD570" s="68"/>
      <c r="AE570" s="110"/>
      <c r="AF570" s="110"/>
      <c r="AG570" s="68"/>
      <c r="AH570" s="68"/>
      <c r="AI570" s="110"/>
      <c r="AJ570" s="110"/>
      <c r="AK570" s="68"/>
      <c r="AL570" s="68"/>
      <c r="AM570" s="110"/>
      <c r="AN570" s="110"/>
      <c r="AO570" s="68"/>
      <c r="AP570" s="68"/>
      <c r="AQ570" s="40"/>
      <c r="AR570" s="40"/>
      <c r="AS570" s="23"/>
    </row>
    <row r="571" spans="1:45" ht="15.75" x14ac:dyDescent="0.25">
      <c r="A571" s="44"/>
      <c r="B571" s="23"/>
      <c r="C571" s="23"/>
      <c r="D571" s="23"/>
      <c r="E571" s="68"/>
      <c r="F571" s="68"/>
      <c r="G571" s="110"/>
      <c r="H571" s="110"/>
      <c r="I571" s="68"/>
      <c r="J571" s="68"/>
      <c r="K571" s="110"/>
      <c r="L571" s="110"/>
      <c r="M571" s="68"/>
      <c r="N571" s="68"/>
      <c r="O571" s="110"/>
      <c r="P571" s="110"/>
      <c r="Q571" s="68"/>
      <c r="R571" s="68"/>
      <c r="S571" s="110"/>
      <c r="T571" s="110"/>
      <c r="U571" s="68"/>
      <c r="V571" s="68"/>
      <c r="W571" s="110"/>
      <c r="X571" s="110"/>
      <c r="Y571" s="110"/>
      <c r="Z571" s="110"/>
      <c r="AA571" s="110"/>
      <c r="AB571" s="110"/>
      <c r="AC571" s="114"/>
      <c r="AD571" s="68"/>
      <c r="AE571" s="110"/>
      <c r="AF571" s="110"/>
      <c r="AG571" s="68"/>
      <c r="AH571" s="68"/>
      <c r="AI571" s="110"/>
      <c r="AJ571" s="110"/>
      <c r="AK571" s="68"/>
      <c r="AL571" s="68"/>
      <c r="AM571" s="110"/>
      <c r="AN571" s="110"/>
      <c r="AO571" s="68"/>
      <c r="AP571" s="68"/>
      <c r="AQ571" s="40"/>
      <c r="AR571" s="40"/>
      <c r="AS571" s="23"/>
    </row>
    <row r="572" spans="1:45" ht="15.75" x14ac:dyDescent="0.25">
      <c r="A572" s="44"/>
      <c r="B572" s="23"/>
      <c r="C572" s="23"/>
      <c r="D572" s="23"/>
      <c r="E572" s="68"/>
      <c r="F572" s="68"/>
      <c r="G572" s="110"/>
      <c r="H572" s="110"/>
      <c r="I572" s="68"/>
      <c r="J572" s="68"/>
      <c r="K572" s="110"/>
      <c r="L572" s="110"/>
      <c r="M572" s="68"/>
      <c r="N572" s="68"/>
      <c r="O572" s="110"/>
      <c r="P572" s="110"/>
      <c r="Q572" s="68"/>
      <c r="R572" s="68"/>
      <c r="S572" s="110"/>
      <c r="T572" s="110"/>
      <c r="U572" s="68"/>
      <c r="V572" s="68"/>
      <c r="W572" s="110"/>
      <c r="X572" s="110"/>
      <c r="Y572" s="110"/>
      <c r="Z572" s="110"/>
      <c r="AA572" s="110"/>
      <c r="AB572" s="110"/>
      <c r="AC572" s="114"/>
      <c r="AD572" s="68"/>
      <c r="AE572" s="110"/>
      <c r="AF572" s="110"/>
      <c r="AG572" s="68"/>
      <c r="AH572" s="68"/>
      <c r="AI572" s="110"/>
      <c r="AJ572" s="110"/>
      <c r="AK572" s="68"/>
      <c r="AL572" s="68"/>
      <c r="AM572" s="110"/>
      <c r="AN572" s="110"/>
      <c r="AO572" s="68"/>
      <c r="AP572" s="68"/>
      <c r="AQ572" s="40"/>
      <c r="AR572" s="40"/>
      <c r="AS572" s="23"/>
    </row>
    <row r="573" spans="1:45" ht="15.75" x14ac:dyDescent="0.25">
      <c r="A573" s="44"/>
      <c r="B573" s="23"/>
      <c r="C573" s="23"/>
      <c r="D573" s="23"/>
      <c r="E573" s="68"/>
      <c r="F573" s="68"/>
      <c r="G573" s="110"/>
      <c r="H573" s="110"/>
      <c r="I573" s="68"/>
      <c r="J573" s="68"/>
      <c r="K573" s="110"/>
      <c r="L573" s="110"/>
      <c r="M573" s="68"/>
      <c r="N573" s="68"/>
      <c r="O573" s="110"/>
      <c r="P573" s="110"/>
      <c r="Q573" s="68"/>
      <c r="R573" s="68"/>
      <c r="S573" s="110"/>
      <c r="T573" s="110"/>
      <c r="U573" s="68"/>
      <c r="V573" s="68"/>
      <c r="W573" s="110"/>
      <c r="X573" s="110"/>
      <c r="Y573" s="110"/>
      <c r="Z573" s="110"/>
      <c r="AA573" s="110"/>
      <c r="AB573" s="110"/>
      <c r="AC573" s="114"/>
      <c r="AD573" s="68"/>
      <c r="AE573" s="110"/>
      <c r="AF573" s="110"/>
      <c r="AG573" s="68"/>
      <c r="AH573" s="68"/>
      <c r="AI573" s="110"/>
      <c r="AJ573" s="110"/>
      <c r="AK573" s="68"/>
      <c r="AL573" s="68"/>
      <c r="AM573" s="110"/>
      <c r="AN573" s="110"/>
      <c r="AO573" s="68"/>
      <c r="AP573" s="68"/>
      <c r="AQ573" s="40"/>
      <c r="AR573" s="40"/>
      <c r="AS573" s="23"/>
    </row>
    <row r="574" spans="1:45" ht="15.75" x14ac:dyDescent="0.25">
      <c r="A574" s="44"/>
      <c r="B574" s="23"/>
      <c r="C574" s="23"/>
      <c r="D574" s="23"/>
      <c r="E574" s="68"/>
      <c r="F574" s="68"/>
      <c r="G574" s="110"/>
      <c r="H574" s="110"/>
      <c r="I574" s="68"/>
      <c r="J574" s="68"/>
      <c r="K574" s="110"/>
      <c r="L574" s="110"/>
      <c r="M574" s="68"/>
      <c r="N574" s="68"/>
      <c r="O574" s="110"/>
      <c r="P574" s="110"/>
      <c r="Q574" s="68"/>
      <c r="R574" s="68"/>
      <c r="S574" s="110"/>
      <c r="T574" s="110"/>
      <c r="U574" s="68"/>
      <c r="V574" s="68"/>
      <c r="W574" s="110"/>
      <c r="X574" s="110"/>
      <c r="Y574" s="110"/>
      <c r="Z574" s="110"/>
      <c r="AA574" s="110"/>
      <c r="AB574" s="110"/>
      <c r="AC574" s="114"/>
      <c r="AD574" s="68"/>
      <c r="AE574" s="110"/>
      <c r="AF574" s="110"/>
      <c r="AG574" s="68"/>
      <c r="AH574" s="68"/>
      <c r="AI574" s="110"/>
      <c r="AJ574" s="110"/>
      <c r="AK574" s="68"/>
      <c r="AL574" s="68"/>
      <c r="AM574" s="110"/>
      <c r="AN574" s="110"/>
      <c r="AO574" s="68"/>
      <c r="AP574" s="68"/>
      <c r="AQ574" s="40"/>
      <c r="AR574" s="40"/>
      <c r="AS574" s="23"/>
    </row>
    <row r="575" spans="1:45" ht="15.75" x14ac:dyDescent="0.25">
      <c r="A575" s="44"/>
      <c r="B575" s="23"/>
      <c r="C575" s="23"/>
      <c r="D575" s="23"/>
      <c r="E575" s="68"/>
      <c r="F575" s="68"/>
      <c r="G575" s="110"/>
      <c r="H575" s="110"/>
      <c r="I575" s="68"/>
      <c r="J575" s="68"/>
      <c r="K575" s="110"/>
      <c r="L575" s="110"/>
      <c r="M575" s="68"/>
      <c r="N575" s="68"/>
      <c r="O575" s="110"/>
      <c r="P575" s="110"/>
      <c r="Q575" s="68"/>
      <c r="R575" s="68"/>
      <c r="S575" s="110"/>
      <c r="T575" s="110"/>
      <c r="U575" s="68"/>
      <c r="V575" s="68"/>
      <c r="W575" s="110"/>
      <c r="X575" s="110"/>
      <c r="Y575" s="110"/>
      <c r="Z575" s="110"/>
      <c r="AA575" s="110"/>
      <c r="AB575" s="110"/>
      <c r="AC575" s="114"/>
      <c r="AD575" s="68"/>
      <c r="AE575" s="110"/>
      <c r="AF575" s="110"/>
      <c r="AG575" s="68"/>
      <c r="AH575" s="68"/>
      <c r="AI575" s="110"/>
      <c r="AJ575" s="110"/>
      <c r="AK575" s="68"/>
      <c r="AL575" s="68"/>
      <c r="AM575" s="110"/>
      <c r="AN575" s="110"/>
      <c r="AO575" s="68"/>
      <c r="AP575" s="68"/>
      <c r="AQ575" s="40"/>
      <c r="AR575" s="40"/>
      <c r="AS575" s="23"/>
    </row>
    <row r="576" spans="1:45" ht="15.75" x14ac:dyDescent="0.25">
      <c r="A576" s="44"/>
      <c r="B576" s="23"/>
      <c r="C576" s="23"/>
      <c r="D576" s="23"/>
      <c r="E576" s="68"/>
      <c r="F576" s="68"/>
      <c r="G576" s="110"/>
      <c r="H576" s="110"/>
      <c r="I576" s="68"/>
      <c r="J576" s="68"/>
      <c r="K576" s="110"/>
      <c r="L576" s="110"/>
      <c r="M576" s="68"/>
      <c r="N576" s="68"/>
      <c r="O576" s="110"/>
      <c r="P576" s="110"/>
      <c r="Q576" s="68"/>
      <c r="R576" s="68"/>
      <c r="S576" s="110"/>
      <c r="T576" s="110"/>
      <c r="U576" s="68"/>
      <c r="V576" s="68"/>
      <c r="W576" s="110"/>
      <c r="X576" s="110"/>
      <c r="Y576" s="110"/>
      <c r="Z576" s="110"/>
      <c r="AA576" s="110"/>
      <c r="AB576" s="110"/>
      <c r="AC576" s="114"/>
      <c r="AD576" s="68"/>
      <c r="AE576" s="110"/>
      <c r="AF576" s="110"/>
      <c r="AG576" s="68"/>
      <c r="AH576" s="68"/>
      <c r="AI576" s="110"/>
      <c r="AJ576" s="110"/>
      <c r="AK576" s="68"/>
      <c r="AL576" s="68"/>
      <c r="AM576" s="110"/>
      <c r="AN576" s="110"/>
      <c r="AO576" s="68"/>
      <c r="AP576" s="68"/>
      <c r="AQ576" s="40"/>
      <c r="AR576" s="40"/>
      <c r="AS576" s="23"/>
    </row>
    <row r="577" spans="1:45" ht="15.75" x14ac:dyDescent="0.25">
      <c r="A577" s="44"/>
      <c r="B577" s="23"/>
      <c r="C577" s="23"/>
      <c r="D577" s="23"/>
      <c r="E577" s="68"/>
      <c r="F577" s="68"/>
      <c r="G577" s="110"/>
      <c r="H577" s="110"/>
      <c r="I577" s="68"/>
      <c r="J577" s="68"/>
      <c r="K577" s="110"/>
      <c r="L577" s="110"/>
      <c r="M577" s="68"/>
      <c r="N577" s="68"/>
      <c r="O577" s="110"/>
      <c r="P577" s="110"/>
      <c r="Q577" s="68"/>
      <c r="R577" s="68"/>
      <c r="S577" s="110"/>
      <c r="T577" s="110"/>
      <c r="U577" s="68"/>
      <c r="V577" s="68"/>
      <c r="W577" s="110"/>
      <c r="X577" s="110"/>
      <c r="Y577" s="110"/>
      <c r="Z577" s="110"/>
      <c r="AA577" s="110"/>
      <c r="AB577" s="110"/>
      <c r="AC577" s="114"/>
      <c r="AD577" s="68"/>
      <c r="AE577" s="110"/>
      <c r="AF577" s="110"/>
      <c r="AG577" s="68"/>
      <c r="AH577" s="68"/>
      <c r="AI577" s="110"/>
      <c r="AJ577" s="110"/>
      <c r="AK577" s="68"/>
      <c r="AL577" s="68"/>
      <c r="AM577" s="110"/>
      <c r="AN577" s="110"/>
      <c r="AO577" s="68"/>
      <c r="AP577" s="68"/>
      <c r="AQ577" s="40"/>
      <c r="AR577" s="40"/>
      <c r="AS577" s="23"/>
    </row>
    <row r="578" spans="1:45" ht="15.75" x14ac:dyDescent="0.25">
      <c r="A578" s="44"/>
      <c r="B578" s="23"/>
      <c r="C578" s="23"/>
      <c r="D578" s="23"/>
      <c r="E578" s="68"/>
      <c r="F578" s="68"/>
      <c r="G578" s="110"/>
      <c r="H578" s="110"/>
      <c r="I578" s="68"/>
      <c r="J578" s="68"/>
      <c r="K578" s="110"/>
      <c r="L578" s="110"/>
      <c r="M578" s="68"/>
      <c r="N578" s="68"/>
      <c r="O578" s="110"/>
      <c r="P578" s="110"/>
      <c r="Q578" s="68"/>
      <c r="R578" s="68"/>
      <c r="S578" s="110"/>
      <c r="T578" s="110"/>
      <c r="U578" s="68"/>
      <c r="V578" s="68"/>
      <c r="W578" s="110"/>
      <c r="X578" s="110"/>
      <c r="Y578" s="110"/>
      <c r="Z578" s="110"/>
      <c r="AA578" s="110"/>
      <c r="AB578" s="110"/>
      <c r="AC578" s="114"/>
      <c r="AD578" s="68"/>
      <c r="AE578" s="110"/>
      <c r="AF578" s="110"/>
      <c r="AG578" s="68"/>
      <c r="AH578" s="68"/>
      <c r="AI578" s="110"/>
      <c r="AJ578" s="110"/>
      <c r="AK578" s="68"/>
      <c r="AL578" s="68"/>
      <c r="AM578" s="110"/>
      <c r="AN578" s="110"/>
      <c r="AO578" s="68"/>
      <c r="AP578" s="68"/>
      <c r="AQ578" s="40"/>
      <c r="AR578" s="40"/>
      <c r="AS578" s="23"/>
    </row>
    <row r="579" spans="1:45" ht="15.75" x14ac:dyDescent="0.25">
      <c r="A579" s="44"/>
      <c r="B579" s="23"/>
      <c r="C579" s="23"/>
      <c r="D579" s="23"/>
      <c r="E579" s="68"/>
      <c r="F579" s="68"/>
      <c r="G579" s="110"/>
      <c r="H579" s="110"/>
      <c r="I579" s="68"/>
      <c r="J579" s="68"/>
      <c r="K579" s="110"/>
      <c r="L579" s="110"/>
      <c r="M579" s="68"/>
      <c r="N579" s="68"/>
      <c r="O579" s="110"/>
      <c r="P579" s="110"/>
      <c r="Q579" s="68"/>
      <c r="R579" s="68"/>
      <c r="S579" s="110"/>
      <c r="T579" s="110"/>
      <c r="U579" s="68"/>
      <c r="V579" s="68"/>
      <c r="W579" s="110"/>
      <c r="X579" s="110"/>
      <c r="Y579" s="110"/>
      <c r="Z579" s="110"/>
      <c r="AA579" s="110"/>
      <c r="AB579" s="110"/>
      <c r="AC579" s="114"/>
      <c r="AD579" s="68"/>
      <c r="AE579" s="110"/>
      <c r="AF579" s="110"/>
      <c r="AG579" s="68"/>
      <c r="AH579" s="68"/>
      <c r="AI579" s="110"/>
      <c r="AJ579" s="110"/>
      <c r="AK579" s="68"/>
      <c r="AL579" s="68"/>
      <c r="AM579" s="110"/>
      <c r="AN579" s="110"/>
      <c r="AO579" s="68"/>
      <c r="AP579" s="68"/>
      <c r="AQ579" s="40"/>
      <c r="AR579" s="40"/>
      <c r="AS579" s="23"/>
    </row>
    <row r="580" spans="1:45" ht="15.75" x14ac:dyDescent="0.25">
      <c r="A580" s="44"/>
      <c r="B580" s="23"/>
      <c r="C580" s="23"/>
      <c r="D580" s="23"/>
      <c r="E580" s="68"/>
      <c r="F580" s="68"/>
      <c r="G580" s="110"/>
      <c r="H580" s="110"/>
      <c r="I580" s="68"/>
      <c r="J580" s="68"/>
      <c r="K580" s="110"/>
      <c r="L580" s="110"/>
      <c r="M580" s="68"/>
      <c r="N580" s="68"/>
      <c r="O580" s="110"/>
      <c r="P580" s="110"/>
      <c r="Q580" s="68"/>
      <c r="R580" s="68"/>
      <c r="S580" s="110"/>
      <c r="T580" s="110"/>
      <c r="U580" s="68"/>
      <c r="V580" s="68"/>
      <c r="W580" s="110"/>
      <c r="X580" s="110"/>
      <c r="Y580" s="110"/>
      <c r="Z580" s="110"/>
      <c r="AA580" s="110"/>
      <c r="AB580" s="110"/>
      <c r="AC580" s="114"/>
      <c r="AD580" s="68"/>
      <c r="AE580" s="110"/>
      <c r="AF580" s="110"/>
      <c r="AG580" s="68"/>
      <c r="AH580" s="68"/>
      <c r="AI580" s="110"/>
      <c r="AJ580" s="110"/>
      <c r="AK580" s="68"/>
      <c r="AL580" s="68"/>
      <c r="AM580" s="110"/>
      <c r="AN580" s="110"/>
      <c r="AO580" s="68"/>
      <c r="AP580" s="68"/>
      <c r="AQ580" s="40"/>
      <c r="AR580" s="40"/>
      <c r="AS580" s="23"/>
    </row>
    <row r="581" spans="1:45" ht="15.75" x14ac:dyDescent="0.25">
      <c r="A581" s="44"/>
      <c r="B581" s="23"/>
      <c r="C581" s="23"/>
      <c r="D581" s="23"/>
      <c r="E581" s="68"/>
      <c r="F581" s="68"/>
      <c r="G581" s="110"/>
      <c r="H581" s="110"/>
      <c r="I581" s="68"/>
      <c r="J581" s="68"/>
      <c r="K581" s="110"/>
      <c r="L581" s="110"/>
      <c r="M581" s="68"/>
      <c r="N581" s="68"/>
      <c r="O581" s="110"/>
      <c r="P581" s="110"/>
      <c r="Q581" s="68"/>
      <c r="R581" s="68"/>
      <c r="S581" s="110"/>
      <c r="T581" s="110"/>
      <c r="U581" s="68"/>
      <c r="V581" s="68"/>
      <c r="W581" s="110"/>
      <c r="X581" s="110"/>
      <c r="Y581" s="110"/>
      <c r="Z581" s="110"/>
      <c r="AA581" s="110"/>
      <c r="AB581" s="110"/>
      <c r="AC581" s="114"/>
      <c r="AD581" s="68"/>
      <c r="AE581" s="110"/>
      <c r="AF581" s="110"/>
      <c r="AG581" s="68"/>
      <c r="AH581" s="68"/>
      <c r="AI581" s="110"/>
      <c r="AJ581" s="110"/>
      <c r="AK581" s="68"/>
      <c r="AL581" s="68"/>
      <c r="AM581" s="110"/>
      <c r="AN581" s="110"/>
      <c r="AO581" s="68"/>
      <c r="AP581" s="68"/>
      <c r="AQ581" s="40"/>
      <c r="AR581" s="40"/>
      <c r="AS581" s="23"/>
    </row>
    <row r="582" spans="1:45" ht="15.75" x14ac:dyDescent="0.25">
      <c r="A582" s="44"/>
      <c r="B582" s="23"/>
      <c r="C582" s="23"/>
      <c r="D582" s="23"/>
      <c r="E582" s="68"/>
      <c r="F582" s="68"/>
      <c r="G582" s="110"/>
      <c r="H582" s="110"/>
      <c r="I582" s="68"/>
      <c r="J582" s="68"/>
      <c r="K582" s="110"/>
      <c r="L582" s="110"/>
      <c r="M582" s="68"/>
      <c r="N582" s="68"/>
      <c r="O582" s="110"/>
      <c r="P582" s="110"/>
      <c r="Q582" s="68"/>
      <c r="R582" s="68"/>
      <c r="S582" s="110"/>
      <c r="T582" s="110"/>
      <c r="U582" s="68"/>
      <c r="V582" s="68"/>
      <c r="W582" s="110"/>
      <c r="X582" s="110"/>
      <c r="Y582" s="110"/>
      <c r="Z582" s="110"/>
      <c r="AA582" s="110"/>
      <c r="AB582" s="110"/>
      <c r="AC582" s="114"/>
      <c r="AD582" s="68"/>
      <c r="AE582" s="110"/>
      <c r="AF582" s="110"/>
      <c r="AG582" s="68"/>
      <c r="AH582" s="68"/>
      <c r="AI582" s="110"/>
      <c r="AJ582" s="110"/>
      <c r="AK582" s="68"/>
      <c r="AL582" s="68"/>
      <c r="AM582" s="110"/>
      <c r="AN582" s="110"/>
      <c r="AO582" s="68"/>
      <c r="AP582" s="68"/>
      <c r="AQ582" s="40"/>
      <c r="AR582" s="40"/>
      <c r="AS582" s="23"/>
    </row>
    <row r="583" spans="1:45" ht="15.75" x14ac:dyDescent="0.25">
      <c r="A583" s="44"/>
      <c r="B583" s="23"/>
      <c r="C583" s="23"/>
      <c r="D583" s="23"/>
      <c r="E583" s="68"/>
      <c r="F583" s="68"/>
      <c r="G583" s="110"/>
      <c r="H583" s="110"/>
      <c r="I583" s="68"/>
      <c r="J583" s="68"/>
      <c r="K583" s="110"/>
      <c r="L583" s="110"/>
      <c r="M583" s="68"/>
      <c r="N583" s="68"/>
      <c r="O583" s="110"/>
      <c r="P583" s="110"/>
      <c r="Q583" s="68"/>
      <c r="R583" s="68"/>
      <c r="S583" s="110"/>
      <c r="T583" s="110"/>
      <c r="U583" s="68"/>
      <c r="V583" s="68"/>
      <c r="W583" s="110"/>
      <c r="X583" s="110"/>
      <c r="Y583" s="110"/>
      <c r="Z583" s="110"/>
      <c r="AA583" s="110"/>
      <c r="AB583" s="110"/>
      <c r="AC583" s="114"/>
      <c r="AD583" s="68"/>
      <c r="AE583" s="110"/>
      <c r="AF583" s="110"/>
      <c r="AG583" s="68"/>
      <c r="AH583" s="68"/>
      <c r="AI583" s="110"/>
      <c r="AJ583" s="110"/>
      <c r="AK583" s="68"/>
      <c r="AL583" s="68"/>
      <c r="AM583" s="110"/>
      <c r="AN583" s="110"/>
      <c r="AO583" s="68"/>
      <c r="AP583" s="68"/>
      <c r="AQ583" s="40"/>
      <c r="AR583" s="40"/>
      <c r="AS583" s="23"/>
    </row>
    <row r="584" spans="1:45" ht="15.75" x14ac:dyDescent="0.25">
      <c r="A584" s="44"/>
      <c r="B584" s="23"/>
      <c r="C584" s="23"/>
      <c r="D584" s="23"/>
      <c r="E584" s="68"/>
      <c r="F584" s="68"/>
      <c r="G584" s="110"/>
      <c r="H584" s="110"/>
      <c r="I584" s="68"/>
      <c r="J584" s="68"/>
      <c r="K584" s="110"/>
      <c r="L584" s="110"/>
      <c r="M584" s="68"/>
      <c r="N584" s="68"/>
      <c r="O584" s="110"/>
      <c r="P584" s="110"/>
      <c r="Q584" s="68"/>
      <c r="R584" s="68"/>
      <c r="S584" s="110"/>
      <c r="T584" s="110"/>
      <c r="U584" s="68"/>
      <c r="V584" s="68"/>
      <c r="W584" s="110"/>
      <c r="X584" s="110"/>
      <c r="Y584" s="110"/>
      <c r="Z584" s="110"/>
      <c r="AA584" s="110"/>
      <c r="AB584" s="110"/>
      <c r="AC584" s="114"/>
      <c r="AD584" s="68"/>
      <c r="AE584" s="110"/>
      <c r="AF584" s="110"/>
      <c r="AG584" s="68"/>
      <c r="AH584" s="68"/>
      <c r="AI584" s="110"/>
      <c r="AJ584" s="110"/>
      <c r="AK584" s="68"/>
      <c r="AL584" s="68"/>
      <c r="AM584" s="110"/>
      <c r="AN584" s="110"/>
      <c r="AO584" s="68"/>
      <c r="AP584" s="68"/>
      <c r="AQ584" s="40"/>
      <c r="AR584" s="40"/>
      <c r="AS584" s="23"/>
    </row>
    <row r="585" spans="1:45" ht="15.75" x14ac:dyDescent="0.25">
      <c r="A585" s="44"/>
      <c r="B585" s="23"/>
      <c r="C585" s="23"/>
      <c r="D585" s="23"/>
      <c r="E585" s="68"/>
      <c r="F585" s="68"/>
      <c r="G585" s="110"/>
      <c r="H585" s="110"/>
      <c r="I585" s="68"/>
      <c r="J585" s="68"/>
      <c r="K585" s="110"/>
      <c r="L585" s="110"/>
      <c r="M585" s="68"/>
      <c r="N585" s="68"/>
      <c r="O585" s="110"/>
      <c r="P585" s="110"/>
      <c r="Q585" s="68"/>
      <c r="R585" s="68"/>
      <c r="S585" s="110"/>
      <c r="T585" s="110"/>
      <c r="U585" s="68"/>
      <c r="V585" s="68"/>
      <c r="W585" s="110"/>
      <c r="X585" s="110"/>
      <c r="Y585" s="110"/>
      <c r="Z585" s="110"/>
      <c r="AA585" s="110"/>
      <c r="AB585" s="110"/>
      <c r="AC585" s="114"/>
      <c r="AD585" s="68"/>
      <c r="AE585" s="110"/>
      <c r="AF585" s="110"/>
      <c r="AG585" s="68"/>
      <c r="AH585" s="68"/>
      <c r="AI585" s="110"/>
      <c r="AJ585" s="110"/>
      <c r="AK585" s="68"/>
      <c r="AL585" s="68"/>
      <c r="AM585" s="110"/>
      <c r="AN585" s="110"/>
      <c r="AO585" s="68"/>
      <c r="AP585" s="68"/>
      <c r="AQ585" s="40"/>
      <c r="AR585" s="40"/>
      <c r="AS585" s="23"/>
    </row>
    <row r="586" spans="1:45" ht="15.75" x14ac:dyDescent="0.25">
      <c r="A586" s="44"/>
      <c r="B586" s="23"/>
      <c r="C586" s="23"/>
      <c r="D586" s="23"/>
      <c r="E586" s="68"/>
      <c r="F586" s="68"/>
      <c r="G586" s="110"/>
      <c r="H586" s="110"/>
      <c r="I586" s="68"/>
      <c r="J586" s="68"/>
      <c r="K586" s="110"/>
      <c r="L586" s="110"/>
      <c r="M586" s="68"/>
      <c r="N586" s="68"/>
      <c r="O586" s="110"/>
      <c r="P586" s="110"/>
      <c r="Q586" s="68"/>
      <c r="R586" s="68"/>
      <c r="S586" s="110"/>
      <c r="T586" s="110"/>
      <c r="U586" s="68"/>
      <c r="V586" s="68"/>
      <c r="W586" s="110"/>
      <c r="X586" s="110"/>
      <c r="Y586" s="110"/>
      <c r="Z586" s="110"/>
      <c r="AA586" s="110"/>
      <c r="AB586" s="110"/>
      <c r="AC586" s="114"/>
      <c r="AD586" s="68"/>
      <c r="AE586" s="110"/>
      <c r="AF586" s="110"/>
      <c r="AG586" s="68"/>
      <c r="AH586" s="68"/>
      <c r="AI586" s="110"/>
      <c r="AJ586" s="110"/>
      <c r="AK586" s="68"/>
      <c r="AL586" s="68"/>
      <c r="AM586" s="110"/>
      <c r="AN586" s="110"/>
      <c r="AO586" s="68"/>
      <c r="AP586" s="68"/>
      <c r="AQ586" s="40"/>
      <c r="AR586" s="40"/>
      <c r="AS586" s="23"/>
    </row>
    <row r="587" spans="1:45" ht="15.75" x14ac:dyDescent="0.25">
      <c r="A587" s="44"/>
      <c r="B587" s="23"/>
      <c r="C587" s="23"/>
      <c r="D587" s="23"/>
      <c r="E587" s="68"/>
      <c r="F587" s="68"/>
      <c r="G587" s="110"/>
      <c r="H587" s="110"/>
      <c r="I587" s="68"/>
      <c r="J587" s="68"/>
      <c r="K587" s="110"/>
      <c r="L587" s="110"/>
      <c r="M587" s="68"/>
      <c r="N587" s="68"/>
      <c r="O587" s="110"/>
      <c r="P587" s="110"/>
      <c r="Q587" s="68"/>
      <c r="R587" s="68"/>
      <c r="S587" s="110"/>
      <c r="T587" s="110"/>
      <c r="U587" s="68"/>
      <c r="V587" s="68"/>
      <c r="W587" s="110"/>
      <c r="X587" s="110"/>
      <c r="Y587" s="110"/>
      <c r="Z587" s="110"/>
      <c r="AA587" s="110"/>
      <c r="AB587" s="110"/>
      <c r="AC587" s="114"/>
      <c r="AD587" s="68"/>
      <c r="AE587" s="110"/>
      <c r="AF587" s="110"/>
      <c r="AG587" s="68"/>
      <c r="AH587" s="68"/>
      <c r="AI587" s="110"/>
      <c r="AJ587" s="110"/>
      <c r="AK587" s="68"/>
      <c r="AL587" s="68"/>
      <c r="AM587" s="110"/>
      <c r="AN587" s="110"/>
      <c r="AO587" s="68"/>
      <c r="AP587" s="68"/>
      <c r="AQ587" s="40"/>
      <c r="AR587" s="40"/>
      <c r="AS587" s="23"/>
    </row>
    <row r="588" spans="1:45" ht="15.75" x14ac:dyDescent="0.25">
      <c r="A588" s="44"/>
      <c r="B588" s="23"/>
      <c r="C588" s="23"/>
      <c r="D588" s="23"/>
      <c r="E588" s="68"/>
      <c r="F588" s="68"/>
      <c r="G588" s="110"/>
      <c r="H588" s="110"/>
      <c r="I588" s="68"/>
      <c r="J588" s="68"/>
      <c r="K588" s="110"/>
      <c r="L588" s="110"/>
      <c r="M588" s="68"/>
      <c r="N588" s="68"/>
      <c r="O588" s="110"/>
      <c r="P588" s="110"/>
      <c r="Q588" s="68"/>
      <c r="R588" s="68"/>
      <c r="S588" s="110"/>
      <c r="T588" s="110"/>
      <c r="U588" s="68"/>
      <c r="V588" s="68"/>
      <c r="W588" s="110"/>
      <c r="X588" s="110"/>
      <c r="Y588" s="110"/>
      <c r="Z588" s="110"/>
      <c r="AA588" s="110"/>
      <c r="AB588" s="110"/>
      <c r="AC588" s="114"/>
      <c r="AD588" s="68"/>
      <c r="AE588" s="110"/>
      <c r="AF588" s="110"/>
      <c r="AG588" s="68"/>
      <c r="AH588" s="68"/>
      <c r="AI588" s="110"/>
      <c r="AJ588" s="110"/>
      <c r="AK588" s="68"/>
      <c r="AL588" s="68"/>
      <c r="AM588" s="110"/>
      <c r="AN588" s="110"/>
      <c r="AO588" s="68"/>
      <c r="AP588" s="68"/>
      <c r="AQ588" s="40"/>
      <c r="AR588" s="40"/>
      <c r="AS588" s="23"/>
    </row>
    <row r="589" spans="1:45" ht="15.75" x14ac:dyDescent="0.25">
      <c r="A589" s="44"/>
      <c r="B589" s="23"/>
      <c r="C589" s="23"/>
      <c r="D589" s="23"/>
      <c r="E589" s="68"/>
      <c r="F589" s="68"/>
      <c r="G589" s="110"/>
      <c r="H589" s="110"/>
      <c r="I589" s="68"/>
      <c r="J589" s="68"/>
      <c r="K589" s="110"/>
      <c r="L589" s="110"/>
      <c r="M589" s="68"/>
      <c r="N589" s="68"/>
      <c r="O589" s="110"/>
      <c r="P589" s="110"/>
      <c r="Q589" s="68"/>
      <c r="R589" s="68"/>
      <c r="S589" s="110"/>
      <c r="T589" s="110"/>
      <c r="U589" s="68"/>
      <c r="V589" s="68"/>
      <c r="W589" s="110"/>
      <c r="X589" s="110"/>
      <c r="Y589" s="110"/>
      <c r="Z589" s="110"/>
      <c r="AA589" s="110"/>
      <c r="AB589" s="110"/>
      <c r="AC589" s="114"/>
      <c r="AD589" s="68"/>
      <c r="AE589" s="110"/>
      <c r="AF589" s="110"/>
      <c r="AG589" s="68"/>
      <c r="AH589" s="68"/>
      <c r="AI589" s="110"/>
      <c r="AJ589" s="110"/>
      <c r="AK589" s="68"/>
      <c r="AL589" s="68"/>
      <c r="AM589" s="110"/>
      <c r="AN589" s="110"/>
      <c r="AO589" s="68"/>
      <c r="AP589" s="68"/>
      <c r="AQ589" s="40"/>
      <c r="AR589" s="40"/>
      <c r="AS589" s="23"/>
    </row>
    <row r="590" spans="1:45" ht="15.75" x14ac:dyDescent="0.25">
      <c r="A590" s="44"/>
      <c r="B590" s="23"/>
      <c r="C590" s="23"/>
      <c r="D590" s="23"/>
      <c r="E590" s="68"/>
      <c r="F590" s="68"/>
      <c r="G590" s="110"/>
      <c r="H590" s="110"/>
      <c r="I590" s="68"/>
      <c r="J590" s="68"/>
      <c r="K590" s="110"/>
      <c r="L590" s="110"/>
      <c r="M590" s="68"/>
      <c r="N590" s="68"/>
      <c r="O590" s="110"/>
      <c r="P590" s="110"/>
      <c r="Q590" s="68"/>
      <c r="R590" s="68"/>
      <c r="S590" s="110"/>
      <c r="T590" s="110"/>
      <c r="U590" s="68"/>
      <c r="V590" s="68"/>
      <c r="W590" s="110"/>
      <c r="X590" s="110"/>
      <c r="Y590" s="110"/>
      <c r="Z590" s="110"/>
      <c r="AA590" s="110"/>
      <c r="AB590" s="110"/>
      <c r="AC590" s="114"/>
      <c r="AD590" s="68"/>
      <c r="AE590" s="110"/>
      <c r="AF590" s="110"/>
      <c r="AG590" s="68"/>
      <c r="AH590" s="68"/>
      <c r="AI590" s="110"/>
      <c r="AJ590" s="110"/>
      <c r="AK590" s="68"/>
      <c r="AL590" s="68"/>
      <c r="AM590" s="110"/>
      <c r="AN590" s="110"/>
      <c r="AO590" s="68"/>
      <c r="AP590" s="68"/>
      <c r="AQ590" s="40"/>
      <c r="AR590" s="40"/>
      <c r="AS590" s="23"/>
    </row>
    <row r="591" spans="1:45" ht="15.75" x14ac:dyDescent="0.25">
      <c r="A591" s="44"/>
      <c r="B591" s="23"/>
      <c r="C591" s="23"/>
      <c r="D591" s="23"/>
      <c r="E591" s="68"/>
      <c r="F591" s="68"/>
      <c r="G591" s="110"/>
      <c r="H591" s="110"/>
      <c r="I591" s="68"/>
      <c r="J591" s="68"/>
      <c r="K591" s="110"/>
      <c r="L591" s="110"/>
      <c r="M591" s="68"/>
      <c r="N591" s="68"/>
      <c r="O591" s="110"/>
      <c r="P591" s="110"/>
      <c r="Q591" s="68"/>
      <c r="R591" s="68"/>
      <c r="S591" s="110"/>
      <c r="T591" s="110"/>
      <c r="U591" s="68"/>
      <c r="V591" s="68"/>
      <c r="W591" s="110"/>
      <c r="X591" s="110"/>
      <c r="Y591" s="110"/>
      <c r="Z591" s="110"/>
      <c r="AA591" s="110"/>
      <c r="AB591" s="110"/>
      <c r="AC591" s="114"/>
      <c r="AD591" s="68"/>
      <c r="AE591" s="110"/>
      <c r="AF591" s="110"/>
      <c r="AG591" s="68"/>
      <c r="AH591" s="68"/>
      <c r="AI591" s="110"/>
      <c r="AJ591" s="110"/>
      <c r="AK591" s="68"/>
      <c r="AL591" s="68"/>
      <c r="AM591" s="110"/>
      <c r="AN591" s="110"/>
      <c r="AO591" s="68"/>
      <c r="AP591" s="68"/>
      <c r="AQ591" s="40"/>
      <c r="AR591" s="40"/>
      <c r="AS591" s="23"/>
    </row>
    <row r="592" spans="1:45" ht="15.75" x14ac:dyDescent="0.25">
      <c r="A592" s="44"/>
      <c r="B592" s="23"/>
      <c r="C592" s="23"/>
      <c r="D592" s="23"/>
      <c r="E592" s="68"/>
      <c r="F592" s="68"/>
      <c r="G592" s="110"/>
      <c r="H592" s="110"/>
      <c r="I592" s="68"/>
      <c r="J592" s="68"/>
      <c r="K592" s="110"/>
      <c r="L592" s="110"/>
      <c r="M592" s="68"/>
      <c r="N592" s="68"/>
      <c r="O592" s="110"/>
      <c r="P592" s="110"/>
      <c r="Q592" s="68"/>
      <c r="R592" s="68"/>
      <c r="S592" s="110"/>
      <c r="T592" s="110"/>
      <c r="U592" s="68"/>
      <c r="V592" s="68"/>
      <c r="W592" s="110"/>
      <c r="X592" s="110"/>
      <c r="Y592" s="110"/>
      <c r="Z592" s="110"/>
      <c r="AA592" s="110"/>
      <c r="AB592" s="110"/>
      <c r="AC592" s="114"/>
      <c r="AD592" s="68"/>
      <c r="AE592" s="110"/>
      <c r="AF592" s="110"/>
      <c r="AG592" s="68"/>
      <c r="AH592" s="68"/>
      <c r="AI592" s="110"/>
      <c r="AJ592" s="110"/>
      <c r="AK592" s="68"/>
      <c r="AL592" s="68"/>
      <c r="AM592" s="110"/>
      <c r="AN592" s="110"/>
      <c r="AO592" s="68"/>
      <c r="AP592" s="68"/>
      <c r="AQ592" s="40"/>
      <c r="AR592" s="40"/>
      <c r="AS592" s="23"/>
    </row>
    <row r="593" spans="1:45" ht="15.75" x14ac:dyDescent="0.25">
      <c r="A593" s="44"/>
      <c r="B593" s="23"/>
      <c r="C593" s="23"/>
      <c r="D593" s="23"/>
      <c r="E593" s="68"/>
      <c r="F593" s="68"/>
      <c r="G593" s="110"/>
      <c r="H593" s="110"/>
      <c r="I593" s="68"/>
      <c r="J593" s="68"/>
      <c r="K593" s="110"/>
      <c r="L593" s="110"/>
      <c r="M593" s="68"/>
      <c r="N593" s="68"/>
      <c r="O593" s="110"/>
      <c r="P593" s="110"/>
      <c r="Q593" s="68"/>
      <c r="R593" s="68"/>
      <c r="S593" s="110"/>
      <c r="T593" s="110"/>
      <c r="U593" s="68"/>
      <c r="V593" s="68"/>
      <c r="W593" s="110"/>
      <c r="X593" s="110"/>
      <c r="Y593" s="110"/>
      <c r="Z593" s="110"/>
      <c r="AA593" s="110"/>
      <c r="AB593" s="110"/>
      <c r="AC593" s="114"/>
      <c r="AD593" s="68"/>
      <c r="AE593" s="110"/>
      <c r="AF593" s="110"/>
      <c r="AG593" s="68"/>
      <c r="AH593" s="68"/>
      <c r="AI593" s="110"/>
      <c r="AJ593" s="110"/>
      <c r="AK593" s="68"/>
      <c r="AL593" s="68"/>
      <c r="AM593" s="110"/>
      <c r="AN593" s="110"/>
      <c r="AO593" s="68"/>
      <c r="AP593" s="68"/>
      <c r="AQ593" s="40"/>
      <c r="AR593" s="40"/>
      <c r="AS593" s="23"/>
    </row>
    <row r="594" spans="1:45" ht="15.75" x14ac:dyDescent="0.25">
      <c r="A594" s="44"/>
      <c r="B594" s="23"/>
      <c r="C594" s="23"/>
      <c r="D594" s="23"/>
      <c r="E594" s="68"/>
      <c r="F594" s="68"/>
      <c r="G594" s="110"/>
      <c r="H594" s="110"/>
      <c r="I594" s="68"/>
      <c r="J594" s="68"/>
      <c r="K594" s="110"/>
      <c r="L594" s="110"/>
      <c r="M594" s="68"/>
      <c r="N594" s="68"/>
      <c r="O594" s="110"/>
      <c r="P594" s="110"/>
      <c r="Q594" s="68"/>
      <c r="R594" s="68"/>
      <c r="S594" s="110"/>
      <c r="T594" s="110"/>
      <c r="U594" s="68"/>
      <c r="V594" s="68"/>
      <c r="W594" s="110"/>
      <c r="X594" s="110"/>
      <c r="Y594" s="110"/>
      <c r="Z594" s="110"/>
      <c r="AA594" s="110"/>
      <c r="AB594" s="110"/>
      <c r="AC594" s="114"/>
      <c r="AD594" s="68"/>
      <c r="AE594" s="110"/>
      <c r="AF594" s="110"/>
      <c r="AG594" s="68"/>
      <c r="AH594" s="68"/>
      <c r="AI594" s="110"/>
      <c r="AJ594" s="110"/>
      <c r="AK594" s="68"/>
      <c r="AL594" s="68"/>
      <c r="AM594" s="110"/>
      <c r="AN594" s="110"/>
      <c r="AO594" s="68"/>
      <c r="AP594" s="68"/>
      <c r="AQ594" s="40"/>
      <c r="AR594" s="40"/>
      <c r="AS594" s="23"/>
    </row>
    <row r="595" spans="1:45" ht="15.75" x14ac:dyDescent="0.25">
      <c r="A595" s="44"/>
      <c r="B595" s="23"/>
      <c r="C595" s="23"/>
      <c r="D595" s="23"/>
      <c r="E595" s="68"/>
      <c r="F595" s="68"/>
      <c r="G595" s="110"/>
      <c r="H595" s="110"/>
      <c r="I595" s="68"/>
      <c r="J595" s="68"/>
      <c r="K595" s="110"/>
      <c r="L595" s="110"/>
      <c r="M595" s="68"/>
      <c r="N595" s="68"/>
      <c r="O595" s="110"/>
      <c r="P595" s="110"/>
      <c r="Q595" s="68"/>
      <c r="R595" s="68"/>
      <c r="S595" s="110"/>
      <c r="T595" s="110"/>
      <c r="U595" s="68"/>
      <c r="V595" s="68"/>
      <c r="W595" s="110"/>
      <c r="X595" s="110"/>
      <c r="Y595" s="110"/>
      <c r="Z595" s="110"/>
      <c r="AA595" s="110"/>
      <c r="AB595" s="110"/>
      <c r="AC595" s="114"/>
      <c r="AD595" s="68"/>
      <c r="AE595" s="110"/>
      <c r="AF595" s="110"/>
      <c r="AG595" s="68"/>
      <c r="AH595" s="68"/>
      <c r="AI595" s="110"/>
      <c r="AJ595" s="110"/>
      <c r="AK595" s="68"/>
      <c r="AL595" s="68"/>
      <c r="AM595" s="110"/>
      <c r="AN595" s="110"/>
      <c r="AO595" s="68"/>
      <c r="AP595" s="68"/>
      <c r="AQ595" s="40"/>
      <c r="AR595" s="40"/>
      <c r="AS595" s="23"/>
    </row>
    <row r="596" spans="1:45" ht="15.75" x14ac:dyDescent="0.25">
      <c r="A596" s="44"/>
      <c r="B596" s="23"/>
      <c r="C596" s="23"/>
      <c r="D596" s="23"/>
      <c r="E596" s="68"/>
      <c r="F596" s="68"/>
      <c r="G596" s="110"/>
      <c r="H596" s="110"/>
      <c r="I596" s="68"/>
      <c r="J596" s="68"/>
      <c r="K596" s="110"/>
      <c r="L596" s="110"/>
      <c r="M596" s="68"/>
      <c r="N596" s="68"/>
      <c r="O596" s="110"/>
      <c r="P596" s="110"/>
      <c r="Q596" s="68"/>
      <c r="R596" s="68"/>
      <c r="S596" s="110"/>
      <c r="T596" s="110"/>
      <c r="U596" s="68"/>
      <c r="V596" s="68"/>
      <c r="W596" s="110"/>
      <c r="X596" s="110"/>
      <c r="Y596" s="110"/>
      <c r="Z596" s="110"/>
      <c r="AA596" s="110"/>
      <c r="AB596" s="110"/>
      <c r="AC596" s="114"/>
      <c r="AD596" s="68"/>
      <c r="AE596" s="110"/>
      <c r="AF596" s="110"/>
      <c r="AG596" s="68"/>
      <c r="AH596" s="68"/>
      <c r="AI596" s="110"/>
      <c r="AJ596" s="110"/>
      <c r="AK596" s="68"/>
      <c r="AL596" s="68"/>
      <c r="AM596" s="110"/>
      <c r="AN596" s="110"/>
      <c r="AO596" s="68"/>
      <c r="AP596" s="68"/>
      <c r="AQ596" s="40"/>
      <c r="AR596" s="40"/>
      <c r="AS596" s="23"/>
    </row>
    <row r="597" spans="1:45" ht="15.75" x14ac:dyDescent="0.25">
      <c r="A597" s="44"/>
      <c r="B597" s="23"/>
      <c r="C597" s="23"/>
      <c r="D597" s="23"/>
      <c r="E597" s="68"/>
      <c r="F597" s="68"/>
      <c r="G597" s="110"/>
      <c r="H597" s="110"/>
      <c r="I597" s="68"/>
      <c r="J597" s="68"/>
      <c r="K597" s="110"/>
      <c r="L597" s="110"/>
      <c r="M597" s="68"/>
      <c r="N597" s="68"/>
      <c r="O597" s="110"/>
      <c r="P597" s="110"/>
      <c r="Q597" s="68"/>
      <c r="R597" s="68"/>
      <c r="S597" s="110"/>
      <c r="T597" s="110"/>
      <c r="U597" s="68"/>
      <c r="V597" s="68"/>
      <c r="W597" s="110"/>
      <c r="X597" s="110"/>
      <c r="Y597" s="110"/>
      <c r="Z597" s="110"/>
      <c r="AA597" s="110"/>
      <c r="AB597" s="110"/>
      <c r="AC597" s="114"/>
      <c r="AD597" s="68"/>
      <c r="AE597" s="110"/>
      <c r="AF597" s="110"/>
      <c r="AG597" s="68"/>
      <c r="AH597" s="68"/>
      <c r="AI597" s="110"/>
      <c r="AJ597" s="110"/>
      <c r="AK597" s="68"/>
      <c r="AL597" s="68"/>
      <c r="AM597" s="110"/>
      <c r="AN597" s="110"/>
      <c r="AO597" s="68"/>
      <c r="AP597" s="68"/>
      <c r="AQ597" s="40"/>
      <c r="AR597" s="40"/>
      <c r="AS597" s="23"/>
    </row>
    <row r="598" spans="1:45" ht="15.75" x14ac:dyDescent="0.25">
      <c r="A598" s="44"/>
      <c r="B598" s="23"/>
      <c r="C598" s="23"/>
      <c r="D598" s="23"/>
      <c r="E598" s="68"/>
      <c r="F598" s="68"/>
      <c r="G598" s="110"/>
      <c r="H598" s="110"/>
      <c r="I598" s="68"/>
      <c r="J598" s="68"/>
      <c r="K598" s="110"/>
      <c r="L598" s="110"/>
      <c r="M598" s="68"/>
      <c r="N598" s="68"/>
      <c r="O598" s="110"/>
      <c r="P598" s="110"/>
      <c r="Q598" s="68"/>
      <c r="R598" s="68"/>
      <c r="S598" s="110"/>
      <c r="T598" s="110"/>
      <c r="U598" s="68"/>
      <c r="V598" s="68"/>
      <c r="W598" s="110"/>
      <c r="X598" s="110"/>
      <c r="Y598" s="110"/>
      <c r="Z598" s="110"/>
      <c r="AA598" s="110"/>
      <c r="AB598" s="110"/>
      <c r="AC598" s="114"/>
      <c r="AD598" s="68"/>
      <c r="AE598" s="110"/>
      <c r="AF598" s="110"/>
      <c r="AG598" s="68"/>
      <c r="AH598" s="68"/>
      <c r="AI598" s="110"/>
      <c r="AJ598" s="110"/>
      <c r="AK598" s="68"/>
      <c r="AL598" s="68"/>
      <c r="AM598" s="110"/>
      <c r="AN598" s="110"/>
      <c r="AO598" s="68"/>
      <c r="AP598" s="68"/>
      <c r="AQ598" s="40"/>
      <c r="AR598" s="40"/>
      <c r="AS598" s="23"/>
    </row>
    <row r="599" spans="1:45" ht="15.75" x14ac:dyDescent="0.25">
      <c r="A599" s="44"/>
      <c r="B599" s="23"/>
      <c r="C599" s="23"/>
      <c r="D599" s="23"/>
      <c r="E599" s="68"/>
      <c r="F599" s="68"/>
      <c r="G599" s="110"/>
      <c r="H599" s="110"/>
      <c r="I599" s="68"/>
      <c r="J599" s="68"/>
      <c r="K599" s="110"/>
      <c r="L599" s="110"/>
      <c r="M599" s="68"/>
      <c r="N599" s="68"/>
      <c r="O599" s="110"/>
      <c r="P599" s="110"/>
      <c r="Q599" s="68"/>
      <c r="R599" s="68"/>
      <c r="S599" s="110"/>
      <c r="T599" s="110"/>
      <c r="U599" s="68"/>
      <c r="V599" s="68"/>
      <c r="W599" s="110"/>
      <c r="X599" s="110"/>
      <c r="Y599" s="110"/>
      <c r="Z599" s="110"/>
      <c r="AA599" s="110"/>
      <c r="AB599" s="110"/>
      <c r="AC599" s="114"/>
      <c r="AD599" s="68"/>
      <c r="AE599" s="110"/>
      <c r="AF599" s="110"/>
      <c r="AG599" s="68"/>
      <c r="AH599" s="68"/>
      <c r="AI599" s="110"/>
      <c r="AJ599" s="110"/>
      <c r="AK599" s="68"/>
      <c r="AL599" s="68"/>
      <c r="AM599" s="110"/>
      <c r="AN599" s="110"/>
      <c r="AO599" s="68"/>
      <c r="AP599" s="68"/>
      <c r="AQ599" s="40"/>
      <c r="AR599" s="40"/>
      <c r="AS599" s="23"/>
    </row>
    <row r="600" spans="1:45" ht="15.75" x14ac:dyDescent="0.25">
      <c r="A600" s="44"/>
      <c r="B600" s="23"/>
      <c r="C600" s="23"/>
      <c r="D600" s="23"/>
      <c r="E600" s="68"/>
      <c r="F600" s="68"/>
      <c r="G600" s="110"/>
      <c r="H600" s="110"/>
      <c r="I600" s="68"/>
      <c r="J600" s="68"/>
      <c r="K600" s="110"/>
      <c r="L600" s="110"/>
      <c r="M600" s="68"/>
      <c r="N600" s="68"/>
      <c r="O600" s="110"/>
      <c r="P600" s="110"/>
      <c r="Q600" s="68"/>
      <c r="R600" s="68"/>
      <c r="S600" s="110"/>
      <c r="T600" s="110"/>
      <c r="U600" s="68"/>
      <c r="V600" s="68"/>
      <c r="W600" s="110"/>
      <c r="X600" s="110"/>
      <c r="Y600" s="110"/>
      <c r="Z600" s="110"/>
      <c r="AA600" s="110"/>
      <c r="AB600" s="110"/>
      <c r="AC600" s="114"/>
      <c r="AD600" s="68"/>
      <c r="AE600" s="110"/>
      <c r="AF600" s="110"/>
      <c r="AG600" s="68"/>
      <c r="AH600" s="68"/>
      <c r="AI600" s="110"/>
      <c r="AJ600" s="110"/>
      <c r="AK600" s="68"/>
      <c r="AL600" s="68"/>
      <c r="AM600" s="110"/>
      <c r="AN600" s="110"/>
      <c r="AO600" s="68"/>
      <c r="AP600" s="68"/>
      <c r="AQ600" s="40"/>
      <c r="AR600" s="40"/>
      <c r="AS600" s="23"/>
    </row>
    <row r="601" spans="1:45" ht="15.75" x14ac:dyDescent="0.25">
      <c r="A601" s="44"/>
      <c r="B601" s="23"/>
      <c r="C601" s="23"/>
      <c r="D601" s="23"/>
      <c r="E601" s="68"/>
      <c r="F601" s="68"/>
      <c r="G601" s="110"/>
      <c r="H601" s="110"/>
      <c r="I601" s="68"/>
      <c r="J601" s="68"/>
      <c r="K601" s="110"/>
      <c r="L601" s="110"/>
      <c r="M601" s="68"/>
      <c r="N601" s="68"/>
      <c r="O601" s="110"/>
      <c r="P601" s="110"/>
      <c r="Q601" s="68"/>
      <c r="R601" s="68"/>
      <c r="S601" s="110"/>
      <c r="T601" s="110"/>
      <c r="U601" s="68"/>
      <c r="V601" s="68"/>
      <c r="W601" s="110"/>
      <c r="X601" s="110"/>
      <c r="Y601" s="110"/>
      <c r="Z601" s="110"/>
      <c r="AA601" s="110"/>
      <c r="AB601" s="110"/>
      <c r="AC601" s="114"/>
      <c r="AD601" s="68"/>
      <c r="AE601" s="110"/>
      <c r="AF601" s="110"/>
      <c r="AG601" s="68"/>
      <c r="AH601" s="68"/>
      <c r="AI601" s="110"/>
      <c r="AJ601" s="110"/>
      <c r="AK601" s="68"/>
      <c r="AL601" s="68"/>
      <c r="AM601" s="110"/>
      <c r="AN601" s="110"/>
      <c r="AO601" s="68"/>
      <c r="AP601" s="68"/>
      <c r="AQ601" s="40"/>
      <c r="AR601" s="40"/>
      <c r="AS601" s="23"/>
    </row>
    <row r="602" spans="1:45" ht="15.75" x14ac:dyDescent="0.25">
      <c r="A602" s="44"/>
      <c r="B602" s="23"/>
      <c r="C602" s="23"/>
      <c r="D602" s="23"/>
      <c r="E602" s="68"/>
      <c r="F602" s="68"/>
      <c r="G602" s="110"/>
      <c r="H602" s="110"/>
      <c r="I602" s="68"/>
      <c r="J602" s="68"/>
      <c r="K602" s="110"/>
      <c r="L602" s="110"/>
      <c r="M602" s="68"/>
      <c r="N602" s="68"/>
      <c r="O602" s="110"/>
      <c r="P602" s="110"/>
      <c r="Q602" s="68"/>
      <c r="R602" s="68"/>
      <c r="S602" s="110"/>
      <c r="T602" s="110"/>
      <c r="U602" s="68"/>
      <c r="V602" s="68"/>
      <c r="W602" s="110"/>
      <c r="X602" s="110"/>
      <c r="Y602" s="110"/>
      <c r="Z602" s="110"/>
      <c r="AA602" s="110"/>
      <c r="AB602" s="110"/>
      <c r="AC602" s="114"/>
      <c r="AD602" s="68"/>
      <c r="AE602" s="110"/>
      <c r="AF602" s="110"/>
      <c r="AG602" s="68"/>
      <c r="AH602" s="68"/>
      <c r="AI602" s="110"/>
      <c r="AJ602" s="110"/>
      <c r="AK602" s="68"/>
      <c r="AL602" s="68"/>
      <c r="AM602" s="110"/>
      <c r="AN602" s="110"/>
      <c r="AO602" s="68"/>
      <c r="AP602" s="68"/>
      <c r="AQ602" s="40"/>
      <c r="AR602" s="40"/>
      <c r="AS602" s="23"/>
    </row>
    <row r="603" spans="1:45" ht="15.75" x14ac:dyDescent="0.25">
      <c r="A603" s="44"/>
      <c r="B603" s="23"/>
      <c r="C603" s="23"/>
      <c r="D603" s="23"/>
      <c r="E603" s="68"/>
      <c r="F603" s="68"/>
      <c r="G603" s="110"/>
      <c r="H603" s="110"/>
      <c r="I603" s="68"/>
      <c r="J603" s="68"/>
      <c r="K603" s="110"/>
      <c r="L603" s="110"/>
      <c r="M603" s="68"/>
      <c r="N603" s="68"/>
      <c r="O603" s="110"/>
      <c r="P603" s="110"/>
      <c r="Q603" s="68"/>
      <c r="R603" s="68"/>
      <c r="S603" s="110"/>
      <c r="T603" s="110"/>
      <c r="U603" s="68"/>
      <c r="V603" s="68"/>
      <c r="W603" s="110"/>
      <c r="X603" s="110"/>
      <c r="Y603" s="110"/>
      <c r="Z603" s="110"/>
      <c r="AA603" s="110"/>
      <c r="AB603" s="110"/>
      <c r="AC603" s="114"/>
      <c r="AD603" s="68"/>
      <c r="AE603" s="110"/>
      <c r="AF603" s="110"/>
      <c r="AG603" s="68"/>
      <c r="AH603" s="68"/>
      <c r="AI603" s="110"/>
      <c r="AJ603" s="110"/>
      <c r="AK603" s="68"/>
      <c r="AL603" s="68"/>
      <c r="AM603" s="110"/>
      <c r="AN603" s="110"/>
      <c r="AO603" s="68"/>
      <c r="AP603" s="68"/>
      <c r="AQ603" s="40"/>
      <c r="AR603" s="40"/>
      <c r="AS603" s="23"/>
    </row>
    <row r="604" spans="1:45" ht="15.75" x14ac:dyDescent="0.25">
      <c r="A604" s="44"/>
      <c r="B604" s="23"/>
      <c r="C604" s="23"/>
      <c r="D604" s="23"/>
      <c r="E604" s="68"/>
      <c r="F604" s="68"/>
      <c r="G604" s="110"/>
      <c r="H604" s="110"/>
      <c r="I604" s="68"/>
      <c r="J604" s="68"/>
      <c r="K604" s="110"/>
      <c r="L604" s="110"/>
      <c r="M604" s="68"/>
      <c r="N604" s="68"/>
      <c r="O604" s="110"/>
      <c r="P604" s="110"/>
      <c r="Q604" s="68"/>
      <c r="R604" s="68"/>
      <c r="S604" s="110"/>
      <c r="T604" s="110"/>
      <c r="U604" s="68"/>
      <c r="V604" s="68"/>
      <c r="W604" s="110"/>
      <c r="X604" s="110"/>
      <c r="Y604" s="110"/>
      <c r="Z604" s="110"/>
      <c r="AA604" s="110"/>
      <c r="AB604" s="110"/>
      <c r="AC604" s="114"/>
      <c r="AD604" s="68"/>
      <c r="AE604" s="110"/>
      <c r="AF604" s="110"/>
      <c r="AG604" s="68"/>
      <c r="AH604" s="68"/>
      <c r="AI604" s="110"/>
      <c r="AJ604" s="110"/>
      <c r="AK604" s="68"/>
      <c r="AL604" s="68"/>
      <c r="AM604" s="110"/>
      <c r="AN604" s="110"/>
      <c r="AO604" s="68"/>
      <c r="AP604" s="68"/>
      <c r="AQ604" s="40"/>
      <c r="AR604" s="40"/>
      <c r="AS604" s="23"/>
    </row>
    <row r="605" spans="1:45" ht="15.75" x14ac:dyDescent="0.25">
      <c r="A605" s="44"/>
      <c r="B605" s="23"/>
      <c r="C605" s="23"/>
      <c r="D605" s="23"/>
      <c r="E605" s="68"/>
      <c r="F605" s="68"/>
      <c r="G605" s="110"/>
      <c r="H605" s="110"/>
      <c r="I605" s="68"/>
      <c r="J605" s="68"/>
      <c r="K605" s="110"/>
      <c r="L605" s="110"/>
      <c r="M605" s="68"/>
      <c r="N605" s="68"/>
      <c r="O605" s="110"/>
      <c r="P605" s="110"/>
      <c r="Q605" s="68"/>
      <c r="R605" s="68"/>
      <c r="S605" s="110"/>
      <c r="T605" s="110"/>
      <c r="U605" s="68"/>
      <c r="V605" s="68"/>
      <c r="W605" s="110"/>
      <c r="X605" s="110"/>
      <c r="Y605" s="110"/>
      <c r="Z605" s="110"/>
      <c r="AA605" s="110"/>
      <c r="AB605" s="110"/>
      <c r="AC605" s="114"/>
      <c r="AD605" s="68"/>
      <c r="AE605" s="110"/>
      <c r="AF605" s="110"/>
      <c r="AG605" s="68"/>
      <c r="AH605" s="68"/>
      <c r="AI605" s="110"/>
      <c r="AJ605" s="110"/>
      <c r="AK605" s="68"/>
      <c r="AL605" s="68"/>
      <c r="AM605" s="110"/>
      <c r="AN605" s="110"/>
      <c r="AO605" s="68"/>
      <c r="AP605" s="68"/>
      <c r="AQ605" s="40"/>
      <c r="AR605" s="40"/>
      <c r="AS605" s="23"/>
    </row>
    <row r="606" spans="1:45" ht="15.75" x14ac:dyDescent="0.25">
      <c r="A606" s="44"/>
      <c r="B606" s="23"/>
      <c r="C606" s="23"/>
      <c r="D606" s="23"/>
      <c r="E606" s="68"/>
      <c r="F606" s="68"/>
      <c r="G606" s="110"/>
      <c r="H606" s="110"/>
      <c r="I606" s="68"/>
      <c r="J606" s="68"/>
      <c r="K606" s="110"/>
      <c r="L606" s="110"/>
      <c r="M606" s="68"/>
      <c r="N606" s="68"/>
      <c r="O606" s="110"/>
      <c r="P606" s="110"/>
      <c r="Q606" s="68"/>
      <c r="R606" s="68"/>
      <c r="S606" s="110"/>
      <c r="T606" s="110"/>
      <c r="U606" s="68"/>
      <c r="V606" s="68"/>
      <c r="W606" s="110"/>
      <c r="X606" s="110"/>
      <c r="Y606" s="110"/>
      <c r="Z606" s="110"/>
      <c r="AA606" s="110"/>
      <c r="AB606" s="110"/>
      <c r="AC606" s="114"/>
      <c r="AD606" s="68"/>
      <c r="AE606" s="110"/>
      <c r="AF606" s="110"/>
      <c r="AG606" s="68"/>
      <c r="AH606" s="68"/>
      <c r="AI606" s="110"/>
      <c r="AJ606" s="110"/>
      <c r="AK606" s="68"/>
      <c r="AL606" s="68"/>
      <c r="AM606" s="110"/>
      <c r="AN606" s="110"/>
      <c r="AO606" s="68"/>
      <c r="AP606" s="68"/>
      <c r="AQ606" s="40"/>
      <c r="AR606" s="40"/>
      <c r="AS606" s="23"/>
    </row>
    <row r="607" spans="1:45" ht="15.75" x14ac:dyDescent="0.25">
      <c r="A607" s="44"/>
      <c r="B607" s="23"/>
      <c r="C607" s="23"/>
      <c r="D607" s="23"/>
      <c r="E607" s="68"/>
      <c r="F607" s="68"/>
      <c r="G607" s="110"/>
      <c r="H607" s="110"/>
      <c r="I607" s="68"/>
      <c r="J607" s="68"/>
      <c r="K607" s="110"/>
      <c r="L607" s="110"/>
      <c r="M607" s="68"/>
      <c r="N607" s="68"/>
      <c r="O607" s="110"/>
      <c r="P607" s="110"/>
      <c r="Q607" s="68"/>
      <c r="R607" s="68"/>
      <c r="S607" s="110"/>
      <c r="T607" s="110"/>
      <c r="U607" s="68"/>
      <c r="V607" s="68"/>
      <c r="W607" s="110"/>
      <c r="X607" s="110"/>
      <c r="Y607" s="110"/>
      <c r="Z607" s="110"/>
      <c r="AA607" s="110"/>
      <c r="AB607" s="110"/>
      <c r="AC607" s="114"/>
      <c r="AD607" s="68"/>
      <c r="AE607" s="110"/>
      <c r="AF607" s="110"/>
      <c r="AG607" s="68"/>
      <c r="AH607" s="68"/>
      <c r="AI607" s="110"/>
      <c r="AJ607" s="110"/>
      <c r="AK607" s="68"/>
      <c r="AL607" s="68"/>
      <c r="AM607" s="110"/>
      <c r="AN607" s="110"/>
      <c r="AO607" s="68"/>
      <c r="AP607" s="68"/>
      <c r="AQ607" s="40"/>
      <c r="AR607" s="40"/>
      <c r="AS607" s="23"/>
    </row>
    <row r="608" spans="1:45" ht="15.75" x14ac:dyDescent="0.25">
      <c r="A608" s="44"/>
      <c r="B608" s="23"/>
      <c r="C608" s="23"/>
      <c r="D608" s="23"/>
      <c r="E608" s="68"/>
      <c r="F608" s="68"/>
      <c r="G608" s="110"/>
      <c r="H608" s="110"/>
      <c r="I608" s="68"/>
      <c r="J608" s="68"/>
      <c r="K608" s="110"/>
      <c r="L608" s="110"/>
      <c r="M608" s="68"/>
      <c r="N608" s="68"/>
      <c r="O608" s="110"/>
      <c r="P608" s="110"/>
      <c r="Q608" s="68"/>
      <c r="R608" s="68"/>
      <c r="S608" s="110"/>
      <c r="T608" s="110"/>
      <c r="U608" s="68"/>
      <c r="V608" s="68"/>
      <c r="W608" s="110"/>
      <c r="X608" s="110"/>
      <c r="Y608" s="110"/>
      <c r="Z608" s="110"/>
      <c r="AA608" s="110"/>
      <c r="AB608" s="110"/>
      <c r="AC608" s="114"/>
      <c r="AD608" s="68"/>
      <c r="AE608" s="110"/>
      <c r="AF608" s="110"/>
      <c r="AG608" s="68"/>
      <c r="AH608" s="68"/>
      <c r="AI608" s="110"/>
      <c r="AJ608" s="110"/>
      <c r="AK608" s="68"/>
      <c r="AL608" s="68"/>
      <c r="AM608" s="110"/>
      <c r="AN608" s="110"/>
      <c r="AO608" s="68"/>
      <c r="AP608" s="68"/>
      <c r="AQ608" s="40"/>
      <c r="AR608" s="40"/>
      <c r="AS608" s="23"/>
    </row>
    <row r="609" spans="1:45" ht="15.75" x14ac:dyDescent="0.25">
      <c r="A609" s="44"/>
      <c r="B609" s="23"/>
      <c r="C609" s="23"/>
      <c r="D609" s="23"/>
      <c r="E609" s="68"/>
      <c r="F609" s="68"/>
      <c r="G609" s="110"/>
      <c r="H609" s="110"/>
      <c r="I609" s="68"/>
      <c r="J609" s="68"/>
      <c r="K609" s="110"/>
      <c r="L609" s="110"/>
      <c r="M609" s="68"/>
      <c r="N609" s="68"/>
      <c r="O609" s="110"/>
      <c r="P609" s="110"/>
      <c r="Q609" s="68"/>
      <c r="R609" s="68"/>
      <c r="S609" s="110"/>
      <c r="T609" s="110"/>
      <c r="U609" s="68"/>
      <c r="V609" s="68"/>
      <c r="W609" s="110"/>
      <c r="X609" s="110"/>
      <c r="Y609" s="110"/>
      <c r="Z609" s="110"/>
      <c r="AA609" s="110"/>
      <c r="AB609" s="110"/>
      <c r="AC609" s="114"/>
      <c r="AD609" s="68"/>
      <c r="AE609" s="110"/>
      <c r="AF609" s="110"/>
      <c r="AG609" s="68"/>
      <c r="AH609" s="68"/>
      <c r="AI609" s="110"/>
      <c r="AJ609" s="110"/>
      <c r="AK609" s="68"/>
      <c r="AL609" s="68"/>
      <c r="AM609" s="110"/>
      <c r="AN609" s="110"/>
      <c r="AO609" s="68"/>
      <c r="AP609" s="68"/>
      <c r="AQ609" s="40"/>
      <c r="AR609" s="40"/>
      <c r="AS609" s="23"/>
    </row>
    <row r="610" spans="1:45" ht="15.75" x14ac:dyDescent="0.25">
      <c r="A610" s="44"/>
      <c r="B610" s="23"/>
      <c r="C610" s="23"/>
      <c r="D610" s="23"/>
      <c r="E610" s="68"/>
      <c r="F610" s="68"/>
      <c r="G610" s="110"/>
      <c r="H610" s="110"/>
      <c r="I610" s="68"/>
      <c r="J610" s="68"/>
      <c r="K610" s="110"/>
      <c r="L610" s="110"/>
      <c r="M610" s="68"/>
      <c r="N610" s="68"/>
      <c r="O610" s="110"/>
      <c r="P610" s="110"/>
      <c r="Q610" s="68"/>
      <c r="R610" s="68"/>
      <c r="S610" s="110"/>
      <c r="T610" s="110"/>
      <c r="U610" s="68"/>
      <c r="V610" s="68"/>
      <c r="W610" s="110"/>
      <c r="X610" s="110"/>
      <c r="Y610" s="110"/>
      <c r="Z610" s="110"/>
      <c r="AA610" s="110"/>
      <c r="AB610" s="110"/>
      <c r="AC610" s="114"/>
      <c r="AD610" s="68"/>
      <c r="AE610" s="110"/>
      <c r="AF610" s="110"/>
      <c r="AG610" s="68"/>
      <c r="AH610" s="68"/>
      <c r="AI610" s="110"/>
      <c r="AJ610" s="110"/>
      <c r="AK610" s="68"/>
      <c r="AL610" s="68"/>
      <c r="AM610" s="110"/>
      <c r="AN610" s="110"/>
      <c r="AO610" s="68"/>
      <c r="AP610" s="68"/>
      <c r="AQ610" s="40"/>
      <c r="AR610" s="40"/>
      <c r="AS610" s="23"/>
    </row>
    <row r="611" spans="1:45" ht="15.75" x14ac:dyDescent="0.25">
      <c r="A611" s="44"/>
      <c r="B611" s="23"/>
      <c r="C611" s="23"/>
      <c r="D611" s="23"/>
      <c r="E611" s="68"/>
      <c r="F611" s="68"/>
      <c r="G611" s="110"/>
      <c r="H611" s="110"/>
      <c r="I611" s="68"/>
      <c r="J611" s="68"/>
      <c r="K611" s="110"/>
      <c r="L611" s="110"/>
      <c r="M611" s="68"/>
      <c r="N611" s="68"/>
      <c r="O611" s="110"/>
      <c r="P611" s="110"/>
      <c r="Q611" s="68"/>
      <c r="R611" s="68"/>
      <c r="S611" s="110"/>
      <c r="T611" s="110"/>
      <c r="U611" s="68"/>
      <c r="V611" s="68"/>
      <c r="W611" s="110"/>
      <c r="X611" s="110"/>
      <c r="Y611" s="110"/>
      <c r="Z611" s="110"/>
      <c r="AA611" s="110"/>
      <c r="AB611" s="110"/>
      <c r="AC611" s="114"/>
      <c r="AD611" s="68"/>
      <c r="AE611" s="110"/>
      <c r="AF611" s="110"/>
      <c r="AG611" s="68"/>
      <c r="AH611" s="68"/>
      <c r="AI611" s="110"/>
      <c r="AJ611" s="110"/>
      <c r="AK611" s="68"/>
      <c r="AL611" s="68"/>
      <c r="AM611" s="110"/>
      <c r="AN611" s="110"/>
      <c r="AO611" s="68"/>
      <c r="AP611" s="68"/>
      <c r="AQ611" s="40"/>
      <c r="AR611" s="40"/>
      <c r="AS611" s="23"/>
    </row>
    <row r="612" spans="1:45" ht="15.75" x14ac:dyDescent="0.25">
      <c r="A612" s="44"/>
      <c r="B612" s="23"/>
      <c r="C612" s="23"/>
      <c r="D612" s="23"/>
      <c r="E612" s="68"/>
      <c r="F612" s="68"/>
      <c r="G612" s="110"/>
      <c r="H612" s="110"/>
      <c r="I612" s="68"/>
      <c r="J612" s="68"/>
      <c r="K612" s="110"/>
      <c r="L612" s="110"/>
      <c r="M612" s="68"/>
      <c r="N612" s="68"/>
      <c r="O612" s="110"/>
      <c r="P612" s="110"/>
      <c r="Q612" s="68"/>
      <c r="R612" s="68"/>
      <c r="S612" s="110"/>
      <c r="T612" s="110"/>
      <c r="U612" s="68"/>
      <c r="V612" s="68"/>
      <c r="W612" s="110"/>
      <c r="X612" s="110"/>
      <c r="Y612" s="110"/>
      <c r="Z612" s="110"/>
      <c r="AA612" s="110"/>
      <c r="AB612" s="110"/>
      <c r="AC612" s="114"/>
      <c r="AD612" s="68"/>
      <c r="AE612" s="110"/>
      <c r="AF612" s="110"/>
      <c r="AG612" s="68"/>
      <c r="AH612" s="68"/>
      <c r="AI612" s="110"/>
      <c r="AJ612" s="110"/>
      <c r="AK612" s="68"/>
      <c r="AL612" s="68"/>
      <c r="AM612" s="110"/>
      <c r="AN612" s="110"/>
      <c r="AO612" s="68"/>
      <c r="AP612" s="68"/>
      <c r="AQ612" s="40"/>
      <c r="AR612" s="40"/>
      <c r="AS612" s="23"/>
    </row>
    <row r="613" spans="1:45" ht="15.75" x14ac:dyDescent="0.25">
      <c r="A613" s="44"/>
      <c r="B613" s="23"/>
      <c r="C613" s="23"/>
      <c r="D613" s="23"/>
      <c r="E613" s="68"/>
      <c r="F613" s="68"/>
      <c r="G613" s="110"/>
      <c r="H613" s="110"/>
      <c r="I613" s="68"/>
      <c r="J613" s="68"/>
      <c r="K613" s="110"/>
      <c r="L613" s="110"/>
      <c r="M613" s="68"/>
      <c r="N613" s="68"/>
      <c r="O613" s="110"/>
      <c r="P613" s="110"/>
      <c r="Q613" s="68"/>
      <c r="R613" s="68"/>
      <c r="S613" s="110"/>
      <c r="T613" s="110"/>
      <c r="U613" s="68"/>
      <c r="V613" s="68"/>
      <c r="W613" s="110"/>
      <c r="X613" s="110"/>
      <c r="Y613" s="110"/>
      <c r="Z613" s="110"/>
      <c r="AA613" s="110"/>
      <c r="AB613" s="110"/>
      <c r="AC613" s="114"/>
      <c r="AD613" s="68"/>
      <c r="AE613" s="110"/>
      <c r="AF613" s="110"/>
      <c r="AG613" s="68"/>
      <c r="AH613" s="68"/>
      <c r="AI613" s="110"/>
      <c r="AJ613" s="110"/>
      <c r="AK613" s="68"/>
      <c r="AL613" s="68"/>
      <c r="AM613" s="110"/>
      <c r="AN613" s="110"/>
      <c r="AO613" s="68"/>
      <c r="AP613" s="68"/>
      <c r="AQ613" s="40"/>
      <c r="AR613" s="40"/>
      <c r="AS613" s="23"/>
    </row>
    <row r="614" spans="1:45" ht="15.75" x14ac:dyDescent="0.25">
      <c r="A614" s="44"/>
      <c r="B614" s="23"/>
      <c r="C614" s="23"/>
      <c r="D614" s="23"/>
      <c r="E614" s="68"/>
      <c r="F614" s="68"/>
      <c r="G614" s="110"/>
      <c r="H614" s="110"/>
      <c r="I614" s="68"/>
      <c r="J614" s="68"/>
      <c r="K614" s="110"/>
      <c r="L614" s="110"/>
      <c r="M614" s="68"/>
      <c r="N614" s="68"/>
      <c r="O614" s="110"/>
      <c r="P614" s="110"/>
      <c r="Q614" s="68"/>
      <c r="R614" s="68"/>
      <c r="S614" s="110"/>
      <c r="T614" s="110"/>
      <c r="U614" s="68"/>
      <c r="V614" s="68"/>
      <c r="W614" s="110"/>
      <c r="X614" s="110"/>
      <c r="Y614" s="110"/>
      <c r="Z614" s="110"/>
      <c r="AA614" s="110"/>
      <c r="AB614" s="110"/>
      <c r="AC614" s="114"/>
      <c r="AD614" s="68"/>
      <c r="AE614" s="110"/>
      <c r="AF614" s="110"/>
      <c r="AG614" s="68"/>
      <c r="AH614" s="68"/>
      <c r="AI614" s="110"/>
      <c r="AJ614" s="110"/>
      <c r="AK614" s="68"/>
      <c r="AL614" s="68"/>
      <c r="AM614" s="110"/>
      <c r="AN614" s="110"/>
      <c r="AO614" s="68"/>
      <c r="AP614" s="68"/>
      <c r="AQ614" s="40"/>
      <c r="AR614" s="40"/>
      <c r="AS614" s="23"/>
    </row>
    <row r="615" spans="1:45" ht="15.75" x14ac:dyDescent="0.25">
      <c r="A615" s="44"/>
      <c r="B615" s="23"/>
      <c r="C615" s="23"/>
      <c r="D615" s="23"/>
      <c r="E615" s="68"/>
      <c r="F615" s="68"/>
      <c r="G615" s="110"/>
      <c r="H615" s="110"/>
      <c r="I615" s="68"/>
      <c r="J615" s="68"/>
      <c r="K615" s="110"/>
      <c r="L615" s="110"/>
      <c r="M615" s="68"/>
      <c r="N615" s="68"/>
      <c r="O615" s="110"/>
      <c r="P615" s="110"/>
      <c r="Q615" s="68"/>
      <c r="R615" s="68"/>
      <c r="S615" s="110"/>
      <c r="T615" s="110"/>
      <c r="U615" s="68"/>
      <c r="V615" s="68"/>
      <c r="W615" s="110"/>
      <c r="X615" s="110"/>
      <c r="Y615" s="110"/>
      <c r="Z615" s="110"/>
      <c r="AA615" s="110"/>
      <c r="AB615" s="110"/>
      <c r="AC615" s="114"/>
      <c r="AD615" s="68"/>
      <c r="AE615" s="110"/>
      <c r="AF615" s="110"/>
      <c r="AG615" s="68"/>
      <c r="AH615" s="68"/>
      <c r="AI615" s="110"/>
      <c r="AJ615" s="110"/>
      <c r="AK615" s="68"/>
      <c r="AL615" s="68"/>
      <c r="AM615" s="110"/>
      <c r="AN615" s="110"/>
      <c r="AO615" s="68"/>
      <c r="AP615" s="68"/>
      <c r="AQ615" s="40"/>
      <c r="AR615" s="40"/>
      <c r="AS615" s="23"/>
    </row>
    <row r="616" spans="1:45" ht="15.75" x14ac:dyDescent="0.25">
      <c r="A616" s="44"/>
      <c r="B616" s="23"/>
      <c r="C616" s="23"/>
      <c r="D616" s="23"/>
      <c r="E616" s="68"/>
      <c r="F616" s="68"/>
      <c r="G616" s="110"/>
      <c r="H616" s="110"/>
      <c r="I616" s="68"/>
      <c r="J616" s="68"/>
      <c r="K616" s="110"/>
      <c r="L616" s="110"/>
      <c r="M616" s="68"/>
      <c r="N616" s="68"/>
      <c r="O616" s="110"/>
      <c r="P616" s="110"/>
      <c r="Q616" s="68"/>
      <c r="R616" s="68"/>
      <c r="S616" s="110"/>
      <c r="T616" s="110"/>
      <c r="U616" s="68"/>
      <c r="V616" s="68"/>
      <c r="W616" s="110"/>
      <c r="X616" s="110"/>
      <c r="Y616" s="110"/>
      <c r="Z616" s="110"/>
      <c r="AA616" s="110"/>
      <c r="AB616" s="110"/>
      <c r="AC616" s="114"/>
      <c r="AD616" s="68"/>
      <c r="AE616" s="110"/>
      <c r="AF616" s="110"/>
      <c r="AG616" s="68"/>
      <c r="AH616" s="68"/>
      <c r="AI616" s="110"/>
      <c r="AJ616" s="110"/>
      <c r="AK616" s="68"/>
      <c r="AL616" s="68"/>
      <c r="AM616" s="110"/>
      <c r="AN616" s="110"/>
      <c r="AO616" s="68"/>
      <c r="AP616" s="68"/>
      <c r="AQ616" s="40"/>
      <c r="AR616" s="40"/>
      <c r="AS616" s="23"/>
    </row>
    <row r="617" spans="1:45" ht="15.75" x14ac:dyDescent="0.25">
      <c r="A617" s="44"/>
      <c r="B617" s="23"/>
      <c r="C617" s="23"/>
      <c r="D617" s="23"/>
      <c r="E617" s="68"/>
      <c r="F617" s="68"/>
      <c r="G617" s="110"/>
      <c r="H617" s="110"/>
      <c r="I617" s="68"/>
      <c r="J617" s="68"/>
      <c r="K617" s="110"/>
      <c r="L617" s="110"/>
      <c r="M617" s="68"/>
      <c r="N617" s="68"/>
      <c r="O617" s="110"/>
      <c r="P617" s="110"/>
      <c r="Q617" s="68"/>
      <c r="R617" s="68"/>
      <c r="S617" s="110"/>
      <c r="T617" s="110"/>
      <c r="U617" s="68"/>
      <c r="V617" s="68"/>
      <c r="W617" s="110"/>
      <c r="X617" s="110"/>
      <c r="Y617" s="110"/>
      <c r="Z617" s="110"/>
      <c r="AA617" s="110"/>
      <c r="AB617" s="110"/>
      <c r="AC617" s="114"/>
      <c r="AD617" s="68"/>
      <c r="AE617" s="110"/>
      <c r="AF617" s="110"/>
      <c r="AG617" s="68"/>
      <c r="AH617" s="68"/>
      <c r="AI617" s="110"/>
      <c r="AJ617" s="110"/>
      <c r="AK617" s="68"/>
      <c r="AL617" s="68"/>
      <c r="AM617" s="110"/>
      <c r="AN617" s="110"/>
      <c r="AO617" s="68"/>
      <c r="AP617" s="68"/>
      <c r="AQ617" s="40"/>
      <c r="AR617" s="40"/>
      <c r="AS617" s="23"/>
    </row>
    <row r="618" spans="1:45" ht="15.75" x14ac:dyDescent="0.25">
      <c r="A618" s="44"/>
      <c r="B618" s="23"/>
      <c r="C618" s="23"/>
      <c r="D618" s="23"/>
      <c r="E618" s="68"/>
      <c r="F618" s="68"/>
      <c r="G618" s="110"/>
      <c r="H618" s="110"/>
      <c r="I618" s="68"/>
      <c r="J618" s="68"/>
      <c r="K618" s="110"/>
      <c r="L618" s="110"/>
      <c r="M618" s="68"/>
      <c r="N618" s="68"/>
      <c r="O618" s="110"/>
      <c r="P618" s="110"/>
      <c r="Q618" s="68"/>
      <c r="R618" s="68"/>
      <c r="S618" s="110"/>
      <c r="T618" s="110"/>
      <c r="U618" s="68"/>
      <c r="V618" s="68"/>
      <c r="W618" s="110"/>
      <c r="X618" s="110"/>
      <c r="Y618" s="110"/>
      <c r="Z618" s="110"/>
      <c r="AA618" s="110"/>
      <c r="AB618" s="110"/>
      <c r="AC618" s="114"/>
      <c r="AD618" s="68"/>
      <c r="AE618" s="110"/>
      <c r="AF618" s="110"/>
      <c r="AG618" s="68"/>
      <c r="AH618" s="68"/>
      <c r="AI618" s="110"/>
      <c r="AJ618" s="110"/>
      <c r="AK618" s="68"/>
      <c r="AL618" s="68"/>
      <c r="AM618" s="110"/>
      <c r="AN618" s="110"/>
      <c r="AO618" s="68"/>
      <c r="AP618" s="68"/>
      <c r="AQ618" s="40"/>
      <c r="AR618" s="40"/>
      <c r="AS618" s="23"/>
    </row>
    <row r="619" spans="1:45" ht="15.75" x14ac:dyDescent="0.25">
      <c r="A619" s="44"/>
      <c r="B619" s="23"/>
      <c r="C619" s="23"/>
      <c r="D619" s="23"/>
      <c r="E619" s="68"/>
      <c r="F619" s="68"/>
      <c r="G619" s="110"/>
      <c r="H619" s="110"/>
      <c r="I619" s="68"/>
      <c r="J619" s="68"/>
      <c r="K619" s="110"/>
      <c r="L619" s="110"/>
      <c r="M619" s="68"/>
      <c r="N619" s="68"/>
      <c r="O619" s="110"/>
      <c r="P619" s="110"/>
      <c r="Q619" s="68"/>
      <c r="R619" s="68"/>
      <c r="S619" s="110"/>
      <c r="T619" s="110"/>
      <c r="U619" s="68"/>
      <c r="V619" s="68"/>
      <c r="W619" s="110"/>
      <c r="X619" s="110"/>
      <c r="Y619" s="110"/>
      <c r="Z619" s="110"/>
      <c r="AA619" s="110"/>
      <c r="AB619" s="110"/>
      <c r="AC619" s="114"/>
      <c r="AD619" s="68"/>
      <c r="AE619" s="110"/>
      <c r="AF619" s="110"/>
      <c r="AG619" s="68"/>
      <c r="AH619" s="68"/>
      <c r="AI619" s="110"/>
      <c r="AJ619" s="110"/>
      <c r="AK619" s="68"/>
      <c r="AL619" s="68"/>
      <c r="AM619" s="110"/>
      <c r="AN619" s="110"/>
      <c r="AO619" s="68"/>
      <c r="AP619" s="68"/>
      <c r="AQ619" s="40"/>
      <c r="AR619" s="40"/>
      <c r="AS619" s="23"/>
    </row>
    <row r="620" spans="1:45" ht="15.75" x14ac:dyDescent="0.25">
      <c r="A620" s="44"/>
      <c r="B620" s="23"/>
      <c r="C620" s="23"/>
      <c r="D620" s="23"/>
      <c r="E620" s="68"/>
      <c r="F620" s="68"/>
      <c r="G620" s="110"/>
      <c r="H620" s="110"/>
      <c r="I620" s="68"/>
      <c r="J620" s="68"/>
      <c r="K620" s="110"/>
      <c r="L620" s="110"/>
      <c r="M620" s="68"/>
      <c r="N620" s="68"/>
      <c r="O620" s="110"/>
      <c r="P620" s="110"/>
      <c r="Q620" s="68"/>
      <c r="R620" s="68"/>
      <c r="S620" s="110"/>
      <c r="T620" s="110"/>
      <c r="U620" s="68"/>
      <c r="V620" s="68"/>
      <c r="W620" s="110"/>
      <c r="X620" s="110"/>
      <c r="Y620" s="110"/>
      <c r="Z620" s="110"/>
      <c r="AA620" s="110"/>
      <c r="AB620" s="110"/>
      <c r="AC620" s="114"/>
      <c r="AD620" s="68"/>
      <c r="AE620" s="110"/>
      <c r="AF620" s="110"/>
      <c r="AG620" s="68"/>
      <c r="AH620" s="68"/>
      <c r="AI620" s="110"/>
      <c r="AJ620" s="110"/>
      <c r="AK620" s="68"/>
      <c r="AL620" s="68"/>
      <c r="AM620" s="110"/>
      <c r="AN620" s="110"/>
      <c r="AO620" s="68"/>
      <c r="AP620" s="68"/>
      <c r="AQ620" s="40"/>
      <c r="AR620" s="40"/>
      <c r="AS620" s="23"/>
    </row>
    <row r="621" spans="1:45" ht="15.75" x14ac:dyDescent="0.25">
      <c r="A621" s="44"/>
      <c r="B621" s="23"/>
      <c r="C621" s="23"/>
      <c r="D621" s="23"/>
      <c r="E621" s="68"/>
      <c r="F621" s="68"/>
      <c r="G621" s="110"/>
      <c r="H621" s="110"/>
      <c r="I621" s="68"/>
      <c r="J621" s="68"/>
      <c r="K621" s="110"/>
      <c r="L621" s="110"/>
      <c r="M621" s="68"/>
      <c r="N621" s="68"/>
      <c r="O621" s="110"/>
      <c r="P621" s="110"/>
      <c r="Q621" s="68"/>
      <c r="R621" s="68"/>
      <c r="S621" s="110"/>
      <c r="T621" s="110"/>
      <c r="U621" s="68"/>
      <c r="V621" s="68"/>
      <c r="W621" s="110"/>
      <c r="X621" s="110"/>
      <c r="Y621" s="110"/>
      <c r="Z621" s="110"/>
      <c r="AA621" s="110"/>
      <c r="AB621" s="110"/>
      <c r="AC621" s="114"/>
      <c r="AD621" s="68"/>
      <c r="AE621" s="110"/>
      <c r="AF621" s="110"/>
      <c r="AG621" s="68"/>
      <c r="AH621" s="68"/>
      <c r="AI621" s="110"/>
      <c r="AJ621" s="110"/>
      <c r="AK621" s="68"/>
      <c r="AL621" s="68"/>
      <c r="AM621" s="110"/>
      <c r="AN621" s="110"/>
      <c r="AO621" s="68"/>
      <c r="AP621" s="68"/>
      <c r="AQ621" s="40"/>
      <c r="AR621" s="40"/>
      <c r="AS621" s="23"/>
    </row>
    <row r="622" spans="1:45" ht="15.75" x14ac:dyDescent="0.25">
      <c r="A622" s="44"/>
      <c r="B622" s="23"/>
      <c r="C622" s="23"/>
      <c r="D622" s="23"/>
      <c r="E622" s="68"/>
      <c r="F622" s="68"/>
      <c r="G622" s="110"/>
      <c r="H622" s="110"/>
      <c r="I622" s="68"/>
      <c r="J622" s="68"/>
      <c r="K622" s="110"/>
      <c r="L622" s="110"/>
      <c r="M622" s="68"/>
      <c r="N622" s="68"/>
      <c r="O622" s="110"/>
      <c r="P622" s="110"/>
      <c r="Q622" s="68"/>
      <c r="R622" s="68"/>
      <c r="S622" s="110"/>
      <c r="T622" s="110"/>
      <c r="U622" s="68"/>
      <c r="V622" s="68"/>
      <c r="W622" s="110"/>
      <c r="X622" s="110"/>
      <c r="Y622" s="110"/>
      <c r="Z622" s="110"/>
      <c r="AA622" s="110"/>
      <c r="AB622" s="110"/>
      <c r="AC622" s="114"/>
      <c r="AD622" s="68"/>
      <c r="AE622" s="110"/>
      <c r="AF622" s="110"/>
      <c r="AG622" s="68"/>
      <c r="AH622" s="68"/>
      <c r="AI622" s="110"/>
      <c r="AJ622" s="110"/>
      <c r="AK622" s="68"/>
      <c r="AL622" s="68"/>
      <c r="AM622" s="110"/>
      <c r="AN622" s="110"/>
      <c r="AO622" s="68"/>
      <c r="AP622" s="68"/>
      <c r="AQ622" s="40"/>
      <c r="AR622" s="40"/>
      <c r="AS622" s="23"/>
    </row>
    <row r="623" spans="1:45" ht="15.75" x14ac:dyDescent="0.25">
      <c r="A623" s="44"/>
      <c r="B623" s="23"/>
      <c r="C623" s="23"/>
      <c r="D623" s="23"/>
      <c r="E623" s="68"/>
      <c r="F623" s="68"/>
      <c r="G623" s="110"/>
      <c r="H623" s="110"/>
      <c r="I623" s="68"/>
      <c r="J623" s="68"/>
      <c r="K623" s="110"/>
      <c r="L623" s="110"/>
      <c r="M623" s="68"/>
      <c r="N623" s="68"/>
      <c r="O623" s="110"/>
      <c r="P623" s="110"/>
      <c r="Q623" s="68"/>
      <c r="R623" s="68"/>
      <c r="S623" s="110"/>
      <c r="T623" s="110"/>
      <c r="U623" s="68"/>
      <c r="V623" s="68"/>
      <c r="W623" s="110"/>
      <c r="X623" s="110"/>
      <c r="Y623" s="110"/>
      <c r="Z623" s="110"/>
      <c r="AA623" s="110"/>
      <c r="AB623" s="110"/>
      <c r="AC623" s="114"/>
      <c r="AD623" s="68"/>
      <c r="AE623" s="110"/>
      <c r="AF623" s="110"/>
      <c r="AG623" s="68"/>
      <c r="AH623" s="68"/>
      <c r="AI623" s="110"/>
      <c r="AJ623" s="110"/>
      <c r="AK623" s="68"/>
      <c r="AL623" s="68"/>
      <c r="AM623" s="110"/>
      <c r="AN623" s="110"/>
      <c r="AO623" s="68"/>
      <c r="AP623" s="68"/>
      <c r="AQ623" s="40"/>
      <c r="AR623" s="40"/>
      <c r="AS623" s="23"/>
    </row>
    <row r="624" spans="1:45" ht="15.75" x14ac:dyDescent="0.25">
      <c r="A624" s="44"/>
      <c r="B624" s="23"/>
      <c r="C624" s="23"/>
      <c r="D624" s="23"/>
      <c r="E624" s="68"/>
      <c r="F624" s="68"/>
      <c r="G624" s="110"/>
      <c r="H624" s="110"/>
      <c r="I624" s="68"/>
      <c r="J624" s="68"/>
      <c r="K624" s="110"/>
      <c r="L624" s="110"/>
      <c r="M624" s="68"/>
      <c r="N624" s="68"/>
      <c r="O624" s="110"/>
      <c r="P624" s="110"/>
      <c r="Q624" s="68"/>
      <c r="R624" s="68"/>
      <c r="S624" s="110"/>
      <c r="T624" s="110"/>
      <c r="U624" s="68"/>
      <c r="V624" s="68"/>
      <c r="W624" s="110"/>
      <c r="X624" s="110"/>
      <c r="Y624" s="110"/>
      <c r="Z624" s="110"/>
      <c r="AA624" s="110"/>
      <c r="AB624" s="110"/>
      <c r="AC624" s="114"/>
      <c r="AD624" s="68"/>
      <c r="AE624" s="110"/>
      <c r="AF624" s="110"/>
      <c r="AG624" s="68"/>
      <c r="AH624" s="68"/>
      <c r="AI624" s="110"/>
      <c r="AJ624" s="110"/>
      <c r="AK624" s="68"/>
      <c r="AL624" s="68"/>
      <c r="AM624" s="110"/>
      <c r="AN624" s="110"/>
      <c r="AO624" s="68"/>
      <c r="AP624" s="68"/>
      <c r="AQ624" s="40"/>
      <c r="AR624" s="40"/>
      <c r="AS624" s="23"/>
    </row>
    <row r="625" spans="1:45" ht="15.75" x14ac:dyDescent="0.25">
      <c r="A625" s="44"/>
      <c r="B625" s="23"/>
      <c r="C625" s="23"/>
      <c r="D625" s="23"/>
      <c r="E625" s="68"/>
      <c r="F625" s="68"/>
      <c r="G625" s="110"/>
      <c r="H625" s="110"/>
      <c r="I625" s="68"/>
      <c r="J625" s="68"/>
      <c r="K625" s="110"/>
      <c r="L625" s="110"/>
      <c r="M625" s="68"/>
      <c r="N625" s="68"/>
      <c r="O625" s="110"/>
      <c r="P625" s="110"/>
      <c r="Q625" s="68"/>
      <c r="R625" s="68"/>
      <c r="S625" s="110"/>
      <c r="T625" s="110"/>
      <c r="U625" s="68"/>
      <c r="V625" s="68"/>
      <c r="W625" s="110"/>
      <c r="X625" s="110"/>
      <c r="Y625" s="110"/>
      <c r="Z625" s="110"/>
      <c r="AA625" s="110"/>
      <c r="AB625" s="110"/>
      <c r="AC625" s="114"/>
      <c r="AD625" s="68"/>
      <c r="AE625" s="110"/>
      <c r="AF625" s="110"/>
      <c r="AG625" s="68"/>
      <c r="AH625" s="68"/>
      <c r="AI625" s="110"/>
      <c r="AJ625" s="110"/>
      <c r="AK625" s="68"/>
      <c r="AL625" s="68"/>
      <c r="AM625" s="110"/>
      <c r="AN625" s="110"/>
      <c r="AO625" s="68"/>
      <c r="AP625" s="68"/>
      <c r="AQ625" s="40"/>
      <c r="AR625" s="40"/>
      <c r="AS625" s="23"/>
    </row>
    <row r="626" spans="1:45" ht="15.75" x14ac:dyDescent="0.25">
      <c r="A626" s="44"/>
      <c r="B626" s="23"/>
      <c r="C626" s="23"/>
      <c r="D626" s="23"/>
      <c r="E626" s="68"/>
      <c r="F626" s="68"/>
      <c r="G626" s="110"/>
      <c r="H626" s="110"/>
      <c r="I626" s="68"/>
      <c r="J626" s="68"/>
      <c r="K626" s="110"/>
      <c r="L626" s="110"/>
      <c r="M626" s="68"/>
      <c r="N626" s="68"/>
      <c r="O626" s="110"/>
      <c r="P626" s="110"/>
      <c r="Q626" s="68"/>
      <c r="R626" s="68"/>
      <c r="S626" s="110"/>
      <c r="T626" s="110"/>
      <c r="U626" s="68"/>
      <c r="V626" s="68"/>
      <c r="W626" s="110"/>
      <c r="X626" s="110"/>
      <c r="Y626" s="110"/>
      <c r="Z626" s="110"/>
      <c r="AA626" s="110"/>
      <c r="AB626" s="110"/>
      <c r="AC626" s="114"/>
      <c r="AD626" s="68"/>
      <c r="AE626" s="110"/>
      <c r="AF626" s="110"/>
      <c r="AG626" s="68"/>
      <c r="AH626" s="68"/>
      <c r="AI626" s="110"/>
      <c r="AJ626" s="110"/>
      <c r="AK626" s="68"/>
      <c r="AL626" s="68"/>
      <c r="AM626" s="110"/>
      <c r="AN626" s="110"/>
      <c r="AO626" s="68"/>
      <c r="AP626" s="68"/>
      <c r="AQ626" s="40"/>
      <c r="AR626" s="40"/>
      <c r="AS626" s="23"/>
    </row>
    <row r="627" spans="1:45" ht="15.75" x14ac:dyDescent="0.25">
      <c r="A627" s="44"/>
      <c r="B627" s="23"/>
      <c r="C627" s="23"/>
      <c r="D627" s="23"/>
      <c r="E627" s="68"/>
      <c r="F627" s="68"/>
      <c r="G627" s="110"/>
      <c r="H627" s="110"/>
      <c r="I627" s="68"/>
      <c r="J627" s="68"/>
      <c r="K627" s="110"/>
      <c r="L627" s="110"/>
      <c r="M627" s="68"/>
      <c r="N627" s="68"/>
      <c r="O627" s="110"/>
      <c r="P627" s="110"/>
      <c r="Q627" s="68"/>
      <c r="R627" s="68"/>
      <c r="S627" s="110"/>
      <c r="T627" s="110"/>
      <c r="U627" s="68"/>
      <c r="V627" s="68"/>
      <c r="W627" s="110"/>
      <c r="X627" s="110"/>
      <c r="Y627" s="110"/>
      <c r="Z627" s="110"/>
      <c r="AA627" s="110"/>
      <c r="AB627" s="110"/>
      <c r="AC627" s="114"/>
      <c r="AD627" s="68"/>
      <c r="AE627" s="110"/>
      <c r="AF627" s="110"/>
      <c r="AG627" s="68"/>
      <c r="AH627" s="68"/>
      <c r="AI627" s="110"/>
      <c r="AJ627" s="110"/>
      <c r="AK627" s="68"/>
      <c r="AL627" s="68"/>
      <c r="AM627" s="110"/>
      <c r="AN627" s="110"/>
      <c r="AO627" s="68"/>
      <c r="AP627" s="68"/>
      <c r="AQ627" s="40"/>
      <c r="AR627" s="40"/>
      <c r="AS627" s="23"/>
    </row>
    <row r="628" spans="1:45" ht="15.75" x14ac:dyDescent="0.25">
      <c r="A628" s="44"/>
      <c r="B628" s="23"/>
      <c r="C628" s="23"/>
      <c r="D628" s="23"/>
      <c r="E628" s="68"/>
      <c r="F628" s="68"/>
      <c r="G628" s="110"/>
      <c r="H628" s="110"/>
      <c r="I628" s="68"/>
      <c r="J628" s="68"/>
      <c r="K628" s="110"/>
      <c r="L628" s="110"/>
      <c r="M628" s="68"/>
      <c r="N628" s="68"/>
      <c r="O628" s="110"/>
      <c r="P628" s="110"/>
      <c r="Q628" s="68"/>
      <c r="R628" s="68"/>
      <c r="S628" s="110"/>
      <c r="T628" s="110"/>
      <c r="U628" s="68"/>
      <c r="V628" s="68"/>
      <c r="W628" s="110"/>
      <c r="X628" s="110"/>
      <c r="Y628" s="110"/>
      <c r="Z628" s="110"/>
      <c r="AA628" s="110"/>
      <c r="AB628" s="110"/>
      <c r="AC628" s="114"/>
      <c r="AD628" s="68"/>
      <c r="AE628" s="110"/>
      <c r="AF628" s="110"/>
      <c r="AG628" s="68"/>
      <c r="AH628" s="68"/>
      <c r="AI628" s="110"/>
      <c r="AJ628" s="110"/>
      <c r="AK628" s="68"/>
      <c r="AL628" s="68"/>
      <c r="AM628" s="110"/>
      <c r="AN628" s="110"/>
      <c r="AO628" s="68"/>
      <c r="AP628" s="68"/>
      <c r="AQ628" s="40"/>
      <c r="AR628" s="40"/>
      <c r="AS628" s="23"/>
    </row>
    <row r="629" spans="1:45" ht="15.75" x14ac:dyDescent="0.25">
      <c r="A629" s="44"/>
      <c r="B629" s="23"/>
      <c r="C629" s="23"/>
      <c r="D629" s="23"/>
      <c r="E629" s="68"/>
      <c r="F629" s="68"/>
      <c r="G629" s="110"/>
      <c r="H629" s="110"/>
      <c r="I629" s="68"/>
      <c r="J629" s="68"/>
      <c r="K629" s="110"/>
      <c r="L629" s="110"/>
      <c r="M629" s="68"/>
      <c r="N629" s="68"/>
      <c r="O629" s="110"/>
      <c r="P629" s="110"/>
      <c r="Q629" s="68"/>
      <c r="R629" s="68"/>
      <c r="S629" s="110"/>
      <c r="T629" s="110"/>
      <c r="U629" s="68"/>
      <c r="V629" s="68"/>
      <c r="W629" s="110"/>
      <c r="X629" s="110"/>
      <c r="Y629" s="110"/>
      <c r="Z629" s="110"/>
      <c r="AA629" s="110"/>
      <c r="AB629" s="110"/>
      <c r="AC629" s="114"/>
      <c r="AD629" s="68"/>
      <c r="AE629" s="110"/>
      <c r="AF629" s="110"/>
      <c r="AG629" s="68"/>
      <c r="AH629" s="68"/>
      <c r="AI629" s="110"/>
      <c r="AJ629" s="110"/>
      <c r="AK629" s="68"/>
      <c r="AL629" s="68"/>
      <c r="AM629" s="110"/>
      <c r="AN629" s="110"/>
      <c r="AO629" s="68"/>
      <c r="AP629" s="68"/>
      <c r="AQ629" s="40"/>
      <c r="AR629" s="40"/>
      <c r="AS629" s="23"/>
    </row>
    <row r="630" spans="1:45" ht="15.75" x14ac:dyDescent="0.25">
      <c r="A630" s="44"/>
      <c r="B630" s="23"/>
      <c r="C630" s="23"/>
      <c r="D630" s="23"/>
      <c r="E630" s="68"/>
      <c r="F630" s="68"/>
      <c r="G630" s="110"/>
      <c r="H630" s="110"/>
      <c r="I630" s="68"/>
      <c r="J630" s="68"/>
      <c r="K630" s="110"/>
      <c r="L630" s="110"/>
      <c r="M630" s="68"/>
      <c r="N630" s="68"/>
      <c r="O630" s="110"/>
      <c r="P630" s="110"/>
      <c r="Q630" s="68"/>
      <c r="R630" s="68"/>
      <c r="S630" s="110"/>
      <c r="T630" s="110"/>
      <c r="U630" s="68"/>
      <c r="V630" s="68"/>
      <c r="W630" s="110"/>
      <c r="X630" s="110"/>
      <c r="Y630" s="110"/>
      <c r="Z630" s="110"/>
      <c r="AA630" s="110"/>
      <c r="AB630" s="110"/>
      <c r="AC630" s="114"/>
      <c r="AD630" s="68"/>
      <c r="AE630" s="110"/>
      <c r="AF630" s="110"/>
      <c r="AG630" s="68"/>
      <c r="AH630" s="68"/>
      <c r="AI630" s="110"/>
      <c r="AJ630" s="110"/>
      <c r="AK630" s="68"/>
      <c r="AL630" s="68"/>
      <c r="AM630" s="110"/>
      <c r="AN630" s="110"/>
      <c r="AO630" s="68"/>
      <c r="AP630" s="68"/>
      <c r="AQ630" s="40"/>
      <c r="AR630" s="40"/>
      <c r="AS630" s="23"/>
    </row>
    <row r="631" spans="1:45" ht="15.75" x14ac:dyDescent="0.25">
      <c r="A631" s="44"/>
      <c r="B631" s="23"/>
      <c r="C631" s="23"/>
      <c r="D631" s="23"/>
      <c r="E631" s="68"/>
      <c r="F631" s="68"/>
      <c r="G631" s="110"/>
      <c r="H631" s="110"/>
      <c r="I631" s="68"/>
      <c r="J631" s="68"/>
      <c r="K631" s="110"/>
      <c r="L631" s="110"/>
      <c r="M631" s="68"/>
      <c r="N631" s="68"/>
      <c r="O631" s="110"/>
      <c r="P631" s="110"/>
      <c r="Q631" s="68"/>
      <c r="R631" s="68"/>
      <c r="S631" s="110"/>
      <c r="T631" s="110"/>
      <c r="U631" s="68"/>
      <c r="V631" s="68"/>
      <c r="W631" s="110"/>
      <c r="X631" s="110"/>
      <c r="Y631" s="110"/>
      <c r="Z631" s="110"/>
      <c r="AA631" s="110"/>
      <c r="AB631" s="110"/>
      <c r="AC631" s="114"/>
      <c r="AD631" s="68"/>
      <c r="AE631" s="110"/>
      <c r="AF631" s="110"/>
      <c r="AG631" s="68"/>
      <c r="AH631" s="68"/>
      <c r="AI631" s="110"/>
      <c r="AJ631" s="110"/>
      <c r="AK631" s="68"/>
      <c r="AL631" s="68"/>
      <c r="AM631" s="110"/>
      <c r="AN631" s="110"/>
      <c r="AO631" s="68"/>
      <c r="AP631" s="68"/>
      <c r="AQ631" s="40"/>
      <c r="AR631" s="40"/>
      <c r="AS631" s="23"/>
    </row>
    <row r="632" spans="1:45" ht="15.75" x14ac:dyDescent="0.25">
      <c r="A632" s="44"/>
      <c r="B632" s="23"/>
      <c r="C632" s="23"/>
      <c r="D632" s="23"/>
      <c r="E632" s="68"/>
      <c r="F632" s="68"/>
      <c r="G632" s="110"/>
      <c r="H632" s="110"/>
      <c r="I632" s="68"/>
      <c r="J632" s="68"/>
      <c r="K632" s="110"/>
      <c r="L632" s="110"/>
      <c r="M632" s="68"/>
      <c r="N632" s="68"/>
      <c r="O632" s="110"/>
      <c r="P632" s="110"/>
      <c r="Q632" s="68"/>
      <c r="R632" s="68"/>
      <c r="S632" s="110"/>
      <c r="T632" s="110"/>
      <c r="U632" s="68"/>
      <c r="V632" s="68"/>
      <c r="W632" s="110"/>
      <c r="X632" s="110"/>
      <c r="Y632" s="110"/>
      <c r="Z632" s="110"/>
      <c r="AA632" s="110"/>
      <c r="AB632" s="110"/>
      <c r="AC632" s="114"/>
      <c r="AD632" s="68"/>
      <c r="AE632" s="110"/>
      <c r="AF632" s="110"/>
      <c r="AG632" s="68"/>
      <c r="AH632" s="68"/>
      <c r="AI632" s="110"/>
      <c r="AJ632" s="110"/>
      <c r="AK632" s="68"/>
      <c r="AL632" s="68"/>
      <c r="AM632" s="110"/>
      <c r="AN632" s="110"/>
      <c r="AO632" s="68"/>
      <c r="AP632" s="68"/>
      <c r="AQ632" s="40"/>
      <c r="AR632" s="40"/>
      <c r="AS632" s="23"/>
    </row>
    <row r="633" spans="1:45" ht="15.75" x14ac:dyDescent="0.25">
      <c r="A633" s="44"/>
      <c r="B633" s="23"/>
      <c r="C633" s="23"/>
      <c r="D633" s="23"/>
      <c r="E633" s="68"/>
      <c r="F633" s="68"/>
      <c r="G633" s="110"/>
      <c r="H633" s="110"/>
      <c r="I633" s="68"/>
      <c r="J633" s="68"/>
      <c r="K633" s="110"/>
      <c r="L633" s="110"/>
      <c r="M633" s="68"/>
      <c r="N633" s="68"/>
      <c r="O633" s="110"/>
      <c r="P633" s="110"/>
      <c r="Q633" s="68"/>
      <c r="R633" s="68"/>
      <c r="S633" s="110"/>
      <c r="T633" s="110"/>
      <c r="U633" s="68"/>
      <c r="V633" s="68"/>
      <c r="W633" s="110"/>
      <c r="X633" s="110"/>
      <c r="Y633" s="110"/>
      <c r="Z633" s="110"/>
      <c r="AA633" s="110"/>
      <c r="AB633" s="110"/>
      <c r="AC633" s="114"/>
      <c r="AD633" s="68"/>
      <c r="AE633" s="110"/>
      <c r="AF633" s="110"/>
      <c r="AG633" s="68"/>
      <c r="AH633" s="68"/>
      <c r="AI633" s="110"/>
      <c r="AJ633" s="110"/>
      <c r="AK633" s="68"/>
      <c r="AL633" s="68"/>
      <c r="AM633" s="110"/>
      <c r="AN633" s="110"/>
      <c r="AO633" s="68"/>
      <c r="AP633" s="68"/>
      <c r="AQ633" s="40"/>
      <c r="AR633" s="40"/>
      <c r="AS633" s="23"/>
    </row>
    <row r="634" spans="1:45" ht="15.75" x14ac:dyDescent="0.25">
      <c r="A634" s="44"/>
      <c r="B634" s="23"/>
      <c r="C634" s="23"/>
      <c r="D634" s="23"/>
      <c r="E634" s="68"/>
      <c r="F634" s="68"/>
      <c r="G634" s="110"/>
      <c r="H634" s="110"/>
      <c r="I634" s="68"/>
      <c r="J634" s="68"/>
      <c r="K634" s="110"/>
      <c r="L634" s="110"/>
      <c r="M634" s="68"/>
      <c r="N634" s="68"/>
      <c r="O634" s="110"/>
      <c r="P634" s="110"/>
      <c r="Q634" s="68"/>
      <c r="R634" s="68"/>
      <c r="S634" s="110"/>
      <c r="T634" s="110"/>
      <c r="U634" s="68"/>
      <c r="V634" s="68"/>
      <c r="W634" s="110"/>
      <c r="X634" s="110"/>
      <c r="Y634" s="110"/>
      <c r="Z634" s="110"/>
      <c r="AA634" s="110"/>
      <c r="AB634" s="110"/>
      <c r="AC634" s="114"/>
      <c r="AD634" s="68"/>
      <c r="AE634" s="110"/>
      <c r="AF634" s="110"/>
      <c r="AG634" s="68"/>
      <c r="AH634" s="68"/>
      <c r="AI634" s="110"/>
      <c r="AJ634" s="110"/>
      <c r="AK634" s="68"/>
      <c r="AL634" s="68"/>
      <c r="AM634" s="110"/>
      <c r="AN634" s="110"/>
      <c r="AO634" s="68"/>
      <c r="AP634" s="68"/>
      <c r="AQ634" s="40"/>
      <c r="AR634" s="40"/>
      <c r="AS634" s="23"/>
    </row>
    <row r="635" spans="1:45" ht="15.75" x14ac:dyDescent="0.25">
      <c r="A635" s="44"/>
      <c r="B635" s="23"/>
      <c r="C635" s="23"/>
      <c r="D635" s="23"/>
      <c r="E635" s="68"/>
      <c r="F635" s="68"/>
      <c r="G635" s="110"/>
      <c r="H635" s="110"/>
      <c r="I635" s="68"/>
      <c r="J635" s="68"/>
      <c r="K635" s="110"/>
      <c r="L635" s="110"/>
      <c r="M635" s="68"/>
      <c r="N635" s="68"/>
      <c r="O635" s="110"/>
      <c r="P635" s="110"/>
      <c r="Q635" s="68"/>
      <c r="R635" s="68"/>
      <c r="S635" s="110"/>
      <c r="T635" s="110"/>
      <c r="U635" s="68"/>
      <c r="V635" s="68"/>
      <c r="W635" s="110"/>
      <c r="X635" s="110"/>
      <c r="Y635" s="110"/>
      <c r="Z635" s="110"/>
      <c r="AA635" s="110"/>
      <c r="AB635" s="110"/>
      <c r="AC635" s="114"/>
      <c r="AD635" s="68"/>
      <c r="AE635" s="110"/>
      <c r="AF635" s="110"/>
      <c r="AG635" s="68"/>
      <c r="AH635" s="68"/>
      <c r="AI635" s="110"/>
      <c r="AJ635" s="110"/>
      <c r="AK635" s="68"/>
      <c r="AL635" s="68"/>
      <c r="AM635" s="110"/>
      <c r="AN635" s="110"/>
      <c r="AO635" s="68"/>
      <c r="AP635" s="68"/>
      <c r="AQ635" s="40"/>
      <c r="AR635" s="40"/>
      <c r="AS635" s="23"/>
    </row>
    <row r="636" spans="1:45" ht="15.75" x14ac:dyDescent="0.25">
      <c r="A636" s="44"/>
      <c r="B636" s="23"/>
      <c r="C636" s="23"/>
      <c r="D636" s="23"/>
      <c r="E636" s="68"/>
      <c r="F636" s="68"/>
      <c r="G636" s="110"/>
      <c r="H636" s="110"/>
      <c r="I636" s="68"/>
      <c r="J636" s="68"/>
      <c r="K636" s="110"/>
      <c r="L636" s="110"/>
      <c r="M636" s="68"/>
      <c r="N636" s="68"/>
      <c r="O636" s="110"/>
      <c r="P636" s="110"/>
      <c r="Q636" s="68"/>
      <c r="R636" s="68"/>
      <c r="S636" s="110"/>
      <c r="T636" s="110"/>
      <c r="U636" s="68"/>
      <c r="V636" s="68"/>
      <c r="W636" s="110"/>
      <c r="X636" s="110"/>
      <c r="Y636" s="110"/>
      <c r="Z636" s="110"/>
      <c r="AA636" s="110"/>
      <c r="AB636" s="110"/>
      <c r="AC636" s="114"/>
      <c r="AD636" s="68"/>
      <c r="AE636" s="110"/>
      <c r="AF636" s="110"/>
      <c r="AG636" s="68"/>
      <c r="AH636" s="68"/>
      <c r="AI636" s="110"/>
      <c r="AJ636" s="110"/>
      <c r="AK636" s="68"/>
      <c r="AL636" s="68"/>
      <c r="AM636" s="110"/>
      <c r="AN636" s="110"/>
      <c r="AO636" s="68"/>
      <c r="AP636" s="68"/>
      <c r="AQ636" s="40"/>
      <c r="AR636" s="40"/>
      <c r="AS636" s="23"/>
    </row>
    <row r="637" spans="1:45" ht="15.75" x14ac:dyDescent="0.25">
      <c r="A637" s="44"/>
      <c r="B637" s="23"/>
      <c r="C637" s="23"/>
      <c r="D637" s="23"/>
      <c r="E637" s="68"/>
      <c r="F637" s="68"/>
      <c r="G637" s="110"/>
      <c r="H637" s="110"/>
      <c r="I637" s="68"/>
      <c r="J637" s="68"/>
      <c r="K637" s="110"/>
      <c r="L637" s="110"/>
      <c r="M637" s="68"/>
      <c r="N637" s="68"/>
      <c r="O637" s="110"/>
      <c r="P637" s="110"/>
      <c r="Q637" s="68"/>
      <c r="R637" s="68"/>
      <c r="S637" s="110"/>
      <c r="T637" s="110"/>
      <c r="U637" s="68"/>
      <c r="V637" s="68"/>
      <c r="W637" s="110"/>
      <c r="X637" s="110"/>
      <c r="Y637" s="110"/>
      <c r="Z637" s="110"/>
      <c r="AA637" s="110"/>
      <c r="AB637" s="110"/>
      <c r="AC637" s="114"/>
      <c r="AD637" s="68"/>
      <c r="AE637" s="110"/>
      <c r="AF637" s="110"/>
      <c r="AG637" s="68"/>
      <c r="AH637" s="68"/>
      <c r="AI637" s="110"/>
      <c r="AJ637" s="110"/>
      <c r="AK637" s="68"/>
      <c r="AL637" s="68"/>
      <c r="AM637" s="110"/>
      <c r="AN637" s="110"/>
      <c r="AO637" s="68"/>
      <c r="AP637" s="68"/>
      <c r="AQ637" s="40"/>
      <c r="AR637" s="40"/>
      <c r="AS637" s="23"/>
    </row>
    <row r="638" spans="1:45" ht="15.75" x14ac:dyDescent="0.25">
      <c r="A638" s="44"/>
      <c r="B638" s="23"/>
      <c r="C638" s="23"/>
      <c r="D638" s="23"/>
      <c r="E638" s="68"/>
      <c r="F638" s="68"/>
      <c r="G638" s="110"/>
      <c r="H638" s="110"/>
      <c r="I638" s="68"/>
      <c r="J638" s="68"/>
      <c r="K638" s="110"/>
      <c r="L638" s="110"/>
      <c r="M638" s="68"/>
      <c r="N638" s="68"/>
      <c r="O638" s="110"/>
      <c r="P638" s="110"/>
      <c r="Q638" s="68"/>
      <c r="R638" s="68"/>
      <c r="S638" s="110"/>
      <c r="T638" s="110"/>
      <c r="U638" s="68"/>
      <c r="V638" s="68"/>
      <c r="W638" s="110"/>
      <c r="X638" s="110"/>
      <c r="Y638" s="110"/>
      <c r="Z638" s="110"/>
      <c r="AA638" s="110"/>
      <c r="AB638" s="110"/>
      <c r="AC638" s="114"/>
      <c r="AD638" s="68"/>
      <c r="AE638" s="110"/>
      <c r="AF638" s="110"/>
      <c r="AG638" s="68"/>
      <c r="AH638" s="68"/>
      <c r="AI638" s="110"/>
      <c r="AJ638" s="110"/>
      <c r="AK638" s="68"/>
      <c r="AL638" s="68"/>
      <c r="AM638" s="110"/>
      <c r="AN638" s="110"/>
      <c r="AO638" s="68"/>
      <c r="AP638" s="68"/>
      <c r="AQ638" s="40"/>
      <c r="AR638" s="40"/>
      <c r="AS638" s="23"/>
    </row>
    <row r="639" spans="1:45" ht="15.75" x14ac:dyDescent="0.25">
      <c r="A639" s="44"/>
      <c r="B639" s="23"/>
      <c r="C639" s="23"/>
      <c r="D639" s="23"/>
      <c r="E639" s="68"/>
      <c r="F639" s="68"/>
      <c r="G639" s="110"/>
      <c r="H639" s="110"/>
      <c r="I639" s="68"/>
      <c r="J639" s="68"/>
      <c r="K639" s="110"/>
      <c r="L639" s="110"/>
      <c r="M639" s="68"/>
      <c r="N639" s="68"/>
      <c r="O639" s="110"/>
      <c r="P639" s="110"/>
      <c r="Q639" s="68"/>
      <c r="R639" s="68"/>
      <c r="S639" s="110"/>
      <c r="T639" s="110"/>
      <c r="U639" s="68"/>
      <c r="V639" s="68"/>
      <c r="W639" s="110"/>
      <c r="X639" s="110"/>
      <c r="Y639" s="110"/>
      <c r="Z639" s="110"/>
      <c r="AA639" s="110"/>
      <c r="AB639" s="110"/>
      <c r="AC639" s="114"/>
      <c r="AD639" s="68"/>
      <c r="AE639" s="110"/>
      <c r="AF639" s="110"/>
      <c r="AG639" s="68"/>
      <c r="AH639" s="68"/>
      <c r="AI639" s="110"/>
      <c r="AJ639" s="110"/>
      <c r="AK639" s="68"/>
      <c r="AL639" s="68"/>
      <c r="AM639" s="110"/>
      <c r="AN639" s="110"/>
      <c r="AO639" s="68"/>
      <c r="AP639" s="68"/>
      <c r="AQ639" s="40"/>
      <c r="AR639" s="40"/>
      <c r="AS639" s="23"/>
    </row>
    <row r="640" spans="1:45" ht="15.75" x14ac:dyDescent="0.25">
      <c r="A640" s="44"/>
      <c r="B640" s="23"/>
      <c r="C640" s="23"/>
      <c r="D640" s="23"/>
      <c r="E640" s="68"/>
      <c r="F640" s="68"/>
      <c r="G640" s="110"/>
      <c r="H640" s="110"/>
      <c r="I640" s="68"/>
      <c r="J640" s="68"/>
      <c r="K640" s="110"/>
      <c r="L640" s="110"/>
      <c r="M640" s="68"/>
      <c r="N640" s="68"/>
      <c r="O640" s="110"/>
      <c r="P640" s="110"/>
      <c r="Q640" s="68"/>
      <c r="R640" s="68"/>
      <c r="S640" s="110"/>
      <c r="T640" s="110"/>
      <c r="U640" s="68"/>
      <c r="V640" s="68"/>
      <c r="W640" s="110"/>
      <c r="X640" s="110"/>
      <c r="Y640" s="110"/>
      <c r="Z640" s="110"/>
      <c r="AA640" s="110"/>
      <c r="AB640" s="110"/>
      <c r="AC640" s="114"/>
      <c r="AD640" s="68"/>
      <c r="AE640" s="110"/>
      <c r="AF640" s="110"/>
      <c r="AG640" s="68"/>
      <c r="AH640" s="68"/>
      <c r="AI640" s="110"/>
      <c r="AJ640" s="110"/>
      <c r="AK640" s="68"/>
      <c r="AL640" s="68"/>
      <c r="AM640" s="110"/>
      <c r="AN640" s="110"/>
      <c r="AO640" s="68"/>
      <c r="AP640" s="68"/>
      <c r="AQ640" s="40"/>
      <c r="AR640" s="40"/>
      <c r="AS640" s="23"/>
    </row>
    <row r="641" spans="1:45" ht="15.75" x14ac:dyDescent="0.25">
      <c r="A641" s="44"/>
      <c r="B641" s="23"/>
      <c r="C641" s="23"/>
      <c r="D641" s="23"/>
      <c r="E641" s="68"/>
      <c r="F641" s="68"/>
      <c r="G641" s="110"/>
      <c r="H641" s="110"/>
      <c r="I641" s="68"/>
      <c r="J641" s="68"/>
      <c r="K641" s="110"/>
      <c r="L641" s="110"/>
      <c r="M641" s="68"/>
      <c r="N641" s="68"/>
      <c r="O641" s="110"/>
      <c r="P641" s="110"/>
      <c r="Q641" s="68"/>
      <c r="R641" s="68"/>
      <c r="S641" s="110"/>
      <c r="T641" s="110"/>
      <c r="U641" s="68"/>
      <c r="V641" s="68"/>
      <c r="W641" s="110"/>
      <c r="X641" s="110"/>
      <c r="Y641" s="110"/>
      <c r="Z641" s="110"/>
      <c r="AA641" s="110"/>
      <c r="AB641" s="110"/>
      <c r="AC641" s="114"/>
      <c r="AD641" s="68"/>
      <c r="AE641" s="110"/>
      <c r="AF641" s="110"/>
      <c r="AG641" s="68"/>
      <c r="AH641" s="68"/>
      <c r="AI641" s="110"/>
      <c r="AJ641" s="110"/>
      <c r="AK641" s="68"/>
      <c r="AL641" s="68"/>
      <c r="AM641" s="110"/>
      <c r="AN641" s="110"/>
      <c r="AO641" s="68"/>
      <c r="AP641" s="68"/>
      <c r="AQ641" s="40"/>
      <c r="AR641" s="40"/>
      <c r="AS641" s="23"/>
    </row>
    <row r="642" spans="1:45" ht="15.75" x14ac:dyDescent="0.25">
      <c r="A642" s="44"/>
      <c r="B642" s="23"/>
      <c r="C642" s="23"/>
      <c r="D642" s="23"/>
      <c r="E642" s="68"/>
      <c r="F642" s="68"/>
      <c r="G642" s="110"/>
      <c r="H642" s="110"/>
      <c r="I642" s="68"/>
      <c r="J642" s="68"/>
      <c r="K642" s="110"/>
      <c r="L642" s="110"/>
      <c r="M642" s="68"/>
      <c r="N642" s="68"/>
      <c r="O642" s="110"/>
      <c r="P642" s="110"/>
      <c r="Q642" s="68"/>
      <c r="R642" s="68"/>
      <c r="S642" s="110"/>
      <c r="T642" s="110"/>
      <c r="U642" s="68"/>
      <c r="V642" s="68"/>
      <c r="W642" s="110"/>
      <c r="X642" s="110"/>
      <c r="Y642" s="110"/>
      <c r="Z642" s="110"/>
      <c r="AA642" s="110"/>
      <c r="AB642" s="110"/>
      <c r="AC642" s="114"/>
      <c r="AD642" s="68"/>
      <c r="AE642" s="110"/>
      <c r="AF642" s="110"/>
      <c r="AG642" s="68"/>
      <c r="AH642" s="68"/>
      <c r="AI642" s="110"/>
      <c r="AJ642" s="110"/>
      <c r="AK642" s="68"/>
      <c r="AL642" s="68"/>
      <c r="AM642" s="110"/>
      <c r="AN642" s="110"/>
      <c r="AO642" s="68"/>
      <c r="AP642" s="68"/>
      <c r="AQ642" s="40"/>
      <c r="AR642" s="40"/>
      <c r="AS642" s="23"/>
    </row>
    <row r="643" spans="1:45" ht="15.75" x14ac:dyDescent="0.25">
      <c r="A643" s="44"/>
      <c r="B643" s="23"/>
      <c r="C643" s="23"/>
      <c r="D643" s="23"/>
      <c r="E643" s="68"/>
      <c r="F643" s="68"/>
      <c r="G643" s="110"/>
      <c r="H643" s="110"/>
      <c r="I643" s="68"/>
      <c r="J643" s="68"/>
      <c r="K643" s="110"/>
      <c r="L643" s="110"/>
      <c r="M643" s="68"/>
      <c r="N643" s="68"/>
      <c r="O643" s="110"/>
      <c r="P643" s="110"/>
      <c r="Q643" s="68"/>
      <c r="R643" s="68"/>
      <c r="S643" s="110"/>
      <c r="T643" s="110"/>
      <c r="U643" s="68"/>
      <c r="V643" s="68"/>
      <c r="W643" s="110"/>
      <c r="X643" s="110"/>
      <c r="Y643" s="110"/>
      <c r="Z643" s="110"/>
      <c r="AA643" s="110"/>
      <c r="AB643" s="110"/>
      <c r="AC643" s="114"/>
      <c r="AD643" s="68"/>
      <c r="AE643" s="110"/>
      <c r="AF643" s="110"/>
      <c r="AG643" s="68"/>
      <c r="AH643" s="68"/>
      <c r="AI643" s="110"/>
      <c r="AJ643" s="110"/>
      <c r="AK643" s="68"/>
      <c r="AL643" s="68"/>
      <c r="AM643" s="110"/>
      <c r="AN643" s="110"/>
      <c r="AO643" s="68"/>
      <c r="AP643" s="68"/>
      <c r="AQ643" s="40"/>
      <c r="AR643" s="40"/>
      <c r="AS643" s="23"/>
    </row>
    <row r="644" spans="1:45" ht="15.75" x14ac:dyDescent="0.25">
      <c r="A644" s="44"/>
      <c r="B644" s="23"/>
      <c r="C644" s="23"/>
      <c r="D644" s="23"/>
      <c r="E644" s="68"/>
      <c r="F644" s="68"/>
      <c r="G644" s="110"/>
      <c r="H644" s="110"/>
      <c r="I644" s="68"/>
      <c r="J644" s="68"/>
      <c r="K644" s="110"/>
      <c r="L644" s="110"/>
      <c r="M644" s="68"/>
      <c r="N644" s="68"/>
      <c r="O644" s="110"/>
      <c r="P644" s="110"/>
      <c r="Q644" s="68"/>
      <c r="R644" s="68"/>
      <c r="S644" s="110"/>
      <c r="T644" s="110"/>
      <c r="U644" s="68"/>
      <c r="V644" s="68"/>
      <c r="W644" s="110"/>
      <c r="X644" s="110"/>
      <c r="Y644" s="110"/>
      <c r="Z644" s="110"/>
      <c r="AA644" s="110"/>
      <c r="AB644" s="110"/>
      <c r="AC644" s="114"/>
      <c r="AD644" s="68"/>
      <c r="AE644" s="110"/>
      <c r="AF644" s="110"/>
      <c r="AG644" s="68"/>
      <c r="AH644" s="68"/>
      <c r="AI644" s="110"/>
      <c r="AJ644" s="110"/>
      <c r="AK644" s="68"/>
      <c r="AL644" s="68"/>
      <c r="AM644" s="110"/>
      <c r="AN644" s="110"/>
      <c r="AO644" s="68"/>
      <c r="AP644" s="68"/>
      <c r="AQ644" s="40"/>
      <c r="AR644" s="40"/>
      <c r="AS644" s="23"/>
    </row>
    <row r="645" spans="1:45" ht="15.75" x14ac:dyDescent="0.25">
      <c r="A645" s="44"/>
      <c r="B645" s="23"/>
      <c r="C645" s="23"/>
      <c r="D645" s="23"/>
      <c r="E645" s="68"/>
      <c r="F645" s="68"/>
      <c r="G645" s="110"/>
      <c r="H645" s="110"/>
      <c r="I645" s="68"/>
      <c r="J645" s="68"/>
      <c r="K645" s="110"/>
      <c r="L645" s="110"/>
      <c r="M645" s="68"/>
      <c r="N645" s="68"/>
      <c r="O645" s="110"/>
      <c r="P645" s="110"/>
      <c r="Q645" s="68"/>
      <c r="R645" s="68"/>
      <c r="S645" s="110"/>
      <c r="T645" s="110"/>
      <c r="U645" s="68"/>
      <c r="V645" s="68"/>
      <c r="W645" s="110"/>
      <c r="X645" s="110"/>
      <c r="Y645" s="110"/>
      <c r="Z645" s="110"/>
      <c r="AA645" s="110"/>
      <c r="AB645" s="110"/>
      <c r="AC645" s="114"/>
      <c r="AD645" s="68"/>
      <c r="AE645" s="110"/>
      <c r="AF645" s="110"/>
      <c r="AG645" s="68"/>
      <c r="AH645" s="68"/>
      <c r="AI645" s="110"/>
      <c r="AJ645" s="110"/>
      <c r="AK645" s="68"/>
      <c r="AL645" s="68"/>
      <c r="AM645" s="110"/>
      <c r="AN645" s="110"/>
      <c r="AO645" s="68"/>
      <c r="AP645" s="68"/>
      <c r="AQ645" s="40"/>
      <c r="AR645" s="40"/>
      <c r="AS645" s="23"/>
    </row>
    <row r="646" spans="1:45" ht="15.75" x14ac:dyDescent="0.25">
      <c r="A646" s="44"/>
      <c r="B646" s="23"/>
      <c r="C646" s="23"/>
      <c r="D646" s="23"/>
      <c r="E646" s="68"/>
      <c r="F646" s="68"/>
      <c r="G646" s="110"/>
      <c r="H646" s="110"/>
      <c r="I646" s="68"/>
      <c r="J646" s="68"/>
      <c r="K646" s="110"/>
      <c r="L646" s="110"/>
      <c r="M646" s="68"/>
      <c r="N646" s="68"/>
      <c r="O646" s="110"/>
      <c r="P646" s="110"/>
      <c r="Q646" s="68"/>
      <c r="R646" s="68"/>
      <c r="S646" s="110"/>
      <c r="T646" s="110"/>
      <c r="U646" s="68"/>
      <c r="V646" s="68"/>
      <c r="W646" s="110"/>
      <c r="X646" s="110"/>
      <c r="Y646" s="110"/>
      <c r="Z646" s="110"/>
      <c r="AA646" s="110"/>
      <c r="AB646" s="110"/>
      <c r="AC646" s="114"/>
      <c r="AD646" s="68"/>
      <c r="AE646" s="110"/>
      <c r="AF646" s="110"/>
      <c r="AG646" s="68"/>
      <c r="AH646" s="68"/>
      <c r="AI646" s="110"/>
      <c r="AJ646" s="110"/>
      <c r="AK646" s="68"/>
      <c r="AL646" s="68"/>
      <c r="AM646" s="110"/>
      <c r="AN646" s="110"/>
      <c r="AO646" s="68"/>
      <c r="AP646" s="68"/>
      <c r="AQ646" s="40"/>
      <c r="AR646" s="40"/>
      <c r="AS646" s="23"/>
    </row>
    <row r="647" spans="1:45" ht="15.75" x14ac:dyDescent="0.25">
      <c r="A647" s="44"/>
      <c r="B647" s="23"/>
      <c r="C647" s="23"/>
      <c r="D647" s="23"/>
      <c r="E647" s="68"/>
      <c r="F647" s="68"/>
      <c r="G647" s="110"/>
      <c r="H647" s="110"/>
      <c r="I647" s="68"/>
      <c r="J647" s="68"/>
      <c r="K647" s="110"/>
      <c r="L647" s="110"/>
      <c r="M647" s="68"/>
      <c r="N647" s="68"/>
      <c r="O647" s="110"/>
      <c r="P647" s="110"/>
      <c r="Q647" s="68"/>
      <c r="R647" s="68"/>
      <c r="S647" s="110"/>
      <c r="T647" s="110"/>
      <c r="U647" s="68"/>
      <c r="V647" s="68"/>
      <c r="W647" s="110"/>
      <c r="X647" s="110"/>
      <c r="Y647" s="110"/>
      <c r="Z647" s="110"/>
      <c r="AA647" s="110"/>
      <c r="AB647" s="110"/>
      <c r="AC647" s="114"/>
      <c r="AD647" s="68"/>
      <c r="AE647" s="110"/>
      <c r="AF647" s="110"/>
      <c r="AG647" s="68"/>
      <c r="AH647" s="68"/>
      <c r="AI647" s="110"/>
      <c r="AJ647" s="110"/>
      <c r="AK647" s="68"/>
      <c r="AL647" s="68"/>
      <c r="AM647" s="110"/>
      <c r="AN647" s="110"/>
      <c r="AO647" s="68"/>
      <c r="AP647" s="68"/>
      <c r="AQ647" s="40"/>
      <c r="AR647" s="40"/>
      <c r="AS647" s="23"/>
    </row>
    <row r="648" spans="1:45" ht="15.75" x14ac:dyDescent="0.25">
      <c r="A648" s="44"/>
      <c r="B648" s="23"/>
      <c r="C648" s="23"/>
      <c r="D648" s="23"/>
      <c r="E648" s="68"/>
      <c r="F648" s="68"/>
      <c r="G648" s="110"/>
      <c r="H648" s="110"/>
      <c r="I648" s="68"/>
      <c r="J648" s="68"/>
      <c r="K648" s="110"/>
      <c r="L648" s="110"/>
      <c r="M648" s="68"/>
      <c r="N648" s="68"/>
      <c r="O648" s="110"/>
      <c r="P648" s="110"/>
      <c r="Q648" s="68"/>
      <c r="R648" s="68"/>
      <c r="S648" s="110"/>
      <c r="T648" s="110"/>
      <c r="U648" s="68"/>
      <c r="V648" s="68"/>
      <c r="W648" s="110"/>
      <c r="X648" s="110"/>
      <c r="Y648" s="110"/>
      <c r="Z648" s="110"/>
      <c r="AA648" s="110"/>
      <c r="AB648" s="110"/>
      <c r="AC648" s="114"/>
      <c r="AD648" s="68"/>
      <c r="AE648" s="110"/>
      <c r="AF648" s="110"/>
      <c r="AG648" s="68"/>
      <c r="AH648" s="68"/>
      <c r="AI648" s="110"/>
      <c r="AJ648" s="110"/>
      <c r="AK648" s="68"/>
      <c r="AL648" s="68"/>
      <c r="AM648" s="110"/>
      <c r="AN648" s="110"/>
      <c r="AO648" s="68"/>
      <c r="AP648" s="68"/>
      <c r="AQ648" s="40"/>
      <c r="AR648" s="40"/>
      <c r="AS648" s="23"/>
    </row>
    <row r="649" spans="1:45" ht="15.75" x14ac:dyDescent="0.25">
      <c r="A649" s="44"/>
      <c r="B649" s="23"/>
      <c r="C649" s="23"/>
      <c r="D649" s="23"/>
      <c r="E649" s="68"/>
      <c r="F649" s="68"/>
      <c r="G649" s="110"/>
      <c r="H649" s="110"/>
      <c r="I649" s="68"/>
      <c r="J649" s="68"/>
      <c r="K649" s="110"/>
      <c r="L649" s="110"/>
      <c r="M649" s="68"/>
      <c r="N649" s="68"/>
      <c r="O649" s="110"/>
      <c r="P649" s="110"/>
      <c r="Q649" s="68"/>
      <c r="R649" s="68"/>
      <c r="S649" s="110"/>
      <c r="T649" s="110"/>
      <c r="U649" s="68"/>
      <c r="V649" s="68"/>
      <c r="W649" s="110"/>
      <c r="X649" s="110"/>
      <c r="Y649" s="110"/>
      <c r="Z649" s="110"/>
      <c r="AA649" s="110"/>
      <c r="AB649" s="110"/>
      <c r="AC649" s="114"/>
      <c r="AD649" s="68"/>
      <c r="AE649" s="110"/>
      <c r="AF649" s="110"/>
      <c r="AG649" s="68"/>
      <c r="AH649" s="68"/>
      <c r="AI649" s="110"/>
      <c r="AJ649" s="110"/>
      <c r="AK649" s="68"/>
      <c r="AL649" s="68"/>
      <c r="AM649" s="110"/>
      <c r="AN649" s="110"/>
      <c r="AO649" s="68"/>
      <c r="AP649" s="68"/>
      <c r="AQ649" s="40"/>
      <c r="AR649" s="40"/>
      <c r="AS649" s="23"/>
    </row>
    <row r="650" spans="1:45" ht="15.75" x14ac:dyDescent="0.25">
      <c r="A650" s="44"/>
      <c r="B650" s="23"/>
      <c r="C650" s="23"/>
      <c r="D650" s="23"/>
      <c r="E650" s="68"/>
      <c r="F650" s="68"/>
      <c r="G650" s="110"/>
      <c r="H650" s="110"/>
      <c r="I650" s="68"/>
      <c r="J650" s="68"/>
      <c r="K650" s="110"/>
      <c r="L650" s="110"/>
      <c r="M650" s="68"/>
      <c r="N650" s="68"/>
      <c r="O650" s="110"/>
      <c r="P650" s="110"/>
      <c r="Q650" s="68"/>
      <c r="R650" s="68"/>
      <c r="S650" s="110"/>
      <c r="T650" s="110"/>
      <c r="U650" s="68"/>
      <c r="V650" s="68"/>
      <c r="W650" s="110"/>
      <c r="X650" s="110"/>
      <c r="Y650" s="110"/>
      <c r="Z650" s="110"/>
      <c r="AA650" s="110"/>
      <c r="AB650" s="110"/>
      <c r="AC650" s="114"/>
      <c r="AD650" s="68"/>
      <c r="AE650" s="110"/>
      <c r="AF650" s="110"/>
      <c r="AG650" s="68"/>
      <c r="AH650" s="68"/>
      <c r="AI650" s="110"/>
      <c r="AJ650" s="110"/>
      <c r="AK650" s="68"/>
      <c r="AL650" s="68"/>
      <c r="AM650" s="110"/>
      <c r="AN650" s="110"/>
      <c r="AO650" s="68"/>
      <c r="AP650" s="68"/>
      <c r="AQ650" s="40"/>
      <c r="AR650" s="40"/>
      <c r="AS650" s="23"/>
    </row>
    <row r="651" spans="1:45" ht="15.75" x14ac:dyDescent="0.25">
      <c r="A651" s="44"/>
      <c r="B651" s="23"/>
      <c r="C651" s="23"/>
      <c r="D651" s="23"/>
      <c r="E651" s="68"/>
      <c r="F651" s="68"/>
      <c r="G651" s="110"/>
      <c r="H651" s="110"/>
      <c r="I651" s="68"/>
      <c r="J651" s="68"/>
      <c r="K651" s="110"/>
      <c r="L651" s="110"/>
      <c r="M651" s="68"/>
      <c r="N651" s="68"/>
      <c r="O651" s="110"/>
      <c r="P651" s="110"/>
      <c r="Q651" s="68"/>
      <c r="R651" s="68"/>
      <c r="S651" s="110"/>
      <c r="T651" s="110"/>
      <c r="U651" s="68"/>
      <c r="V651" s="68"/>
      <c r="W651" s="110"/>
      <c r="X651" s="110"/>
      <c r="Y651" s="110"/>
      <c r="Z651" s="110"/>
      <c r="AA651" s="110"/>
      <c r="AB651" s="110"/>
      <c r="AC651" s="114"/>
      <c r="AD651" s="68"/>
      <c r="AE651" s="110"/>
      <c r="AF651" s="110"/>
      <c r="AG651" s="68"/>
      <c r="AH651" s="68"/>
      <c r="AI651" s="110"/>
      <c r="AJ651" s="110"/>
      <c r="AK651" s="68"/>
      <c r="AL651" s="68"/>
      <c r="AM651" s="110"/>
      <c r="AN651" s="110"/>
      <c r="AO651" s="68"/>
      <c r="AP651" s="68"/>
      <c r="AQ651" s="40"/>
      <c r="AR651" s="40"/>
      <c r="AS651" s="23"/>
    </row>
    <row r="652" spans="1:45" ht="15.75" x14ac:dyDescent="0.25">
      <c r="A652" s="44"/>
      <c r="B652" s="23"/>
      <c r="C652" s="23"/>
      <c r="D652" s="23"/>
      <c r="E652" s="68"/>
      <c r="F652" s="68"/>
      <c r="G652" s="110"/>
      <c r="H652" s="110"/>
      <c r="I652" s="68"/>
      <c r="J652" s="68"/>
      <c r="K652" s="110"/>
      <c r="L652" s="110"/>
      <c r="M652" s="68"/>
      <c r="N652" s="68"/>
      <c r="O652" s="110"/>
      <c r="P652" s="110"/>
      <c r="Q652" s="68"/>
      <c r="R652" s="68"/>
      <c r="S652" s="110"/>
      <c r="T652" s="110"/>
      <c r="U652" s="68"/>
      <c r="V652" s="68"/>
      <c r="W652" s="110"/>
      <c r="X652" s="110"/>
      <c r="Y652" s="110"/>
      <c r="Z652" s="110"/>
      <c r="AA652" s="110"/>
      <c r="AB652" s="110"/>
      <c r="AC652" s="114"/>
      <c r="AD652" s="68"/>
      <c r="AE652" s="110"/>
      <c r="AF652" s="110"/>
      <c r="AG652" s="68"/>
      <c r="AH652" s="68"/>
      <c r="AI652" s="110"/>
      <c r="AJ652" s="110"/>
      <c r="AK652" s="68"/>
      <c r="AL652" s="68"/>
      <c r="AM652" s="110"/>
      <c r="AN652" s="110"/>
      <c r="AO652" s="68"/>
      <c r="AP652" s="68"/>
      <c r="AQ652" s="40"/>
      <c r="AR652" s="40"/>
      <c r="AS652" s="23"/>
    </row>
    <row r="653" spans="1:45" ht="15.75" x14ac:dyDescent="0.25">
      <c r="A653" s="44"/>
      <c r="B653" s="23"/>
      <c r="C653" s="23"/>
      <c r="D653" s="23"/>
      <c r="E653" s="68"/>
      <c r="F653" s="68"/>
      <c r="G653" s="110"/>
      <c r="H653" s="110"/>
      <c r="I653" s="68"/>
      <c r="J653" s="68"/>
      <c r="K653" s="110"/>
      <c r="L653" s="110"/>
      <c r="M653" s="68"/>
      <c r="N653" s="68"/>
      <c r="O653" s="110"/>
      <c r="P653" s="110"/>
      <c r="Q653" s="68"/>
      <c r="R653" s="68"/>
      <c r="S653" s="110"/>
      <c r="T653" s="110"/>
      <c r="U653" s="68"/>
      <c r="V653" s="68"/>
      <c r="W653" s="110"/>
      <c r="X653" s="110"/>
      <c r="Y653" s="110"/>
      <c r="Z653" s="110"/>
      <c r="AA653" s="110"/>
      <c r="AB653" s="110"/>
      <c r="AC653" s="114"/>
      <c r="AD653" s="68"/>
      <c r="AE653" s="110"/>
      <c r="AF653" s="110"/>
      <c r="AG653" s="68"/>
      <c r="AH653" s="68"/>
      <c r="AI653" s="110"/>
      <c r="AJ653" s="110"/>
      <c r="AK653" s="68"/>
      <c r="AL653" s="68"/>
      <c r="AM653" s="110"/>
      <c r="AN653" s="110"/>
      <c r="AO653" s="68"/>
      <c r="AP653" s="68"/>
      <c r="AQ653" s="40"/>
      <c r="AR653" s="40"/>
      <c r="AS653" s="23"/>
    </row>
    <row r="654" spans="1:45" ht="15.75" x14ac:dyDescent="0.25">
      <c r="A654" s="44"/>
      <c r="B654" s="23"/>
      <c r="C654" s="23"/>
      <c r="D654" s="23"/>
      <c r="E654" s="68"/>
      <c r="F654" s="68"/>
      <c r="G654" s="110"/>
      <c r="H654" s="110"/>
      <c r="I654" s="68"/>
      <c r="J654" s="68"/>
      <c r="K654" s="110"/>
      <c r="L654" s="110"/>
      <c r="M654" s="68"/>
      <c r="N654" s="68"/>
      <c r="O654" s="110"/>
      <c r="P654" s="110"/>
      <c r="Q654" s="68"/>
      <c r="R654" s="68"/>
      <c r="S654" s="110"/>
      <c r="T654" s="110"/>
      <c r="U654" s="68"/>
      <c r="V654" s="68"/>
      <c r="W654" s="110"/>
      <c r="X654" s="110"/>
      <c r="Y654" s="110"/>
      <c r="Z654" s="110"/>
      <c r="AA654" s="110"/>
      <c r="AB654" s="110"/>
      <c r="AC654" s="114"/>
      <c r="AD654" s="68"/>
      <c r="AE654" s="110"/>
      <c r="AF654" s="110"/>
      <c r="AG654" s="68"/>
      <c r="AH654" s="68"/>
      <c r="AI654" s="110"/>
      <c r="AJ654" s="110"/>
      <c r="AK654" s="68"/>
      <c r="AL654" s="68"/>
      <c r="AM654" s="110"/>
      <c r="AN654" s="110"/>
      <c r="AO654" s="68"/>
      <c r="AP654" s="68"/>
      <c r="AQ654" s="40"/>
      <c r="AR654" s="40"/>
      <c r="AS654" s="23"/>
    </row>
    <row r="655" spans="1:45" ht="15.75" x14ac:dyDescent="0.25">
      <c r="A655" s="44"/>
      <c r="B655" s="23"/>
      <c r="C655" s="23"/>
      <c r="D655" s="23"/>
      <c r="E655" s="68"/>
      <c r="F655" s="68"/>
      <c r="G655" s="110"/>
      <c r="H655" s="110"/>
      <c r="I655" s="68"/>
      <c r="J655" s="68"/>
      <c r="K655" s="110"/>
      <c r="L655" s="110"/>
      <c r="M655" s="68"/>
      <c r="N655" s="68"/>
      <c r="O655" s="110"/>
      <c r="P655" s="110"/>
      <c r="Q655" s="68"/>
      <c r="R655" s="68"/>
      <c r="S655" s="110"/>
      <c r="T655" s="110"/>
      <c r="U655" s="68"/>
      <c r="V655" s="68"/>
      <c r="W655" s="110"/>
      <c r="X655" s="110"/>
      <c r="Y655" s="110"/>
      <c r="Z655" s="110"/>
      <c r="AA655" s="110"/>
      <c r="AB655" s="110"/>
      <c r="AC655" s="114"/>
      <c r="AD655" s="68"/>
      <c r="AE655" s="110"/>
      <c r="AF655" s="110"/>
      <c r="AG655" s="68"/>
      <c r="AH655" s="68"/>
      <c r="AI655" s="110"/>
      <c r="AJ655" s="110"/>
      <c r="AK655" s="68"/>
      <c r="AL655" s="68"/>
      <c r="AM655" s="110"/>
      <c r="AN655" s="110"/>
      <c r="AO655" s="68"/>
      <c r="AP655" s="68"/>
      <c r="AQ655" s="40"/>
      <c r="AR655" s="40"/>
      <c r="AS655" s="23"/>
    </row>
    <row r="656" spans="1:45" ht="15.75" x14ac:dyDescent="0.25">
      <c r="A656" s="44"/>
      <c r="B656" s="23"/>
      <c r="C656" s="23"/>
      <c r="D656" s="23"/>
      <c r="E656" s="68"/>
      <c r="F656" s="68"/>
      <c r="G656" s="110"/>
      <c r="H656" s="110"/>
      <c r="I656" s="68"/>
      <c r="J656" s="68"/>
      <c r="K656" s="110"/>
      <c r="L656" s="110"/>
      <c r="M656" s="68"/>
      <c r="N656" s="68"/>
      <c r="O656" s="110"/>
      <c r="P656" s="110"/>
      <c r="Q656" s="68"/>
      <c r="R656" s="68"/>
      <c r="S656" s="110"/>
      <c r="T656" s="110"/>
      <c r="U656" s="68"/>
      <c r="V656" s="68"/>
      <c r="W656" s="110"/>
      <c r="X656" s="110"/>
      <c r="Y656" s="110"/>
      <c r="Z656" s="110"/>
      <c r="AA656" s="110"/>
      <c r="AB656" s="110"/>
      <c r="AC656" s="114"/>
      <c r="AD656" s="68"/>
      <c r="AE656" s="110"/>
      <c r="AF656" s="110"/>
      <c r="AG656" s="68"/>
      <c r="AH656" s="68"/>
      <c r="AI656" s="110"/>
      <c r="AJ656" s="110"/>
      <c r="AK656" s="68"/>
      <c r="AL656" s="68"/>
      <c r="AM656" s="110"/>
      <c r="AN656" s="110"/>
      <c r="AO656" s="68"/>
      <c r="AP656" s="68"/>
      <c r="AQ656" s="40"/>
      <c r="AR656" s="40"/>
      <c r="AS656" s="23"/>
    </row>
    <row r="657" spans="1:45" ht="15.75" x14ac:dyDescent="0.25">
      <c r="A657" s="44"/>
      <c r="B657" s="23"/>
      <c r="C657" s="23"/>
      <c r="D657" s="23"/>
      <c r="E657" s="68"/>
      <c r="F657" s="68"/>
      <c r="G657" s="110"/>
      <c r="H657" s="110"/>
      <c r="I657" s="68"/>
      <c r="J657" s="68"/>
      <c r="K657" s="110"/>
      <c r="L657" s="110"/>
      <c r="M657" s="68"/>
      <c r="N657" s="68"/>
      <c r="O657" s="110"/>
      <c r="P657" s="110"/>
      <c r="Q657" s="68"/>
      <c r="R657" s="68"/>
      <c r="S657" s="110"/>
      <c r="T657" s="110"/>
      <c r="U657" s="68"/>
      <c r="V657" s="68"/>
      <c r="W657" s="110"/>
      <c r="X657" s="110"/>
      <c r="Y657" s="110"/>
      <c r="Z657" s="110"/>
      <c r="AA657" s="110"/>
      <c r="AB657" s="110"/>
      <c r="AC657" s="114"/>
      <c r="AD657" s="68"/>
      <c r="AE657" s="110"/>
      <c r="AF657" s="110"/>
      <c r="AG657" s="68"/>
      <c r="AH657" s="68"/>
      <c r="AI657" s="110"/>
      <c r="AJ657" s="110"/>
      <c r="AK657" s="68"/>
      <c r="AL657" s="68"/>
      <c r="AM657" s="110"/>
      <c r="AN657" s="110"/>
      <c r="AO657" s="68"/>
      <c r="AP657" s="68"/>
      <c r="AQ657" s="40"/>
      <c r="AR657" s="40"/>
      <c r="AS657" s="23"/>
    </row>
    <row r="658" spans="1:45" ht="15.75" x14ac:dyDescent="0.25">
      <c r="A658" s="44"/>
      <c r="B658" s="23"/>
      <c r="C658" s="23"/>
      <c r="D658" s="23"/>
      <c r="E658" s="68"/>
      <c r="F658" s="68"/>
      <c r="G658" s="110"/>
      <c r="H658" s="110"/>
      <c r="I658" s="68"/>
      <c r="J658" s="68"/>
      <c r="K658" s="110"/>
      <c r="L658" s="110"/>
      <c r="M658" s="68"/>
      <c r="N658" s="68"/>
      <c r="O658" s="110"/>
      <c r="P658" s="110"/>
      <c r="Q658" s="68"/>
      <c r="R658" s="68"/>
      <c r="S658" s="110"/>
      <c r="T658" s="110"/>
      <c r="U658" s="68"/>
      <c r="V658" s="68"/>
      <c r="W658" s="110"/>
      <c r="X658" s="110"/>
      <c r="Y658" s="110"/>
      <c r="Z658" s="110"/>
      <c r="AA658" s="110"/>
      <c r="AB658" s="110"/>
      <c r="AC658" s="114"/>
      <c r="AD658" s="68"/>
      <c r="AE658" s="110"/>
      <c r="AF658" s="110"/>
      <c r="AG658" s="68"/>
      <c r="AH658" s="68"/>
      <c r="AI658" s="110"/>
      <c r="AJ658" s="110"/>
      <c r="AK658" s="68"/>
      <c r="AL658" s="68"/>
      <c r="AM658" s="110"/>
      <c r="AN658" s="110"/>
      <c r="AO658" s="68"/>
      <c r="AP658" s="68"/>
      <c r="AQ658" s="40"/>
      <c r="AR658" s="40"/>
      <c r="AS658" s="23"/>
    </row>
    <row r="659" spans="1:45" ht="15.75" x14ac:dyDescent="0.25">
      <c r="A659" s="44"/>
      <c r="B659" s="23"/>
      <c r="C659" s="23"/>
      <c r="D659" s="23"/>
      <c r="E659" s="68"/>
      <c r="F659" s="68"/>
      <c r="G659" s="110"/>
      <c r="H659" s="110"/>
      <c r="I659" s="68"/>
      <c r="J659" s="68"/>
      <c r="K659" s="110"/>
      <c r="L659" s="110"/>
      <c r="M659" s="68"/>
      <c r="N659" s="68"/>
      <c r="O659" s="110"/>
      <c r="P659" s="110"/>
      <c r="Q659" s="68"/>
      <c r="R659" s="68"/>
      <c r="S659" s="110"/>
      <c r="T659" s="110"/>
      <c r="U659" s="68"/>
      <c r="V659" s="68"/>
      <c r="W659" s="110"/>
      <c r="X659" s="110"/>
      <c r="Y659" s="110"/>
      <c r="Z659" s="110"/>
      <c r="AA659" s="110"/>
      <c r="AB659" s="110"/>
      <c r="AC659" s="114"/>
      <c r="AD659" s="68"/>
      <c r="AE659" s="110"/>
      <c r="AF659" s="110"/>
      <c r="AG659" s="68"/>
      <c r="AH659" s="68"/>
      <c r="AI659" s="110"/>
      <c r="AJ659" s="110"/>
      <c r="AK659" s="68"/>
      <c r="AL659" s="68"/>
      <c r="AM659" s="110"/>
      <c r="AN659" s="110"/>
      <c r="AO659" s="68"/>
      <c r="AP659" s="68"/>
      <c r="AQ659" s="40"/>
      <c r="AR659" s="40"/>
      <c r="AS659" s="23"/>
    </row>
    <row r="660" spans="1:45" ht="15.75" x14ac:dyDescent="0.25">
      <c r="A660" s="44"/>
      <c r="B660" s="23"/>
      <c r="C660" s="23"/>
      <c r="D660" s="23"/>
      <c r="E660" s="68"/>
      <c r="F660" s="68"/>
      <c r="G660" s="110"/>
      <c r="H660" s="110"/>
      <c r="I660" s="68"/>
      <c r="J660" s="68"/>
      <c r="K660" s="110"/>
      <c r="L660" s="110"/>
      <c r="M660" s="68"/>
      <c r="N660" s="68"/>
      <c r="O660" s="110"/>
      <c r="P660" s="110"/>
      <c r="Q660" s="68"/>
      <c r="R660" s="68"/>
      <c r="S660" s="110"/>
      <c r="T660" s="110"/>
      <c r="U660" s="68"/>
      <c r="V660" s="68"/>
      <c r="W660" s="110"/>
      <c r="X660" s="110"/>
      <c r="Y660" s="110"/>
      <c r="Z660" s="110"/>
      <c r="AA660" s="110"/>
      <c r="AB660" s="110"/>
      <c r="AC660" s="114"/>
      <c r="AD660" s="68"/>
      <c r="AE660" s="110"/>
      <c r="AF660" s="110"/>
      <c r="AG660" s="68"/>
      <c r="AH660" s="68"/>
      <c r="AI660" s="110"/>
      <c r="AJ660" s="110"/>
      <c r="AK660" s="68"/>
      <c r="AL660" s="68"/>
      <c r="AM660" s="110"/>
      <c r="AN660" s="110"/>
      <c r="AO660" s="68"/>
      <c r="AP660" s="68"/>
      <c r="AQ660" s="40"/>
      <c r="AR660" s="40"/>
      <c r="AS660" s="23"/>
    </row>
    <row r="661" spans="1:45" ht="15.75" x14ac:dyDescent="0.25">
      <c r="A661" s="44"/>
      <c r="B661" s="23"/>
      <c r="C661" s="23"/>
      <c r="D661" s="23"/>
      <c r="E661" s="68"/>
      <c r="F661" s="68"/>
      <c r="G661" s="110"/>
      <c r="H661" s="110"/>
      <c r="I661" s="68"/>
      <c r="J661" s="68"/>
      <c r="K661" s="110"/>
      <c r="L661" s="110"/>
      <c r="M661" s="68"/>
      <c r="N661" s="68"/>
      <c r="O661" s="110"/>
      <c r="P661" s="110"/>
      <c r="Q661" s="68"/>
      <c r="R661" s="68"/>
      <c r="S661" s="110"/>
      <c r="T661" s="110"/>
      <c r="U661" s="68"/>
      <c r="V661" s="68"/>
      <c r="W661" s="110"/>
      <c r="X661" s="110"/>
      <c r="Y661" s="110"/>
      <c r="Z661" s="110"/>
      <c r="AA661" s="110"/>
      <c r="AB661" s="110"/>
      <c r="AC661" s="114"/>
      <c r="AD661" s="68"/>
      <c r="AE661" s="110"/>
      <c r="AF661" s="110"/>
      <c r="AG661" s="68"/>
      <c r="AH661" s="68"/>
      <c r="AI661" s="110"/>
      <c r="AJ661" s="110"/>
      <c r="AK661" s="68"/>
      <c r="AL661" s="68"/>
      <c r="AM661" s="110"/>
      <c r="AN661" s="110"/>
      <c r="AO661" s="68"/>
      <c r="AP661" s="68"/>
      <c r="AQ661" s="40"/>
      <c r="AR661" s="40"/>
      <c r="AS661" s="23"/>
    </row>
    <row r="662" spans="1:45" ht="15.75" x14ac:dyDescent="0.25">
      <c r="A662" s="44"/>
      <c r="B662" s="23"/>
      <c r="C662" s="23"/>
      <c r="D662" s="23"/>
      <c r="E662" s="68"/>
      <c r="F662" s="68"/>
      <c r="G662" s="110"/>
      <c r="H662" s="110"/>
      <c r="I662" s="68"/>
      <c r="J662" s="68"/>
      <c r="K662" s="110"/>
      <c r="L662" s="110"/>
      <c r="M662" s="68"/>
      <c r="N662" s="68"/>
      <c r="O662" s="110"/>
      <c r="P662" s="110"/>
      <c r="Q662" s="68"/>
      <c r="R662" s="68"/>
      <c r="S662" s="110"/>
      <c r="T662" s="110"/>
      <c r="U662" s="68"/>
      <c r="V662" s="68"/>
      <c r="W662" s="110"/>
      <c r="X662" s="110"/>
      <c r="Y662" s="110"/>
      <c r="Z662" s="110"/>
      <c r="AA662" s="110"/>
      <c r="AB662" s="110"/>
      <c r="AC662" s="114"/>
      <c r="AD662" s="68"/>
      <c r="AE662" s="110"/>
      <c r="AF662" s="110"/>
      <c r="AG662" s="68"/>
      <c r="AH662" s="68"/>
      <c r="AI662" s="110"/>
      <c r="AJ662" s="110"/>
      <c r="AK662" s="68"/>
      <c r="AL662" s="68"/>
      <c r="AM662" s="110"/>
      <c r="AN662" s="110"/>
      <c r="AO662" s="68"/>
      <c r="AP662" s="68"/>
      <c r="AQ662" s="40"/>
      <c r="AR662" s="40"/>
      <c r="AS662" s="23"/>
    </row>
    <row r="663" spans="1:45" ht="15.75" x14ac:dyDescent="0.25">
      <c r="A663" s="44"/>
      <c r="B663" s="23"/>
      <c r="C663" s="23"/>
      <c r="D663" s="23"/>
      <c r="E663" s="68"/>
      <c r="F663" s="68"/>
      <c r="G663" s="110"/>
      <c r="H663" s="110"/>
      <c r="I663" s="68"/>
      <c r="J663" s="68"/>
      <c r="K663" s="110"/>
      <c r="L663" s="110"/>
      <c r="M663" s="68"/>
      <c r="N663" s="68"/>
      <c r="O663" s="110"/>
      <c r="P663" s="110"/>
      <c r="Q663" s="68"/>
      <c r="R663" s="68"/>
      <c r="S663" s="110"/>
      <c r="T663" s="110"/>
      <c r="U663" s="68"/>
      <c r="V663" s="68"/>
      <c r="W663" s="110"/>
      <c r="X663" s="110"/>
      <c r="Y663" s="110"/>
      <c r="Z663" s="110"/>
      <c r="AA663" s="110"/>
      <c r="AB663" s="110"/>
      <c r="AC663" s="114"/>
      <c r="AD663" s="68"/>
      <c r="AE663" s="110"/>
      <c r="AF663" s="110"/>
      <c r="AG663" s="68"/>
      <c r="AH663" s="68"/>
      <c r="AI663" s="110"/>
      <c r="AJ663" s="110"/>
      <c r="AK663" s="68"/>
      <c r="AL663" s="68"/>
      <c r="AM663" s="110"/>
      <c r="AN663" s="110"/>
      <c r="AO663" s="68"/>
      <c r="AP663" s="68"/>
      <c r="AQ663" s="40"/>
      <c r="AR663" s="40"/>
      <c r="AS663" s="23"/>
    </row>
    <row r="664" spans="1:45" ht="15.75" x14ac:dyDescent="0.25">
      <c r="A664" s="44"/>
      <c r="B664" s="23"/>
      <c r="C664" s="23"/>
      <c r="D664" s="23"/>
      <c r="E664" s="68"/>
      <c r="F664" s="68"/>
      <c r="G664" s="110"/>
      <c r="H664" s="110"/>
      <c r="I664" s="68"/>
      <c r="J664" s="68"/>
      <c r="K664" s="110"/>
      <c r="L664" s="110"/>
      <c r="M664" s="68"/>
      <c r="N664" s="68"/>
      <c r="O664" s="110"/>
      <c r="P664" s="110"/>
      <c r="Q664" s="68"/>
      <c r="R664" s="68"/>
      <c r="S664" s="110"/>
      <c r="T664" s="110"/>
      <c r="U664" s="68"/>
      <c r="V664" s="68"/>
      <c r="W664" s="110"/>
      <c r="X664" s="110"/>
      <c r="Y664" s="110"/>
      <c r="Z664" s="110"/>
      <c r="AA664" s="110"/>
      <c r="AB664" s="110"/>
      <c r="AC664" s="114"/>
      <c r="AD664" s="68"/>
      <c r="AE664" s="110"/>
      <c r="AF664" s="110"/>
      <c r="AG664" s="68"/>
      <c r="AH664" s="68"/>
      <c r="AI664" s="110"/>
      <c r="AJ664" s="110"/>
      <c r="AK664" s="68"/>
      <c r="AL664" s="68"/>
      <c r="AM664" s="110"/>
      <c r="AN664" s="110"/>
      <c r="AO664" s="68"/>
      <c r="AP664" s="68"/>
      <c r="AQ664" s="40"/>
      <c r="AR664" s="40"/>
      <c r="AS664" s="23"/>
    </row>
    <row r="665" spans="1:45" ht="15.75" x14ac:dyDescent="0.25">
      <c r="A665" s="44"/>
      <c r="B665" s="23"/>
      <c r="C665" s="23"/>
      <c r="D665" s="23"/>
      <c r="E665" s="68"/>
      <c r="F665" s="68"/>
      <c r="G665" s="110"/>
      <c r="H665" s="110"/>
      <c r="I665" s="68"/>
      <c r="J665" s="68"/>
      <c r="K665" s="110"/>
      <c r="L665" s="110"/>
      <c r="M665" s="68"/>
      <c r="N665" s="68"/>
      <c r="O665" s="110"/>
      <c r="P665" s="110"/>
      <c r="Q665" s="68"/>
      <c r="R665" s="68"/>
      <c r="S665" s="110"/>
      <c r="T665" s="110"/>
      <c r="U665" s="68"/>
      <c r="V665" s="68"/>
      <c r="W665" s="110"/>
      <c r="X665" s="110"/>
      <c r="Y665" s="110"/>
      <c r="Z665" s="110"/>
      <c r="AA665" s="110"/>
      <c r="AB665" s="110"/>
      <c r="AC665" s="114"/>
      <c r="AD665" s="68"/>
      <c r="AE665" s="110"/>
      <c r="AF665" s="110"/>
      <c r="AG665" s="68"/>
      <c r="AH665" s="68"/>
      <c r="AI665" s="110"/>
      <c r="AJ665" s="110"/>
      <c r="AK665" s="68"/>
      <c r="AL665" s="68"/>
      <c r="AM665" s="110"/>
      <c r="AN665" s="110"/>
      <c r="AO665" s="68"/>
      <c r="AP665" s="68"/>
      <c r="AQ665" s="40"/>
      <c r="AR665" s="40"/>
      <c r="AS665" s="23"/>
    </row>
    <row r="666" spans="1:45" ht="15.75" x14ac:dyDescent="0.25">
      <c r="A666" s="44"/>
      <c r="B666" s="23"/>
      <c r="C666" s="23"/>
      <c r="D666" s="23"/>
      <c r="E666" s="68"/>
      <c r="F666" s="68"/>
      <c r="G666" s="110"/>
      <c r="H666" s="110"/>
      <c r="I666" s="68"/>
      <c r="J666" s="68"/>
      <c r="K666" s="110"/>
      <c r="L666" s="110"/>
      <c r="M666" s="68"/>
      <c r="N666" s="68"/>
      <c r="O666" s="110"/>
      <c r="P666" s="110"/>
      <c r="Q666" s="68"/>
      <c r="R666" s="68"/>
      <c r="S666" s="110"/>
      <c r="T666" s="110"/>
      <c r="U666" s="68"/>
      <c r="V666" s="68"/>
      <c r="W666" s="110"/>
      <c r="X666" s="110"/>
      <c r="Y666" s="110"/>
      <c r="Z666" s="110"/>
      <c r="AA666" s="110"/>
      <c r="AB666" s="110"/>
      <c r="AC666" s="114"/>
      <c r="AD666" s="68"/>
      <c r="AE666" s="110"/>
      <c r="AF666" s="110"/>
      <c r="AG666" s="68"/>
      <c r="AH666" s="68"/>
      <c r="AI666" s="110"/>
      <c r="AJ666" s="110"/>
      <c r="AK666" s="68"/>
      <c r="AL666" s="68"/>
      <c r="AM666" s="110"/>
      <c r="AN666" s="110"/>
      <c r="AO666" s="68"/>
      <c r="AP666" s="68"/>
      <c r="AQ666" s="40"/>
      <c r="AR666" s="40"/>
      <c r="AS666" s="23"/>
    </row>
    <row r="667" spans="1:45" ht="15.75" x14ac:dyDescent="0.25">
      <c r="A667" s="44"/>
      <c r="B667" s="23"/>
      <c r="C667" s="23"/>
      <c r="D667" s="23"/>
      <c r="E667" s="68"/>
      <c r="F667" s="68"/>
      <c r="G667" s="110"/>
      <c r="H667" s="110"/>
      <c r="I667" s="68"/>
      <c r="J667" s="68"/>
      <c r="K667" s="110"/>
      <c r="L667" s="110"/>
      <c r="M667" s="68"/>
      <c r="N667" s="68"/>
      <c r="O667" s="110"/>
      <c r="P667" s="110"/>
      <c r="Q667" s="68"/>
      <c r="R667" s="68"/>
      <c r="S667" s="110"/>
      <c r="T667" s="110"/>
      <c r="U667" s="68"/>
      <c r="V667" s="68"/>
      <c r="W667" s="110"/>
      <c r="X667" s="110"/>
      <c r="Y667" s="110"/>
      <c r="Z667" s="110"/>
      <c r="AA667" s="110"/>
      <c r="AB667" s="110"/>
      <c r="AC667" s="114"/>
      <c r="AD667" s="68"/>
      <c r="AE667" s="110"/>
      <c r="AF667" s="110"/>
      <c r="AG667" s="68"/>
      <c r="AH667" s="68"/>
      <c r="AI667" s="110"/>
      <c r="AJ667" s="110"/>
      <c r="AK667" s="68"/>
      <c r="AL667" s="68"/>
      <c r="AM667" s="110"/>
      <c r="AN667" s="110"/>
      <c r="AO667" s="68"/>
      <c r="AP667" s="68"/>
      <c r="AQ667" s="40"/>
      <c r="AR667" s="40"/>
      <c r="AS667" s="23"/>
    </row>
    <row r="668" spans="1:45" ht="15.75" x14ac:dyDescent="0.25">
      <c r="A668" s="44"/>
      <c r="B668" s="23"/>
      <c r="C668" s="23"/>
      <c r="D668" s="23"/>
      <c r="E668" s="68"/>
      <c r="F668" s="68"/>
      <c r="G668" s="110"/>
      <c r="H668" s="110"/>
      <c r="I668" s="68"/>
      <c r="J668" s="68"/>
      <c r="K668" s="110"/>
      <c r="L668" s="110"/>
      <c r="M668" s="68"/>
      <c r="N668" s="68"/>
      <c r="O668" s="110"/>
      <c r="P668" s="110"/>
      <c r="Q668" s="68"/>
      <c r="R668" s="68"/>
      <c r="S668" s="110"/>
      <c r="T668" s="110"/>
      <c r="U668" s="68"/>
      <c r="V668" s="68"/>
      <c r="W668" s="110"/>
      <c r="X668" s="110"/>
      <c r="Y668" s="110"/>
      <c r="Z668" s="110"/>
      <c r="AA668" s="110"/>
      <c r="AB668" s="110"/>
      <c r="AC668" s="114"/>
      <c r="AD668" s="68"/>
      <c r="AE668" s="110"/>
      <c r="AF668" s="110"/>
      <c r="AG668" s="68"/>
      <c r="AH668" s="68"/>
      <c r="AI668" s="110"/>
      <c r="AJ668" s="110"/>
      <c r="AK668" s="68"/>
      <c r="AL668" s="68"/>
      <c r="AM668" s="110"/>
      <c r="AN668" s="110"/>
      <c r="AO668" s="68"/>
      <c r="AP668" s="68"/>
      <c r="AQ668" s="40"/>
      <c r="AR668" s="40"/>
      <c r="AS668" s="23"/>
    </row>
    <row r="669" spans="1:45" ht="15.75" x14ac:dyDescent="0.25">
      <c r="A669" s="44"/>
      <c r="B669" s="23"/>
      <c r="C669" s="23"/>
      <c r="D669" s="23"/>
      <c r="E669" s="68"/>
      <c r="F669" s="68"/>
      <c r="G669" s="110"/>
      <c r="H669" s="110"/>
      <c r="I669" s="68"/>
      <c r="J669" s="68"/>
      <c r="K669" s="110"/>
      <c r="L669" s="110"/>
      <c r="M669" s="68"/>
      <c r="N669" s="68"/>
      <c r="O669" s="110"/>
      <c r="P669" s="110"/>
      <c r="Q669" s="68"/>
      <c r="R669" s="68"/>
      <c r="S669" s="110"/>
      <c r="T669" s="110"/>
      <c r="U669" s="68"/>
      <c r="V669" s="68"/>
      <c r="W669" s="110"/>
      <c r="X669" s="110"/>
      <c r="Y669" s="110"/>
      <c r="Z669" s="110"/>
      <c r="AA669" s="110"/>
      <c r="AB669" s="110"/>
      <c r="AC669" s="114"/>
      <c r="AD669" s="68"/>
      <c r="AE669" s="110"/>
      <c r="AF669" s="110"/>
      <c r="AG669" s="68"/>
      <c r="AH669" s="68"/>
      <c r="AI669" s="110"/>
      <c r="AJ669" s="110"/>
      <c r="AK669" s="68"/>
      <c r="AL669" s="68"/>
      <c r="AM669" s="110"/>
      <c r="AN669" s="110"/>
      <c r="AO669" s="68"/>
      <c r="AP669" s="68"/>
      <c r="AQ669" s="40"/>
      <c r="AR669" s="40"/>
      <c r="AS669" s="23"/>
    </row>
    <row r="670" spans="1:45" ht="15.75" x14ac:dyDescent="0.25">
      <c r="A670" s="44"/>
      <c r="B670" s="23"/>
      <c r="C670" s="23"/>
      <c r="D670" s="23"/>
      <c r="E670" s="68"/>
      <c r="F670" s="68"/>
      <c r="G670" s="110"/>
      <c r="H670" s="110"/>
      <c r="I670" s="68"/>
      <c r="J670" s="68"/>
      <c r="K670" s="110"/>
      <c r="L670" s="110"/>
      <c r="M670" s="68"/>
      <c r="N670" s="68"/>
      <c r="O670" s="110"/>
      <c r="P670" s="110"/>
      <c r="Q670" s="68"/>
      <c r="R670" s="68"/>
      <c r="S670" s="110"/>
      <c r="T670" s="110"/>
      <c r="U670" s="68"/>
      <c r="V670" s="68"/>
      <c r="W670" s="110"/>
      <c r="X670" s="110"/>
      <c r="Y670" s="110"/>
      <c r="Z670" s="110"/>
      <c r="AA670" s="110"/>
      <c r="AB670" s="110"/>
      <c r="AC670" s="114"/>
      <c r="AD670" s="68"/>
      <c r="AE670" s="110"/>
      <c r="AF670" s="110"/>
      <c r="AG670" s="68"/>
      <c r="AH670" s="68"/>
      <c r="AI670" s="110"/>
      <c r="AJ670" s="110"/>
      <c r="AK670" s="68"/>
      <c r="AL670" s="68"/>
      <c r="AM670" s="110"/>
      <c r="AN670" s="110"/>
      <c r="AO670" s="68"/>
      <c r="AP670" s="68"/>
      <c r="AQ670" s="40"/>
      <c r="AR670" s="40"/>
      <c r="AS670" s="23"/>
    </row>
    <row r="671" spans="1:45" ht="15.75" x14ac:dyDescent="0.25">
      <c r="A671" s="44"/>
      <c r="B671" s="23"/>
      <c r="C671" s="23"/>
      <c r="D671" s="23"/>
      <c r="E671" s="68"/>
      <c r="F671" s="68"/>
      <c r="G671" s="110"/>
      <c r="H671" s="110"/>
      <c r="I671" s="68"/>
      <c r="J671" s="68"/>
      <c r="K671" s="110"/>
      <c r="L671" s="110"/>
      <c r="M671" s="68"/>
      <c r="N671" s="68"/>
      <c r="O671" s="110"/>
      <c r="P671" s="110"/>
      <c r="Q671" s="68"/>
      <c r="R671" s="68"/>
      <c r="S671" s="110"/>
      <c r="T671" s="110"/>
      <c r="U671" s="68"/>
      <c r="V671" s="68"/>
      <c r="W671" s="110"/>
      <c r="X671" s="110"/>
      <c r="Y671" s="110"/>
      <c r="Z671" s="110"/>
      <c r="AA671" s="110"/>
      <c r="AB671" s="110"/>
      <c r="AC671" s="114"/>
      <c r="AD671" s="68"/>
      <c r="AE671" s="110"/>
      <c r="AF671" s="110"/>
      <c r="AG671" s="68"/>
      <c r="AH671" s="68"/>
      <c r="AI671" s="110"/>
      <c r="AJ671" s="110"/>
      <c r="AK671" s="68"/>
      <c r="AL671" s="68"/>
      <c r="AM671" s="110"/>
      <c r="AN671" s="110"/>
      <c r="AO671" s="68"/>
      <c r="AP671" s="68"/>
      <c r="AQ671" s="40"/>
      <c r="AR671" s="40"/>
      <c r="AS671" s="23"/>
    </row>
    <row r="672" spans="1:45" ht="15.75" x14ac:dyDescent="0.25">
      <c r="A672" s="44"/>
      <c r="B672" s="23"/>
      <c r="C672" s="23"/>
      <c r="D672" s="23"/>
      <c r="E672" s="68"/>
      <c r="F672" s="68"/>
      <c r="G672" s="110"/>
      <c r="H672" s="110"/>
      <c r="I672" s="68"/>
      <c r="J672" s="68"/>
      <c r="K672" s="110"/>
      <c r="L672" s="110"/>
      <c r="M672" s="68"/>
      <c r="N672" s="68"/>
      <c r="O672" s="110"/>
      <c r="P672" s="110"/>
      <c r="Q672" s="68"/>
      <c r="R672" s="68"/>
      <c r="S672" s="110"/>
      <c r="T672" s="110"/>
      <c r="U672" s="68"/>
      <c r="V672" s="68"/>
      <c r="W672" s="110"/>
      <c r="X672" s="110"/>
      <c r="Y672" s="110"/>
      <c r="Z672" s="110"/>
      <c r="AA672" s="110"/>
      <c r="AB672" s="110"/>
      <c r="AC672" s="114"/>
      <c r="AD672" s="68"/>
      <c r="AE672" s="110"/>
      <c r="AF672" s="110"/>
      <c r="AG672" s="68"/>
      <c r="AH672" s="68"/>
      <c r="AI672" s="110"/>
      <c r="AJ672" s="110"/>
      <c r="AK672" s="68"/>
      <c r="AL672" s="68"/>
      <c r="AM672" s="110"/>
      <c r="AN672" s="110"/>
      <c r="AO672" s="68"/>
      <c r="AP672" s="68"/>
      <c r="AQ672" s="40"/>
      <c r="AR672" s="40"/>
      <c r="AS672" s="23"/>
    </row>
    <row r="673" spans="1:45" ht="15.75" x14ac:dyDescent="0.25">
      <c r="A673" s="44"/>
      <c r="B673" s="23"/>
      <c r="C673" s="23"/>
      <c r="D673" s="23"/>
      <c r="E673" s="68"/>
      <c r="F673" s="68"/>
      <c r="G673" s="110"/>
      <c r="H673" s="110"/>
      <c r="I673" s="68"/>
      <c r="J673" s="68"/>
      <c r="K673" s="110"/>
      <c r="L673" s="110"/>
      <c r="M673" s="68"/>
      <c r="N673" s="68"/>
      <c r="O673" s="110"/>
      <c r="P673" s="110"/>
      <c r="Q673" s="68"/>
      <c r="R673" s="68"/>
      <c r="S673" s="110"/>
      <c r="T673" s="110"/>
      <c r="U673" s="68"/>
      <c r="V673" s="68"/>
      <c r="W673" s="110"/>
      <c r="X673" s="110"/>
      <c r="Y673" s="110"/>
      <c r="Z673" s="110"/>
      <c r="AA673" s="110"/>
      <c r="AB673" s="110"/>
      <c r="AC673" s="114"/>
      <c r="AD673" s="68"/>
      <c r="AE673" s="110"/>
      <c r="AF673" s="110"/>
      <c r="AG673" s="68"/>
      <c r="AH673" s="68"/>
      <c r="AI673" s="110"/>
      <c r="AJ673" s="110"/>
      <c r="AK673" s="68"/>
      <c r="AL673" s="68"/>
      <c r="AM673" s="110"/>
      <c r="AN673" s="110"/>
      <c r="AO673" s="68"/>
      <c r="AP673" s="68"/>
      <c r="AQ673" s="40"/>
      <c r="AR673" s="40"/>
      <c r="AS673" s="23"/>
    </row>
    <row r="674" spans="1:45" ht="15.75" x14ac:dyDescent="0.25">
      <c r="A674" s="44"/>
      <c r="B674" s="23"/>
      <c r="C674" s="23"/>
      <c r="D674" s="23"/>
      <c r="E674" s="68"/>
      <c r="F674" s="68"/>
      <c r="G674" s="110"/>
      <c r="H674" s="110"/>
      <c r="I674" s="68"/>
      <c r="J674" s="68"/>
      <c r="K674" s="110"/>
      <c r="L674" s="110"/>
      <c r="M674" s="68"/>
      <c r="N674" s="68"/>
      <c r="O674" s="110"/>
      <c r="P674" s="110"/>
      <c r="Q674" s="68"/>
      <c r="R674" s="68"/>
      <c r="S674" s="110"/>
      <c r="T674" s="110"/>
      <c r="U674" s="68"/>
      <c r="V674" s="68"/>
      <c r="W674" s="110"/>
      <c r="X674" s="110"/>
      <c r="Y674" s="110"/>
      <c r="Z674" s="110"/>
      <c r="AA674" s="110"/>
      <c r="AB674" s="110"/>
      <c r="AC674" s="114"/>
      <c r="AD674" s="68"/>
      <c r="AE674" s="110"/>
      <c r="AF674" s="110"/>
      <c r="AG674" s="68"/>
      <c r="AH674" s="68"/>
      <c r="AI674" s="110"/>
      <c r="AJ674" s="110"/>
      <c r="AK674" s="68"/>
      <c r="AL674" s="68"/>
      <c r="AM674" s="110"/>
      <c r="AN674" s="110"/>
      <c r="AO674" s="68"/>
      <c r="AP674" s="68"/>
      <c r="AQ674" s="40"/>
      <c r="AR674" s="40"/>
      <c r="AS674" s="23"/>
    </row>
    <row r="675" spans="1:45" ht="15.75" x14ac:dyDescent="0.25">
      <c r="A675" s="44"/>
      <c r="B675" s="23"/>
      <c r="C675" s="23"/>
      <c r="D675" s="23"/>
      <c r="E675" s="68"/>
      <c r="F675" s="68"/>
      <c r="G675" s="110"/>
      <c r="H675" s="110"/>
      <c r="I675" s="68"/>
      <c r="J675" s="68"/>
      <c r="K675" s="110"/>
      <c r="L675" s="110"/>
      <c r="M675" s="68"/>
      <c r="N675" s="68"/>
      <c r="O675" s="110"/>
      <c r="P675" s="110"/>
      <c r="Q675" s="68"/>
      <c r="R675" s="68"/>
      <c r="S675" s="110"/>
      <c r="T675" s="110"/>
      <c r="U675" s="68"/>
      <c r="V675" s="68"/>
      <c r="W675" s="110"/>
      <c r="X675" s="110"/>
      <c r="Y675" s="110"/>
      <c r="Z675" s="110"/>
      <c r="AA675" s="110"/>
      <c r="AB675" s="110"/>
      <c r="AC675" s="114"/>
      <c r="AD675" s="68"/>
      <c r="AE675" s="110"/>
      <c r="AF675" s="110"/>
      <c r="AG675" s="68"/>
      <c r="AH675" s="68"/>
      <c r="AI675" s="110"/>
      <c r="AJ675" s="110"/>
      <c r="AK675" s="68"/>
      <c r="AL675" s="68"/>
      <c r="AM675" s="110"/>
      <c r="AN675" s="110"/>
      <c r="AO675" s="68"/>
      <c r="AP675" s="68"/>
      <c r="AQ675" s="40"/>
      <c r="AR675" s="40"/>
      <c r="AS675" s="23"/>
    </row>
    <row r="676" spans="1:45" ht="15.75" x14ac:dyDescent="0.25">
      <c r="A676" s="44"/>
      <c r="B676" s="23"/>
      <c r="C676" s="23"/>
      <c r="D676" s="23"/>
      <c r="E676" s="68"/>
      <c r="F676" s="68"/>
      <c r="G676" s="110"/>
      <c r="H676" s="110"/>
      <c r="I676" s="68"/>
      <c r="J676" s="68"/>
      <c r="K676" s="110"/>
      <c r="L676" s="110"/>
      <c r="M676" s="68"/>
      <c r="N676" s="68"/>
      <c r="O676" s="110"/>
      <c r="P676" s="110"/>
      <c r="Q676" s="68"/>
      <c r="R676" s="68"/>
      <c r="S676" s="110"/>
      <c r="T676" s="110"/>
      <c r="U676" s="68"/>
      <c r="V676" s="68"/>
      <c r="W676" s="110"/>
      <c r="X676" s="110"/>
      <c r="Y676" s="110"/>
      <c r="Z676" s="110"/>
      <c r="AA676" s="110"/>
      <c r="AB676" s="110"/>
      <c r="AC676" s="114"/>
      <c r="AD676" s="68"/>
      <c r="AE676" s="110"/>
      <c r="AF676" s="110"/>
      <c r="AG676" s="68"/>
      <c r="AH676" s="68"/>
      <c r="AI676" s="110"/>
      <c r="AJ676" s="110"/>
      <c r="AK676" s="68"/>
      <c r="AL676" s="68"/>
      <c r="AM676" s="110"/>
      <c r="AN676" s="110"/>
      <c r="AO676" s="68"/>
      <c r="AP676" s="68"/>
      <c r="AQ676" s="40"/>
      <c r="AR676" s="40"/>
      <c r="AS676" s="23"/>
    </row>
    <row r="677" spans="1:45" ht="15.75" x14ac:dyDescent="0.25">
      <c r="A677" s="44"/>
      <c r="B677" s="23"/>
      <c r="C677" s="23"/>
      <c r="D677" s="23"/>
      <c r="E677" s="68"/>
      <c r="F677" s="68"/>
      <c r="G677" s="110"/>
      <c r="H677" s="110"/>
      <c r="I677" s="68"/>
      <c r="J677" s="68"/>
      <c r="K677" s="110"/>
      <c r="L677" s="110"/>
      <c r="M677" s="68"/>
      <c r="N677" s="68"/>
      <c r="O677" s="110"/>
      <c r="P677" s="110"/>
      <c r="Q677" s="68"/>
      <c r="R677" s="68"/>
      <c r="S677" s="110"/>
      <c r="T677" s="110"/>
      <c r="U677" s="68"/>
      <c r="V677" s="68"/>
      <c r="W677" s="110"/>
      <c r="X677" s="110"/>
      <c r="Y677" s="110"/>
      <c r="Z677" s="110"/>
      <c r="AA677" s="110"/>
      <c r="AB677" s="110"/>
      <c r="AC677" s="114"/>
      <c r="AD677" s="68"/>
      <c r="AE677" s="110"/>
      <c r="AF677" s="110"/>
      <c r="AG677" s="68"/>
      <c r="AH677" s="68"/>
      <c r="AI677" s="110"/>
      <c r="AJ677" s="110"/>
      <c r="AK677" s="68"/>
      <c r="AL677" s="68"/>
      <c r="AM677" s="110"/>
      <c r="AN677" s="110"/>
      <c r="AO677" s="68"/>
      <c r="AP677" s="68"/>
      <c r="AQ677" s="40"/>
      <c r="AR677" s="40"/>
      <c r="AS677" s="23"/>
    </row>
    <row r="678" spans="1:45" ht="15.75" x14ac:dyDescent="0.25">
      <c r="A678" s="44"/>
      <c r="B678" s="23"/>
      <c r="C678" s="23"/>
      <c r="D678" s="23"/>
      <c r="E678" s="68"/>
      <c r="F678" s="68"/>
      <c r="G678" s="110"/>
      <c r="H678" s="110"/>
      <c r="I678" s="68"/>
      <c r="J678" s="68"/>
      <c r="K678" s="110"/>
      <c r="L678" s="110"/>
      <c r="M678" s="68"/>
      <c r="N678" s="68"/>
      <c r="O678" s="110"/>
      <c r="P678" s="110"/>
      <c r="Q678" s="68"/>
      <c r="R678" s="68"/>
      <c r="S678" s="110"/>
      <c r="T678" s="110"/>
      <c r="U678" s="68"/>
      <c r="V678" s="68"/>
      <c r="W678" s="110"/>
      <c r="X678" s="110"/>
      <c r="Y678" s="110"/>
      <c r="Z678" s="110"/>
      <c r="AA678" s="110"/>
      <c r="AB678" s="110"/>
      <c r="AC678" s="114"/>
      <c r="AD678" s="68"/>
      <c r="AE678" s="110"/>
      <c r="AF678" s="110"/>
      <c r="AG678" s="68"/>
      <c r="AH678" s="68"/>
      <c r="AI678" s="110"/>
      <c r="AJ678" s="110"/>
      <c r="AK678" s="68"/>
      <c r="AL678" s="68"/>
      <c r="AM678" s="110"/>
      <c r="AN678" s="110"/>
      <c r="AO678" s="68"/>
      <c r="AP678" s="68"/>
      <c r="AQ678" s="40"/>
      <c r="AR678" s="40"/>
      <c r="AS678" s="23"/>
    </row>
    <row r="679" spans="1:45" ht="15.75" x14ac:dyDescent="0.25">
      <c r="A679" s="44"/>
      <c r="B679" s="23"/>
      <c r="C679" s="23"/>
      <c r="D679" s="23"/>
      <c r="E679" s="68"/>
      <c r="F679" s="68"/>
      <c r="G679" s="110"/>
      <c r="H679" s="110"/>
      <c r="I679" s="68"/>
      <c r="J679" s="68"/>
      <c r="K679" s="110"/>
      <c r="L679" s="110"/>
      <c r="M679" s="68"/>
      <c r="N679" s="68"/>
      <c r="O679" s="110"/>
      <c r="P679" s="110"/>
      <c r="Q679" s="68"/>
      <c r="R679" s="68"/>
      <c r="S679" s="110"/>
      <c r="T679" s="110"/>
      <c r="U679" s="68"/>
      <c r="V679" s="68"/>
      <c r="W679" s="110"/>
      <c r="X679" s="110"/>
      <c r="Y679" s="110"/>
      <c r="Z679" s="110"/>
      <c r="AA679" s="110"/>
      <c r="AB679" s="110"/>
      <c r="AC679" s="114"/>
      <c r="AD679" s="68"/>
      <c r="AE679" s="110"/>
      <c r="AF679" s="110"/>
      <c r="AG679" s="68"/>
      <c r="AH679" s="68"/>
      <c r="AI679" s="110"/>
      <c r="AJ679" s="110"/>
      <c r="AK679" s="68"/>
      <c r="AL679" s="68"/>
      <c r="AM679" s="110"/>
      <c r="AN679" s="110"/>
      <c r="AO679" s="68"/>
      <c r="AP679" s="68"/>
      <c r="AQ679" s="40"/>
      <c r="AR679" s="40"/>
      <c r="AS679" s="23"/>
    </row>
    <row r="680" spans="1:45" ht="15.75" x14ac:dyDescent="0.25">
      <c r="A680" s="44"/>
      <c r="B680" s="23"/>
      <c r="C680" s="23"/>
      <c r="D680" s="23"/>
      <c r="E680" s="68"/>
      <c r="F680" s="68"/>
      <c r="G680" s="110"/>
      <c r="H680" s="110"/>
      <c r="I680" s="68"/>
      <c r="J680" s="68"/>
      <c r="K680" s="110"/>
      <c r="L680" s="110"/>
      <c r="M680" s="68"/>
      <c r="N680" s="68"/>
      <c r="O680" s="110"/>
      <c r="P680" s="110"/>
      <c r="Q680" s="68"/>
      <c r="R680" s="68"/>
      <c r="S680" s="110"/>
      <c r="T680" s="110"/>
      <c r="U680" s="68"/>
      <c r="V680" s="68"/>
      <c r="W680" s="110"/>
      <c r="X680" s="110"/>
      <c r="Y680" s="110"/>
      <c r="Z680" s="110"/>
      <c r="AA680" s="110"/>
      <c r="AB680" s="110"/>
      <c r="AC680" s="114"/>
      <c r="AD680" s="68"/>
      <c r="AE680" s="110"/>
      <c r="AF680" s="110"/>
      <c r="AG680" s="68"/>
      <c r="AH680" s="68"/>
      <c r="AI680" s="110"/>
      <c r="AJ680" s="110"/>
      <c r="AK680" s="68"/>
      <c r="AL680" s="68"/>
      <c r="AM680" s="110"/>
      <c r="AN680" s="110"/>
      <c r="AO680" s="68"/>
      <c r="AP680" s="68"/>
      <c r="AQ680" s="40"/>
      <c r="AR680" s="40"/>
      <c r="AS680" s="23"/>
    </row>
    <row r="681" spans="1:45" ht="15.75" x14ac:dyDescent="0.25">
      <c r="A681" s="44"/>
      <c r="B681" s="23"/>
      <c r="C681" s="23"/>
      <c r="D681" s="23"/>
      <c r="E681" s="68"/>
      <c r="F681" s="68"/>
      <c r="G681" s="110"/>
      <c r="H681" s="110"/>
      <c r="I681" s="68"/>
      <c r="J681" s="68"/>
      <c r="K681" s="110"/>
      <c r="L681" s="110"/>
      <c r="M681" s="68"/>
      <c r="N681" s="68"/>
      <c r="O681" s="110"/>
      <c r="P681" s="110"/>
      <c r="Q681" s="68"/>
      <c r="R681" s="68"/>
      <c r="S681" s="110"/>
      <c r="T681" s="110"/>
      <c r="U681" s="68"/>
      <c r="V681" s="68"/>
      <c r="W681" s="110"/>
      <c r="X681" s="110"/>
      <c r="Y681" s="110"/>
      <c r="Z681" s="110"/>
      <c r="AA681" s="110"/>
      <c r="AB681" s="110"/>
      <c r="AC681" s="114"/>
      <c r="AD681" s="68"/>
      <c r="AE681" s="110"/>
      <c r="AF681" s="110"/>
      <c r="AG681" s="68"/>
      <c r="AH681" s="68"/>
      <c r="AI681" s="110"/>
      <c r="AJ681" s="110"/>
      <c r="AK681" s="68"/>
      <c r="AL681" s="68"/>
      <c r="AM681" s="110"/>
      <c r="AN681" s="110"/>
      <c r="AO681" s="68"/>
      <c r="AP681" s="68"/>
      <c r="AQ681" s="40"/>
      <c r="AR681" s="40"/>
      <c r="AS681" s="23"/>
    </row>
    <row r="682" spans="1:45" ht="15.75" x14ac:dyDescent="0.25">
      <c r="A682" s="44"/>
      <c r="B682" s="23"/>
      <c r="C682" s="23"/>
      <c r="D682" s="23"/>
      <c r="E682" s="68"/>
      <c r="F682" s="68"/>
      <c r="G682" s="110"/>
      <c r="H682" s="110"/>
      <c r="I682" s="68"/>
      <c r="J682" s="68"/>
      <c r="K682" s="110"/>
      <c r="L682" s="110"/>
      <c r="M682" s="68"/>
      <c r="N682" s="68"/>
      <c r="O682" s="110"/>
      <c r="P682" s="110"/>
      <c r="Q682" s="68"/>
      <c r="R682" s="68"/>
      <c r="S682" s="110"/>
      <c r="T682" s="110"/>
      <c r="U682" s="68"/>
      <c r="V682" s="68"/>
      <c r="W682" s="110"/>
      <c r="X682" s="110"/>
      <c r="Y682" s="110"/>
      <c r="Z682" s="110"/>
      <c r="AA682" s="110"/>
      <c r="AB682" s="110"/>
      <c r="AC682" s="114"/>
      <c r="AD682" s="68"/>
      <c r="AE682" s="110"/>
      <c r="AF682" s="110"/>
      <c r="AG682" s="68"/>
      <c r="AH682" s="68"/>
      <c r="AI682" s="110"/>
      <c r="AJ682" s="110"/>
      <c r="AK682" s="68"/>
      <c r="AL682" s="68"/>
      <c r="AM682" s="110"/>
      <c r="AN682" s="110"/>
      <c r="AO682" s="68"/>
      <c r="AP682" s="68"/>
      <c r="AQ682" s="40"/>
      <c r="AR682" s="40"/>
      <c r="AS682" s="23"/>
    </row>
    <row r="683" spans="1:45" ht="15.75" x14ac:dyDescent="0.25">
      <c r="A683" s="44"/>
      <c r="B683" s="23"/>
      <c r="C683" s="23"/>
      <c r="D683" s="23"/>
      <c r="E683" s="68"/>
      <c r="F683" s="68"/>
      <c r="G683" s="110"/>
      <c r="H683" s="110"/>
      <c r="I683" s="68"/>
      <c r="J683" s="68"/>
      <c r="K683" s="110"/>
      <c r="L683" s="110"/>
      <c r="M683" s="68"/>
      <c r="N683" s="68"/>
      <c r="O683" s="110"/>
      <c r="P683" s="110"/>
      <c r="Q683" s="68"/>
      <c r="R683" s="68"/>
      <c r="S683" s="110"/>
      <c r="T683" s="110"/>
      <c r="U683" s="68"/>
      <c r="V683" s="68"/>
      <c r="W683" s="110"/>
      <c r="X683" s="110"/>
      <c r="Y683" s="110"/>
      <c r="Z683" s="110"/>
      <c r="AA683" s="110"/>
      <c r="AB683" s="110"/>
      <c r="AC683" s="114"/>
      <c r="AD683" s="68"/>
      <c r="AE683" s="110"/>
      <c r="AF683" s="110"/>
      <c r="AG683" s="68"/>
      <c r="AH683" s="68"/>
      <c r="AI683" s="110"/>
      <c r="AJ683" s="110"/>
      <c r="AK683" s="68"/>
      <c r="AL683" s="68"/>
      <c r="AM683" s="110"/>
      <c r="AN683" s="110"/>
      <c r="AO683" s="68"/>
      <c r="AP683" s="68"/>
      <c r="AQ683" s="40"/>
      <c r="AR683" s="40"/>
      <c r="AS683" s="23"/>
    </row>
    <row r="684" spans="1:45" ht="15.75" x14ac:dyDescent="0.25">
      <c r="A684" s="44"/>
      <c r="B684" s="23"/>
      <c r="C684" s="23"/>
      <c r="D684" s="23"/>
      <c r="E684" s="68"/>
      <c r="F684" s="68"/>
      <c r="G684" s="110"/>
      <c r="H684" s="110"/>
      <c r="I684" s="68"/>
      <c r="J684" s="68"/>
      <c r="K684" s="110"/>
      <c r="L684" s="110"/>
      <c r="M684" s="68"/>
      <c r="N684" s="68"/>
      <c r="O684" s="110"/>
      <c r="P684" s="110"/>
      <c r="Q684" s="68"/>
      <c r="R684" s="68"/>
      <c r="S684" s="110"/>
      <c r="T684" s="110"/>
      <c r="U684" s="68"/>
      <c r="V684" s="68"/>
      <c r="W684" s="110"/>
      <c r="X684" s="110"/>
      <c r="Y684" s="110"/>
      <c r="Z684" s="110"/>
      <c r="AA684" s="110"/>
      <c r="AB684" s="110"/>
      <c r="AC684" s="114"/>
      <c r="AD684" s="68"/>
      <c r="AE684" s="110"/>
      <c r="AF684" s="110"/>
      <c r="AG684" s="68"/>
      <c r="AH684" s="68"/>
      <c r="AI684" s="110"/>
      <c r="AJ684" s="110"/>
      <c r="AK684" s="68"/>
      <c r="AL684" s="68"/>
      <c r="AM684" s="110"/>
      <c r="AN684" s="110"/>
      <c r="AO684" s="68"/>
      <c r="AP684" s="68"/>
      <c r="AQ684" s="40"/>
      <c r="AR684" s="40"/>
      <c r="AS684" s="23"/>
    </row>
    <row r="685" spans="1:45" ht="15.75" x14ac:dyDescent="0.25">
      <c r="A685" s="44"/>
      <c r="B685" s="23"/>
      <c r="C685" s="23"/>
      <c r="D685" s="23"/>
      <c r="E685" s="68"/>
      <c r="F685" s="68"/>
      <c r="G685" s="110"/>
      <c r="H685" s="110"/>
      <c r="I685" s="68"/>
      <c r="J685" s="68"/>
      <c r="K685" s="110"/>
      <c r="L685" s="110"/>
      <c r="M685" s="68"/>
      <c r="N685" s="68"/>
      <c r="O685" s="110"/>
      <c r="P685" s="110"/>
      <c r="Q685" s="68"/>
      <c r="R685" s="68"/>
      <c r="S685" s="110"/>
      <c r="T685" s="110"/>
      <c r="U685" s="68"/>
      <c r="V685" s="68"/>
      <c r="W685" s="110"/>
      <c r="X685" s="110"/>
      <c r="Y685" s="110"/>
      <c r="Z685" s="110"/>
      <c r="AA685" s="110"/>
      <c r="AB685" s="110"/>
      <c r="AC685" s="114"/>
      <c r="AD685" s="68"/>
      <c r="AE685" s="110"/>
      <c r="AF685" s="110"/>
      <c r="AG685" s="68"/>
      <c r="AH685" s="68"/>
      <c r="AI685" s="110"/>
      <c r="AJ685" s="110"/>
      <c r="AK685" s="68"/>
      <c r="AL685" s="68"/>
      <c r="AM685" s="110"/>
      <c r="AN685" s="110"/>
      <c r="AO685" s="68"/>
      <c r="AP685" s="68"/>
      <c r="AQ685" s="40"/>
      <c r="AR685" s="40"/>
      <c r="AS685" s="23"/>
    </row>
    <row r="686" spans="1:45" ht="15.75" x14ac:dyDescent="0.25">
      <c r="A686" s="44"/>
      <c r="B686" s="23"/>
      <c r="C686" s="23"/>
      <c r="D686" s="23"/>
      <c r="E686" s="68"/>
      <c r="F686" s="68"/>
      <c r="G686" s="110"/>
      <c r="H686" s="110"/>
      <c r="I686" s="68"/>
      <c r="J686" s="68"/>
      <c r="K686" s="110"/>
      <c r="L686" s="110"/>
      <c r="M686" s="68"/>
      <c r="N686" s="68"/>
      <c r="O686" s="110"/>
      <c r="P686" s="110"/>
      <c r="Q686" s="68"/>
      <c r="R686" s="68"/>
      <c r="S686" s="110"/>
      <c r="T686" s="110"/>
      <c r="U686" s="68"/>
      <c r="V686" s="68"/>
      <c r="W686" s="110"/>
      <c r="X686" s="110"/>
      <c r="Y686" s="110"/>
      <c r="Z686" s="110"/>
      <c r="AA686" s="110"/>
      <c r="AB686" s="110"/>
      <c r="AC686" s="114"/>
      <c r="AD686" s="68"/>
      <c r="AE686" s="110"/>
      <c r="AF686" s="110"/>
      <c r="AG686" s="68"/>
      <c r="AH686" s="68"/>
      <c r="AI686" s="110"/>
      <c r="AJ686" s="110"/>
      <c r="AK686" s="68"/>
      <c r="AL686" s="68"/>
      <c r="AM686" s="110"/>
      <c r="AN686" s="110"/>
      <c r="AO686" s="68"/>
      <c r="AP686" s="68"/>
      <c r="AQ686" s="40"/>
      <c r="AR686" s="40"/>
      <c r="AS686" s="23"/>
    </row>
    <row r="687" spans="1:45" ht="15.75" x14ac:dyDescent="0.25">
      <c r="A687" s="44"/>
      <c r="B687" s="23"/>
      <c r="C687" s="23"/>
      <c r="D687" s="23"/>
      <c r="E687" s="68"/>
      <c r="F687" s="68"/>
      <c r="G687" s="110"/>
      <c r="H687" s="110"/>
      <c r="I687" s="68"/>
      <c r="J687" s="68"/>
      <c r="K687" s="110"/>
      <c r="L687" s="110"/>
      <c r="M687" s="68"/>
      <c r="N687" s="68"/>
      <c r="O687" s="110"/>
      <c r="P687" s="110"/>
      <c r="Q687" s="68"/>
      <c r="R687" s="68"/>
      <c r="S687" s="110"/>
      <c r="T687" s="110"/>
      <c r="U687" s="68"/>
      <c r="V687" s="68"/>
      <c r="W687" s="110"/>
      <c r="X687" s="110"/>
      <c r="Y687" s="110"/>
      <c r="Z687" s="110"/>
      <c r="AA687" s="110"/>
      <c r="AB687" s="110"/>
      <c r="AC687" s="114"/>
      <c r="AD687" s="68"/>
      <c r="AE687" s="110"/>
      <c r="AF687" s="110"/>
      <c r="AG687" s="68"/>
      <c r="AH687" s="68"/>
      <c r="AI687" s="110"/>
      <c r="AJ687" s="110"/>
      <c r="AK687" s="68"/>
      <c r="AL687" s="68"/>
      <c r="AM687" s="110"/>
      <c r="AN687" s="110"/>
      <c r="AO687" s="68"/>
      <c r="AP687" s="68"/>
      <c r="AQ687" s="40"/>
      <c r="AR687" s="40"/>
      <c r="AS687" s="23"/>
    </row>
    <row r="688" spans="1:45" ht="15.75" x14ac:dyDescent="0.25">
      <c r="A688" s="44"/>
      <c r="B688" s="23"/>
      <c r="C688" s="23"/>
      <c r="D688" s="23"/>
      <c r="E688" s="68"/>
      <c r="F688" s="68"/>
      <c r="G688" s="110"/>
      <c r="H688" s="110"/>
      <c r="I688" s="68"/>
      <c r="J688" s="68"/>
      <c r="K688" s="110"/>
      <c r="L688" s="110"/>
      <c r="M688" s="68"/>
      <c r="N688" s="68"/>
      <c r="O688" s="110"/>
      <c r="P688" s="110"/>
      <c r="Q688" s="68"/>
      <c r="R688" s="68"/>
      <c r="S688" s="110"/>
      <c r="T688" s="110"/>
      <c r="U688" s="68"/>
      <c r="V688" s="68"/>
      <c r="W688" s="110"/>
      <c r="X688" s="110"/>
      <c r="Y688" s="110"/>
      <c r="Z688" s="110"/>
      <c r="AA688" s="110"/>
      <c r="AB688" s="110"/>
      <c r="AC688" s="114"/>
      <c r="AD688" s="68"/>
      <c r="AE688" s="110"/>
      <c r="AF688" s="110"/>
      <c r="AG688" s="68"/>
      <c r="AH688" s="68"/>
      <c r="AI688" s="110"/>
      <c r="AJ688" s="110"/>
      <c r="AK688" s="68"/>
      <c r="AL688" s="68"/>
      <c r="AM688" s="110"/>
      <c r="AN688" s="110"/>
      <c r="AO688" s="68"/>
      <c r="AP688" s="68"/>
      <c r="AQ688" s="40"/>
      <c r="AR688" s="40"/>
      <c r="AS688" s="23"/>
    </row>
    <row r="689" spans="1:45" ht="15.75" x14ac:dyDescent="0.25">
      <c r="A689" s="44"/>
      <c r="B689" s="23"/>
      <c r="C689" s="23"/>
      <c r="D689" s="23"/>
      <c r="E689" s="68"/>
      <c r="F689" s="68"/>
      <c r="G689" s="110"/>
      <c r="H689" s="110"/>
      <c r="I689" s="68"/>
      <c r="J689" s="68"/>
      <c r="K689" s="110"/>
      <c r="L689" s="110"/>
      <c r="M689" s="68"/>
      <c r="N689" s="68"/>
      <c r="O689" s="110"/>
      <c r="P689" s="110"/>
      <c r="Q689" s="68"/>
      <c r="R689" s="68"/>
      <c r="S689" s="110"/>
      <c r="T689" s="110"/>
      <c r="U689" s="68"/>
      <c r="V689" s="68"/>
      <c r="W689" s="110"/>
      <c r="X689" s="110"/>
      <c r="Y689" s="110"/>
      <c r="Z689" s="110"/>
      <c r="AA689" s="110"/>
      <c r="AB689" s="110"/>
      <c r="AC689" s="114"/>
      <c r="AD689" s="68"/>
      <c r="AE689" s="110"/>
      <c r="AF689" s="110"/>
      <c r="AG689" s="68"/>
      <c r="AH689" s="68"/>
      <c r="AI689" s="110"/>
      <c r="AJ689" s="110"/>
      <c r="AK689" s="68"/>
      <c r="AL689" s="68"/>
      <c r="AM689" s="110"/>
      <c r="AN689" s="110"/>
      <c r="AO689" s="68"/>
      <c r="AP689" s="68"/>
      <c r="AQ689" s="40"/>
      <c r="AR689" s="40"/>
      <c r="AS689" s="23"/>
    </row>
    <row r="690" spans="1:45" ht="15.75" x14ac:dyDescent="0.25">
      <c r="A690" s="44"/>
      <c r="B690" s="23"/>
      <c r="C690" s="23"/>
      <c r="D690" s="23"/>
      <c r="E690" s="68"/>
      <c r="F690" s="68"/>
      <c r="G690" s="110"/>
      <c r="H690" s="110"/>
      <c r="I690" s="68"/>
      <c r="J690" s="68"/>
      <c r="K690" s="110"/>
      <c r="L690" s="110"/>
      <c r="M690" s="68"/>
      <c r="N690" s="68"/>
      <c r="O690" s="110"/>
      <c r="P690" s="110"/>
      <c r="Q690" s="68"/>
      <c r="R690" s="68"/>
      <c r="S690" s="110"/>
      <c r="T690" s="110"/>
      <c r="U690" s="68"/>
      <c r="V690" s="68"/>
      <c r="W690" s="110"/>
      <c r="X690" s="110"/>
      <c r="Y690" s="110"/>
      <c r="Z690" s="110"/>
      <c r="AA690" s="110"/>
      <c r="AB690" s="110"/>
      <c r="AC690" s="114"/>
      <c r="AD690" s="68"/>
      <c r="AE690" s="110"/>
      <c r="AF690" s="110"/>
      <c r="AG690" s="68"/>
      <c r="AH690" s="68"/>
      <c r="AI690" s="110"/>
      <c r="AJ690" s="110"/>
      <c r="AK690" s="68"/>
      <c r="AL690" s="68"/>
      <c r="AM690" s="110"/>
      <c r="AN690" s="110"/>
      <c r="AO690" s="68"/>
      <c r="AP690" s="68"/>
      <c r="AQ690" s="40"/>
      <c r="AR690" s="40"/>
      <c r="AS690" s="23"/>
    </row>
    <row r="691" spans="1:45" ht="15.75" x14ac:dyDescent="0.25">
      <c r="A691" s="44"/>
      <c r="B691" s="23"/>
      <c r="C691" s="23"/>
      <c r="D691" s="23"/>
      <c r="E691" s="68"/>
      <c r="F691" s="68"/>
      <c r="G691" s="110"/>
      <c r="H691" s="110"/>
      <c r="I691" s="68"/>
      <c r="J691" s="68"/>
      <c r="K691" s="110"/>
      <c r="L691" s="110"/>
      <c r="M691" s="68"/>
      <c r="N691" s="68"/>
      <c r="O691" s="110"/>
      <c r="P691" s="110"/>
      <c r="Q691" s="68"/>
      <c r="R691" s="68"/>
      <c r="S691" s="110"/>
      <c r="T691" s="110"/>
      <c r="U691" s="68"/>
      <c r="V691" s="68"/>
      <c r="W691" s="110"/>
      <c r="X691" s="110"/>
      <c r="Y691" s="110"/>
      <c r="Z691" s="110"/>
      <c r="AA691" s="110"/>
      <c r="AB691" s="110"/>
      <c r="AC691" s="114"/>
      <c r="AD691" s="68"/>
      <c r="AE691" s="110"/>
      <c r="AF691" s="110"/>
      <c r="AG691" s="68"/>
      <c r="AH691" s="68"/>
      <c r="AI691" s="110"/>
      <c r="AJ691" s="110"/>
      <c r="AK691" s="68"/>
      <c r="AL691" s="68"/>
      <c r="AM691" s="110"/>
      <c r="AN691" s="110"/>
      <c r="AO691" s="68"/>
      <c r="AP691" s="68"/>
      <c r="AQ691" s="40"/>
      <c r="AR691" s="40"/>
      <c r="AS691" s="23"/>
    </row>
    <row r="692" spans="1:45" ht="15.75" x14ac:dyDescent="0.25">
      <c r="A692" s="44"/>
      <c r="B692" s="23"/>
      <c r="C692" s="23"/>
      <c r="D692" s="23"/>
      <c r="E692" s="68"/>
      <c r="F692" s="68"/>
      <c r="G692" s="110"/>
      <c r="H692" s="110"/>
      <c r="I692" s="68"/>
      <c r="J692" s="68"/>
      <c r="K692" s="110"/>
      <c r="L692" s="110"/>
      <c r="M692" s="68"/>
      <c r="N692" s="68"/>
      <c r="O692" s="110"/>
      <c r="P692" s="110"/>
      <c r="Q692" s="68"/>
      <c r="R692" s="68"/>
      <c r="S692" s="110"/>
      <c r="T692" s="110"/>
      <c r="U692" s="68"/>
      <c r="V692" s="68"/>
      <c r="W692" s="110"/>
      <c r="X692" s="110"/>
      <c r="Y692" s="110"/>
      <c r="Z692" s="110"/>
      <c r="AA692" s="110"/>
      <c r="AB692" s="110"/>
      <c r="AC692" s="114"/>
      <c r="AD692" s="68"/>
      <c r="AE692" s="110"/>
      <c r="AF692" s="110"/>
      <c r="AG692" s="68"/>
      <c r="AH692" s="68"/>
      <c r="AI692" s="110"/>
      <c r="AJ692" s="110"/>
      <c r="AK692" s="68"/>
      <c r="AL692" s="68"/>
      <c r="AM692" s="110"/>
      <c r="AN692" s="110"/>
      <c r="AO692" s="68"/>
      <c r="AP692" s="68"/>
      <c r="AQ692" s="40"/>
      <c r="AR692" s="40"/>
      <c r="AS692" s="23"/>
    </row>
    <row r="693" spans="1:45" ht="15.75" x14ac:dyDescent="0.25">
      <c r="A693" s="44"/>
      <c r="B693" s="23"/>
      <c r="C693" s="23"/>
      <c r="D693" s="23"/>
      <c r="E693" s="68"/>
      <c r="F693" s="68"/>
      <c r="G693" s="110"/>
      <c r="H693" s="110"/>
      <c r="I693" s="68"/>
      <c r="J693" s="68"/>
      <c r="K693" s="110"/>
      <c r="L693" s="110"/>
      <c r="M693" s="68"/>
      <c r="N693" s="68"/>
      <c r="O693" s="110"/>
      <c r="P693" s="110"/>
      <c r="Q693" s="68"/>
      <c r="R693" s="68"/>
      <c r="S693" s="110"/>
      <c r="T693" s="110"/>
      <c r="U693" s="68"/>
      <c r="V693" s="68"/>
      <c r="W693" s="110"/>
      <c r="X693" s="110"/>
      <c r="Y693" s="110"/>
      <c r="Z693" s="110"/>
      <c r="AA693" s="110"/>
      <c r="AB693" s="110"/>
      <c r="AC693" s="114"/>
      <c r="AD693" s="68"/>
      <c r="AE693" s="110"/>
      <c r="AF693" s="110"/>
      <c r="AG693" s="68"/>
      <c r="AH693" s="68"/>
      <c r="AI693" s="110"/>
      <c r="AJ693" s="110"/>
      <c r="AK693" s="68"/>
      <c r="AL693" s="68"/>
      <c r="AM693" s="110"/>
      <c r="AN693" s="110"/>
      <c r="AO693" s="68"/>
      <c r="AP693" s="68"/>
      <c r="AQ693" s="40"/>
      <c r="AR693" s="40"/>
      <c r="AS693" s="23"/>
    </row>
    <row r="694" spans="1:45" ht="15.75" x14ac:dyDescent="0.25">
      <c r="A694" s="44"/>
      <c r="B694" s="23"/>
      <c r="C694" s="23"/>
      <c r="D694" s="23"/>
      <c r="E694" s="68"/>
      <c r="F694" s="68"/>
      <c r="G694" s="110"/>
      <c r="H694" s="110"/>
      <c r="I694" s="68"/>
      <c r="J694" s="68"/>
      <c r="K694" s="110"/>
      <c r="L694" s="110"/>
      <c r="M694" s="68"/>
      <c r="N694" s="68"/>
      <c r="O694" s="110"/>
      <c r="P694" s="110"/>
      <c r="Q694" s="68"/>
      <c r="R694" s="68"/>
      <c r="S694" s="110"/>
      <c r="T694" s="110"/>
      <c r="U694" s="68"/>
      <c r="V694" s="68"/>
      <c r="W694" s="110"/>
      <c r="X694" s="110"/>
      <c r="Y694" s="110"/>
      <c r="Z694" s="110"/>
      <c r="AA694" s="110"/>
      <c r="AB694" s="110"/>
      <c r="AC694" s="114"/>
      <c r="AD694" s="68"/>
      <c r="AE694" s="110"/>
      <c r="AF694" s="110"/>
      <c r="AG694" s="68"/>
      <c r="AH694" s="68"/>
      <c r="AI694" s="110"/>
      <c r="AJ694" s="110"/>
      <c r="AK694" s="68"/>
      <c r="AL694" s="68"/>
      <c r="AM694" s="110"/>
      <c r="AN694" s="110"/>
      <c r="AO694" s="68"/>
      <c r="AP694" s="68"/>
      <c r="AQ694" s="40"/>
      <c r="AR694" s="40"/>
      <c r="AS694" s="23"/>
    </row>
    <row r="695" spans="1:45" ht="15.75" x14ac:dyDescent="0.25">
      <c r="A695" s="44"/>
      <c r="B695" s="23"/>
      <c r="C695" s="23"/>
      <c r="D695" s="23"/>
      <c r="E695" s="68"/>
      <c r="F695" s="68"/>
      <c r="G695" s="110"/>
      <c r="H695" s="110"/>
      <c r="I695" s="68"/>
      <c r="J695" s="68"/>
      <c r="K695" s="110"/>
      <c r="L695" s="110"/>
      <c r="M695" s="68"/>
      <c r="N695" s="68"/>
      <c r="O695" s="110"/>
      <c r="P695" s="110"/>
      <c r="Q695" s="68"/>
      <c r="R695" s="68"/>
      <c r="S695" s="110"/>
      <c r="T695" s="110"/>
      <c r="U695" s="68"/>
      <c r="V695" s="68"/>
      <c r="W695" s="110"/>
      <c r="X695" s="110"/>
      <c r="Y695" s="110"/>
      <c r="Z695" s="110"/>
      <c r="AA695" s="110"/>
      <c r="AB695" s="110"/>
      <c r="AC695" s="114"/>
      <c r="AD695" s="68"/>
      <c r="AE695" s="110"/>
      <c r="AF695" s="110"/>
      <c r="AG695" s="68"/>
      <c r="AH695" s="68"/>
      <c r="AI695" s="110"/>
      <c r="AJ695" s="110"/>
      <c r="AK695" s="68"/>
      <c r="AL695" s="68"/>
      <c r="AM695" s="110"/>
      <c r="AN695" s="110"/>
      <c r="AO695" s="68"/>
      <c r="AP695" s="68"/>
      <c r="AQ695" s="40"/>
      <c r="AR695" s="40"/>
      <c r="AS695" s="23"/>
    </row>
    <row r="696" spans="1:45" ht="15.75" x14ac:dyDescent="0.25">
      <c r="A696" s="44"/>
      <c r="B696" s="23"/>
      <c r="C696" s="23"/>
      <c r="D696" s="23"/>
      <c r="E696" s="68"/>
      <c r="F696" s="68"/>
      <c r="G696" s="110"/>
      <c r="H696" s="110"/>
      <c r="I696" s="68"/>
      <c r="J696" s="68"/>
      <c r="K696" s="110"/>
      <c r="L696" s="110"/>
      <c r="M696" s="68"/>
      <c r="N696" s="68"/>
      <c r="O696" s="110"/>
      <c r="P696" s="110"/>
      <c r="Q696" s="68"/>
      <c r="R696" s="68"/>
      <c r="S696" s="110"/>
      <c r="T696" s="110"/>
      <c r="U696" s="68"/>
      <c r="V696" s="68"/>
      <c r="W696" s="110"/>
      <c r="X696" s="110"/>
      <c r="Y696" s="110"/>
      <c r="Z696" s="110"/>
      <c r="AA696" s="110"/>
      <c r="AB696" s="110"/>
      <c r="AC696" s="114"/>
      <c r="AD696" s="68"/>
      <c r="AE696" s="110"/>
      <c r="AF696" s="110"/>
      <c r="AG696" s="68"/>
      <c r="AH696" s="68"/>
      <c r="AI696" s="110"/>
      <c r="AJ696" s="110"/>
      <c r="AK696" s="68"/>
      <c r="AL696" s="68"/>
      <c r="AM696" s="110"/>
      <c r="AN696" s="110"/>
      <c r="AO696" s="68"/>
      <c r="AP696" s="68"/>
      <c r="AQ696" s="40"/>
      <c r="AR696" s="40"/>
      <c r="AS696" s="23"/>
    </row>
    <row r="697" spans="1:45" ht="15.75" x14ac:dyDescent="0.25">
      <c r="A697" s="44"/>
      <c r="B697" s="23"/>
      <c r="C697" s="23"/>
      <c r="D697" s="23"/>
      <c r="E697" s="68"/>
      <c r="F697" s="68"/>
      <c r="G697" s="110"/>
      <c r="H697" s="110"/>
      <c r="I697" s="68"/>
      <c r="J697" s="68"/>
      <c r="K697" s="110"/>
      <c r="L697" s="110"/>
      <c r="M697" s="68"/>
      <c r="N697" s="68"/>
      <c r="O697" s="110"/>
      <c r="P697" s="110"/>
      <c r="Q697" s="68"/>
      <c r="R697" s="68"/>
      <c r="S697" s="110"/>
      <c r="T697" s="110"/>
      <c r="U697" s="68"/>
      <c r="V697" s="68"/>
      <c r="W697" s="110"/>
      <c r="X697" s="110"/>
      <c r="Y697" s="110"/>
      <c r="Z697" s="110"/>
      <c r="AA697" s="110"/>
      <c r="AB697" s="110"/>
      <c r="AC697" s="114"/>
      <c r="AD697" s="68"/>
      <c r="AE697" s="110"/>
      <c r="AF697" s="110"/>
      <c r="AG697" s="68"/>
      <c r="AH697" s="68"/>
      <c r="AI697" s="110"/>
      <c r="AJ697" s="110"/>
      <c r="AK697" s="68"/>
      <c r="AL697" s="68"/>
      <c r="AM697" s="110"/>
      <c r="AN697" s="110"/>
      <c r="AO697" s="68"/>
      <c r="AP697" s="68"/>
      <c r="AQ697" s="40"/>
      <c r="AR697" s="40"/>
      <c r="AS697" s="23"/>
    </row>
    <row r="698" spans="1:45" ht="15.75" x14ac:dyDescent="0.25">
      <c r="A698" s="44"/>
      <c r="B698" s="23"/>
      <c r="C698" s="23"/>
      <c r="D698" s="23"/>
      <c r="E698" s="68"/>
      <c r="F698" s="68"/>
      <c r="G698" s="110"/>
      <c r="H698" s="110"/>
      <c r="I698" s="68"/>
      <c r="J698" s="68"/>
      <c r="K698" s="110"/>
      <c r="L698" s="110"/>
      <c r="M698" s="68"/>
      <c r="N698" s="68"/>
      <c r="O698" s="110"/>
      <c r="P698" s="110"/>
      <c r="Q698" s="68"/>
      <c r="R698" s="68"/>
      <c r="S698" s="110"/>
      <c r="T698" s="110"/>
      <c r="U698" s="68"/>
      <c r="V698" s="68"/>
      <c r="W698" s="110"/>
      <c r="X698" s="110"/>
      <c r="Y698" s="110"/>
      <c r="Z698" s="110"/>
      <c r="AA698" s="110"/>
      <c r="AB698" s="110"/>
      <c r="AC698" s="114"/>
      <c r="AD698" s="68"/>
      <c r="AE698" s="110"/>
      <c r="AF698" s="110"/>
      <c r="AG698" s="68"/>
      <c r="AH698" s="68"/>
      <c r="AI698" s="110"/>
      <c r="AJ698" s="110"/>
      <c r="AK698" s="68"/>
      <c r="AL698" s="68"/>
      <c r="AM698" s="110"/>
      <c r="AN698" s="110"/>
      <c r="AO698" s="68"/>
      <c r="AP698" s="68"/>
      <c r="AQ698" s="40"/>
      <c r="AR698" s="40"/>
      <c r="AS698" s="23"/>
    </row>
    <row r="699" spans="1:45" ht="15.75" x14ac:dyDescent="0.25">
      <c r="A699" s="44"/>
      <c r="B699" s="23"/>
      <c r="C699" s="23"/>
      <c r="D699" s="23"/>
      <c r="E699" s="68"/>
      <c r="F699" s="68"/>
      <c r="G699" s="110"/>
      <c r="H699" s="110"/>
      <c r="I699" s="68"/>
      <c r="J699" s="68"/>
      <c r="K699" s="110"/>
      <c r="L699" s="110"/>
      <c r="M699" s="68"/>
      <c r="N699" s="68"/>
      <c r="O699" s="110"/>
      <c r="P699" s="110"/>
      <c r="Q699" s="68"/>
      <c r="R699" s="68"/>
      <c r="S699" s="110"/>
      <c r="T699" s="110"/>
      <c r="U699" s="68"/>
      <c r="V699" s="68"/>
      <c r="W699" s="110"/>
      <c r="X699" s="110"/>
      <c r="Y699" s="110"/>
      <c r="Z699" s="110"/>
      <c r="AA699" s="110"/>
      <c r="AB699" s="110"/>
      <c r="AC699" s="114"/>
      <c r="AD699" s="68"/>
      <c r="AE699" s="110"/>
      <c r="AF699" s="110"/>
      <c r="AG699" s="68"/>
      <c r="AH699" s="68"/>
      <c r="AI699" s="110"/>
      <c r="AJ699" s="110"/>
      <c r="AK699" s="68"/>
      <c r="AL699" s="68"/>
      <c r="AM699" s="110"/>
      <c r="AN699" s="110"/>
      <c r="AO699" s="68"/>
      <c r="AP699" s="68"/>
      <c r="AQ699" s="40"/>
      <c r="AR699" s="40"/>
      <c r="AS699" s="23"/>
    </row>
    <row r="700" spans="1:45" ht="15.75" x14ac:dyDescent="0.25">
      <c r="A700" s="44"/>
      <c r="B700" s="23"/>
      <c r="C700" s="23"/>
      <c r="D700" s="23"/>
      <c r="E700" s="68"/>
      <c r="F700" s="68"/>
      <c r="G700" s="110"/>
      <c r="H700" s="110"/>
      <c r="I700" s="68"/>
      <c r="J700" s="68"/>
      <c r="K700" s="110"/>
      <c r="L700" s="110"/>
      <c r="M700" s="68"/>
      <c r="N700" s="68"/>
      <c r="O700" s="110"/>
      <c r="P700" s="110"/>
      <c r="Q700" s="68"/>
      <c r="R700" s="68"/>
      <c r="S700" s="110"/>
      <c r="T700" s="110"/>
      <c r="U700" s="68"/>
      <c r="V700" s="68"/>
      <c r="W700" s="110"/>
      <c r="X700" s="110"/>
      <c r="Y700" s="110"/>
      <c r="Z700" s="110"/>
      <c r="AA700" s="110"/>
      <c r="AB700" s="110"/>
      <c r="AC700" s="114"/>
      <c r="AD700" s="68"/>
      <c r="AE700" s="110"/>
      <c r="AF700" s="110"/>
      <c r="AG700" s="68"/>
      <c r="AH700" s="68"/>
      <c r="AI700" s="110"/>
      <c r="AJ700" s="110"/>
      <c r="AK700" s="68"/>
      <c r="AL700" s="68"/>
      <c r="AM700" s="110"/>
      <c r="AN700" s="110"/>
      <c r="AO700" s="68"/>
      <c r="AP700" s="68"/>
      <c r="AQ700" s="40"/>
      <c r="AR700" s="40"/>
      <c r="AS700" s="23"/>
    </row>
    <row r="701" spans="1:45" ht="15.75" x14ac:dyDescent="0.25">
      <c r="A701" s="44"/>
      <c r="B701" s="23"/>
      <c r="C701" s="23"/>
      <c r="D701" s="23"/>
      <c r="E701" s="68"/>
      <c r="F701" s="68"/>
      <c r="G701" s="110"/>
      <c r="H701" s="110"/>
      <c r="I701" s="68"/>
      <c r="J701" s="68"/>
      <c r="K701" s="110"/>
      <c r="L701" s="110"/>
      <c r="M701" s="68"/>
      <c r="N701" s="68"/>
      <c r="O701" s="110"/>
      <c r="P701" s="110"/>
      <c r="Q701" s="68"/>
      <c r="R701" s="68"/>
      <c r="S701" s="110"/>
      <c r="T701" s="110"/>
      <c r="U701" s="68"/>
      <c r="V701" s="68"/>
      <c r="W701" s="110"/>
      <c r="X701" s="110"/>
      <c r="Y701" s="110"/>
      <c r="Z701" s="110"/>
      <c r="AA701" s="110"/>
      <c r="AB701" s="110"/>
      <c r="AC701" s="114"/>
      <c r="AD701" s="68"/>
      <c r="AE701" s="110"/>
      <c r="AF701" s="110"/>
      <c r="AG701" s="68"/>
      <c r="AH701" s="68"/>
      <c r="AI701" s="110"/>
      <c r="AJ701" s="110"/>
      <c r="AK701" s="68"/>
      <c r="AL701" s="68"/>
      <c r="AM701" s="110"/>
      <c r="AN701" s="110"/>
      <c r="AO701" s="68"/>
      <c r="AP701" s="68"/>
      <c r="AQ701" s="40"/>
      <c r="AR701" s="40"/>
      <c r="AS701" s="23"/>
    </row>
    <row r="702" spans="1:45" ht="15.75" x14ac:dyDescent="0.25">
      <c r="A702" s="44"/>
      <c r="B702" s="23"/>
      <c r="C702" s="23"/>
      <c r="D702" s="23"/>
      <c r="E702" s="68"/>
      <c r="F702" s="68"/>
      <c r="G702" s="110"/>
      <c r="H702" s="110"/>
      <c r="I702" s="68"/>
      <c r="J702" s="68"/>
      <c r="K702" s="110"/>
      <c r="L702" s="110"/>
      <c r="M702" s="68"/>
      <c r="N702" s="68"/>
      <c r="O702" s="110"/>
      <c r="P702" s="110"/>
      <c r="Q702" s="68"/>
      <c r="R702" s="68"/>
      <c r="S702" s="110"/>
      <c r="T702" s="110"/>
      <c r="U702" s="68"/>
      <c r="V702" s="68"/>
      <c r="W702" s="110"/>
      <c r="X702" s="110"/>
      <c r="Y702" s="110"/>
      <c r="Z702" s="110"/>
      <c r="AA702" s="110"/>
      <c r="AB702" s="110"/>
      <c r="AC702" s="114"/>
      <c r="AD702" s="68"/>
      <c r="AE702" s="110"/>
      <c r="AF702" s="110"/>
      <c r="AG702" s="68"/>
      <c r="AH702" s="68"/>
      <c r="AI702" s="110"/>
      <c r="AJ702" s="110"/>
      <c r="AK702" s="68"/>
      <c r="AL702" s="68"/>
      <c r="AM702" s="110"/>
      <c r="AN702" s="110"/>
      <c r="AO702" s="68"/>
      <c r="AP702" s="68"/>
      <c r="AQ702" s="40"/>
      <c r="AR702" s="40"/>
      <c r="AS702" s="23"/>
    </row>
    <row r="703" spans="1:45" ht="15.75" x14ac:dyDescent="0.25">
      <c r="A703" s="44"/>
      <c r="B703" s="23"/>
      <c r="C703" s="23"/>
      <c r="D703" s="23"/>
      <c r="E703" s="68"/>
      <c r="F703" s="68"/>
      <c r="G703" s="110"/>
      <c r="H703" s="110"/>
      <c r="I703" s="68"/>
      <c r="J703" s="68"/>
      <c r="K703" s="110"/>
      <c r="L703" s="110"/>
      <c r="M703" s="68"/>
      <c r="N703" s="68"/>
      <c r="O703" s="110"/>
      <c r="P703" s="110"/>
      <c r="Q703" s="68"/>
      <c r="R703" s="68"/>
      <c r="S703" s="110"/>
      <c r="T703" s="110"/>
      <c r="U703" s="68"/>
      <c r="V703" s="68"/>
      <c r="W703" s="110"/>
      <c r="X703" s="110"/>
      <c r="Y703" s="110"/>
      <c r="Z703" s="110"/>
      <c r="AA703" s="110"/>
      <c r="AB703" s="110"/>
      <c r="AC703" s="114"/>
      <c r="AD703" s="68"/>
      <c r="AE703" s="110"/>
      <c r="AF703" s="110"/>
      <c r="AG703" s="68"/>
      <c r="AH703" s="68"/>
      <c r="AI703" s="110"/>
      <c r="AJ703" s="110"/>
      <c r="AK703" s="68"/>
      <c r="AL703" s="68"/>
      <c r="AM703" s="110"/>
      <c r="AN703" s="110"/>
      <c r="AO703" s="68"/>
      <c r="AP703" s="68"/>
      <c r="AQ703" s="40"/>
      <c r="AR703" s="40"/>
      <c r="AS703" s="23"/>
    </row>
    <row r="704" spans="1:45" ht="15.75" x14ac:dyDescent="0.25">
      <c r="A704" s="44"/>
      <c r="B704" s="23"/>
      <c r="C704" s="23"/>
      <c r="D704" s="23"/>
      <c r="E704" s="68"/>
      <c r="F704" s="68"/>
      <c r="G704" s="110"/>
      <c r="H704" s="110"/>
      <c r="I704" s="68"/>
      <c r="J704" s="68"/>
      <c r="K704" s="110"/>
      <c r="L704" s="110"/>
      <c r="M704" s="68"/>
      <c r="N704" s="68"/>
      <c r="O704" s="110"/>
      <c r="P704" s="110"/>
      <c r="Q704" s="68"/>
      <c r="R704" s="68"/>
      <c r="S704" s="110"/>
      <c r="T704" s="110"/>
      <c r="U704" s="68"/>
      <c r="V704" s="68"/>
      <c r="W704" s="110"/>
      <c r="X704" s="110"/>
      <c r="Y704" s="110"/>
      <c r="Z704" s="110"/>
      <c r="AA704" s="110"/>
      <c r="AB704" s="110"/>
      <c r="AC704" s="114"/>
      <c r="AD704" s="68"/>
      <c r="AE704" s="110"/>
      <c r="AF704" s="110"/>
      <c r="AG704" s="68"/>
      <c r="AH704" s="68"/>
      <c r="AI704" s="110"/>
      <c r="AJ704" s="110"/>
      <c r="AK704" s="68"/>
      <c r="AL704" s="68"/>
      <c r="AM704" s="110"/>
      <c r="AN704" s="110"/>
      <c r="AO704" s="68"/>
      <c r="AP704" s="68"/>
      <c r="AQ704" s="40"/>
      <c r="AR704" s="40"/>
      <c r="AS704" s="23"/>
    </row>
    <row r="705" spans="1:45" ht="15.75" x14ac:dyDescent="0.25">
      <c r="A705" s="44"/>
      <c r="B705" s="23"/>
      <c r="C705" s="23"/>
      <c r="D705" s="23"/>
      <c r="E705" s="68"/>
      <c r="F705" s="68"/>
      <c r="G705" s="110"/>
      <c r="H705" s="110"/>
      <c r="I705" s="68"/>
      <c r="J705" s="68"/>
      <c r="K705" s="110"/>
      <c r="L705" s="110"/>
      <c r="M705" s="68"/>
      <c r="N705" s="68"/>
      <c r="O705" s="110"/>
      <c r="P705" s="110"/>
      <c r="Q705" s="68"/>
      <c r="R705" s="68"/>
      <c r="S705" s="110"/>
      <c r="T705" s="110"/>
      <c r="U705" s="68"/>
      <c r="V705" s="68"/>
      <c r="W705" s="110"/>
      <c r="X705" s="110"/>
      <c r="Y705" s="110"/>
      <c r="Z705" s="110"/>
      <c r="AA705" s="110"/>
      <c r="AB705" s="110"/>
      <c r="AC705" s="114"/>
      <c r="AD705" s="68"/>
      <c r="AE705" s="110"/>
      <c r="AF705" s="110"/>
      <c r="AG705" s="68"/>
      <c r="AH705" s="68"/>
      <c r="AI705" s="110"/>
      <c r="AJ705" s="110"/>
      <c r="AK705" s="68"/>
      <c r="AL705" s="68"/>
      <c r="AM705" s="110"/>
      <c r="AN705" s="110"/>
      <c r="AO705" s="68"/>
      <c r="AP705" s="68"/>
      <c r="AQ705" s="40"/>
      <c r="AR705" s="40"/>
      <c r="AS705" s="23"/>
    </row>
    <row r="706" spans="1:45" ht="15.75" x14ac:dyDescent="0.25">
      <c r="A706" s="44"/>
      <c r="B706" s="23"/>
      <c r="C706" s="23"/>
      <c r="D706" s="23"/>
      <c r="E706" s="68"/>
      <c r="F706" s="68"/>
      <c r="G706" s="110"/>
      <c r="H706" s="110"/>
      <c r="I706" s="68"/>
      <c r="J706" s="68"/>
      <c r="K706" s="110"/>
      <c r="L706" s="110"/>
      <c r="M706" s="68"/>
      <c r="N706" s="68"/>
      <c r="O706" s="110"/>
      <c r="P706" s="110"/>
      <c r="Q706" s="68"/>
      <c r="R706" s="68"/>
      <c r="S706" s="110"/>
      <c r="T706" s="110"/>
      <c r="U706" s="68"/>
      <c r="V706" s="68"/>
      <c r="W706" s="110"/>
      <c r="X706" s="110"/>
      <c r="Y706" s="110"/>
      <c r="Z706" s="110"/>
      <c r="AA706" s="110"/>
      <c r="AB706" s="110"/>
      <c r="AC706" s="114"/>
      <c r="AD706" s="68"/>
      <c r="AE706" s="110"/>
      <c r="AF706" s="110"/>
      <c r="AG706" s="68"/>
      <c r="AH706" s="68"/>
      <c r="AI706" s="110"/>
      <c r="AJ706" s="110"/>
      <c r="AK706" s="68"/>
      <c r="AL706" s="68"/>
      <c r="AM706" s="110"/>
      <c r="AN706" s="110"/>
      <c r="AO706" s="68"/>
      <c r="AP706" s="68"/>
      <c r="AQ706" s="40"/>
      <c r="AR706" s="40"/>
      <c r="AS706" s="23"/>
    </row>
    <row r="707" spans="1:45" ht="15.75" x14ac:dyDescent="0.25">
      <c r="A707" s="44"/>
      <c r="B707" s="23"/>
      <c r="C707" s="23"/>
      <c r="D707" s="23"/>
      <c r="E707" s="68"/>
      <c r="F707" s="68"/>
      <c r="G707" s="110"/>
      <c r="H707" s="110"/>
      <c r="I707" s="68"/>
      <c r="J707" s="68"/>
      <c r="K707" s="110"/>
      <c r="L707" s="110"/>
      <c r="M707" s="68"/>
      <c r="N707" s="68"/>
      <c r="O707" s="110"/>
      <c r="P707" s="110"/>
      <c r="Q707" s="68"/>
      <c r="R707" s="68"/>
      <c r="S707" s="110"/>
      <c r="T707" s="110"/>
      <c r="U707" s="68"/>
      <c r="V707" s="68"/>
      <c r="W707" s="110"/>
      <c r="X707" s="110"/>
      <c r="Y707" s="110"/>
      <c r="Z707" s="110"/>
      <c r="AA707" s="110"/>
      <c r="AB707" s="110"/>
      <c r="AC707" s="114"/>
      <c r="AD707" s="68"/>
      <c r="AE707" s="110"/>
      <c r="AF707" s="110"/>
      <c r="AG707" s="68"/>
      <c r="AH707" s="68"/>
      <c r="AI707" s="110"/>
      <c r="AJ707" s="110"/>
      <c r="AK707" s="68"/>
      <c r="AL707" s="68"/>
      <c r="AM707" s="110"/>
      <c r="AN707" s="110"/>
      <c r="AO707" s="68"/>
      <c r="AP707" s="68"/>
      <c r="AQ707" s="40"/>
      <c r="AR707" s="40"/>
      <c r="AS707" s="23"/>
    </row>
    <row r="708" spans="1:45" ht="15.75" x14ac:dyDescent="0.25">
      <c r="A708" s="44"/>
      <c r="B708" s="23"/>
      <c r="C708" s="23"/>
      <c r="D708" s="23"/>
      <c r="E708" s="68"/>
      <c r="F708" s="68"/>
      <c r="G708" s="110"/>
      <c r="H708" s="110"/>
      <c r="I708" s="68"/>
      <c r="J708" s="68"/>
      <c r="K708" s="110"/>
      <c r="L708" s="110"/>
      <c r="M708" s="68"/>
      <c r="N708" s="68"/>
      <c r="O708" s="110"/>
      <c r="P708" s="110"/>
      <c r="Q708" s="68"/>
      <c r="R708" s="68"/>
      <c r="S708" s="110"/>
      <c r="T708" s="110"/>
      <c r="U708" s="68"/>
      <c r="V708" s="68"/>
      <c r="W708" s="110"/>
      <c r="X708" s="110"/>
      <c r="Y708" s="110"/>
      <c r="Z708" s="110"/>
      <c r="AA708" s="110"/>
      <c r="AB708" s="110"/>
      <c r="AC708" s="114"/>
      <c r="AD708" s="68"/>
      <c r="AE708" s="110"/>
      <c r="AF708" s="110"/>
      <c r="AG708" s="68"/>
      <c r="AH708" s="68"/>
      <c r="AI708" s="110"/>
      <c r="AJ708" s="110"/>
      <c r="AK708" s="68"/>
      <c r="AL708" s="68"/>
      <c r="AM708" s="110"/>
      <c r="AN708" s="110"/>
      <c r="AO708" s="68"/>
      <c r="AP708" s="68"/>
      <c r="AQ708" s="40"/>
      <c r="AR708" s="40"/>
      <c r="AS708" s="23"/>
    </row>
    <row r="709" spans="1:45" ht="15.75" x14ac:dyDescent="0.25">
      <c r="A709" s="44"/>
      <c r="B709" s="23"/>
      <c r="C709" s="23"/>
      <c r="D709" s="23"/>
      <c r="E709" s="68"/>
      <c r="F709" s="68"/>
      <c r="G709" s="110"/>
      <c r="H709" s="110"/>
      <c r="I709" s="68"/>
      <c r="J709" s="68"/>
      <c r="K709" s="110"/>
      <c r="L709" s="110"/>
      <c r="M709" s="68"/>
      <c r="N709" s="68"/>
      <c r="O709" s="110"/>
      <c r="P709" s="110"/>
      <c r="Q709" s="68"/>
      <c r="R709" s="68"/>
      <c r="S709" s="110"/>
      <c r="T709" s="110"/>
      <c r="U709" s="68"/>
      <c r="V709" s="68"/>
      <c r="W709" s="110"/>
      <c r="X709" s="110"/>
      <c r="Y709" s="110"/>
      <c r="Z709" s="110"/>
      <c r="AA709" s="110"/>
      <c r="AB709" s="110"/>
      <c r="AC709" s="114"/>
      <c r="AD709" s="68"/>
      <c r="AE709" s="110"/>
      <c r="AF709" s="110"/>
      <c r="AG709" s="68"/>
      <c r="AH709" s="68"/>
      <c r="AI709" s="110"/>
      <c r="AJ709" s="110"/>
      <c r="AK709" s="68"/>
      <c r="AL709" s="68"/>
      <c r="AM709" s="110"/>
      <c r="AN709" s="110"/>
      <c r="AO709" s="68"/>
      <c r="AP709" s="68"/>
      <c r="AQ709" s="40"/>
      <c r="AR709" s="40"/>
      <c r="AS709" s="23"/>
    </row>
    <row r="710" spans="1:45" ht="15.75" x14ac:dyDescent="0.25">
      <c r="A710" s="44"/>
      <c r="B710" s="23"/>
      <c r="C710" s="23"/>
      <c r="D710" s="23"/>
      <c r="E710" s="68"/>
      <c r="F710" s="68"/>
      <c r="G710" s="110"/>
      <c r="H710" s="110"/>
      <c r="I710" s="68"/>
      <c r="J710" s="68"/>
      <c r="K710" s="110"/>
      <c r="L710" s="110"/>
      <c r="M710" s="68"/>
      <c r="N710" s="68"/>
      <c r="O710" s="110"/>
      <c r="P710" s="110"/>
      <c r="Q710" s="68"/>
      <c r="R710" s="68"/>
      <c r="S710" s="110"/>
      <c r="T710" s="110"/>
      <c r="U710" s="68"/>
      <c r="V710" s="68"/>
      <c r="W710" s="110"/>
      <c r="X710" s="110"/>
      <c r="Y710" s="110"/>
      <c r="Z710" s="110"/>
      <c r="AA710" s="110"/>
      <c r="AB710" s="110"/>
      <c r="AC710" s="114"/>
      <c r="AD710" s="68"/>
      <c r="AE710" s="110"/>
      <c r="AF710" s="110"/>
      <c r="AG710" s="68"/>
      <c r="AH710" s="68"/>
      <c r="AI710" s="110"/>
      <c r="AJ710" s="110"/>
      <c r="AK710" s="68"/>
      <c r="AL710" s="68"/>
      <c r="AM710" s="110"/>
      <c r="AN710" s="110"/>
      <c r="AO710" s="68"/>
      <c r="AP710" s="68"/>
      <c r="AQ710" s="40"/>
      <c r="AR710" s="40"/>
      <c r="AS710" s="23"/>
    </row>
    <row r="711" spans="1:45" ht="15.75" x14ac:dyDescent="0.25">
      <c r="A711" s="44"/>
      <c r="B711" s="23"/>
      <c r="C711" s="23"/>
      <c r="D711" s="23"/>
      <c r="E711" s="68"/>
      <c r="F711" s="68"/>
      <c r="G711" s="110"/>
      <c r="H711" s="110"/>
      <c r="I711" s="68"/>
      <c r="J711" s="68"/>
      <c r="K711" s="110"/>
      <c r="L711" s="110"/>
      <c r="M711" s="68"/>
      <c r="N711" s="68"/>
      <c r="O711" s="110"/>
      <c r="P711" s="110"/>
      <c r="Q711" s="68"/>
      <c r="R711" s="68"/>
      <c r="S711" s="110"/>
      <c r="T711" s="110"/>
      <c r="U711" s="68"/>
      <c r="V711" s="68"/>
      <c r="W711" s="110"/>
      <c r="X711" s="110"/>
      <c r="Y711" s="110"/>
      <c r="Z711" s="110"/>
      <c r="AA711" s="110"/>
      <c r="AB711" s="110"/>
      <c r="AC711" s="114"/>
      <c r="AD711" s="68"/>
      <c r="AE711" s="110"/>
      <c r="AF711" s="110"/>
      <c r="AG711" s="68"/>
      <c r="AH711" s="68"/>
      <c r="AI711" s="110"/>
      <c r="AJ711" s="110"/>
      <c r="AK711" s="68"/>
      <c r="AL711" s="68"/>
      <c r="AM711" s="110"/>
      <c r="AN711" s="110"/>
      <c r="AO711" s="68"/>
      <c r="AP711" s="68"/>
      <c r="AQ711" s="40"/>
      <c r="AR711" s="40"/>
      <c r="AS711" s="23"/>
    </row>
    <row r="712" spans="1:45" ht="15.75" x14ac:dyDescent="0.25">
      <c r="A712" s="44"/>
      <c r="B712" s="23"/>
      <c r="C712" s="23"/>
      <c r="D712" s="23"/>
      <c r="E712" s="68"/>
      <c r="F712" s="68"/>
      <c r="G712" s="110"/>
      <c r="H712" s="110"/>
      <c r="I712" s="68"/>
      <c r="J712" s="68"/>
      <c r="K712" s="110"/>
      <c r="L712" s="110"/>
      <c r="M712" s="68"/>
      <c r="N712" s="68"/>
      <c r="O712" s="110"/>
      <c r="P712" s="110"/>
      <c r="Q712" s="68"/>
      <c r="R712" s="68"/>
      <c r="S712" s="110"/>
      <c r="T712" s="110"/>
      <c r="U712" s="68"/>
      <c r="V712" s="68"/>
      <c r="W712" s="110"/>
      <c r="X712" s="110"/>
      <c r="Y712" s="110"/>
      <c r="Z712" s="110"/>
      <c r="AA712" s="110"/>
      <c r="AB712" s="110"/>
      <c r="AC712" s="114"/>
      <c r="AD712" s="68"/>
      <c r="AE712" s="110"/>
      <c r="AF712" s="110"/>
      <c r="AG712" s="68"/>
      <c r="AH712" s="68"/>
      <c r="AI712" s="110"/>
      <c r="AJ712" s="110"/>
      <c r="AK712" s="68"/>
      <c r="AL712" s="68"/>
      <c r="AM712" s="110"/>
      <c r="AN712" s="110"/>
      <c r="AO712" s="68"/>
      <c r="AP712" s="68"/>
      <c r="AQ712" s="40"/>
      <c r="AR712" s="40"/>
      <c r="AS712" s="23"/>
    </row>
    <row r="713" spans="1:45" ht="15.75" x14ac:dyDescent="0.25">
      <c r="A713" s="44"/>
      <c r="B713" s="23"/>
      <c r="C713" s="23"/>
      <c r="D713" s="23"/>
      <c r="E713" s="68"/>
      <c r="F713" s="68"/>
      <c r="G713" s="110"/>
      <c r="H713" s="110"/>
      <c r="I713" s="68"/>
      <c r="J713" s="68"/>
      <c r="K713" s="110"/>
      <c r="L713" s="110"/>
      <c r="M713" s="68"/>
      <c r="N713" s="68"/>
      <c r="O713" s="110"/>
      <c r="P713" s="110"/>
      <c r="Q713" s="68"/>
      <c r="R713" s="68"/>
      <c r="S713" s="110"/>
      <c r="T713" s="110"/>
      <c r="U713" s="68"/>
      <c r="V713" s="68"/>
      <c r="W713" s="110"/>
      <c r="X713" s="110"/>
      <c r="Y713" s="110"/>
      <c r="Z713" s="110"/>
      <c r="AA713" s="110"/>
      <c r="AB713" s="110"/>
      <c r="AC713" s="114"/>
      <c r="AD713" s="68"/>
      <c r="AE713" s="110"/>
      <c r="AF713" s="110"/>
      <c r="AG713" s="68"/>
      <c r="AH713" s="68"/>
      <c r="AI713" s="110"/>
      <c r="AJ713" s="110"/>
      <c r="AK713" s="68"/>
      <c r="AL713" s="68"/>
      <c r="AM713" s="110"/>
      <c r="AN713" s="110"/>
      <c r="AO713" s="68"/>
      <c r="AP713" s="68"/>
      <c r="AQ713" s="40"/>
      <c r="AR713" s="40"/>
      <c r="AS713" s="23"/>
    </row>
    <row r="714" spans="1:45" ht="15.75" x14ac:dyDescent="0.25">
      <c r="A714" s="44"/>
      <c r="B714" s="23"/>
      <c r="C714" s="23"/>
      <c r="D714" s="23"/>
      <c r="E714" s="68"/>
      <c r="F714" s="68"/>
      <c r="G714" s="110"/>
      <c r="H714" s="110"/>
      <c r="I714" s="68"/>
      <c r="J714" s="68"/>
      <c r="K714" s="110"/>
      <c r="L714" s="110"/>
      <c r="M714" s="68"/>
      <c r="N714" s="68"/>
      <c r="O714" s="110"/>
      <c r="P714" s="110"/>
      <c r="Q714" s="68"/>
      <c r="R714" s="68"/>
      <c r="S714" s="110"/>
      <c r="T714" s="110"/>
      <c r="U714" s="68"/>
      <c r="V714" s="68"/>
      <c r="W714" s="110"/>
      <c r="X714" s="110"/>
      <c r="Y714" s="110"/>
      <c r="Z714" s="110"/>
      <c r="AA714" s="110"/>
      <c r="AB714" s="110"/>
      <c r="AC714" s="114"/>
      <c r="AD714" s="68"/>
      <c r="AE714" s="110"/>
      <c r="AF714" s="110"/>
      <c r="AG714" s="68"/>
      <c r="AH714" s="68"/>
      <c r="AI714" s="110"/>
      <c r="AJ714" s="110"/>
      <c r="AK714" s="68"/>
      <c r="AL714" s="68"/>
      <c r="AM714" s="110"/>
      <c r="AN714" s="110"/>
      <c r="AO714" s="68"/>
      <c r="AP714" s="68"/>
      <c r="AQ714" s="40"/>
      <c r="AR714" s="40"/>
      <c r="AS714" s="23"/>
    </row>
    <row r="715" spans="1:45" ht="15.75" x14ac:dyDescent="0.25">
      <c r="A715" s="44"/>
      <c r="B715" s="23"/>
      <c r="C715" s="23"/>
      <c r="D715" s="23"/>
      <c r="E715" s="68"/>
      <c r="F715" s="68"/>
      <c r="G715" s="110"/>
      <c r="H715" s="110"/>
      <c r="I715" s="68"/>
      <c r="J715" s="68"/>
      <c r="K715" s="110"/>
      <c r="L715" s="110"/>
      <c r="M715" s="68"/>
      <c r="N715" s="68"/>
      <c r="O715" s="110"/>
      <c r="P715" s="110"/>
      <c r="Q715" s="68"/>
      <c r="R715" s="68"/>
      <c r="S715" s="110"/>
      <c r="T715" s="110"/>
      <c r="U715" s="68"/>
      <c r="V715" s="68"/>
      <c r="W715" s="110"/>
      <c r="X715" s="110"/>
      <c r="Y715" s="110"/>
      <c r="Z715" s="110"/>
      <c r="AA715" s="110"/>
      <c r="AB715" s="110"/>
      <c r="AC715" s="114"/>
      <c r="AD715" s="68"/>
      <c r="AE715" s="110"/>
      <c r="AF715" s="110"/>
      <c r="AG715" s="68"/>
      <c r="AH715" s="68"/>
      <c r="AI715" s="110"/>
      <c r="AJ715" s="110"/>
      <c r="AK715" s="68"/>
      <c r="AL715" s="68"/>
      <c r="AM715" s="110"/>
      <c r="AN715" s="110"/>
      <c r="AO715" s="68"/>
      <c r="AP715" s="68"/>
      <c r="AQ715" s="40"/>
      <c r="AR715" s="40"/>
      <c r="AS715" s="23"/>
    </row>
    <row r="716" spans="1:45" ht="15.75" x14ac:dyDescent="0.25">
      <c r="A716" s="44"/>
      <c r="B716" s="23"/>
      <c r="C716" s="23"/>
      <c r="D716" s="23"/>
      <c r="E716" s="68"/>
      <c r="F716" s="68"/>
      <c r="G716" s="110"/>
      <c r="H716" s="110"/>
      <c r="I716" s="68"/>
      <c r="J716" s="68"/>
      <c r="K716" s="110"/>
      <c r="L716" s="110"/>
      <c r="M716" s="68"/>
      <c r="N716" s="68"/>
      <c r="O716" s="110"/>
      <c r="P716" s="110"/>
      <c r="Q716" s="68"/>
      <c r="R716" s="68"/>
      <c r="S716" s="110"/>
      <c r="T716" s="110"/>
      <c r="U716" s="68"/>
      <c r="V716" s="68"/>
      <c r="W716" s="110"/>
      <c r="X716" s="110"/>
      <c r="Y716" s="110"/>
      <c r="Z716" s="110"/>
      <c r="AA716" s="110"/>
      <c r="AB716" s="110"/>
      <c r="AC716" s="114"/>
      <c r="AD716" s="68"/>
      <c r="AE716" s="110"/>
      <c r="AF716" s="110"/>
      <c r="AG716" s="68"/>
      <c r="AH716" s="68"/>
      <c r="AI716" s="110"/>
      <c r="AJ716" s="110"/>
      <c r="AK716" s="68"/>
      <c r="AL716" s="68"/>
      <c r="AM716" s="110"/>
      <c r="AN716" s="110"/>
      <c r="AO716" s="68"/>
      <c r="AP716" s="68"/>
      <c r="AQ716" s="40"/>
      <c r="AR716" s="40"/>
      <c r="AS716" s="23"/>
    </row>
    <row r="717" spans="1:45" ht="15.75" x14ac:dyDescent="0.25">
      <c r="A717" s="44"/>
      <c r="B717" s="23"/>
      <c r="C717" s="23"/>
      <c r="D717" s="23"/>
      <c r="E717" s="68"/>
      <c r="F717" s="68"/>
      <c r="G717" s="110"/>
      <c r="H717" s="110"/>
      <c r="I717" s="68"/>
      <c r="J717" s="68"/>
      <c r="K717" s="110"/>
      <c r="L717" s="110"/>
      <c r="M717" s="68"/>
      <c r="N717" s="68"/>
      <c r="O717" s="110"/>
      <c r="P717" s="110"/>
      <c r="Q717" s="68"/>
      <c r="R717" s="68"/>
      <c r="S717" s="110"/>
      <c r="T717" s="110"/>
      <c r="U717" s="68"/>
      <c r="V717" s="68"/>
      <c r="W717" s="110"/>
      <c r="X717" s="110"/>
      <c r="Y717" s="110"/>
      <c r="Z717" s="110"/>
      <c r="AA717" s="110"/>
      <c r="AB717" s="110"/>
      <c r="AC717" s="114"/>
      <c r="AD717" s="68"/>
      <c r="AE717" s="110"/>
      <c r="AF717" s="110"/>
      <c r="AG717" s="68"/>
      <c r="AH717" s="68"/>
      <c r="AI717" s="110"/>
      <c r="AJ717" s="110"/>
      <c r="AK717" s="68"/>
      <c r="AL717" s="68"/>
      <c r="AM717" s="110"/>
      <c r="AN717" s="110"/>
      <c r="AO717" s="68"/>
      <c r="AP717" s="68"/>
      <c r="AQ717" s="40"/>
      <c r="AR717" s="40"/>
      <c r="AS717" s="23"/>
    </row>
    <row r="718" spans="1:45" ht="15.75" x14ac:dyDescent="0.25">
      <c r="A718" s="44"/>
      <c r="B718" s="23"/>
      <c r="C718" s="23"/>
      <c r="D718" s="23"/>
      <c r="E718" s="68"/>
      <c r="F718" s="68"/>
      <c r="G718" s="110"/>
      <c r="H718" s="110"/>
      <c r="I718" s="68"/>
      <c r="J718" s="68"/>
      <c r="K718" s="110"/>
      <c r="L718" s="110"/>
      <c r="M718" s="68"/>
      <c r="N718" s="68"/>
      <c r="O718" s="110"/>
      <c r="P718" s="110"/>
      <c r="Q718" s="68"/>
      <c r="R718" s="68"/>
      <c r="S718" s="110"/>
      <c r="T718" s="110"/>
      <c r="U718" s="68"/>
      <c r="V718" s="68"/>
      <c r="W718" s="110"/>
      <c r="X718" s="110"/>
      <c r="Y718" s="110"/>
      <c r="Z718" s="110"/>
      <c r="AA718" s="110"/>
      <c r="AB718" s="110"/>
      <c r="AC718" s="114"/>
      <c r="AD718" s="68"/>
      <c r="AE718" s="110"/>
      <c r="AF718" s="110"/>
      <c r="AG718" s="68"/>
      <c r="AH718" s="68"/>
      <c r="AI718" s="110"/>
      <c r="AJ718" s="110"/>
      <c r="AK718" s="68"/>
      <c r="AL718" s="68"/>
      <c r="AM718" s="110"/>
      <c r="AN718" s="110"/>
      <c r="AO718" s="68"/>
      <c r="AP718" s="68"/>
      <c r="AQ718" s="40"/>
      <c r="AR718" s="40"/>
      <c r="AS718" s="23"/>
    </row>
    <row r="719" spans="1:45" ht="15.75" x14ac:dyDescent="0.25">
      <c r="A719" s="44"/>
      <c r="B719" s="23"/>
      <c r="C719" s="23"/>
      <c r="D719" s="23"/>
      <c r="E719" s="68"/>
      <c r="F719" s="68"/>
      <c r="G719" s="110"/>
      <c r="H719" s="110"/>
      <c r="I719" s="68"/>
      <c r="J719" s="68"/>
      <c r="K719" s="110"/>
      <c r="L719" s="110"/>
      <c r="M719" s="68"/>
      <c r="N719" s="68"/>
      <c r="O719" s="110"/>
      <c r="P719" s="110"/>
      <c r="Q719" s="68"/>
      <c r="R719" s="68"/>
      <c r="S719" s="110"/>
      <c r="T719" s="110"/>
      <c r="U719" s="68"/>
      <c r="V719" s="68"/>
      <c r="W719" s="110"/>
      <c r="X719" s="110"/>
      <c r="Y719" s="110"/>
      <c r="Z719" s="110"/>
      <c r="AA719" s="110"/>
      <c r="AB719" s="110"/>
      <c r="AC719" s="114"/>
      <c r="AD719" s="68"/>
      <c r="AE719" s="110"/>
      <c r="AF719" s="110"/>
      <c r="AG719" s="68"/>
      <c r="AH719" s="68"/>
      <c r="AI719" s="110"/>
      <c r="AJ719" s="110"/>
      <c r="AK719" s="68"/>
      <c r="AL719" s="68"/>
      <c r="AM719" s="110"/>
      <c r="AN719" s="110"/>
      <c r="AO719" s="68"/>
      <c r="AP719" s="68"/>
      <c r="AQ719" s="40"/>
      <c r="AR719" s="40"/>
      <c r="AS719" s="23"/>
    </row>
    <row r="720" spans="1:45" ht="15.75" x14ac:dyDescent="0.25">
      <c r="A720" s="44"/>
      <c r="B720" s="23"/>
      <c r="C720" s="23"/>
      <c r="D720" s="23"/>
      <c r="E720" s="68"/>
      <c r="F720" s="68"/>
      <c r="G720" s="110"/>
      <c r="H720" s="110"/>
      <c r="I720" s="68"/>
      <c r="J720" s="68"/>
      <c r="K720" s="110"/>
      <c r="L720" s="110"/>
      <c r="M720" s="68"/>
      <c r="N720" s="68"/>
      <c r="O720" s="110"/>
      <c r="P720" s="110"/>
      <c r="Q720" s="68"/>
      <c r="R720" s="68"/>
      <c r="S720" s="110"/>
      <c r="T720" s="110"/>
      <c r="U720" s="68"/>
      <c r="V720" s="68"/>
      <c r="W720" s="110"/>
      <c r="X720" s="110"/>
      <c r="Y720" s="110"/>
      <c r="Z720" s="110"/>
      <c r="AA720" s="110"/>
      <c r="AB720" s="110"/>
      <c r="AC720" s="114"/>
      <c r="AD720" s="68"/>
      <c r="AE720" s="110"/>
      <c r="AF720" s="110"/>
      <c r="AG720" s="68"/>
      <c r="AH720" s="68"/>
      <c r="AI720" s="110"/>
      <c r="AJ720" s="110"/>
      <c r="AK720" s="68"/>
      <c r="AL720" s="68"/>
      <c r="AM720" s="110"/>
      <c r="AN720" s="110"/>
      <c r="AO720" s="68"/>
      <c r="AP720" s="68"/>
      <c r="AQ720" s="40"/>
      <c r="AR720" s="40"/>
      <c r="AS720" s="23"/>
    </row>
    <row r="721" spans="1:45" ht="15.75" x14ac:dyDescent="0.25">
      <c r="A721" s="44"/>
      <c r="B721" s="23"/>
      <c r="C721" s="23"/>
      <c r="D721" s="23"/>
      <c r="E721" s="68"/>
      <c r="F721" s="68"/>
      <c r="G721" s="110"/>
      <c r="H721" s="110"/>
      <c r="I721" s="68"/>
      <c r="J721" s="68"/>
      <c r="K721" s="110"/>
      <c r="L721" s="110"/>
      <c r="M721" s="68"/>
      <c r="N721" s="68"/>
      <c r="O721" s="110"/>
      <c r="P721" s="110"/>
      <c r="Q721" s="68"/>
      <c r="R721" s="68"/>
      <c r="S721" s="110"/>
      <c r="T721" s="110"/>
      <c r="U721" s="68"/>
      <c r="V721" s="68"/>
      <c r="W721" s="110"/>
      <c r="X721" s="110"/>
      <c r="Y721" s="110"/>
      <c r="Z721" s="110"/>
      <c r="AA721" s="110"/>
      <c r="AB721" s="110"/>
      <c r="AC721" s="114"/>
      <c r="AD721" s="68"/>
      <c r="AE721" s="110"/>
      <c r="AF721" s="110"/>
      <c r="AG721" s="68"/>
      <c r="AH721" s="68"/>
      <c r="AI721" s="110"/>
      <c r="AJ721" s="110"/>
      <c r="AK721" s="68"/>
      <c r="AL721" s="68"/>
      <c r="AM721" s="110"/>
      <c r="AN721" s="110"/>
      <c r="AO721" s="68"/>
      <c r="AP721" s="68"/>
      <c r="AQ721" s="40"/>
      <c r="AR721" s="40"/>
      <c r="AS721" s="23"/>
    </row>
    <row r="722" spans="1:45" ht="15.75" x14ac:dyDescent="0.25">
      <c r="A722" s="44"/>
      <c r="B722" s="23"/>
      <c r="C722" s="23"/>
      <c r="D722" s="23"/>
      <c r="E722" s="68"/>
      <c r="F722" s="68"/>
      <c r="G722" s="110"/>
      <c r="H722" s="110"/>
      <c r="I722" s="68"/>
      <c r="J722" s="68"/>
      <c r="K722" s="110"/>
      <c r="L722" s="110"/>
      <c r="M722" s="68"/>
      <c r="N722" s="68"/>
      <c r="O722" s="110"/>
      <c r="P722" s="110"/>
      <c r="Q722" s="68"/>
      <c r="R722" s="68"/>
      <c r="S722" s="110"/>
      <c r="T722" s="110"/>
      <c r="U722" s="68"/>
      <c r="V722" s="68"/>
      <c r="W722" s="110"/>
      <c r="X722" s="110"/>
      <c r="Y722" s="110"/>
      <c r="Z722" s="110"/>
      <c r="AA722" s="110"/>
      <c r="AB722" s="110"/>
      <c r="AC722" s="114"/>
      <c r="AD722" s="68"/>
      <c r="AE722" s="110"/>
      <c r="AF722" s="110"/>
      <c r="AG722" s="68"/>
      <c r="AH722" s="68"/>
      <c r="AI722" s="110"/>
      <c r="AJ722" s="110"/>
      <c r="AK722" s="68"/>
      <c r="AL722" s="68"/>
      <c r="AM722" s="110"/>
      <c r="AN722" s="110"/>
      <c r="AO722" s="68"/>
      <c r="AP722" s="68"/>
      <c r="AQ722" s="40"/>
      <c r="AR722" s="40"/>
      <c r="AS722" s="23"/>
    </row>
    <row r="723" spans="1:45" ht="15.75" x14ac:dyDescent="0.25">
      <c r="A723" s="44"/>
      <c r="B723" s="23"/>
      <c r="C723" s="23"/>
      <c r="D723" s="23"/>
      <c r="E723" s="68"/>
      <c r="F723" s="68"/>
      <c r="G723" s="110"/>
      <c r="H723" s="110"/>
      <c r="I723" s="68"/>
      <c r="J723" s="68"/>
      <c r="K723" s="110"/>
      <c r="L723" s="110"/>
      <c r="M723" s="68"/>
      <c r="N723" s="68"/>
      <c r="O723" s="110"/>
      <c r="P723" s="110"/>
      <c r="Q723" s="68"/>
      <c r="R723" s="68"/>
      <c r="S723" s="110"/>
      <c r="T723" s="110"/>
      <c r="U723" s="68"/>
      <c r="V723" s="68"/>
      <c r="W723" s="110"/>
      <c r="X723" s="110"/>
      <c r="Y723" s="110"/>
      <c r="Z723" s="110"/>
      <c r="AA723" s="110"/>
      <c r="AB723" s="110"/>
      <c r="AC723" s="114"/>
      <c r="AD723" s="68"/>
      <c r="AE723" s="110"/>
      <c r="AF723" s="110"/>
      <c r="AG723" s="68"/>
      <c r="AH723" s="68"/>
      <c r="AI723" s="110"/>
      <c r="AJ723" s="110"/>
      <c r="AK723" s="68"/>
      <c r="AL723" s="68"/>
      <c r="AM723" s="110"/>
      <c r="AN723" s="110"/>
      <c r="AO723" s="68"/>
      <c r="AP723" s="68"/>
      <c r="AQ723" s="40"/>
      <c r="AR723" s="40"/>
      <c r="AS723" s="23"/>
    </row>
    <row r="724" spans="1:45" ht="15.75" x14ac:dyDescent="0.25">
      <c r="A724" s="44"/>
      <c r="B724" s="23"/>
      <c r="C724" s="23"/>
      <c r="D724" s="23"/>
      <c r="E724" s="68"/>
      <c r="F724" s="68"/>
      <c r="G724" s="110"/>
      <c r="H724" s="110"/>
      <c r="I724" s="68"/>
      <c r="J724" s="68"/>
      <c r="K724" s="110"/>
      <c r="L724" s="110"/>
      <c r="M724" s="68"/>
      <c r="N724" s="68"/>
      <c r="O724" s="110"/>
      <c r="P724" s="110"/>
      <c r="Q724" s="68"/>
      <c r="R724" s="68"/>
      <c r="S724" s="110"/>
      <c r="T724" s="110"/>
      <c r="U724" s="68"/>
      <c r="V724" s="68"/>
      <c r="W724" s="110"/>
      <c r="X724" s="110"/>
      <c r="Y724" s="110"/>
      <c r="Z724" s="110"/>
      <c r="AA724" s="110"/>
      <c r="AB724" s="110"/>
      <c r="AC724" s="114"/>
      <c r="AD724" s="68"/>
      <c r="AE724" s="110"/>
      <c r="AF724" s="110"/>
      <c r="AG724" s="68"/>
      <c r="AH724" s="68"/>
      <c r="AI724" s="110"/>
      <c r="AJ724" s="110"/>
      <c r="AK724" s="68"/>
      <c r="AL724" s="68"/>
      <c r="AM724" s="110"/>
      <c r="AN724" s="110"/>
      <c r="AO724" s="68"/>
      <c r="AP724" s="68"/>
      <c r="AQ724" s="40"/>
      <c r="AR724" s="40"/>
      <c r="AS724" s="23"/>
    </row>
    <row r="725" spans="1:45" ht="15.75" x14ac:dyDescent="0.25">
      <c r="A725" s="44"/>
      <c r="B725" s="23"/>
      <c r="C725" s="23"/>
      <c r="D725" s="23"/>
      <c r="E725" s="68"/>
      <c r="F725" s="68"/>
      <c r="G725" s="110"/>
      <c r="H725" s="110"/>
      <c r="I725" s="68"/>
      <c r="J725" s="68"/>
      <c r="K725" s="110"/>
      <c r="L725" s="110"/>
      <c r="M725" s="68"/>
      <c r="N725" s="68"/>
      <c r="O725" s="110"/>
      <c r="P725" s="110"/>
      <c r="Q725" s="68"/>
      <c r="R725" s="68"/>
      <c r="S725" s="110"/>
      <c r="T725" s="110"/>
      <c r="U725" s="68"/>
      <c r="V725" s="68"/>
      <c r="W725" s="110"/>
      <c r="X725" s="110"/>
      <c r="Y725" s="110"/>
      <c r="Z725" s="110"/>
      <c r="AA725" s="110"/>
      <c r="AB725" s="110"/>
      <c r="AC725" s="114"/>
      <c r="AD725" s="68"/>
      <c r="AE725" s="110"/>
      <c r="AF725" s="110"/>
      <c r="AG725" s="68"/>
      <c r="AH725" s="68"/>
      <c r="AI725" s="110"/>
      <c r="AJ725" s="110"/>
      <c r="AK725" s="68"/>
      <c r="AL725" s="68"/>
      <c r="AM725" s="110"/>
      <c r="AN725" s="110"/>
      <c r="AO725" s="68"/>
      <c r="AP725" s="68"/>
      <c r="AQ725" s="40"/>
      <c r="AR725" s="40"/>
      <c r="AS725" s="23"/>
    </row>
    <row r="726" spans="1:45" ht="15.75" x14ac:dyDescent="0.25">
      <c r="A726" s="44"/>
      <c r="B726" s="23"/>
      <c r="C726" s="23"/>
      <c r="D726" s="23"/>
      <c r="E726" s="68"/>
      <c r="F726" s="68"/>
      <c r="G726" s="110"/>
      <c r="H726" s="110"/>
      <c r="I726" s="68"/>
      <c r="J726" s="68"/>
      <c r="K726" s="110"/>
      <c r="L726" s="110"/>
      <c r="M726" s="68"/>
      <c r="N726" s="68"/>
      <c r="O726" s="110"/>
      <c r="P726" s="110"/>
      <c r="Q726" s="68"/>
      <c r="R726" s="68"/>
      <c r="S726" s="110"/>
      <c r="T726" s="110"/>
      <c r="U726" s="68"/>
      <c r="V726" s="68"/>
      <c r="W726" s="110"/>
      <c r="X726" s="110"/>
      <c r="Y726" s="110"/>
      <c r="Z726" s="110"/>
      <c r="AA726" s="110"/>
      <c r="AB726" s="110"/>
      <c r="AC726" s="114"/>
      <c r="AD726" s="68"/>
      <c r="AE726" s="110"/>
      <c r="AF726" s="110"/>
      <c r="AG726" s="68"/>
      <c r="AH726" s="68"/>
      <c r="AI726" s="110"/>
      <c r="AJ726" s="110"/>
      <c r="AK726" s="68"/>
      <c r="AL726" s="68"/>
      <c r="AM726" s="110"/>
      <c r="AN726" s="110"/>
      <c r="AO726" s="68"/>
      <c r="AP726" s="68"/>
      <c r="AQ726" s="40"/>
      <c r="AR726" s="40"/>
      <c r="AS726" s="23"/>
    </row>
    <row r="727" spans="1:45" ht="15.75" x14ac:dyDescent="0.25">
      <c r="A727" s="44"/>
      <c r="B727" s="23"/>
      <c r="C727" s="23"/>
      <c r="D727" s="23"/>
      <c r="E727" s="68"/>
      <c r="F727" s="68"/>
      <c r="G727" s="110"/>
      <c r="H727" s="110"/>
      <c r="I727" s="68"/>
      <c r="J727" s="68"/>
      <c r="K727" s="110"/>
      <c r="L727" s="110"/>
      <c r="M727" s="68"/>
      <c r="N727" s="68"/>
      <c r="O727" s="110"/>
      <c r="P727" s="110"/>
      <c r="Q727" s="68"/>
      <c r="R727" s="68"/>
      <c r="S727" s="110"/>
      <c r="T727" s="110"/>
      <c r="U727" s="68"/>
      <c r="V727" s="68"/>
      <c r="W727" s="110"/>
      <c r="X727" s="110"/>
      <c r="Y727" s="110"/>
      <c r="Z727" s="110"/>
      <c r="AA727" s="110"/>
      <c r="AB727" s="110"/>
      <c r="AC727" s="114"/>
      <c r="AD727" s="68"/>
      <c r="AE727" s="110"/>
      <c r="AF727" s="110"/>
      <c r="AG727" s="68"/>
      <c r="AH727" s="68"/>
      <c r="AI727" s="110"/>
      <c r="AJ727" s="110"/>
      <c r="AK727" s="68"/>
      <c r="AL727" s="68"/>
      <c r="AM727" s="110"/>
      <c r="AN727" s="110"/>
      <c r="AO727" s="68"/>
      <c r="AP727" s="68"/>
      <c r="AQ727" s="40"/>
      <c r="AR727" s="40"/>
      <c r="AS727" s="23"/>
    </row>
    <row r="728" spans="1:45" ht="15.75" x14ac:dyDescent="0.25">
      <c r="A728" s="44"/>
      <c r="B728" s="23"/>
      <c r="C728" s="23"/>
      <c r="D728" s="23"/>
      <c r="E728" s="68"/>
      <c r="F728" s="68"/>
      <c r="G728" s="110"/>
      <c r="H728" s="110"/>
      <c r="I728" s="68"/>
      <c r="J728" s="68"/>
      <c r="K728" s="110"/>
      <c r="L728" s="110"/>
      <c r="M728" s="68"/>
      <c r="N728" s="68"/>
      <c r="O728" s="110"/>
      <c r="P728" s="110"/>
      <c r="Q728" s="68"/>
      <c r="R728" s="68"/>
      <c r="S728" s="110"/>
      <c r="T728" s="110"/>
      <c r="U728" s="68"/>
      <c r="V728" s="68"/>
      <c r="W728" s="110"/>
      <c r="X728" s="110"/>
      <c r="Y728" s="110"/>
      <c r="Z728" s="110"/>
      <c r="AA728" s="110"/>
      <c r="AB728" s="110"/>
      <c r="AC728" s="114"/>
      <c r="AD728" s="68"/>
      <c r="AE728" s="110"/>
      <c r="AF728" s="110"/>
      <c r="AG728" s="68"/>
      <c r="AH728" s="68"/>
      <c r="AI728" s="110"/>
      <c r="AJ728" s="110"/>
      <c r="AK728" s="68"/>
      <c r="AL728" s="68"/>
      <c r="AM728" s="110"/>
      <c r="AN728" s="110"/>
      <c r="AO728" s="68"/>
      <c r="AP728" s="68"/>
      <c r="AQ728" s="40"/>
      <c r="AR728" s="40"/>
      <c r="AS728" s="23"/>
    </row>
    <row r="729" spans="1:45" ht="15.75" x14ac:dyDescent="0.25">
      <c r="A729" s="44"/>
      <c r="B729" s="23"/>
      <c r="C729" s="23"/>
      <c r="D729" s="23"/>
      <c r="E729" s="68"/>
      <c r="F729" s="68"/>
      <c r="G729" s="110"/>
      <c r="H729" s="110"/>
      <c r="I729" s="68"/>
      <c r="J729" s="68"/>
      <c r="K729" s="110"/>
      <c r="L729" s="110"/>
      <c r="M729" s="68"/>
      <c r="N729" s="68"/>
      <c r="O729" s="110"/>
      <c r="P729" s="110"/>
      <c r="Q729" s="68"/>
      <c r="R729" s="68"/>
      <c r="S729" s="110"/>
      <c r="T729" s="110"/>
      <c r="U729" s="68"/>
      <c r="V729" s="68"/>
      <c r="W729" s="110"/>
      <c r="X729" s="110"/>
      <c r="Y729" s="110"/>
      <c r="Z729" s="110"/>
      <c r="AA729" s="110"/>
      <c r="AB729" s="110"/>
      <c r="AC729" s="114"/>
      <c r="AD729" s="68"/>
      <c r="AE729" s="110"/>
      <c r="AF729" s="110"/>
      <c r="AG729" s="68"/>
      <c r="AH729" s="68"/>
      <c r="AI729" s="110"/>
      <c r="AJ729" s="110"/>
      <c r="AK729" s="68"/>
      <c r="AL729" s="68"/>
      <c r="AM729" s="110"/>
      <c r="AN729" s="110"/>
      <c r="AO729" s="68"/>
      <c r="AP729" s="68"/>
      <c r="AQ729" s="40"/>
      <c r="AR729" s="40"/>
      <c r="AS729" s="23"/>
    </row>
    <row r="730" spans="1:45" ht="15.75" x14ac:dyDescent="0.25">
      <c r="A730" s="44"/>
      <c r="B730" s="23"/>
      <c r="C730" s="23"/>
      <c r="D730" s="23"/>
      <c r="E730" s="68"/>
      <c r="F730" s="68"/>
      <c r="G730" s="110"/>
      <c r="H730" s="110"/>
      <c r="I730" s="68"/>
      <c r="J730" s="68"/>
      <c r="K730" s="110"/>
      <c r="L730" s="110"/>
      <c r="M730" s="68"/>
      <c r="N730" s="68"/>
      <c r="O730" s="110"/>
      <c r="P730" s="110"/>
      <c r="Q730" s="68"/>
      <c r="R730" s="68"/>
      <c r="S730" s="110"/>
      <c r="T730" s="110"/>
      <c r="U730" s="68"/>
      <c r="V730" s="68"/>
      <c r="W730" s="110"/>
      <c r="X730" s="110"/>
      <c r="Y730" s="110"/>
      <c r="Z730" s="110"/>
      <c r="AA730" s="110"/>
      <c r="AB730" s="110"/>
      <c r="AC730" s="114"/>
      <c r="AD730" s="68"/>
      <c r="AE730" s="110"/>
      <c r="AF730" s="110"/>
      <c r="AG730" s="68"/>
      <c r="AH730" s="68"/>
      <c r="AI730" s="110"/>
      <c r="AJ730" s="110"/>
      <c r="AK730" s="68"/>
      <c r="AL730" s="68"/>
      <c r="AM730" s="110"/>
      <c r="AN730" s="110"/>
      <c r="AO730" s="68"/>
      <c r="AP730" s="68"/>
      <c r="AQ730" s="40"/>
      <c r="AR730" s="40"/>
      <c r="AS730" s="23"/>
    </row>
    <row r="731" spans="1:45" ht="15.75" x14ac:dyDescent="0.25">
      <c r="A731" s="44"/>
      <c r="B731" s="23"/>
      <c r="C731" s="23"/>
      <c r="D731" s="23"/>
      <c r="E731" s="68"/>
      <c r="F731" s="68"/>
      <c r="G731" s="110"/>
      <c r="H731" s="110"/>
      <c r="I731" s="68"/>
      <c r="J731" s="68"/>
      <c r="K731" s="110"/>
      <c r="L731" s="110"/>
      <c r="M731" s="68"/>
      <c r="N731" s="68"/>
      <c r="O731" s="110"/>
      <c r="P731" s="110"/>
      <c r="Q731" s="68"/>
      <c r="R731" s="68"/>
      <c r="S731" s="110"/>
      <c r="T731" s="110"/>
      <c r="U731" s="68"/>
      <c r="V731" s="68"/>
      <c r="W731" s="110"/>
      <c r="X731" s="110"/>
      <c r="Y731" s="110"/>
      <c r="Z731" s="110"/>
      <c r="AA731" s="110"/>
      <c r="AB731" s="110"/>
      <c r="AC731" s="114"/>
      <c r="AD731" s="68"/>
      <c r="AE731" s="110"/>
      <c r="AF731" s="110"/>
      <c r="AG731" s="68"/>
      <c r="AH731" s="68"/>
      <c r="AI731" s="110"/>
      <c r="AJ731" s="110"/>
      <c r="AK731" s="68"/>
      <c r="AL731" s="68"/>
      <c r="AM731" s="110"/>
      <c r="AN731" s="110"/>
      <c r="AO731" s="68"/>
      <c r="AP731" s="68"/>
      <c r="AQ731" s="40"/>
      <c r="AR731" s="40"/>
      <c r="AS731" s="23"/>
    </row>
    <row r="732" spans="1:45" ht="15.75" x14ac:dyDescent="0.25">
      <c r="A732" s="44"/>
      <c r="B732" s="23"/>
      <c r="C732" s="23"/>
      <c r="D732" s="23"/>
      <c r="E732" s="68"/>
      <c r="F732" s="68"/>
      <c r="G732" s="110"/>
      <c r="H732" s="110"/>
      <c r="I732" s="68"/>
      <c r="J732" s="68"/>
      <c r="K732" s="110"/>
      <c r="L732" s="110"/>
      <c r="M732" s="68"/>
      <c r="N732" s="68"/>
      <c r="O732" s="110"/>
      <c r="P732" s="110"/>
      <c r="Q732" s="68"/>
      <c r="R732" s="68"/>
      <c r="S732" s="110"/>
      <c r="T732" s="110"/>
      <c r="U732" s="68"/>
      <c r="V732" s="68"/>
      <c r="W732" s="110"/>
      <c r="X732" s="110"/>
      <c r="Y732" s="110"/>
      <c r="Z732" s="110"/>
      <c r="AA732" s="110"/>
      <c r="AB732" s="110"/>
      <c r="AC732" s="114"/>
      <c r="AD732" s="68"/>
      <c r="AE732" s="110"/>
      <c r="AF732" s="110"/>
      <c r="AG732" s="68"/>
      <c r="AH732" s="68"/>
      <c r="AI732" s="110"/>
      <c r="AJ732" s="110"/>
      <c r="AK732" s="68"/>
      <c r="AL732" s="68"/>
      <c r="AM732" s="110"/>
      <c r="AN732" s="110"/>
      <c r="AO732" s="68"/>
      <c r="AP732" s="68"/>
      <c r="AQ732" s="40"/>
      <c r="AR732" s="40"/>
      <c r="AS732" s="23"/>
    </row>
    <row r="733" spans="1:45" ht="15.75" x14ac:dyDescent="0.25">
      <c r="A733" s="44"/>
      <c r="B733" s="23"/>
      <c r="C733" s="23"/>
      <c r="D733" s="23"/>
      <c r="E733" s="68"/>
      <c r="F733" s="68"/>
      <c r="G733" s="110"/>
      <c r="H733" s="110"/>
      <c r="I733" s="68"/>
      <c r="J733" s="68"/>
      <c r="K733" s="110"/>
      <c r="L733" s="110"/>
      <c r="M733" s="68"/>
      <c r="N733" s="68"/>
      <c r="O733" s="110"/>
      <c r="P733" s="110"/>
      <c r="Q733" s="68"/>
      <c r="R733" s="68"/>
      <c r="S733" s="110"/>
      <c r="T733" s="110"/>
      <c r="U733" s="68"/>
      <c r="V733" s="68"/>
      <c r="W733" s="110"/>
      <c r="X733" s="110"/>
      <c r="Y733" s="110"/>
      <c r="Z733" s="110"/>
      <c r="AA733" s="110"/>
      <c r="AB733" s="110"/>
      <c r="AC733" s="114"/>
      <c r="AD733" s="68"/>
      <c r="AE733" s="110"/>
      <c r="AF733" s="110"/>
      <c r="AG733" s="68"/>
      <c r="AH733" s="68"/>
      <c r="AI733" s="110"/>
      <c r="AJ733" s="110"/>
      <c r="AK733" s="68"/>
      <c r="AL733" s="68"/>
      <c r="AM733" s="110"/>
      <c r="AN733" s="110"/>
      <c r="AO733" s="68"/>
      <c r="AP733" s="68"/>
      <c r="AQ733" s="40"/>
      <c r="AR733" s="40"/>
      <c r="AS733" s="23"/>
    </row>
    <row r="734" spans="1:45" ht="15.75" x14ac:dyDescent="0.25">
      <c r="A734" s="44"/>
      <c r="B734" s="23"/>
      <c r="C734" s="23"/>
      <c r="D734" s="23"/>
      <c r="E734" s="68"/>
      <c r="F734" s="68"/>
      <c r="G734" s="110"/>
      <c r="H734" s="110"/>
      <c r="I734" s="68"/>
      <c r="J734" s="68"/>
      <c r="K734" s="110"/>
      <c r="L734" s="110"/>
      <c r="M734" s="68"/>
      <c r="N734" s="68"/>
      <c r="O734" s="110"/>
      <c r="P734" s="110"/>
      <c r="Q734" s="68"/>
      <c r="R734" s="68"/>
      <c r="S734" s="110"/>
      <c r="T734" s="110"/>
      <c r="U734" s="68"/>
      <c r="V734" s="68"/>
      <c r="W734" s="110"/>
      <c r="X734" s="110"/>
      <c r="Y734" s="110"/>
      <c r="Z734" s="110"/>
      <c r="AA734" s="110"/>
      <c r="AB734" s="110"/>
      <c r="AC734" s="114"/>
      <c r="AD734" s="68"/>
      <c r="AE734" s="110"/>
      <c r="AF734" s="110"/>
      <c r="AG734" s="68"/>
      <c r="AH734" s="68"/>
      <c r="AI734" s="110"/>
      <c r="AJ734" s="110"/>
      <c r="AK734" s="68"/>
      <c r="AL734" s="68"/>
      <c r="AM734" s="110"/>
      <c r="AN734" s="110"/>
      <c r="AO734" s="68"/>
      <c r="AP734" s="68"/>
      <c r="AQ734" s="40"/>
      <c r="AR734" s="40"/>
      <c r="AS734" s="23"/>
    </row>
    <row r="735" spans="1:45" ht="15.75" x14ac:dyDescent="0.25">
      <c r="A735" s="44"/>
      <c r="B735" s="23"/>
      <c r="C735" s="23"/>
      <c r="D735" s="23"/>
      <c r="E735" s="68"/>
      <c r="F735" s="68"/>
      <c r="G735" s="110"/>
      <c r="H735" s="110"/>
      <c r="I735" s="68"/>
      <c r="J735" s="68"/>
      <c r="K735" s="110"/>
      <c r="L735" s="110"/>
      <c r="M735" s="68"/>
      <c r="N735" s="68"/>
      <c r="O735" s="110"/>
      <c r="P735" s="110"/>
      <c r="Q735" s="68"/>
      <c r="R735" s="68"/>
      <c r="S735" s="110"/>
      <c r="T735" s="110"/>
      <c r="U735" s="68"/>
      <c r="V735" s="68"/>
      <c r="W735" s="110"/>
      <c r="X735" s="110"/>
      <c r="Y735" s="110"/>
      <c r="Z735" s="110"/>
      <c r="AA735" s="110"/>
      <c r="AB735" s="110"/>
      <c r="AC735" s="114"/>
      <c r="AD735" s="68"/>
      <c r="AE735" s="110"/>
      <c r="AF735" s="110"/>
      <c r="AG735" s="68"/>
      <c r="AH735" s="68"/>
      <c r="AI735" s="110"/>
      <c r="AJ735" s="110"/>
      <c r="AK735" s="68"/>
      <c r="AL735" s="68"/>
      <c r="AM735" s="110"/>
      <c r="AN735" s="110"/>
      <c r="AO735" s="68"/>
      <c r="AP735" s="68"/>
      <c r="AQ735" s="40"/>
      <c r="AR735" s="40"/>
      <c r="AS735" s="23"/>
    </row>
    <row r="736" spans="1:45" ht="15.75" x14ac:dyDescent="0.25">
      <c r="A736" s="44"/>
      <c r="B736" s="23"/>
      <c r="C736" s="23"/>
      <c r="D736" s="23"/>
      <c r="E736" s="68"/>
      <c r="F736" s="68"/>
      <c r="G736" s="110"/>
      <c r="H736" s="110"/>
      <c r="I736" s="68"/>
      <c r="J736" s="68"/>
      <c r="K736" s="110"/>
      <c r="L736" s="110"/>
      <c r="M736" s="68"/>
      <c r="N736" s="68"/>
      <c r="O736" s="110"/>
      <c r="P736" s="110"/>
      <c r="Q736" s="68"/>
      <c r="R736" s="68"/>
      <c r="S736" s="110"/>
      <c r="T736" s="110"/>
      <c r="U736" s="68"/>
      <c r="V736" s="68"/>
      <c r="W736" s="110"/>
      <c r="X736" s="110"/>
      <c r="Y736" s="110"/>
      <c r="Z736" s="110"/>
      <c r="AA736" s="110"/>
      <c r="AB736" s="110"/>
      <c r="AC736" s="114"/>
      <c r="AD736" s="68"/>
      <c r="AE736" s="110"/>
      <c r="AF736" s="110"/>
      <c r="AG736" s="68"/>
      <c r="AH736" s="68"/>
      <c r="AI736" s="110"/>
      <c r="AJ736" s="110"/>
      <c r="AK736" s="68"/>
      <c r="AL736" s="68"/>
      <c r="AM736" s="110"/>
      <c r="AN736" s="110"/>
      <c r="AO736" s="68"/>
      <c r="AP736" s="68"/>
      <c r="AQ736" s="40"/>
      <c r="AR736" s="40"/>
      <c r="AS736" s="23"/>
    </row>
    <row r="737" spans="1:45" ht="15.75" x14ac:dyDescent="0.25">
      <c r="A737" s="44"/>
      <c r="B737" s="23"/>
      <c r="C737" s="23"/>
      <c r="D737" s="23"/>
      <c r="E737" s="68"/>
      <c r="F737" s="68"/>
      <c r="G737" s="110"/>
      <c r="H737" s="110"/>
      <c r="I737" s="68"/>
      <c r="J737" s="68"/>
      <c r="K737" s="110"/>
      <c r="L737" s="110"/>
      <c r="M737" s="68"/>
      <c r="N737" s="68"/>
      <c r="O737" s="110"/>
      <c r="P737" s="110"/>
      <c r="Q737" s="68"/>
      <c r="R737" s="68"/>
      <c r="S737" s="110"/>
      <c r="T737" s="110"/>
      <c r="U737" s="68"/>
      <c r="V737" s="68"/>
      <c r="W737" s="110"/>
      <c r="X737" s="110"/>
      <c r="Y737" s="110"/>
      <c r="Z737" s="110"/>
      <c r="AA737" s="110"/>
      <c r="AB737" s="110"/>
      <c r="AC737" s="114"/>
      <c r="AD737" s="68"/>
      <c r="AE737" s="110"/>
      <c r="AF737" s="110"/>
      <c r="AG737" s="68"/>
      <c r="AH737" s="68"/>
      <c r="AI737" s="110"/>
      <c r="AJ737" s="110"/>
      <c r="AK737" s="68"/>
      <c r="AL737" s="68"/>
      <c r="AM737" s="110"/>
      <c r="AN737" s="110"/>
      <c r="AO737" s="68"/>
      <c r="AP737" s="68"/>
      <c r="AQ737" s="40"/>
      <c r="AR737" s="40"/>
      <c r="AS737" s="23"/>
    </row>
    <row r="738" spans="1:45" ht="15.75" x14ac:dyDescent="0.25">
      <c r="A738" s="44"/>
      <c r="B738" s="23"/>
      <c r="C738" s="23"/>
      <c r="D738" s="23"/>
      <c r="E738" s="68"/>
      <c r="F738" s="68"/>
      <c r="G738" s="110"/>
      <c r="H738" s="110"/>
      <c r="I738" s="68"/>
      <c r="J738" s="68"/>
      <c r="K738" s="110"/>
      <c r="L738" s="110"/>
      <c r="M738" s="68"/>
      <c r="N738" s="68"/>
      <c r="O738" s="110"/>
      <c r="P738" s="110"/>
      <c r="Q738" s="68"/>
      <c r="R738" s="68"/>
      <c r="S738" s="110"/>
      <c r="T738" s="110"/>
      <c r="U738" s="68"/>
      <c r="V738" s="68"/>
      <c r="W738" s="110"/>
      <c r="X738" s="110"/>
      <c r="Y738" s="110"/>
      <c r="Z738" s="110"/>
      <c r="AA738" s="110"/>
      <c r="AB738" s="110"/>
      <c r="AC738" s="114"/>
      <c r="AD738" s="68"/>
      <c r="AE738" s="110"/>
      <c r="AF738" s="110"/>
      <c r="AG738" s="68"/>
      <c r="AH738" s="68"/>
      <c r="AI738" s="110"/>
      <c r="AJ738" s="110"/>
      <c r="AK738" s="68"/>
      <c r="AL738" s="68"/>
      <c r="AM738" s="110"/>
      <c r="AN738" s="110"/>
      <c r="AO738" s="68"/>
      <c r="AP738" s="68"/>
      <c r="AQ738" s="40"/>
      <c r="AR738" s="40"/>
      <c r="AS738" s="23"/>
    </row>
    <row r="739" spans="1:45" ht="15.75" x14ac:dyDescent="0.25">
      <c r="A739" s="44"/>
      <c r="B739" s="23"/>
      <c r="C739" s="23"/>
      <c r="D739" s="23"/>
      <c r="E739" s="68"/>
      <c r="F739" s="68"/>
      <c r="G739" s="110"/>
      <c r="H739" s="110"/>
      <c r="I739" s="68"/>
      <c r="J739" s="68"/>
      <c r="K739" s="110"/>
      <c r="L739" s="110"/>
      <c r="M739" s="68"/>
      <c r="N739" s="68"/>
      <c r="O739" s="110"/>
      <c r="P739" s="110"/>
      <c r="Q739" s="68"/>
      <c r="R739" s="68"/>
      <c r="S739" s="110"/>
      <c r="T739" s="110"/>
      <c r="U739" s="68"/>
      <c r="V739" s="68"/>
      <c r="W739" s="110"/>
      <c r="X739" s="110"/>
      <c r="Y739" s="110"/>
      <c r="Z739" s="110"/>
      <c r="AA739" s="110"/>
      <c r="AB739" s="110"/>
      <c r="AC739" s="114"/>
      <c r="AD739" s="68"/>
      <c r="AE739" s="110"/>
      <c r="AF739" s="110"/>
      <c r="AG739" s="68"/>
      <c r="AH739" s="68"/>
      <c r="AI739" s="110"/>
      <c r="AJ739" s="110"/>
      <c r="AK739" s="68"/>
      <c r="AL739" s="68"/>
      <c r="AM739" s="110"/>
      <c r="AN739" s="110"/>
      <c r="AO739" s="68"/>
      <c r="AP739" s="68"/>
      <c r="AQ739" s="40"/>
      <c r="AR739" s="40"/>
      <c r="AS739" s="23"/>
    </row>
    <row r="740" spans="1:45" ht="15.75" x14ac:dyDescent="0.25">
      <c r="A740" s="44"/>
      <c r="B740" s="23"/>
      <c r="C740" s="23"/>
      <c r="D740" s="23"/>
      <c r="E740" s="68"/>
      <c r="F740" s="68"/>
      <c r="G740" s="110"/>
      <c r="H740" s="110"/>
      <c r="I740" s="68"/>
      <c r="J740" s="68"/>
      <c r="K740" s="110"/>
      <c r="L740" s="110"/>
      <c r="M740" s="68"/>
      <c r="N740" s="68"/>
      <c r="O740" s="110"/>
      <c r="P740" s="110"/>
      <c r="Q740" s="68"/>
      <c r="R740" s="68"/>
      <c r="S740" s="110"/>
      <c r="T740" s="110"/>
      <c r="U740" s="68"/>
      <c r="V740" s="68"/>
      <c r="W740" s="110"/>
      <c r="X740" s="110"/>
      <c r="Y740" s="110"/>
      <c r="Z740" s="110"/>
      <c r="AA740" s="110"/>
      <c r="AB740" s="110"/>
      <c r="AC740" s="114"/>
      <c r="AD740" s="68"/>
      <c r="AE740" s="110"/>
      <c r="AF740" s="110"/>
      <c r="AG740" s="68"/>
      <c r="AH740" s="68"/>
      <c r="AI740" s="110"/>
      <c r="AJ740" s="110"/>
      <c r="AK740" s="68"/>
      <c r="AL740" s="68"/>
      <c r="AM740" s="110"/>
      <c r="AN740" s="110"/>
      <c r="AO740" s="68"/>
      <c r="AP740" s="68"/>
      <c r="AQ740" s="40"/>
      <c r="AR740" s="40"/>
      <c r="AS740" s="23"/>
    </row>
    <row r="741" spans="1:45" ht="15.75" x14ac:dyDescent="0.25">
      <c r="A741" s="44"/>
      <c r="B741" s="23"/>
      <c r="C741" s="23"/>
      <c r="D741" s="23"/>
      <c r="E741" s="68"/>
      <c r="F741" s="68"/>
      <c r="G741" s="110"/>
      <c r="H741" s="110"/>
      <c r="I741" s="68"/>
      <c r="J741" s="68"/>
      <c r="K741" s="110"/>
      <c r="L741" s="110"/>
      <c r="M741" s="68"/>
      <c r="N741" s="68"/>
      <c r="O741" s="110"/>
      <c r="P741" s="110"/>
      <c r="Q741" s="68"/>
      <c r="R741" s="68"/>
      <c r="S741" s="110"/>
      <c r="T741" s="110"/>
      <c r="U741" s="68"/>
      <c r="V741" s="68"/>
      <c r="W741" s="110"/>
      <c r="X741" s="110"/>
      <c r="Y741" s="110"/>
      <c r="Z741" s="110"/>
      <c r="AA741" s="110"/>
      <c r="AB741" s="110"/>
      <c r="AC741" s="114"/>
      <c r="AD741" s="68"/>
      <c r="AE741" s="110"/>
      <c r="AF741" s="110"/>
      <c r="AG741" s="68"/>
      <c r="AH741" s="68"/>
      <c r="AI741" s="110"/>
      <c r="AJ741" s="110"/>
      <c r="AK741" s="68"/>
      <c r="AL741" s="68"/>
      <c r="AM741" s="110"/>
      <c r="AN741" s="110"/>
      <c r="AO741" s="68"/>
      <c r="AP741" s="68"/>
      <c r="AQ741" s="40"/>
      <c r="AR741" s="40"/>
      <c r="AS741" s="23"/>
    </row>
    <row r="742" spans="1:45" ht="15.75" x14ac:dyDescent="0.25">
      <c r="A742" s="44"/>
      <c r="B742" s="23"/>
      <c r="C742" s="23"/>
      <c r="D742" s="23"/>
      <c r="E742" s="68"/>
      <c r="F742" s="68"/>
      <c r="G742" s="110"/>
      <c r="H742" s="110"/>
      <c r="I742" s="68"/>
      <c r="J742" s="68"/>
      <c r="K742" s="110"/>
      <c r="L742" s="110"/>
      <c r="M742" s="68"/>
      <c r="N742" s="68"/>
      <c r="O742" s="110"/>
      <c r="P742" s="110"/>
      <c r="Q742" s="68"/>
      <c r="R742" s="68"/>
      <c r="S742" s="110"/>
      <c r="T742" s="110"/>
      <c r="U742" s="68"/>
      <c r="V742" s="68"/>
      <c r="W742" s="110"/>
      <c r="X742" s="110"/>
      <c r="Y742" s="110"/>
      <c r="Z742" s="110"/>
      <c r="AA742" s="110"/>
      <c r="AB742" s="110"/>
      <c r="AC742" s="114"/>
      <c r="AD742" s="68"/>
      <c r="AE742" s="110"/>
      <c r="AF742" s="110"/>
      <c r="AG742" s="68"/>
      <c r="AH742" s="68"/>
      <c r="AI742" s="110"/>
      <c r="AJ742" s="110"/>
      <c r="AK742" s="68"/>
      <c r="AL742" s="68"/>
      <c r="AM742" s="110"/>
      <c r="AN742" s="110"/>
      <c r="AO742" s="68"/>
      <c r="AP742" s="68"/>
      <c r="AQ742" s="40"/>
      <c r="AR742" s="40"/>
      <c r="AS742" s="23"/>
    </row>
    <row r="743" spans="1:45" ht="15.75" x14ac:dyDescent="0.25">
      <c r="A743" s="44"/>
      <c r="B743" s="23"/>
      <c r="C743" s="23"/>
      <c r="D743" s="23"/>
      <c r="E743" s="68"/>
      <c r="F743" s="68"/>
      <c r="G743" s="110"/>
      <c r="H743" s="110"/>
      <c r="I743" s="68"/>
      <c r="J743" s="68"/>
      <c r="K743" s="110"/>
      <c r="L743" s="110"/>
      <c r="M743" s="68"/>
      <c r="N743" s="68"/>
      <c r="O743" s="110"/>
      <c r="P743" s="110"/>
      <c r="Q743" s="68"/>
      <c r="R743" s="68"/>
      <c r="S743" s="110"/>
      <c r="T743" s="110"/>
      <c r="U743" s="68"/>
      <c r="V743" s="68"/>
      <c r="W743" s="110"/>
      <c r="X743" s="110"/>
      <c r="Y743" s="110"/>
      <c r="Z743" s="110"/>
      <c r="AA743" s="110"/>
      <c r="AB743" s="110"/>
      <c r="AC743" s="114"/>
      <c r="AD743" s="68"/>
      <c r="AE743" s="110"/>
      <c r="AF743" s="110"/>
      <c r="AG743" s="68"/>
      <c r="AH743" s="68"/>
      <c r="AI743" s="110"/>
      <c r="AJ743" s="110"/>
      <c r="AK743" s="68"/>
      <c r="AL743" s="68"/>
      <c r="AM743" s="110"/>
      <c r="AN743" s="110"/>
      <c r="AO743" s="68"/>
      <c r="AP743" s="68"/>
      <c r="AQ743" s="40"/>
      <c r="AR743" s="40"/>
      <c r="AS743" s="23"/>
    </row>
    <row r="744" spans="1:45" ht="15.75" x14ac:dyDescent="0.25">
      <c r="A744" s="44"/>
      <c r="B744" s="23"/>
      <c r="C744" s="23"/>
      <c r="D744" s="23"/>
      <c r="E744" s="68"/>
      <c r="F744" s="68"/>
      <c r="G744" s="110"/>
      <c r="H744" s="110"/>
      <c r="I744" s="68"/>
      <c r="J744" s="68"/>
      <c r="K744" s="110"/>
      <c r="L744" s="110"/>
      <c r="M744" s="68"/>
      <c r="N744" s="68"/>
      <c r="O744" s="110"/>
      <c r="P744" s="110"/>
      <c r="Q744" s="68"/>
      <c r="R744" s="68"/>
      <c r="S744" s="110"/>
      <c r="T744" s="110"/>
      <c r="U744" s="68"/>
      <c r="V744" s="68"/>
      <c r="W744" s="110"/>
      <c r="X744" s="110"/>
      <c r="Y744" s="110"/>
      <c r="Z744" s="110"/>
      <c r="AA744" s="110"/>
      <c r="AB744" s="110"/>
      <c r="AC744" s="114"/>
      <c r="AD744" s="68"/>
      <c r="AE744" s="110"/>
      <c r="AF744" s="110"/>
      <c r="AG744" s="68"/>
      <c r="AH744" s="68"/>
      <c r="AI744" s="110"/>
      <c r="AJ744" s="110"/>
      <c r="AK744" s="68"/>
      <c r="AL744" s="68"/>
      <c r="AM744" s="110"/>
      <c r="AN744" s="110"/>
      <c r="AO744" s="68"/>
      <c r="AP744" s="68"/>
      <c r="AQ744" s="40"/>
      <c r="AR744" s="40"/>
      <c r="AS744" s="23"/>
    </row>
    <row r="745" spans="1:45" ht="15.75" x14ac:dyDescent="0.25">
      <c r="A745" s="44"/>
      <c r="B745" s="23"/>
      <c r="C745" s="23"/>
      <c r="D745" s="23"/>
      <c r="E745" s="68"/>
      <c r="F745" s="68"/>
      <c r="G745" s="110"/>
      <c r="H745" s="110"/>
      <c r="I745" s="68"/>
      <c r="J745" s="68"/>
      <c r="K745" s="110"/>
      <c r="L745" s="110"/>
      <c r="M745" s="68"/>
      <c r="N745" s="68"/>
      <c r="O745" s="110"/>
      <c r="P745" s="110"/>
      <c r="Q745" s="68"/>
      <c r="R745" s="68"/>
      <c r="S745" s="110"/>
      <c r="T745" s="110"/>
      <c r="U745" s="68"/>
      <c r="V745" s="68"/>
      <c r="W745" s="110"/>
      <c r="X745" s="110"/>
      <c r="Y745" s="110"/>
      <c r="Z745" s="110"/>
      <c r="AA745" s="110"/>
      <c r="AB745" s="110"/>
      <c r="AC745" s="114"/>
      <c r="AD745" s="68"/>
      <c r="AE745" s="110"/>
      <c r="AF745" s="110"/>
      <c r="AG745" s="68"/>
      <c r="AH745" s="68"/>
      <c r="AI745" s="110"/>
      <c r="AJ745" s="110"/>
      <c r="AK745" s="68"/>
      <c r="AL745" s="68"/>
      <c r="AM745" s="110"/>
      <c r="AN745" s="110"/>
      <c r="AO745" s="68"/>
      <c r="AP745" s="68"/>
      <c r="AQ745" s="40"/>
      <c r="AR745" s="40"/>
      <c r="AS745" s="23"/>
    </row>
    <row r="746" spans="1:45" ht="15.75" x14ac:dyDescent="0.25">
      <c r="A746" s="44"/>
      <c r="B746" s="23"/>
      <c r="C746" s="23"/>
      <c r="D746" s="23"/>
      <c r="E746" s="68"/>
      <c r="F746" s="68"/>
      <c r="G746" s="110"/>
      <c r="H746" s="110"/>
      <c r="I746" s="68"/>
      <c r="J746" s="68"/>
      <c r="K746" s="110"/>
      <c r="L746" s="110"/>
      <c r="M746" s="68"/>
      <c r="N746" s="68"/>
      <c r="O746" s="110"/>
      <c r="P746" s="110"/>
      <c r="Q746" s="68"/>
      <c r="R746" s="68"/>
      <c r="S746" s="110"/>
      <c r="T746" s="110"/>
      <c r="U746" s="68"/>
      <c r="V746" s="68"/>
      <c r="W746" s="110"/>
      <c r="X746" s="110"/>
      <c r="Y746" s="110"/>
      <c r="Z746" s="110"/>
      <c r="AA746" s="110"/>
      <c r="AB746" s="110"/>
      <c r="AC746" s="114"/>
      <c r="AD746" s="68"/>
      <c r="AE746" s="110"/>
      <c r="AF746" s="110"/>
      <c r="AG746" s="68"/>
      <c r="AH746" s="68"/>
      <c r="AI746" s="110"/>
      <c r="AJ746" s="110"/>
      <c r="AK746" s="68"/>
      <c r="AL746" s="68"/>
      <c r="AM746" s="110"/>
      <c r="AN746" s="110"/>
      <c r="AO746" s="68"/>
      <c r="AP746" s="68"/>
      <c r="AQ746" s="40"/>
      <c r="AR746" s="40"/>
      <c r="AS746" s="23"/>
    </row>
    <row r="747" spans="1:45" ht="15.75" x14ac:dyDescent="0.25">
      <c r="A747" s="44"/>
      <c r="B747" s="23"/>
      <c r="C747" s="23"/>
      <c r="D747" s="23"/>
      <c r="E747" s="68"/>
      <c r="F747" s="68"/>
      <c r="G747" s="110"/>
      <c r="H747" s="110"/>
      <c r="I747" s="68"/>
      <c r="J747" s="68"/>
      <c r="K747" s="110"/>
      <c r="L747" s="110"/>
      <c r="M747" s="68"/>
      <c r="N747" s="68"/>
      <c r="O747" s="110"/>
      <c r="P747" s="110"/>
      <c r="Q747" s="68"/>
      <c r="R747" s="68"/>
      <c r="S747" s="110"/>
      <c r="T747" s="110"/>
      <c r="U747" s="68"/>
      <c r="V747" s="68"/>
      <c r="W747" s="110"/>
      <c r="X747" s="110"/>
      <c r="Y747" s="110"/>
      <c r="Z747" s="110"/>
      <c r="AA747" s="110"/>
      <c r="AB747" s="110"/>
      <c r="AC747" s="114"/>
      <c r="AD747" s="68"/>
      <c r="AE747" s="110"/>
      <c r="AF747" s="110"/>
      <c r="AG747" s="68"/>
      <c r="AH747" s="68"/>
      <c r="AI747" s="110"/>
      <c r="AJ747" s="110"/>
      <c r="AK747" s="68"/>
      <c r="AL747" s="68"/>
      <c r="AM747" s="110"/>
      <c r="AN747" s="110"/>
      <c r="AO747" s="68"/>
      <c r="AP747" s="68"/>
      <c r="AQ747" s="40"/>
      <c r="AR747" s="40"/>
      <c r="AS747" s="23"/>
    </row>
    <row r="748" spans="1:45" ht="15.75" x14ac:dyDescent="0.25">
      <c r="A748" s="44"/>
      <c r="B748" s="23"/>
      <c r="C748" s="23"/>
      <c r="D748" s="23"/>
      <c r="E748" s="68"/>
      <c r="F748" s="68"/>
      <c r="G748" s="110"/>
      <c r="H748" s="110"/>
      <c r="I748" s="68"/>
      <c r="J748" s="68"/>
      <c r="K748" s="110"/>
      <c r="L748" s="110"/>
      <c r="M748" s="68"/>
      <c r="N748" s="68"/>
      <c r="O748" s="110"/>
      <c r="P748" s="110"/>
      <c r="Q748" s="68"/>
      <c r="R748" s="68"/>
      <c r="S748" s="110"/>
      <c r="T748" s="110"/>
      <c r="U748" s="68"/>
      <c r="V748" s="68"/>
      <c r="W748" s="110"/>
      <c r="X748" s="110"/>
      <c r="Y748" s="110"/>
      <c r="Z748" s="110"/>
      <c r="AA748" s="110"/>
      <c r="AB748" s="110"/>
      <c r="AC748" s="114"/>
      <c r="AD748" s="68"/>
      <c r="AE748" s="110"/>
      <c r="AF748" s="110"/>
      <c r="AG748" s="68"/>
      <c r="AH748" s="68"/>
      <c r="AI748" s="110"/>
      <c r="AJ748" s="110"/>
      <c r="AK748" s="68"/>
      <c r="AL748" s="68"/>
      <c r="AM748" s="110"/>
      <c r="AN748" s="110"/>
      <c r="AO748" s="68"/>
      <c r="AP748" s="68"/>
      <c r="AQ748" s="40"/>
      <c r="AR748" s="40"/>
      <c r="AS748" s="23"/>
    </row>
    <row r="749" spans="1:45" ht="15.75" x14ac:dyDescent="0.25">
      <c r="A749" s="44"/>
      <c r="B749" s="23"/>
      <c r="C749" s="23"/>
      <c r="D749" s="23"/>
      <c r="E749" s="68"/>
      <c r="F749" s="68"/>
      <c r="G749" s="110"/>
      <c r="H749" s="110"/>
      <c r="I749" s="68"/>
      <c r="J749" s="68"/>
      <c r="K749" s="110"/>
      <c r="L749" s="110"/>
      <c r="M749" s="68"/>
      <c r="N749" s="68"/>
      <c r="O749" s="110"/>
      <c r="P749" s="110"/>
      <c r="Q749" s="68"/>
      <c r="R749" s="68"/>
      <c r="S749" s="110"/>
      <c r="T749" s="110"/>
      <c r="U749" s="68"/>
      <c r="V749" s="68"/>
      <c r="W749" s="110"/>
      <c r="X749" s="110"/>
      <c r="Y749" s="110"/>
      <c r="Z749" s="110"/>
      <c r="AA749" s="110"/>
      <c r="AB749" s="110"/>
      <c r="AC749" s="114"/>
      <c r="AD749" s="68"/>
      <c r="AE749" s="110"/>
      <c r="AF749" s="110"/>
      <c r="AG749" s="68"/>
      <c r="AH749" s="68"/>
      <c r="AI749" s="110"/>
      <c r="AJ749" s="110"/>
      <c r="AK749" s="68"/>
      <c r="AL749" s="68"/>
      <c r="AM749" s="110"/>
      <c r="AN749" s="110"/>
      <c r="AO749" s="68"/>
      <c r="AP749" s="68"/>
      <c r="AQ749" s="40"/>
      <c r="AR749" s="40"/>
      <c r="AS749" s="23"/>
    </row>
    <row r="750" spans="1:45" ht="15.75" x14ac:dyDescent="0.25">
      <c r="A750" s="44"/>
      <c r="B750" s="23"/>
      <c r="C750" s="23"/>
      <c r="D750" s="23"/>
      <c r="E750" s="68"/>
      <c r="F750" s="68"/>
      <c r="G750" s="110"/>
      <c r="H750" s="110"/>
      <c r="I750" s="68"/>
      <c r="J750" s="68"/>
      <c r="K750" s="110"/>
      <c r="L750" s="110"/>
      <c r="M750" s="68"/>
      <c r="N750" s="68"/>
      <c r="O750" s="110"/>
      <c r="P750" s="110"/>
      <c r="Q750" s="68"/>
      <c r="R750" s="68"/>
      <c r="S750" s="110"/>
      <c r="T750" s="110"/>
      <c r="U750" s="68"/>
      <c r="V750" s="68"/>
      <c r="W750" s="110"/>
      <c r="X750" s="110"/>
      <c r="Y750" s="110"/>
      <c r="Z750" s="110"/>
      <c r="AA750" s="110"/>
      <c r="AB750" s="110"/>
      <c r="AC750" s="114"/>
      <c r="AD750" s="68"/>
      <c r="AE750" s="110"/>
      <c r="AF750" s="110"/>
      <c r="AG750" s="68"/>
      <c r="AH750" s="68"/>
      <c r="AI750" s="110"/>
      <c r="AJ750" s="110"/>
      <c r="AK750" s="68"/>
      <c r="AL750" s="68"/>
      <c r="AM750" s="110"/>
      <c r="AN750" s="110"/>
      <c r="AO750" s="68"/>
      <c r="AP750" s="68"/>
      <c r="AQ750" s="40"/>
      <c r="AR750" s="40"/>
      <c r="AS750" s="23"/>
    </row>
    <row r="751" spans="1:45" ht="15.75" x14ac:dyDescent="0.25">
      <c r="A751" s="44"/>
      <c r="B751" s="23"/>
      <c r="C751" s="23"/>
      <c r="D751" s="23"/>
      <c r="E751" s="68"/>
      <c r="F751" s="68"/>
      <c r="G751" s="110"/>
      <c r="H751" s="110"/>
      <c r="I751" s="68"/>
      <c r="J751" s="68"/>
      <c r="K751" s="110"/>
      <c r="L751" s="110"/>
      <c r="M751" s="68"/>
      <c r="N751" s="68"/>
      <c r="O751" s="110"/>
      <c r="P751" s="110"/>
      <c r="Q751" s="68"/>
      <c r="R751" s="68"/>
      <c r="S751" s="110"/>
      <c r="T751" s="110"/>
      <c r="U751" s="68"/>
      <c r="V751" s="68"/>
      <c r="W751" s="110"/>
      <c r="X751" s="110"/>
      <c r="Y751" s="110"/>
      <c r="Z751" s="110"/>
      <c r="AA751" s="110"/>
      <c r="AB751" s="110"/>
      <c r="AC751" s="114"/>
      <c r="AD751" s="68"/>
      <c r="AE751" s="110"/>
      <c r="AF751" s="110"/>
      <c r="AG751" s="68"/>
      <c r="AH751" s="68"/>
      <c r="AI751" s="110"/>
      <c r="AJ751" s="110"/>
      <c r="AK751" s="68"/>
      <c r="AL751" s="68"/>
      <c r="AM751" s="110"/>
      <c r="AN751" s="110"/>
      <c r="AO751" s="68"/>
      <c r="AP751" s="68"/>
      <c r="AQ751" s="40"/>
      <c r="AR751" s="40"/>
      <c r="AS751" s="23"/>
    </row>
    <row r="752" spans="1:45" ht="15.75" x14ac:dyDescent="0.25">
      <c r="A752" s="44"/>
      <c r="B752" s="23"/>
      <c r="C752" s="23"/>
      <c r="D752" s="23"/>
      <c r="E752" s="68"/>
      <c r="F752" s="68"/>
      <c r="G752" s="110"/>
      <c r="H752" s="110"/>
      <c r="I752" s="68"/>
      <c r="J752" s="68"/>
      <c r="K752" s="110"/>
      <c r="L752" s="110"/>
      <c r="M752" s="68"/>
      <c r="N752" s="68"/>
      <c r="O752" s="110"/>
      <c r="P752" s="110"/>
      <c r="Q752" s="68"/>
      <c r="R752" s="68"/>
      <c r="S752" s="110"/>
      <c r="T752" s="110"/>
      <c r="U752" s="68"/>
      <c r="V752" s="68"/>
      <c r="W752" s="110"/>
      <c r="X752" s="110"/>
      <c r="Y752" s="110"/>
      <c r="Z752" s="110"/>
      <c r="AA752" s="110"/>
      <c r="AB752" s="110"/>
      <c r="AC752" s="114"/>
      <c r="AD752" s="68"/>
      <c r="AE752" s="110"/>
      <c r="AF752" s="110"/>
      <c r="AG752" s="68"/>
      <c r="AH752" s="68"/>
      <c r="AI752" s="110"/>
      <c r="AJ752" s="110"/>
      <c r="AK752" s="68"/>
      <c r="AL752" s="68"/>
      <c r="AM752" s="110"/>
      <c r="AN752" s="110"/>
      <c r="AO752" s="68"/>
      <c r="AP752" s="68"/>
      <c r="AQ752" s="40"/>
      <c r="AR752" s="40"/>
      <c r="AS752" s="23"/>
    </row>
    <row r="753" spans="1:45" ht="15.75" x14ac:dyDescent="0.25">
      <c r="A753" s="44"/>
      <c r="B753" s="23"/>
      <c r="C753" s="23"/>
      <c r="D753" s="23"/>
      <c r="E753" s="68"/>
      <c r="F753" s="68"/>
      <c r="G753" s="110"/>
      <c r="H753" s="110"/>
      <c r="I753" s="68"/>
      <c r="J753" s="68"/>
      <c r="K753" s="110"/>
      <c r="L753" s="110"/>
      <c r="M753" s="68"/>
      <c r="N753" s="68"/>
      <c r="O753" s="110"/>
      <c r="P753" s="110"/>
      <c r="Q753" s="68"/>
      <c r="R753" s="68"/>
      <c r="S753" s="110"/>
      <c r="T753" s="110"/>
      <c r="U753" s="68"/>
      <c r="V753" s="68"/>
      <c r="W753" s="110"/>
      <c r="X753" s="110"/>
      <c r="Y753" s="110"/>
      <c r="Z753" s="110"/>
      <c r="AA753" s="110"/>
      <c r="AB753" s="110"/>
      <c r="AC753" s="114"/>
      <c r="AD753" s="68"/>
      <c r="AE753" s="110"/>
      <c r="AF753" s="110"/>
      <c r="AG753" s="68"/>
      <c r="AH753" s="68"/>
      <c r="AI753" s="110"/>
      <c r="AJ753" s="110"/>
      <c r="AK753" s="68"/>
      <c r="AL753" s="68"/>
      <c r="AM753" s="110"/>
      <c r="AN753" s="110"/>
      <c r="AO753" s="68"/>
      <c r="AP753" s="68"/>
      <c r="AQ753" s="40"/>
      <c r="AR753" s="40"/>
      <c r="AS753" s="23"/>
    </row>
    <row r="754" spans="1:45" ht="15.75" x14ac:dyDescent="0.25">
      <c r="A754" s="44"/>
      <c r="B754" s="23"/>
      <c r="C754" s="23"/>
      <c r="D754" s="23"/>
      <c r="E754" s="68"/>
      <c r="F754" s="68"/>
      <c r="G754" s="110"/>
      <c r="H754" s="110"/>
      <c r="I754" s="68"/>
      <c r="J754" s="68"/>
      <c r="K754" s="110"/>
      <c r="L754" s="110"/>
      <c r="M754" s="68"/>
      <c r="N754" s="68"/>
      <c r="O754" s="110"/>
      <c r="P754" s="110"/>
      <c r="Q754" s="68"/>
      <c r="R754" s="68"/>
      <c r="S754" s="110"/>
      <c r="T754" s="110"/>
      <c r="U754" s="68"/>
      <c r="V754" s="68"/>
      <c r="W754" s="110"/>
      <c r="X754" s="110"/>
      <c r="Y754" s="110"/>
      <c r="Z754" s="110"/>
      <c r="AA754" s="110"/>
      <c r="AB754" s="110"/>
      <c r="AC754" s="114"/>
      <c r="AD754" s="68"/>
      <c r="AE754" s="110"/>
      <c r="AF754" s="110"/>
      <c r="AG754" s="68"/>
      <c r="AH754" s="68"/>
      <c r="AI754" s="110"/>
      <c r="AJ754" s="110"/>
      <c r="AK754" s="68"/>
      <c r="AL754" s="68"/>
      <c r="AM754" s="110"/>
      <c r="AN754" s="110"/>
      <c r="AO754" s="68"/>
      <c r="AP754" s="68"/>
      <c r="AQ754" s="40"/>
      <c r="AR754" s="40"/>
      <c r="AS754" s="23"/>
    </row>
    <row r="755" spans="1:45" ht="15.75" x14ac:dyDescent="0.25">
      <c r="A755" s="44"/>
      <c r="B755" s="23"/>
      <c r="C755" s="23"/>
      <c r="D755" s="23"/>
      <c r="E755" s="68"/>
      <c r="F755" s="68"/>
      <c r="G755" s="110"/>
      <c r="H755" s="110"/>
      <c r="I755" s="68"/>
      <c r="J755" s="68"/>
      <c r="K755" s="110"/>
      <c r="L755" s="110"/>
      <c r="M755" s="68"/>
      <c r="N755" s="68"/>
      <c r="O755" s="110"/>
      <c r="P755" s="110"/>
      <c r="Q755" s="68"/>
      <c r="R755" s="68"/>
      <c r="S755" s="110"/>
      <c r="T755" s="110"/>
      <c r="U755" s="68"/>
      <c r="V755" s="68"/>
      <c r="W755" s="110"/>
      <c r="X755" s="110"/>
      <c r="Y755" s="110"/>
      <c r="Z755" s="110"/>
      <c r="AA755" s="110"/>
      <c r="AB755" s="110"/>
      <c r="AC755" s="114"/>
      <c r="AD755" s="68"/>
      <c r="AE755" s="110"/>
      <c r="AF755" s="110"/>
      <c r="AG755" s="68"/>
      <c r="AH755" s="68"/>
      <c r="AI755" s="110"/>
      <c r="AJ755" s="110"/>
      <c r="AK755" s="68"/>
      <c r="AL755" s="68"/>
      <c r="AM755" s="110"/>
      <c r="AN755" s="110"/>
      <c r="AO755" s="68"/>
      <c r="AP755" s="68"/>
      <c r="AQ755" s="40"/>
      <c r="AR755" s="40"/>
      <c r="AS755" s="23"/>
    </row>
    <row r="756" spans="1:45" ht="15.75" x14ac:dyDescent="0.25">
      <c r="A756" s="44"/>
      <c r="B756" s="23"/>
      <c r="C756" s="23"/>
      <c r="D756" s="23"/>
      <c r="E756" s="68"/>
      <c r="F756" s="68"/>
      <c r="G756" s="110"/>
      <c r="H756" s="110"/>
      <c r="I756" s="68"/>
      <c r="J756" s="68"/>
      <c r="K756" s="110"/>
      <c r="L756" s="110"/>
      <c r="M756" s="68"/>
      <c r="N756" s="68"/>
      <c r="O756" s="110"/>
      <c r="P756" s="110"/>
      <c r="Q756" s="68"/>
      <c r="R756" s="68"/>
      <c r="S756" s="110"/>
      <c r="T756" s="110"/>
      <c r="U756" s="68"/>
      <c r="V756" s="68"/>
      <c r="W756" s="110"/>
      <c r="X756" s="110"/>
      <c r="Y756" s="110"/>
      <c r="Z756" s="110"/>
      <c r="AA756" s="110"/>
      <c r="AB756" s="110"/>
      <c r="AC756" s="114"/>
      <c r="AD756" s="68"/>
      <c r="AE756" s="110"/>
      <c r="AF756" s="110"/>
      <c r="AG756" s="68"/>
      <c r="AH756" s="68"/>
      <c r="AI756" s="110"/>
      <c r="AJ756" s="110"/>
      <c r="AK756" s="68"/>
      <c r="AL756" s="68"/>
      <c r="AM756" s="110"/>
      <c r="AN756" s="110"/>
      <c r="AO756" s="68"/>
      <c r="AP756" s="68"/>
      <c r="AQ756" s="40"/>
      <c r="AR756" s="40"/>
      <c r="AS756" s="23"/>
    </row>
    <row r="757" spans="1:45" ht="15.75" x14ac:dyDescent="0.25">
      <c r="A757" s="44"/>
      <c r="B757" s="23"/>
      <c r="C757" s="23"/>
      <c r="D757" s="23"/>
      <c r="E757" s="68"/>
      <c r="F757" s="68"/>
      <c r="G757" s="110"/>
      <c r="H757" s="110"/>
      <c r="I757" s="68"/>
      <c r="J757" s="68"/>
      <c r="K757" s="110"/>
      <c r="L757" s="110"/>
      <c r="M757" s="68"/>
      <c r="N757" s="68"/>
      <c r="O757" s="110"/>
      <c r="P757" s="110"/>
      <c r="Q757" s="68"/>
      <c r="R757" s="68"/>
      <c r="S757" s="110"/>
      <c r="T757" s="110"/>
      <c r="U757" s="68"/>
      <c r="V757" s="68"/>
      <c r="W757" s="110"/>
      <c r="X757" s="110"/>
      <c r="Y757" s="110"/>
      <c r="Z757" s="110"/>
      <c r="AA757" s="110"/>
      <c r="AB757" s="110"/>
      <c r="AC757" s="114"/>
      <c r="AD757" s="68"/>
      <c r="AE757" s="110"/>
      <c r="AF757" s="110"/>
      <c r="AG757" s="68"/>
      <c r="AH757" s="68"/>
      <c r="AI757" s="110"/>
      <c r="AJ757" s="110"/>
      <c r="AK757" s="68"/>
      <c r="AL757" s="68"/>
      <c r="AM757" s="110"/>
      <c r="AN757" s="110"/>
      <c r="AO757" s="68"/>
      <c r="AP757" s="68"/>
      <c r="AQ757" s="40"/>
      <c r="AR757" s="40"/>
      <c r="AS757" s="23"/>
    </row>
    <row r="758" spans="1:45" ht="15.75" x14ac:dyDescent="0.25">
      <c r="A758" s="44"/>
      <c r="B758" s="23"/>
      <c r="C758" s="23"/>
      <c r="D758" s="23"/>
      <c r="E758" s="68"/>
      <c r="F758" s="68"/>
      <c r="G758" s="110"/>
      <c r="H758" s="110"/>
      <c r="I758" s="68"/>
      <c r="J758" s="68"/>
      <c r="K758" s="110"/>
      <c r="L758" s="110"/>
      <c r="M758" s="68"/>
      <c r="N758" s="68"/>
      <c r="O758" s="110"/>
      <c r="P758" s="110"/>
      <c r="Q758" s="68"/>
      <c r="R758" s="68"/>
      <c r="S758" s="110"/>
      <c r="T758" s="110"/>
      <c r="U758" s="68"/>
      <c r="V758" s="68"/>
      <c r="W758" s="110"/>
      <c r="X758" s="110"/>
      <c r="Y758" s="110"/>
      <c r="Z758" s="110"/>
      <c r="AA758" s="110"/>
      <c r="AB758" s="110"/>
      <c r="AC758" s="114"/>
      <c r="AD758" s="68"/>
      <c r="AE758" s="110"/>
      <c r="AF758" s="110"/>
      <c r="AG758" s="68"/>
      <c r="AH758" s="68"/>
      <c r="AI758" s="110"/>
      <c r="AJ758" s="110"/>
      <c r="AK758" s="68"/>
      <c r="AL758" s="68"/>
      <c r="AM758" s="110"/>
      <c r="AN758" s="110"/>
      <c r="AO758" s="68"/>
      <c r="AP758" s="68"/>
      <c r="AQ758" s="40"/>
      <c r="AR758" s="40"/>
      <c r="AS758" s="23"/>
    </row>
    <row r="759" spans="1:45" ht="15.75" x14ac:dyDescent="0.25">
      <c r="A759" s="44"/>
      <c r="B759" s="23"/>
      <c r="C759" s="23"/>
      <c r="D759" s="23"/>
      <c r="E759" s="68"/>
      <c r="F759" s="68"/>
      <c r="G759" s="110"/>
      <c r="H759" s="110"/>
      <c r="I759" s="68"/>
      <c r="J759" s="68"/>
      <c r="K759" s="110"/>
      <c r="L759" s="110"/>
      <c r="M759" s="68"/>
      <c r="N759" s="68"/>
      <c r="O759" s="110"/>
      <c r="P759" s="110"/>
      <c r="Q759" s="68"/>
      <c r="R759" s="68"/>
      <c r="S759" s="110"/>
      <c r="T759" s="110"/>
      <c r="U759" s="68"/>
      <c r="V759" s="68"/>
      <c r="W759" s="110"/>
      <c r="X759" s="110"/>
      <c r="Y759" s="110"/>
      <c r="Z759" s="110"/>
      <c r="AA759" s="110"/>
      <c r="AB759" s="110"/>
      <c r="AC759" s="114"/>
      <c r="AD759" s="68"/>
      <c r="AE759" s="110"/>
      <c r="AF759" s="110"/>
      <c r="AG759" s="68"/>
      <c r="AH759" s="68"/>
      <c r="AI759" s="110"/>
      <c r="AJ759" s="110"/>
      <c r="AK759" s="68"/>
      <c r="AL759" s="68"/>
      <c r="AM759" s="110"/>
      <c r="AN759" s="110"/>
      <c r="AO759" s="68"/>
      <c r="AP759" s="68"/>
      <c r="AQ759" s="40"/>
      <c r="AR759" s="40"/>
      <c r="AS759" s="23"/>
    </row>
    <row r="760" spans="1:45" ht="15.75" x14ac:dyDescent="0.25">
      <c r="A760" s="44"/>
      <c r="B760" s="23"/>
      <c r="C760" s="23"/>
      <c r="D760" s="23"/>
      <c r="E760" s="68"/>
      <c r="F760" s="68"/>
      <c r="G760" s="110"/>
      <c r="H760" s="110"/>
      <c r="I760" s="68"/>
      <c r="J760" s="68"/>
      <c r="K760" s="110"/>
      <c r="L760" s="110"/>
      <c r="M760" s="68"/>
      <c r="N760" s="68"/>
      <c r="O760" s="110"/>
      <c r="P760" s="110"/>
      <c r="Q760" s="68"/>
      <c r="R760" s="68"/>
      <c r="S760" s="110"/>
      <c r="T760" s="110"/>
      <c r="U760" s="68"/>
      <c r="V760" s="68"/>
      <c r="W760" s="110"/>
      <c r="X760" s="110"/>
      <c r="Y760" s="110"/>
      <c r="Z760" s="110"/>
      <c r="AA760" s="110"/>
      <c r="AB760" s="110"/>
      <c r="AC760" s="114"/>
      <c r="AD760" s="68"/>
      <c r="AE760" s="110"/>
      <c r="AF760" s="110"/>
      <c r="AG760" s="68"/>
      <c r="AH760" s="68"/>
      <c r="AI760" s="110"/>
      <c r="AJ760" s="110"/>
      <c r="AK760" s="68"/>
      <c r="AL760" s="68"/>
      <c r="AM760" s="110"/>
      <c r="AN760" s="110"/>
      <c r="AO760" s="68"/>
      <c r="AP760" s="68"/>
      <c r="AQ760" s="40"/>
      <c r="AR760" s="40"/>
      <c r="AS760" s="23"/>
    </row>
    <row r="761" spans="1:45" ht="15.75" x14ac:dyDescent="0.25">
      <c r="A761" s="44"/>
      <c r="B761" s="23"/>
      <c r="C761" s="23"/>
      <c r="D761" s="23"/>
      <c r="E761" s="68"/>
      <c r="F761" s="68"/>
      <c r="G761" s="110"/>
      <c r="H761" s="110"/>
      <c r="I761" s="68"/>
      <c r="J761" s="68"/>
      <c r="K761" s="110"/>
      <c r="L761" s="110"/>
      <c r="M761" s="68"/>
      <c r="N761" s="68"/>
      <c r="O761" s="110"/>
      <c r="P761" s="110"/>
      <c r="Q761" s="68"/>
      <c r="R761" s="68"/>
      <c r="S761" s="110"/>
      <c r="T761" s="110"/>
      <c r="U761" s="68"/>
      <c r="V761" s="68"/>
      <c r="W761" s="110"/>
      <c r="X761" s="110"/>
      <c r="Y761" s="110"/>
      <c r="Z761" s="110"/>
      <c r="AA761" s="110"/>
      <c r="AB761" s="110"/>
      <c r="AC761" s="114"/>
      <c r="AD761" s="68"/>
      <c r="AE761" s="110"/>
      <c r="AF761" s="110"/>
      <c r="AG761" s="68"/>
      <c r="AH761" s="68"/>
      <c r="AI761" s="110"/>
      <c r="AJ761" s="110"/>
      <c r="AK761" s="68"/>
      <c r="AL761" s="68"/>
      <c r="AM761" s="110"/>
      <c r="AN761" s="110"/>
      <c r="AO761" s="68"/>
      <c r="AP761" s="68"/>
      <c r="AQ761" s="40"/>
      <c r="AR761" s="40"/>
      <c r="AS761" s="23"/>
    </row>
    <row r="762" spans="1:45" ht="15.75" x14ac:dyDescent="0.25">
      <c r="A762" s="44"/>
      <c r="B762" s="23"/>
      <c r="C762" s="23"/>
      <c r="D762" s="23"/>
      <c r="E762" s="68"/>
      <c r="F762" s="68"/>
      <c r="G762" s="110"/>
      <c r="H762" s="110"/>
      <c r="I762" s="68"/>
      <c r="J762" s="68"/>
      <c r="K762" s="110"/>
      <c r="L762" s="110"/>
      <c r="M762" s="68"/>
      <c r="N762" s="68"/>
      <c r="O762" s="110"/>
      <c r="P762" s="110"/>
      <c r="Q762" s="68"/>
      <c r="R762" s="68"/>
      <c r="S762" s="110"/>
      <c r="T762" s="110"/>
      <c r="U762" s="68"/>
      <c r="V762" s="68"/>
      <c r="W762" s="110"/>
      <c r="X762" s="110"/>
      <c r="Y762" s="110"/>
      <c r="Z762" s="110"/>
      <c r="AA762" s="110"/>
      <c r="AB762" s="110"/>
      <c r="AC762" s="114"/>
      <c r="AD762" s="68"/>
      <c r="AE762" s="110"/>
      <c r="AF762" s="110"/>
      <c r="AG762" s="68"/>
      <c r="AH762" s="68"/>
      <c r="AI762" s="110"/>
      <c r="AJ762" s="110"/>
      <c r="AK762" s="68"/>
      <c r="AL762" s="68"/>
      <c r="AM762" s="110"/>
      <c r="AN762" s="110"/>
      <c r="AO762" s="68"/>
      <c r="AP762" s="68"/>
      <c r="AQ762" s="40"/>
      <c r="AR762" s="40"/>
      <c r="AS762" s="23"/>
    </row>
    <row r="763" spans="1:45" ht="15.75" x14ac:dyDescent="0.25">
      <c r="A763" s="44"/>
      <c r="B763" s="23"/>
      <c r="C763" s="23"/>
      <c r="D763" s="23"/>
      <c r="E763" s="68"/>
      <c r="F763" s="68"/>
      <c r="G763" s="110"/>
      <c r="H763" s="110"/>
      <c r="I763" s="68"/>
      <c r="J763" s="68"/>
      <c r="K763" s="110"/>
      <c r="L763" s="110"/>
      <c r="M763" s="68"/>
      <c r="N763" s="68"/>
      <c r="O763" s="110"/>
      <c r="P763" s="110"/>
      <c r="Q763" s="68"/>
      <c r="R763" s="68"/>
      <c r="S763" s="110"/>
      <c r="T763" s="110"/>
      <c r="U763" s="68"/>
      <c r="V763" s="68"/>
      <c r="W763" s="110"/>
      <c r="X763" s="110"/>
      <c r="Y763" s="110"/>
      <c r="Z763" s="110"/>
      <c r="AA763" s="110"/>
      <c r="AB763" s="110"/>
      <c r="AC763" s="114"/>
      <c r="AD763" s="68"/>
      <c r="AE763" s="110"/>
      <c r="AF763" s="110"/>
      <c r="AG763" s="68"/>
      <c r="AH763" s="68"/>
      <c r="AI763" s="110"/>
      <c r="AJ763" s="110"/>
      <c r="AK763" s="68"/>
      <c r="AL763" s="68"/>
      <c r="AM763" s="110"/>
      <c r="AN763" s="110"/>
      <c r="AO763" s="68"/>
      <c r="AP763" s="68"/>
      <c r="AQ763" s="40"/>
      <c r="AR763" s="40"/>
      <c r="AS763" s="23"/>
    </row>
    <row r="764" spans="1:45" ht="15.75" x14ac:dyDescent="0.25">
      <c r="A764" s="44"/>
      <c r="B764" s="23"/>
      <c r="C764" s="23"/>
      <c r="D764" s="23"/>
      <c r="E764" s="68"/>
      <c r="F764" s="68"/>
      <c r="G764" s="110"/>
      <c r="H764" s="110"/>
      <c r="I764" s="68"/>
      <c r="J764" s="68"/>
      <c r="K764" s="110"/>
      <c r="L764" s="110"/>
      <c r="M764" s="68"/>
      <c r="N764" s="68"/>
      <c r="O764" s="110"/>
      <c r="P764" s="110"/>
      <c r="Q764" s="68"/>
      <c r="R764" s="68"/>
      <c r="S764" s="110"/>
      <c r="T764" s="110"/>
      <c r="U764" s="68"/>
      <c r="V764" s="68"/>
      <c r="W764" s="110"/>
      <c r="X764" s="110"/>
      <c r="Y764" s="110"/>
      <c r="Z764" s="110"/>
      <c r="AA764" s="110"/>
      <c r="AB764" s="110"/>
      <c r="AC764" s="114"/>
      <c r="AD764" s="68"/>
      <c r="AE764" s="110"/>
      <c r="AF764" s="110"/>
      <c r="AG764" s="68"/>
      <c r="AH764" s="68"/>
      <c r="AI764" s="110"/>
      <c r="AJ764" s="110"/>
      <c r="AK764" s="68"/>
      <c r="AL764" s="68"/>
      <c r="AM764" s="110"/>
      <c r="AN764" s="110"/>
      <c r="AO764" s="68"/>
      <c r="AP764" s="68"/>
      <c r="AQ764" s="40"/>
      <c r="AR764" s="40"/>
      <c r="AS764" s="23"/>
    </row>
    <row r="765" spans="1:45" ht="15.75" x14ac:dyDescent="0.25">
      <c r="A765" s="44"/>
      <c r="B765" s="23"/>
      <c r="C765" s="23"/>
      <c r="D765" s="23"/>
      <c r="E765" s="68"/>
      <c r="F765" s="68"/>
      <c r="G765" s="110"/>
      <c r="H765" s="110"/>
      <c r="I765" s="68"/>
      <c r="J765" s="68"/>
      <c r="K765" s="110"/>
      <c r="L765" s="110"/>
      <c r="M765" s="68"/>
      <c r="N765" s="68"/>
      <c r="O765" s="110"/>
      <c r="P765" s="110"/>
      <c r="Q765" s="68"/>
      <c r="R765" s="68"/>
      <c r="S765" s="110"/>
      <c r="T765" s="110"/>
      <c r="U765" s="68"/>
      <c r="V765" s="68"/>
      <c r="W765" s="110"/>
      <c r="X765" s="110"/>
      <c r="Y765" s="110"/>
      <c r="Z765" s="110"/>
      <c r="AA765" s="110"/>
      <c r="AB765" s="110"/>
      <c r="AC765" s="114"/>
      <c r="AD765" s="68"/>
      <c r="AE765" s="110"/>
      <c r="AF765" s="110"/>
      <c r="AG765" s="68"/>
      <c r="AH765" s="68"/>
      <c r="AI765" s="110"/>
      <c r="AJ765" s="110"/>
      <c r="AK765" s="68"/>
      <c r="AL765" s="68"/>
      <c r="AM765" s="110"/>
      <c r="AN765" s="110"/>
      <c r="AO765" s="68"/>
      <c r="AP765" s="68"/>
      <c r="AQ765" s="40"/>
      <c r="AR765" s="40"/>
      <c r="AS765" s="23"/>
    </row>
    <row r="766" spans="1:45" ht="15.75" x14ac:dyDescent="0.25">
      <c r="A766" s="44"/>
      <c r="B766" s="23"/>
      <c r="C766" s="23"/>
      <c r="D766" s="23"/>
      <c r="E766" s="68"/>
      <c r="F766" s="68"/>
      <c r="G766" s="110"/>
      <c r="H766" s="110"/>
      <c r="I766" s="68"/>
      <c r="J766" s="68"/>
      <c r="K766" s="110"/>
      <c r="L766" s="110"/>
      <c r="M766" s="68"/>
      <c r="N766" s="68"/>
      <c r="O766" s="110"/>
      <c r="P766" s="110"/>
      <c r="Q766" s="68"/>
      <c r="R766" s="68"/>
      <c r="S766" s="110"/>
      <c r="T766" s="110"/>
      <c r="U766" s="68"/>
      <c r="V766" s="68"/>
      <c r="W766" s="110"/>
      <c r="X766" s="110"/>
      <c r="Y766" s="110"/>
      <c r="Z766" s="110"/>
      <c r="AA766" s="110"/>
      <c r="AB766" s="110"/>
      <c r="AC766" s="114"/>
      <c r="AD766" s="68"/>
      <c r="AE766" s="110"/>
      <c r="AF766" s="110"/>
      <c r="AG766" s="68"/>
      <c r="AH766" s="68"/>
      <c r="AI766" s="110"/>
      <c r="AJ766" s="110"/>
      <c r="AK766" s="68"/>
      <c r="AL766" s="68"/>
      <c r="AM766" s="110"/>
      <c r="AN766" s="110"/>
      <c r="AO766" s="68"/>
      <c r="AP766" s="68"/>
      <c r="AQ766" s="40"/>
      <c r="AR766" s="40"/>
      <c r="AS766" s="23"/>
    </row>
    <row r="767" spans="1:45" ht="15.75" x14ac:dyDescent="0.25">
      <c r="A767" s="44"/>
      <c r="B767" s="23"/>
      <c r="C767" s="23"/>
      <c r="D767" s="23"/>
      <c r="E767" s="68"/>
      <c r="F767" s="68"/>
      <c r="G767" s="110"/>
      <c r="H767" s="110"/>
      <c r="I767" s="68"/>
      <c r="J767" s="68"/>
      <c r="K767" s="110"/>
      <c r="L767" s="110"/>
      <c r="M767" s="68"/>
      <c r="N767" s="68"/>
      <c r="O767" s="110"/>
      <c r="P767" s="110"/>
      <c r="Q767" s="68"/>
      <c r="R767" s="68"/>
      <c r="S767" s="110"/>
      <c r="T767" s="110"/>
      <c r="U767" s="68"/>
      <c r="V767" s="68"/>
      <c r="W767" s="110"/>
      <c r="X767" s="110"/>
      <c r="Y767" s="110"/>
      <c r="Z767" s="110"/>
      <c r="AA767" s="110"/>
      <c r="AB767" s="110"/>
      <c r="AC767" s="114"/>
      <c r="AD767" s="68"/>
      <c r="AE767" s="110"/>
      <c r="AF767" s="110"/>
      <c r="AG767" s="68"/>
      <c r="AH767" s="68"/>
      <c r="AI767" s="110"/>
      <c r="AJ767" s="110"/>
      <c r="AK767" s="68"/>
      <c r="AL767" s="68"/>
      <c r="AM767" s="110"/>
      <c r="AN767" s="110"/>
      <c r="AO767" s="68"/>
      <c r="AP767" s="68"/>
      <c r="AQ767" s="40"/>
      <c r="AR767" s="40"/>
      <c r="AS767" s="23"/>
    </row>
    <row r="768" spans="1:45" ht="15.75" x14ac:dyDescent="0.25">
      <c r="A768" s="44"/>
      <c r="B768" s="23"/>
      <c r="C768" s="23"/>
      <c r="D768" s="23"/>
      <c r="E768" s="68"/>
      <c r="F768" s="68"/>
      <c r="G768" s="110"/>
      <c r="H768" s="110"/>
      <c r="I768" s="68"/>
      <c r="J768" s="68"/>
      <c r="K768" s="110"/>
      <c r="L768" s="110"/>
      <c r="M768" s="68"/>
      <c r="N768" s="68"/>
      <c r="O768" s="110"/>
      <c r="P768" s="110"/>
      <c r="Q768" s="68"/>
      <c r="R768" s="68"/>
      <c r="S768" s="110"/>
      <c r="T768" s="110"/>
      <c r="U768" s="68"/>
      <c r="V768" s="68"/>
      <c r="W768" s="110"/>
      <c r="X768" s="110"/>
      <c r="Y768" s="110"/>
      <c r="Z768" s="110"/>
      <c r="AA768" s="110"/>
      <c r="AB768" s="110"/>
      <c r="AC768" s="114"/>
      <c r="AD768" s="68"/>
      <c r="AE768" s="110"/>
      <c r="AF768" s="110"/>
      <c r="AG768" s="68"/>
      <c r="AH768" s="68"/>
      <c r="AI768" s="110"/>
      <c r="AJ768" s="110"/>
      <c r="AK768" s="68"/>
      <c r="AL768" s="68"/>
      <c r="AM768" s="110"/>
      <c r="AN768" s="110"/>
      <c r="AO768" s="68"/>
      <c r="AP768" s="68"/>
      <c r="AQ768" s="40"/>
      <c r="AR768" s="40"/>
      <c r="AS768" s="23"/>
    </row>
    <row r="769" spans="1:45" ht="15.75" x14ac:dyDescent="0.25">
      <c r="A769" s="44"/>
      <c r="B769" s="23"/>
      <c r="C769" s="23"/>
      <c r="D769" s="23"/>
      <c r="E769" s="68"/>
      <c r="F769" s="68"/>
      <c r="G769" s="110"/>
      <c r="H769" s="110"/>
      <c r="I769" s="68"/>
      <c r="J769" s="68"/>
      <c r="K769" s="110"/>
      <c r="L769" s="110"/>
      <c r="M769" s="68"/>
      <c r="N769" s="68"/>
      <c r="O769" s="110"/>
      <c r="P769" s="110"/>
      <c r="Q769" s="68"/>
      <c r="R769" s="68"/>
      <c r="S769" s="110"/>
      <c r="T769" s="110"/>
      <c r="U769" s="68"/>
      <c r="V769" s="68"/>
      <c r="W769" s="110"/>
      <c r="X769" s="110"/>
      <c r="Y769" s="110"/>
      <c r="Z769" s="110"/>
      <c r="AA769" s="110"/>
      <c r="AB769" s="110"/>
      <c r="AC769" s="114"/>
      <c r="AD769" s="68"/>
      <c r="AE769" s="110"/>
      <c r="AF769" s="110"/>
      <c r="AG769" s="68"/>
      <c r="AH769" s="68"/>
      <c r="AI769" s="110"/>
      <c r="AJ769" s="110"/>
      <c r="AK769" s="68"/>
      <c r="AL769" s="68"/>
      <c r="AM769" s="110"/>
      <c r="AN769" s="110"/>
      <c r="AO769" s="68"/>
      <c r="AP769" s="68"/>
      <c r="AQ769" s="40"/>
      <c r="AR769" s="40"/>
      <c r="AS769" s="23"/>
    </row>
    <row r="770" spans="1:45" ht="15.75" x14ac:dyDescent="0.25">
      <c r="A770" s="44"/>
      <c r="B770" s="23"/>
      <c r="C770" s="23"/>
      <c r="D770" s="23"/>
      <c r="E770" s="68"/>
      <c r="F770" s="68"/>
      <c r="G770" s="110"/>
      <c r="H770" s="110"/>
      <c r="I770" s="68"/>
      <c r="J770" s="68"/>
      <c r="K770" s="110"/>
      <c r="L770" s="110"/>
      <c r="M770" s="68"/>
      <c r="N770" s="68"/>
      <c r="O770" s="110"/>
      <c r="P770" s="110"/>
      <c r="Q770" s="68"/>
      <c r="R770" s="68"/>
      <c r="S770" s="110"/>
      <c r="T770" s="110"/>
      <c r="U770" s="68"/>
      <c r="V770" s="68"/>
      <c r="W770" s="110"/>
      <c r="X770" s="110"/>
      <c r="Y770" s="110"/>
      <c r="Z770" s="110"/>
      <c r="AA770" s="110"/>
      <c r="AB770" s="110"/>
      <c r="AC770" s="114"/>
      <c r="AD770" s="68"/>
      <c r="AE770" s="110"/>
      <c r="AF770" s="110"/>
      <c r="AG770" s="68"/>
      <c r="AH770" s="68"/>
      <c r="AI770" s="110"/>
      <c r="AJ770" s="110"/>
      <c r="AK770" s="68"/>
      <c r="AL770" s="68"/>
      <c r="AM770" s="110"/>
      <c r="AN770" s="110"/>
      <c r="AO770" s="68"/>
      <c r="AP770" s="68"/>
      <c r="AQ770" s="40"/>
      <c r="AR770" s="40"/>
      <c r="AS770" s="23"/>
    </row>
    <row r="771" spans="1:45" ht="15.75" x14ac:dyDescent="0.25">
      <c r="A771" s="44"/>
      <c r="B771" s="23"/>
      <c r="C771" s="23"/>
      <c r="D771" s="23"/>
      <c r="E771" s="68"/>
      <c r="F771" s="68"/>
      <c r="G771" s="110"/>
      <c r="H771" s="110"/>
      <c r="I771" s="68"/>
      <c r="J771" s="68"/>
      <c r="K771" s="110"/>
      <c r="L771" s="110"/>
      <c r="M771" s="68"/>
      <c r="N771" s="68"/>
      <c r="O771" s="110"/>
      <c r="P771" s="110"/>
      <c r="Q771" s="68"/>
      <c r="R771" s="68"/>
      <c r="S771" s="110"/>
      <c r="T771" s="110"/>
      <c r="U771" s="68"/>
      <c r="V771" s="68"/>
      <c r="W771" s="110"/>
      <c r="X771" s="110"/>
      <c r="Y771" s="110"/>
      <c r="Z771" s="110"/>
      <c r="AA771" s="110"/>
      <c r="AB771" s="110"/>
      <c r="AC771" s="114"/>
      <c r="AD771" s="68"/>
      <c r="AE771" s="110"/>
      <c r="AF771" s="110"/>
      <c r="AG771" s="68"/>
      <c r="AH771" s="68"/>
      <c r="AI771" s="110"/>
      <c r="AJ771" s="110"/>
      <c r="AK771" s="68"/>
      <c r="AL771" s="68"/>
      <c r="AM771" s="110"/>
      <c r="AN771" s="110"/>
      <c r="AO771" s="68"/>
      <c r="AP771" s="68"/>
      <c r="AQ771" s="40"/>
      <c r="AR771" s="40"/>
      <c r="AS771" s="23"/>
    </row>
    <row r="772" spans="1:45" ht="15.75" x14ac:dyDescent="0.25">
      <c r="A772" s="44"/>
      <c r="B772" s="23"/>
      <c r="C772" s="23"/>
      <c r="D772" s="23"/>
      <c r="E772" s="68"/>
      <c r="F772" s="68"/>
      <c r="G772" s="110"/>
      <c r="H772" s="110"/>
      <c r="I772" s="68"/>
      <c r="J772" s="68"/>
      <c r="K772" s="110"/>
      <c r="L772" s="110"/>
      <c r="M772" s="68"/>
      <c r="N772" s="68"/>
      <c r="O772" s="110"/>
      <c r="P772" s="110"/>
      <c r="Q772" s="68"/>
      <c r="R772" s="68"/>
      <c r="S772" s="110"/>
      <c r="T772" s="110"/>
      <c r="U772" s="68"/>
      <c r="V772" s="68"/>
      <c r="W772" s="110"/>
      <c r="X772" s="110"/>
      <c r="Y772" s="110"/>
      <c r="Z772" s="110"/>
      <c r="AA772" s="110"/>
      <c r="AB772" s="110"/>
      <c r="AC772" s="114"/>
      <c r="AD772" s="68"/>
      <c r="AE772" s="110"/>
      <c r="AF772" s="110"/>
      <c r="AG772" s="68"/>
      <c r="AH772" s="68"/>
      <c r="AI772" s="110"/>
      <c r="AJ772" s="110"/>
      <c r="AK772" s="68"/>
      <c r="AL772" s="68"/>
      <c r="AM772" s="110"/>
      <c r="AN772" s="110"/>
      <c r="AO772" s="68"/>
      <c r="AP772" s="68"/>
      <c r="AQ772" s="40"/>
      <c r="AR772" s="40"/>
      <c r="AS772" s="23"/>
    </row>
    <row r="773" spans="1:45" ht="15.75" x14ac:dyDescent="0.25">
      <c r="A773" s="44"/>
      <c r="B773" s="23"/>
      <c r="C773" s="23"/>
      <c r="D773" s="23"/>
      <c r="E773" s="68"/>
      <c r="F773" s="68"/>
      <c r="G773" s="110"/>
      <c r="H773" s="110"/>
      <c r="I773" s="68"/>
      <c r="J773" s="68"/>
      <c r="K773" s="110"/>
      <c r="L773" s="110"/>
      <c r="M773" s="68"/>
      <c r="N773" s="68"/>
      <c r="O773" s="110"/>
      <c r="P773" s="110"/>
      <c r="Q773" s="68"/>
      <c r="R773" s="68"/>
      <c r="S773" s="110"/>
      <c r="T773" s="110"/>
      <c r="U773" s="68"/>
      <c r="V773" s="68"/>
      <c r="W773" s="110"/>
      <c r="X773" s="110"/>
      <c r="Y773" s="110"/>
      <c r="Z773" s="110"/>
      <c r="AA773" s="110"/>
      <c r="AB773" s="110"/>
      <c r="AC773" s="114"/>
      <c r="AD773" s="68"/>
      <c r="AE773" s="110"/>
      <c r="AF773" s="110"/>
      <c r="AG773" s="68"/>
      <c r="AH773" s="68"/>
      <c r="AI773" s="110"/>
      <c r="AJ773" s="110"/>
      <c r="AK773" s="68"/>
      <c r="AL773" s="68"/>
      <c r="AM773" s="110"/>
      <c r="AN773" s="110"/>
      <c r="AO773" s="68"/>
      <c r="AP773" s="68"/>
      <c r="AQ773" s="40"/>
      <c r="AR773" s="40"/>
      <c r="AS773" s="23"/>
    </row>
    <row r="774" spans="1:45" ht="15.75" x14ac:dyDescent="0.25">
      <c r="A774" s="44"/>
      <c r="B774" s="23"/>
      <c r="C774" s="23"/>
      <c r="D774" s="23"/>
      <c r="E774" s="68"/>
      <c r="F774" s="68"/>
      <c r="G774" s="110"/>
      <c r="H774" s="110"/>
      <c r="I774" s="68"/>
      <c r="J774" s="68"/>
      <c r="K774" s="110"/>
      <c r="L774" s="110"/>
      <c r="M774" s="68"/>
      <c r="N774" s="68"/>
      <c r="O774" s="110"/>
      <c r="P774" s="110"/>
      <c r="Q774" s="68"/>
      <c r="R774" s="68"/>
      <c r="S774" s="110"/>
      <c r="T774" s="110"/>
      <c r="U774" s="68"/>
      <c r="V774" s="68"/>
      <c r="W774" s="110"/>
      <c r="X774" s="110"/>
      <c r="Y774" s="110"/>
      <c r="Z774" s="110"/>
      <c r="AA774" s="110"/>
      <c r="AB774" s="110"/>
      <c r="AC774" s="114"/>
      <c r="AD774" s="68"/>
      <c r="AE774" s="110"/>
      <c r="AF774" s="110"/>
      <c r="AG774" s="68"/>
      <c r="AH774" s="68"/>
      <c r="AI774" s="110"/>
      <c r="AJ774" s="110"/>
      <c r="AK774" s="68"/>
      <c r="AL774" s="68"/>
      <c r="AM774" s="110"/>
      <c r="AN774" s="110"/>
      <c r="AO774" s="68"/>
      <c r="AP774" s="68"/>
      <c r="AQ774" s="40"/>
      <c r="AR774" s="40"/>
      <c r="AS774" s="23"/>
    </row>
    <row r="775" spans="1:45" ht="15.75" x14ac:dyDescent="0.25">
      <c r="A775" s="44"/>
      <c r="B775" s="23"/>
      <c r="C775" s="23"/>
      <c r="D775" s="23"/>
      <c r="E775" s="68"/>
      <c r="F775" s="68"/>
      <c r="G775" s="110"/>
      <c r="H775" s="110"/>
      <c r="I775" s="68"/>
      <c r="J775" s="68"/>
      <c r="K775" s="110"/>
      <c r="L775" s="110"/>
      <c r="M775" s="68"/>
      <c r="N775" s="68"/>
      <c r="O775" s="110"/>
      <c r="P775" s="110"/>
      <c r="Q775" s="68"/>
      <c r="R775" s="68"/>
      <c r="S775" s="110"/>
      <c r="T775" s="110"/>
      <c r="U775" s="68"/>
      <c r="V775" s="68"/>
      <c r="W775" s="110"/>
      <c r="X775" s="110"/>
      <c r="Y775" s="110"/>
      <c r="Z775" s="110"/>
      <c r="AA775" s="110"/>
      <c r="AB775" s="110"/>
      <c r="AC775" s="114"/>
      <c r="AD775" s="68"/>
      <c r="AE775" s="110"/>
      <c r="AF775" s="110"/>
      <c r="AG775" s="68"/>
      <c r="AH775" s="68"/>
      <c r="AI775" s="110"/>
      <c r="AJ775" s="110"/>
      <c r="AK775" s="68"/>
      <c r="AL775" s="68"/>
      <c r="AM775" s="110"/>
      <c r="AN775" s="110"/>
      <c r="AO775" s="68"/>
      <c r="AP775" s="68"/>
      <c r="AQ775" s="40"/>
      <c r="AR775" s="40"/>
      <c r="AS775" s="23"/>
    </row>
    <row r="776" spans="1:45" ht="15.75" x14ac:dyDescent="0.25">
      <c r="A776" s="44"/>
      <c r="B776" s="23"/>
      <c r="C776" s="23"/>
      <c r="D776" s="23"/>
      <c r="E776" s="68"/>
      <c r="F776" s="68"/>
      <c r="G776" s="110"/>
      <c r="H776" s="110"/>
      <c r="I776" s="68"/>
      <c r="J776" s="68"/>
      <c r="K776" s="110"/>
      <c r="L776" s="110"/>
      <c r="M776" s="68"/>
      <c r="N776" s="68"/>
      <c r="O776" s="110"/>
      <c r="P776" s="110"/>
      <c r="Q776" s="68"/>
      <c r="R776" s="68"/>
      <c r="S776" s="110"/>
      <c r="T776" s="110"/>
      <c r="U776" s="68"/>
      <c r="V776" s="68"/>
      <c r="W776" s="110"/>
      <c r="X776" s="110"/>
      <c r="Y776" s="110"/>
      <c r="Z776" s="110"/>
      <c r="AA776" s="110"/>
      <c r="AB776" s="110"/>
      <c r="AC776" s="114"/>
      <c r="AD776" s="68"/>
      <c r="AE776" s="110"/>
      <c r="AF776" s="110"/>
      <c r="AG776" s="68"/>
      <c r="AH776" s="68"/>
      <c r="AI776" s="110"/>
      <c r="AJ776" s="110"/>
      <c r="AK776" s="68"/>
      <c r="AL776" s="68"/>
      <c r="AM776" s="110"/>
      <c r="AN776" s="110"/>
      <c r="AO776" s="68"/>
      <c r="AP776" s="68"/>
      <c r="AQ776" s="40"/>
      <c r="AR776" s="40"/>
      <c r="AS776" s="23"/>
    </row>
    <row r="777" spans="1:45" ht="15.75" x14ac:dyDescent="0.25">
      <c r="A777" s="44"/>
      <c r="B777" s="23"/>
      <c r="C777" s="23"/>
      <c r="D777" s="23"/>
      <c r="E777" s="68"/>
      <c r="F777" s="68"/>
      <c r="G777" s="110"/>
      <c r="H777" s="110"/>
      <c r="I777" s="68"/>
      <c r="J777" s="68"/>
      <c r="K777" s="110"/>
      <c r="L777" s="110"/>
      <c r="M777" s="68"/>
      <c r="N777" s="68"/>
      <c r="O777" s="110"/>
      <c r="P777" s="110"/>
      <c r="Q777" s="68"/>
      <c r="R777" s="68"/>
      <c r="S777" s="110"/>
      <c r="T777" s="110"/>
      <c r="U777" s="68"/>
      <c r="V777" s="68"/>
      <c r="W777" s="110"/>
      <c r="X777" s="110"/>
      <c r="Y777" s="110"/>
      <c r="Z777" s="110"/>
      <c r="AA777" s="110"/>
      <c r="AB777" s="110"/>
      <c r="AC777" s="114"/>
      <c r="AD777" s="68"/>
      <c r="AE777" s="110"/>
      <c r="AF777" s="110"/>
      <c r="AG777" s="68"/>
      <c r="AH777" s="68"/>
      <c r="AI777" s="110"/>
      <c r="AJ777" s="110"/>
      <c r="AK777" s="68"/>
      <c r="AL777" s="68"/>
      <c r="AM777" s="110"/>
      <c r="AN777" s="110"/>
      <c r="AO777" s="68"/>
      <c r="AP777" s="68"/>
      <c r="AQ777" s="40"/>
      <c r="AR777" s="40"/>
      <c r="AS777" s="23"/>
    </row>
    <row r="778" spans="1:45" ht="15.75" x14ac:dyDescent="0.25">
      <c r="A778" s="44"/>
      <c r="B778" s="23"/>
      <c r="C778" s="23"/>
      <c r="D778" s="23"/>
      <c r="E778" s="68"/>
      <c r="F778" s="68"/>
      <c r="G778" s="110"/>
      <c r="H778" s="110"/>
      <c r="I778" s="68"/>
      <c r="J778" s="68"/>
      <c r="K778" s="110"/>
      <c r="L778" s="110"/>
      <c r="M778" s="68"/>
      <c r="N778" s="68"/>
      <c r="O778" s="110"/>
      <c r="P778" s="110"/>
      <c r="Q778" s="68"/>
      <c r="R778" s="68"/>
      <c r="S778" s="110"/>
      <c r="T778" s="110"/>
      <c r="U778" s="68"/>
      <c r="V778" s="68"/>
      <c r="W778" s="110"/>
      <c r="X778" s="110"/>
      <c r="Y778" s="110"/>
      <c r="Z778" s="110"/>
      <c r="AA778" s="110"/>
      <c r="AB778" s="110"/>
      <c r="AC778" s="114"/>
      <c r="AD778" s="68"/>
      <c r="AE778" s="110"/>
      <c r="AF778" s="110"/>
      <c r="AG778" s="68"/>
      <c r="AH778" s="68"/>
      <c r="AI778" s="110"/>
      <c r="AJ778" s="110"/>
      <c r="AK778" s="68"/>
      <c r="AL778" s="68"/>
      <c r="AM778" s="110"/>
      <c r="AN778" s="110"/>
      <c r="AO778" s="68"/>
      <c r="AP778" s="68"/>
      <c r="AQ778" s="40"/>
      <c r="AR778" s="40"/>
      <c r="AS778" s="23"/>
    </row>
    <row r="779" spans="1:45" ht="15.75" x14ac:dyDescent="0.25">
      <c r="A779" s="44"/>
      <c r="B779" s="23"/>
      <c r="C779" s="23"/>
      <c r="D779" s="23"/>
      <c r="E779" s="68"/>
      <c r="F779" s="68"/>
      <c r="G779" s="110"/>
      <c r="H779" s="110"/>
      <c r="I779" s="68"/>
      <c r="J779" s="68"/>
      <c r="K779" s="110"/>
      <c r="L779" s="110"/>
      <c r="M779" s="68"/>
      <c r="N779" s="68"/>
      <c r="O779" s="110"/>
      <c r="P779" s="110"/>
      <c r="Q779" s="68"/>
      <c r="R779" s="68"/>
      <c r="S779" s="110"/>
      <c r="T779" s="110"/>
      <c r="U779" s="68"/>
      <c r="V779" s="68"/>
      <c r="W779" s="110"/>
      <c r="X779" s="110"/>
      <c r="Y779" s="110"/>
      <c r="Z779" s="110"/>
      <c r="AA779" s="110"/>
      <c r="AB779" s="110"/>
      <c r="AC779" s="114"/>
      <c r="AD779" s="68"/>
      <c r="AE779" s="110"/>
      <c r="AF779" s="110"/>
      <c r="AG779" s="68"/>
      <c r="AH779" s="68"/>
      <c r="AI779" s="110"/>
      <c r="AJ779" s="110"/>
      <c r="AK779" s="68"/>
      <c r="AL779" s="68"/>
      <c r="AM779" s="110"/>
      <c r="AN779" s="110"/>
      <c r="AO779" s="68"/>
      <c r="AP779" s="68"/>
      <c r="AQ779" s="40"/>
      <c r="AR779" s="40"/>
      <c r="AS779" s="23"/>
    </row>
    <row r="780" spans="1:45" ht="15.75" x14ac:dyDescent="0.25">
      <c r="A780" s="44"/>
      <c r="B780" s="23"/>
      <c r="C780" s="23"/>
      <c r="D780" s="23"/>
      <c r="E780" s="68"/>
      <c r="F780" s="68"/>
      <c r="G780" s="110"/>
      <c r="H780" s="110"/>
      <c r="I780" s="68"/>
      <c r="J780" s="68"/>
      <c r="K780" s="110"/>
      <c r="L780" s="110"/>
      <c r="M780" s="68"/>
      <c r="N780" s="68"/>
      <c r="O780" s="110"/>
      <c r="P780" s="110"/>
      <c r="Q780" s="68"/>
      <c r="R780" s="68"/>
      <c r="S780" s="110"/>
      <c r="T780" s="110"/>
      <c r="U780" s="68"/>
      <c r="V780" s="68"/>
      <c r="W780" s="110"/>
      <c r="X780" s="110"/>
      <c r="Y780" s="110"/>
      <c r="Z780" s="110"/>
      <c r="AA780" s="110"/>
      <c r="AB780" s="110"/>
      <c r="AC780" s="114"/>
      <c r="AD780" s="68"/>
      <c r="AE780" s="110"/>
      <c r="AF780" s="110"/>
      <c r="AG780" s="68"/>
      <c r="AH780" s="68"/>
      <c r="AI780" s="110"/>
      <c r="AJ780" s="110"/>
      <c r="AK780" s="68"/>
      <c r="AL780" s="68"/>
      <c r="AM780" s="110"/>
      <c r="AN780" s="110"/>
      <c r="AO780" s="68"/>
      <c r="AP780" s="68"/>
      <c r="AQ780" s="40"/>
      <c r="AR780" s="40"/>
      <c r="AS780" s="23"/>
    </row>
    <row r="781" spans="1:45" ht="15.75" x14ac:dyDescent="0.25">
      <c r="A781" s="44"/>
      <c r="B781" s="23"/>
      <c r="C781" s="23"/>
      <c r="D781" s="23"/>
      <c r="E781" s="68"/>
      <c r="F781" s="68"/>
      <c r="G781" s="110"/>
      <c r="H781" s="110"/>
      <c r="I781" s="68"/>
      <c r="J781" s="68"/>
      <c r="K781" s="110"/>
      <c r="L781" s="110"/>
      <c r="M781" s="68"/>
      <c r="N781" s="68"/>
      <c r="O781" s="110"/>
      <c r="P781" s="110"/>
      <c r="Q781" s="68"/>
      <c r="R781" s="68"/>
      <c r="S781" s="110"/>
      <c r="T781" s="110"/>
      <c r="U781" s="68"/>
      <c r="V781" s="68"/>
      <c r="W781" s="110"/>
      <c r="X781" s="110"/>
      <c r="Y781" s="110"/>
      <c r="Z781" s="110"/>
      <c r="AA781" s="110"/>
      <c r="AB781" s="110"/>
      <c r="AC781" s="114"/>
      <c r="AD781" s="68"/>
      <c r="AE781" s="110"/>
      <c r="AF781" s="110"/>
      <c r="AG781" s="68"/>
      <c r="AH781" s="68"/>
      <c r="AI781" s="110"/>
      <c r="AJ781" s="110"/>
      <c r="AK781" s="68"/>
      <c r="AL781" s="68"/>
      <c r="AM781" s="110"/>
      <c r="AN781" s="110"/>
      <c r="AO781" s="68"/>
      <c r="AP781" s="68"/>
      <c r="AQ781" s="40"/>
      <c r="AR781" s="40"/>
      <c r="AS781" s="23"/>
    </row>
    <row r="782" spans="1:45" ht="15.75" x14ac:dyDescent="0.25">
      <c r="A782" s="44"/>
      <c r="B782" s="23"/>
      <c r="C782" s="23"/>
      <c r="D782" s="23"/>
      <c r="E782" s="68"/>
      <c r="F782" s="68"/>
      <c r="G782" s="110"/>
      <c r="H782" s="110"/>
      <c r="I782" s="68"/>
      <c r="J782" s="68"/>
      <c r="K782" s="110"/>
      <c r="L782" s="110"/>
      <c r="M782" s="68"/>
      <c r="N782" s="68"/>
      <c r="O782" s="110"/>
      <c r="P782" s="110"/>
      <c r="Q782" s="68"/>
      <c r="R782" s="68"/>
      <c r="S782" s="110"/>
      <c r="T782" s="110"/>
      <c r="U782" s="68"/>
      <c r="V782" s="68"/>
      <c r="W782" s="110"/>
      <c r="X782" s="110"/>
      <c r="Y782" s="110"/>
      <c r="Z782" s="110"/>
      <c r="AA782" s="110"/>
      <c r="AB782" s="110"/>
      <c r="AC782" s="114"/>
      <c r="AD782" s="68"/>
      <c r="AE782" s="110"/>
      <c r="AF782" s="110"/>
      <c r="AG782" s="68"/>
      <c r="AH782" s="68"/>
      <c r="AI782" s="110"/>
      <c r="AJ782" s="110"/>
      <c r="AK782" s="68"/>
      <c r="AL782" s="68"/>
      <c r="AM782" s="110"/>
      <c r="AN782" s="110"/>
      <c r="AO782" s="68"/>
      <c r="AP782" s="68"/>
      <c r="AQ782" s="40"/>
      <c r="AR782" s="40"/>
      <c r="AS782" s="23"/>
    </row>
    <row r="783" spans="1:45" ht="15.75" x14ac:dyDescent="0.25">
      <c r="A783" s="44"/>
      <c r="B783" s="23"/>
      <c r="C783" s="23"/>
      <c r="D783" s="23"/>
      <c r="E783" s="68"/>
      <c r="F783" s="68"/>
      <c r="G783" s="110"/>
      <c r="H783" s="110"/>
      <c r="I783" s="68"/>
      <c r="J783" s="68"/>
      <c r="K783" s="110"/>
      <c r="L783" s="110"/>
      <c r="M783" s="68"/>
      <c r="N783" s="68"/>
      <c r="O783" s="110"/>
      <c r="P783" s="110"/>
      <c r="Q783" s="68"/>
      <c r="R783" s="68"/>
      <c r="S783" s="110"/>
      <c r="T783" s="110"/>
      <c r="U783" s="68"/>
      <c r="V783" s="68"/>
      <c r="W783" s="110"/>
      <c r="X783" s="110"/>
      <c r="Y783" s="110"/>
      <c r="Z783" s="110"/>
      <c r="AA783" s="110"/>
      <c r="AB783" s="110"/>
      <c r="AC783" s="114"/>
      <c r="AD783" s="68"/>
      <c r="AE783" s="110"/>
      <c r="AF783" s="110"/>
      <c r="AG783" s="68"/>
      <c r="AH783" s="68"/>
      <c r="AI783" s="110"/>
      <c r="AJ783" s="110"/>
      <c r="AK783" s="68"/>
      <c r="AL783" s="68"/>
      <c r="AM783" s="110"/>
      <c r="AN783" s="110"/>
      <c r="AO783" s="68"/>
      <c r="AP783" s="68"/>
      <c r="AQ783" s="40"/>
      <c r="AR783" s="40"/>
      <c r="AS783" s="23"/>
    </row>
    <row r="784" spans="1:45" ht="15.75" x14ac:dyDescent="0.25">
      <c r="A784" s="44"/>
      <c r="B784" s="23"/>
      <c r="C784" s="23"/>
      <c r="D784" s="23"/>
      <c r="E784" s="68"/>
      <c r="F784" s="68"/>
      <c r="G784" s="110"/>
      <c r="H784" s="110"/>
      <c r="I784" s="68"/>
      <c r="J784" s="68"/>
      <c r="K784" s="110"/>
      <c r="L784" s="110"/>
      <c r="M784" s="68"/>
      <c r="N784" s="68"/>
      <c r="O784" s="110"/>
      <c r="P784" s="110"/>
      <c r="Q784" s="68"/>
      <c r="R784" s="68"/>
      <c r="S784" s="110"/>
      <c r="T784" s="110"/>
      <c r="U784" s="68"/>
      <c r="V784" s="68"/>
      <c r="W784" s="110"/>
      <c r="X784" s="110"/>
      <c r="Y784" s="110"/>
      <c r="Z784" s="110"/>
      <c r="AA784" s="110"/>
      <c r="AB784" s="110"/>
      <c r="AC784" s="114"/>
      <c r="AD784" s="68"/>
      <c r="AE784" s="110"/>
      <c r="AF784" s="110"/>
      <c r="AG784" s="68"/>
      <c r="AH784" s="68"/>
      <c r="AI784" s="110"/>
      <c r="AJ784" s="110"/>
      <c r="AK784" s="68"/>
      <c r="AL784" s="68"/>
      <c r="AM784" s="110"/>
      <c r="AN784" s="110"/>
      <c r="AO784" s="68"/>
      <c r="AP784" s="68"/>
      <c r="AQ784" s="40"/>
      <c r="AR784" s="40"/>
      <c r="AS784" s="23"/>
    </row>
    <row r="785" spans="1:45" ht="15.75" x14ac:dyDescent="0.25">
      <c r="A785" s="44"/>
      <c r="B785" s="23"/>
      <c r="C785" s="23"/>
      <c r="D785" s="23"/>
      <c r="E785" s="68"/>
      <c r="F785" s="68"/>
      <c r="G785" s="110"/>
      <c r="H785" s="110"/>
      <c r="I785" s="68"/>
      <c r="J785" s="68"/>
      <c r="K785" s="110"/>
      <c r="L785" s="110"/>
      <c r="M785" s="68"/>
      <c r="N785" s="68"/>
      <c r="O785" s="110"/>
      <c r="P785" s="110"/>
      <c r="Q785" s="68"/>
      <c r="R785" s="68"/>
      <c r="S785" s="110"/>
      <c r="T785" s="110"/>
      <c r="U785" s="68"/>
      <c r="V785" s="68"/>
      <c r="W785" s="110"/>
      <c r="X785" s="110"/>
      <c r="Y785" s="110"/>
      <c r="Z785" s="110"/>
      <c r="AA785" s="110"/>
      <c r="AB785" s="110"/>
      <c r="AC785" s="114"/>
      <c r="AD785" s="68"/>
      <c r="AE785" s="110"/>
      <c r="AF785" s="110"/>
      <c r="AG785" s="68"/>
      <c r="AH785" s="68"/>
      <c r="AI785" s="110"/>
      <c r="AJ785" s="110"/>
      <c r="AK785" s="68"/>
      <c r="AL785" s="68"/>
      <c r="AM785" s="110"/>
      <c r="AN785" s="110"/>
      <c r="AO785" s="68"/>
      <c r="AP785" s="68"/>
      <c r="AQ785" s="40"/>
      <c r="AR785" s="40"/>
      <c r="AS785" s="23"/>
    </row>
    <row r="786" spans="1:45" ht="15.75" x14ac:dyDescent="0.25">
      <c r="A786" s="44"/>
      <c r="B786" s="23"/>
      <c r="C786" s="23"/>
      <c r="D786" s="23"/>
      <c r="E786" s="68"/>
      <c r="F786" s="68"/>
      <c r="G786" s="110"/>
      <c r="H786" s="110"/>
      <c r="I786" s="68"/>
      <c r="J786" s="68"/>
      <c r="K786" s="110"/>
      <c r="L786" s="110"/>
      <c r="M786" s="68"/>
      <c r="N786" s="68"/>
      <c r="O786" s="110"/>
      <c r="P786" s="110"/>
      <c r="Q786" s="68"/>
      <c r="R786" s="68"/>
      <c r="S786" s="110"/>
      <c r="T786" s="110"/>
      <c r="U786" s="68"/>
      <c r="V786" s="68"/>
      <c r="W786" s="110"/>
      <c r="X786" s="110"/>
      <c r="Y786" s="110"/>
      <c r="Z786" s="110"/>
      <c r="AA786" s="110"/>
      <c r="AB786" s="110"/>
      <c r="AC786" s="114"/>
      <c r="AD786" s="68"/>
      <c r="AE786" s="110"/>
      <c r="AF786" s="110"/>
      <c r="AG786" s="68"/>
      <c r="AH786" s="68"/>
      <c r="AI786" s="110"/>
      <c r="AJ786" s="110"/>
      <c r="AK786" s="68"/>
      <c r="AL786" s="68"/>
      <c r="AM786" s="110"/>
      <c r="AN786" s="110"/>
      <c r="AO786" s="68"/>
      <c r="AP786" s="68"/>
      <c r="AQ786" s="40"/>
      <c r="AR786" s="40"/>
      <c r="AS786" s="23"/>
    </row>
    <row r="787" spans="1:45" ht="15.75" x14ac:dyDescent="0.25">
      <c r="A787" s="44"/>
      <c r="B787" s="23"/>
      <c r="C787" s="23"/>
      <c r="D787" s="23"/>
      <c r="E787" s="68"/>
      <c r="F787" s="68"/>
      <c r="G787" s="110"/>
      <c r="H787" s="110"/>
      <c r="I787" s="68"/>
      <c r="J787" s="68"/>
      <c r="K787" s="110"/>
      <c r="L787" s="110"/>
      <c r="M787" s="68"/>
      <c r="N787" s="68"/>
      <c r="O787" s="110"/>
      <c r="P787" s="110"/>
      <c r="Q787" s="68"/>
      <c r="R787" s="68"/>
      <c r="S787" s="110"/>
      <c r="T787" s="110"/>
      <c r="U787" s="68"/>
      <c r="V787" s="68"/>
      <c r="W787" s="110"/>
      <c r="X787" s="110"/>
      <c r="Y787" s="110"/>
      <c r="Z787" s="110"/>
      <c r="AA787" s="110"/>
      <c r="AB787" s="110"/>
      <c r="AC787" s="114"/>
      <c r="AD787" s="68"/>
      <c r="AE787" s="110"/>
      <c r="AF787" s="110"/>
      <c r="AG787" s="68"/>
      <c r="AH787" s="68"/>
      <c r="AI787" s="110"/>
      <c r="AJ787" s="110"/>
      <c r="AK787" s="68"/>
      <c r="AL787" s="68"/>
      <c r="AM787" s="110"/>
      <c r="AN787" s="110"/>
      <c r="AO787" s="68"/>
      <c r="AP787" s="68"/>
      <c r="AQ787" s="40"/>
      <c r="AR787" s="40"/>
      <c r="AS787" s="23"/>
    </row>
    <row r="788" spans="1:45" ht="15.75" x14ac:dyDescent="0.25">
      <c r="A788" s="44"/>
      <c r="B788" s="23"/>
      <c r="C788" s="23"/>
      <c r="D788" s="23"/>
      <c r="E788" s="68"/>
      <c r="F788" s="68"/>
      <c r="G788" s="110"/>
      <c r="H788" s="110"/>
      <c r="I788" s="68"/>
      <c r="J788" s="68"/>
      <c r="K788" s="110"/>
      <c r="L788" s="110"/>
      <c r="M788" s="68"/>
      <c r="N788" s="68"/>
      <c r="O788" s="110"/>
      <c r="P788" s="110"/>
      <c r="Q788" s="68"/>
      <c r="R788" s="68"/>
      <c r="S788" s="110"/>
      <c r="T788" s="110"/>
      <c r="U788" s="68"/>
      <c r="V788" s="68"/>
      <c r="W788" s="110"/>
      <c r="X788" s="110"/>
      <c r="Y788" s="110"/>
      <c r="Z788" s="110"/>
      <c r="AA788" s="110"/>
      <c r="AB788" s="110"/>
      <c r="AC788" s="114"/>
      <c r="AD788" s="68"/>
      <c r="AE788" s="110"/>
      <c r="AF788" s="110"/>
      <c r="AG788" s="68"/>
      <c r="AH788" s="68"/>
      <c r="AI788" s="110"/>
      <c r="AJ788" s="110"/>
      <c r="AK788" s="68"/>
      <c r="AL788" s="68"/>
      <c r="AM788" s="110"/>
      <c r="AN788" s="110"/>
      <c r="AO788" s="68"/>
      <c r="AP788" s="68"/>
      <c r="AQ788" s="40"/>
      <c r="AR788" s="40"/>
      <c r="AS788" s="23"/>
    </row>
    <row r="789" spans="1:45" ht="15.75" x14ac:dyDescent="0.25">
      <c r="A789" s="44"/>
      <c r="B789" s="23"/>
      <c r="C789" s="23"/>
      <c r="D789" s="23"/>
      <c r="E789" s="68"/>
      <c r="F789" s="68"/>
      <c r="G789" s="110"/>
      <c r="H789" s="110"/>
      <c r="I789" s="68"/>
      <c r="J789" s="68"/>
      <c r="K789" s="110"/>
      <c r="L789" s="110"/>
      <c r="M789" s="68"/>
      <c r="N789" s="68"/>
      <c r="O789" s="110"/>
      <c r="P789" s="110"/>
      <c r="Q789" s="68"/>
      <c r="R789" s="68"/>
      <c r="S789" s="110"/>
      <c r="T789" s="110"/>
      <c r="U789" s="68"/>
      <c r="V789" s="68"/>
      <c r="W789" s="110"/>
      <c r="X789" s="110"/>
      <c r="Y789" s="110"/>
      <c r="Z789" s="110"/>
      <c r="AA789" s="110"/>
      <c r="AB789" s="110"/>
      <c r="AC789" s="114"/>
      <c r="AD789" s="68"/>
      <c r="AE789" s="110"/>
      <c r="AF789" s="110"/>
      <c r="AG789" s="68"/>
      <c r="AH789" s="68"/>
      <c r="AI789" s="110"/>
      <c r="AJ789" s="110"/>
      <c r="AK789" s="68"/>
      <c r="AL789" s="68"/>
      <c r="AM789" s="110"/>
      <c r="AN789" s="110"/>
      <c r="AO789" s="68"/>
      <c r="AP789" s="68"/>
      <c r="AQ789" s="40"/>
      <c r="AR789" s="40"/>
      <c r="AS789" s="23"/>
    </row>
    <row r="790" spans="1:45" ht="15.75" x14ac:dyDescent="0.25">
      <c r="A790" s="44"/>
      <c r="B790" s="23"/>
      <c r="C790" s="23"/>
      <c r="D790" s="23"/>
      <c r="E790" s="68"/>
      <c r="F790" s="68"/>
      <c r="G790" s="110"/>
      <c r="H790" s="110"/>
      <c r="I790" s="68"/>
      <c r="J790" s="68"/>
      <c r="K790" s="110"/>
      <c r="L790" s="110"/>
      <c r="M790" s="68"/>
      <c r="N790" s="68"/>
      <c r="O790" s="110"/>
      <c r="P790" s="110"/>
      <c r="Q790" s="68"/>
      <c r="R790" s="68"/>
      <c r="S790" s="110"/>
      <c r="T790" s="110"/>
      <c r="U790" s="68"/>
      <c r="V790" s="68"/>
      <c r="W790" s="110"/>
      <c r="X790" s="110"/>
      <c r="Y790" s="110"/>
      <c r="Z790" s="110"/>
      <c r="AA790" s="110"/>
      <c r="AB790" s="110"/>
      <c r="AC790" s="114"/>
      <c r="AD790" s="68"/>
      <c r="AE790" s="110"/>
      <c r="AF790" s="110"/>
      <c r="AG790" s="68"/>
      <c r="AH790" s="68"/>
      <c r="AI790" s="110"/>
      <c r="AJ790" s="110"/>
      <c r="AK790" s="68"/>
      <c r="AL790" s="68"/>
      <c r="AM790" s="110"/>
      <c r="AN790" s="110"/>
      <c r="AO790" s="68"/>
      <c r="AP790" s="68"/>
      <c r="AQ790" s="40"/>
      <c r="AR790" s="40"/>
      <c r="AS790" s="23"/>
    </row>
    <row r="791" spans="1:45" ht="15.75" x14ac:dyDescent="0.25">
      <c r="A791" s="44"/>
      <c r="B791" s="23"/>
      <c r="C791" s="23"/>
      <c r="D791" s="23"/>
      <c r="E791" s="68"/>
      <c r="F791" s="68"/>
      <c r="G791" s="110"/>
      <c r="H791" s="110"/>
      <c r="I791" s="68"/>
      <c r="J791" s="68"/>
      <c r="K791" s="110"/>
      <c r="L791" s="110"/>
      <c r="M791" s="68"/>
      <c r="N791" s="68"/>
      <c r="O791" s="110"/>
      <c r="P791" s="110"/>
      <c r="Q791" s="68"/>
      <c r="R791" s="68"/>
      <c r="S791" s="110"/>
      <c r="T791" s="110"/>
      <c r="U791" s="68"/>
      <c r="V791" s="68"/>
      <c r="W791" s="110"/>
      <c r="X791" s="110"/>
      <c r="Y791" s="110"/>
      <c r="Z791" s="110"/>
      <c r="AA791" s="110"/>
      <c r="AB791" s="110"/>
      <c r="AC791" s="114"/>
      <c r="AD791" s="68"/>
      <c r="AE791" s="110"/>
      <c r="AF791" s="110"/>
      <c r="AG791" s="68"/>
      <c r="AH791" s="68"/>
      <c r="AI791" s="110"/>
      <c r="AJ791" s="110"/>
      <c r="AK791" s="68"/>
      <c r="AL791" s="68"/>
      <c r="AM791" s="110"/>
      <c r="AN791" s="110"/>
      <c r="AO791" s="68"/>
      <c r="AP791" s="68"/>
      <c r="AQ791" s="40"/>
      <c r="AR791" s="40"/>
      <c r="AS791" s="23"/>
    </row>
    <row r="792" spans="1:45" ht="15.75" x14ac:dyDescent="0.25">
      <c r="A792" s="44"/>
      <c r="B792" s="23"/>
      <c r="C792" s="23"/>
      <c r="D792" s="23"/>
      <c r="E792" s="68"/>
      <c r="F792" s="68"/>
      <c r="G792" s="110"/>
      <c r="H792" s="110"/>
      <c r="I792" s="68"/>
      <c r="J792" s="68"/>
      <c r="K792" s="110"/>
      <c r="L792" s="110"/>
      <c r="M792" s="68"/>
      <c r="N792" s="68"/>
      <c r="O792" s="110"/>
      <c r="P792" s="110"/>
      <c r="Q792" s="68"/>
      <c r="R792" s="68"/>
      <c r="S792" s="110"/>
      <c r="T792" s="110"/>
      <c r="U792" s="68"/>
      <c r="V792" s="68"/>
      <c r="W792" s="110"/>
      <c r="X792" s="110"/>
      <c r="Y792" s="110"/>
      <c r="Z792" s="110"/>
      <c r="AA792" s="110"/>
      <c r="AB792" s="110"/>
      <c r="AC792" s="114"/>
      <c r="AD792" s="68"/>
      <c r="AE792" s="110"/>
      <c r="AF792" s="110"/>
      <c r="AG792" s="68"/>
      <c r="AH792" s="68"/>
      <c r="AI792" s="110"/>
      <c r="AJ792" s="110"/>
      <c r="AK792" s="68"/>
      <c r="AL792" s="68"/>
      <c r="AM792" s="110"/>
      <c r="AN792" s="110"/>
      <c r="AO792" s="68"/>
      <c r="AP792" s="68"/>
      <c r="AQ792" s="40"/>
      <c r="AR792" s="40"/>
      <c r="AS792" s="23"/>
    </row>
    <row r="793" spans="1:45" ht="15.75" x14ac:dyDescent="0.25">
      <c r="A793" s="44"/>
      <c r="B793" s="23"/>
      <c r="C793" s="23"/>
      <c r="D793" s="23"/>
      <c r="E793" s="68"/>
      <c r="F793" s="68"/>
      <c r="G793" s="110"/>
      <c r="H793" s="110"/>
      <c r="I793" s="68"/>
      <c r="J793" s="68"/>
      <c r="K793" s="110"/>
      <c r="L793" s="110"/>
      <c r="M793" s="68"/>
      <c r="N793" s="68"/>
      <c r="O793" s="110"/>
      <c r="P793" s="110"/>
      <c r="Q793" s="68"/>
      <c r="R793" s="68"/>
      <c r="S793" s="110"/>
      <c r="T793" s="110"/>
      <c r="U793" s="68"/>
      <c r="V793" s="68"/>
      <c r="W793" s="110"/>
      <c r="X793" s="110"/>
      <c r="Y793" s="110"/>
      <c r="Z793" s="110"/>
      <c r="AA793" s="110"/>
      <c r="AB793" s="110"/>
      <c r="AC793" s="114"/>
      <c r="AD793" s="68"/>
      <c r="AE793" s="110"/>
      <c r="AF793" s="110"/>
      <c r="AG793" s="68"/>
      <c r="AH793" s="68"/>
      <c r="AI793" s="110"/>
      <c r="AJ793" s="110"/>
      <c r="AK793" s="68"/>
      <c r="AL793" s="68"/>
      <c r="AM793" s="110"/>
      <c r="AN793" s="110"/>
      <c r="AO793" s="68"/>
      <c r="AP793" s="68"/>
      <c r="AQ793" s="40"/>
      <c r="AR793" s="40"/>
      <c r="AS793" s="23"/>
    </row>
    <row r="794" spans="1:45" ht="15.75" x14ac:dyDescent="0.25">
      <c r="A794" s="44"/>
      <c r="B794" s="23"/>
      <c r="C794" s="23"/>
      <c r="D794" s="23"/>
      <c r="E794" s="68"/>
      <c r="F794" s="68"/>
      <c r="G794" s="110"/>
      <c r="H794" s="110"/>
      <c r="I794" s="68"/>
      <c r="J794" s="68"/>
      <c r="K794" s="110"/>
      <c r="L794" s="110"/>
      <c r="M794" s="68"/>
      <c r="N794" s="68"/>
      <c r="O794" s="110"/>
      <c r="P794" s="110"/>
      <c r="Q794" s="68"/>
      <c r="R794" s="68"/>
      <c r="S794" s="110"/>
      <c r="T794" s="110"/>
      <c r="U794" s="68"/>
      <c r="V794" s="68"/>
      <c r="W794" s="110"/>
      <c r="X794" s="110"/>
      <c r="Y794" s="110"/>
      <c r="Z794" s="110"/>
      <c r="AA794" s="110"/>
      <c r="AB794" s="110"/>
      <c r="AC794" s="114"/>
      <c r="AD794" s="68"/>
      <c r="AE794" s="110"/>
      <c r="AF794" s="110"/>
      <c r="AG794" s="68"/>
      <c r="AH794" s="68"/>
      <c r="AI794" s="110"/>
      <c r="AJ794" s="110"/>
      <c r="AK794" s="68"/>
      <c r="AL794" s="68"/>
      <c r="AM794" s="110"/>
      <c r="AN794" s="110"/>
      <c r="AO794" s="68"/>
      <c r="AP794" s="68"/>
      <c r="AQ794" s="40"/>
      <c r="AR794" s="40"/>
      <c r="AS794" s="23"/>
    </row>
    <row r="795" spans="1:45" ht="15.75" x14ac:dyDescent="0.25">
      <c r="A795" s="44"/>
      <c r="B795" s="23"/>
      <c r="C795" s="23"/>
      <c r="D795" s="23"/>
      <c r="E795" s="68"/>
      <c r="F795" s="68"/>
      <c r="G795" s="110"/>
      <c r="H795" s="110"/>
      <c r="I795" s="68"/>
      <c r="J795" s="68"/>
      <c r="K795" s="110"/>
      <c r="L795" s="110"/>
      <c r="M795" s="68"/>
      <c r="N795" s="68"/>
      <c r="O795" s="110"/>
      <c r="P795" s="110"/>
      <c r="Q795" s="68"/>
      <c r="R795" s="68"/>
      <c r="S795" s="110"/>
      <c r="T795" s="110"/>
      <c r="U795" s="68"/>
      <c r="V795" s="68"/>
      <c r="W795" s="110"/>
      <c r="X795" s="110"/>
      <c r="Y795" s="110"/>
      <c r="Z795" s="110"/>
      <c r="AA795" s="110"/>
      <c r="AB795" s="110"/>
      <c r="AC795" s="114"/>
      <c r="AD795" s="68"/>
      <c r="AE795" s="110"/>
      <c r="AF795" s="110"/>
      <c r="AG795" s="68"/>
      <c r="AH795" s="68"/>
      <c r="AI795" s="110"/>
      <c r="AJ795" s="110"/>
      <c r="AK795" s="68"/>
      <c r="AL795" s="68"/>
      <c r="AM795" s="110"/>
      <c r="AN795" s="110"/>
      <c r="AO795" s="68"/>
      <c r="AP795" s="68"/>
      <c r="AQ795" s="40"/>
      <c r="AR795" s="40"/>
      <c r="AS795" s="23"/>
    </row>
    <row r="796" spans="1:45" ht="15.75" x14ac:dyDescent="0.25">
      <c r="A796" s="44"/>
      <c r="B796" s="23"/>
      <c r="C796" s="23"/>
      <c r="D796" s="23"/>
      <c r="E796" s="68"/>
      <c r="F796" s="68"/>
      <c r="G796" s="110"/>
      <c r="H796" s="110"/>
      <c r="I796" s="68"/>
      <c r="J796" s="68"/>
      <c r="K796" s="110"/>
      <c r="L796" s="110"/>
      <c r="M796" s="68"/>
      <c r="N796" s="68"/>
      <c r="O796" s="110"/>
      <c r="P796" s="110"/>
      <c r="Q796" s="68"/>
      <c r="R796" s="68"/>
      <c r="S796" s="110"/>
      <c r="T796" s="110"/>
      <c r="U796" s="68"/>
      <c r="V796" s="68"/>
      <c r="W796" s="110"/>
      <c r="X796" s="110"/>
      <c r="Y796" s="110"/>
      <c r="Z796" s="110"/>
      <c r="AA796" s="110"/>
      <c r="AB796" s="110"/>
      <c r="AC796" s="114"/>
      <c r="AD796" s="68"/>
      <c r="AE796" s="110"/>
      <c r="AF796" s="110"/>
      <c r="AG796" s="68"/>
      <c r="AH796" s="68"/>
      <c r="AI796" s="110"/>
      <c r="AJ796" s="110"/>
      <c r="AK796" s="68"/>
      <c r="AL796" s="68"/>
      <c r="AM796" s="110"/>
      <c r="AN796" s="110"/>
      <c r="AO796" s="68"/>
      <c r="AP796" s="68"/>
      <c r="AQ796" s="40"/>
      <c r="AR796" s="40"/>
      <c r="AS796" s="23"/>
    </row>
    <row r="797" spans="1:45" ht="15.75" x14ac:dyDescent="0.25">
      <c r="A797" s="44"/>
      <c r="B797" s="23"/>
      <c r="C797" s="23"/>
      <c r="D797" s="23"/>
      <c r="E797" s="68"/>
      <c r="F797" s="68"/>
      <c r="G797" s="110"/>
      <c r="H797" s="110"/>
      <c r="I797" s="68"/>
      <c r="J797" s="68"/>
      <c r="K797" s="110"/>
      <c r="L797" s="110"/>
      <c r="M797" s="68"/>
      <c r="N797" s="68"/>
      <c r="O797" s="110"/>
      <c r="P797" s="110"/>
      <c r="Q797" s="68"/>
      <c r="R797" s="68"/>
      <c r="S797" s="110"/>
      <c r="T797" s="110"/>
      <c r="U797" s="68"/>
      <c r="V797" s="68"/>
      <c r="W797" s="110"/>
      <c r="X797" s="110"/>
      <c r="Y797" s="110"/>
      <c r="Z797" s="110"/>
      <c r="AA797" s="110"/>
      <c r="AB797" s="110"/>
      <c r="AC797" s="114"/>
      <c r="AD797" s="68"/>
      <c r="AE797" s="110"/>
      <c r="AF797" s="110"/>
      <c r="AG797" s="68"/>
      <c r="AH797" s="68"/>
      <c r="AI797" s="110"/>
      <c r="AJ797" s="110"/>
      <c r="AK797" s="68"/>
      <c r="AL797" s="68"/>
      <c r="AM797" s="110"/>
      <c r="AN797" s="110"/>
      <c r="AO797" s="68"/>
      <c r="AP797" s="68"/>
      <c r="AQ797" s="40"/>
      <c r="AR797" s="40"/>
      <c r="AS797" s="23"/>
    </row>
    <row r="798" spans="1:45" ht="15.75" x14ac:dyDescent="0.25">
      <c r="A798" s="44"/>
      <c r="B798" s="23"/>
      <c r="C798" s="23"/>
      <c r="D798" s="23"/>
      <c r="E798" s="68"/>
      <c r="F798" s="68"/>
      <c r="G798" s="110"/>
      <c r="H798" s="110"/>
      <c r="I798" s="68"/>
      <c r="J798" s="68"/>
      <c r="K798" s="110"/>
      <c r="L798" s="110"/>
      <c r="M798" s="68"/>
      <c r="N798" s="68"/>
      <c r="O798" s="110"/>
      <c r="P798" s="110"/>
      <c r="Q798" s="68"/>
      <c r="R798" s="68"/>
      <c r="S798" s="110"/>
      <c r="T798" s="110"/>
      <c r="U798" s="68"/>
      <c r="V798" s="68"/>
      <c r="W798" s="110"/>
      <c r="X798" s="110"/>
      <c r="Y798" s="110"/>
      <c r="Z798" s="110"/>
      <c r="AA798" s="110"/>
      <c r="AB798" s="110"/>
      <c r="AC798" s="114"/>
      <c r="AD798" s="68"/>
      <c r="AE798" s="110"/>
      <c r="AF798" s="110"/>
      <c r="AG798" s="68"/>
      <c r="AH798" s="68"/>
      <c r="AI798" s="110"/>
      <c r="AJ798" s="110"/>
      <c r="AK798" s="68"/>
      <c r="AL798" s="68"/>
      <c r="AM798" s="110"/>
      <c r="AN798" s="110"/>
      <c r="AO798" s="68"/>
      <c r="AP798" s="68"/>
      <c r="AQ798" s="40"/>
      <c r="AR798" s="40"/>
      <c r="AS798" s="23"/>
    </row>
    <row r="799" spans="1:45" ht="15.75" x14ac:dyDescent="0.25">
      <c r="A799" s="44"/>
      <c r="B799" s="23"/>
      <c r="C799" s="23"/>
      <c r="D799" s="23"/>
      <c r="E799" s="68"/>
      <c r="F799" s="68"/>
      <c r="G799" s="110"/>
      <c r="H799" s="110"/>
      <c r="I799" s="68"/>
      <c r="J799" s="68"/>
      <c r="K799" s="110"/>
      <c r="L799" s="110"/>
      <c r="M799" s="68"/>
      <c r="N799" s="68"/>
      <c r="O799" s="110"/>
      <c r="P799" s="110"/>
      <c r="Q799" s="68"/>
      <c r="R799" s="68"/>
      <c r="S799" s="110"/>
      <c r="T799" s="110"/>
      <c r="U799" s="68"/>
      <c r="V799" s="68"/>
      <c r="W799" s="110"/>
      <c r="X799" s="110"/>
      <c r="Y799" s="110"/>
      <c r="Z799" s="110"/>
      <c r="AA799" s="110"/>
      <c r="AB799" s="110"/>
      <c r="AC799" s="114"/>
      <c r="AD799" s="68"/>
      <c r="AE799" s="110"/>
      <c r="AF799" s="110"/>
      <c r="AG799" s="68"/>
      <c r="AH799" s="68"/>
      <c r="AI799" s="110"/>
      <c r="AJ799" s="110"/>
      <c r="AK799" s="68"/>
      <c r="AL799" s="68"/>
      <c r="AM799" s="110"/>
      <c r="AN799" s="110"/>
      <c r="AO799" s="68"/>
      <c r="AP799" s="68"/>
      <c r="AQ799" s="40"/>
      <c r="AR799" s="40"/>
      <c r="AS799" s="23"/>
    </row>
    <row r="800" spans="1:45" ht="15.75" x14ac:dyDescent="0.25">
      <c r="A800" s="44"/>
      <c r="B800" s="23"/>
      <c r="C800" s="23"/>
      <c r="D800" s="23"/>
      <c r="E800" s="68"/>
      <c r="F800" s="68"/>
      <c r="G800" s="110"/>
      <c r="H800" s="110"/>
      <c r="I800" s="68"/>
      <c r="J800" s="68"/>
      <c r="K800" s="110"/>
      <c r="L800" s="110"/>
      <c r="M800" s="68"/>
      <c r="N800" s="68"/>
      <c r="O800" s="110"/>
      <c r="P800" s="110"/>
      <c r="Q800" s="68"/>
      <c r="R800" s="68"/>
      <c r="S800" s="110"/>
      <c r="T800" s="110"/>
      <c r="U800" s="68"/>
      <c r="V800" s="68"/>
      <c r="W800" s="110"/>
      <c r="X800" s="110"/>
      <c r="Y800" s="110"/>
      <c r="Z800" s="110"/>
      <c r="AA800" s="110"/>
      <c r="AB800" s="110"/>
      <c r="AC800" s="114"/>
      <c r="AD800" s="68"/>
      <c r="AE800" s="110"/>
      <c r="AF800" s="110"/>
      <c r="AG800" s="68"/>
      <c r="AH800" s="68"/>
      <c r="AI800" s="110"/>
      <c r="AJ800" s="110"/>
      <c r="AK800" s="68"/>
      <c r="AL800" s="68"/>
      <c r="AM800" s="110"/>
      <c r="AN800" s="110"/>
      <c r="AO800" s="68"/>
      <c r="AP800" s="68"/>
      <c r="AQ800" s="40"/>
      <c r="AR800" s="40"/>
      <c r="AS800" s="23"/>
    </row>
    <row r="801" spans="1:45" ht="15.75" x14ac:dyDescent="0.25">
      <c r="A801" s="44"/>
      <c r="B801" s="23"/>
      <c r="C801" s="23"/>
      <c r="D801" s="23"/>
      <c r="E801" s="68"/>
      <c r="F801" s="68"/>
      <c r="G801" s="110"/>
      <c r="H801" s="110"/>
      <c r="I801" s="68"/>
      <c r="J801" s="68"/>
      <c r="K801" s="110"/>
      <c r="L801" s="110"/>
      <c r="M801" s="68"/>
      <c r="N801" s="68"/>
      <c r="O801" s="110"/>
      <c r="P801" s="110"/>
      <c r="Q801" s="68"/>
      <c r="R801" s="68"/>
      <c r="S801" s="110"/>
      <c r="T801" s="110"/>
      <c r="U801" s="68"/>
      <c r="V801" s="68"/>
      <c r="W801" s="110"/>
      <c r="X801" s="110"/>
      <c r="Y801" s="110"/>
      <c r="Z801" s="110"/>
      <c r="AA801" s="110"/>
      <c r="AB801" s="110"/>
      <c r="AC801" s="114"/>
      <c r="AD801" s="68"/>
      <c r="AE801" s="110"/>
      <c r="AF801" s="110"/>
      <c r="AG801" s="68"/>
      <c r="AH801" s="68"/>
      <c r="AI801" s="110"/>
      <c r="AJ801" s="110"/>
      <c r="AK801" s="68"/>
      <c r="AL801" s="68"/>
      <c r="AM801" s="110"/>
      <c r="AN801" s="110"/>
      <c r="AO801" s="68"/>
      <c r="AP801" s="68"/>
      <c r="AQ801" s="40"/>
      <c r="AR801" s="40"/>
      <c r="AS801" s="23"/>
    </row>
    <row r="802" spans="1:45" ht="15.75" x14ac:dyDescent="0.25">
      <c r="A802" s="44"/>
      <c r="B802" s="23"/>
      <c r="C802" s="23"/>
      <c r="D802" s="23"/>
      <c r="E802" s="68"/>
      <c r="F802" s="68"/>
      <c r="G802" s="110"/>
      <c r="H802" s="110"/>
      <c r="I802" s="68"/>
      <c r="J802" s="68"/>
      <c r="K802" s="110"/>
      <c r="L802" s="110"/>
      <c r="M802" s="68"/>
      <c r="N802" s="68"/>
      <c r="O802" s="110"/>
      <c r="P802" s="110"/>
      <c r="Q802" s="68"/>
      <c r="R802" s="68"/>
      <c r="S802" s="110"/>
      <c r="T802" s="110"/>
      <c r="U802" s="68"/>
      <c r="V802" s="68"/>
      <c r="W802" s="110"/>
      <c r="X802" s="110"/>
      <c r="Y802" s="110"/>
      <c r="Z802" s="110"/>
      <c r="AA802" s="110"/>
      <c r="AB802" s="110"/>
      <c r="AC802" s="114"/>
      <c r="AD802" s="68"/>
      <c r="AE802" s="110"/>
      <c r="AF802" s="110"/>
      <c r="AG802" s="68"/>
      <c r="AH802" s="68"/>
      <c r="AI802" s="110"/>
      <c r="AJ802" s="110"/>
      <c r="AK802" s="68"/>
      <c r="AL802" s="68"/>
      <c r="AM802" s="110"/>
      <c r="AN802" s="110"/>
      <c r="AO802" s="68"/>
      <c r="AP802" s="68"/>
      <c r="AQ802" s="40"/>
      <c r="AR802" s="40"/>
      <c r="AS802" s="23"/>
    </row>
    <row r="803" spans="1:45" ht="15.75" x14ac:dyDescent="0.25">
      <c r="A803" s="44"/>
      <c r="B803" s="23"/>
      <c r="C803" s="23"/>
      <c r="D803" s="23"/>
      <c r="E803" s="68"/>
      <c r="F803" s="68"/>
      <c r="G803" s="110"/>
      <c r="H803" s="110"/>
      <c r="I803" s="68"/>
      <c r="J803" s="68"/>
      <c r="K803" s="110"/>
      <c r="L803" s="110"/>
      <c r="M803" s="68"/>
      <c r="N803" s="68"/>
      <c r="O803" s="110"/>
      <c r="P803" s="110"/>
      <c r="Q803" s="68"/>
      <c r="R803" s="68"/>
      <c r="S803" s="110"/>
      <c r="T803" s="110"/>
      <c r="U803" s="68"/>
      <c r="V803" s="68"/>
      <c r="W803" s="110"/>
      <c r="X803" s="110"/>
      <c r="Y803" s="110"/>
      <c r="Z803" s="110"/>
      <c r="AA803" s="110"/>
      <c r="AB803" s="110"/>
      <c r="AC803" s="114"/>
      <c r="AD803" s="68"/>
      <c r="AE803" s="110"/>
      <c r="AF803" s="110"/>
      <c r="AG803" s="68"/>
      <c r="AH803" s="68"/>
      <c r="AI803" s="110"/>
      <c r="AJ803" s="110"/>
      <c r="AK803" s="68"/>
      <c r="AL803" s="68"/>
      <c r="AM803" s="110"/>
      <c r="AN803" s="110"/>
      <c r="AO803" s="68"/>
      <c r="AP803" s="68"/>
      <c r="AQ803" s="40"/>
      <c r="AR803" s="40"/>
      <c r="AS803" s="23"/>
    </row>
    <row r="804" spans="1:45" ht="15.75" x14ac:dyDescent="0.25">
      <c r="A804" s="44"/>
      <c r="B804" s="23"/>
      <c r="C804" s="23"/>
      <c r="D804" s="23"/>
      <c r="E804" s="68"/>
      <c r="F804" s="68"/>
      <c r="G804" s="110"/>
      <c r="H804" s="110"/>
      <c r="I804" s="68"/>
      <c r="J804" s="68"/>
      <c r="K804" s="110"/>
      <c r="L804" s="110"/>
      <c r="M804" s="68"/>
      <c r="N804" s="68"/>
      <c r="O804" s="110"/>
      <c r="P804" s="110"/>
      <c r="Q804" s="68"/>
      <c r="R804" s="68"/>
      <c r="S804" s="110"/>
      <c r="T804" s="110"/>
      <c r="U804" s="68"/>
      <c r="V804" s="68"/>
      <c r="W804" s="110"/>
      <c r="X804" s="110"/>
      <c r="Y804" s="110"/>
      <c r="Z804" s="110"/>
      <c r="AA804" s="110"/>
      <c r="AB804" s="110"/>
      <c r="AC804" s="114"/>
      <c r="AD804" s="68"/>
      <c r="AE804" s="110"/>
      <c r="AF804" s="110"/>
      <c r="AG804" s="68"/>
      <c r="AH804" s="68"/>
      <c r="AI804" s="110"/>
      <c r="AJ804" s="110"/>
      <c r="AK804" s="68"/>
      <c r="AL804" s="68"/>
      <c r="AM804" s="110"/>
      <c r="AN804" s="110"/>
      <c r="AO804" s="68"/>
      <c r="AP804" s="68"/>
      <c r="AQ804" s="40"/>
      <c r="AR804" s="40"/>
      <c r="AS804" s="23"/>
    </row>
    <row r="805" spans="1:45" ht="15.75" x14ac:dyDescent="0.25">
      <c r="A805" s="44"/>
      <c r="B805" s="23"/>
      <c r="C805" s="23"/>
      <c r="D805" s="23"/>
      <c r="E805" s="68"/>
      <c r="F805" s="68"/>
      <c r="G805" s="110"/>
      <c r="H805" s="110"/>
      <c r="I805" s="68"/>
      <c r="J805" s="68"/>
      <c r="K805" s="110"/>
      <c r="L805" s="110"/>
      <c r="M805" s="68"/>
      <c r="N805" s="68"/>
      <c r="O805" s="110"/>
      <c r="P805" s="110"/>
      <c r="Q805" s="68"/>
      <c r="R805" s="68"/>
      <c r="S805" s="110"/>
      <c r="T805" s="110"/>
      <c r="U805" s="68"/>
      <c r="V805" s="68"/>
      <c r="W805" s="110"/>
      <c r="X805" s="110"/>
      <c r="Y805" s="110"/>
      <c r="Z805" s="110"/>
      <c r="AA805" s="110"/>
      <c r="AB805" s="110"/>
      <c r="AC805" s="114"/>
      <c r="AD805" s="68"/>
      <c r="AE805" s="110"/>
      <c r="AF805" s="110"/>
      <c r="AG805" s="68"/>
      <c r="AH805" s="68"/>
      <c r="AI805" s="110"/>
      <c r="AJ805" s="110"/>
      <c r="AK805" s="68"/>
      <c r="AL805" s="68"/>
      <c r="AM805" s="110"/>
      <c r="AN805" s="110"/>
      <c r="AO805" s="68"/>
      <c r="AP805" s="68"/>
      <c r="AQ805" s="40"/>
      <c r="AR805" s="40"/>
      <c r="AS805" s="23"/>
    </row>
    <row r="806" spans="1:45" ht="15.75" x14ac:dyDescent="0.25">
      <c r="A806" s="44"/>
      <c r="B806" s="23"/>
      <c r="C806" s="23"/>
      <c r="D806" s="23"/>
      <c r="E806" s="68"/>
      <c r="F806" s="68"/>
      <c r="G806" s="110"/>
      <c r="H806" s="110"/>
      <c r="I806" s="68"/>
      <c r="J806" s="68"/>
      <c r="K806" s="110"/>
      <c r="L806" s="110"/>
      <c r="M806" s="68"/>
      <c r="N806" s="68"/>
      <c r="O806" s="110"/>
      <c r="P806" s="110"/>
      <c r="Q806" s="68"/>
      <c r="R806" s="68"/>
      <c r="S806" s="110"/>
      <c r="T806" s="110"/>
      <c r="U806" s="68"/>
      <c r="V806" s="68"/>
      <c r="W806" s="110"/>
      <c r="X806" s="110"/>
      <c r="Y806" s="110"/>
      <c r="Z806" s="110"/>
      <c r="AA806" s="110"/>
      <c r="AB806" s="110"/>
      <c r="AC806" s="114"/>
      <c r="AD806" s="68"/>
      <c r="AE806" s="110"/>
      <c r="AF806" s="110"/>
      <c r="AG806" s="68"/>
      <c r="AH806" s="68"/>
      <c r="AI806" s="110"/>
      <c r="AJ806" s="110"/>
      <c r="AK806" s="68"/>
      <c r="AL806" s="68"/>
      <c r="AM806" s="110"/>
      <c r="AN806" s="110"/>
      <c r="AO806" s="68"/>
      <c r="AP806" s="68"/>
      <c r="AQ806" s="40"/>
      <c r="AR806" s="40"/>
      <c r="AS806" s="23"/>
    </row>
    <row r="807" spans="1:45" ht="15.75" x14ac:dyDescent="0.25">
      <c r="A807" s="44"/>
      <c r="B807" s="23"/>
      <c r="C807" s="23"/>
      <c r="D807" s="23"/>
      <c r="E807" s="68"/>
      <c r="F807" s="68"/>
      <c r="G807" s="110"/>
      <c r="H807" s="110"/>
      <c r="I807" s="68"/>
      <c r="J807" s="68"/>
      <c r="K807" s="110"/>
      <c r="L807" s="110"/>
      <c r="M807" s="68"/>
      <c r="N807" s="68"/>
      <c r="O807" s="110"/>
      <c r="P807" s="110"/>
      <c r="Q807" s="68"/>
      <c r="R807" s="68"/>
      <c r="S807" s="110"/>
      <c r="T807" s="110"/>
      <c r="U807" s="68"/>
      <c r="V807" s="68"/>
      <c r="W807" s="110"/>
      <c r="X807" s="110"/>
      <c r="Y807" s="110"/>
      <c r="Z807" s="110"/>
      <c r="AA807" s="110"/>
      <c r="AB807" s="110"/>
      <c r="AC807" s="114"/>
      <c r="AD807" s="68"/>
      <c r="AE807" s="110"/>
      <c r="AF807" s="110"/>
      <c r="AG807" s="68"/>
      <c r="AH807" s="68"/>
      <c r="AI807" s="110"/>
      <c r="AJ807" s="110"/>
      <c r="AK807" s="68"/>
      <c r="AL807" s="68"/>
      <c r="AM807" s="110"/>
      <c r="AN807" s="110"/>
      <c r="AO807" s="68"/>
      <c r="AP807" s="68"/>
      <c r="AQ807" s="40"/>
      <c r="AR807" s="40"/>
      <c r="AS807" s="23"/>
    </row>
    <row r="808" spans="1:45" ht="15.75" x14ac:dyDescent="0.25">
      <c r="A808" s="44"/>
      <c r="B808" s="23"/>
      <c r="C808" s="23"/>
      <c r="D808" s="23"/>
      <c r="E808" s="68"/>
      <c r="F808" s="68"/>
      <c r="G808" s="110"/>
      <c r="H808" s="110"/>
      <c r="I808" s="68"/>
      <c r="J808" s="68"/>
      <c r="K808" s="110"/>
      <c r="L808" s="110"/>
      <c r="M808" s="68"/>
      <c r="N808" s="68"/>
      <c r="O808" s="110"/>
      <c r="P808" s="110"/>
      <c r="Q808" s="68"/>
      <c r="R808" s="68"/>
      <c r="S808" s="110"/>
      <c r="T808" s="110"/>
      <c r="U808" s="68"/>
      <c r="V808" s="68"/>
      <c r="W808" s="110"/>
      <c r="X808" s="110"/>
      <c r="Y808" s="110"/>
      <c r="Z808" s="110"/>
      <c r="AA808" s="110"/>
      <c r="AB808" s="110"/>
      <c r="AC808" s="114"/>
      <c r="AD808" s="68"/>
      <c r="AE808" s="110"/>
      <c r="AF808" s="110"/>
      <c r="AG808" s="68"/>
      <c r="AH808" s="68"/>
      <c r="AI808" s="110"/>
      <c r="AJ808" s="110"/>
      <c r="AK808" s="68"/>
      <c r="AL808" s="68"/>
      <c r="AM808" s="110"/>
      <c r="AN808" s="110"/>
      <c r="AO808" s="68"/>
      <c r="AP808" s="68"/>
      <c r="AQ808" s="40"/>
      <c r="AR808" s="40"/>
      <c r="AS808" s="23"/>
    </row>
    <row r="809" spans="1:45" ht="15.75" x14ac:dyDescent="0.25">
      <c r="A809" s="44"/>
      <c r="B809" s="23"/>
      <c r="C809" s="23"/>
      <c r="D809" s="23"/>
      <c r="E809" s="68"/>
      <c r="F809" s="68"/>
      <c r="G809" s="110"/>
      <c r="H809" s="110"/>
      <c r="I809" s="68"/>
      <c r="J809" s="68"/>
      <c r="K809" s="110"/>
      <c r="L809" s="110"/>
      <c r="M809" s="68"/>
      <c r="N809" s="68"/>
      <c r="O809" s="110"/>
      <c r="P809" s="110"/>
      <c r="Q809" s="68"/>
      <c r="R809" s="68"/>
      <c r="S809" s="110"/>
      <c r="T809" s="110"/>
      <c r="U809" s="68"/>
      <c r="V809" s="68"/>
      <c r="W809" s="110"/>
      <c r="X809" s="110"/>
      <c r="Y809" s="110"/>
      <c r="Z809" s="110"/>
      <c r="AA809" s="110"/>
      <c r="AB809" s="110"/>
      <c r="AC809" s="114"/>
      <c r="AD809" s="68"/>
      <c r="AE809" s="110"/>
      <c r="AF809" s="110"/>
      <c r="AG809" s="68"/>
      <c r="AH809" s="68"/>
      <c r="AI809" s="110"/>
      <c r="AJ809" s="110"/>
      <c r="AK809" s="68"/>
      <c r="AL809" s="68"/>
      <c r="AM809" s="110"/>
      <c r="AN809" s="110"/>
      <c r="AO809" s="68"/>
      <c r="AP809" s="68"/>
      <c r="AQ809" s="40"/>
      <c r="AR809" s="40"/>
      <c r="AS809" s="23"/>
    </row>
    <row r="810" spans="1:45" ht="15.75" x14ac:dyDescent="0.25">
      <c r="A810" s="44"/>
      <c r="B810" s="23"/>
      <c r="C810" s="23"/>
      <c r="D810" s="23"/>
      <c r="E810" s="68"/>
      <c r="F810" s="68"/>
      <c r="G810" s="110"/>
      <c r="H810" s="110"/>
      <c r="I810" s="68"/>
      <c r="J810" s="68"/>
      <c r="K810" s="110"/>
      <c r="L810" s="110"/>
      <c r="M810" s="68"/>
      <c r="N810" s="68"/>
      <c r="O810" s="110"/>
      <c r="P810" s="110"/>
      <c r="Q810" s="68"/>
      <c r="R810" s="68"/>
      <c r="S810" s="110"/>
      <c r="T810" s="110"/>
      <c r="U810" s="68"/>
      <c r="V810" s="68"/>
      <c r="W810" s="110"/>
      <c r="X810" s="110"/>
      <c r="Y810" s="110"/>
      <c r="Z810" s="110"/>
      <c r="AA810" s="110"/>
      <c r="AB810" s="110"/>
      <c r="AC810" s="114"/>
      <c r="AD810" s="68"/>
      <c r="AE810" s="110"/>
      <c r="AF810" s="110"/>
      <c r="AG810" s="68"/>
      <c r="AH810" s="68"/>
      <c r="AI810" s="110"/>
      <c r="AJ810" s="110"/>
      <c r="AK810" s="68"/>
      <c r="AL810" s="68"/>
      <c r="AM810" s="110"/>
      <c r="AN810" s="110"/>
      <c r="AO810" s="68"/>
      <c r="AP810" s="68"/>
      <c r="AQ810" s="40"/>
      <c r="AR810" s="40"/>
      <c r="AS810" s="23"/>
    </row>
    <row r="811" spans="1:45" ht="15.75" x14ac:dyDescent="0.25">
      <c r="A811" s="44"/>
      <c r="B811" s="23"/>
      <c r="C811" s="23"/>
      <c r="D811" s="23"/>
      <c r="E811" s="68"/>
      <c r="F811" s="68"/>
      <c r="G811" s="110"/>
      <c r="H811" s="110"/>
      <c r="I811" s="68"/>
      <c r="J811" s="68"/>
      <c r="K811" s="110"/>
      <c r="L811" s="110"/>
      <c r="M811" s="68"/>
      <c r="N811" s="68"/>
      <c r="O811" s="110"/>
      <c r="P811" s="110"/>
      <c r="Q811" s="68"/>
      <c r="R811" s="68"/>
      <c r="S811" s="110"/>
      <c r="T811" s="110"/>
      <c r="U811" s="68"/>
      <c r="V811" s="68"/>
      <c r="W811" s="110"/>
      <c r="X811" s="110"/>
      <c r="Y811" s="110"/>
      <c r="Z811" s="110"/>
      <c r="AA811" s="110"/>
      <c r="AB811" s="110"/>
      <c r="AC811" s="114"/>
      <c r="AD811" s="68"/>
      <c r="AE811" s="110"/>
      <c r="AF811" s="110"/>
      <c r="AG811" s="68"/>
      <c r="AH811" s="68"/>
      <c r="AI811" s="110"/>
      <c r="AJ811" s="110"/>
      <c r="AK811" s="68"/>
      <c r="AL811" s="68"/>
      <c r="AM811" s="110"/>
      <c r="AN811" s="110"/>
      <c r="AO811" s="68"/>
      <c r="AP811" s="68"/>
      <c r="AQ811" s="40"/>
      <c r="AR811" s="40"/>
      <c r="AS811" s="23"/>
    </row>
    <row r="812" spans="1:45" ht="15.75" x14ac:dyDescent="0.25">
      <c r="A812" s="44"/>
      <c r="B812" s="23"/>
      <c r="C812" s="23"/>
      <c r="D812" s="23"/>
      <c r="E812" s="68"/>
      <c r="F812" s="68"/>
      <c r="G812" s="110"/>
      <c r="H812" s="110"/>
      <c r="I812" s="68"/>
      <c r="J812" s="68"/>
      <c r="K812" s="110"/>
      <c r="L812" s="110"/>
      <c r="M812" s="68"/>
      <c r="N812" s="68"/>
      <c r="O812" s="110"/>
      <c r="P812" s="110"/>
      <c r="Q812" s="68"/>
      <c r="R812" s="68"/>
      <c r="S812" s="110"/>
      <c r="T812" s="110"/>
      <c r="U812" s="68"/>
      <c r="V812" s="68"/>
      <c r="W812" s="110"/>
      <c r="X812" s="110"/>
      <c r="Y812" s="110"/>
      <c r="Z812" s="110"/>
      <c r="AA812" s="110"/>
      <c r="AB812" s="110"/>
      <c r="AC812" s="114"/>
      <c r="AD812" s="68"/>
      <c r="AE812" s="110"/>
      <c r="AF812" s="110"/>
      <c r="AG812" s="68"/>
      <c r="AH812" s="68"/>
      <c r="AI812" s="110"/>
      <c r="AJ812" s="110"/>
      <c r="AK812" s="68"/>
      <c r="AL812" s="68"/>
      <c r="AM812" s="110"/>
      <c r="AN812" s="110"/>
      <c r="AO812" s="68"/>
      <c r="AP812" s="68"/>
      <c r="AQ812" s="40"/>
      <c r="AR812" s="40"/>
      <c r="AS812" s="23"/>
    </row>
    <row r="813" spans="1:45" ht="15.75" x14ac:dyDescent="0.25">
      <c r="A813" s="44"/>
      <c r="B813" s="23"/>
      <c r="C813" s="23"/>
      <c r="D813" s="23"/>
      <c r="E813" s="68"/>
      <c r="F813" s="68"/>
      <c r="G813" s="110"/>
      <c r="H813" s="110"/>
      <c r="I813" s="68"/>
      <c r="J813" s="68"/>
      <c r="K813" s="110"/>
      <c r="L813" s="110"/>
      <c r="M813" s="68"/>
      <c r="N813" s="68"/>
      <c r="O813" s="110"/>
      <c r="P813" s="110"/>
      <c r="Q813" s="68"/>
      <c r="R813" s="68"/>
      <c r="S813" s="110"/>
      <c r="T813" s="110"/>
      <c r="U813" s="68"/>
      <c r="V813" s="68"/>
      <c r="W813" s="110"/>
      <c r="X813" s="110"/>
      <c r="Y813" s="110"/>
      <c r="Z813" s="110"/>
      <c r="AA813" s="110"/>
      <c r="AB813" s="110"/>
      <c r="AC813" s="114"/>
      <c r="AD813" s="68"/>
      <c r="AE813" s="110"/>
      <c r="AF813" s="110"/>
      <c r="AG813" s="68"/>
      <c r="AH813" s="68"/>
      <c r="AI813" s="110"/>
      <c r="AJ813" s="110"/>
      <c r="AK813" s="68"/>
      <c r="AL813" s="68"/>
      <c r="AM813" s="110"/>
      <c r="AN813" s="110"/>
      <c r="AO813" s="68"/>
      <c r="AP813" s="68"/>
      <c r="AQ813" s="40"/>
      <c r="AR813" s="40"/>
      <c r="AS813" s="23"/>
    </row>
    <row r="814" spans="1:45" ht="15.75" x14ac:dyDescent="0.25">
      <c r="A814" s="44"/>
      <c r="B814" s="23"/>
      <c r="C814" s="23"/>
      <c r="D814" s="23"/>
      <c r="E814" s="68"/>
      <c r="F814" s="68"/>
      <c r="G814" s="110"/>
      <c r="H814" s="110"/>
      <c r="I814" s="68"/>
      <c r="J814" s="68"/>
      <c r="K814" s="110"/>
      <c r="L814" s="110"/>
      <c r="M814" s="68"/>
      <c r="N814" s="68"/>
      <c r="O814" s="110"/>
      <c r="P814" s="110"/>
      <c r="Q814" s="68"/>
      <c r="R814" s="68"/>
      <c r="S814" s="110"/>
      <c r="T814" s="110"/>
      <c r="U814" s="68"/>
      <c r="V814" s="68"/>
      <c r="W814" s="110"/>
      <c r="X814" s="110"/>
      <c r="Y814" s="110"/>
      <c r="Z814" s="110"/>
      <c r="AA814" s="110"/>
      <c r="AB814" s="110"/>
      <c r="AC814" s="114"/>
      <c r="AD814" s="68"/>
      <c r="AE814" s="110"/>
      <c r="AF814" s="110"/>
      <c r="AG814" s="68"/>
      <c r="AH814" s="68"/>
      <c r="AI814" s="110"/>
      <c r="AJ814" s="110"/>
      <c r="AK814" s="68"/>
      <c r="AL814" s="68"/>
      <c r="AM814" s="110"/>
      <c r="AN814" s="110"/>
      <c r="AO814" s="68"/>
      <c r="AP814" s="68"/>
      <c r="AQ814" s="40"/>
      <c r="AR814" s="40"/>
      <c r="AS814" s="23"/>
    </row>
    <row r="815" spans="1:45" ht="15.75" x14ac:dyDescent="0.25">
      <c r="A815" s="44"/>
      <c r="B815" s="23"/>
      <c r="C815" s="23"/>
      <c r="D815" s="23"/>
      <c r="E815" s="68"/>
      <c r="F815" s="68"/>
      <c r="G815" s="110"/>
      <c r="H815" s="110"/>
      <c r="I815" s="68"/>
      <c r="J815" s="68"/>
      <c r="K815" s="110"/>
      <c r="L815" s="110"/>
      <c r="M815" s="68"/>
      <c r="N815" s="68"/>
      <c r="O815" s="110"/>
      <c r="P815" s="110"/>
      <c r="Q815" s="68"/>
      <c r="R815" s="68"/>
      <c r="S815" s="110"/>
      <c r="T815" s="110"/>
      <c r="U815" s="68"/>
      <c r="V815" s="68"/>
      <c r="W815" s="110"/>
      <c r="X815" s="110"/>
      <c r="Y815" s="110"/>
      <c r="Z815" s="110"/>
      <c r="AA815" s="110"/>
      <c r="AB815" s="110"/>
      <c r="AC815" s="114"/>
      <c r="AD815" s="68"/>
      <c r="AE815" s="110"/>
      <c r="AF815" s="110"/>
      <c r="AG815" s="68"/>
      <c r="AH815" s="68"/>
      <c r="AI815" s="110"/>
      <c r="AJ815" s="110"/>
      <c r="AK815" s="68"/>
      <c r="AL815" s="68"/>
      <c r="AM815" s="110"/>
      <c r="AN815" s="110"/>
      <c r="AO815" s="68"/>
      <c r="AP815" s="68"/>
      <c r="AQ815" s="40"/>
      <c r="AR815" s="40"/>
      <c r="AS815" s="23"/>
    </row>
    <row r="816" spans="1:45" ht="15.75" x14ac:dyDescent="0.25">
      <c r="A816" s="44"/>
      <c r="B816" s="23"/>
      <c r="C816" s="23"/>
      <c r="D816" s="23"/>
      <c r="E816" s="68"/>
      <c r="F816" s="68"/>
      <c r="G816" s="110"/>
      <c r="H816" s="110"/>
      <c r="I816" s="68"/>
      <c r="J816" s="68"/>
      <c r="K816" s="110"/>
      <c r="L816" s="110"/>
      <c r="M816" s="68"/>
      <c r="N816" s="68"/>
      <c r="O816" s="110"/>
      <c r="P816" s="110"/>
      <c r="Q816" s="68"/>
      <c r="R816" s="68"/>
      <c r="S816" s="110"/>
      <c r="T816" s="110"/>
      <c r="U816" s="68"/>
      <c r="V816" s="68"/>
      <c r="W816" s="110"/>
      <c r="X816" s="110"/>
      <c r="Y816" s="110"/>
      <c r="Z816" s="110"/>
      <c r="AA816" s="110"/>
      <c r="AB816" s="110"/>
      <c r="AC816" s="114"/>
      <c r="AD816" s="68"/>
      <c r="AE816" s="110"/>
      <c r="AF816" s="110"/>
      <c r="AG816" s="68"/>
      <c r="AH816" s="68"/>
      <c r="AI816" s="110"/>
      <c r="AJ816" s="110"/>
      <c r="AK816" s="68"/>
      <c r="AL816" s="68"/>
      <c r="AM816" s="110"/>
      <c r="AN816" s="110"/>
      <c r="AO816" s="68"/>
      <c r="AP816" s="68"/>
      <c r="AQ816" s="40"/>
      <c r="AR816" s="40"/>
      <c r="AS816" s="23"/>
    </row>
    <row r="817" spans="1:45" ht="15.75" x14ac:dyDescent="0.25">
      <c r="A817" s="44"/>
      <c r="B817" s="23"/>
      <c r="C817" s="23"/>
      <c r="D817" s="23"/>
      <c r="E817" s="68"/>
      <c r="F817" s="68"/>
      <c r="G817" s="110"/>
      <c r="H817" s="110"/>
      <c r="I817" s="68"/>
      <c r="J817" s="68"/>
      <c r="K817" s="110"/>
      <c r="L817" s="110"/>
      <c r="M817" s="68"/>
      <c r="N817" s="68"/>
      <c r="O817" s="110"/>
      <c r="P817" s="110"/>
      <c r="Q817" s="68"/>
      <c r="R817" s="68"/>
      <c r="S817" s="110"/>
      <c r="T817" s="110"/>
      <c r="U817" s="68"/>
      <c r="V817" s="68"/>
      <c r="W817" s="110"/>
      <c r="X817" s="110"/>
      <c r="Y817" s="110"/>
      <c r="Z817" s="110"/>
      <c r="AA817" s="110"/>
      <c r="AB817" s="110"/>
      <c r="AC817" s="114"/>
      <c r="AD817" s="68"/>
      <c r="AE817" s="110"/>
      <c r="AF817" s="110"/>
      <c r="AG817" s="68"/>
      <c r="AH817" s="68"/>
      <c r="AI817" s="110"/>
      <c r="AJ817" s="110"/>
      <c r="AK817" s="68"/>
      <c r="AL817" s="68"/>
      <c r="AM817" s="110"/>
      <c r="AN817" s="110"/>
      <c r="AO817" s="68"/>
      <c r="AP817" s="68"/>
      <c r="AQ817" s="40"/>
      <c r="AR817" s="40"/>
      <c r="AS817" s="23"/>
    </row>
    <row r="818" spans="1:45" ht="15.75" x14ac:dyDescent="0.25">
      <c r="A818" s="44"/>
      <c r="B818" s="23"/>
      <c r="C818" s="23"/>
      <c r="D818" s="23"/>
      <c r="E818" s="68"/>
      <c r="F818" s="68"/>
      <c r="G818" s="110"/>
      <c r="H818" s="110"/>
      <c r="I818" s="68"/>
      <c r="J818" s="68"/>
      <c r="K818" s="110"/>
      <c r="L818" s="110"/>
      <c r="M818" s="68"/>
      <c r="N818" s="68"/>
      <c r="O818" s="110"/>
      <c r="P818" s="110"/>
      <c r="Q818" s="68"/>
      <c r="R818" s="68"/>
      <c r="S818" s="110"/>
      <c r="T818" s="110"/>
      <c r="U818" s="68"/>
      <c r="V818" s="68"/>
      <c r="W818" s="110"/>
      <c r="X818" s="110"/>
      <c r="Y818" s="110"/>
      <c r="Z818" s="110"/>
      <c r="AA818" s="110"/>
      <c r="AB818" s="110"/>
      <c r="AC818" s="114"/>
      <c r="AD818" s="68"/>
      <c r="AE818" s="110"/>
      <c r="AF818" s="110"/>
      <c r="AG818" s="68"/>
      <c r="AH818" s="68"/>
      <c r="AI818" s="110"/>
      <c r="AJ818" s="110"/>
      <c r="AK818" s="68"/>
      <c r="AL818" s="68"/>
      <c r="AM818" s="110"/>
      <c r="AN818" s="110"/>
      <c r="AO818" s="68"/>
      <c r="AP818" s="68"/>
      <c r="AQ818" s="40"/>
      <c r="AR818" s="40"/>
      <c r="AS818" s="23"/>
    </row>
    <row r="819" spans="1:45" ht="15.75" x14ac:dyDescent="0.25">
      <c r="A819" s="44"/>
      <c r="B819" s="23"/>
      <c r="C819" s="23"/>
      <c r="D819" s="23"/>
      <c r="E819" s="68"/>
      <c r="F819" s="68"/>
      <c r="G819" s="110"/>
      <c r="H819" s="110"/>
      <c r="I819" s="68"/>
      <c r="J819" s="68"/>
      <c r="K819" s="110"/>
      <c r="L819" s="110"/>
      <c r="M819" s="68"/>
      <c r="N819" s="68"/>
      <c r="O819" s="110"/>
      <c r="P819" s="110"/>
      <c r="Q819" s="68"/>
      <c r="R819" s="68"/>
      <c r="S819" s="110"/>
      <c r="T819" s="110"/>
      <c r="U819" s="68"/>
      <c r="V819" s="68"/>
      <c r="W819" s="110"/>
      <c r="X819" s="110"/>
      <c r="Y819" s="110"/>
      <c r="Z819" s="110"/>
      <c r="AA819" s="110"/>
      <c r="AB819" s="110"/>
      <c r="AC819" s="114"/>
      <c r="AD819" s="68"/>
      <c r="AE819" s="110"/>
      <c r="AF819" s="110"/>
      <c r="AG819" s="68"/>
      <c r="AH819" s="68"/>
      <c r="AI819" s="110"/>
      <c r="AJ819" s="110"/>
      <c r="AK819" s="68"/>
      <c r="AL819" s="68"/>
      <c r="AM819" s="110"/>
      <c r="AN819" s="110"/>
      <c r="AO819" s="68"/>
      <c r="AP819" s="68"/>
      <c r="AQ819" s="40"/>
      <c r="AR819" s="40"/>
      <c r="AS819" s="23"/>
    </row>
    <row r="820" spans="1:45" ht="15.75" x14ac:dyDescent="0.25">
      <c r="A820" s="44"/>
      <c r="B820" s="23"/>
      <c r="C820" s="23"/>
      <c r="D820" s="23"/>
      <c r="E820" s="68"/>
      <c r="F820" s="68"/>
      <c r="G820" s="110"/>
      <c r="H820" s="110"/>
      <c r="I820" s="68"/>
      <c r="J820" s="68"/>
      <c r="K820" s="110"/>
      <c r="L820" s="110"/>
      <c r="M820" s="68"/>
      <c r="N820" s="68"/>
      <c r="O820" s="110"/>
      <c r="P820" s="110"/>
      <c r="Q820" s="68"/>
      <c r="R820" s="68"/>
      <c r="S820" s="110"/>
      <c r="T820" s="110"/>
      <c r="U820" s="68"/>
      <c r="V820" s="68"/>
      <c r="W820" s="110"/>
      <c r="X820" s="110"/>
      <c r="Y820" s="110"/>
      <c r="Z820" s="110"/>
      <c r="AA820" s="110"/>
      <c r="AB820" s="110"/>
      <c r="AC820" s="114"/>
      <c r="AD820" s="68"/>
      <c r="AE820" s="110"/>
      <c r="AF820" s="110"/>
      <c r="AG820" s="68"/>
      <c r="AH820" s="68"/>
      <c r="AI820" s="110"/>
      <c r="AJ820" s="110"/>
      <c r="AK820" s="68"/>
      <c r="AL820" s="68"/>
      <c r="AM820" s="110"/>
      <c r="AN820" s="110"/>
      <c r="AO820" s="68"/>
      <c r="AP820" s="68"/>
      <c r="AQ820" s="40"/>
      <c r="AR820" s="40"/>
      <c r="AS820" s="23"/>
    </row>
    <row r="821" spans="1:45" ht="15.75" x14ac:dyDescent="0.25">
      <c r="A821" s="44"/>
      <c r="B821" s="23"/>
      <c r="C821" s="23"/>
      <c r="D821" s="23"/>
      <c r="E821" s="68"/>
      <c r="F821" s="68"/>
      <c r="G821" s="110"/>
      <c r="H821" s="110"/>
      <c r="I821" s="68"/>
      <c r="J821" s="68"/>
      <c r="K821" s="110"/>
      <c r="L821" s="110"/>
      <c r="M821" s="68"/>
      <c r="N821" s="68"/>
      <c r="O821" s="110"/>
      <c r="P821" s="110"/>
      <c r="Q821" s="68"/>
      <c r="R821" s="68"/>
      <c r="S821" s="110"/>
      <c r="T821" s="110"/>
      <c r="U821" s="68"/>
      <c r="V821" s="68"/>
      <c r="W821" s="110"/>
      <c r="X821" s="110"/>
      <c r="Y821" s="110"/>
      <c r="Z821" s="110"/>
      <c r="AA821" s="110"/>
      <c r="AB821" s="110"/>
      <c r="AC821" s="114"/>
      <c r="AD821" s="68"/>
      <c r="AE821" s="110"/>
      <c r="AF821" s="110"/>
      <c r="AG821" s="68"/>
      <c r="AH821" s="68"/>
      <c r="AI821" s="110"/>
      <c r="AJ821" s="110"/>
      <c r="AK821" s="68"/>
      <c r="AL821" s="68"/>
      <c r="AM821" s="110"/>
      <c r="AN821" s="110"/>
      <c r="AO821" s="68"/>
      <c r="AP821" s="68"/>
      <c r="AQ821" s="40"/>
      <c r="AR821" s="40"/>
      <c r="AS821" s="23"/>
    </row>
    <row r="822" spans="1:45" ht="15.75" x14ac:dyDescent="0.25">
      <c r="A822" s="44"/>
      <c r="B822" s="23"/>
      <c r="C822" s="23"/>
      <c r="D822" s="23"/>
      <c r="E822" s="68"/>
      <c r="F822" s="68"/>
      <c r="G822" s="110"/>
      <c r="H822" s="110"/>
      <c r="I822" s="68"/>
      <c r="J822" s="68"/>
      <c r="K822" s="110"/>
      <c r="L822" s="110"/>
      <c r="M822" s="68"/>
      <c r="N822" s="68"/>
      <c r="O822" s="110"/>
      <c r="P822" s="110"/>
      <c r="Q822" s="68"/>
      <c r="R822" s="68"/>
      <c r="S822" s="110"/>
      <c r="T822" s="110"/>
      <c r="U822" s="68"/>
      <c r="V822" s="68"/>
      <c r="W822" s="110"/>
      <c r="X822" s="110"/>
      <c r="Y822" s="110"/>
      <c r="Z822" s="110"/>
      <c r="AA822" s="110"/>
      <c r="AB822" s="110"/>
      <c r="AC822" s="114"/>
      <c r="AD822" s="68"/>
      <c r="AE822" s="110"/>
      <c r="AF822" s="110"/>
      <c r="AG822" s="68"/>
      <c r="AH822" s="68"/>
      <c r="AI822" s="110"/>
      <c r="AJ822" s="110"/>
      <c r="AK822" s="68"/>
      <c r="AL822" s="68"/>
      <c r="AM822" s="110"/>
      <c r="AN822" s="110"/>
      <c r="AO822" s="68"/>
      <c r="AP822" s="68"/>
      <c r="AQ822" s="40"/>
      <c r="AR822" s="40"/>
      <c r="AS822" s="23"/>
    </row>
    <row r="823" spans="1:45" ht="15.75" x14ac:dyDescent="0.25">
      <c r="A823" s="44"/>
      <c r="B823" s="23"/>
      <c r="C823" s="23"/>
      <c r="D823" s="23"/>
      <c r="E823" s="68"/>
      <c r="F823" s="68"/>
      <c r="G823" s="110"/>
      <c r="H823" s="110"/>
      <c r="I823" s="68"/>
      <c r="J823" s="68"/>
      <c r="K823" s="110"/>
      <c r="L823" s="110"/>
      <c r="M823" s="68"/>
      <c r="N823" s="68"/>
      <c r="O823" s="110"/>
      <c r="P823" s="110"/>
      <c r="Q823" s="68"/>
      <c r="R823" s="68"/>
      <c r="S823" s="110"/>
      <c r="T823" s="110"/>
      <c r="U823" s="68"/>
      <c r="V823" s="68"/>
      <c r="W823" s="110"/>
      <c r="X823" s="110"/>
      <c r="Y823" s="110"/>
      <c r="Z823" s="110"/>
      <c r="AA823" s="110"/>
      <c r="AB823" s="110"/>
      <c r="AC823" s="114"/>
      <c r="AD823" s="68"/>
      <c r="AE823" s="110"/>
      <c r="AF823" s="110"/>
      <c r="AG823" s="68"/>
      <c r="AH823" s="68"/>
      <c r="AI823" s="110"/>
      <c r="AJ823" s="110"/>
      <c r="AK823" s="68"/>
      <c r="AL823" s="68"/>
      <c r="AM823" s="110"/>
      <c r="AN823" s="110"/>
      <c r="AO823" s="68"/>
      <c r="AP823" s="68"/>
      <c r="AQ823" s="40"/>
      <c r="AR823" s="40"/>
      <c r="AS823" s="23"/>
    </row>
    <row r="824" spans="1:45" ht="15.75" x14ac:dyDescent="0.25">
      <c r="A824" s="44"/>
      <c r="B824" s="23"/>
      <c r="C824" s="23"/>
      <c r="D824" s="23"/>
      <c r="E824" s="68"/>
      <c r="F824" s="68"/>
      <c r="G824" s="110"/>
      <c r="H824" s="110"/>
      <c r="I824" s="68"/>
      <c r="J824" s="68"/>
      <c r="K824" s="110"/>
      <c r="L824" s="110"/>
      <c r="M824" s="68"/>
      <c r="N824" s="68"/>
      <c r="O824" s="110"/>
      <c r="P824" s="110"/>
      <c r="Q824" s="68"/>
      <c r="R824" s="68"/>
      <c r="S824" s="110"/>
      <c r="T824" s="110"/>
      <c r="U824" s="68"/>
      <c r="V824" s="68"/>
      <c r="W824" s="110"/>
      <c r="X824" s="110"/>
      <c r="Y824" s="110"/>
      <c r="Z824" s="110"/>
      <c r="AA824" s="110"/>
      <c r="AB824" s="110"/>
      <c r="AC824" s="114"/>
      <c r="AD824" s="68"/>
      <c r="AE824" s="110"/>
      <c r="AF824" s="110"/>
      <c r="AG824" s="68"/>
      <c r="AH824" s="68"/>
      <c r="AI824" s="110"/>
      <c r="AJ824" s="110"/>
      <c r="AK824" s="68"/>
      <c r="AL824" s="68"/>
      <c r="AM824" s="110"/>
      <c r="AN824" s="110"/>
      <c r="AO824" s="68"/>
      <c r="AP824" s="68"/>
      <c r="AQ824" s="40"/>
      <c r="AR824" s="40"/>
      <c r="AS824" s="23"/>
    </row>
    <row r="825" spans="1:45" ht="15.75" x14ac:dyDescent="0.25">
      <c r="A825" s="44"/>
      <c r="B825" s="23"/>
      <c r="C825" s="23"/>
      <c r="D825" s="23"/>
      <c r="E825" s="68"/>
      <c r="F825" s="68"/>
      <c r="G825" s="110"/>
      <c r="H825" s="110"/>
      <c r="I825" s="68"/>
      <c r="J825" s="68"/>
      <c r="K825" s="110"/>
      <c r="L825" s="110"/>
      <c r="M825" s="68"/>
      <c r="N825" s="68"/>
      <c r="O825" s="110"/>
      <c r="P825" s="110"/>
      <c r="Q825" s="68"/>
      <c r="R825" s="68"/>
      <c r="S825" s="110"/>
      <c r="T825" s="110"/>
      <c r="U825" s="68"/>
      <c r="V825" s="68"/>
      <c r="W825" s="110"/>
      <c r="X825" s="110"/>
      <c r="Y825" s="110"/>
      <c r="Z825" s="110"/>
      <c r="AA825" s="110"/>
      <c r="AB825" s="110"/>
      <c r="AC825" s="114"/>
      <c r="AD825" s="68"/>
      <c r="AE825" s="110"/>
      <c r="AF825" s="110"/>
      <c r="AG825" s="68"/>
      <c r="AH825" s="68"/>
      <c r="AI825" s="110"/>
      <c r="AJ825" s="110"/>
      <c r="AK825" s="68"/>
      <c r="AL825" s="68"/>
      <c r="AM825" s="110"/>
      <c r="AN825" s="110"/>
      <c r="AO825" s="68"/>
      <c r="AP825" s="68"/>
      <c r="AQ825" s="40"/>
      <c r="AR825" s="40"/>
      <c r="AS825" s="23"/>
    </row>
    <row r="826" spans="1:45" ht="15.75" x14ac:dyDescent="0.25">
      <c r="A826" s="44"/>
      <c r="B826" s="23"/>
      <c r="C826" s="23"/>
      <c r="D826" s="23"/>
      <c r="E826" s="68"/>
      <c r="F826" s="68"/>
      <c r="G826" s="110"/>
      <c r="H826" s="110"/>
      <c r="I826" s="68"/>
      <c r="J826" s="68"/>
      <c r="K826" s="110"/>
      <c r="L826" s="110"/>
      <c r="M826" s="68"/>
      <c r="N826" s="68"/>
      <c r="O826" s="110"/>
      <c r="P826" s="110"/>
      <c r="Q826" s="68"/>
      <c r="R826" s="68"/>
      <c r="S826" s="110"/>
      <c r="T826" s="110"/>
      <c r="U826" s="68"/>
      <c r="V826" s="68"/>
      <c r="W826" s="110"/>
      <c r="X826" s="110"/>
      <c r="Y826" s="110"/>
      <c r="Z826" s="110"/>
      <c r="AA826" s="110"/>
      <c r="AB826" s="110"/>
      <c r="AC826" s="114"/>
      <c r="AD826" s="68"/>
      <c r="AE826" s="110"/>
      <c r="AF826" s="110"/>
      <c r="AG826" s="68"/>
      <c r="AH826" s="68"/>
      <c r="AI826" s="110"/>
      <c r="AJ826" s="110"/>
      <c r="AK826" s="68"/>
      <c r="AL826" s="68"/>
      <c r="AM826" s="110"/>
      <c r="AN826" s="110"/>
      <c r="AO826" s="68"/>
      <c r="AP826" s="68"/>
      <c r="AQ826" s="40"/>
      <c r="AR826" s="40"/>
      <c r="AS826" s="23"/>
    </row>
    <row r="827" spans="1:45" ht="15.75" x14ac:dyDescent="0.25">
      <c r="A827" s="44"/>
      <c r="B827" s="23"/>
      <c r="C827" s="23"/>
      <c r="D827" s="23"/>
      <c r="E827" s="68"/>
      <c r="F827" s="68"/>
      <c r="G827" s="110"/>
      <c r="H827" s="110"/>
      <c r="I827" s="68"/>
      <c r="J827" s="68"/>
      <c r="K827" s="110"/>
      <c r="L827" s="110"/>
      <c r="M827" s="68"/>
      <c r="N827" s="68"/>
      <c r="O827" s="110"/>
      <c r="P827" s="110"/>
      <c r="Q827" s="68"/>
      <c r="R827" s="68"/>
      <c r="S827" s="110"/>
      <c r="T827" s="110"/>
      <c r="U827" s="68"/>
      <c r="V827" s="68"/>
      <c r="W827" s="110"/>
      <c r="X827" s="110"/>
      <c r="Y827" s="110"/>
      <c r="Z827" s="110"/>
      <c r="AA827" s="110"/>
      <c r="AB827" s="110"/>
      <c r="AC827" s="114"/>
      <c r="AD827" s="68"/>
      <c r="AE827" s="110"/>
      <c r="AF827" s="110"/>
      <c r="AG827" s="68"/>
      <c r="AH827" s="68"/>
      <c r="AI827" s="110"/>
      <c r="AJ827" s="110"/>
      <c r="AK827" s="68"/>
      <c r="AL827" s="68"/>
      <c r="AM827" s="110"/>
      <c r="AN827" s="110"/>
      <c r="AO827" s="68"/>
      <c r="AP827" s="68"/>
      <c r="AQ827" s="40"/>
      <c r="AR827" s="40"/>
      <c r="AS827" s="23"/>
    </row>
    <row r="828" spans="1:45" ht="15.75" x14ac:dyDescent="0.25">
      <c r="A828" s="44"/>
      <c r="B828" s="23"/>
      <c r="C828" s="23"/>
      <c r="D828" s="23"/>
      <c r="E828" s="68"/>
      <c r="F828" s="68"/>
      <c r="G828" s="110"/>
      <c r="H828" s="110"/>
      <c r="I828" s="68"/>
      <c r="J828" s="68"/>
      <c r="K828" s="110"/>
      <c r="L828" s="110"/>
      <c r="M828" s="68"/>
      <c r="N828" s="68"/>
      <c r="O828" s="110"/>
      <c r="P828" s="110"/>
      <c r="Q828" s="68"/>
      <c r="R828" s="68"/>
      <c r="S828" s="110"/>
      <c r="T828" s="110"/>
      <c r="U828" s="68"/>
      <c r="V828" s="68"/>
      <c r="W828" s="110"/>
      <c r="X828" s="110"/>
      <c r="Y828" s="110"/>
      <c r="Z828" s="110"/>
      <c r="AA828" s="110"/>
      <c r="AB828" s="110"/>
      <c r="AC828" s="114"/>
      <c r="AD828" s="68"/>
      <c r="AE828" s="110"/>
      <c r="AF828" s="110"/>
      <c r="AG828" s="68"/>
      <c r="AH828" s="68"/>
      <c r="AI828" s="110"/>
      <c r="AJ828" s="110"/>
      <c r="AK828" s="68"/>
      <c r="AL828" s="68"/>
      <c r="AM828" s="110"/>
      <c r="AN828" s="110"/>
      <c r="AO828" s="68"/>
      <c r="AP828" s="68"/>
      <c r="AQ828" s="40"/>
      <c r="AR828" s="40"/>
      <c r="AS828" s="23"/>
    </row>
    <row r="829" spans="1:45" ht="15.75" x14ac:dyDescent="0.25">
      <c r="A829" s="44"/>
      <c r="B829" s="23"/>
      <c r="C829" s="23"/>
      <c r="D829" s="23"/>
      <c r="E829" s="68"/>
      <c r="F829" s="68"/>
      <c r="G829" s="110"/>
      <c r="H829" s="110"/>
      <c r="I829" s="68"/>
      <c r="J829" s="68"/>
      <c r="K829" s="110"/>
      <c r="L829" s="110"/>
      <c r="M829" s="68"/>
      <c r="N829" s="68"/>
      <c r="O829" s="110"/>
      <c r="P829" s="110"/>
      <c r="Q829" s="68"/>
      <c r="R829" s="68"/>
      <c r="S829" s="110"/>
      <c r="T829" s="110"/>
      <c r="U829" s="68"/>
      <c r="V829" s="68"/>
      <c r="W829" s="110"/>
      <c r="X829" s="110"/>
      <c r="Y829" s="110"/>
      <c r="Z829" s="110"/>
      <c r="AA829" s="110"/>
      <c r="AB829" s="110"/>
      <c r="AC829" s="114"/>
      <c r="AD829" s="68"/>
      <c r="AE829" s="110"/>
      <c r="AF829" s="110"/>
      <c r="AG829" s="68"/>
      <c r="AH829" s="68"/>
      <c r="AI829" s="110"/>
      <c r="AJ829" s="110"/>
      <c r="AK829" s="68"/>
      <c r="AL829" s="68"/>
      <c r="AM829" s="110"/>
      <c r="AN829" s="110"/>
      <c r="AO829" s="68"/>
      <c r="AP829" s="68"/>
      <c r="AQ829" s="40"/>
      <c r="AR829" s="40"/>
      <c r="AS829" s="23"/>
    </row>
    <row r="830" spans="1:45" ht="15.75" x14ac:dyDescent="0.25">
      <c r="A830" s="44"/>
      <c r="B830" s="23"/>
      <c r="C830" s="23"/>
      <c r="D830" s="23"/>
      <c r="E830" s="68"/>
      <c r="F830" s="68"/>
      <c r="G830" s="110"/>
      <c r="H830" s="110"/>
      <c r="I830" s="68"/>
      <c r="J830" s="68"/>
      <c r="K830" s="110"/>
      <c r="L830" s="110"/>
      <c r="M830" s="68"/>
      <c r="N830" s="68"/>
      <c r="O830" s="110"/>
      <c r="P830" s="110"/>
      <c r="Q830" s="68"/>
      <c r="R830" s="68"/>
      <c r="S830" s="110"/>
      <c r="T830" s="110"/>
      <c r="U830" s="68"/>
      <c r="V830" s="68"/>
      <c r="W830" s="110"/>
      <c r="X830" s="110"/>
      <c r="Y830" s="110"/>
      <c r="Z830" s="110"/>
      <c r="AA830" s="110"/>
      <c r="AB830" s="110"/>
      <c r="AC830" s="114"/>
      <c r="AD830" s="68"/>
      <c r="AE830" s="110"/>
      <c r="AF830" s="110"/>
      <c r="AG830" s="68"/>
      <c r="AH830" s="68"/>
      <c r="AI830" s="110"/>
      <c r="AJ830" s="110"/>
      <c r="AK830" s="68"/>
      <c r="AL830" s="68"/>
      <c r="AM830" s="110"/>
      <c r="AN830" s="110"/>
      <c r="AO830" s="68"/>
      <c r="AP830" s="68"/>
      <c r="AQ830" s="40"/>
      <c r="AR830" s="40"/>
      <c r="AS830" s="23"/>
    </row>
    <row r="831" spans="1:45" ht="15.75" x14ac:dyDescent="0.25">
      <c r="A831" s="44"/>
      <c r="B831" s="23"/>
      <c r="C831" s="23"/>
      <c r="D831" s="23"/>
      <c r="E831" s="68"/>
      <c r="F831" s="68"/>
      <c r="G831" s="110"/>
      <c r="H831" s="110"/>
      <c r="I831" s="68"/>
      <c r="J831" s="68"/>
      <c r="K831" s="110"/>
      <c r="L831" s="110"/>
      <c r="M831" s="68"/>
      <c r="N831" s="68"/>
      <c r="O831" s="110"/>
      <c r="P831" s="110"/>
      <c r="Q831" s="68"/>
      <c r="R831" s="68"/>
      <c r="S831" s="110"/>
      <c r="T831" s="110"/>
      <c r="U831" s="68"/>
      <c r="V831" s="68"/>
      <c r="W831" s="110"/>
      <c r="X831" s="110"/>
      <c r="Y831" s="110"/>
      <c r="Z831" s="110"/>
      <c r="AA831" s="110"/>
      <c r="AB831" s="110"/>
      <c r="AC831" s="114"/>
      <c r="AD831" s="68"/>
      <c r="AE831" s="110"/>
      <c r="AF831" s="110"/>
      <c r="AG831" s="68"/>
      <c r="AH831" s="68"/>
      <c r="AI831" s="110"/>
      <c r="AJ831" s="110"/>
      <c r="AK831" s="68"/>
      <c r="AL831" s="68"/>
      <c r="AM831" s="110"/>
      <c r="AN831" s="110"/>
      <c r="AO831" s="68"/>
      <c r="AP831" s="68"/>
      <c r="AQ831" s="40"/>
      <c r="AR831" s="40"/>
      <c r="AS831" s="23"/>
    </row>
    <row r="832" spans="1:45" ht="15.75" x14ac:dyDescent="0.25">
      <c r="A832" s="44"/>
      <c r="B832" s="23"/>
      <c r="C832" s="23"/>
      <c r="D832" s="23"/>
      <c r="E832" s="68"/>
      <c r="F832" s="68"/>
      <c r="G832" s="110"/>
      <c r="H832" s="110"/>
      <c r="I832" s="68"/>
      <c r="J832" s="68"/>
      <c r="K832" s="110"/>
      <c r="L832" s="110"/>
      <c r="M832" s="68"/>
      <c r="N832" s="68"/>
      <c r="O832" s="110"/>
      <c r="P832" s="110"/>
      <c r="Q832" s="68"/>
      <c r="R832" s="68"/>
      <c r="S832" s="110"/>
      <c r="T832" s="110"/>
      <c r="U832" s="68"/>
      <c r="V832" s="68"/>
      <c r="W832" s="110"/>
      <c r="X832" s="110"/>
      <c r="Y832" s="110"/>
      <c r="Z832" s="110"/>
      <c r="AA832" s="110"/>
      <c r="AB832" s="110"/>
      <c r="AC832" s="114"/>
      <c r="AD832" s="68"/>
      <c r="AE832" s="110"/>
      <c r="AF832" s="110"/>
      <c r="AG832" s="68"/>
      <c r="AH832" s="68"/>
      <c r="AI832" s="110"/>
      <c r="AJ832" s="110"/>
      <c r="AK832" s="68"/>
      <c r="AL832" s="68"/>
      <c r="AM832" s="110"/>
      <c r="AN832" s="110"/>
      <c r="AO832" s="68"/>
      <c r="AP832" s="68"/>
      <c r="AQ832" s="40"/>
      <c r="AR832" s="40"/>
      <c r="AS832" s="23"/>
    </row>
    <row r="833" spans="1:45" ht="15.75" x14ac:dyDescent="0.25">
      <c r="A833" s="44"/>
      <c r="B833" s="23"/>
      <c r="C833" s="23"/>
      <c r="D833" s="23"/>
      <c r="E833" s="68"/>
      <c r="F833" s="68"/>
      <c r="G833" s="110"/>
      <c r="H833" s="110"/>
      <c r="I833" s="68"/>
      <c r="J833" s="68"/>
      <c r="K833" s="110"/>
      <c r="L833" s="110"/>
      <c r="M833" s="68"/>
      <c r="N833" s="68"/>
      <c r="O833" s="110"/>
      <c r="P833" s="110"/>
      <c r="Q833" s="68"/>
      <c r="R833" s="68"/>
      <c r="S833" s="110"/>
      <c r="T833" s="110"/>
      <c r="U833" s="68"/>
      <c r="V833" s="68"/>
      <c r="W833" s="110"/>
      <c r="X833" s="110"/>
      <c r="Y833" s="110"/>
      <c r="Z833" s="110"/>
      <c r="AA833" s="110"/>
      <c r="AB833" s="110"/>
      <c r="AC833" s="114"/>
      <c r="AD833" s="68"/>
      <c r="AE833" s="110"/>
      <c r="AF833" s="110"/>
      <c r="AG833" s="68"/>
      <c r="AH833" s="68"/>
      <c r="AI833" s="110"/>
      <c r="AJ833" s="110"/>
      <c r="AK833" s="68"/>
      <c r="AL833" s="68"/>
      <c r="AM833" s="110"/>
      <c r="AN833" s="110"/>
      <c r="AO833" s="68"/>
      <c r="AP833" s="68"/>
      <c r="AQ833" s="40"/>
      <c r="AR833" s="40"/>
      <c r="AS833" s="23"/>
    </row>
    <row r="834" spans="1:45" ht="15.75" x14ac:dyDescent="0.25">
      <c r="A834" s="44"/>
      <c r="B834" s="23"/>
      <c r="C834" s="23"/>
      <c r="D834" s="23"/>
      <c r="E834" s="68"/>
      <c r="F834" s="68"/>
      <c r="G834" s="110"/>
      <c r="H834" s="110"/>
      <c r="I834" s="68"/>
      <c r="J834" s="68"/>
      <c r="K834" s="110"/>
      <c r="L834" s="110"/>
      <c r="M834" s="68"/>
      <c r="N834" s="68"/>
      <c r="O834" s="110"/>
      <c r="P834" s="110"/>
      <c r="Q834" s="68"/>
      <c r="R834" s="68"/>
      <c r="S834" s="110"/>
      <c r="T834" s="110"/>
      <c r="U834" s="68"/>
      <c r="V834" s="68"/>
      <c r="W834" s="110"/>
      <c r="X834" s="110"/>
      <c r="Y834" s="110"/>
      <c r="Z834" s="110"/>
      <c r="AA834" s="110"/>
      <c r="AB834" s="110"/>
      <c r="AC834" s="114"/>
      <c r="AD834" s="68"/>
      <c r="AE834" s="110"/>
      <c r="AF834" s="110"/>
      <c r="AG834" s="68"/>
      <c r="AH834" s="68"/>
      <c r="AI834" s="110"/>
      <c r="AJ834" s="110"/>
      <c r="AK834" s="68"/>
      <c r="AL834" s="68"/>
      <c r="AM834" s="110"/>
      <c r="AN834" s="110"/>
      <c r="AO834" s="68"/>
      <c r="AP834" s="68"/>
      <c r="AQ834" s="40"/>
      <c r="AR834" s="40"/>
      <c r="AS834" s="23"/>
    </row>
    <row r="835" spans="1:45" ht="15.75" x14ac:dyDescent="0.25">
      <c r="A835" s="44"/>
      <c r="B835" s="23"/>
      <c r="C835" s="23"/>
      <c r="D835" s="23"/>
      <c r="E835" s="68"/>
      <c r="F835" s="68"/>
      <c r="G835" s="110"/>
      <c r="H835" s="110"/>
      <c r="I835" s="68"/>
      <c r="J835" s="68"/>
      <c r="K835" s="110"/>
      <c r="L835" s="110"/>
      <c r="M835" s="68"/>
      <c r="N835" s="68"/>
      <c r="O835" s="110"/>
      <c r="P835" s="110"/>
      <c r="Q835" s="68"/>
      <c r="R835" s="68"/>
      <c r="S835" s="110"/>
      <c r="T835" s="110"/>
      <c r="U835" s="68"/>
      <c r="V835" s="68"/>
      <c r="W835" s="110"/>
      <c r="X835" s="110"/>
      <c r="Y835" s="110"/>
      <c r="Z835" s="110"/>
      <c r="AA835" s="110"/>
      <c r="AB835" s="110"/>
      <c r="AC835" s="114"/>
      <c r="AD835" s="68"/>
      <c r="AE835" s="110"/>
      <c r="AF835" s="110"/>
      <c r="AG835" s="68"/>
      <c r="AH835" s="68"/>
      <c r="AI835" s="110"/>
      <c r="AJ835" s="110"/>
      <c r="AK835" s="68"/>
      <c r="AL835" s="68"/>
      <c r="AM835" s="110"/>
      <c r="AN835" s="110"/>
      <c r="AO835" s="68"/>
      <c r="AP835" s="68"/>
      <c r="AQ835" s="40"/>
      <c r="AR835" s="40"/>
      <c r="AS835" s="23"/>
    </row>
    <row r="836" spans="1:45" ht="15.75" x14ac:dyDescent="0.25">
      <c r="A836" s="44"/>
      <c r="B836" s="23"/>
      <c r="C836" s="23"/>
      <c r="D836" s="23"/>
      <c r="E836" s="68"/>
      <c r="F836" s="68"/>
      <c r="G836" s="110"/>
      <c r="H836" s="110"/>
      <c r="I836" s="68"/>
      <c r="J836" s="68"/>
      <c r="K836" s="110"/>
      <c r="L836" s="110"/>
      <c r="M836" s="68"/>
      <c r="N836" s="68"/>
      <c r="O836" s="110"/>
      <c r="P836" s="110"/>
      <c r="Q836" s="68"/>
      <c r="R836" s="68"/>
      <c r="S836" s="110"/>
      <c r="T836" s="110"/>
      <c r="U836" s="68"/>
      <c r="V836" s="68"/>
      <c r="W836" s="110"/>
      <c r="X836" s="110"/>
      <c r="Y836" s="110"/>
      <c r="Z836" s="110"/>
      <c r="AA836" s="110"/>
      <c r="AB836" s="110"/>
      <c r="AC836" s="114"/>
      <c r="AD836" s="68"/>
      <c r="AE836" s="110"/>
      <c r="AF836" s="110"/>
      <c r="AG836" s="68"/>
      <c r="AH836" s="68"/>
      <c r="AI836" s="110"/>
      <c r="AJ836" s="110"/>
      <c r="AK836" s="68"/>
      <c r="AL836" s="68"/>
      <c r="AM836" s="110"/>
      <c r="AN836" s="110"/>
      <c r="AO836" s="68"/>
      <c r="AP836" s="68"/>
      <c r="AQ836" s="40"/>
      <c r="AR836" s="40"/>
      <c r="AS836" s="23"/>
    </row>
    <row r="837" spans="1:45" ht="15.75" x14ac:dyDescent="0.25">
      <c r="A837" s="44"/>
      <c r="B837" s="23"/>
      <c r="C837" s="23"/>
      <c r="D837" s="23"/>
      <c r="E837" s="68"/>
      <c r="F837" s="68"/>
      <c r="G837" s="110"/>
      <c r="H837" s="110"/>
      <c r="I837" s="68"/>
      <c r="J837" s="68"/>
      <c r="K837" s="110"/>
      <c r="L837" s="110"/>
      <c r="M837" s="68"/>
      <c r="N837" s="68"/>
      <c r="O837" s="110"/>
      <c r="P837" s="110"/>
      <c r="Q837" s="68"/>
      <c r="R837" s="68"/>
      <c r="S837" s="110"/>
      <c r="T837" s="110"/>
      <c r="U837" s="68"/>
      <c r="V837" s="68"/>
      <c r="W837" s="110"/>
      <c r="X837" s="110"/>
      <c r="Y837" s="110"/>
      <c r="Z837" s="110"/>
      <c r="AA837" s="110"/>
      <c r="AB837" s="110"/>
      <c r="AC837" s="114"/>
      <c r="AD837" s="68"/>
      <c r="AE837" s="110"/>
      <c r="AF837" s="110"/>
      <c r="AG837" s="68"/>
      <c r="AH837" s="68"/>
      <c r="AI837" s="110"/>
      <c r="AJ837" s="110"/>
      <c r="AK837" s="68"/>
      <c r="AL837" s="68"/>
      <c r="AM837" s="110"/>
      <c r="AN837" s="110"/>
      <c r="AO837" s="68"/>
      <c r="AP837" s="68"/>
      <c r="AQ837" s="40"/>
      <c r="AR837" s="40"/>
      <c r="AS837" s="23"/>
    </row>
    <row r="838" spans="1:45" ht="15.75" x14ac:dyDescent="0.25">
      <c r="A838" s="44"/>
      <c r="B838" s="23"/>
      <c r="C838" s="23"/>
      <c r="D838" s="23"/>
      <c r="E838" s="68"/>
      <c r="F838" s="68"/>
      <c r="G838" s="110"/>
      <c r="H838" s="110"/>
      <c r="I838" s="68"/>
      <c r="J838" s="68"/>
      <c r="K838" s="110"/>
      <c r="L838" s="110"/>
      <c r="M838" s="68"/>
      <c r="N838" s="68"/>
      <c r="O838" s="110"/>
      <c r="P838" s="110"/>
      <c r="Q838" s="68"/>
      <c r="R838" s="68"/>
      <c r="S838" s="110"/>
      <c r="T838" s="110"/>
      <c r="U838" s="68"/>
      <c r="V838" s="68"/>
      <c r="W838" s="110"/>
      <c r="X838" s="110"/>
      <c r="Y838" s="110"/>
      <c r="Z838" s="110"/>
      <c r="AA838" s="110"/>
      <c r="AB838" s="110"/>
      <c r="AC838" s="114"/>
      <c r="AD838" s="68"/>
      <c r="AE838" s="110"/>
      <c r="AF838" s="110"/>
      <c r="AG838" s="68"/>
      <c r="AH838" s="68"/>
      <c r="AI838" s="110"/>
      <c r="AJ838" s="110"/>
      <c r="AK838" s="68"/>
      <c r="AL838" s="68"/>
      <c r="AM838" s="110"/>
      <c r="AN838" s="110"/>
      <c r="AO838" s="68"/>
      <c r="AP838" s="68"/>
      <c r="AQ838" s="40"/>
      <c r="AR838" s="40"/>
      <c r="AS838" s="23"/>
    </row>
    <row r="839" spans="1:45" ht="15.75" x14ac:dyDescent="0.25">
      <c r="A839" s="44"/>
      <c r="B839" s="23"/>
      <c r="C839" s="23"/>
      <c r="D839" s="23"/>
      <c r="E839" s="68"/>
      <c r="F839" s="68"/>
      <c r="G839" s="110"/>
      <c r="H839" s="110"/>
      <c r="I839" s="68"/>
      <c r="J839" s="68"/>
      <c r="K839" s="110"/>
      <c r="L839" s="110"/>
      <c r="M839" s="68"/>
      <c r="N839" s="68"/>
      <c r="O839" s="110"/>
      <c r="P839" s="110"/>
      <c r="Q839" s="68"/>
      <c r="R839" s="68"/>
      <c r="S839" s="110"/>
      <c r="T839" s="110"/>
      <c r="U839" s="68"/>
      <c r="V839" s="68"/>
      <c r="W839" s="110"/>
      <c r="X839" s="110"/>
      <c r="Y839" s="110"/>
      <c r="Z839" s="110"/>
      <c r="AA839" s="110"/>
      <c r="AB839" s="110"/>
      <c r="AC839" s="114"/>
      <c r="AD839" s="68"/>
      <c r="AE839" s="110"/>
      <c r="AF839" s="110"/>
      <c r="AG839" s="68"/>
      <c r="AH839" s="68"/>
      <c r="AI839" s="110"/>
      <c r="AJ839" s="110"/>
      <c r="AK839" s="68"/>
      <c r="AL839" s="68"/>
      <c r="AM839" s="110"/>
      <c r="AN839" s="110"/>
      <c r="AO839" s="68"/>
      <c r="AP839" s="68"/>
      <c r="AQ839" s="40"/>
      <c r="AR839" s="40"/>
      <c r="AS839" s="23"/>
    </row>
    <row r="840" spans="1:45" ht="15.75" x14ac:dyDescent="0.25">
      <c r="A840" s="44"/>
      <c r="B840" s="23"/>
      <c r="C840" s="23"/>
      <c r="D840" s="23"/>
      <c r="E840" s="68"/>
      <c r="F840" s="68"/>
      <c r="G840" s="110"/>
      <c r="H840" s="110"/>
      <c r="I840" s="68"/>
      <c r="J840" s="68"/>
      <c r="K840" s="110"/>
      <c r="L840" s="110"/>
      <c r="M840" s="68"/>
      <c r="N840" s="68"/>
      <c r="O840" s="110"/>
      <c r="P840" s="110"/>
      <c r="Q840" s="68"/>
      <c r="R840" s="68"/>
      <c r="S840" s="110"/>
      <c r="T840" s="110"/>
      <c r="U840" s="68"/>
      <c r="V840" s="68"/>
      <c r="W840" s="110"/>
      <c r="X840" s="110"/>
      <c r="Y840" s="110"/>
      <c r="Z840" s="110"/>
      <c r="AA840" s="110"/>
      <c r="AB840" s="110"/>
      <c r="AC840" s="114"/>
      <c r="AD840" s="68"/>
      <c r="AE840" s="110"/>
      <c r="AF840" s="110"/>
      <c r="AG840" s="68"/>
      <c r="AH840" s="68"/>
      <c r="AI840" s="110"/>
      <c r="AJ840" s="110"/>
      <c r="AK840" s="68"/>
      <c r="AL840" s="68"/>
      <c r="AM840" s="110"/>
      <c r="AN840" s="110"/>
      <c r="AO840" s="68"/>
      <c r="AP840" s="68"/>
      <c r="AQ840" s="40"/>
      <c r="AR840" s="40"/>
      <c r="AS840" s="23"/>
    </row>
    <row r="841" spans="1:45" ht="15.75" x14ac:dyDescent="0.25">
      <c r="A841" s="44"/>
      <c r="B841" s="23"/>
      <c r="C841" s="23"/>
      <c r="D841" s="23"/>
      <c r="E841" s="68"/>
      <c r="F841" s="68"/>
      <c r="G841" s="110"/>
      <c r="H841" s="110"/>
      <c r="I841" s="68"/>
      <c r="J841" s="68"/>
      <c r="K841" s="110"/>
      <c r="L841" s="110"/>
      <c r="M841" s="68"/>
      <c r="N841" s="68"/>
      <c r="O841" s="110"/>
      <c r="P841" s="110"/>
      <c r="Q841" s="68"/>
      <c r="R841" s="68"/>
      <c r="S841" s="110"/>
      <c r="T841" s="110"/>
      <c r="U841" s="68"/>
      <c r="V841" s="68"/>
      <c r="W841" s="110"/>
      <c r="X841" s="110"/>
      <c r="Y841" s="110"/>
      <c r="Z841" s="110"/>
      <c r="AA841" s="110"/>
      <c r="AB841" s="110"/>
      <c r="AC841" s="114"/>
      <c r="AD841" s="68"/>
      <c r="AE841" s="110"/>
      <c r="AF841" s="110"/>
      <c r="AG841" s="68"/>
      <c r="AH841" s="68"/>
      <c r="AI841" s="110"/>
      <c r="AJ841" s="110"/>
      <c r="AK841" s="68"/>
      <c r="AL841" s="68"/>
      <c r="AM841" s="110"/>
      <c r="AN841" s="110"/>
      <c r="AO841" s="68"/>
      <c r="AP841" s="68"/>
      <c r="AQ841" s="40"/>
      <c r="AR841" s="40"/>
      <c r="AS841" s="23"/>
    </row>
    <row r="842" spans="1:45" ht="15.75" x14ac:dyDescent="0.25">
      <c r="A842" s="44"/>
      <c r="B842" s="23"/>
      <c r="C842" s="23"/>
      <c r="D842" s="23"/>
      <c r="E842" s="68"/>
      <c r="F842" s="68"/>
      <c r="G842" s="110"/>
      <c r="H842" s="110"/>
      <c r="I842" s="68"/>
      <c r="J842" s="68"/>
      <c r="K842" s="110"/>
      <c r="L842" s="110"/>
      <c r="M842" s="68"/>
      <c r="N842" s="68"/>
      <c r="O842" s="110"/>
      <c r="P842" s="110"/>
      <c r="Q842" s="68"/>
      <c r="R842" s="68"/>
      <c r="S842" s="110"/>
      <c r="T842" s="110"/>
      <c r="U842" s="68"/>
      <c r="V842" s="68"/>
      <c r="W842" s="110"/>
      <c r="X842" s="110"/>
      <c r="Y842" s="110"/>
      <c r="Z842" s="110"/>
      <c r="AA842" s="110"/>
      <c r="AB842" s="110"/>
      <c r="AC842" s="114"/>
      <c r="AD842" s="68"/>
      <c r="AE842" s="110"/>
      <c r="AF842" s="110"/>
      <c r="AG842" s="68"/>
      <c r="AH842" s="68"/>
      <c r="AI842" s="110"/>
      <c r="AJ842" s="110"/>
      <c r="AK842" s="68"/>
      <c r="AL842" s="68"/>
      <c r="AM842" s="110"/>
      <c r="AN842" s="110"/>
      <c r="AO842" s="68"/>
      <c r="AP842" s="68"/>
      <c r="AQ842" s="40"/>
      <c r="AR842" s="40"/>
      <c r="AS842" s="23"/>
    </row>
    <row r="843" spans="1:45" ht="15.75" x14ac:dyDescent="0.25">
      <c r="A843" s="44"/>
      <c r="B843" s="23"/>
      <c r="C843" s="23"/>
      <c r="D843" s="23"/>
      <c r="E843" s="68"/>
      <c r="F843" s="68"/>
      <c r="G843" s="110"/>
      <c r="H843" s="110"/>
      <c r="I843" s="68"/>
      <c r="J843" s="68"/>
      <c r="K843" s="110"/>
      <c r="L843" s="110"/>
      <c r="M843" s="68"/>
      <c r="N843" s="68"/>
      <c r="O843" s="110"/>
      <c r="P843" s="110"/>
      <c r="Q843" s="68"/>
      <c r="R843" s="68"/>
      <c r="S843" s="110"/>
      <c r="T843" s="110"/>
      <c r="U843" s="68"/>
      <c r="V843" s="68"/>
      <c r="W843" s="110"/>
      <c r="X843" s="110"/>
      <c r="Y843" s="110"/>
      <c r="Z843" s="110"/>
      <c r="AA843" s="110"/>
      <c r="AB843" s="110"/>
      <c r="AC843" s="114"/>
      <c r="AD843" s="68"/>
      <c r="AE843" s="110"/>
      <c r="AF843" s="110"/>
      <c r="AG843" s="68"/>
      <c r="AH843" s="68"/>
      <c r="AI843" s="110"/>
      <c r="AJ843" s="110"/>
      <c r="AK843" s="68"/>
      <c r="AL843" s="68"/>
      <c r="AM843" s="110"/>
      <c r="AN843" s="110"/>
      <c r="AO843" s="68"/>
      <c r="AP843" s="68"/>
      <c r="AQ843" s="40"/>
      <c r="AR843" s="40"/>
      <c r="AS843" s="23"/>
    </row>
    <row r="844" spans="1:45" ht="15.75" x14ac:dyDescent="0.25">
      <c r="A844" s="44"/>
      <c r="B844" s="23"/>
      <c r="C844" s="23"/>
      <c r="D844" s="23"/>
      <c r="E844" s="68"/>
      <c r="F844" s="68"/>
      <c r="G844" s="110"/>
      <c r="H844" s="110"/>
      <c r="I844" s="68"/>
      <c r="J844" s="68"/>
      <c r="K844" s="110"/>
      <c r="L844" s="110"/>
      <c r="M844" s="68"/>
      <c r="N844" s="68"/>
      <c r="O844" s="110"/>
      <c r="P844" s="110"/>
      <c r="Q844" s="68"/>
      <c r="R844" s="68"/>
      <c r="S844" s="110"/>
      <c r="T844" s="110"/>
      <c r="U844" s="68"/>
      <c r="V844" s="68"/>
      <c r="W844" s="110"/>
      <c r="X844" s="110"/>
      <c r="Y844" s="110"/>
      <c r="Z844" s="110"/>
      <c r="AA844" s="110"/>
      <c r="AB844" s="110"/>
      <c r="AC844" s="114"/>
      <c r="AD844" s="68"/>
      <c r="AE844" s="110"/>
      <c r="AF844" s="110"/>
      <c r="AG844" s="68"/>
      <c r="AH844" s="68"/>
      <c r="AI844" s="110"/>
      <c r="AJ844" s="110"/>
      <c r="AK844" s="68"/>
      <c r="AL844" s="68"/>
      <c r="AM844" s="110"/>
      <c r="AN844" s="110"/>
      <c r="AO844" s="68"/>
      <c r="AP844" s="68"/>
      <c r="AQ844" s="40"/>
      <c r="AR844" s="40"/>
      <c r="AS844" s="23"/>
    </row>
    <row r="845" spans="1:45" ht="15.75" x14ac:dyDescent="0.25">
      <c r="A845" s="44"/>
      <c r="B845" s="23"/>
      <c r="C845" s="23"/>
      <c r="D845" s="23"/>
      <c r="E845" s="68"/>
      <c r="F845" s="68"/>
      <c r="G845" s="110"/>
      <c r="H845" s="110"/>
      <c r="I845" s="68"/>
      <c r="J845" s="68"/>
      <c r="K845" s="110"/>
      <c r="L845" s="110"/>
      <c r="M845" s="68"/>
      <c r="N845" s="68"/>
      <c r="O845" s="110"/>
      <c r="P845" s="110"/>
      <c r="Q845" s="68"/>
      <c r="R845" s="68"/>
      <c r="S845" s="110"/>
      <c r="T845" s="110"/>
      <c r="U845" s="68"/>
      <c r="V845" s="68"/>
      <c r="W845" s="110"/>
      <c r="X845" s="110"/>
      <c r="Y845" s="110"/>
      <c r="Z845" s="110"/>
      <c r="AA845" s="110"/>
      <c r="AB845" s="110"/>
      <c r="AC845" s="114"/>
      <c r="AD845" s="68"/>
      <c r="AE845" s="110"/>
      <c r="AF845" s="110"/>
      <c r="AG845" s="68"/>
      <c r="AH845" s="68"/>
      <c r="AI845" s="110"/>
      <c r="AJ845" s="110"/>
      <c r="AK845" s="68"/>
      <c r="AL845" s="68"/>
      <c r="AM845" s="110"/>
      <c r="AN845" s="110"/>
      <c r="AO845" s="68"/>
      <c r="AP845" s="68"/>
      <c r="AQ845" s="40"/>
      <c r="AR845" s="40"/>
      <c r="AS845" s="23"/>
    </row>
    <row r="846" spans="1:45" ht="15.75" x14ac:dyDescent="0.25">
      <c r="A846" s="44"/>
      <c r="B846" s="23"/>
      <c r="C846" s="23"/>
      <c r="D846" s="23"/>
      <c r="E846" s="68"/>
      <c r="F846" s="68"/>
      <c r="G846" s="110"/>
      <c r="H846" s="110"/>
      <c r="I846" s="68"/>
      <c r="J846" s="68"/>
      <c r="K846" s="110"/>
      <c r="L846" s="110"/>
      <c r="M846" s="68"/>
      <c r="N846" s="68"/>
      <c r="O846" s="110"/>
      <c r="P846" s="110"/>
      <c r="Q846" s="68"/>
      <c r="R846" s="68"/>
      <c r="S846" s="110"/>
      <c r="T846" s="110"/>
      <c r="U846" s="68"/>
      <c r="V846" s="68"/>
      <c r="W846" s="110"/>
      <c r="X846" s="110"/>
      <c r="Y846" s="110"/>
      <c r="Z846" s="110"/>
      <c r="AA846" s="110"/>
      <c r="AB846" s="110"/>
      <c r="AC846" s="114"/>
      <c r="AD846" s="68"/>
      <c r="AE846" s="110"/>
      <c r="AF846" s="110"/>
      <c r="AG846" s="68"/>
      <c r="AH846" s="68"/>
      <c r="AI846" s="110"/>
      <c r="AJ846" s="110"/>
      <c r="AK846" s="68"/>
      <c r="AL846" s="68"/>
      <c r="AM846" s="110"/>
      <c r="AN846" s="110"/>
      <c r="AO846" s="68"/>
      <c r="AP846" s="68"/>
      <c r="AQ846" s="40"/>
      <c r="AR846" s="40"/>
      <c r="AS846" s="23"/>
    </row>
    <row r="847" spans="1:45" ht="15.75" x14ac:dyDescent="0.25">
      <c r="A847" s="44"/>
      <c r="B847" s="23"/>
      <c r="C847" s="23"/>
      <c r="D847" s="23"/>
      <c r="E847" s="68"/>
      <c r="F847" s="68"/>
      <c r="G847" s="110"/>
      <c r="H847" s="110"/>
      <c r="I847" s="68"/>
      <c r="J847" s="68"/>
      <c r="K847" s="110"/>
      <c r="L847" s="110"/>
      <c r="M847" s="68"/>
      <c r="N847" s="68"/>
      <c r="O847" s="110"/>
      <c r="P847" s="110"/>
      <c r="Q847" s="68"/>
      <c r="R847" s="68"/>
      <c r="S847" s="110"/>
      <c r="T847" s="110"/>
      <c r="U847" s="68"/>
      <c r="V847" s="68"/>
      <c r="W847" s="110"/>
      <c r="X847" s="110"/>
      <c r="Y847" s="110"/>
      <c r="Z847" s="110"/>
      <c r="AA847" s="110"/>
      <c r="AB847" s="110"/>
      <c r="AC847" s="114"/>
      <c r="AD847" s="68"/>
      <c r="AE847" s="110"/>
      <c r="AF847" s="110"/>
      <c r="AG847" s="68"/>
      <c r="AH847" s="68"/>
      <c r="AI847" s="110"/>
      <c r="AJ847" s="110"/>
      <c r="AK847" s="68"/>
      <c r="AL847" s="68"/>
      <c r="AM847" s="110"/>
      <c r="AN847" s="110"/>
      <c r="AO847" s="68"/>
      <c r="AP847" s="68"/>
      <c r="AQ847" s="40"/>
      <c r="AR847" s="40"/>
      <c r="AS847" s="23"/>
    </row>
    <row r="848" spans="1:45" ht="15.75" x14ac:dyDescent="0.25">
      <c r="A848" s="44"/>
      <c r="B848" s="23"/>
      <c r="C848" s="23"/>
      <c r="D848" s="23"/>
      <c r="E848" s="68"/>
      <c r="F848" s="68"/>
      <c r="G848" s="110"/>
      <c r="H848" s="110"/>
      <c r="I848" s="68"/>
      <c r="J848" s="68"/>
      <c r="K848" s="110"/>
      <c r="L848" s="110"/>
      <c r="M848" s="68"/>
      <c r="N848" s="68"/>
      <c r="O848" s="110"/>
      <c r="P848" s="110"/>
      <c r="Q848" s="68"/>
      <c r="R848" s="68"/>
      <c r="S848" s="110"/>
      <c r="T848" s="110"/>
      <c r="U848" s="68"/>
      <c r="V848" s="68"/>
      <c r="W848" s="110"/>
      <c r="X848" s="110"/>
      <c r="Y848" s="110"/>
      <c r="Z848" s="110"/>
      <c r="AA848" s="110"/>
      <c r="AB848" s="110"/>
      <c r="AC848" s="114"/>
      <c r="AD848" s="68"/>
      <c r="AE848" s="110"/>
      <c r="AF848" s="110"/>
      <c r="AG848" s="68"/>
      <c r="AH848" s="68"/>
      <c r="AI848" s="110"/>
      <c r="AJ848" s="110"/>
      <c r="AK848" s="68"/>
      <c r="AL848" s="68"/>
      <c r="AM848" s="110"/>
      <c r="AN848" s="110"/>
      <c r="AO848" s="68"/>
      <c r="AP848" s="68"/>
      <c r="AQ848" s="40"/>
      <c r="AR848" s="40"/>
      <c r="AS848" s="23"/>
    </row>
    <row r="849" spans="1:45" ht="15.75" x14ac:dyDescent="0.25">
      <c r="A849" s="44"/>
      <c r="B849" s="23"/>
      <c r="C849" s="23"/>
      <c r="D849" s="23"/>
      <c r="E849" s="68"/>
      <c r="F849" s="68"/>
      <c r="G849" s="110"/>
      <c r="H849" s="110"/>
      <c r="I849" s="68"/>
      <c r="J849" s="68"/>
      <c r="K849" s="110"/>
      <c r="L849" s="110"/>
      <c r="M849" s="68"/>
      <c r="N849" s="68"/>
      <c r="O849" s="110"/>
      <c r="P849" s="110"/>
      <c r="Q849" s="68"/>
      <c r="R849" s="68"/>
      <c r="S849" s="110"/>
      <c r="T849" s="110"/>
      <c r="U849" s="68"/>
      <c r="V849" s="68"/>
      <c r="W849" s="110"/>
      <c r="X849" s="110"/>
      <c r="Y849" s="110"/>
      <c r="Z849" s="110"/>
      <c r="AA849" s="110"/>
      <c r="AB849" s="110"/>
      <c r="AC849" s="114"/>
      <c r="AD849" s="68"/>
      <c r="AE849" s="110"/>
      <c r="AF849" s="110"/>
      <c r="AG849" s="68"/>
      <c r="AH849" s="68"/>
      <c r="AI849" s="110"/>
      <c r="AJ849" s="110"/>
      <c r="AK849" s="68"/>
      <c r="AL849" s="68"/>
      <c r="AM849" s="110"/>
      <c r="AN849" s="110"/>
      <c r="AO849" s="68"/>
      <c r="AP849" s="68"/>
      <c r="AQ849" s="40"/>
      <c r="AR849" s="40"/>
      <c r="AS849" s="23"/>
    </row>
    <row r="850" spans="1:45" ht="15.75" x14ac:dyDescent="0.25">
      <c r="A850" s="44"/>
      <c r="B850" s="23"/>
      <c r="C850" s="23"/>
      <c r="D850" s="23"/>
      <c r="E850" s="68"/>
      <c r="F850" s="68"/>
      <c r="G850" s="110"/>
      <c r="H850" s="110"/>
      <c r="I850" s="68"/>
      <c r="J850" s="68"/>
      <c r="K850" s="110"/>
      <c r="L850" s="110"/>
      <c r="M850" s="68"/>
      <c r="N850" s="68"/>
      <c r="O850" s="110"/>
      <c r="P850" s="110"/>
      <c r="Q850" s="68"/>
      <c r="R850" s="68"/>
      <c r="S850" s="110"/>
      <c r="T850" s="110"/>
      <c r="U850" s="68"/>
      <c r="V850" s="68"/>
      <c r="W850" s="110"/>
      <c r="X850" s="110"/>
      <c r="Y850" s="110"/>
      <c r="Z850" s="110"/>
      <c r="AA850" s="110"/>
      <c r="AB850" s="110"/>
      <c r="AC850" s="114"/>
      <c r="AD850" s="68"/>
      <c r="AE850" s="110"/>
      <c r="AF850" s="110"/>
      <c r="AG850" s="68"/>
      <c r="AH850" s="68"/>
      <c r="AI850" s="110"/>
      <c r="AJ850" s="110"/>
      <c r="AK850" s="68"/>
      <c r="AL850" s="68"/>
      <c r="AM850" s="110"/>
      <c r="AN850" s="110"/>
      <c r="AO850" s="68"/>
      <c r="AP850" s="68"/>
      <c r="AQ850" s="40"/>
      <c r="AR850" s="40"/>
      <c r="AS850" s="23"/>
    </row>
    <row r="851" spans="1:45" ht="15.75" x14ac:dyDescent="0.25">
      <c r="A851" s="44"/>
      <c r="B851" s="23"/>
      <c r="C851" s="23"/>
      <c r="D851" s="23"/>
      <c r="E851" s="68"/>
      <c r="F851" s="68"/>
      <c r="G851" s="110"/>
      <c r="H851" s="110"/>
      <c r="I851" s="68"/>
      <c r="J851" s="68"/>
      <c r="K851" s="110"/>
      <c r="L851" s="110"/>
      <c r="M851" s="68"/>
      <c r="N851" s="68"/>
      <c r="O851" s="110"/>
      <c r="P851" s="110"/>
      <c r="Q851" s="68"/>
      <c r="R851" s="68"/>
      <c r="S851" s="110"/>
      <c r="T851" s="110"/>
      <c r="U851" s="68"/>
      <c r="V851" s="68"/>
      <c r="W851" s="110"/>
      <c r="X851" s="110"/>
      <c r="Y851" s="110"/>
      <c r="Z851" s="110"/>
      <c r="AA851" s="110"/>
      <c r="AB851" s="110"/>
      <c r="AC851" s="114"/>
      <c r="AD851" s="68"/>
      <c r="AE851" s="110"/>
      <c r="AF851" s="110"/>
      <c r="AG851" s="68"/>
      <c r="AH851" s="68"/>
      <c r="AI851" s="110"/>
      <c r="AJ851" s="110"/>
      <c r="AK851" s="68"/>
      <c r="AL851" s="68"/>
      <c r="AM851" s="110"/>
      <c r="AN851" s="110"/>
      <c r="AO851" s="68"/>
      <c r="AP851" s="68"/>
      <c r="AQ851" s="40"/>
      <c r="AR851" s="40"/>
      <c r="AS851" s="23"/>
    </row>
    <row r="852" spans="1:45" ht="15.75" x14ac:dyDescent="0.25">
      <c r="A852" s="44"/>
      <c r="B852" s="23"/>
      <c r="C852" s="23"/>
      <c r="D852" s="23"/>
      <c r="E852" s="68"/>
      <c r="F852" s="68"/>
      <c r="G852" s="110"/>
      <c r="H852" s="110"/>
      <c r="I852" s="68"/>
      <c r="J852" s="68"/>
      <c r="K852" s="110"/>
      <c r="L852" s="110"/>
      <c r="M852" s="68"/>
      <c r="N852" s="68"/>
      <c r="O852" s="110"/>
      <c r="P852" s="110"/>
      <c r="Q852" s="68"/>
      <c r="R852" s="68"/>
      <c r="S852" s="110"/>
      <c r="T852" s="110"/>
      <c r="U852" s="68"/>
      <c r="V852" s="68"/>
      <c r="W852" s="110"/>
      <c r="X852" s="110"/>
      <c r="Y852" s="110"/>
      <c r="Z852" s="110"/>
      <c r="AA852" s="110"/>
      <c r="AB852" s="110"/>
      <c r="AC852" s="114"/>
      <c r="AD852" s="68"/>
      <c r="AE852" s="110"/>
      <c r="AF852" s="110"/>
      <c r="AG852" s="68"/>
      <c r="AH852" s="68"/>
      <c r="AI852" s="110"/>
      <c r="AJ852" s="110"/>
      <c r="AK852" s="68"/>
      <c r="AL852" s="68"/>
      <c r="AM852" s="110"/>
      <c r="AN852" s="110"/>
      <c r="AO852" s="68"/>
      <c r="AP852" s="68"/>
      <c r="AQ852" s="40"/>
      <c r="AR852" s="40"/>
      <c r="AS852" s="23"/>
    </row>
    <row r="853" spans="1:45" ht="15.75" x14ac:dyDescent="0.25">
      <c r="A853" s="44"/>
      <c r="B853" s="23"/>
      <c r="C853" s="23"/>
      <c r="D853" s="23"/>
      <c r="E853" s="68"/>
      <c r="F853" s="68"/>
      <c r="G853" s="110"/>
      <c r="H853" s="110"/>
      <c r="I853" s="68"/>
      <c r="J853" s="68"/>
      <c r="K853" s="110"/>
      <c r="L853" s="110"/>
      <c r="M853" s="68"/>
      <c r="N853" s="68"/>
      <c r="O853" s="110"/>
      <c r="P853" s="110"/>
      <c r="Q853" s="68"/>
      <c r="R853" s="68"/>
      <c r="S853" s="110"/>
      <c r="T853" s="110"/>
      <c r="U853" s="68"/>
      <c r="V853" s="68"/>
      <c r="W853" s="110"/>
      <c r="X853" s="110"/>
      <c r="Y853" s="110"/>
      <c r="Z853" s="110"/>
      <c r="AA853" s="110"/>
      <c r="AB853" s="110"/>
      <c r="AC853" s="114"/>
      <c r="AD853" s="68"/>
      <c r="AE853" s="110"/>
      <c r="AF853" s="110"/>
      <c r="AG853" s="68"/>
      <c r="AH853" s="68"/>
      <c r="AI853" s="110"/>
      <c r="AJ853" s="110"/>
      <c r="AK853" s="68"/>
      <c r="AL853" s="68"/>
      <c r="AM853" s="110"/>
      <c r="AN853" s="110"/>
      <c r="AO853" s="68"/>
      <c r="AP853" s="68"/>
      <c r="AQ853" s="40"/>
      <c r="AR853" s="40"/>
      <c r="AS853" s="23"/>
    </row>
    <row r="854" spans="1:45" ht="15.75" x14ac:dyDescent="0.25">
      <c r="A854" s="44"/>
      <c r="B854" s="23"/>
      <c r="C854" s="23"/>
      <c r="D854" s="23"/>
      <c r="E854" s="68"/>
      <c r="F854" s="68"/>
      <c r="G854" s="110"/>
      <c r="H854" s="110"/>
      <c r="I854" s="68"/>
      <c r="J854" s="68"/>
      <c r="K854" s="110"/>
      <c r="L854" s="110"/>
      <c r="M854" s="68"/>
      <c r="N854" s="68"/>
      <c r="O854" s="110"/>
      <c r="P854" s="110"/>
      <c r="Q854" s="68"/>
      <c r="R854" s="68"/>
      <c r="S854" s="110"/>
      <c r="T854" s="110"/>
      <c r="U854" s="68"/>
      <c r="V854" s="68"/>
      <c r="W854" s="110"/>
      <c r="X854" s="110"/>
      <c r="Y854" s="110"/>
      <c r="Z854" s="110"/>
      <c r="AA854" s="110"/>
      <c r="AB854" s="110"/>
      <c r="AC854" s="114"/>
      <c r="AD854" s="68"/>
      <c r="AE854" s="110"/>
      <c r="AF854" s="110"/>
      <c r="AG854" s="68"/>
      <c r="AH854" s="68"/>
      <c r="AI854" s="110"/>
      <c r="AJ854" s="110"/>
      <c r="AK854" s="68"/>
      <c r="AL854" s="68"/>
      <c r="AM854" s="110"/>
      <c r="AN854" s="110"/>
      <c r="AO854" s="68"/>
      <c r="AP854" s="68"/>
      <c r="AQ854" s="40"/>
      <c r="AR854" s="40"/>
      <c r="AS854" s="23"/>
    </row>
    <row r="855" spans="1:45" ht="15.75" x14ac:dyDescent="0.25">
      <c r="A855" s="44"/>
      <c r="B855" s="23"/>
      <c r="C855" s="23"/>
      <c r="D855" s="23"/>
      <c r="E855" s="68"/>
      <c r="F855" s="68"/>
      <c r="G855" s="110"/>
      <c r="H855" s="110"/>
      <c r="I855" s="68"/>
      <c r="J855" s="68"/>
      <c r="K855" s="110"/>
      <c r="L855" s="110"/>
      <c r="M855" s="68"/>
      <c r="N855" s="68"/>
      <c r="O855" s="110"/>
      <c r="P855" s="110"/>
      <c r="Q855" s="68"/>
      <c r="R855" s="68"/>
      <c r="S855" s="110"/>
      <c r="T855" s="110"/>
      <c r="U855" s="68"/>
      <c r="V855" s="68"/>
      <c r="W855" s="110"/>
      <c r="X855" s="110"/>
      <c r="Y855" s="110"/>
      <c r="Z855" s="110"/>
      <c r="AA855" s="110"/>
      <c r="AB855" s="110"/>
      <c r="AC855" s="114"/>
      <c r="AD855" s="68"/>
      <c r="AE855" s="110"/>
      <c r="AF855" s="110"/>
      <c r="AG855" s="68"/>
      <c r="AH855" s="68"/>
      <c r="AI855" s="110"/>
      <c r="AJ855" s="110"/>
      <c r="AK855" s="68"/>
      <c r="AL855" s="68"/>
      <c r="AM855" s="110"/>
      <c r="AN855" s="110"/>
      <c r="AO855" s="68"/>
      <c r="AP855" s="68"/>
      <c r="AQ855" s="40"/>
      <c r="AR855" s="40"/>
      <c r="AS855" s="23"/>
    </row>
    <row r="856" spans="1:45" ht="15.75" x14ac:dyDescent="0.25">
      <c r="A856" s="44"/>
      <c r="B856" s="23"/>
      <c r="C856" s="23"/>
      <c r="D856" s="23"/>
      <c r="E856" s="68"/>
      <c r="F856" s="68"/>
      <c r="G856" s="110"/>
      <c r="H856" s="110"/>
      <c r="I856" s="68"/>
      <c r="J856" s="68"/>
      <c r="K856" s="110"/>
      <c r="L856" s="110"/>
      <c r="M856" s="68"/>
      <c r="N856" s="68"/>
      <c r="O856" s="110"/>
      <c r="P856" s="110"/>
      <c r="Q856" s="68"/>
      <c r="R856" s="68"/>
      <c r="S856" s="110"/>
      <c r="T856" s="110"/>
      <c r="U856" s="68"/>
      <c r="V856" s="68"/>
      <c r="W856" s="110"/>
      <c r="X856" s="110"/>
      <c r="Y856" s="110"/>
      <c r="Z856" s="110"/>
      <c r="AA856" s="110"/>
      <c r="AB856" s="110"/>
      <c r="AC856" s="114"/>
      <c r="AD856" s="68"/>
      <c r="AE856" s="110"/>
      <c r="AF856" s="110"/>
      <c r="AG856" s="68"/>
      <c r="AH856" s="68"/>
      <c r="AI856" s="110"/>
      <c r="AJ856" s="110"/>
      <c r="AK856" s="68"/>
      <c r="AL856" s="68"/>
      <c r="AM856" s="110"/>
      <c r="AN856" s="110"/>
      <c r="AO856" s="68"/>
      <c r="AP856" s="68"/>
      <c r="AQ856" s="40"/>
      <c r="AR856" s="40"/>
      <c r="AS856" s="23"/>
    </row>
    <row r="857" spans="1:45" ht="15.75" x14ac:dyDescent="0.25">
      <c r="A857" s="44"/>
      <c r="B857" s="23"/>
      <c r="C857" s="23"/>
      <c r="D857" s="23"/>
      <c r="E857" s="68"/>
      <c r="F857" s="68"/>
      <c r="G857" s="110"/>
      <c r="H857" s="110"/>
      <c r="I857" s="68"/>
      <c r="J857" s="68"/>
      <c r="K857" s="110"/>
      <c r="L857" s="110"/>
      <c r="M857" s="68"/>
      <c r="N857" s="68"/>
      <c r="O857" s="110"/>
      <c r="P857" s="110"/>
      <c r="Q857" s="68"/>
      <c r="R857" s="68"/>
      <c r="S857" s="110"/>
      <c r="T857" s="110"/>
      <c r="U857" s="68"/>
      <c r="V857" s="68"/>
      <c r="W857" s="110"/>
      <c r="X857" s="110"/>
      <c r="Y857" s="110"/>
      <c r="Z857" s="110"/>
      <c r="AA857" s="110"/>
      <c r="AB857" s="110"/>
      <c r="AC857" s="114"/>
      <c r="AD857" s="68"/>
      <c r="AE857" s="110"/>
      <c r="AF857" s="110"/>
      <c r="AG857" s="68"/>
      <c r="AH857" s="68"/>
      <c r="AI857" s="110"/>
      <c r="AJ857" s="110"/>
      <c r="AK857" s="68"/>
      <c r="AL857" s="68"/>
      <c r="AM857" s="110"/>
      <c r="AN857" s="110"/>
      <c r="AO857" s="68"/>
      <c r="AP857" s="68"/>
      <c r="AQ857" s="40"/>
      <c r="AR857" s="40"/>
      <c r="AS857" s="23"/>
    </row>
    <row r="858" spans="1:45" ht="15.75" x14ac:dyDescent="0.25">
      <c r="A858" s="44"/>
      <c r="B858" s="23"/>
      <c r="C858" s="23"/>
      <c r="D858" s="23"/>
      <c r="E858" s="68"/>
      <c r="F858" s="68"/>
      <c r="G858" s="110"/>
      <c r="H858" s="110"/>
      <c r="I858" s="68"/>
      <c r="J858" s="68"/>
      <c r="K858" s="110"/>
      <c r="L858" s="110"/>
      <c r="M858" s="68"/>
      <c r="N858" s="68"/>
      <c r="O858" s="110"/>
      <c r="P858" s="110"/>
      <c r="Q858" s="68"/>
      <c r="R858" s="68"/>
      <c r="S858" s="110"/>
      <c r="T858" s="110"/>
      <c r="U858" s="68"/>
      <c r="V858" s="68"/>
      <c r="W858" s="110"/>
      <c r="X858" s="110"/>
      <c r="Y858" s="110"/>
      <c r="Z858" s="110"/>
      <c r="AA858" s="110"/>
      <c r="AB858" s="110"/>
      <c r="AC858" s="114"/>
      <c r="AD858" s="68"/>
      <c r="AE858" s="110"/>
      <c r="AF858" s="110"/>
      <c r="AG858" s="68"/>
      <c r="AH858" s="68"/>
      <c r="AI858" s="110"/>
      <c r="AJ858" s="110"/>
      <c r="AK858" s="68"/>
      <c r="AL858" s="68"/>
      <c r="AM858" s="110"/>
      <c r="AN858" s="110"/>
      <c r="AO858" s="68"/>
      <c r="AP858" s="68"/>
      <c r="AQ858" s="40"/>
      <c r="AR858" s="40"/>
      <c r="AS858" s="23"/>
    </row>
    <row r="859" spans="1:45" ht="15.75" x14ac:dyDescent="0.25">
      <c r="A859" s="44"/>
      <c r="B859" s="23"/>
      <c r="C859" s="23"/>
      <c r="D859" s="23"/>
      <c r="E859" s="68"/>
      <c r="F859" s="68"/>
      <c r="G859" s="110"/>
      <c r="H859" s="110"/>
      <c r="I859" s="68"/>
      <c r="J859" s="68"/>
      <c r="K859" s="110"/>
      <c r="L859" s="110"/>
      <c r="M859" s="68"/>
      <c r="N859" s="68"/>
      <c r="O859" s="110"/>
      <c r="P859" s="110"/>
      <c r="Q859" s="68"/>
      <c r="R859" s="68"/>
      <c r="S859" s="110"/>
      <c r="T859" s="110"/>
      <c r="U859" s="68"/>
      <c r="V859" s="68"/>
      <c r="W859" s="110"/>
      <c r="X859" s="110"/>
      <c r="Y859" s="110"/>
      <c r="Z859" s="110"/>
      <c r="AA859" s="110"/>
      <c r="AB859" s="110"/>
      <c r="AC859" s="114"/>
      <c r="AD859" s="68"/>
      <c r="AE859" s="110"/>
      <c r="AF859" s="110"/>
      <c r="AG859" s="68"/>
      <c r="AH859" s="68"/>
      <c r="AI859" s="110"/>
      <c r="AJ859" s="110"/>
      <c r="AK859" s="68"/>
      <c r="AL859" s="68"/>
      <c r="AM859" s="110"/>
      <c r="AN859" s="110"/>
      <c r="AO859" s="68"/>
      <c r="AP859" s="68"/>
      <c r="AQ859" s="40"/>
      <c r="AR859" s="40"/>
      <c r="AS859" s="23"/>
    </row>
    <row r="860" spans="1:45" ht="15.75" x14ac:dyDescent="0.25">
      <c r="A860" s="44"/>
      <c r="B860" s="23"/>
      <c r="C860" s="23"/>
      <c r="D860" s="23"/>
      <c r="E860" s="68"/>
      <c r="F860" s="68"/>
      <c r="G860" s="110"/>
      <c r="H860" s="110"/>
      <c r="I860" s="68"/>
      <c r="J860" s="68"/>
      <c r="K860" s="110"/>
      <c r="L860" s="110"/>
      <c r="M860" s="68"/>
      <c r="N860" s="68"/>
      <c r="O860" s="110"/>
      <c r="P860" s="110"/>
      <c r="Q860" s="68"/>
      <c r="R860" s="68"/>
      <c r="S860" s="110"/>
      <c r="T860" s="110"/>
      <c r="U860" s="68"/>
      <c r="V860" s="68"/>
      <c r="W860" s="110"/>
      <c r="X860" s="110"/>
      <c r="Y860" s="110"/>
      <c r="Z860" s="110"/>
      <c r="AA860" s="110"/>
      <c r="AB860" s="110"/>
      <c r="AC860" s="114"/>
      <c r="AD860" s="68"/>
      <c r="AE860" s="110"/>
      <c r="AF860" s="110"/>
      <c r="AG860" s="68"/>
      <c r="AH860" s="68"/>
      <c r="AI860" s="110"/>
      <c r="AJ860" s="110"/>
      <c r="AK860" s="68"/>
      <c r="AL860" s="68"/>
      <c r="AM860" s="110"/>
      <c r="AN860" s="110"/>
      <c r="AO860" s="68"/>
      <c r="AP860" s="68"/>
      <c r="AQ860" s="40"/>
      <c r="AR860" s="40"/>
      <c r="AS860" s="23"/>
    </row>
    <row r="861" spans="1:45" ht="15.75" x14ac:dyDescent="0.25">
      <c r="A861" s="44"/>
      <c r="B861" s="23"/>
      <c r="C861" s="23"/>
      <c r="D861" s="23"/>
      <c r="E861" s="68"/>
      <c r="F861" s="68"/>
      <c r="G861" s="110"/>
      <c r="H861" s="110"/>
      <c r="I861" s="68"/>
      <c r="J861" s="68"/>
      <c r="K861" s="110"/>
      <c r="L861" s="110"/>
      <c r="M861" s="68"/>
      <c r="N861" s="68"/>
      <c r="O861" s="110"/>
      <c r="P861" s="110"/>
      <c r="Q861" s="68"/>
      <c r="R861" s="68"/>
      <c r="S861" s="110"/>
      <c r="T861" s="110"/>
      <c r="U861" s="68"/>
      <c r="V861" s="68"/>
      <c r="W861" s="110"/>
      <c r="X861" s="110"/>
      <c r="Y861" s="110"/>
      <c r="Z861" s="110"/>
      <c r="AA861" s="110"/>
      <c r="AB861" s="110"/>
      <c r="AC861" s="114"/>
      <c r="AD861" s="68"/>
      <c r="AE861" s="110"/>
      <c r="AF861" s="110"/>
      <c r="AG861" s="68"/>
      <c r="AH861" s="68"/>
      <c r="AI861" s="110"/>
      <c r="AJ861" s="110"/>
      <c r="AK861" s="68"/>
      <c r="AL861" s="68"/>
      <c r="AM861" s="110"/>
      <c r="AN861" s="110"/>
      <c r="AO861" s="68"/>
      <c r="AP861" s="68"/>
      <c r="AQ861" s="40"/>
      <c r="AR861" s="40"/>
      <c r="AS861" s="23"/>
    </row>
    <row r="862" spans="1:45" ht="15.75" x14ac:dyDescent="0.25">
      <c r="A862" s="44"/>
      <c r="B862" s="23"/>
      <c r="C862" s="23"/>
      <c r="D862" s="23"/>
      <c r="E862" s="68"/>
      <c r="F862" s="68"/>
      <c r="G862" s="110"/>
      <c r="H862" s="110"/>
      <c r="I862" s="68"/>
      <c r="J862" s="68"/>
      <c r="K862" s="110"/>
      <c r="L862" s="110"/>
      <c r="M862" s="68"/>
      <c r="N862" s="68"/>
      <c r="O862" s="110"/>
      <c r="P862" s="110"/>
      <c r="Q862" s="68"/>
      <c r="R862" s="68"/>
      <c r="S862" s="110"/>
      <c r="T862" s="110"/>
      <c r="U862" s="68"/>
      <c r="V862" s="68"/>
      <c r="W862" s="110"/>
      <c r="X862" s="110"/>
      <c r="Y862" s="110"/>
      <c r="Z862" s="110"/>
      <c r="AA862" s="110"/>
      <c r="AB862" s="110"/>
      <c r="AC862" s="114"/>
      <c r="AD862" s="68"/>
      <c r="AE862" s="110"/>
      <c r="AF862" s="110"/>
      <c r="AG862" s="68"/>
      <c r="AH862" s="68"/>
      <c r="AI862" s="110"/>
      <c r="AJ862" s="110"/>
      <c r="AK862" s="68"/>
      <c r="AL862" s="68"/>
      <c r="AM862" s="110"/>
      <c r="AN862" s="110"/>
      <c r="AO862" s="68"/>
      <c r="AP862" s="68"/>
      <c r="AQ862" s="40"/>
      <c r="AR862" s="40"/>
      <c r="AS862" s="23"/>
    </row>
    <row r="863" spans="1:45" ht="15.75" x14ac:dyDescent="0.25">
      <c r="A863" s="44"/>
      <c r="B863" s="23"/>
      <c r="C863" s="23"/>
      <c r="D863" s="23"/>
      <c r="E863" s="68"/>
      <c r="F863" s="68"/>
      <c r="G863" s="110"/>
      <c r="H863" s="110"/>
      <c r="I863" s="68"/>
      <c r="J863" s="68"/>
      <c r="K863" s="110"/>
      <c r="L863" s="110"/>
      <c r="M863" s="68"/>
      <c r="N863" s="68"/>
      <c r="O863" s="110"/>
      <c r="P863" s="110"/>
      <c r="Q863" s="68"/>
      <c r="R863" s="68"/>
      <c r="S863" s="110"/>
      <c r="T863" s="110"/>
      <c r="U863" s="68"/>
      <c r="V863" s="68"/>
      <c r="W863" s="110"/>
      <c r="X863" s="110"/>
      <c r="Y863" s="110"/>
      <c r="Z863" s="110"/>
      <c r="AA863" s="110"/>
      <c r="AB863" s="110"/>
      <c r="AC863" s="114"/>
      <c r="AD863" s="68"/>
      <c r="AE863" s="110"/>
      <c r="AF863" s="110"/>
      <c r="AG863" s="68"/>
      <c r="AH863" s="68"/>
      <c r="AI863" s="110"/>
      <c r="AJ863" s="110"/>
      <c r="AK863" s="68"/>
      <c r="AL863" s="68"/>
      <c r="AM863" s="110"/>
      <c r="AN863" s="110"/>
      <c r="AO863" s="68"/>
      <c r="AP863" s="68"/>
      <c r="AQ863" s="40"/>
      <c r="AR863" s="40"/>
      <c r="AS863" s="23"/>
    </row>
    <row r="864" spans="1:45" ht="15.75" x14ac:dyDescent="0.25">
      <c r="A864" s="44"/>
      <c r="B864" s="23"/>
      <c r="C864" s="23"/>
      <c r="D864" s="23"/>
      <c r="E864" s="68"/>
      <c r="F864" s="68"/>
      <c r="G864" s="110"/>
      <c r="H864" s="110"/>
      <c r="I864" s="68"/>
      <c r="J864" s="68"/>
      <c r="K864" s="110"/>
      <c r="L864" s="110"/>
      <c r="M864" s="68"/>
      <c r="N864" s="68"/>
      <c r="O864" s="110"/>
      <c r="P864" s="110"/>
      <c r="Q864" s="68"/>
      <c r="R864" s="68"/>
      <c r="S864" s="110"/>
      <c r="T864" s="110"/>
      <c r="U864" s="68"/>
      <c r="V864" s="68"/>
      <c r="W864" s="110"/>
      <c r="X864" s="110"/>
      <c r="Y864" s="110"/>
      <c r="Z864" s="110"/>
      <c r="AA864" s="110"/>
      <c r="AB864" s="110"/>
      <c r="AC864" s="114"/>
      <c r="AD864" s="68"/>
      <c r="AE864" s="110"/>
      <c r="AF864" s="110"/>
      <c r="AG864" s="68"/>
      <c r="AH864" s="68"/>
      <c r="AI864" s="110"/>
      <c r="AJ864" s="110"/>
      <c r="AK864" s="68"/>
      <c r="AL864" s="68"/>
      <c r="AM864" s="110"/>
      <c r="AN864" s="110"/>
      <c r="AO864" s="68"/>
      <c r="AP864" s="68"/>
      <c r="AQ864" s="40"/>
      <c r="AR864" s="40"/>
      <c r="AS864" s="23"/>
    </row>
    <row r="865" spans="1:45" ht="15.75" x14ac:dyDescent="0.25">
      <c r="A865" s="44"/>
      <c r="B865" s="23"/>
      <c r="C865" s="23"/>
      <c r="D865" s="23"/>
      <c r="E865" s="68"/>
      <c r="F865" s="68"/>
      <c r="G865" s="110"/>
      <c r="H865" s="110"/>
      <c r="I865" s="68"/>
      <c r="J865" s="68"/>
      <c r="K865" s="110"/>
      <c r="L865" s="110"/>
      <c r="M865" s="68"/>
      <c r="N865" s="68"/>
      <c r="O865" s="110"/>
      <c r="P865" s="110"/>
      <c r="Q865" s="68"/>
      <c r="R865" s="68"/>
      <c r="S865" s="110"/>
      <c r="T865" s="110"/>
      <c r="U865" s="68"/>
      <c r="V865" s="68"/>
      <c r="W865" s="110"/>
      <c r="X865" s="110"/>
      <c r="Y865" s="110"/>
      <c r="Z865" s="110"/>
      <c r="AA865" s="110"/>
      <c r="AB865" s="110"/>
      <c r="AC865" s="114"/>
      <c r="AD865" s="68"/>
      <c r="AE865" s="110"/>
      <c r="AF865" s="110"/>
      <c r="AG865" s="68"/>
      <c r="AH865" s="68"/>
      <c r="AI865" s="110"/>
      <c r="AJ865" s="110"/>
      <c r="AK865" s="68"/>
      <c r="AL865" s="68"/>
      <c r="AM865" s="110"/>
      <c r="AN865" s="110"/>
      <c r="AO865" s="68"/>
      <c r="AP865" s="68"/>
      <c r="AQ865" s="40"/>
      <c r="AR865" s="40"/>
      <c r="AS865" s="23"/>
    </row>
    <row r="866" spans="1:45" ht="15.75" x14ac:dyDescent="0.25">
      <c r="A866" s="44"/>
      <c r="B866" s="23"/>
      <c r="C866" s="23"/>
      <c r="D866" s="23"/>
      <c r="E866" s="68"/>
      <c r="F866" s="68"/>
      <c r="G866" s="110"/>
      <c r="H866" s="110"/>
      <c r="I866" s="68"/>
      <c r="J866" s="68"/>
      <c r="K866" s="110"/>
      <c r="L866" s="110"/>
      <c r="M866" s="68"/>
      <c r="N866" s="68"/>
      <c r="O866" s="110"/>
      <c r="P866" s="110"/>
      <c r="Q866" s="68"/>
      <c r="R866" s="68"/>
      <c r="S866" s="110"/>
      <c r="T866" s="110"/>
      <c r="U866" s="68"/>
      <c r="V866" s="68"/>
      <c r="W866" s="110"/>
      <c r="X866" s="110"/>
      <c r="Y866" s="110"/>
      <c r="Z866" s="110"/>
      <c r="AA866" s="110"/>
      <c r="AB866" s="110"/>
      <c r="AC866" s="114"/>
      <c r="AD866" s="68"/>
      <c r="AE866" s="110"/>
      <c r="AF866" s="110"/>
      <c r="AG866" s="68"/>
      <c r="AH866" s="68"/>
      <c r="AI866" s="110"/>
      <c r="AJ866" s="110"/>
      <c r="AK866" s="68"/>
      <c r="AL866" s="68"/>
      <c r="AM866" s="110"/>
      <c r="AN866" s="110"/>
      <c r="AO866" s="68"/>
      <c r="AP866" s="68"/>
      <c r="AQ866" s="40"/>
      <c r="AR866" s="40"/>
      <c r="AS866" s="23"/>
    </row>
    <row r="867" spans="1:45" ht="15.75" x14ac:dyDescent="0.25">
      <c r="A867" s="44"/>
      <c r="B867" s="23"/>
      <c r="C867" s="23"/>
      <c r="D867" s="23"/>
      <c r="E867" s="68"/>
      <c r="F867" s="68"/>
      <c r="G867" s="110"/>
      <c r="H867" s="110"/>
      <c r="I867" s="68"/>
      <c r="J867" s="68"/>
      <c r="K867" s="110"/>
      <c r="L867" s="110"/>
      <c r="M867" s="68"/>
      <c r="N867" s="68"/>
      <c r="O867" s="110"/>
      <c r="P867" s="110"/>
      <c r="Q867" s="68"/>
      <c r="R867" s="68"/>
      <c r="S867" s="110"/>
      <c r="T867" s="110"/>
      <c r="U867" s="68"/>
      <c r="V867" s="68"/>
      <c r="W867" s="110"/>
      <c r="X867" s="110"/>
      <c r="Y867" s="110"/>
      <c r="Z867" s="110"/>
      <c r="AA867" s="110"/>
      <c r="AB867" s="110"/>
      <c r="AC867" s="114"/>
      <c r="AD867" s="68"/>
      <c r="AE867" s="110"/>
      <c r="AF867" s="110"/>
      <c r="AG867" s="68"/>
      <c r="AH867" s="68"/>
      <c r="AI867" s="110"/>
      <c r="AJ867" s="110"/>
      <c r="AK867" s="68"/>
      <c r="AL867" s="68"/>
      <c r="AM867" s="110"/>
      <c r="AN867" s="110"/>
      <c r="AO867" s="68"/>
      <c r="AP867" s="68"/>
      <c r="AQ867" s="40"/>
      <c r="AR867" s="40"/>
      <c r="AS867" s="23"/>
    </row>
    <row r="868" spans="1:45" ht="15.75" x14ac:dyDescent="0.25">
      <c r="A868" s="44"/>
      <c r="B868" s="23"/>
      <c r="C868" s="23"/>
      <c r="D868" s="23"/>
      <c r="E868" s="68"/>
      <c r="F868" s="68"/>
      <c r="G868" s="110"/>
      <c r="H868" s="110"/>
      <c r="I868" s="68"/>
      <c r="J868" s="68"/>
      <c r="K868" s="110"/>
      <c r="L868" s="110"/>
      <c r="M868" s="68"/>
      <c r="N868" s="68"/>
      <c r="O868" s="110"/>
      <c r="P868" s="110"/>
      <c r="Q868" s="68"/>
      <c r="R868" s="68"/>
      <c r="S868" s="110"/>
      <c r="T868" s="110"/>
      <c r="U868" s="68"/>
      <c r="V868" s="68"/>
      <c r="W868" s="110"/>
      <c r="X868" s="110"/>
      <c r="Y868" s="110"/>
      <c r="Z868" s="110"/>
      <c r="AA868" s="110"/>
      <c r="AB868" s="110"/>
      <c r="AC868" s="114"/>
      <c r="AD868" s="68"/>
      <c r="AE868" s="110"/>
      <c r="AF868" s="110"/>
      <c r="AG868" s="68"/>
      <c r="AH868" s="68"/>
      <c r="AI868" s="110"/>
      <c r="AJ868" s="110"/>
      <c r="AK868" s="68"/>
      <c r="AL868" s="68"/>
      <c r="AM868" s="110"/>
      <c r="AN868" s="110"/>
      <c r="AO868" s="68"/>
      <c r="AP868" s="68"/>
      <c r="AQ868" s="40"/>
      <c r="AR868" s="40"/>
      <c r="AS868" s="23"/>
    </row>
    <row r="869" spans="1:45" ht="15.75" x14ac:dyDescent="0.25">
      <c r="A869" s="44"/>
      <c r="B869" s="23"/>
      <c r="C869" s="23"/>
      <c r="D869" s="23"/>
      <c r="E869" s="68"/>
      <c r="F869" s="68"/>
      <c r="G869" s="110"/>
      <c r="H869" s="110"/>
      <c r="I869" s="68"/>
      <c r="J869" s="68"/>
      <c r="K869" s="110"/>
      <c r="L869" s="110"/>
      <c r="M869" s="68"/>
      <c r="N869" s="68"/>
      <c r="O869" s="110"/>
      <c r="P869" s="110"/>
      <c r="Q869" s="68"/>
      <c r="R869" s="68"/>
      <c r="S869" s="110"/>
      <c r="T869" s="110"/>
      <c r="U869" s="68"/>
      <c r="V869" s="68"/>
      <c r="W869" s="110"/>
      <c r="X869" s="110"/>
      <c r="Y869" s="110"/>
      <c r="Z869" s="110"/>
      <c r="AA869" s="110"/>
      <c r="AB869" s="110"/>
      <c r="AC869" s="114"/>
      <c r="AD869" s="68"/>
      <c r="AE869" s="110"/>
      <c r="AF869" s="110"/>
      <c r="AG869" s="68"/>
      <c r="AH869" s="68"/>
      <c r="AI869" s="110"/>
      <c r="AJ869" s="110"/>
      <c r="AK869" s="68"/>
      <c r="AL869" s="68"/>
      <c r="AM869" s="110"/>
      <c r="AN869" s="110"/>
      <c r="AO869" s="68"/>
      <c r="AP869" s="68"/>
      <c r="AQ869" s="40"/>
      <c r="AR869" s="40"/>
      <c r="AS869" s="23"/>
    </row>
    <row r="870" spans="1:45" ht="15.75" x14ac:dyDescent="0.25">
      <c r="A870" s="44"/>
      <c r="B870" s="23"/>
      <c r="C870" s="23"/>
      <c r="D870" s="23"/>
      <c r="E870" s="68"/>
      <c r="F870" s="68"/>
      <c r="G870" s="110"/>
      <c r="H870" s="110"/>
      <c r="I870" s="68"/>
      <c r="J870" s="68"/>
      <c r="K870" s="110"/>
      <c r="L870" s="110"/>
      <c r="M870" s="68"/>
      <c r="N870" s="68"/>
      <c r="O870" s="110"/>
      <c r="P870" s="110"/>
      <c r="Q870" s="68"/>
      <c r="R870" s="68"/>
      <c r="S870" s="110"/>
      <c r="T870" s="110"/>
      <c r="U870" s="68"/>
      <c r="V870" s="68"/>
      <c r="W870" s="110"/>
      <c r="X870" s="110"/>
      <c r="Y870" s="110"/>
      <c r="Z870" s="110"/>
      <c r="AA870" s="110"/>
      <c r="AB870" s="110"/>
      <c r="AC870" s="114"/>
      <c r="AD870" s="68"/>
      <c r="AE870" s="110"/>
      <c r="AF870" s="110"/>
      <c r="AG870" s="68"/>
      <c r="AH870" s="68"/>
      <c r="AI870" s="110"/>
      <c r="AJ870" s="110"/>
      <c r="AK870" s="68"/>
      <c r="AL870" s="68"/>
      <c r="AM870" s="110"/>
      <c r="AN870" s="110"/>
      <c r="AO870" s="68"/>
      <c r="AP870" s="68"/>
      <c r="AQ870" s="40"/>
      <c r="AR870" s="40"/>
      <c r="AS870" s="23"/>
    </row>
    <row r="871" spans="1:45" ht="15.75" x14ac:dyDescent="0.25">
      <c r="A871" s="44"/>
      <c r="B871" s="23"/>
      <c r="C871" s="23"/>
      <c r="D871" s="23"/>
      <c r="E871" s="68"/>
      <c r="F871" s="68"/>
      <c r="G871" s="110"/>
      <c r="H871" s="110"/>
      <c r="I871" s="68"/>
      <c r="J871" s="68"/>
      <c r="K871" s="110"/>
      <c r="L871" s="110"/>
      <c r="M871" s="68"/>
      <c r="N871" s="68"/>
      <c r="O871" s="110"/>
      <c r="P871" s="110"/>
      <c r="Q871" s="68"/>
      <c r="R871" s="68"/>
      <c r="S871" s="110"/>
      <c r="T871" s="110"/>
      <c r="U871" s="68"/>
      <c r="V871" s="68"/>
      <c r="W871" s="110"/>
      <c r="X871" s="110"/>
      <c r="Y871" s="110"/>
      <c r="Z871" s="110"/>
      <c r="AA871" s="110"/>
      <c r="AB871" s="110"/>
      <c r="AC871" s="114"/>
      <c r="AD871" s="68"/>
      <c r="AE871" s="110"/>
      <c r="AF871" s="110"/>
      <c r="AG871" s="68"/>
      <c r="AH871" s="68"/>
      <c r="AI871" s="110"/>
      <c r="AJ871" s="110"/>
      <c r="AK871" s="68"/>
      <c r="AL871" s="68"/>
      <c r="AM871" s="110"/>
      <c r="AN871" s="110"/>
      <c r="AO871" s="68"/>
      <c r="AP871" s="68"/>
      <c r="AQ871" s="40"/>
      <c r="AR871" s="40"/>
      <c r="AS871" s="23"/>
    </row>
    <row r="872" spans="1:45" ht="15.75" x14ac:dyDescent="0.25">
      <c r="A872" s="44"/>
      <c r="B872" s="23"/>
      <c r="C872" s="23"/>
      <c r="D872" s="23"/>
      <c r="E872" s="68"/>
      <c r="F872" s="68"/>
      <c r="G872" s="110"/>
      <c r="H872" s="110"/>
      <c r="I872" s="68"/>
      <c r="J872" s="68"/>
      <c r="K872" s="110"/>
      <c r="L872" s="110"/>
      <c r="M872" s="68"/>
      <c r="N872" s="68"/>
      <c r="O872" s="110"/>
      <c r="P872" s="110"/>
      <c r="Q872" s="68"/>
      <c r="R872" s="68"/>
      <c r="S872" s="110"/>
      <c r="T872" s="110"/>
      <c r="U872" s="68"/>
      <c r="V872" s="68"/>
      <c r="W872" s="110"/>
      <c r="X872" s="110"/>
      <c r="Y872" s="110"/>
      <c r="Z872" s="110"/>
      <c r="AA872" s="110"/>
      <c r="AB872" s="110"/>
      <c r="AC872" s="114"/>
      <c r="AD872" s="68"/>
      <c r="AE872" s="110"/>
      <c r="AF872" s="110"/>
      <c r="AG872" s="68"/>
      <c r="AH872" s="68"/>
      <c r="AI872" s="110"/>
      <c r="AJ872" s="110"/>
      <c r="AK872" s="68"/>
      <c r="AL872" s="68"/>
      <c r="AM872" s="110"/>
      <c r="AN872" s="110"/>
      <c r="AO872" s="68"/>
      <c r="AP872" s="68"/>
      <c r="AQ872" s="40"/>
      <c r="AR872" s="40"/>
      <c r="AS872" s="23"/>
    </row>
    <row r="873" spans="1:45" ht="15.75" x14ac:dyDescent="0.25">
      <c r="A873" s="44"/>
      <c r="B873" s="23"/>
      <c r="C873" s="23"/>
      <c r="D873" s="23"/>
      <c r="E873" s="68"/>
      <c r="F873" s="68"/>
      <c r="G873" s="110"/>
      <c r="H873" s="110"/>
      <c r="I873" s="68"/>
      <c r="J873" s="68"/>
      <c r="K873" s="110"/>
      <c r="L873" s="110"/>
      <c r="M873" s="68"/>
      <c r="N873" s="68"/>
      <c r="O873" s="110"/>
      <c r="P873" s="110"/>
      <c r="Q873" s="68"/>
      <c r="R873" s="68"/>
      <c r="S873" s="110"/>
      <c r="T873" s="110"/>
      <c r="U873" s="68"/>
      <c r="V873" s="68"/>
      <c r="W873" s="110"/>
      <c r="X873" s="110"/>
      <c r="Y873" s="110"/>
      <c r="Z873" s="110"/>
      <c r="AA873" s="110"/>
      <c r="AB873" s="110"/>
      <c r="AC873" s="114"/>
      <c r="AD873" s="68"/>
      <c r="AE873" s="110"/>
      <c r="AF873" s="110"/>
      <c r="AG873" s="68"/>
      <c r="AH873" s="68"/>
      <c r="AI873" s="110"/>
      <c r="AJ873" s="110"/>
      <c r="AK873" s="68"/>
      <c r="AL873" s="68"/>
      <c r="AM873" s="110"/>
      <c r="AN873" s="110"/>
      <c r="AO873" s="68"/>
      <c r="AP873" s="68"/>
      <c r="AQ873" s="40"/>
      <c r="AR873" s="40"/>
      <c r="AS873" s="23"/>
    </row>
    <row r="874" spans="1:45" ht="15.75" x14ac:dyDescent="0.25">
      <c r="A874" s="44"/>
      <c r="B874" s="23"/>
      <c r="C874" s="23"/>
      <c r="D874" s="23"/>
      <c r="E874" s="68"/>
      <c r="F874" s="68"/>
      <c r="G874" s="110"/>
      <c r="H874" s="110"/>
      <c r="I874" s="68"/>
      <c r="J874" s="68"/>
      <c r="K874" s="110"/>
      <c r="L874" s="110"/>
      <c r="M874" s="68"/>
      <c r="N874" s="68"/>
      <c r="O874" s="110"/>
      <c r="P874" s="110"/>
      <c r="Q874" s="68"/>
      <c r="R874" s="68"/>
      <c r="S874" s="110"/>
      <c r="T874" s="110"/>
      <c r="U874" s="68"/>
      <c r="V874" s="68"/>
      <c r="W874" s="110"/>
      <c r="X874" s="110"/>
      <c r="Y874" s="110"/>
      <c r="Z874" s="110"/>
      <c r="AA874" s="110"/>
      <c r="AB874" s="110"/>
      <c r="AC874" s="114"/>
      <c r="AD874" s="68"/>
      <c r="AE874" s="110"/>
      <c r="AF874" s="110"/>
      <c r="AG874" s="68"/>
      <c r="AH874" s="68"/>
      <c r="AI874" s="110"/>
      <c r="AJ874" s="110"/>
      <c r="AK874" s="68"/>
      <c r="AL874" s="68"/>
      <c r="AM874" s="110"/>
      <c r="AN874" s="110"/>
      <c r="AO874" s="68"/>
      <c r="AP874" s="68"/>
      <c r="AQ874" s="40"/>
      <c r="AR874" s="40"/>
      <c r="AS874" s="23"/>
    </row>
    <row r="875" spans="1:45" ht="15.75" x14ac:dyDescent="0.25">
      <c r="A875" s="44"/>
      <c r="B875" s="23"/>
      <c r="C875" s="23"/>
      <c r="D875" s="23"/>
      <c r="E875" s="68"/>
      <c r="F875" s="68"/>
      <c r="G875" s="110"/>
      <c r="H875" s="110"/>
      <c r="I875" s="68"/>
      <c r="J875" s="68"/>
      <c r="K875" s="110"/>
      <c r="L875" s="110"/>
      <c r="M875" s="68"/>
      <c r="N875" s="68"/>
      <c r="O875" s="110"/>
      <c r="P875" s="110"/>
      <c r="Q875" s="68"/>
      <c r="R875" s="68"/>
      <c r="S875" s="110"/>
      <c r="T875" s="110"/>
      <c r="U875" s="68"/>
      <c r="V875" s="68"/>
      <c r="W875" s="110"/>
      <c r="X875" s="110"/>
      <c r="Y875" s="110"/>
      <c r="Z875" s="110"/>
      <c r="AA875" s="110"/>
      <c r="AB875" s="110"/>
      <c r="AC875" s="114"/>
      <c r="AD875" s="68"/>
      <c r="AE875" s="110"/>
      <c r="AF875" s="110"/>
      <c r="AG875" s="68"/>
      <c r="AH875" s="68"/>
      <c r="AI875" s="110"/>
      <c r="AJ875" s="110"/>
      <c r="AK875" s="68"/>
      <c r="AL875" s="68"/>
      <c r="AM875" s="110"/>
      <c r="AN875" s="110"/>
      <c r="AO875" s="68"/>
      <c r="AP875" s="68"/>
      <c r="AQ875" s="40"/>
      <c r="AR875" s="40"/>
      <c r="AS875" s="23"/>
    </row>
    <row r="876" spans="1:45" ht="15.75" x14ac:dyDescent="0.25">
      <c r="A876" s="44"/>
      <c r="B876" s="23"/>
      <c r="C876" s="23"/>
      <c r="D876" s="23"/>
      <c r="E876" s="68"/>
      <c r="F876" s="68"/>
      <c r="G876" s="110"/>
      <c r="H876" s="110"/>
      <c r="I876" s="68"/>
      <c r="J876" s="68"/>
      <c r="K876" s="110"/>
      <c r="L876" s="110"/>
      <c r="M876" s="68"/>
      <c r="N876" s="68"/>
      <c r="O876" s="110"/>
      <c r="P876" s="110"/>
      <c r="Q876" s="68"/>
      <c r="R876" s="68"/>
      <c r="S876" s="110"/>
      <c r="T876" s="110"/>
      <c r="U876" s="68"/>
      <c r="V876" s="68"/>
      <c r="W876" s="110"/>
      <c r="X876" s="110"/>
      <c r="Y876" s="110"/>
      <c r="Z876" s="110"/>
      <c r="AA876" s="110"/>
      <c r="AB876" s="110"/>
      <c r="AC876" s="114"/>
      <c r="AD876" s="68"/>
      <c r="AE876" s="110"/>
      <c r="AF876" s="110"/>
      <c r="AG876" s="68"/>
      <c r="AH876" s="68"/>
      <c r="AI876" s="110"/>
      <c r="AJ876" s="110"/>
      <c r="AK876" s="68"/>
      <c r="AL876" s="68"/>
      <c r="AM876" s="110"/>
      <c r="AN876" s="110"/>
      <c r="AO876" s="68"/>
      <c r="AP876" s="68"/>
      <c r="AQ876" s="40"/>
      <c r="AR876" s="40"/>
      <c r="AS876" s="23"/>
    </row>
    <row r="877" spans="1:45" ht="15.75" x14ac:dyDescent="0.25">
      <c r="A877" s="44"/>
      <c r="B877" s="23"/>
      <c r="C877" s="23"/>
      <c r="D877" s="23"/>
      <c r="E877" s="68"/>
      <c r="F877" s="68"/>
      <c r="G877" s="110"/>
      <c r="H877" s="110"/>
      <c r="I877" s="68"/>
      <c r="J877" s="68"/>
      <c r="K877" s="110"/>
      <c r="L877" s="110"/>
      <c r="M877" s="68"/>
      <c r="N877" s="68"/>
      <c r="O877" s="110"/>
      <c r="P877" s="110"/>
      <c r="Q877" s="68"/>
      <c r="R877" s="68"/>
      <c r="S877" s="110"/>
      <c r="T877" s="110"/>
      <c r="U877" s="68"/>
      <c r="V877" s="68"/>
      <c r="W877" s="110"/>
      <c r="X877" s="110"/>
      <c r="Y877" s="110"/>
      <c r="Z877" s="110"/>
      <c r="AA877" s="110"/>
      <c r="AB877" s="110"/>
      <c r="AC877" s="114"/>
      <c r="AD877" s="68"/>
      <c r="AE877" s="110"/>
      <c r="AF877" s="110"/>
      <c r="AG877" s="68"/>
      <c r="AH877" s="68"/>
      <c r="AI877" s="110"/>
      <c r="AJ877" s="110"/>
      <c r="AK877" s="68"/>
      <c r="AL877" s="68"/>
      <c r="AM877" s="110"/>
      <c r="AN877" s="110"/>
      <c r="AO877" s="68"/>
      <c r="AP877" s="68"/>
      <c r="AQ877" s="40"/>
      <c r="AR877" s="40"/>
      <c r="AS877" s="23"/>
    </row>
    <row r="878" spans="1:45" ht="15.75" x14ac:dyDescent="0.25">
      <c r="A878" s="44"/>
      <c r="B878" s="23"/>
      <c r="C878" s="23"/>
      <c r="D878" s="23"/>
      <c r="E878" s="68"/>
      <c r="F878" s="68"/>
      <c r="G878" s="110"/>
      <c r="H878" s="110"/>
      <c r="I878" s="68"/>
      <c r="J878" s="68"/>
      <c r="K878" s="110"/>
      <c r="L878" s="110"/>
      <c r="M878" s="68"/>
      <c r="N878" s="68"/>
      <c r="O878" s="110"/>
      <c r="P878" s="110"/>
      <c r="Q878" s="68"/>
      <c r="R878" s="68"/>
      <c r="S878" s="110"/>
      <c r="T878" s="110"/>
      <c r="U878" s="68"/>
      <c r="V878" s="68"/>
      <c r="W878" s="110"/>
      <c r="X878" s="110"/>
      <c r="Y878" s="110"/>
      <c r="Z878" s="110"/>
      <c r="AA878" s="110"/>
      <c r="AB878" s="110"/>
      <c r="AC878" s="114"/>
      <c r="AD878" s="68"/>
      <c r="AE878" s="110"/>
      <c r="AF878" s="110"/>
      <c r="AG878" s="68"/>
      <c r="AH878" s="68"/>
      <c r="AI878" s="110"/>
      <c r="AJ878" s="110"/>
      <c r="AK878" s="68"/>
      <c r="AL878" s="68"/>
      <c r="AM878" s="110"/>
      <c r="AN878" s="110"/>
      <c r="AO878" s="68"/>
      <c r="AP878" s="68"/>
      <c r="AQ878" s="40"/>
      <c r="AR878" s="40"/>
      <c r="AS878" s="23"/>
    </row>
    <row r="879" spans="1:45" ht="15.75" x14ac:dyDescent="0.25">
      <c r="A879" s="44"/>
      <c r="B879" s="23"/>
      <c r="C879" s="23"/>
      <c r="D879" s="23"/>
      <c r="E879" s="68"/>
      <c r="F879" s="68"/>
      <c r="G879" s="110"/>
      <c r="H879" s="110"/>
      <c r="I879" s="68"/>
      <c r="J879" s="68"/>
      <c r="K879" s="110"/>
      <c r="L879" s="110"/>
      <c r="M879" s="68"/>
      <c r="N879" s="68"/>
      <c r="O879" s="110"/>
      <c r="P879" s="110"/>
      <c r="Q879" s="68"/>
      <c r="R879" s="68"/>
      <c r="S879" s="110"/>
      <c r="T879" s="110"/>
      <c r="U879" s="68"/>
      <c r="V879" s="68"/>
      <c r="W879" s="110"/>
      <c r="X879" s="110"/>
      <c r="Y879" s="110"/>
      <c r="Z879" s="110"/>
      <c r="AA879" s="110"/>
      <c r="AB879" s="110"/>
      <c r="AC879" s="114"/>
      <c r="AD879" s="68"/>
      <c r="AE879" s="110"/>
      <c r="AF879" s="110"/>
      <c r="AG879" s="68"/>
      <c r="AH879" s="68"/>
      <c r="AI879" s="110"/>
      <c r="AJ879" s="110"/>
      <c r="AK879" s="68"/>
      <c r="AL879" s="68"/>
      <c r="AM879" s="110"/>
      <c r="AN879" s="110"/>
      <c r="AO879" s="68"/>
      <c r="AP879" s="68"/>
      <c r="AQ879" s="40"/>
      <c r="AR879" s="40"/>
      <c r="AS879" s="23"/>
    </row>
    <row r="880" spans="1:45" ht="15.75" x14ac:dyDescent="0.25">
      <c r="A880" s="44"/>
      <c r="B880" s="23"/>
      <c r="C880" s="23"/>
      <c r="D880" s="23"/>
      <c r="E880" s="68"/>
      <c r="F880" s="68"/>
      <c r="G880" s="110"/>
      <c r="H880" s="110"/>
      <c r="I880" s="68"/>
      <c r="J880" s="68"/>
      <c r="K880" s="110"/>
      <c r="L880" s="110"/>
      <c r="M880" s="68"/>
      <c r="N880" s="68"/>
      <c r="O880" s="110"/>
      <c r="P880" s="110"/>
      <c r="Q880" s="68"/>
      <c r="R880" s="68"/>
      <c r="S880" s="110"/>
      <c r="T880" s="110"/>
      <c r="U880" s="68"/>
      <c r="V880" s="68"/>
      <c r="W880" s="110"/>
      <c r="X880" s="110"/>
      <c r="Y880" s="110"/>
      <c r="Z880" s="110"/>
      <c r="AA880" s="110"/>
      <c r="AB880" s="110"/>
      <c r="AC880" s="114"/>
      <c r="AD880" s="68"/>
      <c r="AE880" s="110"/>
      <c r="AF880" s="110"/>
      <c r="AG880" s="68"/>
      <c r="AH880" s="68"/>
      <c r="AI880" s="110"/>
      <c r="AJ880" s="110"/>
      <c r="AK880" s="68"/>
      <c r="AL880" s="68"/>
      <c r="AM880" s="110"/>
      <c r="AN880" s="110"/>
      <c r="AO880" s="68"/>
      <c r="AP880" s="68"/>
      <c r="AQ880" s="40"/>
      <c r="AR880" s="40"/>
      <c r="AS880" s="23"/>
    </row>
    <row r="881" spans="1:45" ht="15.75" x14ac:dyDescent="0.25">
      <c r="A881" s="44"/>
      <c r="B881" s="23"/>
      <c r="C881" s="23"/>
      <c r="D881" s="23"/>
      <c r="E881" s="68"/>
      <c r="F881" s="68"/>
      <c r="G881" s="110"/>
      <c r="H881" s="110"/>
      <c r="I881" s="68"/>
      <c r="J881" s="68"/>
      <c r="K881" s="110"/>
      <c r="L881" s="110"/>
      <c r="M881" s="68"/>
      <c r="N881" s="68"/>
      <c r="O881" s="110"/>
      <c r="P881" s="110"/>
      <c r="Q881" s="68"/>
      <c r="R881" s="68"/>
      <c r="S881" s="110"/>
      <c r="T881" s="110"/>
      <c r="U881" s="68"/>
      <c r="V881" s="68"/>
      <c r="W881" s="110"/>
      <c r="X881" s="110"/>
      <c r="Y881" s="110"/>
      <c r="Z881" s="110"/>
      <c r="AA881" s="110"/>
      <c r="AB881" s="110"/>
      <c r="AC881" s="114"/>
      <c r="AD881" s="68"/>
      <c r="AE881" s="110"/>
      <c r="AF881" s="110"/>
      <c r="AG881" s="68"/>
      <c r="AH881" s="68"/>
      <c r="AI881" s="110"/>
      <c r="AJ881" s="110"/>
      <c r="AK881" s="68"/>
      <c r="AL881" s="68"/>
      <c r="AM881" s="110"/>
      <c r="AN881" s="110"/>
      <c r="AO881" s="68"/>
      <c r="AP881" s="68"/>
      <c r="AQ881" s="40"/>
      <c r="AR881" s="40"/>
      <c r="AS881" s="23"/>
    </row>
    <row r="882" spans="1:45" ht="15.75" x14ac:dyDescent="0.25">
      <c r="A882" s="44"/>
      <c r="B882" s="23"/>
      <c r="C882" s="23"/>
      <c r="D882" s="23"/>
      <c r="E882" s="68"/>
      <c r="F882" s="68"/>
      <c r="G882" s="110"/>
      <c r="H882" s="110"/>
      <c r="I882" s="68"/>
      <c r="J882" s="68"/>
      <c r="K882" s="110"/>
      <c r="L882" s="110"/>
      <c r="M882" s="68"/>
      <c r="N882" s="68"/>
      <c r="O882" s="110"/>
      <c r="P882" s="110"/>
      <c r="Q882" s="68"/>
      <c r="R882" s="68"/>
      <c r="S882" s="110"/>
      <c r="T882" s="110"/>
      <c r="U882" s="68"/>
      <c r="V882" s="68"/>
      <c r="W882" s="110"/>
      <c r="X882" s="110"/>
      <c r="Y882" s="110"/>
      <c r="Z882" s="110"/>
      <c r="AA882" s="110"/>
      <c r="AB882" s="110"/>
      <c r="AC882" s="114"/>
      <c r="AD882" s="68"/>
      <c r="AE882" s="110"/>
      <c r="AF882" s="110"/>
      <c r="AG882" s="68"/>
      <c r="AH882" s="68"/>
      <c r="AI882" s="110"/>
      <c r="AJ882" s="110"/>
      <c r="AK882" s="68"/>
      <c r="AL882" s="68"/>
      <c r="AM882" s="110"/>
      <c r="AN882" s="110"/>
      <c r="AO882" s="68"/>
      <c r="AP882" s="68"/>
      <c r="AQ882" s="40"/>
      <c r="AR882" s="40"/>
      <c r="AS882" s="23"/>
    </row>
    <row r="883" spans="1:45" ht="15.75" x14ac:dyDescent="0.25">
      <c r="A883" s="44"/>
      <c r="B883" s="23"/>
      <c r="C883" s="23"/>
      <c r="D883" s="23"/>
      <c r="E883" s="68"/>
      <c r="F883" s="68"/>
      <c r="G883" s="110"/>
      <c r="H883" s="110"/>
      <c r="I883" s="68"/>
      <c r="J883" s="68"/>
      <c r="K883" s="110"/>
      <c r="L883" s="110"/>
      <c r="M883" s="68"/>
      <c r="N883" s="68"/>
      <c r="O883" s="110"/>
      <c r="P883" s="110"/>
      <c r="Q883" s="68"/>
      <c r="R883" s="68"/>
      <c r="S883" s="110"/>
      <c r="T883" s="110"/>
      <c r="U883" s="68"/>
      <c r="V883" s="68"/>
      <c r="W883" s="110"/>
      <c r="X883" s="110"/>
      <c r="Y883" s="110"/>
      <c r="Z883" s="110"/>
      <c r="AA883" s="110"/>
      <c r="AB883" s="110"/>
      <c r="AC883" s="114"/>
      <c r="AD883" s="68"/>
      <c r="AE883" s="110"/>
      <c r="AF883" s="110"/>
      <c r="AG883" s="68"/>
      <c r="AH883" s="68"/>
      <c r="AI883" s="110"/>
      <c r="AJ883" s="110"/>
      <c r="AK883" s="68"/>
      <c r="AL883" s="68"/>
      <c r="AM883" s="110"/>
      <c r="AN883" s="110"/>
      <c r="AO883" s="68"/>
      <c r="AP883" s="68"/>
      <c r="AQ883" s="40"/>
      <c r="AR883" s="40"/>
      <c r="AS883" s="23"/>
    </row>
    <row r="884" spans="1:45" ht="15.75" x14ac:dyDescent="0.25">
      <c r="A884" s="44"/>
      <c r="B884" s="23"/>
      <c r="C884" s="23"/>
      <c r="D884" s="23"/>
      <c r="E884" s="68"/>
      <c r="F884" s="68"/>
      <c r="G884" s="110"/>
      <c r="H884" s="110"/>
      <c r="I884" s="68"/>
      <c r="J884" s="68"/>
      <c r="K884" s="110"/>
      <c r="L884" s="110"/>
      <c r="M884" s="68"/>
      <c r="N884" s="68"/>
      <c r="O884" s="110"/>
      <c r="P884" s="110"/>
      <c r="Q884" s="68"/>
      <c r="R884" s="68"/>
      <c r="S884" s="110"/>
      <c r="T884" s="110"/>
      <c r="U884" s="68"/>
      <c r="V884" s="68"/>
      <c r="W884" s="110"/>
      <c r="X884" s="110"/>
      <c r="Y884" s="110"/>
      <c r="Z884" s="110"/>
      <c r="AA884" s="110"/>
      <c r="AB884" s="110"/>
      <c r="AC884" s="114"/>
      <c r="AD884" s="68"/>
      <c r="AE884" s="110"/>
      <c r="AF884" s="110"/>
      <c r="AG884" s="68"/>
      <c r="AH884" s="68"/>
      <c r="AI884" s="110"/>
      <c r="AJ884" s="110"/>
      <c r="AK884" s="68"/>
      <c r="AL884" s="68"/>
      <c r="AM884" s="110"/>
      <c r="AN884" s="110"/>
      <c r="AO884" s="68"/>
      <c r="AP884" s="68"/>
      <c r="AQ884" s="40"/>
      <c r="AR884" s="40"/>
      <c r="AS884" s="23"/>
    </row>
    <row r="885" spans="1:45" ht="15.75" x14ac:dyDescent="0.25">
      <c r="A885" s="44"/>
      <c r="B885" s="23"/>
      <c r="C885" s="23"/>
      <c r="D885" s="23"/>
      <c r="E885" s="68"/>
      <c r="F885" s="68"/>
      <c r="G885" s="110"/>
      <c r="H885" s="110"/>
      <c r="I885" s="68"/>
      <c r="J885" s="68"/>
      <c r="K885" s="110"/>
      <c r="L885" s="110"/>
      <c r="M885" s="68"/>
      <c r="N885" s="68"/>
      <c r="O885" s="110"/>
      <c r="P885" s="110"/>
      <c r="Q885" s="68"/>
      <c r="R885" s="68"/>
      <c r="S885" s="110"/>
      <c r="T885" s="110"/>
      <c r="U885" s="68"/>
      <c r="V885" s="68"/>
      <c r="W885" s="110"/>
      <c r="X885" s="110"/>
      <c r="Y885" s="110"/>
      <c r="Z885" s="110"/>
      <c r="AA885" s="110"/>
      <c r="AB885" s="110"/>
      <c r="AC885" s="114"/>
      <c r="AD885" s="68"/>
      <c r="AE885" s="110"/>
      <c r="AF885" s="110"/>
      <c r="AG885" s="68"/>
      <c r="AH885" s="68"/>
      <c r="AI885" s="110"/>
      <c r="AJ885" s="110"/>
      <c r="AK885" s="68"/>
      <c r="AL885" s="68"/>
      <c r="AM885" s="110"/>
      <c r="AN885" s="110"/>
      <c r="AO885" s="68"/>
      <c r="AP885" s="68"/>
      <c r="AQ885" s="40"/>
      <c r="AR885" s="40"/>
      <c r="AS885" s="23"/>
    </row>
    <row r="886" spans="1:45" ht="15.75" x14ac:dyDescent="0.25">
      <c r="A886" s="44"/>
      <c r="B886" s="23"/>
      <c r="C886" s="23"/>
      <c r="D886" s="23"/>
      <c r="E886" s="68"/>
      <c r="F886" s="68"/>
      <c r="G886" s="110"/>
      <c r="H886" s="110"/>
      <c r="I886" s="68"/>
      <c r="J886" s="68"/>
      <c r="K886" s="110"/>
      <c r="L886" s="110"/>
      <c r="M886" s="68"/>
      <c r="N886" s="68"/>
      <c r="O886" s="110"/>
      <c r="P886" s="110"/>
      <c r="Q886" s="68"/>
      <c r="R886" s="68"/>
      <c r="S886" s="110"/>
      <c r="T886" s="110"/>
      <c r="U886" s="68"/>
      <c r="V886" s="68"/>
      <c r="W886" s="110"/>
      <c r="X886" s="110"/>
      <c r="Y886" s="110"/>
      <c r="Z886" s="110"/>
      <c r="AA886" s="110"/>
      <c r="AB886" s="110"/>
      <c r="AC886" s="114"/>
      <c r="AD886" s="68"/>
      <c r="AE886" s="110"/>
      <c r="AF886" s="110"/>
      <c r="AG886" s="68"/>
      <c r="AH886" s="68"/>
      <c r="AI886" s="110"/>
      <c r="AJ886" s="110"/>
      <c r="AK886" s="68"/>
      <c r="AL886" s="68"/>
      <c r="AM886" s="110"/>
      <c r="AN886" s="110"/>
      <c r="AO886" s="68"/>
      <c r="AP886" s="68"/>
      <c r="AQ886" s="40"/>
      <c r="AR886" s="40"/>
      <c r="AS886" s="23"/>
    </row>
    <row r="887" spans="1:45" ht="15.75" x14ac:dyDescent="0.25">
      <c r="A887" s="44"/>
      <c r="B887" s="23"/>
      <c r="C887" s="23"/>
      <c r="D887" s="23"/>
      <c r="E887" s="68"/>
      <c r="F887" s="68"/>
      <c r="G887" s="110"/>
      <c r="H887" s="110"/>
      <c r="I887" s="68"/>
      <c r="J887" s="68"/>
      <c r="K887" s="110"/>
      <c r="L887" s="110"/>
      <c r="M887" s="68"/>
      <c r="N887" s="68"/>
      <c r="O887" s="110"/>
      <c r="P887" s="110"/>
      <c r="Q887" s="68"/>
      <c r="R887" s="68"/>
      <c r="S887" s="110"/>
      <c r="T887" s="110"/>
      <c r="U887" s="68"/>
      <c r="V887" s="68"/>
      <c r="W887" s="110"/>
      <c r="X887" s="110"/>
      <c r="Y887" s="110"/>
      <c r="Z887" s="110"/>
      <c r="AA887" s="110"/>
      <c r="AB887" s="110"/>
      <c r="AC887" s="114"/>
      <c r="AD887" s="68"/>
      <c r="AE887" s="110"/>
      <c r="AF887" s="110"/>
      <c r="AG887" s="68"/>
      <c r="AH887" s="68"/>
      <c r="AI887" s="110"/>
      <c r="AJ887" s="110"/>
      <c r="AK887" s="68"/>
      <c r="AL887" s="68"/>
      <c r="AM887" s="110"/>
      <c r="AN887" s="110"/>
      <c r="AO887" s="68"/>
      <c r="AP887" s="68"/>
      <c r="AQ887" s="40"/>
      <c r="AR887" s="40"/>
      <c r="AS887" s="23"/>
    </row>
    <row r="888" spans="1:45" ht="15.75" x14ac:dyDescent="0.25">
      <c r="A888" s="44"/>
      <c r="B888" s="23"/>
      <c r="C888" s="23"/>
      <c r="D888" s="23"/>
      <c r="E888" s="68"/>
      <c r="F888" s="68"/>
      <c r="G888" s="110"/>
      <c r="H888" s="110"/>
      <c r="I888" s="68"/>
      <c r="J888" s="68"/>
      <c r="K888" s="110"/>
      <c r="L888" s="110"/>
      <c r="M888" s="68"/>
      <c r="N888" s="68"/>
      <c r="O888" s="110"/>
      <c r="P888" s="110"/>
      <c r="Q888" s="68"/>
      <c r="R888" s="68"/>
      <c r="S888" s="110"/>
      <c r="T888" s="110"/>
      <c r="U888" s="68"/>
      <c r="V888" s="68"/>
      <c r="W888" s="110"/>
      <c r="X888" s="110"/>
      <c r="Y888" s="110"/>
      <c r="Z888" s="110"/>
      <c r="AA888" s="110"/>
      <c r="AB888" s="110"/>
      <c r="AC888" s="114"/>
      <c r="AD888" s="68"/>
      <c r="AE888" s="110"/>
      <c r="AF888" s="110"/>
      <c r="AG888" s="68"/>
      <c r="AH888" s="68"/>
      <c r="AI888" s="110"/>
      <c r="AJ888" s="110"/>
      <c r="AK888" s="68"/>
      <c r="AL888" s="68"/>
      <c r="AM888" s="110"/>
      <c r="AN888" s="110"/>
      <c r="AO888" s="68"/>
      <c r="AP888" s="68"/>
      <c r="AQ888" s="40"/>
      <c r="AR888" s="40"/>
      <c r="AS888" s="23"/>
    </row>
    <row r="889" spans="1:45" ht="15.75" x14ac:dyDescent="0.25">
      <c r="A889" s="44"/>
      <c r="B889" s="23"/>
      <c r="C889" s="23"/>
      <c r="D889" s="23"/>
      <c r="E889" s="68"/>
      <c r="F889" s="68"/>
      <c r="G889" s="110"/>
      <c r="H889" s="110"/>
      <c r="I889" s="68"/>
      <c r="J889" s="68"/>
      <c r="K889" s="110"/>
      <c r="L889" s="110"/>
      <c r="M889" s="68"/>
      <c r="N889" s="68"/>
      <c r="O889" s="110"/>
      <c r="P889" s="110"/>
      <c r="Q889" s="68"/>
      <c r="R889" s="68"/>
      <c r="S889" s="110"/>
      <c r="T889" s="110"/>
      <c r="U889" s="68"/>
      <c r="V889" s="68"/>
      <c r="W889" s="110"/>
      <c r="X889" s="110"/>
      <c r="Y889" s="110"/>
      <c r="Z889" s="110"/>
      <c r="AA889" s="110"/>
      <c r="AB889" s="110"/>
      <c r="AC889" s="114"/>
      <c r="AD889" s="68"/>
      <c r="AE889" s="110"/>
      <c r="AF889" s="110"/>
      <c r="AG889" s="68"/>
      <c r="AH889" s="68"/>
      <c r="AI889" s="110"/>
      <c r="AJ889" s="110"/>
      <c r="AK889" s="68"/>
      <c r="AL889" s="68"/>
      <c r="AM889" s="110"/>
      <c r="AN889" s="110"/>
      <c r="AO889" s="68"/>
      <c r="AP889" s="68"/>
      <c r="AQ889" s="40"/>
      <c r="AR889" s="40"/>
      <c r="AS889" s="23"/>
    </row>
    <row r="890" spans="1:45" ht="15.75" x14ac:dyDescent="0.25">
      <c r="A890" s="44"/>
      <c r="B890" s="23"/>
      <c r="C890" s="23"/>
      <c r="D890" s="23"/>
      <c r="E890" s="68"/>
      <c r="F890" s="68"/>
      <c r="G890" s="110"/>
      <c r="H890" s="110"/>
      <c r="I890" s="68"/>
      <c r="J890" s="68"/>
      <c r="K890" s="110"/>
      <c r="L890" s="110"/>
      <c r="M890" s="68"/>
      <c r="N890" s="68"/>
      <c r="O890" s="110"/>
      <c r="P890" s="110"/>
      <c r="Q890" s="68"/>
      <c r="R890" s="68"/>
      <c r="S890" s="110"/>
      <c r="T890" s="110"/>
      <c r="U890" s="68"/>
      <c r="V890" s="68"/>
      <c r="W890" s="110"/>
      <c r="X890" s="110"/>
      <c r="Y890" s="110"/>
      <c r="Z890" s="110"/>
      <c r="AA890" s="110"/>
      <c r="AB890" s="110"/>
      <c r="AC890" s="114"/>
      <c r="AD890" s="68"/>
      <c r="AE890" s="110"/>
      <c r="AF890" s="110"/>
      <c r="AG890" s="68"/>
      <c r="AH890" s="68"/>
      <c r="AI890" s="110"/>
      <c r="AJ890" s="110"/>
      <c r="AK890" s="68"/>
      <c r="AL890" s="68"/>
      <c r="AM890" s="110"/>
      <c r="AN890" s="110"/>
      <c r="AO890" s="68"/>
      <c r="AP890" s="68"/>
      <c r="AQ890" s="40"/>
      <c r="AR890" s="40"/>
      <c r="AS890" s="23"/>
    </row>
    <row r="891" spans="1:45" ht="15.75" x14ac:dyDescent="0.25">
      <c r="A891" s="44"/>
      <c r="B891" s="23"/>
      <c r="C891" s="23"/>
      <c r="D891" s="23"/>
      <c r="E891" s="68"/>
      <c r="F891" s="68"/>
      <c r="G891" s="110"/>
      <c r="H891" s="110"/>
      <c r="I891" s="68"/>
      <c r="J891" s="68"/>
      <c r="K891" s="110"/>
      <c r="L891" s="110"/>
      <c r="M891" s="68"/>
      <c r="N891" s="68"/>
      <c r="O891" s="110"/>
      <c r="P891" s="110"/>
      <c r="Q891" s="68"/>
      <c r="R891" s="68"/>
      <c r="S891" s="110"/>
      <c r="T891" s="110"/>
      <c r="U891" s="68"/>
      <c r="V891" s="68"/>
      <c r="W891" s="110"/>
      <c r="X891" s="110"/>
      <c r="Y891" s="110"/>
      <c r="Z891" s="110"/>
      <c r="AA891" s="110"/>
      <c r="AB891" s="110"/>
      <c r="AC891" s="114"/>
      <c r="AD891" s="68"/>
      <c r="AE891" s="110"/>
      <c r="AF891" s="110"/>
      <c r="AG891" s="68"/>
      <c r="AH891" s="68"/>
      <c r="AI891" s="110"/>
      <c r="AJ891" s="110"/>
      <c r="AK891" s="68"/>
      <c r="AL891" s="68"/>
      <c r="AM891" s="110"/>
      <c r="AN891" s="110"/>
      <c r="AO891" s="68"/>
      <c r="AP891" s="68"/>
      <c r="AQ891" s="40"/>
      <c r="AR891" s="40"/>
      <c r="AS891" s="23"/>
    </row>
    <row r="892" spans="1:45" ht="15.75" x14ac:dyDescent="0.25">
      <c r="A892" s="44"/>
      <c r="B892" s="23"/>
      <c r="C892" s="23"/>
      <c r="D892" s="23"/>
      <c r="E892" s="68"/>
      <c r="F892" s="68"/>
      <c r="G892" s="110"/>
      <c r="H892" s="110"/>
      <c r="I892" s="68"/>
      <c r="J892" s="68"/>
      <c r="K892" s="110"/>
      <c r="L892" s="110"/>
      <c r="M892" s="68"/>
      <c r="N892" s="68"/>
      <c r="O892" s="110"/>
      <c r="P892" s="110"/>
      <c r="Q892" s="68"/>
      <c r="R892" s="68"/>
      <c r="S892" s="110"/>
      <c r="T892" s="110"/>
      <c r="U892" s="68"/>
      <c r="V892" s="68"/>
      <c r="W892" s="110"/>
      <c r="X892" s="110"/>
      <c r="Y892" s="110"/>
      <c r="Z892" s="110"/>
      <c r="AA892" s="110"/>
      <c r="AB892" s="110"/>
      <c r="AC892" s="114"/>
      <c r="AD892" s="68"/>
      <c r="AE892" s="110"/>
      <c r="AF892" s="110"/>
      <c r="AG892" s="68"/>
      <c r="AH892" s="68"/>
      <c r="AI892" s="110"/>
      <c r="AJ892" s="110"/>
      <c r="AK892" s="68"/>
      <c r="AL892" s="68"/>
      <c r="AM892" s="110"/>
      <c r="AN892" s="110"/>
      <c r="AO892" s="68"/>
      <c r="AP892" s="68"/>
      <c r="AQ892" s="40"/>
      <c r="AR892" s="40"/>
      <c r="AS892" s="23"/>
    </row>
    <row r="893" spans="1:45" ht="15.75" x14ac:dyDescent="0.25">
      <c r="A893" s="44"/>
      <c r="B893" s="23"/>
      <c r="C893" s="23"/>
      <c r="D893" s="23"/>
      <c r="E893" s="68"/>
      <c r="F893" s="68"/>
      <c r="G893" s="110"/>
      <c r="H893" s="110"/>
      <c r="I893" s="68"/>
      <c r="J893" s="68"/>
      <c r="K893" s="110"/>
      <c r="L893" s="110"/>
      <c r="M893" s="68"/>
      <c r="N893" s="68"/>
      <c r="O893" s="110"/>
      <c r="P893" s="110"/>
      <c r="Q893" s="68"/>
      <c r="R893" s="68"/>
      <c r="S893" s="110"/>
      <c r="T893" s="110"/>
      <c r="U893" s="68"/>
      <c r="V893" s="68"/>
      <c r="W893" s="110"/>
      <c r="X893" s="110"/>
      <c r="Y893" s="110"/>
      <c r="Z893" s="110"/>
      <c r="AA893" s="110"/>
      <c r="AB893" s="110"/>
      <c r="AC893" s="114"/>
      <c r="AD893" s="68"/>
      <c r="AE893" s="110"/>
      <c r="AF893" s="110"/>
      <c r="AG893" s="68"/>
      <c r="AH893" s="68"/>
      <c r="AI893" s="110"/>
      <c r="AJ893" s="110"/>
      <c r="AK893" s="68"/>
      <c r="AL893" s="68"/>
      <c r="AM893" s="110"/>
      <c r="AN893" s="110"/>
      <c r="AO893" s="68"/>
      <c r="AP893" s="68"/>
      <c r="AQ893" s="40"/>
      <c r="AR893" s="40"/>
      <c r="AS893" s="23"/>
    </row>
    <row r="894" spans="1:45" ht="15.75" x14ac:dyDescent="0.25">
      <c r="A894" s="44"/>
      <c r="B894" s="23"/>
      <c r="C894" s="23"/>
      <c r="D894" s="23"/>
      <c r="E894" s="68"/>
      <c r="F894" s="68"/>
      <c r="G894" s="110"/>
      <c r="H894" s="110"/>
      <c r="I894" s="68"/>
      <c r="J894" s="68"/>
      <c r="K894" s="110"/>
      <c r="L894" s="110"/>
      <c r="M894" s="68"/>
      <c r="N894" s="68"/>
      <c r="O894" s="110"/>
      <c r="P894" s="110"/>
      <c r="Q894" s="68"/>
      <c r="R894" s="68"/>
      <c r="S894" s="110"/>
      <c r="T894" s="110"/>
      <c r="U894" s="68"/>
      <c r="V894" s="68"/>
      <c r="W894" s="110"/>
      <c r="X894" s="110"/>
      <c r="Y894" s="110"/>
      <c r="Z894" s="110"/>
      <c r="AA894" s="110"/>
      <c r="AB894" s="110"/>
      <c r="AC894" s="114"/>
      <c r="AD894" s="68"/>
      <c r="AE894" s="110"/>
      <c r="AF894" s="110"/>
      <c r="AG894" s="68"/>
      <c r="AH894" s="68"/>
      <c r="AI894" s="110"/>
      <c r="AJ894" s="110"/>
      <c r="AK894" s="68"/>
      <c r="AL894" s="68"/>
      <c r="AM894" s="110"/>
      <c r="AN894" s="110"/>
      <c r="AO894" s="68"/>
      <c r="AP894" s="68"/>
      <c r="AQ894" s="40"/>
      <c r="AR894" s="40"/>
      <c r="AS894" s="23"/>
    </row>
    <row r="895" spans="1:45" ht="15.75" x14ac:dyDescent="0.25">
      <c r="A895" s="44"/>
      <c r="B895" s="23"/>
      <c r="C895" s="23"/>
      <c r="D895" s="23"/>
      <c r="E895" s="68"/>
      <c r="F895" s="68"/>
      <c r="G895" s="110"/>
      <c r="H895" s="110"/>
      <c r="I895" s="68"/>
      <c r="J895" s="68"/>
      <c r="K895" s="110"/>
      <c r="L895" s="110"/>
      <c r="M895" s="68"/>
      <c r="N895" s="68"/>
      <c r="O895" s="110"/>
      <c r="P895" s="110"/>
      <c r="Q895" s="68"/>
      <c r="R895" s="68"/>
      <c r="S895" s="110"/>
      <c r="T895" s="110"/>
      <c r="U895" s="68"/>
      <c r="V895" s="68"/>
      <c r="W895" s="110"/>
      <c r="X895" s="110"/>
      <c r="Y895" s="110"/>
      <c r="Z895" s="110"/>
      <c r="AA895" s="110"/>
      <c r="AB895" s="110"/>
      <c r="AC895" s="114"/>
      <c r="AD895" s="68"/>
      <c r="AE895" s="110"/>
      <c r="AF895" s="110"/>
      <c r="AG895" s="68"/>
      <c r="AH895" s="68"/>
      <c r="AI895" s="110"/>
      <c r="AJ895" s="110"/>
      <c r="AK895" s="68"/>
      <c r="AL895" s="68"/>
      <c r="AM895" s="110"/>
      <c r="AN895" s="110"/>
      <c r="AO895" s="68"/>
      <c r="AP895" s="68"/>
      <c r="AQ895" s="40"/>
      <c r="AR895" s="40"/>
      <c r="AS895" s="23"/>
    </row>
    <row r="896" spans="1:45" ht="15.75" x14ac:dyDescent="0.25">
      <c r="A896" s="44"/>
      <c r="B896" s="23"/>
      <c r="C896" s="23"/>
      <c r="D896" s="23"/>
      <c r="E896" s="68"/>
      <c r="F896" s="68"/>
      <c r="G896" s="110"/>
      <c r="H896" s="110"/>
      <c r="I896" s="68"/>
      <c r="J896" s="68"/>
      <c r="K896" s="110"/>
      <c r="L896" s="110"/>
      <c r="M896" s="68"/>
      <c r="N896" s="68"/>
      <c r="O896" s="110"/>
      <c r="P896" s="110"/>
      <c r="Q896" s="68"/>
      <c r="R896" s="68"/>
      <c r="S896" s="110"/>
      <c r="T896" s="110"/>
      <c r="U896" s="68"/>
      <c r="V896" s="68"/>
      <c r="W896" s="110"/>
      <c r="X896" s="110"/>
      <c r="Y896" s="110"/>
      <c r="Z896" s="110"/>
      <c r="AA896" s="110"/>
      <c r="AB896" s="110"/>
      <c r="AC896" s="114"/>
      <c r="AD896" s="68"/>
      <c r="AE896" s="110"/>
      <c r="AF896" s="110"/>
      <c r="AG896" s="68"/>
      <c r="AH896" s="68"/>
      <c r="AI896" s="110"/>
      <c r="AJ896" s="110"/>
      <c r="AK896" s="68"/>
      <c r="AL896" s="68"/>
      <c r="AM896" s="110"/>
      <c r="AN896" s="110"/>
      <c r="AO896" s="68"/>
      <c r="AP896" s="68"/>
      <c r="AQ896" s="40"/>
      <c r="AR896" s="40"/>
      <c r="AS896" s="23"/>
    </row>
    <row r="897" spans="1:45" ht="15.75" x14ac:dyDescent="0.25">
      <c r="A897" s="44"/>
      <c r="B897" s="23"/>
      <c r="C897" s="23"/>
      <c r="D897" s="23"/>
      <c r="E897" s="68"/>
      <c r="F897" s="68"/>
      <c r="G897" s="110"/>
      <c r="H897" s="110"/>
      <c r="I897" s="68"/>
      <c r="J897" s="68"/>
      <c r="K897" s="110"/>
      <c r="L897" s="110"/>
      <c r="M897" s="68"/>
      <c r="N897" s="68"/>
      <c r="O897" s="110"/>
      <c r="P897" s="110"/>
      <c r="Q897" s="68"/>
      <c r="R897" s="68"/>
      <c r="S897" s="110"/>
      <c r="T897" s="110"/>
      <c r="U897" s="68"/>
      <c r="V897" s="68"/>
      <c r="W897" s="110"/>
      <c r="X897" s="110"/>
      <c r="Y897" s="110"/>
      <c r="Z897" s="110"/>
      <c r="AA897" s="110"/>
      <c r="AB897" s="110"/>
      <c r="AC897" s="114"/>
      <c r="AD897" s="68"/>
      <c r="AE897" s="110"/>
      <c r="AF897" s="110"/>
      <c r="AG897" s="68"/>
      <c r="AH897" s="68"/>
      <c r="AI897" s="110"/>
      <c r="AJ897" s="110"/>
      <c r="AK897" s="68"/>
      <c r="AL897" s="68"/>
      <c r="AM897" s="110"/>
      <c r="AN897" s="110"/>
      <c r="AO897" s="68"/>
      <c r="AP897" s="68"/>
      <c r="AQ897" s="40"/>
      <c r="AR897" s="40"/>
      <c r="AS897" s="23"/>
    </row>
    <row r="898" spans="1:45" ht="15.75" x14ac:dyDescent="0.25">
      <c r="A898" s="44"/>
      <c r="B898" s="23"/>
      <c r="C898" s="23"/>
      <c r="D898" s="23"/>
      <c r="E898" s="68"/>
      <c r="F898" s="68"/>
      <c r="G898" s="110"/>
      <c r="H898" s="110"/>
      <c r="I898" s="68"/>
      <c r="J898" s="68"/>
      <c r="K898" s="110"/>
      <c r="L898" s="110"/>
      <c r="M898" s="68"/>
      <c r="N898" s="68"/>
      <c r="O898" s="110"/>
      <c r="P898" s="110"/>
      <c r="Q898" s="68"/>
      <c r="R898" s="68"/>
      <c r="S898" s="110"/>
      <c r="T898" s="110"/>
      <c r="U898" s="68"/>
      <c r="V898" s="68"/>
      <c r="W898" s="110"/>
      <c r="X898" s="110"/>
      <c r="Y898" s="110"/>
      <c r="Z898" s="110"/>
      <c r="AA898" s="110"/>
      <c r="AB898" s="110"/>
      <c r="AC898" s="114"/>
      <c r="AD898" s="68"/>
      <c r="AE898" s="110"/>
      <c r="AF898" s="110"/>
      <c r="AG898" s="68"/>
      <c r="AH898" s="68"/>
      <c r="AI898" s="110"/>
      <c r="AJ898" s="110"/>
      <c r="AK898" s="68"/>
      <c r="AL898" s="68"/>
      <c r="AM898" s="110"/>
      <c r="AN898" s="110"/>
      <c r="AO898" s="68"/>
      <c r="AP898" s="68"/>
      <c r="AQ898" s="40"/>
      <c r="AR898" s="40"/>
      <c r="AS898" s="23"/>
    </row>
    <row r="899" spans="1:45" ht="15.75" x14ac:dyDescent="0.25">
      <c r="A899" s="44"/>
      <c r="B899" s="23"/>
      <c r="C899" s="23"/>
      <c r="D899" s="23"/>
      <c r="E899" s="68"/>
      <c r="F899" s="68"/>
      <c r="G899" s="110"/>
      <c r="H899" s="110"/>
      <c r="I899" s="68"/>
      <c r="J899" s="68"/>
      <c r="K899" s="110"/>
      <c r="L899" s="110"/>
      <c r="M899" s="68"/>
      <c r="N899" s="68"/>
      <c r="O899" s="110"/>
      <c r="P899" s="110"/>
      <c r="Q899" s="68"/>
      <c r="R899" s="68"/>
      <c r="S899" s="110"/>
      <c r="T899" s="110"/>
      <c r="U899" s="68"/>
      <c r="V899" s="68"/>
      <c r="W899" s="110"/>
      <c r="X899" s="110"/>
      <c r="Y899" s="110"/>
      <c r="Z899" s="110"/>
      <c r="AA899" s="110"/>
      <c r="AB899" s="110"/>
      <c r="AC899" s="114"/>
      <c r="AD899" s="68"/>
      <c r="AE899" s="110"/>
      <c r="AF899" s="110"/>
      <c r="AG899" s="68"/>
      <c r="AH899" s="68"/>
      <c r="AI899" s="110"/>
      <c r="AJ899" s="110"/>
      <c r="AK899" s="68"/>
      <c r="AL899" s="68"/>
      <c r="AM899" s="110"/>
      <c r="AN899" s="110"/>
      <c r="AO899" s="68"/>
      <c r="AP899" s="68"/>
      <c r="AQ899" s="40"/>
      <c r="AR899" s="40"/>
      <c r="AS899" s="23"/>
    </row>
    <row r="900" spans="1:45" ht="15.75" x14ac:dyDescent="0.25">
      <c r="A900" s="44"/>
      <c r="B900" s="23"/>
      <c r="C900" s="23"/>
      <c r="D900" s="23"/>
      <c r="E900" s="68"/>
      <c r="F900" s="68"/>
      <c r="G900" s="110"/>
      <c r="H900" s="110"/>
      <c r="I900" s="68"/>
      <c r="J900" s="68"/>
      <c r="K900" s="110"/>
      <c r="L900" s="110"/>
      <c r="M900" s="68"/>
      <c r="N900" s="68"/>
      <c r="O900" s="110"/>
      <c r="P900" s="110"/>
      <c r="Q900" s="68"/>
      <c r="R900" s="68"/>
      <c r="S900" s="110"/>
      <c r="T900" s="110"/>
      <c r="U900" s="68"/>
      <c r="V900" s="68"/>
      <c r="W900" s="110"/>
      <c r="X900" s="110"/>
      <c r="Y900" s="110"/>
      <c r="Z900" s="110"/>
      <c r="AA900" s="110"/>
      <c r="AB900" s="110"/>
      <c r="AC900" s="114"/>
      <c r="AD900" s="68"/>
      <c r="AE900" s="110"/>
      <c r="AF900" s="110"/>
      <c r="AG900" s="68"/>
      <c r="AH900" s="68"/>
      <c r="AI900" s="110"/>
      <c r="AJ900" s="110"/>
      <c r="AK900" s="68"/>
      <c r="AL900" s="68"/>
      <c r="AM900" s="110"/>
      <c r="AN900" s="110"/>
      <c r="AO900" s="68"/>
      <c r="AP900" s="68"/>
      <c r="AQ900" s="40"/>
      <c r="AR900" s="40"/>
      <c r="AS900" s="23"/>
    </row>
    <row r="901" spans="1:45" ht="15.75" x14ac:dyDescent="0.25">
      <c r="A901" s="44"/>
      <c r="B901" s="23"/>
      <c r="C901" s="23"/>
      <c r="D901" s="23"/>
      <c r="E901" s="68"/>
      <c r="F901" s="68"/>
      <c r="G901" s="110"/>
      <c r="H901" s="110"/>
      <c r="I901" s="68"/>
      <c r="J901" s="68"/>
      <c r="K901" s="110"/>
      <c r="L901" s="110"/>
      <c r="M901" s="68"/>
      <c r="N901" s="68"/>
      <c r="O901" s="110"/>
      <c r="P901" s="110"/>
      <c r="Q901" s="68"/>
      <c r="R901" s="68"/>
      <c r="S901" s="110"/>
      <c r="T901" s="110"/>
      <c r="U901" s="68"/>
      <c r="V901" s="68"/>
      <c r="W901" s="110"/>
      <c r="X901" s="110"/>
      <c r="Y901" s="110"/>
      <c r="Z901" s="110"/>
      <c r="AA901" s="110"/>
      <c r="AB901" s="110"/>
      <c r="AC901" s="114"/>
      <c r="AD901" s="68"/>
      <c r="AE901" s="110"/>
      <c r="AF901" s="110"/>
      <c r="AG901" s="68"/>
      <c r="AH901" s="68"/>
      <c r="AI901" s="110"/>
      <c r="AJ901" s="110"/>
      <c r="AK901" s="68"/>
      <c r="AL901" s="68"/>
      <c r="AM901" s="110"/>
      <c r="AN901" s="110"/>
      <c r="AO901" s="68"/>
      <c r="AP901" s="68"/>
      <c r="AQ901" s="40"/>
      <c r="AR901" s="40"/>
      <c r="AS901" s="23"/>
    </row>
    <row r="902" spans="1:45" ht="15.75" x14ac:dyDescent="0.25">
      <c r="A902" s="44"/>
      <c r="B902" s="23"/>
      <c r="C902" s="23"/>
      <c r="D902" s="23"/>
      <c r="E902" s="68"/>
      <c r="F902" s="68"/>
      <c r="G902" s="110"/>
      <c r="H902" s="110"/>
      <c r="I902" s="68"/>
      <c r="J902" s="68"/>
      <c r="K902" s="110"/>
      <c r="L902" s="110"/>
      <c r="M902" s="68"/>
      <c r="N902" s="68"/>
      <c r="O902" s="110"/>
      <c r="P902" s="110"/>
      <c r="Q902" s="68"/>
      <c r="R902" s="68"/>
      <c r="S902" s="110"/>
      <c r="T902" s="110"/>
      <c r="U902" s="68"/>
      <c r="V902" s="68"/>
      <c r="W902" s="110"/>
      <c r="X902" s="110"/>
      <c r="Y902" s="110"/>
      <c r="Z902" s="110"/>
      <c r="AA902" s="110"/>
      <c r="AB902" s="110"/>
      <c r="AC902" s="114"/>
      <c r="AD902" s="68"/>
      <c r="AE902" s="110"/>
      <c r="AF902" s="110"/>
      <c r="AG902" s="68"/>
      <c r="AH902" s="68"/>
      <c r="AI902" s="110"/>
      <c r="AJ902" s="110"/>
      <c r="AK902" s="68"/>
      <c r="AL902" s="68"/>
      <c r="AM902" s="110"/>
      <c r="AN902" s="110"/>
      <c r="AO902" s="68"/>
      <c r="AP902" s="68"/>
      <c r="AQ902" s="40"/>
      <c r="AR902" s="40"/>
      <c r="AS902" s="23"/>
    </row>
    <row r="903" spans="1:45" ht="15.75" x14ac:dyDescent="0.25">
      <c r="A903" s="44"/>
      <c r="B903" s="23"/>
      <c r="C903" s="23"/>
      <c r="D903" s="23"/>
      <c r="E903" s="68"/>
      <c r="F903" s="68"/>
      <c r="G903" s="110"/>
      <c r="H903" s="110"/>
      <c r="I903" s="68"/>
      <c r="J903" s="68"/>
      <c r="K903" s="110"/>
      <c r="L903" s="110"/>
      <c r="M903" s="68"/>
      <c r="N903" s="68"/>
      <c r="O903" s="110"/>
      <c r="P903" s="110"/>
      <c r="Q903" s="68"/>
      <c r="R903" s="68"/>
      <c r="S903" s="110"/>
      <c r="T903" s="110"/>
      <c r="U903" s="68"/>
      <c r="V903" s="68"/>
      <c r="W903" s="110"/>
      <c r="X903" s="110"/>
      <c r="Y903" s="110"/>
      <c r="Z903" s="110"/>
      <c r="AA903" s="110"/>
      <c r="AB903" s="110"/>
      <c r="AC903" s="114"/>
      <c r="AD903" s="68"/>
      <c r="AE903" s="110"/>
      <c r="AF903" s="110"/>
      <c r="AG903" s="68"/>
      <c r="AH903" s="68"/>
      <c r="AI903" s="110"/>
      <c r="AJ903" s="110"/>
      <c r="AK903" s="68"/>
      <c r="AL903" s="68"/>
      <c r="AM903" s="110"/>
      <c r="AN903" s="110"/>
      <c r="AO903" s="68"/>
      <c r="AP903" s="68"/>
      <c r="AQ903" s="40"/>
      <c r="AR903" s="40"/>
      <c r="AS903" s="23"/>
    </row>
    <row r="904" spans="1:45" ht="15.75" x14ac:dyDescent="0.25">
      <c r="A904" s="44"/>
      <c r="B904" s="23"/>
      <c r="C904" s="23"/>
      <c r="D904" s="23"/>
      <c r="E904" s="68"/>
      <c r="F904" s="68"/>
      <c r="G904" s="110"/>
      <c r="H904" s="110"/>
      <c r="I904" s="68"/>
      <c r="J904" s="68"/>
      <c r="K904" s="110"/>
      <c r="L904" s="110"/>
      <c r="M904" s="68"/>
      <c r="N904" s="68"/>
      <c r="O904" s="110"/>
      <c r="P904" s="110"/>
      <c r="Q904" s="68"/>
      <c r="R904" s="68"/>
      <c r="S904" s="110"/>
      <c r="T904" s="110"/>
      <c r="U904" s="68"/>
      <c r="V904" s="68"/>
      <c r="W904" s="110"/>
      <c r="X904" s="110"/>
      <c r="Y904" s="110"/>
      <c r="Z904" s="110"/>
      <c r="AA904" s="110"/>
      <c r="AB904" s="110"/>
      <c r="AC904" s="114"/>
      <c r="AD904" s="68"/>
      <c r="AE904" s="110"/>
      <c r="AF904" s="110"/>
      <c r="AG904" s="68"/>
      <c r="AH904" s="68"/>
      <c r="AI904" s="110"/>
      <c r="AJ904" s="110"/>
      <c r="AK904" s="68"/>
      <c r="AL904" s="68"/>
      <c r="AM904" s="110"/>
      <c r="AN904" s="110"/>
      <c r="AO904" s="68"/>
      <c r="AP904" s="68"/>
      <c r="AQ904" s="40"/>
      <c r="AR904" s="40"/>
      <c r="AS904" s="23"/>
    </row>
    <row r="905" spans="1:45" ht="15.75" x14ac:dyDescent="0.25">
      <c r="A905" s="44"/>
      <c r="B905" s="23"/>
      <c r="C905" s="23"/>
      <c r="D905" s="23"/>
      <c r="E905" s="68"/>
      <c r="F905" s="68"/>
      <c r="G905" s="110"/>
      <c r="H905" s="110"/>
      <c r="I905" s="68"/>
      <c r="J905" s="68"/>
      <c r="K905" s="110"/>
      <c r="L905" s="110"/>
      <c r="M905" s="68"/>
      <c r="N905" s="68"/>
      <c r="O905" s="110"/>
      <c r="P905" s="110"/>
      <c r="Q905" s="68"/>
      <c r="R905" s="68"/>
      <c r="S905" s="110"/>
      <c r="T905" s="110"/>
      <c r="U905" s="68"/>
      <c r="V905" s="68"/>
      <c r="W905" s="110"/>
      <c r="X905" s="110"/>
      <c r="Y905" s="110"/>
      <c r="Z905" s="110"/>
      <c r="AA905" s="110"/>
      <c r="AB905" s="110"/>
      <c r="AC905" s="114"/>
      <c r="AD905" s="68"/>
      <c r="AE905" s="110"/>
      <c r="AF905" s="110"/>
      <c r="AG905" s="68"/>
      <c r="AH905" s="68"/>
      <c r="AI905" s="110"/>
      <c r="AJ905" s="110"/>
      <c r="AK905" s="68"/>
      <c r="AL905" s="68"/>
      <c r="AM905" s="110"/>
      <c r="AN905" s="110"/>
      <c r="AO905" s="68"/>
      <c r="AP905" s="68"/>
      <c r="AQ905" s="40"/>
      <c r="AR905" s="40"/>
      <c r="AS905" s="23"/>
    </row>
    <row r="906" spans="1:45" ht="15.75" x14ac:dyDescent="0.25">
      <c r="A906" s="44"/>
      <c r="B906" s="23"/>
      <c r="C906" s="23"/>
      <c r="D906" s="23"/>
      <c r="E906" s="68"/>
      <c r="F906" s="68"/>
      <c r="G906" s="110"/>
      <c r="H906" s="110"/>
      <c r="I906" s="68"/>
      <c r="J906" s="68"/>
      <c r="K906" s="110"/>
      <c r="L906" s="110"/>
      <c r="M906" s="68"/>
      <c r="N906" s="68"/>
      <c r="O906" s="110"/>
      <c r="P906" s="110"/>
      <c r="Q906" s="68"/>
      <c r="R906" s="68"/>
      <c r="S906" s="110"/>
      <c r="T906" s="110"/>
      <c r="U906" s="68"/>
      <c r="V906" s="68"/>
      <c r="W906" s="110"/>
      <c r="X906" s="110"/>
      <c r="Y906" s="110"/>
      <c r="Z906" s="110"/>
      <c r="AA906" s="110"/>
      <c r="AB906" s="110"/>
      <c r="AC906" s="114"/>
      <c r="AD906" s="68"/>
      <c r="AE906" s="110"/>
      <c r="AF906" s="110"/>
      <c r="AG906" s="68"/>
      <c r="AH906" s="68"/>
      <c r="AI906" s="110"/>
      <c r="AJ906" s="110"/>
      <c r="AK906" s="68"/>
      <c r="AL906" s="68"/>
      <c r="AM906" s="110"/>
      <c r="AN906" s="110"/>
      <c r="AO906" s="68"/>
      <c r="AP906" s="68"/>
      <c r="AQ906" s="40"/>
      <c r="AR906" s="40"/>
      <c r="AS906" s="23"/>
    </row>
    <row r="907" spans="1:45" ht="15.75" x14ac:dyDescent="0.25">
      <c r="A907" s="44"/>
      <c r="B907" s="23"/>
      <c r="C907" s="23"/>
      <c r="D907" s="23"/>
      <c r="E907" s="68"/>
      <c r="F907" s="68"/>
      <c r="G907" s="110"/>
      <c r="H907" s="110"/>
      <c r="I907" s="68"/>
      <c r="J907" s="68"/>
      <c r="K907" s="110"/>
      <c r="L907" s="110"/>
      <c r="M907" s="68"/>
      <c r="N907" s="68"/>
      <c r="O907" s="110"/>
      <c r="P907" s="110"/>
      <c r="Q907" s="68"/>
      <c r="R907" s="68"/>
      <c r="S907" s="110"/>
      <c r="T907" s="110"/>
      <c r="U907" s="68"/>
      <c r="V907" s="68"/>
      <c r="W907" s="110"/>
      <c r="X907" s="110"/>
      <c r="Y907" s="110"/>
      <c r="Z907" s="110"/>
      <c r="AA907" s="110"/>
      <c r="AB907" s="110"/>
      <c r="AC907" s="114"/>
      <c r="AD907" s="68"/>
      <c r="AE907" s="110"/>
      <c r="AF907" s="110"/>
      <c r="AG907" s="68"/>
      <c r="AH907" s="68"/>
      <c r="AI907" s="110"/>
      <c r="AJ907" s="110"/>
      <c r="AK907" s="68"/>
      <c r="AL907" s="68"/>
      <c r="AM907" s="110"/>
      <c r="AN907" s="110"/>
      <c r="AO907" s="68"/>
      <c r="AP907" s="68"/>
      <c r="AQ907" s="40"/>
      <c r="AR907" s="40"/>
      <c r="AS907" s="23"/>
    </row>
    <row r="908" spans="1:45" ht="15.75" x14ac:dyDescent="0.25">
      <c r="A908" s="44"/>
      <c r="B908" s="23"/>
      <c r="C908" s="23"/>
      <c r="D908" s="23"/>
      <c r="E908" s="68"/>
      <c r="F908" s="68"/>
      <c r="G908" s="110"/>
      <c r="H908" s="110"/>
      <c r="I908" s="68"/>
      <c r="J908" s="68"/>
      <c r="K908" s="110"/>
      <c r="L908" s="110"/>
      <c r="M908" s="68"/>
      <c r="N908" s="68"/>
      <c r="O908" s="110"/>
      <c r="P908" s="110"/>
      <c r="Q908" s="68"/>
      <c r="R908" s="68"/>
      <c r="S908" s="110"/>
      <c r="T908" s="110"/>
      <c r="U908" s="68"/>
      <c r="V908" s="68"/>
      <c r="W908" s="110"/>
      <c r="X908" s="110"/>
      <c r="Y908" s="110"/>
      <c r="Z908" s="110"/>
      <c r="AA908" s="110"/>
      <c r="AB908" s="110"/>
      <c r="AC908" s="114"/>
      <c r="AD908" s="68"/>
      <c r="AE908" s="110"/>
      <c r="AF908" s="110"/>
      <c r="AG908" s="68"/>
      <c r="AH908" s="68"/>
      <c r="AI908" s="110"/>
      <c r="AJ908" s="110"/>
      <c r="AK908" s="68"/>
      <c r="AL908" s="68"/>
      <c r="AM908" s="110"/>
      <c r="AN908" s="110"/>
      <c r="AO908" s="68"/>
      <c r="AP908" s="68"/>
      <c r="AQ908" s="40"/>
      <c r="AR908" s="40"/>
      <c r="AS908" s="23"/>
    </row>
    <row r="909" spans="1:45" ht="15.75" x14ac:dyDescent="0.25">
      <c r="A909" s="44"/>
      <c r="B909" s="23"/>
      <c r="C909" s="23"/>
      <c r="D909" s="23"/>
      <c r="E909" s="68"/>
      <c r="F909" s="68"/>
      <c r="G909" s="110"/>
      <c r="H909" s="110"/>
      <c r="I909" s="68"/>
      <c r="J909" s="68"/>
      <c r="K909" s="110"/>
      <c r="L909" s="110"/>
      <c r="M909" s="68"/>
      <c r="N909" s="68"/>
      <c r="O909" s="110"/>
      <c r="P909" s="110"/>
      <c r="Q909" s="68"/>
      <c r="R909" s="68"/>
      <c r="S909" s="110"/>
      <c r="T909" s="110"/>
      <c r="U909" s="68"/>
      <c r="V909" s="68"/>
      <c r="W909" s="110"/>
      <c r="X909" s="110"/>
      <c r="Y909" s="110"/>
      <c r="Z909" s="110"/>
      <c r="AA909" s="110"/>
      <c r="AB909" s="110"/>
      <c r="AC909" s="114"/>
      <c r="AD909" s="68"/>
      <c r="AE909" s="110"/>
      <c r="AF909" s="110"/>
      <c r="AG909" s="68"/>
      <c r="AH909" s="68"/>
      <c r="AI909" s="110"/>
      <c r="AJ909" s="110"/>
      <c r="AK909" s="68"/>
      <c r="AL909" s="68"/>
      <c r="AM909" s="110"/>
      <c r="AN909" s="110"/>
      <c r="AO909" s="68"/>
      <c r="AP909" s="68"/>
      <c r="AQ909" s="40"/>
      <c r="AR909" s="40"/>
      <c r="AS909" s="23"/>
    </row>
    <row r="910" spans="1:45" ht="15.75" x14ac:dyDescent="0.25">
      <c r="A910" s="44"/>
      <c r="B910" s="23"/>
      <c r="C910" s="23"/>
      <c r="D910" s="23"/>
      <c r="E910" s="68"/>
      <c r="F910" s="68"/>
      <c r="G910" s="110"/>
      <c r="H910" s="110"/>
      <c r="I910" s="68"/>
      <c r="J910" s="68"/>
      <c r="K910" s="110"/>
      <c r="L910" s="110"/>
      <c r="M910" s="68"/>
      <c r="N910" s="68"/>
      <c r="O910" s="110"/>
      <c r="P910" s="110"/>
      <c r="Q910" s="68"/>
      <c r="R910" s="68"/>
      <c r="S910" s="110"/>
      <c r="T910" s="110"/>
      <c r="U910" s="68"/>
      <c r="V910" s="68"/>
      <c r="W910" s="110"/>
      <c r="X910" s="110"/>
      <c r="Y910" s="110"/>
      <c r="Z910" s="110"/>
      <c r="AA910" s="110"/>
      <c r="AB910" s="110"/>
      <c r="AC910" s="114"/>
      <c r="AD910" s="68"/>
      <c r="AE910" s="110"/>
      <c r="AF910" s="110"/>
      <c r="AG910" s="68"/>
      <c r="AH910" s="68"/>
      <c r="AI910" s="110"/>
      <c r="AJ910" s="110"/>
      <c r="AK910" s="68"/>
      <c r="AL910" s="68"/>
      <c r="AM910" s="110"/>
      <c r="AN910" s="110"/>
      <c r="AO910" s="68"/>
      <c r="AP910" s="68"/>
      <c r="AQ910" s="40"/>
      <c r="AR910" s="40"/>
      <c r="AS910" s="23"/>
    </row>
    <row r="911" spans="1:45" ht="15.75" x14ac:dyDescent="0.25">
      <c r="A911" s="44"/>
      <c r="B911" s="23"/>
      <c r="C911" s="23"/>
      <c r="D911" s="23"/>
      <c r="E911" s="68"/>
      <c r="F911" s="68"/>
      <c r="G911" s="110"/>
      <c r="H911" s="110"/>
      <c r="I911" s="68"/>
      <c r="J911" s="68"/>
      <c r="K911" s="110"/>
      <c r="L911" s="110"/>
      <c r="M911" s="68"/>
      <c r="N911" s="68"/>
      <c r="O911" s="110"/>
      <c r="P911" s="110"/>
      <c r="Q911" s="68"/>
      <c r="R911" s="68"/>
      <c r="S911" s="110"/>
      <c r="T911" s="110"/>
      <c r="U911" s="68"/>
      <c r="V911" s="68"/>
      <c r="W911" s="110"/>
      <c r="X911" s="110"/>
      <c r="Y911" s="110"/>
      <c r="Z911" s="110"/>
      <c r="AA911" s="110"/>
      <c r="AB911" s="110"/>
      <c r="AC911" s="114"/>
      <c r="AD911" s="68"/>
      <c r="AE911" s="110"/>
      <c r="AF911" s="110"/>
      <c r="AG911" s="68"/>
      <c r="AH911" s="68"/>
      <c r="AI911" s="110"/>
      <c r="AJ911" s="110"/>
      <c r="AK911" s="68"/>
      <c r="AL911" s="68"/>
      <c r="AM911" s="110"/>
      <c r="AN911" s="110"/>
      <c r="AO911" s="68"/>
      <c r="AP911" s="68"/>
      <c r="AQ911" s="40"/>
      <c r="AR911" s="40"/>
      <c r="AS911" s="23"/>
    </row>
    <row r="912" spans="1:45" ht="15.75" x14ac:dyDescent="0.25">
      <c r="A912" s="44"/>
      <c r="B912" s="23"/>
      <c r="C912" s="23"/>
      <c r="D912" s="23"/>
      <c r="E912" s="68"/>
      <c r="F912" s="68"/>
      <c r="G912" s="110"/>
      <c r="H912" s="110"/>
      <c r="I912" s="68"/>
      <c r="J912" s="68"/>
      <c r="K912" s="110"/>
      <c r="L912" s="110"/>
      <c r="M912" s="68"/>
      <c r="N912" s="68"/>
      <c r="O912" s="110"/>
      <c r="P912" s="110"/>
      <c r="Q912" s="68"/>
      <c r="R912" s="68"/>
      <c r="S912" s="110"/>
      <c r="T912" s="110"/>
      <c r="U912" s="68"/>
      <c r="V912" s="68"/>
      <c r="W912" s="110"/>
      <c r="X912" s="110"/>
      <c r="Y912" s="110"/>
      <c r="Z912" s="110"/>
      <c r="AA912" s="110"/>
      <c r="AB912" s="110"/>
      <c r="AC912" s="114"/>
      <c r="AD912" s="68"/>
      <c r="AE912" s="110"/>
      <c r="AF912" s="110"/>
      <c r="AG912" s="68"/>
      <c r="AH912" s="68"/>
      <c r="AI912" s="110"/>
      <c r="AJ912" s="110"/>
      <c r="AK912" s="68"/>
      <c r="AL912" s="68"/>
      <c r="AM912" s="110"/>
      <c r="AN912" s="110"/>
      <c r="AO912" s="68"/>
      <c r="AP912" s="68"/>
      <c r="AQ912" s="40"/>
      <c r="AR912" s="40"/>
      <c r="AS912" s="23"/>
    </row>
    <row r="913" spans="1:45" ht="15.75" x14ac:dyDescent="0.25">
      <c r="A913" s="44"/>
      <c r="B913" s="23"/>
      <c r="C913" s="23"/>
      <c r="D913" s="23"/>
      <c r="E913" s="68"/>
      <c r="F913" s="68"/>
      <c r="G913" s="110"/>
      <c r="H913" s="110"/>
      <c r="I913" s="68"/>
      <c r="J913" s="68"/>
      <c r="K913" s="110"/>
      <c r="L913" s="110"/>
      <c r="M913" s="68"/>
      <c r="N913" s="68"/>
      <c r="O913" s="110"/>
      <c r="P913" s="110"/>
      <c r="Q913" s="68"/>
      <c r="R913" s="68"/>
      <c r="S913" s="110"/>
      <c r="T913" s="110"/>
      <c r="U913" s="68"/>
      <c r="V913" s="68"/>
      <c r="W913" s="110"/>
      <c r="X913" s="110"/>
      <c r="Y913" s="110"/>
      <c r="Z913" s="110"/>
      <c r="AA913" s="110"/>
      <c r="AB913" s="110"/>
      <c r="AC913" s="114"/>
      <c r="AD913" s="68"/>
      <c r="AE913" s="110"/>
      <c r="AF913" s="110"/>
      <c r="AG913" s="68"/>
      <c r="AH913" s="68"/>
      <c r="AI913" s="110"/>
      <c r="AJ913" s="110"/>
      <c r="AK913" s="68"/>
      <c r="AL913" s="68"/>
      <c r="AM913" s="110"/>
      <c r="AN913" s="110"/>
      <c r="AO913" s="68"/>
      <c r="AP913" s="68"/>
      <c r="AQ913" s="40"/>
      <c r="AR913" s="40"/>
      <c r="AS913" s="23"/>
    </row>
    <row r="914" spans="1:45" ht="15.75" x14ac:dyDescent="0.25">
      <c r="A914" s="44"/>
      <c r="B914" s="23"/>
      <c r="C914" s="23"/>
      <c r="D914" s="23"/>
      <c r="E914" s="68"/>
      <c r="F914" s="68"/>
      <c r="G914" s="110"/>
      <c r="H914" s="110"/>
      <c r="I914" s="68"/>
      <c r="J914" s="68"/>
      <c r="K914" s="110"/>
      <c r="L914" s="110"/>
      <c r="M914" s="68"/>
      <c r="N914" s="68"/>
      <c r="O914" s="110"/>
      <c r="P914" s="110"/>
      <c r="Q914" s="68"/>
      <c r="R914" s="68"/>
      <c r="S914" s="110"/>
      <c r="T914" s="110"/>
      <c r="U914" s="68"/>
      <c r="V914" s="68"/>
      <c r="W914" s="110"/>
      <c r="X914" s="110"/>
      <c r="Y914" s="110"/>
      <c r="Z914" s="110"/>
      <c r="AA914" s="110"/>
      <c r="AB914" s="110"/>
      <c r="AC914" s="114"/>
      <c r="AD914" s="68"/>
      <c r="AE914" s="110"/>
      <c r="AF914" s="110"/>
      <c r="AG914" s="68"/>
      <c r="AH914" s="68"/>
      <c r="AI914" s="110"/>
      <c r="AJ914" s="110"/>
      <c r="AK914" s="68"/>
      <c r="AL914" s="68"/>
      <c r="AM914" s="110"/>
      <c r="AN914" s="110"/>
      <c r="AO914" s="68"/>
      <c r="AP914" s="68"/>
      <c r="AQ914" s="40"/>
      <c r="AR914" s="40"/>
      <c r="AS914" s="23"/>
    </row>
    <row r="915" spans="1:45" ht="15.75" x14ac:dyDescent="0.25">
      <c r="A915" s="44"/>
      <c r="B915" s="23"/>
      <c r="C915" s="23"/>
      <c r="D915" s="23"/>
      <c r="E915" s="68"/>
      <c r="F915" s="68"/>
      <c r="G915" s="110"/>
      <c r="H915" s="110"/>
      <c r="I915" s="68"/>
      <c r="J915" s="68"/>
      <c r="K915" s="110"/>
      <c r="L915" s="110"/>
      <c r="M915" s="68"/>
      <c r="N915" s="68"/>
      <c r="O915" s="110"/>
      <c r="P915" s="110"/>
      <c r="Q915" s="68"/>
      <c r="R915" s="68"/>
      <c r="S915" s="110"/>
      <c r="T915" s="110"/>
      <c r="U915" s="68"/>
      <c r="V915" s="68"/>
      <c r="W915" s="110"/>
      <c r="X915" s="110"/>
      <c r="Y915" s="110"/>
      <c r="Z915" s="110"/>
      <c r="AA915" s="110"/>
      <c r="AB915" s="110"/>
      <c r="AC915" s="114"/>
      <c r="AD915" s="68"/>
      <c r="AE915" s="110"/>
      <c r="AF915" s="110"/>
      <c r="AG915" s="68"/>
      <c r="AH915" s="68"/>
      <c r="AI915" s="110"/>
      <c r="AJ915" s="110"/>
      <c r="AK915" s="68"/>
      <c r="AL915" s="68"/>
      <c r="AM915" s="110"/>
      <c r="AN915" s="110"/>
      <c r="AO915" s="68"/>
      <c r="AP915" s="68"/>
      <c r="AQ915" s="40"/>
      <c r="AR915" s="40"/>
      <c r="AS915" s="23"/>
    </row>
    <row r="916" spans="1:45" ht="15.75" x14ac:dyDescent="0.25">
      <c r="A916" s="44"/>
      <c r="B916" s="23"/>
      <c r="C916" s="23"/>
      <c r="D916" s="23"/>
      <c r="E916" s="68"/>
      <c r="F916" s="68"/>
      <c r="G916" s="110"/>
      <c r="H916" s="110"/>
      <c r="I916" s="68"/>
      <c r="J916" s="68"/>
      <c r="K916" s="110"/>
      <c r="L916" s="110"/>
      <c r="M916" s="68"/>
      <c r="N916" s="68"/>
      <c r="O916" s="110"/>
      <c r="P916" s="110"/>
      <c r="Q916" s="68"/>
      <c r="R916" s="68"/>
      <c r="S916" s="110"/>
      <c r="T916" s="110"/>
      <c r="U916" s="68"/>
      <c r="V916" s="68"/>
      <c r="W916" s="110"/>
      <c r="X916" s="110"/>
      <c r="Y916" s="110"/>
      <c r="Z916" s="110"/>
      <c r="AA916" s="110"/>
      <c r="AB916" s="110"/>
      <c r="AC916" s="114"/>
      <c r="AD916" s="68"/>
      <c r="AE916" s="110"/>
      <c r="AF916" s="110"/>
      <c r="AG916" s="68"/>
      <c r="AH916" s="68"/>
      <c r="AI916" s="110"/>
      <c r="AJ916" s="110"/>
      <c r="AK916" s="68"/>
      <c r="AL916" s="68"/>
      <c r="AM916" s="110"/>
      <c r="AN916" s="110"/>
      <c r="AO916" s="68"/>
      <c r="AP916" s="68"/>
      <c r="AQ916" s="40"/>
      <c r="AR916" s="40"/>
      <c r="AS916" s="23"/>
    </row>
    <row r="917" spans="1:45" ht="15.75" x14ac:dyDescent="0.25">
      <c r="A917" s="44"/>
      <c r="B917" s="23"/>
      <c r="C917" s="23"/>
      <c r="D917" s="23"/>
      <c r="E917" s="68"/>
      <c r="F917" s="68"/>
      <c r="G917" s="110"/>
      <c r="H917" s="110"/>
      <c r="I917" s="68"/>
      <c r="J917" s="68"/>
      <c r="K917" s="110"/>
      <c r="L917" s="110"/>
      <c r="M917" s="68"/>
      <c r="N917" s="68"/>
      <c r="O917" s="110"/>
      <c r="P917" s="110"/>
      <c r="Q917" s="68"/>
      <c r="R917" s="68"/>
      <c r="S917" s="110"/>
      <c r="T917" s="110"/>
      <c r="U917" s="68"/>
      <c r="V917" s="68"/>
      <c r="W917" s="110"/>
      <c r="X917" s="110"/>
      <c r="Y917" s="110"/>
      <c r="Z917" s="110"/>
      <c r="AA917" s="110"/>
      <c r="AB917" s="110"/>
      <c r="AC917" s="114"/>
      <c r="AD917" s="68"/>
      <c r="AE917" s="110"/>
      <c r="AF917" s="110"/>
      <c r="AG917" s="68"/>
      <c r="AH917" s="68"/>
      <c r="AI917" s="110"/>
      <c r="AJ917" s="110"/>
      <c r="AK917" s="68"/>
      <c r="AL917" s="68"/>
      <c r="AM917" s="110"/>
      <c r="AN917" s="110"/>
      <c r="AO917" s="68"/>
      <c r="AP917" s="68"/>
      <c r="AQ917" s="40"/>
      <c r="AR917" s="40"/>
      <c r="AS917" s="23"/>
    </row>
    <row r="918" spans="1:45" ht="15.75" x14ac:dyDescent="0.25">
      <c r="A918" s="44"/>
      <c r="B918" s="23"/>
      <c r="C918" s="23"/>
      <c r="D918" s="23"/>
      <c r="E918" s="68"/>
      <c r="F918" s="68"/>
      <c r="G918" s="110"/>
      <c r="H918" s="110"/>
      <c r="I918" s="68"/>
      <c r="J918" s="68"/>
      <c r="K918" s="110"/>
      <c r="L918" s="110"/>
      <c r="M918" s="68"/>
      <c r="N918" s="68"/>
      <c r="O918" s="110"/>
      <c r="P918" s="110"/>
      <c r="Q918" s="68"/>
      <c r="R918" s="68"/>
      <c r="S918" s="110"/>
      <c r="T918" s="110"/>
      <c r="U918" s="68"/>
      <c r="V918" s="68"/>
      <c r="W918" s="110"/>
      <c r="X918" s="110"/>
      <c r="Y918" s="110"/>
      <c r="Z918" s="110"/>
      <c r="AA918" s="110"/>
      <c r="AB918" s="110"/>
      <c r="AC918" s="114"/>
      <c r="AD918" s="68"/>
      <c r="AE918" s="110"/>
      <c r="AF918" s="110"/>
      <c r="AG918" s="68"/>
      <c r="AH918" s="68"/>
      <c r="AI918" s="110"/>
      <c r="AJ918" s="110"/>
      <c r="AK918" s="68"/>
      <c r="AL918" s="68"/>
      <c r="AM918" s="110"/>
      <c r="AN918" s="110"/>
      <c r="AO918" s="68"/>
      <c r="AP918" s="68"/>
      <c r="AQ918" s="40"/>
      <c r="AR918" s="40"/>
      <c r="AS918" s="23"/>
    </row>
    <row r="919" spans="1:45" ht="15.75" x14ac:dyDescent="0.25">
      <c r="A919" s="44"/>
      <c r="B919" s="23"/>
      <c r="C919" s="23"/>
      <c r="D919" s="23"/>
      <c r="E919" s="68"/>
      <c r="F919" s="68"/>
      <c r="G919" s="110"/>
      <c r="H919" s="110"/>
      <c r="I919" s="68"/>
      <c r="J919" s="68"/>
      <c r="K919" s="110"/>
      <c r="L919" s="110"/>
      <c r="M919" s="68"/>
      <c r="N919" s="68"/>
      <c r="O919" s="110"/>
      <c r="P919" s="110"/>
      <c r="Q919" s="68"/>
      <c r="R919" s="68"/>
      <c r="S919" s="110"/>
      <c r="T919" s="110"/>
      <c r="U919" s="68"/>
      <c r="V919" s="68"/>
      <c r="W919" s="110"/>
      <c r="X919" s="110"/>
      <c r="Y919" s="110"/>
      <c r="Z919" s="110"/>
      <c r="AA919" s="110"/>
      <c r="AB919" s="110"/>
      <c r="AC919" s="114"/>
      <c r="AD919" s="68"/>
      <c r="AE919" s="110"/>
      <c r="AF919" s="110"/>
      <c r="AG919" s="68"/>
      <c r="AH919" s="68"/>
      <c r="AI919" s="110"/>
      <c r="AJ919" s="110"/>
      <c r="AK919" s="68"/>
      <c r="AL919" s="68"/>
      <c r="AM919" s="110"/>
      <c r="AN919" s="110"/>
      <c r="AO919" s="68"/>
      <c r="AP919" s="68"/>
      <c r="AQ919" s="40"/>
      <c r="AR919" s="40"/>
      <c r="AS919" s="23"/>
    </row>
    <row r="920" spans="1:45" ht="15.75" x14ac:dyDescent="0.25">
      <c r="A920" s="44"/>
      <c r="B920" s="23"/>
      <c r="C920" s="23"/>
      <c r="D920" s="23"/>
      <c r="E920" s="68"/>
      <c r="F920" s="68"/>
      <c r="G920" s="110"/>
      <c r="H920" s="110"/>
      <c r="I920" s="68"/>
      <c r="J920" s="68"/>
      <c r="K920" s="110"/>
      <c r="L920" s="110"/>
      <c r="M920" s="68"/>
      <c r="N920" s="68"/>
      <c r="O920" s="110"/>
      <c r="P920" s="110"/>
      <c r="Q920" s="68"/>
      <c r="R920" s="68"/>
      <c r="S920" s="110"/>
      <c r="T920" s="110"/>
      <c r="U920" s="68"/>
      <c r="V920" s="68"/>
      <c r="W920" s="110"/>
      <c r="X920" s="110"/>
      <c r="Y920" s="110"/>
      <c r="Z920" s="110"/>
      <c r="AA920" s="110"/>
      <c r="AB920" s="110"/>
      <c r="AC920" s="114"/>
      <c r="AD920" s="68"/>
      <c r="AE920" s="110"/>
      <c r="AF920" s="110"/>
      <c r="AG920" s="68"/>
      <c r="AH920" s="68"/>
      <c r="AI920" s="110"/>
      <c r="AJ920" s="110"/>
      <c r="AK920" s="68"/>
      <c r="AL920" s="68"/>
      <c r="AM920" s="110"/>
      <c r="AN920" s="110"/>
      <c r="AO920" s="68"/>
      <c r="AP920" s="68"/>
      <c r="AQ920" s="40"/>
      <c r="AR920" s="40"/>
      <c r="AS920" s="23"/>
    </row>
    <row r="921" spans="1:45" ht="15.75" x14ac:dyDescent="0.25">
      <c r="A921" s="44"/>
      <c r="B921" s="23"/>
      <c r="C921" s="23"/>
      <c r="D921" s="23"/>
      <c r="E921" s="68"/>
      <c r="F921" s="68"/>
      <c r="G921" s="110"/>
      <c r="H921" s="110"/>
      <c r="I921" s="68"/>
      <c r="J921" s="68"/>
      <c r="K921" s="110"/>
      <c r="L921" s="110"/>
      <c r="M921" s="68"/>
      <c r="N921" s="68"/>
      <c r="O921" s="110"/>
      <c r="P921" s="110"/>
      <c r="Q921" s="68"/>
      <c r="R921" s="68"/>
      <c r="S921" s="110"/>
      <c r="T921" s="110"/>
      <c r="U921" s="68"/>
      <c r="V921" s="68"/>
      <c r="W921" s="110"/>
      <c r="X921" s="110"/>
      <c r="Y921" s="110"/>
      <c r="Z921" s="110"/>
      <c r="AA921" s="110"/>
      <c r="AB921" s="110"/>
      <c r="AC921" s="114"/>
      <c r="AD921" s="68"/>
      <c r="AE921" s="110"/>
      <c r="AF921" s="110"/>
      <c r="AG921" s="68"/>
      <c r="AH921" s="68"/>
      <c r="AI921" s="110"/>
      <c r="AJ921" s="110"/>
      <c r="AK921" s="68"/>
      <c r="AL921" s="68"/>
      <c r="AM921" s="110"/>
      <c r="AN921" s="110"/>
      <c r="AO921" s="68"/>
      <c r="AP921" s="68"/>
      <c r="AQ921" s="40"/>
      <c r="AR921" s="40"/>
      <c r="AS921" s="23"/>
    </row>
    <row r="922" spans="1:45" ht="15.75" x14ac:dyDescent="0.25">
      <c r="A922" s="44"/>
      <c r="B922" s="23"/>
      <c r="C922" s="23"/>
      <c r="D922" s="23"/>
      <c r="E922" s="68"/>
      <c r="F922" s="68"/>
      <c r="G922" s="110"/>
      <c r="H922" s="110"/>
      <c r="I922" s="68"/>
      <c r="J922" s="68"/>
      <c r="K922" s="110"/>
      <c r="L922" s="110"/>
      <c r="M922" s="68"/>
      <c r="N922" s="68"/>
      <c r="O922" s="110"/>
      <c r="P922" s="110"/>
      <c r="Q922" s="68"/>
      <c r="R922" s="68"/>
      <c r="S922" s="110"/>
      <c r="T922" s="110"/>
      <c r="U922" s="68"/>
      <c r="V922" s="68"/>
      <c r="W922" s="110"/>
      <c r="X922" s="110"/>
      <c r="Y922" s="110"/>
      <c r="Z922" s="110"/>
      <c r="AA922" s="110"/>
      <c r="AB922" s="110"/>
      <c r="AC922" s="114"/>
      <c r="AD922" s="68"/>
      <c r="AE922" s="110"/>
      <c r="AF922" s="110"/>
      <c r="AG922" s="68"/>
      <c r="AH922" s="68"/>
      <c r="AI922" s="110"/>
      <c r="AJ922" s="110"/>
      <c r="AK922" s="68"/>
      <c r="AL922" s="68"/>
      <c r="AM922" s="110"/>
      <c r="AN922" s="110"/>
      <c r="AO922" s="68"/>
      <c r="AP922" s="68"/>
      <c r="AQ922" s="40"/>
      <c r="AR922" s="40"/>
      <c r="AS922" s="23"/>
    </row>
    <row r="923" spans="1:45" ht="15.75" x14ac:dyDescent="0.25">
      <c r="A923" s="44"/>
      <c r="B923" s="23"/>
      <c r="C923" s="23"/>
      <c r="D923" s="23"/>
      <c r="E923" s="68"/>
      <c r="F923" s="68"/>
      <c r="G923" s="110"/>
      <c r="H923" s="110"/>
      <c r="I923" s="68"/>
      <c r="J923" s="68"/>
      <c r="K923" s="110"/>
      <c r="L923" s="110"/>
      <c r="M923" s="68"/>
      <c r="N923" s="68"/>
      <c r="O923" s="110"/>
      <c r="P923" s="110"/>
      <c r="Q923" s="68"/>
      <c r="R923" s="68"/>
      <c r="S923" s="110"/>
      <c r="T923" s="110"/>
      <c r="U923" s="68"/>
      <c r="V923" s="68"/>
      <c r="W923" s="110"/>
      <c r="X923" s="110"/>
      <c r="Y923" s="110"/>
      <c r="Z923" s="110"/>
      <c r="AA923" s="110"/>
      <c r="AB923" s="110"/>
      <c r="AC923" s="114"/>
      <c r="AD923" s="68"/>
      <c r="AE923" s="110"/>
      <c r="AF923" s="110"/>
      <c r="AG923" s="68"/>
      <c r="AH923" s="68"/>
      <c r="AI923" s="110"/>
      <c r="AJ923" s="110"/>
      <c r="AK923" s="68"/>
      <c r="AL923" s="68"/>
      <c r="AM923" s="110"/>
      <c r="AN923" s="110"/>
      <c r="AO923" s="68"/>
      <c r="AP923" s="68"/>
      <c r="AQ923" s="40"/>
      <c r="AR923" s="40"/>
      <c r="AS923" s="23"/>
    </row>
    <row r="924" spans="1:45" ht="15.75" x14ac:dyDescent="0.25">
      <c r="A924" s="44"/>
      <c r="B924" s="23"/>
      <c r="C924" s="23"/>
      <c r="D924" s="23"/>
      <c r="E924" s="68"/>
      <c r="F924" s="68"/>
      <c r="G924" s="110"/>
      <c r="H924" s="110"/>
      <c r="I924" s="68"/>
      <c r="J924" s="68"/>
      <c r="K924" s="110"/>
      <c r="L924" s="110"/>
      <c r="M924" s="68"/>
      <c r="N924" s="68"/>
      <c r="O924" s="110"/>
      <c r="P924" s="110"/>
      <c r="Q924" s="68"/>
      <c r="R924" s="68"/>
      <c r="S924" s="110"/>
      <c r="T924" s="110"/>
      <c r="U924" s="68"/>
      <c r="V924" s="68"/>
      <c r="W924" s="110"/>
      <c r="X924" s="110"/>
      <c r="Y924" s="110"/>
      <c r="Z924" s="110"/>
      <c r="AA924" s="110"/>
      <c r="AB924" s="110"/>
      <c r="AC924" s="114"/>
      <c r="AD924" s="68"/>
      <c r="AE924" s="110"/>
      <c r="AF924" s="110"/>
      <c r="AG924" s="68"/>
      <c r="AH924" s="68"/>
      <c r="AI924" s="110"/>
      <c r="AJ924" s="110"/>
      <c r="AK924" s="68"/>
      <c r="AL924" s="68"/>
      <c r="AM924" s="110"/>
      <c r="AN924" s="110"/>
      <c r="AO924" s="68"/>
      <c r="AP924" s="68"/>
      <c r="AQ924" s="40"/>
      <c r="AR924" s="40"/>
      <c r="AS924" s="23"/>
    </row>
    <row r="925" spans="1:45" ht="15.75" x14ac:dyDescent="0.25">
      <c r="A925" s="44"/>
      <c r="B925" s="23"/>
      <c r="C925" s="23"/>
      <c r="D925" s="23"/>
      <c r="E925" s="68"/>
      <c r="F925" s="68"/>
      <c r="G925" s="110"/>
      <c r="H925" s="110"/>
      <c r="I925" s="68"/>
      <c r="J925" s="68"/>
      <c r="K925" s="110"/>
      <c r="L925" s="110"/>
      <c r="M925" s="68"/>
      <c r="N925" s="68"/>
      <c r="O925" s="110"/>
      <c r="P925" s="110"/>
      <c r="Q925" s="68"/>
      <c r="R925" s="68"/>
      <c r="S925" s="110"/>
      <c r="T925" s="110"/>
      <c r="U925" s="68"/>
      <c r="V925" s="68"/>
      <c r="W925" s="110"/>
      <c r="X925" s="110"/>
      <c r="Y925" s="110"/>
      <c r="Z925" s="110"/>
      <c r="AA925" s="110"/>
      <c r="AB925" s="110"/>
      <c r="AC925" s="114"/>
      <c r="AD925" s="68"/>
      <c r="AE925" s="110"/>
      <c r="AF925" s="110"/>
      <c r="AG925" s="68"/>
      <c r="AH925" s="68"/>
      <c r="AI925" s="110"/>
      <c r="AJ925" s="110"/>
      <c r="AK925" s="68"/>
      <c r="AL925" s="68"/>
      <c r="AM925" s="110"/>
      <c r="AN925" s="110"/>
      <c r="AO925" s="68"/>
      <c r="AP925" s="68"/>
      <c r="AQ925" s="40"/>
      <c r="AR925" s="40"/>
      <c r="AS925" s="23"/>
    </row>
    <row r="926" spans="1:45" ht="15.75" x14ac:dyDescent="0.25">
      <c r="A926" s="44"/>
      <c r="B926" s="23"/>
      <c r="C926" s="23"/>
      <c r="D926" s="23"/>
      <c r="E926" s="68"/>
      <c r="F926" s="68"/>
      <c r="G926" s="110"/>
      <c r="H926" s="110"/>
      <c r="I926" s="68"/>
      <c r="J926" s="68"/>
      <c r="K926" s="110"/>
      <c r="L926" s="110"/>
      <c r="M926" s="68"/>
      <c r="N926" s="68"/>
      <c r="O926" s="110"/>
      <c r="P926" s="110"/>
      <c r="Q926" s="68"/>
      <c r="R926" s="68"/>
      <c r="S926" s="110"/>
      <c r="T926" s="110"/>
      <c r="U926" s="68"/>
      <c r="V926" s="68"/>
      <c r="W926" s="110"/>
      <c r="X926" s="110"/>
      <c r="Y926" s="110"/>
      <c r="Z926" s="110"/>
      <c r="AA926" s="110"/>
      <c r="AB926" s="110"/>
      <c r="AC926" s="114"/>
      <c r="AD926" s="68"/>
      <c r="AE926" s="110"/>
      <c r="AF926" s="110"/>
      <c r="AG926" s="68"/>
      <c r="AH926" s="68"/>
      <c r="AI926" s="110"/>
      <c r="AJ926" s="110"/>
      <c r="AK926" s="68"/>
      <c r="AL926" s="68"/>
      <c r="AM926" s="110"/>
      <c r="AN926" s="110"/>
      <c r="AO926" s="68"/>
      <c r="AP926" s="68"/>
      <c r="AQ926" s="40"/>
      <c r="AR926" s="40"/>
      <c r="AS926" s="23"/>
    </row>
    <row r="927" spans="1:45" ht="15.75" x14ac:dyDescent="0.25">
      <c r="A927" s="44"/>
      <c r="B927" s="23"/>
      <c r="C927" s="23"/>
      <c r="D927" s="23"/>
      <c r="E927" s="68"/>
      <c r="F927" s="68"/>
      <c r="G927" s="110"/>
      <c r="H927" s="110"/>
      <c r="I927" s="68"/>
      <c r="J927" s="68"/>
      <c r="K927" s="110"/>
      <c r="L927" s="110"/>
      <c r="M927" s="68"/>
      <c r="N927" s="68"/>
      <c r="O927" s="110"/>
      <c r="P927" s="110"/>
      <c r="Q927" s="68"/>
      <c r="R927" s="68"/>
      <c r="S927" s="110"/>
      <c r="T927" s="110"/>
      <c r="U927" s="68"/>
      <c r="V927" s="68"/>
      <c r="W927" s="110"/>
      <c r="X927" s="110"/>
      <c r="Y927" s="110"/>
      <c r="Z927" s="110"/>
      <c r="AA927" s="110"/>
      <c r="AB927" s="110"/>
      <c r="AC927" s="114"/>
      <c r="AD927" s="68"/>
      <c r="AE927" s="110"/>
      <c r="AF927" s="110"/>
      <c r="AG927" s="68"/>
      <c r="AH927" s="68"/>
      <c r="AI927" s="110"/>
      <c r="AJ927" s="110"/>
      <c r="AK927" s="68"/>
      <c r="AL927" s="68"/>
      <c r="AM927" s="110"/>
      <c r="AN927" s="110"/>
      <c r="AO927" s="68"/>
      <c r="AP927" s="68"/>
      <c r="AQ927" s="40"/>
      <c r="AR927" s="40"/>
      <c r="AS927" s="23"/>
    </row>
    <row r="928" spans="1:45" ht="15.75" x14ac:dyDescent="0.25">
      <c r="A928" s="44"/>
      <c r="B928" s="23"/>
      <c r="C928" s="23"/>
      <c r="D928" s="23"/>
      <c r="E928" s="68"/>
      <c r="F928" s="68"/>
      <c r="G928" s="110"/>
      <c r="H928" s="110"/>
      <c r="I928" s="68"/>
      <c r="J928" s="68"/>
      <c r="K928" s="110"/>
      <c r="L928" s="110"/>
      <c r="M928" s="68"/>
      <c r="N928" s="68"/>
      <c r="O928" s="110"/>
      <c r="P928" s="110"/>
      <c r="Q928" s="68"/>
      <c r="R928" s="68"/>
      <c r="S928" s="110"/>
      <c r="T928" s="110"/>
      <c r="U928" s="68"/>
      <c r="V928" s="68"/>
      <c r="W928" s="110"/>
      <c r="X928" s="110"/>
      <c r="Y928" s="110"/>
      <c r="Z928" s="110"/>
      <c r="AA928" s="110"/>
      <c r="AB928" s="110"/>
      <c r="AC928" s="114"/>
      <c r="AD928" s="68"/>
      <c r="AE928" s="110"/>
      <c r="AF928" s="110"/>
      <c r="AG928" s="68"/>
      <c r="AH928" s="68"/>
      <c r="AI928" s="110"/>
      <c r="AJ928" s="110"/>
      <c r="AK928" s="68"/>
      <c r="AL928" s="68"/>
      <c r="AM928" s="110"/>
      <c r="AN928" s="110"/>
      <c r="AO928" s="68"/>
      <c r="AP928" s="68"/>
      <c r="AQ928" s="40"/>
      <c r="AR928" s="40"/>
      <c r="AS928" s="23"/>
    </row>
    <row r="929" spans="1:45" ht="15.75" x14ac:dyDescent="0.25">
      <c r="A929" s="44"/>
      <c r="B929" s="23"/>
      <c r="C929" s="23"/>
      <c r="D929" s="23"/>
      <c r="E929" s="68"/>
      <c r="F929" s="68"/>
      <c r="G929" s="110"/>
      <c r="H929" s="110"/>
      <c r="I929" s="68"/>
      <c r="J929" s="68"/>
      <c r="K929" s="110"/>
      <c r="L929" s="110"/>
      <c r="M929" s="68"/>
      <c r="N929" s="68"/>
      <c r="O929" s="110"/>
      <c r="P929" s="110"/>
      <c r="Q929" s="68"/>
      <c r="R929" s="68"/>
      <c r="S929" s="110"/>
      <c r="T929" s="110"/>
      <c r="U929" s="68"/>
      <c r="V929" s="68"/>
      <c r="W929" s="110"/>
      <c r="X929" s="110"/>
      <c r="Y929" s="110"/>
      <c r="Z929" s="110"/>
      <c r="AA929" s="110"/>
      <c r="AB929" s="110"/>
      <c r="AC929" s="114"/>
      <c r="AD929" s="68"/>
      <c r="AE929" s="110"/>
      <c r="AF929" s="110"/>
      <c r="AG929" s="68"/>
      <c r="AH929" s="68"/>
      <c r="AI929" s="110"/>
      <c r="AJ929" s="110"/>
      <c r="AK929" s="68"/>
      <c r="AL929" s="68"/>
      <c r="AM929" s="110"/>
      <c r="AN929" s="110"/>
      <c r="AO929" s="68"/>
      <c r="AP929" s="68"/>
      <c r="AQ929" s="40"/>
      <c r="AR929" s="40"/>
      <c r="AS929" s="23"/>
    </row>
    <row r="930" spans="1:45" ht="15.75" x14ac:dyDescent="0.25">
      <c r="A930" s="44"/>
      <c r="B930" s="23"/>
      <c r="C930" s="23"/>
      <c r="D930" s="23"/>
      <c r="E930" s="68"/>
      <c r="F930" s="68"/>
      <c r="G930" s="110"/>
      <c r="H930" s="110"/>
      <c r="I930" s="68"/>
      <c r="J930" s="68"/>
      <c r="K930" s="110"/>
      <c r="L930" s="110"/>
      <c r="M930" s="68"/>
      <c r="N930" s="68"/>
      <c r="O930" s="110"/>
      <c r="P930" s="110"/>
      <c r="Q930" s="68"/>
      <c r="R930" s="68"/>
      <c r="S930" s="110"/>
      <c r="T930" s="110"/>
      <c r="U930" s="68"/>
      <c r="V930" s="68"/>
      <c r="W930" s="110"/>
      <c r="X930" s="110"/>
      <c r="Y930" s="110"/>
      <c r="Z930" s="110"/>
      <c r="AA930" s="110"/>
      <c r="AB930" s="110"/>
      <c r="AC930" s="114"/>
      <c r="AD930" s="68"/>
      <c r="AE930" s="110"/>
      <c r="AF930" s="110"/>
      <c r="AG930" s="68"/>
      <c r="AH930" s="68"/>
      <c r="AI930" s="110"/>
      <c r="AJ930" s="110"/>
      <c r="AK930" s="68"/>
      <c r="AL930" s="68"/>
      <c r="AM930" s="110"/>
      <c r="AN930" s="110"/>
      <c r="AO930" s="68"/>
      <c r="AP930" s="68"/>
      <c r="AQ930" s="40"/>
      <c r="AR930" s="40"/>
      <c r="AS930" s="23"/>
    </row>
    <row r="931" spans="1:45" ht="15.75" x14ac:dyDescent="0.25">
      <c r="A931" s="44"/>
      <c r="B931" s="23"/>
      <c r="C931" s="23"/>
      <c r="D931" s="23"/>
      <c r="E931" s="68"/>
      <c r="F931" s="68"/>
      <c r="G931" s="110"/>
      <c r="H931" s="110"/>
      <c r="I931" s="68"/>
      <c r="J931" s="68"/>
      <c r="K931" s="110"/>
      <c r="L931" s="110"/>
      <c r="M931" s="68"/>
      <c r="N931" s="68"/>
      <c r="O931" s="110"/>
      <c r="P931" s="110"/>
      <c r="Q931" s="68"/>
      <c r="R931" s="68"/>
      <c r="S931" s="110"/>
      <c r="T931" s="110"/>
      <c r="U931" s="68"/>
      <c r="V931" s="68"/>
      <c r="W931" s="110"/>
      <c r="X931" s="110"/>
      <c r="Y931" s="110"/>
      <c r="Z931" s="110"/>
      <c r="AA931" s="110"/>
      <c r="AB931" s="110"/>
      <c r="AC931" s="114"/>
      <c r="AD931" s="68"/>
      <c r="AE931" s="110"/>
      <c r="AF931" s="110"/>
      <c r="AG931" s="68"/>
      <c r="AH931" s="68"/>
      <c r="AI931" s="110"/>
      <c r="AJ931" s="110"/>
      <c r="AK931" s="68"/>
      <c r="AL931" s="68"/>
      <c r="AM931" s="110"/>
      <c r="AN931" s="110"/>
      <c r="AO931" s="68"/>
      <c r="AP931" s="68"/>
      <c r="AQ931" s="40"/>
      <c r="AR931" s="40"/>
      <c r="AS931" s="23"/>
    </row>
    <row r="932" spans="1:45" ht="15.75" x14ac:dyDescent="0.25">
      <c r="A932" s="44"/>
      <c r="B932" s="23"/>
      <c r="C932" s="23"/>
      <c r="D932" s="23"/>
      <c r="E932" s="68"/>
      <c r="F932" s="68"/>
      <c r="G932" s="110"/>
      <c r="H932" s="110"/>
      <c r="I932" s="68"/>
      <c r="J932" s="68"/>
      <c r="K932" s="110"/>
      <c r="L932" s="110"/>
      <c r="M932" s="68"/>
      <c r="N932" s="68"/>
      <c r="O932" s="110"/>
      <c r="P932" s="110"/>
      <c r="Q932" s="68"/>
      <c r="R932" s="68"/>
      <c r="S932" s="110"/>
      <c r="T932" s="110"/>
      <c r="U932" s="68"/>
      <c r="V932" s="68"/>
      <c r="W932" s="110"/>
      <c r="X932" s="110"/>
      <c r="Y932" s="110"/>
      <c r="Z932" s="110"/>
      <c r="AA932" s="110"/>
      <c r="AB932" s="110"/>
      <c r="AC932" s="114"/>
      <c r="AD932" s="68"/>
      <c r="AE932" s="110"/>
      <c r="AF932" s="110"/>
      <c r="AG932" s="68"/>
      <c r="AH932" s="68"/>
      <c r="AI932" s="110"/>
      <c r="AJ932" s="110"/>
      <c r="AK932" s="68"/>
      <c r="AL932" s="68"/>
      <c r="AM932" s="110"/>
      <c r="AN932" s="110"/>
      <c r="AO932" s="68"/>
      <c r="AP932" s="68"/>
      <c r="AQ932" s="40"/>
      <c r="AR932" s="40"/>
      <c r="AS932" s="23"/>
    </row>
    <row r="933" spans="1:45" ht="15.75" x14ac:dyDescent="0.25">
      <c r="A933" s="44"/>
      <c r="B933" s="23"/>
      <c r="C933" s="23"/>
      <c r="D933" s="23"/>
      <c r="E933" s="68"/>
      <c r="F933" s="68"/>
      <c r="G933" s="110"/>
      <c r="H933" s="110"/>
      <c r="I933" s="68"/>
      <c r="J933" s="68"/>
      <c r="K933" s="110"/>
      <c r="L933" s="110"/>
      <c r="M933" s="68"/>
      <c r="N933" s="68"/>
      <c r="O933" s="110"/>
      <c r="P933" s="110"/>
      <c r="Q933" s="68"/>
      <c r="R933" s="68"/>
      <c r="S933" s="110"/>
      <c r="T933" s="110"/>
      <c r="U933" s="68"/>
      <c r="V933" s="68"/>
      <c r="W933" s="110"/>
      <c r="X933" s="110"/>
      <c r="Y933" s="110"/>
      <c r="Z933" s="110"/>
      <c r="AA933" s="110"/>
      <c r="AB933" s="110"/>
      <c r="AC933" s="114"/>
      <c r="AD933" s="68"/>
      <c r="AE933" s="110"/>
      <c r="AF933" s="110"/>
      <c r="AG933" s="68"/>
      <c r="AH933" s="68"/>
      <c r="AI933" s="110"/>
      <c r="AJ933" s="110"/>
      <c r="AK933" s="68"/>
      <c r="AL933" s="68"/>
      <c r="AM933" s="110"/>
      <c r="AN933" s="110"/>
      <c r="AO933" s="68"/>
      <c r="AP933" s="68"/>
      <c r="AQ933" s="40"/>
      <c r="AR933" s="40"/>
      <c r="AS933" s="23"/>
    </row>
    <row r="934" spans="1:45" ht="15.75" x14ac:dyDescent="0.25">
      <c r="A934" s="44"/>
      <c r="B934" s="23"/>
      <c r="C934" s="23"/>
      <c r="D934" s="23"/>
      <c r="E934" s="68"/>
      <c r="F934" s="68"/>
      <c r="G934" s="110"/>
      <c r="H934" s="110"/>
      <c r="I934" s="68"/>
      <c r="J934" s="68"/>
      <c r="K934" s="110"/>
      <c r="L934" s="110"/>
      <c r="M934" s="68"/>
      <c r="N934" s="68"/>
      <c r="O934" s="110"/>
      <c r="P934" s="110"/>
      <c r="Q934" s="68"/>
      <c r="R934" s="68"/>
      <c r="S934" s="110"/>
      <c r="T934" s="110"/>
      <c r="U934" s="68"/>
      <c r="V934" s="68"/>
      <c r="W934" s="110"/>
      <c r="X934" s="110"/>
      <c r="Y934" s="110"/>
      <c r="Z934" s="110"/>
      <c r="AA934" s="110"/>
      <c r="AB934" s="110"/>
      <c r="AC934" s="114"/>
      <c r="AD934" s="68"/>
      <c r="AE934" s="110"/>
      <c r="AF934" s="110"/>
      <c r="AG934" s="68"/>
      <c r="AH934" s="68"/>
      <c r="AI934" s="110"/>
      <c r="AJ934" s="110"/>
      <c r="AK934" s="68"/>
      <c r="AL934" s="68"/>
      <c r="AM934" s="110"/>
      <c r="AN934" s="110"/>
      <c r="AO934" s="68"/>
      <c r="AP934" s="68"/>
      <c r="AQ934" s="40"/>
      <c r="AR934" s="40"/>
      <c r="AS934" s="23"/>
    </row>
    <row r="935" spans="1:45" ht="15.75" x14ac:dyDescent="0.25">
      <c r="A935" s="44"/>
      <c r="B935" s="23"/>
      <c r="C935" s="23"/>
      <c r="D935" s="23"/>
      <c r="E935" s="68"/>
      <c r="F935" s="68"/>
      <c r="G935" s="110"/>
      <c r="H935" s="110"/>
      <c r="I935" s="68"/>
      <c r="J935" s="68"/>
      <c r="K935" s="110"/>
      <c r="L935" s="110"/>
      <c r="M935" s="68"/>
      <c r="N935" s="68"/>
      <c r="O935" s="110"/>
      <c r="P935" s="110"/>
      <c r="Q935" s="68"/>
      <c r="R935" s="68"/>
      <c r="S935" s="110"/>
      <c r="T935" s="110"/>
      <c r="U935" s="68"/>
      <c r="V935" s="68"/>
      <c r="W935" s="110"/>
      <c r="X935" s="110"/>
      <c r="Y935" s="110"/>
      <c r="Z935" s="110"/>
      <c r="AA935" s="110"/>
      <c r="AB935" s="110"/>
      <c r="AC935" s="114"/>
      <c r="AD935" s="68"/>
      <c r="AE935" s="110"/>
      <c r="AF935" s="110"/>
      <c r="AG935" s="68"/>
      <c r="AH935" s="68"/>
      <c r="AI935" s="110"/>
      <c r="AJ935" s="110"/>
      <c r="AK935" s="68"/>
      <c r="AL935" s="68"/>
      <c r="AM935" s="110"/>
      <c r="AN935" s="110"/>
      <c r="AO935" s="68"/>
      <c r="AP935" s="68"/>
      <c r="AQ935" s="40"/>
      <c r="AR935" s="40"/>
      <c r="AS935" s="23"/>
    </row>
    <row r="936" spans="1:45" ht="15.75" x14ac:dyDescent="0.25">
      <c r="A936" s="44"/>
      <c r="B936" s="23"/>
      <c r="C936" s="23"/>
      <c r="D936" s="23"/>
      <c r="E936" s="68"/>
      <c r="F936" s="68"/>
      <c r="G936" s="110"/>
      <c r="H936" s="110"/>
      <c r="I936" s="68"/>
      <c r="J936" s="68"/>
      <c r="K936" s="110"/>
      <c r="L936" s="110"/>
      <c r="M936" s="68"/>
      <c r="N936" s="68"/>
      <c r="O936" s="110"/>
      <c r="P936" s="110"/>
      <c r="Q936" s="68"/>
      <c r="R936" s="68"/>
      <c r="S936" s="110"/>
      <c r="T936" s="110"/>
      <c r="U936" s="68"/>
      <c r="V936" s="68"/>
      <c r="W936" s="110"/>
      <c r="X936" s="110"/>
      <c r="Y936" s="110"/>
      <c r="Z936" s="110"/>
      <c r="AA936" s="110"/>
      <c r="AB936" s="110"/>
      <c r="AC936" s="114"/>
      <c r="AD936" s="68"/>
      <c r="AE936" s="110"/>
      <c r="AF936" s="110"/>
      <c r="AG936" s="68"/>
      <c r="AH936" s="68"/>
      <c r="AI936" s="110"/>
      <c r="AJ936" s="110"/>
      <c r="AK936" s="68"/>
      <c r="AL936" s="68"/>
      <c r="AM936" s="110"/>
      <c r="AN936" s="110"/>
      <c r="AO936" s="68"/>
      <c r="AP936" s="68"/>
      <c r="AQ936" s="40"/>
      <c r="AR936" s="40"/>
      <c r="AS936" s="23"/>
    </row>
    <row r="937" spans="1:45" ht="15.75" x14ac:dyDescent="0.25">
      <c r="A937" s="44"/>
      <c r="B937" s="23"/>
      <c r="C937" s="23"/>
      <c r="D937" s="23"/>
      <c r="E937" s="68"/>
      <c r="F937" s="68"/>
      <c r="G937" s="110"/>
      <c r="H937" s="110"/>
      <c r="I937" s="68"/>
      <c r="J937" s="68"/>
      <c r="K937" s="110"/>
      <c r="L937" s="110"/>
      <c r="M937" s="68"/>
      <c r="N937" s="68"/>
      <c r="O937" s="110"/>
      <c r="P937" s="110"/>
      <c r="Q937" s="68"/>
      <c r="R937" s="68"/>
      <c r="S937" s="110"/>
      <c r="T937" s="110"/>
      <c r="U937" s="68"/>
      <c r="V937" s="68"/>
      <c r="W937" s="110"/>
      <c r="X937" s="110"/>
      <c r="Y937" s="110"/>
      <c r="Z937" s="110"/>
      <c r="AA937" s="110"/>
      <c r="AB937" s="110"/>
      <c r="AC937" s="114"/>
      <c r="AD937" s="68"/>
      <c r="AE937" s="110"/>
      <c r="AF937" s="110"/>
      <c r="AG937" s="68"/>
      <c r="AH937" s="68"/>
      <c r="AI937" s="110"/>
      <c r="AJ937" s="110"/>
      <c r="AK937" s="68"/>
      <c r="AL937" s="68"/>
      <c r="AM937" s="110"/>
      <c r="AN937" s="110"/>
      <c r="AO937" s="68"/>
      <c r="AP937" s="68"/>
      <c r="AQ937" s="40"/>
      <c r="AR937" s="40"/>
      <c r="AS937" s="23"/>
    </row>
    <row r="938" spans="1:45" ht="15.75" x14ac:dyDescent="0.25">
      <c r="A938" s="44"/>
      <c r="B938" s="23"/>
      <c r="C938" s="23"/>
      <c r="D938" s="23"/>
      <c r="E938" s="68"/>
      <c r="F938" s="68"/>
      <c r="G938" s="110"/>
      <c r="H938" s="110"/>
      <c r="I938" s="68"/>
      <c r="J938" s="68"/>
      <c r="K938" s="110"/>
      <c r="L938" s="110"/>
      <c r="M938" s="68"/>
      <c r="N938" s="68"/>
      <c r="O938" s="110"/>
      <c r="P938" s="110"/>
      <c r="Q938" s="68"/>
      <c r="R938" s="68"/>
      <c r="S938" s="110"/>
      <c r="T938" s="110"/>
      <c r="U938" s="68"/>
      <c r="V938" s="68"/>
      <c r="W938" s="110"/>
      <c r="X938" s="110"/>
      <c r="Y938" s="110"/>
      <c r="Z938" s="110"/>
      <c r="AA938" s="110"/>
      <c r="AB938" s="110"/>
      <c r="AC938" s="114"/>
      <c r="AD938" s="68"/>
      <c r="AE938" s="110"/>
      <c r="AF938" s="110"/>
      <c r="AG938" s="68"/>
      <c r="AH938" s="68"/>
      <c r="AI938" s="110"/>
      <c r="AJ938" s="110"/>
      <c r="AK938" s="68"/>
      <c r="AL938" s="68"/>
      <c r="AM938" s="110"/>
      <c r="AN938" s="110"/>
      <c r="AO938" s="68"/>
      <c r="AP938" s="68"/>
      <c r="AQ938" s="40"/>
      <c r="AR938" s="40"/>
      <c r="AS938" s="23"/>
    </row>
    <row r="939" spans="1:45" ht="15.75" x14ac:dyDescent="0.25">
      <c r="A939" s="44"/>
      <c r="B939" s="23"/>
      <c r="C939" s="23"/>
      <c r="D939" s="23"/>
      <c r="E939" s="68"/>
      <c r="F939" s="68"/>
      <c r="G939" s="110"/>
      <c r="H939" s="110"/>
      <c r="I939" s="68"/>
      <c r="J939" s="68"/>
      <c r="K939" s="110"/>
      <c r="L939" s="110"/>
      <c r="M939" s="68"/>
      <c r="N939" s="68"/>
      <c r="O939" s="110"/>
      <c r="P939" s="110"/>
      <c r="Q939" s="68"/>
      <c r="R939" s="68"/>
      <c r="S939" s="110"/>
      <c r="T939" s="110"/>
      <c r="U939" s="68"/>
      <c r="V939" s="68"/>
      <c r="W939" s="110"/>
      <c r="X939" s="110"/>
      <c r="Y939" s="110"/>
      <c r="Z939" s="110"/>
      <c r="AA939" s="110"/>
      <c r="AB939" s="110"/>
      <c r="AC939" s="114"/>
      <c r="AD939" s="68"/>
      <c r="AE939" s="110"/>
      <c r="AF939" s="110"/>
      <c r="AG939" s="68"/>
      <c r="AH939" s="68"/>
      <c r="AI939" s="110"/>
      <c r="AJ939" s="110"/>
      <c r="AK939" s="68"/>
      <c r="AL939" s="68"/>
      <c r="AM939" s="110"/>
      <c r="AN939" s="110"/>
      <c r="AO939" s="68"/>
      <c r="AP939" s="68"/>
      <c r="AQ939" s="40"/>
      <c r="AR939" s="40"/>
      <c r="AS939" s="23"/>
    </row>
    <row r="940" spans="1:45" ht="15.75" x14ac:dyDescent="0.25">
      <c r="A940" s="44"/>
      <c r="B940" s="23"/>
      <c r="C940" s="23"/>
      <c r="D940" s="23"/>
      <c r="E940" s="68"/>
      <c r="F940" s="68"/>
      <c r="G940" s="110"/>
      <c r="H940" s="110"/>
      <c r="I940" s="68"/>
      <c r="J940" s="68"/>
      <c r="K940" s="110"/>
      <c r="L940" s="110"/>
      <c r="M940" s="68"/>
      <c r="N940" s="68"/>
      <c r="O940" s="110"/>
      <c r="P940" s="110"/>
      <c r="Q940" s="68"/>
      <c r="R940" s="68"/>
      <c r="S940" s="110"/>
      <c r="T940" s="110"/>
      <c r="U940" s="68"/>
      <c r="V940" s="68"/>
      <c r="W940" s="110"/>
      <c r="X940" s="110"/>
      <c r="Y940" s="110"/>
      <c r="Z940" s="110"/>
      <c r="AA940" s="110"/>
      <c r="AB940" s="110"/>
      <c r="AC940" s="114"/>
      <c r="AD940" s="68"/>
      <c r="AE940" s="110"/>
      <c r="AF940" s="110"/>
      <c r="AG940" s="68"/>
      <c r="AH940" s="68"/>
      <c r="AI940" s="110"/>
      <c r="AJ940" s="110"/>
      <c r="AK940" s="68"/>
      <c r="AL940" s="68"/>
      <c r="AM940" s="110"/>
      <c r="AN940" s="110"/>
      <c r="AO940" s="68"/>
      <c r="AP940" s="68"/>
      <c r="AQ940" s="40"/>
      <c r="AR940" s="40"/>
      <c r="AS940" s="23"/>
    </row>
    <row r="941" spans="1:45" ht="15.75" x14ac:dyDescent="0.25">
      <c r="A941" s="44"/>
      <c r="B941" s="23"/>
      <c r="C941" s="23"/>
      <c r="D941" s="23"/>
      <c r="E941" s="68"/>
      <c r="F941" s="68"/>
      <c r="G941" s="110"/>
      <c r="H941" s="110"/>
      <c r="I941" s="68"/>
      <c r="J941" s="68"/>
      <c r="K941" s="110"/>
      <c r="L941" s="110"/>
      <c r="M941" s="68"/>
      <c r="N941" s="68"/>
      <c r="O941" s="110"/>
      <c r="P941" s="110"/>
      <c r="Q941" s="68"/>
      <c r="R941" s="68"/>
      <c r="S941" s="110"/>
      <c r="T941" s="110"/>
      <c r="U941" s="68"/>
      <c r="V941" s="68"/>
      <c r="W941" s="110"/>
      <c r="X941" s="110"/>
      <c r="Y941" s="110"/>
      <c r="Z941" s="110"/>
      <c r="AA941" s="110"/>
      <c r="AB941" s="110"/>
      <c r="AC941" s="114"/>
      <c r="AD941" s="68"/>
      <c r="AE941" s="110"/>
      <c r="AF941" s="110"/>
      <c r="AG941" s="68"/>
      <c r="AH941" s="68"/>
      <c r="AI941" s="110"/>
      <c r="AJ941" s="110"/>
      <c r="AK941" s="68"/>
      <c r="AL941" s="68"/>
      <c r="AM941" s="110"/>
      <c r="AN941" s="110"/>
      <c r="AO941" s="68"/>
      <c r="AP941" s="68"/>
      <c r="AQ941" s="40"/>
      <c r="AR941" s="40"/>
      <c r="AS941" s="23"/>
    </row>
    <row r="942" spans="1:45" ht="15.75" x14ac:dyDescent="0.25">
      <c r="A942" s="44"/>
      <c r="B942" s="23"/>
      <c r="C942" s="23"/>
      <c r="D942" s="23"/>
      <c r="E942" s="68"/>
      <c r="F942" s="68"/>
      <c r="G942" s="110"/>
      <c r="H942" s="110"/>
      <c r="I942" s="68"/>
      <c r="J942" s="68"/>
      <c r="K942" s="110"/>
      <c r="L942" s="110"/>
      <c r="M942" s="68"/>
      <c r="N942" s="68"/>
      <c r="O942" s="110"/>
      <c r="P942" s="110"/>
      <c r="Q942" s="68"/>
      <c r="R942" s="68"/>
      <c r="S942" s="110"/>
      <c r="T942" s="110"/>
      <c r="U942" s="68"/>
      <c r="V942" s="68"/>
      <c r="W942" s="110"/>
      <c r="X942" s="110"/>
      <c r="Y942" s="110"/>
      <c r="Z942" s="110"/>
      <c r="AA942" s="110"/>
      <c r="AB942" s="110"/>
      <c r="AC942" s="114"/>
      <c r="AD942" s="68"/>
      <c r="AE942" s="110"/>
      <c r="AF942" s="110"/>
      <c r="AG942" s="68"/>
      <c r="AH942" s="68"/>
      <c r="AI942" s="110"/>
      <c r="AJ942" s="110"/>
      <c r="AK942" s="68"/>
      <c r="AL942" s="68"/>
      <c r="AM942" s="110"/>
      <c r="AN942" s="110"/>
      <c r="AO942" s="68"/>
      <c r="AP942" s="68"/>
      <c r="AQ942" s="40"/>
      <c r="AR942" s="40"/>
      <c r="AS942" s="23"/>
    </row>
    <row r="943" spans="1:45" ht="15.75" x14ac:dyDescent="0.25">
      <c r="A943" s="44"/>
      <c r="B943" s="23"/>
      <c r="C943" s="23"/>
      <c r="D943" s="23"/>
      <c r="E943" s="68"/>
      <c r="F943" s="68"/>
      <c r="G943" s="110"/>
      <c r="H943" s="110"/>
      <c r="I943" s="68"/>
      <c r="J943" s="68"/>
      <c r="K943" s="110"/>
      <c r="L943" s="110"/>
      <c r="M943" s="68"/>
      <c r="N943" s="68"/>
      <c r="O943" s="110"/>
      <c r="P943" s="110"/>
      <c r="Q943" s="68"/>
      <c r="R943" s="68"/>
      <c r="S943" s="110"/>
      <c r="T943" s="110"/>
      <c r="U943" s="68"/>
      <c r="V943" s="68"/>
      <c r="W943" s="110"/>
      <c r="X943" s="110"/>
      <c r="Y943" s="110"/>
      <c r="Z943" s="110"/>
      <c r="AA943" s="110"/>
      <c r="AB943" s="110"/>
      <c r="AC943" s="114"/>
      <c r="AD943" s="68"/>
      <c r="AE943" s="110"/>
      <c r="AF943" s="110"/>
      <c r="AG943" s="68"/>
      <c r="AH943" s="68"/>
      <c r="AI943" s="110"/>
      <c r="AJ943" s="110"/>
      <c r="AK943" s="68"/>
      <c r="AL943" s="68"/>
      <c r="AM943" s="110"/>
      <c r="AN943" s="110"/>
      <c r="AO943" s="68"/>
      <c r="AP943" s="68"/>
      <c r="AQ943" s="40"/>
      <c r="AR943" s="40"/>
      <c r="AS943" s="23"/>
    </row>
    <row r="944" spans="1:45" ht="15.75" x14ac:dyDescent="0.25">
      <c r="A944" s="44"/>
      <c r="B944" s="23"/>
      <c r="C944" s="23"/>
      <c r="D944" s="23"/>
      <c r="E944" s="68"/>
      <c r="F944" s="68"/>
      <c r="G944" s="110"/>
      <c r="H944" s="110"/>
      <c r="I944" s="68"/>
      <c r="J944" s="68"/>
      <c r="K944" s="110"/>
      <c r="L944" s="110"/>
      <c r="M944" s="68"/>
      <c r="N944" s="68"/>
      <c r="O944" s="110"/>
      <c r="P944" s="110"/>
      <c r="Q944" s="68"/>
      <c r="R944" s="68"/>
      <c r="S944" s="110"/>
      <c r="T944" s="110"/>
      <c r="U944" s="68"/>
      <c r="V944" s="68"/>
      <c r="W944" s="110"/>
      <c r="X944" s="110"/>
      <c r="Y944" s="110"/>
      <c r="Z944" s="110"/>
      <c r="AA944" s="110"/>
      <c r="AB944" s="110"/>
      <c r="AC944" s="114"/>
      <c r="AD944" s="68"/>
      <c r="AE944" s="110"/>
      <c r="AF944" s="110"/>
      <c r="AG944" s="68"/>
      <c r="AH944" s="68"/>
      <c r="AI944" s="110"/>
      <c r="AJ944" s="110"/>
      <c r="AK944" s="68"/>
      <c r="AL944" s="68"/>
      <c r="AM944" s="110"/>
      <c r="AN944" s="110"/>
      <c r="AO944" s="68"/>
      <c r="AP944" s="68"/>
      <c r="AQ944" s="40"/>
      <c r="AR944" s="40"/>
      <c r="AS944" s="23"/>
    </row>
    <row r="945" spans="1:45" ht="15.75" x14ac:dyDescent="0.25">
      <c r="A945" s="44"/>
      <c r="B945" s="23"/>
      <c r="C945" s="23"/>
      <c r="D945" s="23"/>
      <c r="E945" s="68"/>
      <c r="F945" s="68"/>
      <c r="G945" s="110"/>
      <c r="H945" s="110"/>
      <c r="I945" s="68"/>
      <c r="J945" s="68"/>
      <c r="K945" s="110"/>
      <c r="L945" s="110"/>
      <c r="M945" s="68"/>
      <c r="N945" s="68"/>
      <c r="O945" s="110"/>
      <c r="P945" s="110"/>
      <c r="Q945" s="68"/>
      <c r="R945" s="68"/>
      <c r="S945" s="110"/>
      <c r="T945" s="110"/>
      <c r="U945" s="68"/>
      <c r="V945" s="68"/>
      <c r="W945" s="110"/>
      <c r="X945" s="110"/>
      <c r="Y945" s="110"/>
      <c r="Z945" s="110"/>
      <c r="AA945" s="110"/>
      <c r="AB945" s="110"/>
      <c r="AC945" s="114"/>
      <c r="AD945" s="68"/>
      <c r="AE945" s="110"/>
      <c r="AF945" s="110"/>
      <c r="AG945" s="68"/>
      <c r="AH945" s="68"/>
      <c r="AI945" s="110"/>
      <c r="AJ945" s="110"/>
      <c r="AK945" s="68"/>
      <c r="AL945" s="68"/>
      <c r="AM945" s="110"/>
      <c r="AN945" s="110"/>
      <c r="AO945" s="68"/>
      <c r="AP945" s="68"/>
      <c r="AQ945" s="40"/>
      <c r="AR945" s="40"/>
      <c r="AS945" s="23"/>
    </row>
    <row r="946" spans="1:45" ht="15.75" x14ac:dyDescent="0.25">
      <c r="A946" s="44"/>
      <c r="B946" s="23"/>
      <c r="C946" s="23"/>
      <c r="D946" s="23"/>
      <c r="E946" s="68"/>
      <c r="F946" s="68"/>
      <c r="G946" s="110"/>
      <c r="H946" s="110"/>
      <c r="I946" s="68"/>
      <c r="J946" s="68"/>
      <c r="K946" s="110"/>
      <c r="L946" s="110"/>
      <c r="M946" s="68"/>
      <c r="N946" s="68"/>
      <c r="O946" s="110"/>
      <c r="P946" s="110"/>
      <c r="Q946" s="68"/>
      <c r="R946" s="68"/>
      <c r="S946" s="110"/>
      <c r="T946" s="110"/>
      <c r="U946" s="68"/>
      <c r="V946" s="68"/>
      <c r="W946" s="110"/>
      <c r="X946" s="110"/>
      <c r="Y946" s="110"/>
      <c r="Z946" s="110"/>
      <c r="AA946" s="110"/>
      <c r="AB946" s="110"/>
      <c r="AC946" s="114"/>
      <c r="AD946" s="68"/>
      <c r="AE946" s="110"/>
      <c r="AF946" s="110"/>
      <c r="AG946" s="68"/>
      <c r="AH946" s="68"/>
      <c r="AI946" s="110"/>
      <c r="AJ946" s="110"/>
      <c r="AK946" s="68"/>
      <c r="AL946" s="68"/>
      <c r="AM946" s="110"/>
      <c r="AN946" s="110"/>
      <c r="AO946" s="68"/>
      <c r="AP946" s="68"/>
      <c r="AQ946" s="40"/>
      <c r="AR946" s="40"/>
      <c r="AS946" s="23"/>
    </row>
    <row r="947" spans="1:45" ht="15.75" x14ac:dyDescent="0.25">
      <c r="A947" s="44"/>
      <c r="B947" s="23"/>
      <c r="C947" s="23"/>
      <c r="D947" s="23"/>
      <c r="E947" s="68"/>
      <c r="F947" s="68"/>
      <c r="G947" s="110"/>
      <c r="H947" s="110"/>
      <c r="I947" s="68"/>
      <c r="J947" s="68"/>
      <c r="K947" s="110"/>
      <c r="L947" s="110"/>
      <c r="M947" s="68"/>
      <c r="N947" s="68"/>
      <c r="O947" s="110"/>
      <c r="P947" s="110"/>
      <c r="Q947" s="68"/>
      <c r="R947" s="68"/>
      <c r="S947" s="110"/>
      <c r="T947" s="110"/>
      <c r="U947" s="68"/>
      <c r="V947" s="68"/>
      <c r="W947" s="110"/>
      <c r="X947" s="110"/>
      <c r="Y947" s="110"/>
      <c r="Z947" s="110"/>
      <c r="AA947" s="110"/>
      <c r="AB947" s="110"/>
      <c r="AC947" s="114"/>
      <c r="AD947" s="68"/>
      <c r="AE947" s="110"/>
      <c r="AF947" s="110"/>
      <c r="AG947" s="68"/>
      <c r="AH947" s="68"/>
      <c r="AI947" s="110"/>
      <c r="AJ947" s="110"/>
      <c r="AK947" s="68"/>
      <c r="AL947" s="68"/>
      <c r="AM947" s="110"/>
      <c r="AN947" s="110"/>
      <c r="AO947" s="68"/>
      <c r="AP947" s="68"/>
      <c r="AQ947" s="40"/>
      <c r="AR947" s="40"/>
      <c r="AS947" s="23"/>
    </row>
    <row r="948" spans="1:45" ht="15.75" x14ac:dyDescent="0.25">
      <c r="A948" s="44"/>
      <c r="B948" s="23"/>
      <c r="C948" s="23"/>
      <c r="D948" s="23"/>
      <c r="E948" s="68"/>
      <c r="F948" s="68"/>
      <c r="G948" s="110"/>
      <c r="H948" s="110"/>
      <c r="I948" s="68"/>
      <c r="J948" s="68"/>
      <c r="K948" s="110"/>
      <c r="L948" s="110"/>
      <c r="M948" s="68"/>
      <c r="N948" s="68"/>
      <c r="O948" s="110"/>
      <c r="P948" s="110"/>
      <c r="Q948" s="68"/>
      <c r="R948" s="68"/>
      <c r="S948" s="110"/>
      <c r="T948" s="110"/>
      <c r="U948" s="68"/>
      <c r="V948" s="68"/>
      <c r="W948" s="110"/>
      <c r="X948" s="110"/>
      <c r="Y948" s="110"/>
      <c r="Z948" s="110"/>
      <c r="AA948" s="110"/>
      <c r="AB948" s="110"/>
      <c r="AC948" s="114"/>
      <c r="AD948" s="68"/>
      <c r="AE948" s="110"/>
      <c r="AF948" s="110"/>
      <c r="AG948" s="68"/>
      <c r="AH948" s="68"/>
      <c r="AI948" s="110"/>
      <c r="AJ948" s="110"/>
      <c r="AK948" s="68"/>
      <c r="AL948" s="68"/>
      <c r="AM948" s="110"/>
      <c r="AN948" s="110"/>
      <c r="AO948" s="68"/>
      <c r="AP948" s="68"/>
      <c r="AQ948" s="40"/>
      <c r="AR948" s="40"/>
      <c r="AS948" s="23"/>
    </row>
    <row r="949" spans="1:45" ht="15.75" x14ac:dyDescent="0.25">
      <c r="A949" s="44"/>
      <c r="B949" s="23"/>
      <c r="C949" s="23"/>
      <c r="D949" s="23"/>
      <c r="E949" s="68"/>
      <c r="F949" s="68"/>
      <c r="G949" s="110"/>
      <c r="H949" s="110"/>
      <c r="I949" s="68"/>
      <c r="J949" s="68"/>
      <c r="K949" s="110"/>
      <c r="L949" s="110"/>
      <c r="M949" s="68"/>
      <c r="N949" s="68"/>
      <c r="O949" s="110"/>
      <c r="P949" s="110"/>
      <c r="Q949" s="68"/>
      <c r="R949" s="68"/>
      <c r="S949" s="110"/>
      <c r="T949" s="110"/>
      <c r="U949" s="68"/>
      <c r="V949" s="68"/>
      <c r="W949" s="110"/>
      <c r="X949" s="110"/>
      <c r="Y949" s="110"/>
      <c r="Z949" s="110"/>
      <c r="AA949" s="110"/>
      <c r="AB949" s="110"/>
      <c r="AC949" s="114"/>
      <c r="AD949" s="68"/>
      <c r="AE949" s="110"/>
      <c r="AF949" s="110"/>
      <c r="AG949" s="68"/>
      <c r="AH949" s="68"/>
      <c r="AI949" s="110"/>
      <c r="AJ949" s="110"/>
      <c r="AK949" s="68"/>
      <c r="AL949" s="68"/>
      <c r="AM949" s="110"/>
      <c r="AN949" s="110"/>
      <c r="AO949" s="68"/>
      <c r="AP949" s="68"/>
      <c r="AQ949" s="40"/>
      <c r="AR949" s="40"/>
      <c r="AS949" s="23"/>
    </row>
    <row r="950" spans="1:45" ht="15.75" x14ac:dyDescent="0.25">
      <c r="A950" s="44"/>
      <c r="B950" s="23"/>
      <c r="C950" s="23"/>
      <c r="D950" s="23"/>
      <c r="E950" s="68"/>
      <c r="F950" s="68"/>
      <c r="G950" s="110"/>
      <c r="H950" s="110"/>
      <c r="I950" s="68"/>
      <c r="J950" s="68"/>
      <c r="K950" s="110"/>
      <c r="L950" s="110"/>
      <c r="M950" s="68"/>
      <c r="N950" s="68"/>
      <c r="O950" s="110"/>
      <c r="P950" s="110"/>
      <c r="Q950" s="68"/>
      <c r="R950" s="68"/>
      <c r="S950" s="110"/>
      <c r="T950" s="110"/>
      <c r="U950" s="68"/>
      <c r="V950" s="68"/>
      <c r="W950" s="110"/>
      <c r="X950" s="110"/>
      <c r="Y950" s="110"/>
      <c r="Z950" s="110"/>
      <c r="AA950" s="110"/>
      <c r="AB950" s="110"/>
      <c r="AC950" s="114"/>
      <c r="AD950" s="68"/>
      <c r="AE950" s="110"/>
      <c r="AF950" s="110"/>
      <c r="AG950" s="68"/>
      <c r="AH950" s="68"/>
      <c r="AI950" s="110"/>
      <c r="AJ950" s="110"/>
      <c r="AK950" s="68"/>
      <c r="AL950" s="68"/>
      <c r="AM950" s="110"/>
      <c r="AN950" s="110"/>
      <c r="AO950" s="68"/>
      <c r="AP950" s="68"/>
      <c r="AQ950" s="40"/>
      <c r="AR950" s="40"/>
      <c r="AS950" s="23"/>
    </row>
    <row r="951" spans="1:45" ht="15.75" x14ac:dyDescent="0.25">
      <c r="A951" s="44"/>
      <c r="B951" s="23"/>
      <c r="C951" s="23"/>
      <c r="D951" s="23"/>
      <c r="E951" s="68"/>
      <c r="F951" s="68"/>
      <c r="G951" s="110"/>
      <c r="H951" s="110"/>
      <c r="I951" s="68"/>
      <c r="J951" s="68"/>
      <c r="K951" s="110"/>
      <c r="L951" s="110"/>
      <c r="M951" s="68"/>
      <c r="N951" s="68"/>
      <c r="O951" s="110"/>
      <c r="P951" s="110"/>
      <c r="Q951" s="68"/>
      <c r="R951" s="68"/>
      <c r="S951" s="110"/>
      <c r="T951" s="110"/>
      <c r="U951" s="68"/>
      <c r="V951" s="68"/>
      <c r="W951" s="110"/>
      <c r="X951" s="110"/>
      <c r="Y951" s="110"/>
      <c r="Z951" s="110"/>
      <c r="AA951" s="110"/>
      <c r="AB951" s="110"/>
      <c r="AC951" s="114"/>
      <c r="AD951" s="68"/>
      <c r="AE951" s="110"/>
      <c r="AF951" s="110"/>
      <c r="AG951" s="68"/>
      <c r="AH951" s="68"/>
      <c r="AI951" s="110"/>
      <c r="AJ951" s="110"/>
      <c r="AK951" s="68"/>
      <c r="AL951" s="68"/>
      <c r="AM951" s="110"/>
      <c r="AN951" s="110"/>
      <c r="AO951" s="68"/>
      <c r="AP951" s="68"/>
      <c r="AQ951" s="40"/>
      <c r="AR951" s="40"/>
      <c r="AS951" s="23"/>
    </row>
    <row r="952" spans="1:45" ht="15.75" x14ac:dyDescent="0.25">
      <c r="A952" s="44"/>
      <c r="B952" s="23"/>
      <c r="C952" s="23"/>
      <c r="D952" s="23"/>
      <c r="E952" s="68"/>
      <c r="F952" s="68"/>
      <c r="G952" s="110"/>
      <c r="H952" s="110"/>
      <c r="I952" s="68"/>
      <c r="J952" s="68"/>
      <c r="K952" s="110"/>
      <c r="L952" s="110"/>
      <c r="M952" s="68"/>
      <c r="N952" s="68"/>
      <c r="O952" s="110"/>
      <c r="P952" s="110"/>
      <c r="Q952" s="68"/>
      <c r="R952" s="68"/>
      <c r="S952" s="110"/>
      <c r="T952" s="110"/>
      <c r="U952" s="68"/>
      <c r="V952" s="68"/>
      <c r="W952" s="110"/>
      <c r="X952" s="110"/>
      <c r="Y952" s="110"/>
      <c r="Z952" s="110"/>
      <c r="AA952" s="110"/>
      <c r="AB952" s="110"/>
      <c r="AC952" s="114"/>
      <c r="AD952" s="68"/>
      <c r="AE952" s="110"/>
      <c r="AF952" s="110"/>
      <c r="AG952" s="68"/>
      <c r="AH952" s="68"/>
      <c r="AI952" s="110"/>
      <c r="AJ952" s="110"/>
      <c r="AK952" s="68"/>
      <c r="AL952" s="68"/>
      <c r="AM952" s="110"/>
      <c r="AN952" s="110"/>
      <c r="AO952" s="68"/>
      <c r="AP952" s="68"/>
      <c r="AQ952" s="40"/>
      <c r="AR952" s="40"/>
      <c r="AS952" s="23"/>
    </row>
    <row r="953" spans="1:45" ht="15.75" x14ac:dyDescent="0.25">
      <c r="A953" s="44"/>
      <c r="B953" s="23"/>
      <c r="C953" s="23"/>
      <c r="D953" s="23"/>
      <c r="E953" s="68"/>
      <c r="F953" s="68"/>
      <c r="G953" s="110"/>
      <c r="H953" s="110"/>
      <c r="I953" s="68"/>
      <c r="J953" s="68"/>
      <c r="K953" s="110"/>
      <c r="L953" s="110"/>
      <c r="M953" s="68"/>
      <c r="N953" s="68"/>
      <c r="O953" s="110"/>
      <c r="P953" s="110"/>
      <c r="Q953" s="68"/>
      <c r="R953" s="68"/>
      <c r="S953" s="110"/>
      <c r="T953" s="110"/>
      <c r="U953" s="68"/>
      <c r="V953" s="68"/>
      <c r="W953" s="110"/>
      <c r="X953" s="110"/>
      <c r="Y953" s="110"/>
      <c r="Z953" s="110"/>
      <c r="AA953" s="110"/>
      <c r="AB953" s="110"/>
      <c r="AC953" s="114"/>
      <c r="AD953" s="68"/>
      <c r="AE953" s="110"/>
      <c r="AF953" s="110"/>
      <c r="AG953" s="68"/>
      <c r="AH953" s="68"/>
      <c r="AI953" s="110"/>
      <c r="AJ953" s="110"/>
      <c r="AK953" s="68"/>
      <c r="AL953" s="68"/>
      <c r="AM953" s="110"/>
      <c r="AN953" s="110"/>
      <c r="AO953" s="68"/>
      <c r="AP953" s="68"/>
      <c r="AQ953" s="40"/>
      <c r="AR953" s="40"/>
      <c r="AS953" s="23"/>
    </row>
    <row r="954" spans="1:45" ht="15.75" x14ac:dyDescent="0.25">
      <c r="A954" s="44"/>
      <c r="B954" s="23"/>
      <c r="C954" s="23"/>
      <c r="D954" s="23"/>
      <c r="E954" s="68"/>
      <c r="F954" s="68"/>
      <c r="G954" s="110"/>
      <c r="H954" s="110"/>
      <c r="I954" s="68"/>
      <c r="J954" s="68"/>
      <c r="K954" s="110"/>
      <c r="L954" s="110"/>
      <c r="M954" s="68"/>
      <c r="N954" s="68"/>
      <c r="O954" s="110"/>
      <c r="P954" s="110"/>
      <c r="Q954" s="68"/>
      <c r="R954" s="68"/>
      <c r="S954" s="110"/>
      <c r="T954" s="110"/>
      <c r="U954" s="68"/>
      <c r="V954" s="68"/>
      <c r="W954" s="110"/>
      <c r="X954" s="110"/>
      <c r="Y954" s="110"/>
      <c r="Z954" s="110"/>
      <c r="AA954" s="110"/>
      <c r="AB954" s="110"/>
      <c r="AC954" s="114"/>
      <c r="AD954" s="68"/>
      <c r="AE954" s="110"/>
      <c r="AF954" s="110"/>
      <c r="AG954" s="68"/>
      <c r="AH954" s="68"/>
      <c r="AI954" s="110"/>
      <c r="AJ954" s="110"/>
      <c r="AK954" s="68"/>
      <c r="AL954" s="68"/>
      <c r="AM954" s="110"/>
      <c r="AN954" s="110"/>
      <c r="AO954" s="68"/>
      <c r="AP954" s="68"/>
      <c r="AQ954" s="40"/>
      <c r="AR954" s="40"/>
      <c r="AS954" s="23"/>
    </row>
    <row r="955" spans="1:45" ht="15.75" x14ac:dyDescent="0.25">
      <c r="A955" s="44"/>
      <c r="B955" s="23"/>
      <c r="C955" s="23"/>
      <c r="D955" s="23"/>
      <c r="E955" s="68"/>
      <c r="F955" s="68"/>
      <c r="G955" s="110"/>
      <c r="H955" s="110"/>
      <c r="I955" s="68"/>
      <c r="J955" s="68"/>
      <c r="K955" s="110"/>
      <c r="L955" s="110"/>
      <c r="M955" s="68"/>
      <c r="N955" s="68"/>
      <c r="O955" s="110"/>
      <c r="P955" s="110"/>
      <c r="Q955" s="68"/>
      <c r="R955" s="68"/>
      <c r="S955" s="110"/>
      <c r="T955" s="110"/>
      <c r="U955" s="68"/>
      <c r="V955" s="68"/>
      <c r="W955" s="110"/>
      <c r="X955" s="110"/>
      <c r="Y955" s="110"/>
      <c r="Z955" s="110"/>
      <c r="AA955" s="110"/>
      <c r="AB955" s="110"/>
      <c r="AC955" s="114"/>
      <c r="AD955" s="68"/>
      <c r="AE955" s="110"/>
      <c r="AF955" s="110"/>
      <c r="AG955" s="68"/>
      <c r="AH955" s="68"/>
      <c r="AI955" s="110"/>
      <c r="AJ955" s="110"/>
      <c r="AK955" s="68"/>
      <c r="AL955" s="68"/>
      <c r="AM955" s="110"/>
      <c r="AN955" s="110"/>
      <c r="AO955" s="68"/>
      <c r="AP955" s="68"/>
      <c r="AQ955" s="40"/>
      <c r="AR955" s="40"/>
      <c r="AS955" s="23"/>
    </row>
    <row r="956" spans="1:45" ht="15.75" x14ac:dyDescent="0.25">
      <c r="A956" s="44"/>
      <c r="B956" s="23"/>
      <c r="C956" s="23"/>
      <c r="D956" s="23"/>
      <c r="E956" s="68"/>
      <c r="F956" s="68"/>
      <c r="G956" s="110"/>
      <c r="H956" s="110"/>
      <c r="I956" s="68"/>
      <c r="J956" s="68"/>
      <c r="K956" s="110"/>
      <c r="L956" s="110"/>
      <c r="M956" s="68"/>
      <c r="N956" s="68"/>
      <c r="O956" s="110"/>
      <c r="P956" s="110"/>
      <c r="Q956" s="68"/>
      <c r="R956" s="68"/>
      <c r="S956" s="110"/>
      <c r="T956" s="110"/>
      <c r="U956" s="68"/>
      <c r="V956" s="68"/>
      <c r="W956" s="110"/>
      <c r="X956" s="110"/>
      <c r="Y956" s="110"/>
      <c r="Z956" s="110"/>
      <c r="AA956" s="110"/>
      <c r="AB956" s="110"/>
      <c r="AC956" s="114"/>
      <c r="AD956" s="68"/>
      <c r="AE956" s="110"/>
      <c r="AF956" s="110"/>
      <c r="AG956" s="68"/>
      <c r="AH956" s="68"/>
      <c r="AI956" s="110"/>
      <c r="AJ956" s="110"/>
      <c r="AK956" s="68"/>
      <c r="AL956" s="68"/>
      <c r="AM956" s="110"/>
      <c r="AN956" s="110"/>
      <c r="AO956" s="68"/>
      <c r="AP956" s="68"/>
      <c r="AQ956" s="40"/>
      <c r="AR956" s="40"/>
      <c r="AS956" s="23"/>
    </row>
    <row r="957" spans="1:45" ht="15.75" x14ac:dyDescent="0.25">
      <c r="A957" s="44"/>
      <c r="B957" s="23"/>
      <c r="C957" s="23"/>
      <c r="D957" s="23"/>
      <c r="E957" s="68"/>
      <c r="F957" s="68"/>
      <c r="G957" s="110"/>
      <c r="H957" s="110"/>
      <c r="I957" s="68"/>
      <c r="J957" s="68"/>
      <c r="K957" s="110"/>
      <c r="L957" s="110"/>
      <c r="M957" s="68"/>
      <c r="N957" s="68"/>
      <c r="O957" s="110"/>
      <c r="P957" s="110"/>
      <c r="Q957" s="68"/>
      <c r="R957" s="68"/>
      <c r="S957" s="110"/>
      <c r="T957" s="110"/>
      <c r="U957" s="68"/>
      <c r="V957" s="68"/>
      <c r="W957" s="110"/>
      <c r="X957" s="110"/>
      <c r="Y957" s="110"/>
      <c r="Z957" s="110"/>
      <c r="AA957" s="110"/>
      <c r="AB957" s="110"/>
      <c r="AC957" s="114"/>
      <c r="AD957" s="68"/>
      <c r="AE957" s="110"/>
      <c r="AF957" s="110"/>
      <c r="AG957" s="68"/>
      <c r="AH957" s="68"/>
      <c r="AI957" s="110"/>
      <c r="AJ957" s="110"/>
      <c r="AK957" s="68"/>
      <c r="AL957" s="68"/>
      <c r="AM957" s="110"/>
      <c r="AN957" s="110"/>
      <c r="AO957" s="68"/>
      <c r="AP957" s="68"/>
      <c r="AQ957" s="40"/>
      <c r="AR957" s="40"/>
      <c r="AS957" s="23"/>
    </row>
    <row r="958" spans="1:45" ht="15.75" x14ac:dyDescent="0.25">
      <c r="A958" s="44"/>
      <c r="B958" s="23"/>
      <c r="C958" s="23"/>
      <c r="D958" s="23"/>
      <c r="E958" s="68"/>
      <c r="F958" s="68"/>
      <c r="G958" s="110"/>
      <c r="H958" s="110"/>
      <c r="I958" s="68"/>
      <c r="J958" s="68"/>
      <c r="K958" s="110"/>
      <c r="L958" s="110"/>
      <c r="M958" s="68"/>
      <c r="N958" s="68"/>
      <c r="O958" s="110"/>
      <c r="P958" s="110"/>
      <c r="Q958" s="68"/>
      <c r="R958" s="68"/>
      <c r="S958" s="110"/>
      <c r="T958" s="110"/>
      <c r="U958" s="68"/>
      <c r="V958" s="68"/>
      <c r="W958" s="110"/>
      <c r="X958" s="110"/>
      <c r="Y958" s="110"/>
      <c r="Z958" s="110"/>
      <c r="AA958" s="110"/>
      <c r="AB958" s="110"/>
      <c r="AC958" s="114"/>
      <c r="AD958" s="68"/>
      <c r="AE958" s="110"/>
      <c r="AF958" s="110"/>
      <c r="AG958" s="68"/>
      <c r="AH958" s="68"/>
      <c r="AI958" s="110"/>
      <c r="AJ958" s="110"/>
      <c r="AK958" s="68"/>
      <c r="AL958" s="68"/>
      <c r="AM958" s="110"/>
      <c r="AN958" s="110"/>
      <c r="AO958" s="68"/>
      <c r="AP958" s="68"/>
      <c r="AQ958" s="40"/>
      <c r="AR958" s="40"/>
      <c r="AS958" s="23"/>
    </row>
    <row r="959" spans="1:45" ht="15.75" x14ac:dyDescent="0.25">
      <c r="A959" s="44"/>
      <c r="B959" s="23"/>
      <c r="C959" s="23"/>
      <c r="D959" s="23"/>
      <c r="E959" s="68"/>
      <c r="F959" s="68"/>
      <c r="G959" s="110"/>
      <c r="H959" s="110"/>
      <c r="I959" s="68"/>
      <c r="J959" s="68"/>
      <c r="K959" s="110"/>
      <c r="L959" s="110"/>
      <c r="M959" s="68"/>
      <c r="N959" s="68"/>
      <c r="O959" s="110"/>
      <c r="P959" s="110"/>
      <c r="Q959" s="68"/>
      <c r="R959" s="68"/>
      <c r="S959" s="110"/>
      <c r="T959" s="110"/>
      <c r="U959" s="68"/>
      <c r="V959" s="68"/>
      <c r="W959" s="110"/>
      <c r="X959" s="110"/>
      <c r="Y959" s="110"/>
      <c r="Z959" s="110"/>
      <c r="AA959" s="110"/>
      <c r="AB959" s="110"/>
      <c r="AC959" s="114"/>
      <c r="AD959" s="68"/>
      <c r="AE959" s="110"/>
      <c r="AF959" s="110"/>
      <c r="AG959" s="68"/>
      <c r="AH959" s="68"/>
      <c r="AI959" s="110"/>
      <c r="AJ959" s="110"/>
      <c r="AK959" s="68"/>
      <c r="AL959" s="68"/>
      <c r="AM959" s="110"/>
      <c r="AN959" s="110"/>
      <c r="AO959" s="68"/>
      <c r="AP959" s="68"/>
      <c r="AQ959" s="40"/>
      <c r="AR959" s="40"/>
      <c r="AS959" s="23"/>
    </row>
    <row r="960" spans="1:45" ht="15.75" x14ac:dyDescent="0.25">
      <c r="A960" s="44"/>
      <c r="B960" s="23"/>
      <c r="C960" s="23"/>
      <c r="D960" s="23"/>
      <c r="E960" s="68"/>
      <c r="F960" s="68"/>
      <c r="G960" s="110"/>
      <c r="H960" s="110"/>
      <c r="I960" s="68"/>
      <c r="J960" s="68"/>
      <c r="K960" s="110"/>
      <c r="L960" s="110"/>
      <c r="M960" s="68"/>
      <c r="N960" s="68"/>
      <c r="O960" s="110"/>
      <c r="P960" s="110"/>
      <c r="Q960" s="68"/>
      <c r="R960" s="68"/>
      <c r="S960" s="110"/>
      <c r="T960" s="110"/>
      <c r="U960" s="68"/>
      <c r="V960" s="68"/>
      <c r="W960" s="110"/>
      <c r="X960" s="110"/>
      <c r="Y960" s="110"/>
      <c r="Z960" s="110"/>
      <c r="AA960" s="110"/>
      <c r="AB960" s="110"/>
      <c r="AC960" s="114"/>
      <c r="AD960" s="68"/>
      <c r="AE960" s="110"/>
      <c r="AF960" s="110"/>
      <c r="AG960" s="68"/>
      <c r="AH960" s="68"/>
      <c r="AI960" s="110"/>
      <c r="AJ960" s="110"/>
      <c r="AK960" s="68"/>
      <c r="AL960" s="68"/>
      <c r="AM960" s="110"/>
      <c r="AN960" s="110"/>
      <c r="AO960" s="68"/>
      <c r="AP960" s="68"/>
      <c r="AQ960" s="40"/>
      <c r="AR960" s="40"/>
      <c r="AS960" s="23"/>
    </row>
    <row r="961" spans="1:45" ht="15.75" x14ac:dyDescent="0.25">
      <c r="A961" s="44"/>
      <c r="B961" s="23"/>
      <c r="C961" s="23"/>
      <c r="D961" s="23"/>
      <c r="E961" s="68"/>
      <c r="F961" s="68"/>
      <c r="G961" s="110"/>
      <c r="H961" s="110"/>
      <c r="I961" s="68"/>
      <c r="J961" s="68"/>
      <c r="K961" s="110"/>
      <c r="L961" s="110"/>
      <c r="M961" s="68"/>
      <c r="N961" s="68"/>
      <c r="O961" s="110"/>
      <c r="P961" s="110"/>
      <c r="Q961" s="68"/>
      <c r="R961" s="68"/>
      <c r="S961" s="110"/>
      <c r="T961" s="110"/>
      <c r="U961" s="68"/>
      <c r="V961" s="68"/>
      <c r="W961" s="110"/>
      <c r="X961" s="110"/>
      <c r="Y961" s="110"/>
      <c r="Z961" s="110"/>
      <c r="AA961" s="110"/>
      <c r="AB961" s="110"/>
      <c r="AC961" s="114"/>
      <c r="AD961" s="68"/>
      <c r="AE961" s="110"/>
      <c r="AF961" s="110"/>
      <c r="AG961" s="68"/>
      <c r="AH961" s="68"/>
      <c r="AI961" s="110"/>
      <c r="AJ961" s="110"/>
      <c r="AK961" s="68"/>
      <c r="AL961" s="68"/>
      <c r="AM961" s="110"/>
      <c r="AN961" s="110"/>
      <c r="AO961" s="68"/>
      <c r="AP961" s="68"/>
      <c r="AQ961" s="40"/>
      <c r="AR961" s="40"/>
      <c r="AS961" s="23"/>
    </row>
    <row r="962" spans="1:45" ht="15.75" x14ac:dyDescent="0.25">
      <c r="A962" s="44"/>
      <c r="B962" s="23"/>
      <c r="C962" s="23"/>
      <c r="D962" s="23"/>
      <c r="E962" s="68"/>
      <c r="F962" s="68"/>
      <c r="G962" s="110"/>
      <c r="H962" s="110"/>
      <c r="I962" s="68"/>
      <c r="J962" s="68"/>
      <c r="K962" s="110"/>
      <c r="L962" s="110"/>
      <c r="M962" s="68"/>
      <c r="N962" s="68"/>
      <c r="O962" s="110"/>
      <c r="P962" s="110"/>
      <c r="Q962" s="68"/>
      <c r="R962" s="68"/>
      <c r="S962" s="110"/>
      <c r="T962" s="110"/>
      <c r="U962" s="68"/>
      <c r="V962" s="68"/>
      <c r="W962" s="110"/>
      <c r="X962" s="110"/>
      <c r="Y962" s="110"/>
      <c r="Z962" s="110"/>
      <c r="AA962" s="110"/>
      <c r="AB962" s="110"/>
      <c r="AC962" s="114"/>
      <c r="AD962" s="68"/>
      <c r="AE962" s="110"/>
      <c r="AF962" s="110"/>
      <c r="AG962" s="68"/>
      <c r="AH962" s="68"/>
      <c r="AI962" s="110"/>
      <c r="AJ962" s="110"/>
      <c r="AK962" s="68"/>
      <c r="AL962" s="68"/>
      <c r="AM962" s="110"/>
      <c r="AN962" s="110"/>
      <c r="AO962" s="68"/>
      <c r="AP962" s="68"/>
      <c r="AQ962" s="40"/>
      <c r="AR962" s="40"/>
      <c r="AS962" s="23"/>
    </row>
    <row r="963" spans="1:45" ht="15.75" x14ac:dyDescent="0.25">
      <c r="A963" s="44"/>
      <c r="B963" s="23"/>
      <c r="C963" s="23"/>
      <c r="D963" s="23"/>
      <c r="E963" s="68"/>
      <c r="F963" s="68"/>
      <c r="G963" s="110"/>
      <c r="H963" s="110"/>
      <c r="I963" s="68"/>
      <c r="J963" s="68"/>
      <c r="K963" s="110"/>
      <c r="L963" s="110"/>
      <c r="M963" s="68"/>
      <c r="N963" s="68"/>
      <c r="O963" s="110"/>
      <c r="P963" s="110"/>
      <c r="Q963" s="68"/>
      <c r="R963" s="68"/>
      <c r="S963" s="110"/>
      <c r="T963" s="110"/>
      <c r="U963" s="68"/>
      <c r="V963" s="68"/>
      <c r="W963" s="110"/>
      <c r="X963" s="110"/>
      <c r="Y963" s="110"/>
      <c r="Z963" s="110"/>
      <c r="AA963" s="110"/>
      <c r="AB963" s="110"/>
      <c r="AC963" s="114"/>
      <c r="AD963" s="68"/>
      <c r="AE963" s="110"/>
      <c r="AF963" s="110"/>
      <c r="AG963" s="68"/>
      <c r="AH963" s="68"/>
      <c r="AI963" s="110"/>
      <c r="AJ963" s="110"/>
      <c r="AK963" s="68"/>
      <c r="AL963" s="68"/>
      <c r="AM963" s="110"/>
      <c r="AN963" s="110"/>
      <c r="AO963" s="68"/>
      <c r="AP963" s="68"/>
      <c r="AQ963" s="40"/>
      <c r="AR963" s="40"/>
      <c r="AS963" s="23"/>
    </row>
    <row r="964" spans="1:45" ht="15.75" x14ac:dyDescent="0.25">
      <c r="A964" s="44"/>
      <c r="B964" s="23"/>
      <c r="C964" s="23"/>
      <c r="D964" s="23"/>
      <c r="E964" s="68"/>
      <c r="F964" s="68"/>
      <c r="G964" s="110"/>
      <c r="H964" s="110"/>
      <c r="I964" s="68"/>
      <c r="J964" s="68"/>
      <c r="K964" s="110"/>
      <c r="L964" s="110"/>
      <c r="M964" s="68"/>
      <c r="N964" s="68"/>
      <c r="O964" s="110"/>
      <c r="P964" s="110"/>
      <c r="Q964" s="68"/>
      <c r="R964" s="68"/>
      <c r="S964" s="110"/>
      <c r="T964" s="110"/>
      <c r="U964" s="68"/>
      <c r="V964" s="68"/>
      <c r="W964" s="110"/>
      <c r="X964" s="110"/>
      <c r="Y964" s="110"/>
      <c r="Z964" s="110"/>
      <c r="AA964" s="110"/>
      <c r="AB964" s="110"/>
      <c r="AC964" s="114"/>
      <c r="AD964" s="68"/>
      <c r="AE964" s="110"/>
      <c r="AF964" s="110"/>
      <c r="AG964" s="68"/>
      <c r="AH964" s="68"/>
      <c r="AI964" s="110"/>
      <c r="AJ964" s="110"/>
      <c r="AK964" s="68"/>
      <c r="AL964" s="68"/>
      <c r="AM964" s="110"/>
      <c r="AN964" s="110"/>
      <c r="AO964" s="68"/>
      <c r="AP964" s="68"/>
      <c r="AQ964" s="40"/>
      <c r="AR964" s="40"/>
      <c r="AS964" s="23"/>
    </row>
    <row r="965" spans="1:45" ht="15.75" x14ac:dyDescent="0.25">
      <c r="A965" s="44"/>
      <c r="B965" s="23"/>
      <c r="C965" s="23"/>
      <c r="D965" s="23"/>
      <c r="E965" s="68"/>
      <c r="F965" s="68"/>
      <c r="G965" s="110"/>
      <c r="H965" s="110"/>
      <c r="I965" s="68"/>
      <c r="J965" s="68"/>
      <c r="K965" s="110"/>
      <c r="L965" s="110"/>
      <c r="M965" s="68"/>
      <c r="N965" s="68"/>
      <c r="O965" s="110"/>
      <c r="P965" s="110"/>
      <c r="Q965" s="68"/>
      <c r="R965" s="68"/>
      <c r="S965" s="110"/>
      <c r="T965" s="110"/>
      <c r="U965" s="68"/>
      <c r="V965" s="68"/>
      <c r="W965" s="110"/>
      <c r="X965" s="110"/>
      <c r="Y965" s="110"/>
      <c r="Z965" s="110"/>
      <c r="AA965" s="110"/>
      <c r="AB965" s="110"/>
      <c r="AC965" s="114"/>
      <c r="AD965" s="68"/>
      <c r="AE965" s="110"/>
      <c r="AF965" s="110"/>
      <c r="AG965" s="68"/>
      <c r="AH965" s="68"/>
      <c r="AI965" s="110"/>
      <c r="AJ965" s="110"/>
      <c r="AK965" s="68"/>
      <c r="AL965" s="68"/>
      <c r="AM965" s="110"/>
      <c r="AN965" s="110"/>
      <c r="AO965" s="68"/>
      <c r="AP965" s="68"/>
      <c r="AQ965" s="40"/>
      <c r="AR965" s="40"/>
      <c r="AS965" s="23"/>
    </row>
    <row r="966" spans="1:45" ht="15.75" x14ac:dyDescent="0.25">
      <c r="A966" s="44"/>
      <c r="B966" s="23"/>
      <c r="C966" s="23"/>
      <c r="D966" s="23"/>
      <c r="E966" s="68"/>
      <c r="F966" s="68"/>
      <c r="G966" s="110"/>
      <c r="H966" s="110"/>
      <c r="I966" s="68"/>
      <c r="J966" s="68"/>
      <c r="K966" s="110"/>
      <c r="L966" s="110"/>
      <c r="M966" s="68"/>
      <c r="N966" s="68"/>
      <c r="O966" s="110"/>
      <c r="P966" s="110"/>
      <c r="Q966" s="68"/>
      <c r="R966" s="68"/>
      <c r="S966" s="110"/>
      <c r="T966" s="110"/>
      <c r="U966" s="68"/>
      <c r="V966" s="68"/>
      <c r="W966" s="110"/>
      <c r="X966" s="110"/>
      <c r="Y966" s="110"/>
      <c r="Z966" s="110"/>
      <c r="AA966" s="110"/>
      <c r="AB966" s="110"/>
      <c r="AC966" s="114"/>
      <c r="AD966" s="68"/>
      <c r="AE966" s="110"/>
      <c r="AF966" s="110"/>
      <c r="AG966" s="68"/>
      <c r="AH966" s="68"/>
      <c r="AI966" s="110"/>
      <c r="AJ966" s="110"/>
      <c r="AK966" s="68"/>
      <c r="AL966" s="68"/>
      <c r="AM966" s="110"/>
      <c r="AN966" s="110"/>
      <c r="AO966" s="68"/>
      <c r="AP966" s="68"/>
      <c r="AQ966" s="40"/>
      <c r="AR966" s="40"/>
      <c r="AS966" s="23"/>
    </row>
    <row r="967" spans="1:45" ht="15.75" x14ac:dyDescent="0.25">
      <c r="A967" s="44"/>
      <c r="B967" s="23"/>
      <c r="C967" s="23"/>
      <c r="D967" s="23"/>
      <c r="E967" s="68"/>
      <c r="F967" s="68"/>
      <c r="G967" s="110"/>
      <c r="H967" s="110"/>
      <c r="I967" s="68"/>
      <c r="J967" s="68"/>
      <c r="K967" s="110"/>
      <c r="L967" s="110"/>
      <c r="M967" s="68"/>
      <c r="N967" s="68"/>
      <c r="O967" s="110"/>
      <c r="P967" s="110"/>
      <c r="Q967" s="68"/>
      <c r="R967" s="68"/>
      <c r="S967" s="110"/>
      <c r="T967" s="110"/>
      <c r="U967" s="68"/>
      <c r="V967" s="68"/>
      <c r="W967" s="110"/>
      <c r="X967" s="110"/>
      <c r="Y967" s="110"/>
      <c r="Z967" s="110"/>
      <c r="AA967" s="110"/>
      <c r="AB967" s="110"/>
      <c r="AC967" s="114"/>
      <c r="AD967" s="68"/>
      <c r="AE967" s="110"/>
      <c r="AF967" s="110"/>
      <c r="AG967" s="68"/>
      <c r="AH967" s="68"/>
      <c r="AI967" s="110"/>
      <c r="AJ967" s="110"/>
      <c r="AK967" s="68"/>
      <c r="AL967" s="68"/>
      <c r="AM967" s="110"/>
      <c r="AN967" s="110"/>
      <c r="AO967" s="68"/>
      <c r="AP967" s="68"/>
      <c r="AQ967" s="40"/>
      <c r="AR967" s="40"/>
      <c r="AS967" s="23"/>
    </row>
    <row r="968" spans="1:45" ht="15.75" x14ac:dyDescent="0.25">
      <c r="A968" s="44"/>
      <c r="B968" s="23"/>
      <c r="C968" s="23"/>
      <c r="D968" s="23"/>
      <c r="E968" s="68"/>
      <c r="F968" s="68"/>
      <c r="G968" s="110"/>
      <c r="H968" s="110"/>
      <c r="I968" s="68"/>
      <c r="J968" s="68"/>
      <c r="K968" s="110"/>
      <c r="L968" s="110"/>
      <c r="M968" s="68"/>
      <c r="N968" s="68"/>
      <c r="O968" s="110"/>
      <c r="P968" s="110"/>
      <c r="Q968" s="68"/>
      <c r="R968" s="68"/>
      <c r="S968" s="110"/>
      <c r="T968" s="110"/>
      <c r="U968" s="68"/>
      <c r="V968" s="68"/>
      <c r="W968" s="110"/>
      <c r="X968" s="110"/>
      <c r="Y968" s="110"/>
      <c r="Z968" s="110"/>
      <c r="AA968" s="110"/>
      <c r="AB968" s="110"/>
      <c r="AC968" s="114"/>
      <c r="AD968" s="68"/>
      <c r="AE968" s="110"/>
      <c r="AF968" s="110"/>
      <c r="AG968" s="68"/>
      <c r="AH968" s="68"/>
      <c r="AI968" s="110"/>
      <c r="AJ968" s="110"/>
      <c r="AK968" s="68"/>
      <c r="AL968" s="68"/>
      <c r="AM968" s="110"/>
      <c r="AN968" s="110"/>
      <c r="AO968" s="68"/>
      <c r="AP968" s="68"/>
      <c r="AQ968" s="40"/>
      <c r="AR968" s="40"/>
      <c r="AS968" s="23"/>
    </row>
    <row r="969" spans="1:45" ht="15.75" x14ac:dyDescent="0.25">
      <c r="A969" s="44"/>
      <c r="B969" s="23"/>
      <c r="C969" s="23"/>
      <c r="D969" s="23"/>
      <c r="E969" s="68"/>
      <c r="F969" s="68"/>
      <c r="G969" s="110"/>
      <c r="H969" s="110"/>
      <c r="I969" s="68"/>
      <c r="J969" s="68"/>
      <c r="K969" s="110"/>
      <c r="L969" s="110"/>
      <c r="M969" s="68"/>
      <c r="N969" s="68"/>
      <c r="O969" s="110"/>
      <c r="P969" s="110"/>
      <c r="Q969" s="68"/>
      <c r="R969" s="68"/>
      <c r="S969" s="110"/>
      <c r="T969" s="110"/>
      <c r="U969" s="68"/>
      <c r="V969" s="68"/>
      <c r="W969" s="110"/>
      <c r="X969" s="110"/>
      <c r="Y969" s="110"/>
      <c r="Z969" s="110"/>
      <c r="AA969" s="110"/>
      <c r="AB969" s="110"/>
      <c r="AC969" s="114"/>
      <c r="AD969" s="68"/>
      <c r="AE969" s="110"/>
      <c r="AF969" s="110"/>
      <c r="AG969" s="68"/>
      <c r="AH969" s="68"/>
      <c r="AI969" s="110"/>
      <c r="AJ969" s="110"/>
      <c r="AK969" s="68"/>
      <c r="AL969" s="68"/>
      <c r="AM969" s="110"/>
      <c r="AN969" s="110"/>
      <c r="AO969" s="68"/>
      <c r="AP969" s="68"/>
      <c r="AQ969" s="40"/>
      <c r="AR969" s="40"/>
      <c r="AS969" s="23"/>
    </row>
    <row r="970" spans="1:45" ht="15.75" x14ac:dyDescent="0.25">
      <c r="A970" s="44"/>
      <c r="B970" s="23"/>
      <c r="C970" s="23"/>
      <c r="D970" s="23"/>
      <c r="E970" s="68"/>
      <c r="F970" s="68"/>
      <c r="G970" s="110"/>
      <c r="H970" s="110"/>
      <c r="I970" s="68"/>
      <c r="J970" s="68"/>
      <c r="K970" s="110"/>
      <c r="L970" s="110"/>
      <c r="M970" s="68"/>
      <c r="N970" s="68"/>
      <c r="O970" s="110"/>
      <c r="P970" s="110"/>
      <c r="Q970" s="68"/>
      <c r="R970" s="68"/>
      <c r="S970" s="110"/>
      <c r="T970" s="110"/>
      <c r="U970" s="68"/>
      <c r="V970" s="68"/>
      <c r="W970" s="110"/>
      <c r="X970" s="110"/>
      <c r="Y970" s="110"/>
      <c r="Z970" s="110"/>
      <c r="AA970" s="110"/>
      <c r="AB970" s="110"/>
      <c r="AC970" s="114"/>
      <c r="AD970" s="68"/>
      <c r="AE970" s="110"/>
      <c r="AF970" s="110"/>
      <c r="AG970" s="68"/>
      <c r="AH970" s="68"/>
      <c r="AI970" s="110"/>
      <c r="AJ970" s="110"/>
      <c r="AK970" s="68"/>
      <c r="AL970" s="68"/>
      <c r="AM970" s="110"/>
      <c r="AN970" s="110"/>
      <c r="AO970" s="68"/>
      <c r="AP970" s="68"/>
      <c r="AQ970" s="40"/>
      <c r="AR970" s="40"/>
      <c r="AS970" s="23"/>
    </row>
    <row r="971" spans="1:45" ht="15.75" x14ac:dyDescent="0.25">
      <c r="A971" s="44"/>
      <c r="B971" s="23"/>
      <c r="C971" s="23"/>
      <c r="D971" s="23"/>
      <c r="E971" s="68"/>
      <c r="F971" s="68"/>
      <c r="G971" s="110"/>
      <c r="H971" s="110"/>
      <c r="I971" s="68"/>
      <c r="J971" s="68"/>
      <c r="K971" s="110"/>
      <c r="L971" s="110"/>
      <c r="M971" s="68"/>
      <c r="N971" s="68"/>
      <c r="O971" s="110"/>
      <c r="P971" s="110"/>
      <c r="Q971" s="68"/>
      <c r="R971" s="68"/>
      <c r="S971" s="110"/>
      <c r="T971" s="110"/>
      <c r="U971" s="68"/>
      <c r="V971" s="68"/>
      <c r="W971" s="110"/>
      <c r="X971" s="110"/>
      <c r="Y971" s="110"/>
      <c r="Z971" s="110"/>
      <c r="AA971" s="110"/>
      <c r="AB971" s="110"/>
      <c r="AC971" s="114"/>
      <c r="AD971" s="68"/>
      <c r="AE971" s="110"/>
      <c r="AF971" s="110"/>
      <c r="AG971" s="68"/>
      <c r="AH971" s="68"/>
      <c r="AI971" s="110"/>
      <c r="AJ971" s="110"/>
      <c r="AK971" s="68"/>
      <c r="AL971" s="68"/>
      <c r="AM971" s="110"/>
      <c r="AN971" s="110"/>
      <c r="AO971" s="68"/>
      <c r="AP971" s="68"/>
      <c r="AQ971" s="40"/>
      <c r="AR971" s="40"/>
      <c r="AS971" s="23"/>
    </row>
    <row r="972" spans="1:45" ht="15.75" x14ac:dyDescent="0.25">
      <c r="A972" s="44"/>
      <c r="B972" s="23"/>
      <c r="C972" s="23"/>
      <c r="D972" s="23"/>
      <c r="E972" s="68"/>
      <c r="F972" s="68"/>
      <c r="G972" s="110"/>
      <c r="H972" s="110"/>
      <c r="I972" s="68"/>
      <c r="J972" s="68"/>
      <c r="K972" s="110"/>
      <c r="L972" s="110"/>
      <c r="M972" s="68"/>
      <c r="N972" s="68"/>
      <c r="O972" s="110"/>
      <c r="P972" s="110"/>
      <c r="Q972" s="68"/>
      <c r="R972" s="68"/>
      <c r="S972" s="110"/>
      <c r="T972" s="110"/>
      <c r="U972" s="68"/>
      <c r="V972" s="68"/>
      <c r="W972" s="110"/>
      <c r="X972" s="110"/>
      <c r="Y972" s="110"/>
      <c r="Z972" s="110"/>
      <c r="AA972" s="110"/>
      <c r="AB972" s="110"/>
      <c r="AC972" s="114"/>
      <c r="AD972" s="68"/>
      <c r="AE972" s="110"/>
      <c r="AF972" s="110"/>
      <c r="AG972" s="68"/>
      <c r="AH972" s="68"/>
      <c r="AI972" s="110"/>
      <c r="AJ972" s="110"/>
      <c r="AK972" s="68"/>
      <c r="AL972" s="68"/>
      <c r="AM972" s="110"/>
      <c r="AN972" s="110"/>
      <c r="AO972" s="68"/>
      <c r="AP972" s="68"/>
      <c r="AQ972" s="40"/>
      <c r="AR972" s="40"/>
      <c r="AS972" s="23"/>
    </row>
    <row r="973" spans="1:45" ht="15.75" x14ac:dyDescent="0.25">
      <c r="A973" s="44"/>
      <c r="B973" s="23"/>
      <c r="C973" s="23"/>
      <c r="D973" s="23"/>
      <c r="E973" s="68"/>
      <c r="F973" s="68"/>
      <c r="G973" s="110"/>
      <c r="H973" s="110"/>
      <c r="I973" s="68"/>
      <c r="J973" s="68"/>
      <c r="K973" s="110"/>
      <c r="L973" s="110"/>
      <c r="M973" s="68"/>
      <c r="N973" s="68"/>
      <c r="O973" s="110"/>
      <c r="P973" s="110"/>
      <c r="Q973" s="68"/>
      <c r="R973" s="68"/>
      <c r="S973" s="110"/>
      <c r="T973" s="110"/>
      <c r="U973" s="68"/>
      <c r="V973" s="68"/>
      <c r="W973" s="110"/>
      <c r="X973" s="110"/>
      <c r="Y973" s="110"/>
      <c r="Z973" s="110"/>
      <c r="AA973" s="110"/>
      <c r="AB973" s="110"/>
      <c r="AC973" s="114"/>
      <c r="AD973" s="68"/>
      <c r="AE973" s="110"/>
      <c r="AF973" s="110"/>
      <c r="AG973" s="68"/>
      <c r="AH973" s="68"/>
      <c r="AI973" s="110"/>
      <c r="AJ973" s="110"/>
      <c r="AK973" s="68"/>
      <c r="AL973" s="68"/>
      <c r="AM973" s="110"/>
      <c r="AN973" s="110"/>
      <c r="AO973" s="68"/>
      <c r="AP973" s="68"/>
      <c r="AQ973" s="40"/>
      <c r="AR973" s="40"/>
      <c r="AS973" s="23"/>
    </row>
    <row r="974" spans="1:45" ht="15.75" x14ac:dyDescent="0.25">
      <c r="A974" s="44"/>
      <c r="B974" s="23"/>
      <c r="C974" s="23"/>
      <c r="D974" s="23"/>
      <c r="E974" s="68"/>
      <c r="F974" s="68"/>
      <c r="G974" s="110"/>
      <c r="H974" s="110"/>
      <c r="I974" s="68"/>
      <c r="J974" s="68"/>
      <c r="K974" s="110"/>
      <c r="L974" s="110"/>
      <c r="M974" s="68"/>
      <c r="N974" s="68"/>
      <c r="O974" s="110"/>
      <c r="P974" s="110"/>
      <c r="Q974" s="68"/>
      <c r="R974" s="68"/>
      <c r="S974" s="110"/>
      <c r="T974" s="110"/>
      <c r="U974" s="68"/>
      <c r="V974" s="68"/>
      <c r="W974" s="110"/>
      <c r="X974" s="110"/>
      <c r="Y974" s="110"/>
      <c r="Z974" s="110"/>
      <c r="AA974" s="110"/>
      <c r="AB974" s="110"/>
      <c r="AC974" s="114"/>
      <c r="AD974" s="68"/>
      <c r="AE974" s="110"/>
      <c r="AF974" s="110"/>
      <c r="AG974" s="68"/>
      <c r="AH974" s="68"/>
      <c r="AI974" s="110"/>
      <c r="AJ974" s="110"/>
      <c r="AK974" s="68"/>
      <c r="AL974" s="68"/>
      <c r="AM974" s="110"/>
      <c r="AN974" s="110"/>
      <c r="AO974" s="68"/>
      <c r="AP974" s="68"/>
      <c r="AQ974" s="40"/>
      <c r="AR974" s="40"/>
      <c r="AS974" s="23"/>
    </row>
    <row r="975" spans="1:45" ht="15.75" x14ac:dyDescent="0.25">
      <c r="A975" s="44"/>
      <c r="B975" s="23"/>
      <c r="C975" s="23"/>
      <c r="D975" s="23"/>
      <c r="E975" s="68"/>
      <c r="F975" s="68"/>
      <c r="G975" s="110"/>
      <c r="H975" s="110"/>
      <c r="I975" s="68"/>
      <c r="J975" s="68"/>
      <c r="K975" s="110"/>
      <c r="L975" s="110"/>
      <c r="M975" s="68"/>
      <c r="N975" s="68"/>
      <c r="O975" s="110"/>
      <c r="P975" s="110"/>
      <c r="Q975" s="68"/>
      <c r="R975" s="68"/>
      <c r="S975" s="110"/>
      <c r="T975" s="110"/>
      <c r="U975" s="68"/>
      <c r="V975" s="68"/>
      <c r="W975" s="110"/>
      <c r="X975" s="110"/>
      <c r="Y975" s="110"/>
      <c r="Z975" s="110"/>
      <c r="AA975" s="110"/>
      <c r="AB975" s="110"/>
      <c r="AC975" s="114"/>
      <c r="AD975" s="68"/>
      <c r="AE975" s="110"/>
      <c r="AF975" s="110"/>
      <c r="AG975" s="68"/>
      <c r="AH975" s="68"/>
      <c r="AI975" s="110"/>
      <c r="AJ975" s="110"/>
      <c r="AK975" s="68"/>
      <c r="AL975" s="68"/>
      <c r="AM975" s="110"/>
      <c r="AN975" s="110"/>
      <c r="AO975" s="68"/>
      <c r="AP975" s="68"/>
      <c r="AQ975" s="40"/>
      <c r="AR975" s="40"/>
      <c r="AS975" s="23"/>
    </row>
    <row r="976" spans="1:45" ht="15.75" x14ac:dyDescent="0.25">
      <c r="A976" s="44"/>
      <c r="B976" s="23"/>
      <c r="C976" s="23"/>
      <c r="D976" s="23"/>
      <c r="E976" s="68"/>
      <c r="F976" s="68"/>
      <c r="G976" s="110"/>
      <c r="H976" s="110"/>
      <c r="I976" s="68"/>
      <c r="J976" s="68"/>
      <c r="K976" s="110"/>
      <c r="L976" s="110"/>
      <c r="M976" s="68"/>
      <c r="N976" s="68"/>
      <c r="O976" s="110"/>
      <c r="P976" s="110"/>
      <c r="Q976" s="68"/>
      <c r="R976" s="68"/>
      <c r="S976" s="110"/>
      <c r="T976" s="110"/>
      <c r="U976" s="68"/>
      <c r="V976" s="68"/>
      <c r="W976" s="110"/>
      <c r="X976" s="110"/>
      <c r="Y976" s="110"/>
      <c r="Z976" s="110"/>
      <c r="AA976" s="110"/>
      <c r="AB976" s="110"/>
      <c r="AC976" s="114"/>
      <c r="AD976" s="68"/>
      <c r="AE976" s="110"/>
      <c r="AF976" s="110"/>
      <c r="AG976" s="68"/>
      <c r="AH976" s="68"/>
      <c r="AI976" s="110"/>
      <c r="AJ976" s="110"/>
      <c r="AK976" s="68"/>
      <c r="AL976" s="68"/>
      <c r="AM976" s="110"/>
      <c r="AN976" s="110"/>
      <c r="AO976" s="68"/>
      <c r="AP976" s="68"/>
      <c r="AQ976" s="40"/>
      <c r="AR976" s="40"/>
      <c r="AS976" s="23"/>
    </row>
    <row r="977" spans="1:45" ht="15.75" x14ac:dyDescent="0.25">
      <c r="A977" s="44"/>
      <c r="B977" s="23"/>
      <c r="C977" s="23"/>
      <c r="D977" s="23"/>
      <c r="E977" s="68"/>
      <c r="F977" s="68"/>
      <c r="G977" s="110"/>
      <c r="H977" s="110"/>
      <c r="I977" s="68"/>
      <c r="J977" s="68"/>
      <c r="K977" s="110"/>
      <c r="L977" s="110"/>
      <c r="M977" s="68"/>
      <c r="N977" s="68"/>
      <c r="O977" s="110"/>
      <c r="P977" s="110"/>
      <c r="Q977" s="68"/>
      <c r="R977" s="68"/>
      <c r="S977" s="110"/>
      <c r="T977" s="110"/>
      <c r="U977" s="68"/>
      <c r="V977" s="68"/>
      <c r="W977" s="110"/>
      <c r="X977" s="110"/>
      <c r="Y977" s="110"/>
      <c r="Z977" s="110"/>
      <c r="AA977" s="110"/>
      <c r="AB977" s="110"/>
      <c r="AC977" s="114"/>
      <c r="AD977" s="68"/>
      <c r="AE977" s="110"/>
      <c r="AF977" s="110"/>
      <c r="AG977" s="68"/>
      <c r="AH977" s="68"/>
      <c r="AI977" s="110"/>
      <c r="AJ977" s="110"/>
      <c r="AK977" s="68"/>
      <c r="AL977" s="68"/>
      <c r="AM977" s="110"/>
      <c r="AN977" s="110"/>
      <c r="AO977" s="68"/>
      <c r="AP977" s="68"/>
      <c r="AQ977" s="40"/>
      <c r="AR977" s="40"/>
      <c r="AS977" s="23"/>
    </row>
    <row r="978" spans="1:45" ht="15.75" x14ac:dyDescent="0.25">
      <c r="A978" s="44"/>
      <c r="B978" s="23"/>
      <c r="C978" s="23"/>
      <c r="D978" s="23"/>
      <c r="E978" s="68"/>
      <c r="F978" s="68"/>
      <c r="G978" s="110"/>
      <c r="H978" s="110"/>
      <c r="I978" s="68"/>
      <c r="J978" s="68"/>
      <c r="K978" s="110"/>
      <c r="L978" s="110"/>
      <c r="M978" s="68"/>
      <c r="N978" s="68"/>
      <c r="O978" s="110"/>
      <c r="P978" s="110"/>
      <c r="Q978" s="68"/>
      <c r="R978" s="68"/>
      <c r="S978" s="110"/>
      <c r="T978" s="110"/>
      <c r="U978" s="68"/>
      <c r="V978" s="68"/>
      <c r="W978" s="110"/>
      <c r="X978" s="110"/>
      <c r="Y978" s="110"/>
      <c r="Z978" s="110"/>
      <c r="AA978" s="110"/>
      <c r="AB978" s="110"/>
      <c r="AC978" s="114"/>
      <c r="AD978" s="68"/>
      <c r="AE978" s="110"/>
      <c r="AF978" s="110"/>
      <c r="AG978" s="68"/>
      <c r="AH978" s="68"/>
      <c r="AI978" s="110"/>
      <c r="AJ978" s="110"/>
      <c r="AK978" s="68"/>
      <c r="AL978" s="68"/>
      <c r="AM978" s="110"/>
      <c r="AN978" s="110"/>
      <c r="AO978" s="68"/>
      <c r="AP978" s="68"/>
      <c r="AQ978" s="40"/>
      <c r="AR978" s="40"/>
      <c r="AS978" s="23"/>
    </row>
    <row r="979" spans="1:45" ht="15.75" x14ac:dyDescent="0.25">
      <c r="A979" s="44"/>
      <c r="B979" s="23"/>
      <c r="C979" s="23"/>
      <c r="D979" s="23"/>
      <c r="E979" s="68"/>
      <c r="F979" s="68"/>
      <c r="G979" s="110"/>
      <c r="H979" s="110"/>
      <c r="I979" s="68"/>
      <c r="J979" s="68"/>
      <c r="K979" s="110"/>
      <c r="L979" s="110"/>
      <c r="M979" s="68"/>
      <c r="N979" s="68"/>
      <c r="O979" s="110"/>
      <c r="P979" s="110"/>
      <c r="Q979" s="68"/>
      <c r="R979" s="68"/>
      <c r="S979" s="110"/>
      <c r="T979" s="110"/>
      <c r="U979" s="68"/>
      <c r="V979" s="68"/>
      <c r="W979" s="110"/>
      <c r="X979" s="110"/>
      <c r="Y979" s="110"/>
      <c r="Z979" s="110"/>
      <c r="AA979" s="110"/>
      <c r="AB979" s="110"/>
      <c r="AC979" s="114"/>
      <c r="AD979" s="68"/>
      <c r="AE979" s="110"/>
      <c r="AF979" s="110"/>
      <c r="AG979" s="68"/>
      <c r="AH979" s="68"/>
      <c r="AI979" s="110"/>
      <c r="AJ979" s="110"/>
      <c r="AK979" s="68"/>
      <c r="AL979" s="68"/>
      <c r="AM979" s="110"/>
      <c r="AN979" s="110"/>
      <c r="AO979" s="68"/>
      <c r="AP979" s="68"/>
      <c r="AQ979" s="40"/>
      <c r="AR979" s="40"/>
      <c r="AS979" s="23"/>
    </row>
    <row r="980" spans="1:45" ht="15.75" x14ac:dyDescent="0.25">
      <c r="A980" s="44"/>
      <c r="B980" s="23"/>
      <c r="C980" s="23"/>
      <c r="D980" s="23"/>
      <c r="E980" s="68"/>
      <c r="F980" s="68"/>
      <c r="G980" s="110"/>
      <c r="H980" s="110"/>
      <c r="I980" s="68"/>
      <c r="J980" s="68"/>
      <c r="K980" s="110"/>
      <c r="L980" s="110"/>
      <c r="M980" s="68"/>
      <c r="N980" s="68"/>
      <c r="O980" s="110"/>
      <c r="P980" s="110"/>
      <c r="Q980" s="68"/>
      <c r="R980" s="68"/>
      <c r="S980" s="110"/>
      <c r="T980" s="110"/>
      <c r="U980" s="68"/>
      <c r="V980" s="68"/>
      <c r="W980" s="110"/>
      <c r="X980" s="110"/>
      <c r="Y980" s="110"/>
      <c r="Z980" s="110"/>
      <c r="AA980" s="110"/>
      <c r="AB980" s="110"/>
      <c r="AC980" s="114"/>
      <c r="AD980" s="68"/>
      <c r="AE980" s="110"/>
      <c r="AF980" s="110"/>
      <c r="AG980" s="68"/>
      <c r="AH980" s="68"/>
      <c r="AI980" s="110"/>
      <c r="AJ980" s="110"/>
      <c r="AK980" s="68"/>
      <c r="AL980" s="68"/>
      <c r="AM980" s="110"/>
      <c r="AN980" s="110"/>
      <c r="AO980" s="68"/>
      <c r="AP980" s="68"/>
      <c r="AQ980" s="40"/>
      <c r="AR980" s="40"/>
      <c r="AS980" s="23"/>
    </row>
    <row r="981" spans="1:45" ht="15.75" x14ac:dyDescent="0.25">
      <c r="A981" s="44"/>
      <c r="B981" s="23"/>
      <c r="C981" s="23"/>
      <c r="D981" s="23"/>
      <c r="E981" s="68"/>
      <c r="F981" s="68"/>
      <c r="G981" s="110"/>
      <c r="H981" s="110"/>
      <c r="I981" s="68"/>
      <c r="J981" s="68"/>
      <c r="K981" s="110"/>
      <c r="L981" s="110"/>
      <c r="M981" s="68"/>
      <c r="N981" s="68"/>
      <c r="O981" s="110"/>
      <c r="P981" s="110"/>
      <c r="Q981" s="68"/>
      <c r="R981" s="68"/>
      <c r="S981" s="110"/>
      <c r="T981" s="110"/>
      <c r="U981" s="68"/>
      <c r="V981" s="68"/>
      <c r="W981" s="110"/>
      <c r="X981" s="110"/>
      <c r="Y981" s="110"/>
      <c r="Z981" s="110"/>
      <c r="AA981" s="110"/>
      <c r="AB981" s="110"/>
      <c r="AC981" s="114"/>
      <c r="AD981" s="68"/>
      <c r="AE981" s="110"/>
      <c r="AF981" s="110"/>
      <c r="AG981" s="68"/>
      <c r="AH981" s="68"/>
      <c r="AI981" s="110"/>
      <c r="AJ981" s="110"/>
      <c r="AK981" s="68"/>
      <c r="AL981" s="68"/>
      <c r="AM981" s="110"/>
      <c r="AN981" s="110"/>
      <c r="AO981" s="68"/>
      <c r="AP981" s="68"/>
      <c r="AQ981" s="40"/>
      <c r="AR981" s="40"/>
      <c r="AS981" s="23"/>
    </row>
    <row r="982" spans="1:45" ht="15.75" x14ac:dyDescent="0.25">
      <c r="A982" s="44"/>
      <c r="B982" s="23"/>
      <c r="C982" s="23"/>
      <c r="D982" s="23"/>
      <c r="E982" s="68"/>
      <c r="F982" s="68"/>
      <c r="G982" s="110"/>
      <c r="H982" s="110"/>
      <c r="I982" s="68"/>
      <c r="J982" s="68"/>
      <c r="K982" s="110"/>
      <c r="L982" s="110"/>
      <c r="M982" s="68"/>
      <c r="N982" s="68"/>
      <c r="O982" s="110"/>
      <c r="P982" s="110"/>
      <c r="Q982" s="68"/>
      <c r="R982" s="68"/>
      <c r="S982" s="110"/>
      <c r="T982" s="110"/>
      <c r="U982" s="68"/>
      <c r="V982" s="68"/>
      <c r="W982" s="110"/>
      <c r="X982" s="110"/>
      <c r="Y982" s="110"/>
      <c r="Z982" s="110"/>
      <c r="AA982" s="110"/>
      <c r="AB982" s="110"/>
      <c r="AC982" s="114"/>
      <c r="AD982" s="68"/>
      <c r="AE982" s="110"/>
      <c r="AF982" s="110"/>
      <c r="AG982" s="68"/>
      <c r="AH982" s="68"/>
      <c r="AI982" s="110"/>
      <c r="AJ982" s="110"/>
      <c r="AK982" s="68"/>
      <c r="AL982" s="68"/>
      <c r="AM982" s="110"/>
      <c r="AN982" s="110"/>
      <c r="AO982" s="68"/>
      <c r="AP982" s="68"/>
      <c r="AQ982" s="40"/>
      <c r="AR982" s="40"/>
      <c r="AS982" s="23"/>
    </row>
    <row r="983" spans="1:45" ht="15.75" x14ac:dyDescent="0.25">
      <c r="A983" s="44"/>
      <c r="B983" s="23"/>
      <c r="C983" s="23"/>
      <c r="D983" s="23"/>
      <c r="E983" s="68"/>
      <c r="F983" s="68"/>
      <c r="G983" s="110"/>
      <c r="H983" s="110"/>
      <c r="I983" s="68"/>
      <c r="J983" s="68"/>
      <c r="K983" s="110"/>
      <c r="L983" s="110"/>
      <c r="M983" s="68"/>
      <c r="N983" s="68"/>
      <c r="O983" s="110"/>
      <c r="P983" s="110"/>
      <c r="Q983" s="68"/>
      <c r="R983" s="68"/>
      <c r="S983" s="110"/>
      <c r="T983" s="110"/>
      <c r="U983" s="68"/>
      <c r="V983" s="68"/>
      <c r="W983" s="110"/>
      <c r="X983" s="110"/>
      <c r="Y983" s="110"/>
      <c r="Z983" s="110"/>
      <c r="AA983" s="110"/>
      <c r="AB983" s="110"/>
      <c r="AC983" s="114"/>
      <c r="AD983" s="68"/>
      <c r="AE983" s="110"/>
      <c r="AF983" s="110"/>
      <c r="AG983" s="68"/>
      <c r="AH983" s="68"/>
      <c r="AI983" s="110"/>
      <c r="AJ983" s="110"/>
      <c r="AK983" s="68"/>
      <c r="AL983" s="68"/>
      <c r="AM983" s="110"/>
      <c r="AN983" s="110"/>
      <c r="AO983" s="68"/>
      <c r="AP983" s="68"/>
      <c r="AQ983" s="40"/>
      <c r="AR983" s="40"/>
      <c r="AS983" s="23"/>
    </row>
    <row r="984" spans="1:45" ht="15.75" x14ac:dyDescent="0.25">
      <c r="A984" s="44"/>
      <c r="B984" s="23"/>
      <c r="C984" s="23"/>
      <c r="D984" s="23"/>
      <c r="E984" s="68"/>
      <c r="F984" s="68"/>
      <c r="G984" s="110"/>
      <c r="H984" s="110"/>
      <c r="I984" s="68"/>
      <c r="J984" s="68"/>
      <c r="K984" s="110"/>
      <c r="L984" s="110"/>
      <c r="M984" s="68"/>
      <c r="N984" s="68"/>
      <c r="O984" s="110"/>
      <c r="P984" s="110"/>
      <c r="Q984" s="68"/>
      <c r="R984" s="68"/>
      <c r="S984" s="110"/>
      <c r="T984" s="110"/>
      <c r="U984" s="68"/>
      <c r="V984" s="68"/>
      <c r="W984" s="110"/>
      <c r="X984" s="110"/>
      <c r="Y984" s="110"/>
      <c r="Z984" s="110"/>
      <c r="AA984" s="110"/>
      <c r="AB984" s="110"/>
      <c r="AC984" s="114"/>
      <c r="AD984" s="68"/>
      <c r="AE984" s="110"/>
      <c r="AF984" s="110"/>
      <c r="AG984" s="68"/>
      <c r="AH984" s="68"/>
      <c r="AI984" s="110"/>
      <c r="AJ984" s="110"/>
      <c r="AK984" s="68"/>
      <c r="AL984" s="68"/>
      <c r="AM984" s="110"/>
      <c r="AN984" s="110"/>
      <c r="AO984" s="68"/>
      <c r="AP984" s="68"/>
      <c r="AQ984" s="40"/>
      <c r="AR984" s="40"/>
      <c r="AS984" s="23"/>
    </row>
    <row r="985" spans="1:45" ht="15.75" x14ac:dyDescent="0.25">
      <c r="A985" s="44"/>
      <c r="B985" s="23"/>
      <c r="C985" s="23"/>
      <c r="D985" s="23"/>
      <c r="E985" s="68"/>
      <c r="F985" s="68"/>
      <c r="G985" s="110"/>
      <c r="H985" s="110"/>
      <c r="I985" s="68"/>
      <c r="J985" s="68"/>
      <c r="K985" s="110"/>
      <c r="L985" s="110"/>
      <c r="M985" s="68"/>
      <c r="N985" s="68"/>
      <c r="O985" s="110"/>
      <c r="P985" s="110"/>
      <c r="Q985" s="68"/>
      <c r="R985" s="68"/>
      <c r="S985" s="110"/>
      <c r="T985" s="110"/>
      <c r="U985" s="68"/>
      <c r="V985" s="68"/>
      <c r="W985" s="110"/>
      <c r="X985" s="110"/>
      <c r="Y985" s="110"/>
      <c r="Z985" s="110"/>
      <c r="AA985" s="110"/>
      <c r="AB985" s="110"/>
      <c r="AC985" s="114"/>
      <c r="AD985" s="68"/>
      <c r="AE985" s="110"/>
      <c r="AF985" s="110"/>
      <c r="AG985" s="68"/>
      <c r="AH985" s="68"/>
      <c r="AI985" s="110"/>
      <c r="AJ985" s="110"/>
      <c r="AK985" s="68"/>
      <c r="AL985" s="68"/>
      <c r="AM985" s="110"/>
      <c r="AN985" s="110"/>
      <c r="AO985" s="68"/>
      <c r="AP985" s="68"/>
      <c r="AQ985" s="40"/>
      <c r="AR985" s="40"/>
      <c r="AS985" s="23"/>
    </row>
    <row r="986" spans="1:45" ht="15.75" x14ac:dyDescent="0.25">
      <c r="A986" s="44"/>
      <c r="B986" s="23"/>
      <c r="C986" s="23"/>
      <c r="D986" s="23"/>
      <c r="E986" s="68"/>
      <c r="F986" s="68"/>
      <c r="G986" s="110"/>
      <c r="H986" s="110"/>
      <c r="I986" s="68"/>
      <c r="J986" s="68"/>
      <c r="K986" s="110"/>
      <c r="L986" s="110"/>
      <c r="M986" s="68"/>
      <c r="N986" s="68"/>
      <c r="O986" s="110"/>
      <c r="P986" s="110"/>
      <c r="Q986" s="68"/>
      <c r="R986" s="68"/>
      <c r="S986" s="110"/>
      <c r="T986" s="110"/>
      <c r="U986" s="68"/>
      <c r="V986" s="68"/>
      <c r="W986" s="110"/>
      <c r="X986" s="110"/>
      <c r="Y986" s="110"/>
      <c r="Z986" s="110"/>
      <c r="AA986" s="110"/>
      <c r="AB986" s="110"/>
      <c r="AC986" s="114"/>
      <c r="AD986" s="68"/>
      <c r="AE986" s="110"/>
      <c r="AF986" s="110"/>
      <c r="AG986" s="68"/>
      <c r="AH986" s="68"/>
      <c r="AI986" s="110"/>
      <c r="AJ986" s="110"/>
      <c r="AK986" s="68"/>
      <c r="AL986" s="68"/>
      <c r="AM986" s="110"/>
      <c r="AN986" s="110"/>
      <c r="AO986" s="68"/>
      <c r="AP986" s="68"/>
      <c r="AQ986" s="40"/>
      <c r="AR986" s="40"/>
      <c r="AS986" s="23"/>
    </row>
    <row r="987" spans="1:45" ht="15.75" x14ac:dyDescent="0.25">
      <c r="A987" s="44"/>
      <c r="B987" s="23"/>
      <c r="C987" s="23"/>
      <c r="D987" s="23"/>
      <c r="E987" s="68"/>
      <c r="F987" s="68"/>
      <c r="G987" s="110"/>
      <c r="H987" s="110"/>
      <c r="I987" s="68"/>
      <c r="J987" s="68"/>
      <c r="K987" s="110"/>
      <c r="L987" s="110"/>
      <c r="M987" s="68"/>
      <c r="N987" s="68"/>
      <c r="O987" s="110"/>
      <c r="P987" s="110"/>
      <c r="Q987" s="68"/>
      <c r="R987" s="68"/>
      <c r="S987" s="110"/>
      <c r="T987" s="110"/>
      <c r="U987" s="68"/>
      <c r="V987" s="68"/>
      <c r="W987" s="110"/>
      <c r="X987" s="110"/>
      <c r="Y987" s="110"/>
      <c r="Z987" s="110"/>
      <c r="AA987" s="110"/>
      <c r="AB987" s="110"/>
      <c r="AC987" s="114"/>
      <c r="AD987" s="68"/>
      <c r="AE987" s="110"/>
      <c r="AF987" s="110"/>
      <c r="AG987" s="68"/>
      <c r="AH987" s="68"/>
      <c r="AI987" s="110"/>
      <c r="AJ987" s="110"/>
      <c r="AK987" s="68"/>
      <c r="AL987" s="68"/>
      <c r="AM987" s="110"/>
      <c r="AN987" s="110"/>
      <c r="AO987" s="68"/>
      <c r="AP987" s="68"/>
      <c r="AQ987" s="40"/>
      <c r="AR987" s="40"/>
      <c r="AS987" s="23"/>
    </row>
    <row r="988" spans="1:45" ht="15.75" x14ac:dyDescent="0.25">
      <c r="A988" s="44"/>
      <c r="B988" s="23"/>
      <c r="C988" s="23"/>
      <c r="D988" s="23"/>
      <c r="E988" s="68"/>
      <c r="F988" s="68"/>
      <c r="G988" s="110"/>
      <c r="H988" s="110"/>
      <c r="I988" s="68"/>
      <c r="J988" s="68"/>
      <c r="K988" s="110"/>
      <c r="L988" s="110"/>
      <c r="M988" s="68"/>
      <c r="N988" s="68"/>
      <c r="O988" s="110"/>
      <c r="P988" s="110"/>
      <c r="Q988" s="68"/>
      <c r="R988" s="68"/>
      <c r="S988" s="110"/>
      <c r="T988" s="110"/>
      <c r="U988" s="68"/>
      <c r="V988" s="68"/>
      <c r="W988" s="110"/>
      <c r="X988" s="110"/>
      <c r="Y988" s="110"/>
      <c r="Z988" s="110"/>
      <c r="AA988" s="110"/>
      <c r="AB988" s="110"/>
      <c r="AC988" s="114"/>
      <c r="AD988" s="68"/>
      <c r="AE988" s="110"/>
      <c r="AF988" s="110"/>
      <c r="AG988" s="68"/>
      <c r="AH988" s="68"/>
      <c r="AI988" s="110"/>
      <c r="AJ988" s="110"/>
      <c r="AK988" s="68"/>
      <c r="AL988" s="68"/>
      <c r="AM988" s="110"/>
      <c r="AN988" s="110"/>
      <c r="AO988" s="68"/>
      <c r="AP988" s="68"/>
      <c r="AQ988" s="40"/>
      <c r="AR988" s="40"/>
      <c r="AS988" s="23"/>
    </row>
    <row r="989" spans="1:45" ht="15.75" x14ac:dyDescent="0.25">
      <c r="A989" s="44"/>
      <c r="B989" s="23"/>
      <c r="C989" s="23"/>
      <c r="D989" s="23"/>
      <c r="E989" s="68"/>
      <c r="F989" s="68"/>
      <c r="G989" s="110"/>
      <c r="H989" s="110"/>
      <c r="I989" s="68"/>
      <c r="J989" s="68"/>
      <c r="K989" s="110"/>
      <c r="L989" s="110"/>
      <c r="M989" s="68"/>
      <c r="N989" s="68"/>
      <c r="O989" s="110"/>
      <c r="P989" s="110"/>
      <c r="Q989" s="68"/>
      <c r="R989" s="68"/>
      <c r="S989" s="110"/>
      <c r="T989" s="110"/>
      <c r="U989" s="68"/>
      <c r="V989" s="68"/>
      <c r="W989" s="110"/>
      <c r="X989" s="110"/>
      <c r="Y989" s="110"/>
      <c r="Z989" s="110"/>
      <c r="AA989" s="110"/>
      <c r="AB989" s="110"/>
      <c r="AC989" s="114"/>
      <c r="AD989" s="68"/>
      <c r="AE989" s="110"/>
      <c r="AF989" s="110"/>
      <c r="AG989" s="68"/>
      <c r="AH989" s="68"/>
      <c r="AI989" s="110"/>
      <c r="AJ989" s="110"/>
      <c r="AK989" s="68"/>
      <c r="AL989" s="68"/>
      <c r="AM989" s="110"/>
      <c r="AN989" s="110"/>
      <c r="AO989" s="68"/>
      <c r="AP989" s="68"/>
      <c r="AQ989" s="40"/>
      <c r="AR989" s="40"/>
      <c r="AS989" s="23"/>
    </row>
    <row r="990" spans="1:45" ht="15.75" x14ac:dyDescent="0.25">
      <c r="A990" s="44"/>
      <c r="B990" s="23"/>
      <c r="C990" s="23"/>
      <c r="D990" s="23"/>
      <c r="E990" s="68"/>
      <c r="F990" s="68"/>
      <c r="G990" s="110"/>
      <c r="H990" s="110"/>
      <c r="I990" s="68"/>
      <c r="J990" s="68"/>
      <c r="K990" s="110"/>
      <c r="L990" s="110"/>
      <c r="M990" s="68"/>
      <c r="N990" s="68"/>
      <c r="O990" s="110"/>
      <c r="P990" s="110"/>
      <c r="Q990" s="68"/>
      <c r="R990" s="68"/>
      <c r="S990" s="110"/>
      <c r="T990" s="110"/>
      <c r="U990" s="68"/>
      <c r="V990" s="68"/>
      <c r="W990" s="110"/>
      <c r="X990" s="110"/>
      <c r="Y990" s="110"/>
      <c r="Z990" s="110"/>
      <c r="AA990" s="110"/>
      <c r="AB990" s="110"/>
      <c r="AC990" s="114"/>
      <c r="AD990" s="68"/>
      <c r="AE990" s="110"/>
      <c r="AF990" s="110"/>
      <c r="AG990" s="68"/>
      <c r="AH990" s="68"/>
      <c r="AI990" s="110"/>
      <c r="AJ990" s="110"/>
      <c r="AK990" s="68"/>
      <c r="AL990" s="68"/>
      <c r="AM990" s="110"/>
      <c r="AN990" s="110"/>
      <c r="AO990" s="68"/>
      <c r="AP990" s="68"/>
      <c r="AQ990" s="40"/>
      <c r="AR990" s="40"/>
      <c r="AS990" s="23"/>
    </row>
    <row r="991" spans="1:45" ht="15.75" x14ac:dyDescent="0.25">
      <c r="A991" s="44"/>
      <c r="B991" s="23"/>
      <c r="C991" s="23"/>
      <c r="D991" s="23"/>
      <c r="E991" s="68"/>
      <c r="F991" s="68"/>
      <c r="G991" s="110"/>
      <c r="H991" s="110"/>
      <c r="I991" s="68"/>
      <c r="J991" s="68"/>
      <c r="K991" s="110"/>
      <c r="L991" s="110"/>
      <c r="M991" s="68"/>
      <c r="N991" s="68"/>
      <c r="O991" s="110"/>
      <c r="P991" s="110"/>
      <c r="Q991" s="68"/>
      <c r="R991" s="68"/>
      <c r="S991" s="110"/>
      <c r="T991" s="110"/>
      <c r="U991" s="68"/>
      <c r="V991" s="68"/>
      <c r="W991" s="110"/>
      <c r="X991" s="110"/>
      <c r="Y991" s="110"/>
      <c r="Z991" s="110"/>
      <c r="AA991" s="110"/>
      <c r="AB991" s="110"/>
      <c r="AC991" s="114"/>
      <c r="AD991" s="68"/>
      <c r="AE991" s="110"/>
      <c r="AF991" s="110"/>
      <c r="AG991" s="68"/>
      <c r="AH991" s="68"/>
      <c r="AI991" s="110"/>
      <c r="AJ991" s="110"/>
      <c r="AK991" s="68"/>
      <c r="AL991" s="68"/>
      <c r="AM991" s="110"/>
      <c r="AN991" s="110"/>
      <c r="AO991" s="68"/>
      <c r="AP991" s="68"/>
      <c r="AQ991" s="40"/>
      <c r="AR991" s="40"/>
      <c r="AS991" s="23"/>
    </row>
    <row r="992" spans="1:45" ht="15.75" x14ac:dyDescent="0.25">
      <c r="A992" s="44"/>
      <c r="B992" s="23"/>
      <c r="C992" s="23"/>
      <c r="D992" s="23"/>
      <c r="E992" s="68"/>
      <c r="F992" s="68"/>
      <c r="G992" s="110"/>
      <c r="H992" s="110"/>
      <c r="I992" s="68"/>
      <c r="J992" s="68"/>
      <c r="K992" s="110"/>
      <c r="L992" s="110"/>
      <c r="M992" s="68"/>
      <c r="N992" s="68"/>
      <c r="O992" s="110"/>
      <c r="P992" s="110"/>
      <c r="Q992" s="68"/>
      <c r="R992" s="68"/>
      <c r="S992" s="110"/>
      <c r="T992" s="110"/>
      <c r="U992" s="68"/>
      <c r="V992" s="68"/>
      <c r="W992" s="110"/>
      <c r="X992" s="110"/>
      <c r="Y992" s="110"/>
      <c r="Z992" s="110"/>
      <c r="AA992" s="110"/>
      <c r="AB992" s="110"/>
      <c r="AC992" s="114"/>
      <c r="AD992" s="68"/>
      <c r="AE992" s="110"/>
      <c r="AF992" s="110"/>
      <c r="AG992" s="68"/>
      <c r="AH992" s="68"/>
      <c r="AI992" s="110"/>
      <c r="AJ992" s="110"/>
      <c r="AK992" s="68"/>
      <c r="AL992" s="68"/>
      <c r="AM992" s="110"/>
      <c r="AN992" s="110"/>
      <c r="AO992" s="68"/>
      <c r="AP992" s="68"/>
      <c r="AQ992" s="40"/>
      <c r="AR992" s="40"/>
      <c r="AS992" s="23"/>
    </row>
    <row r="993" spans="1:45" ht="15.75" x14ac:dyDescent="0.25">
      <c r="A993" s="44"/>
      <c r="B993" s="23"/>
      <c r="C993" s="23"/>
      <c r="D993" s="23"/>
      <c r="E993" s="68"/>
      <c r="F993" s="68"/>
      <c r="G993" s="110"/>
      <c r="H993" s="110"/>
      <c r="I993" s="68"/>
      <c r="J993" s="68"/>
      <c r="K993" s="110"/>
      <c r="L993" s="110"/>
      <c r="M993" s="68"/>
      <c r="N993" s="68"/>
      <c r="O993" s="110"/>
      <c r="P993" s="110"/>
      <c r="Q993" s="68"/>
      <c r="R993" s="68"/>
      <c r="S993" s="110"/>
      <c r="T993" s="110"/>
      <c r="U993" s="68"/>
      <c r="V993" s="68"/>
      <c r="W993" s="110"/>
      <c r="X993" s="110"/>
      <c r="Y993" s="110"/>
      <c r="Z993" s="110"/>
      <c r="AA993" s="110"/>
      <c r="AB993" s="110"/>
      <c r="AC993" s="114"/>
      <c r="AD993" s="68"/>
      <c r="AE993" s="110"/>
      <c r="AF993" s="110"/>
      <c r="AG993" s="68"/>
      <c r="AH993" s="68"/>
      <c r="AI993" s="110"/>
      <c r="AJ993" s="110"/>
      <c r="AK993" s="68"/>
      <c r="AL993" s="68"/>
      <c r="AM993" s="110"/>
      <c r="AN993" s="110"/>
      <c r="AO993" s="68"/>
      <c r="AP993" s="68"/>
      <c r="AQ993" s="40"/>
      <c r="AR993" s="40"/>
      <c r="AS993" s="23"/>
    </row>
    <row r="994" spans="1:45" ht="15.75" x14ac:dyDescent="0.25">
      <c r="A994" s="44"/>
      <c r="B994" s="23"/>
      <c r="C994" s="23"/>
      <c r="D994" s="23"/>
      <c r="E994" s="68"/>
      <c r="F994" s="68"/>
      <c r="G994" s="110"/>
      <c r="H994" s="110"/>
      <c r="I994" s="68"/>
      <c r="J994" s="68"/>
      <c r="K994" s="110"/>
      <c r="L994" s="110"/>
      <c r="M994" s="68"/>
      <c r="N994" s="68"/>
      <c r="O994" s="110"/>
      <c r="P994" s="110"/>
      <c r="Q994" s="68"/>
      <c r="R994" s="68"/>
      <c r="S994" s="110"/>
      <c r="T994" s="110"/>
      <c r="U994" s="68"/>
      <c r="V994" s="68"/>
      <c r="W994" s="110"/>
      <c r="X994" s="110"/>
      <c r="Y994" s="110"/>
      <c r="Z994" s="110"/>
      <c r="AA994" s="110"/>
      <c r="AB994" s="110"/>
      <c r="AC994" s="114"/>
      <c r="AD994" s="68"/>
      <c r="AE994" s="110"/>
      <c r="AF994" s="110"/>
      <c r="AG994" s="68"/>
      <c r="AH994" s="68"/>
      <c r="AI994" s="110"/>
      <c r="AJ994" s="110"/>
      <c r="AK994" s="68"/>
      <c r="AL994" s="68"/>
      <c r="AM994" s="110"/>
      <c r="AN994" s="110"/>
      <c r="AO994" s="68"/>
      <c r="AP994" s="68"/>
      <c r="AQ994" s="40"/>
      <c r="AR994" s="40"/>
      <c r="AS994" s="23"/>
    </row>
    <row r="995" spans="1:45" ht="15.75" x14ac:dyDescent="0.25">
      <c r="A995" s="44"/>
      <c r="B995" s="23"/>
      <c r="C995" s="23"/>
      <c r="D995" s="23"/>
      <c r="E995" s="68"/>
      <c r="F995" s="68"/>
      <c r="G995" s="110"/>
      <c r="H995" s="110"/>
      <c r="I995" s="68"/>
      <c r="J995" s="68"/>
      <c r="K995" s="110"/>
      <c r="L995" s="110"/>
      <c r="M995" s="68"/>
      <c r="N995" s="68"/>
      <c r="O995" s="110"/>
      <c r="P995" s="110"/>
      <c r="Q995" s="68"/>
      <c r="R995" s="68"/>
      <c r="S995" s="110"/>
      <c r="T995" s="110"/>
      <c r="U995" s="68"/>
      <c r="V995" s="68"/>
      <c r="W995" s="110"/>
      <c r="X995" s="110"/>
      <c r="Y995" s="110"/>
      <c r="Z995" s="110"/>
      <c r="AA995" s="110"/>
      <c r="AB995" s="110"/>
      <c r="AC995" s="114"/>
      <c r="AD995" s="68"/>
      <c r="AE995" s="110"/>
      <c r="AF995" s="110"/>
      <c r="AG995" s="68"/>
      <c r="AH995" s="68"/>
      <c r="AI995" s="110"/>
      <c r="AJ995" s="110"/>
      <c r="AK995" s="68"/>
      <c r="AL995" s="68"/>
      <c r="AM995" s="110"/>
      <c r="AN995" s="110"/>
      <c r="AO995" s="68"/>
      <c r="AP995" s="68"/>
      <c r="AQ995" s="40"/>
      <c r="AR995" s="40"/>
      <c r="AS995" s="23"/>
    </row>
    <row r="996" spans="1:45" ht="15.75" x14ac:dyDescent="0.25">
      <c r="A996" s="44"/>
      <c r="B996" s="23"/>
      <c r="C996" s="23"/>
      <c r="D996" s="23"/>
      <c r="E996" s="68"/>
      <c r="F996" s="68"/>
      <c r="G996" s="110"/>
      <c r="H996" s="110"/>
      <c r="I996" s="68"/>
      <c r="J996" s="68"/>
      <c r="K996" s="110"/>
      <c r="L996" s="110"/>
      <c r="M996" s="68"/>
      <c r="N996" s="68"/>
      <c r="O996" s="110"/>
      <c r="P996" s="110"/>
      <c r="Q996" s="68"/>
      <c r="R996" s="68"/>
      <c r="S996" s="110"/>
      <c r="T996" s="110"/>
      <c r="U996" s="68"/>
      <c r="V996" s="68"/>
      <c r="W996" s="110"/>
      <c r="X996" s="110"/>
      <c r="Y996" s="110"/>
      <c r="Z996" s="110"/>
      <c r="AA996" s="110"/>
      <c r="AB996" s="110"/>
      <c r="AC996" s="114"/>
      <c r="AD996" s="68"/>
      <c r="AE996" s="110"/>
      <c r="AF996" s="110"/>
      <c r="AG996" s="68"/>
      <c r="AH996" s="68"/>
      <c r="AI996" s="110"/>
      <c r="AJ996" s="110"/>
      <c r="AK996" s="68"/>
      <c r="AL996" s="68"/>
      <c r="AM996" s="110"/>
      <c r="AN996" s="110"/>
      <c r="AO996" s="68"/>
      <c r="AP996" s="68"/>
      <c r="AQ996" s="40"/>
      <c r="AR996" s="40"/>
      <c r="AS996" s="23"/>
    </row>
    <row r="997" spans="1:45" ht="15.75" x14ac:dyDescent="0.25">
      <c r="A997" s="44"/>
      <c r="B997" s="23"/>
      <c r="C997" s="23"/>
      <c r="D997" s="23"/>
      <c r="E997" s="68"/>
      <c r="F997" s="68"/>
      <c r="G997" s="110"/>
      <c r="H997" s="110"/>
      <c r="I997" s="68"/>
      <c r="J997" s="68"/>
      <c r="K997" s="110"/>
      <c r="L997" s="110"/>
      <c r="M997" s="68"/>
      <c r="N997" s="68"/>
      <c r="O997" s="110"/>
      <c r="P997" s="110"/>
      <c r="Q997" s="68"/>
      <c r="R997" s="68"/>
      <c r="S997" s="110"/>
      <c r="T997" s="110"/>
      <c r="U997" s="68"/>
      <c r="V997" s="68"/>
      <c r="W997" s="110"/>
      <c r="X997" s="110"/>
      <c r="Y997" s="110"/>
      <c r="Z997" s="110"/>
      <c r="AA997" s="110"/>
      <c r="AB997" s="110"/>
      <c r="AC997" s="114"/>
      <c r="AD997" s="68"/>
      <c r="AE997" s="110"/>
      <c r="AF997" s="110"/>
      <c r="AG997" s="68"/>
      <c r="AH997" s="68"/>
      <c r="AI997" s="110"/>
      <c r="AJ997" s="110"/>
      <c r="AK997" s="68"/>
      <c r="AL997" s="68"/>
      <c r="AM997" s="110"/>
      <c r="AN997" s="110"/>
      <c r="AO997" s="68"/>
      <c r="AP997" s="68"/>
      <c r="AQ997" s="40"/>
      <c r="AR997" s="40"/>
      <c r="AS997" s="23"/>
    </row>
    <row r="998" spans="1:45" ht="15.75" x14ac:dyDescent="0.25">
      <c r="A998" s="44"/>
      <c r="B998" s="23"/>
      <c r="C998" s="23"/>
      <c r="D998" s="23"/>
      <c r="E998" s="68"/>
      <c r="F998" s="68"/>
      <c r="G998" s="110"/>
      <c r="H998" s="110"/>
      <c r="I998" s="68"/>
      <c r="J998" s="68"/>
      <c r="K998" s="110"/>
      <c r="L998" s="110"/>
      <c r="M998" s="68"/>
      <c r="N998" s="68"/>
      <c r="O998" s="110"/>
      <c r="P998" s="110"/>
      <c r="Q998" s="68"/>
      <c r="R998" s="68"/>
      <c r="S998" s="110"/>
      <c r="T998" s="110"/>
      <c r="U998" s="68"/>
      <c r="V998" s="68"/>
      <c r="W998" s="110"/>
      <c r="X998" s="110"/>
      <c r="Y998" s="110"/>
      <c r="Z998" s="110"/>
      <c r="AA998" s="110"/>
      <c r="AB998" s="110"/>
      <c r="AC998" s="114"/>
      <c r="AD998" s="68"/>
      <c r="AE998" s="110"/>
      <c r="AF998" s="110"/>
      <c r="AG998" s="68"/>
      <c r="AH998" s="68"/>
      <c r="AI998" s="110"/>
      <c r="AJ998" s="110"/>
      <c r="AK998" s="68"/>
      <c r="AL998" s="68"/>
      <c r="AM998" s="110"/>
      <c r="AN998" s="110"/>
      <c r="AO998" s="68"/>
      <c r="AP998" s="68"/>
      <c r="AQ998" s="40"/>
      <c r="AR998" s="40"/>
      <c r="AS998" s="23"/>
    </row>
    <row r="999" spans="1:45" ht="15.75" x14ac:dyDescent="0.25">
      <c r="A999" s="44"/>
      <c r="B999" s="23"/>
      <c r="C999" s="23"/>
      <c r="D999" s="23"/>
      <c r="E999" s="68"/>
      <c r="F999" s="68"/>
      <c r="G999" s="110"/>
      <c r="H999" s="110"/>
      <c r="I999" s="68"/>
      <c r="J999" s="68"/>
      <c r="K999" s="110"/>
      <c r="L999" s="110"/>
      <c r="M999" s="68"/>
      <c r="N999" s="68"/>
      <c r="O999" s="110"/>
      <c r="P999" s="110"/>
      <c r="Q999" s="68"/>
      <c r="R999" s="68"/>
      <c r="S999" s="110"/>
      <c r="T999" s="110"/>
      <c r="U999" s="68"/>
      <c r="V999" s="68"/>
      <c r="W999" s="110"/>
      <c r="X999" s="110"/>
      <c r="Y999" s="110"/>
      <c r="Z999" s="110"/>
      <c r="AA999" s="110"/>
      <c r="AB999" s="110"/>
      <c r="AC999" s="114"/>
      <c r="AD999" s="68"/>
      <c r="AE999" s="110"/>
      <c r="AF999" s="110"/>
      <c r="AG999" s="68"/>
      <c r="AH999" s="68"/>
      <c r="AI999" s="110"/>
      <c r="AJ999" s="110"/>
      <c r="AK999" s="68"/>
      <c r="AL999" s="68"/>
      <c r="AM999" s="110"/>
      <c r="AN999" s="110"/>
      <c r="AO999" s="68"/>
      <c r="AP999" s="68"/>
      <c r="AQ999" s="40"/>
      <c r="AR999" s="40"/>
      <c r="AS999" s="23"/>
    </row>
    <row r="1000" spans="1:45" ht="15.75" x14ac:dyDescent="0.25">
      <c r="A1000" s="44"/>
      <c r="B1000" s="23"/>
      <c r="C1000" s="23"/>
      <c r="D1000" s="23"/>
      <c r="E1000" s="68"/>
      <c r="F1000" s="68"/>
      <c r="G1000" s="110"/>
      <c r="H1000" s="110"/>
      <c r="I1000" s="68"/>
      <c r="J1000" s="68"/>
      <c r="K1000" s="110"/>
      <c r="L1000" s="110"/>
      <c r="M1000" s="68"/>
      <c r="N1000" s="68"/>
      <c r="O1000" s="110"/>
      <c r="P1000" s="110"/>
      <c r="Q1000" s="68"/>
      <c r="R1000" s="68"/>
      <c r="S1000" s="110"/>
      <c r="T1000" s="110"/>
      <c r="U1000" s="68"/>
      <c r="V1000" s="68"/>
      <c r="W1000" s="110"/>
      <c r="X1000" s="110"/>
      <c r="Y1000" s="110"/>
      <c r="Z1000" s="110"/>
      <c r="AA1000" s="110"/>
      <c r="AB1000" s="110"/>
      <c r="AC1000" s="114"/>
      <c r="AD1000" s="68"/>
      <c r="AE1000" s="110"/>
      <c r="AF1000" s="110"/>
      <c r="AG1000" s="68"/>
      <c r="AH1000" s="68"/>
      <c r="AI1000" s="110"/>
      <c r="AJ1000" s="110"/>
      <c r="AK1000" s="68"/>
      <c r="AL1000" s="68"/>
      <c r="AM1000" s="110"/>
      <c r="AN1000" s="110"/>
      <c r="AO1000" s="68"/>
      <c r="AP1000" s="68"/>
      <c r="AQ1000" s="40"/>
      <c r="AR1000" s="40"/>
      <c r="AS1000" s="23"/>
    </row>
    <row r="1001" spans="1:45" ht="15.75" x14ac:dyDescent="0.25">
      <c r="A1001" s="44"/>
      <c r="B1001" s="23"/>
      <c r="C1001" s="23"/>
      <c r="D1001" s="23"/>
      <c r="E1001" s="68"/>
      <c r="F1001" s="68"/>
      <c r="G1001" s="110"/>
      <c r="H1001" s="110"/>
      <c r="I1001" s="68"/>
      <c r="J1001" s="68"/>
      <c r="K1001" s="110"/>
      <c r="L1001" s="110"/>
      <c r="M1001" s="68"/>
      <c r="N1001" s="68"/>
      <c r="O1001" s="110"/>
      <c r="P1001" s="110"/>
      <c r="Q1001" s="68"/>
      <c r="R1001" s="68"/>
      <c r="S1001" s="110"/>
      <c r="T1001" s="110"/>
      <c r="U1001" s="68"/>
      <c r="V1001" s="68"/>
      <c r="W1001" s="110"/>
      <c r="X1001" s="110"/>
      <c r="Y1001" s="110"/>
      <c r="Z1001" s="110"/>
      <c r="AA1001" s="110"/>
      <c r="AB1001" s="110"/>
      <c r="AC1001" s="114"/>
      <c r="AD1001" s="68"/>
      <c r="AE1001" s="110"/>
      <c r="AF1001" s="110"/>
      <c r="AG1001" s="68"/>
      <c r="AH1001" s="68"/>
      <c r="AI1001" s="110"/>
      <c r="AJ1001" s="110"/>
      <c r="AK1001" s="68"/>
      <c r="AL1001" s="68"/>
      <c r="AM1001" s="110"/>
      <c r="AN1001" s="110"/>
      <c r="AO1001" s="68"/>
      <c r="AP1001" s="68"/>
      <c r="AQ1001" s="40"/>
      <c r="AR1001" s="40"/>
      <c r="AS1001" s="23"/>
    </row>
    <row r="1002" spans="1:45" ht="15.75" x14ac:dyDescent="0.25">
      <c r="A1002" s="44"/>
      <c r="B1002" s="23"/>
      <c r="C1002" s="23"/>
      <c r="D1002" s="23"/>
      <c r="E1002" s="68"/>
      <c r="F1002" s="68"/>
      <c r="G1002" s="110"/>
      <c r="H1002" s="110"/>
      <c r="I1002" s="68"/>
      <c r="J1002" s="68"/>
      <c r="K1002" s="110"/>
      <c r="L1002" s="110"/>
      <c r="M1002" s="68"/>
      <c r="N1002" s="68"/>
      <c r="O1002" s="110"/>
      <c r="P1002" s="110"/>
      <c r="Q1002" s="68"/>
      <c r="R1002" s="68"/>
      <c r="S1002" s="110"/>
      <c r="T1002" s="110"/>
      <c r="U1002" s="68"/>
      <c r="V1002" s="68"/>
      <c r="W1002" s="110"/>
      <c r="X1002" s="110"/>
      <c r="Y1002" s="110"/>
      <c r="Z1002" s="110"/>
      <c r="AA1002" s="110"/>
      <c r="AB1002" s="110"/>
      <c r="AC1002" s="114"/>
      <c r="AD1002" s="68"/>
      <c r="AE1002" s="110"/>
      <c r="AF1002" s="110"/>
      <c r="AG1002" s="68"/>
      <c r="AH1002" s="68"/>
      <c r="AI1002" s="110"/>
      <c r="AJ1002" s="110"/>
      <c r="AK1002" s="68"/>
      <c r="AL1002" s="68"/>
      <c r="AM1002" s="110"/>
      <c r="AN1002" s="110"/>
      <c r="AO1002" s="68"/>
      <c r="AP1002" s="68"/>
      <c r="AQ1002" s="40"/>
      <c r="AR1002" s="40"/>
      <c r="AS1002" s="23"/>
    </row>
    <row r="1003" spans="1:45" ht="15.75" x14ac:dyDescent="0.25">
      <c r="A1003" s="44"/>
      <c r="B1003" s="23"/>
      <c r="C1003" s="23"/>
      <c r="D1003" s="23"/>
      <c r="E1003" s="68"/>
      <c r="F1003" s="68"/>
      <c r="G1003" s="110"/>
      <c r="H1003" s="110"/>
      <c r="I1003" s="68"/>
      <c r="J1003" s="68"/>
      <c r="K1003" s="110"/>
      <c r="L1003" s="110"/>
      <c r="M1003" s="68"/>
      <c r="N1003" s="68"/>
      <c r="O1003" s="110"/>
      <c r="P1003" s="110"/>
      <c r="Q1003" s="68"/>
      <c r="R1003" s="68"/>
      <c r="S1003" s="110"/>
      <c r="T1003" s="110"/>
      <c r="U1003" s="68"/>
      <c r="V1003" s="68"/>
      <c r="W1003" s="110"/>
      <c r="X1003" s="110"/>
      <c r="Y1003" s="110"/>
      <c r="Z1003" s="110"/>
      <c r="AA1003" s="110"/>
      <c r="AB1003" s="110"/>
      <c r="AC1003" s="114"/>
      <c r="AD1003" s="68"/>
      <c r="AE1003" s="110"/>
      <c r="AF1003" s="110"/>
      <c r="AG1003" s="68"/>
      <c r="AH1003" s="68"/>
      <c r="AI1003" s="110"/>
      <c r="AJ1003" s="110"/>
      <c r="AK1003" s="68"/>
      <c r="AL1003" s="68"/>
      <c r="AM1003" s="110"/>
      <c r="AN1003" s="110"/>
      <c r="AO1003" s="68"/>
      <c r="AP1003" s="68"/>
      <c r="AQ1003" s="40"/>
      <c r="AR1003" s="40"/>
      <c r="AS1003" s="23"/>
    </row>
    <row r="1004" spans="1:45" ht="15.75" x14ac:dyDescent="0.25">
      <c r="A1004" s="44"/>
      <c r="B1004" s="23"/>
      <c r="C1004" s="23"/>
      <c r="D1004" s="23"/>
      <c r="E1004" s="68"/>
      <c r="F1004" s="68"/>
      <c r="G1004" s="110"/>
      <c r="H1004" s="110"/>
      <c r="I1004" s="68"/>
      <c r="J1004" s="68"/>
      <c r="K1004" s="110"/>
      <c r="L1004" s="110"/>
      <c r="M1004" s="68"/>
      <c r="N1004" s="68"/>
      <c r="O1004" s="110"/>
      <c r="P1004" s="110"/>
      <c r="Q1004" s="68"/>
      <c r="R1004" s="68"/>
      <c r="S1004" s="110"/>
      <c r="T1004" s="110"/>
      <c r="U1004" s="68"/>
      <c r="V1004" s="68"/>
      <c r="W1004" s="110"/>
      <c r="X1004" s="110"/>
      <c r="Y1004" s="110"/>
      <c r="Z1004" s="110"/>
      <c r="AA1004" s="110"/>
      <c r="AB1004" s="110"/>
      <c r="AC1004" s="114"/>
      <c r="AD1004" s="68"/>
      <c r="AE1004" s="110"/>
      <c r="AF1004" s="110"/>
      <c r="AG1004" s="68"/>
      <c r="AH1004" s="68"/>
      <c r="AI1004" s="110"/>
      <c r="AJ1004" s="110"/>
      <c r="AK1004" s="68"/>
      <c r="AL1004" s="68"/>
      <c r="AM1004" s="110"/>
      <c r="AN1004" s="110"/>
      <c r="AO1004" s="68"/>
      <c r="AP1004" s="68"/>
      <c r="AQ1004" s="40"/>
      <c r="AR1004" s="40"/>
      <c r="AS1004" s="23"/>
    </row>
    <row r="1005" spans="1:45" ht="15.75" x14ac:dyDescent="0.25">
      <c r="A1005" s="44"/>
      <c r="B1005" s="23"/>
      <c r="C1005" s="23"/>
      <c r="D1005" s="23"/>
      <c r="E1005" s="68"/>
      <c r="F1005" s="68"/>
      <c r="G1005" s="110"/>
      <c r="H1005" s="110"/>
      <c r="I1005" s="68"/>
      <c r="J1005" s="68"/>
      <c r="K1005" s="110"/>
      <c r="L1005" s="110"/>
      <c r="M1005" s="68"/>
      <c r="N1005" s="68"/>
      <c r="O1005" s="110"/>
      <c r="P1005" s="110"/>
      <c r="Q1005" s="68"/>
      <c r="R1005" s="68"/>
      <c r="S1005" s="110"/>
      <c r="T1005" s="110"/>
      <c r="U1005" s="68"/>
      <c r="V1005" s="68"/>
      <c r="W1005" s="110"/>
      <c r="X1005" s="110"/>
      <c r="Y1005" s="110"/>
      <c r="Z1005" s="110"/>
      <c r="AA1005" s="110"/>
      <c r="AB1005" s="110"/>
      <c r="AC1005" s="114"/>
      <c r="AD1005" s="68"/>
      <c r="AE1005" s="110"/>
      <c r="AF1005" s="110"/>
      <c r="AG1005" s="68"/>
      <c r="AH1005" s="68"/>
      <c r="AI1005" s="110"/>
      <c r="AJ1005" s="110"/>
      <c r="AK1005" s="68"/>
      <c r="AL1005" s="68"/>
      <c r="AM1005" s="110"/>
      <c r="AN1005" s="110"/>
      <c r="AO1005" s="68"/>
      <c r="AP1005" s="68"/>
      <c r="AQ1005" s="40"/>
      <c r="AR1005" s="40"/>
      <c r="AS1005" s="23"/>
    </row>
    <row r="1006" spans="1:45" ht="15.75" x14ac:dyDescent="0.25">
      <c r="A1006" s="44"/>
      <c r="B1006" s="23"/>
      <c r="C1006" s="23"/>
      <c r="D1006" s="23"/>
      <c r="E1006" s="68"/>
      <c r="F1006" s="68"/>
      <c r="G1006" s="110"/>
      <c r="H1006" s="110"/>
      <c r="I1006" s="68"/>
      <c r="J1006" s="68"/>
      <c r="K1006" s="110"/>
      <c r="L1006" s="110"/>
      <c r="M1006" s="68"/>
      <c r="N1006" s="68"/>
      <c r="O1006" s="110"/>
      <c r="P1006" s="110"/>
      <c r="Q1006" s="68"/>
      <c r="R1006" s="68"/>
      <c r="S1006" s="110"/>
      <c r="T1006" s="110"/>
      <c r="U1006" s="68"/>
      <c r="V1006" s="68"/>
      <c r="W1006" s="110"/>
      <c r="X1006" s="110"/>
      <c r="Y1006" s="110"/>
      <c r="Z1006" s="110"/>
      <c r="AA1006" s="110"/>
      <c r="AB1006" s="110"/>
      <c r="AC1006" s="114"/>
      <c r="AD1006" s="68"/>
      <c r="AE1006" s="110"/>
      <c r="AF1006" s="110"/>
      <c r="AG1006" s="68"/>
      <c r="AH1006" s="68"/>
      <c r="AI1006" s="110"/>
      <c r="AJ1006" s="110"/>
      <c r="AK1006" s="68"/>
      <c r="AL1006" s="68"/>
      <c r="AM1006" s="110"/>
      <c r="AN1006" s="110"/>
      <c r="AO1006" s="68"/>
      <c r="AP1006" s="68"/>
      <c r="AQ1006" s="40"/>
      <c r="AR1006" s="40"/>
      <c r="AS1006" s="23"/>
    </row>
    <row r="1007" spans="1:45" ht="15.75" x14ac:dyDescent="0.25">
      <c r="A1007" s="44"/>
      <c r="B1007" s="23"/>
      <c r="C1007" s="23"/>
      <c r="D1007" s="23"/>
      <c r="E1007" s="68"/>
      <c r="F1007" s="68"/>
      <c r="G1007" s="110"/>
      <c r="H1007" s="110"/>
      <c r="I1007" s="68"/>
      <c r="J1007" s="68"/>
      <c r="K1007" s="110"/>
      <c r="L1007" s="110"/>
      <c r="M1007" s="68"/>
      <c r="N1007" s="68"/>
      <c r="O1007" s="110"/>
      <c r="P1007" s="110"/>
      <c r="Q1007" s="68"/>
      <c r="R1007" s="68"/>
      <c r="S1007" s="110"/>
      <c r="T1007" s="110"/>
      <c r="U1007" s="68"/>
      <c r="V1007" s="68"/>
      <c r="W1007" s="110"/>
      <c r="X1007" s="110"/>
      <c r="Y1007" s="110"/>
      <c r="Z1007" s="110"/>
      <c r="AA1007" s="110"/>
      <c r="AB1007" s="110"/>
      <c r="AC1007" s="114"/>
      <c r="AD1007" s="68"/>
      <c r="AE1007" s="110"/>
      <c r="AF1007" s="110"/>
      <c r="AG1007" s="68"/>
      <c r="AH1007" s="68"/>
      <c r="AI1007" s="110"/>
      <c r="AJ1007" s="110"/>
      <c r="AK1007" s="68"/>
      <c r="AL1007" s="68"/>
      <c r="AM1007" s="110"/>
      <c r="AN1007" s="110"/>
      <c r="AO1007" s="68"/>
      <c r="AP1007" s="68"/>
      <c r="AQ1007" s="40"/>
      <c r="AR1007" s="40"/>
      <c r="AS1007" s="23"/>
    </row>
    <row r="1008" spans="1:45" ht="15.75" x14ac:dyDescent="0.25">
      <c r="A1008" s="44"/>
      <c r="B1008" s="23"/>
      <c r="C1008" s="23"/>
      <c r="D1008" s="23"/>
      <c r="E1008" s="68"/>
      <c r="F1008" s="68"/>
      <c r="G1008" s="110"/>
      <c r="H1008" s="110"/>
      <c r="I1008" s="68"/>
      <c r="J1008" s="68"/>
      <c r="K1008" s="110"/>
      <c r="L1008" s="110"/>
      <c r="M1008" s="68"/>
      <c r="N1008" s="68"/>
      <c r="O1008" s="110"/>
      <c r="P1008" s="110"/>
      <c r="Q1008" s="68"/>
      <c r="R1008" s="68"/>
      <c r="S1008" s="110"/>
      <c r="T1008" s="110"/>
      <c r="U1008" s="68"/>
      <c r="V1008" s="68"/>
      <c r="W1008" s="110"/>
      <c r="X1008" s="110"/>
      <c r="Y1008" s="110"/>
      <c r="Z1008" s="110"/>
      <c r="AA1008" s="110"/>
      <c r="AB1008" s="110"/>
      <c r="AC1008" s="114"/>
      <c r="AD1008" s="68"/>
      <c r="AE1008" s="110"/>
      <c r="AF1008" s="110"/>
      <c r="AG1008" s="68"/>
      <c r="AH1008" s="68"/>
      <c r="AI1008" s="110"/>
      <c r="AJ1008" s="110"/>
      <c r="AK1008" s="68"/>
      <c r="AL1008" s="68"/>
      <c r="AM1008" s="110"/>
      <c r="AN1008" s="110"/>
      <c r="AO1008" s="68"/>
      <c r="AP1008" s="68"/>
      <c r="AQ1008" s="40"/>
      <c r="AR1008" s="40"/>
      <c r="AS1008" s="23"/>
    </row>
    <row r="1009" spans="1:45" ht="15.75" x14ac:dyDescent="0.25">
      <c r="A1009" s="44"/>
      <c r="B1009" s="23"/>
      <c r="C1009" s="23"/>
      <c r="D1009" s="23"/>
      <c r="E1009" s="68"/>
      <c r="F1009" s="68"/>
      <c r="G1009" s="110"/>
      <c r="H1009" s="110"/>
      <c r="I1009" s="68"/>
      <c r="J1009" s="68"/>
      <c r="K1009" s="110"/>
      <c r="L1009" s="110"/>
      <c r="M1009" s="68"/>
      <c r="N1009" s="68"/>
      <c r="O1009" s="110"/>
      <c r="P1009" s="110"/>
      <c r="Q1009" s="68"/>
      <c r="R1009" s="68"/>
      <c r="S1009" s="110"/>
      <c r="T1009" s="110"/>
      <c r="U1009" s="68"/>
      <c r="V1009" s="68"/>
      <c r="W1009" s="110"/>
      <c r="X1009" s="110"/>
      <c r="Y1009" s="110"/>
      <c r="Z1009" s="110"/>
      <c r="AA1009" s="110"/>
      <c r="AB1009" s="110"/>
      <c r="AC1009" s="114"/>
      <c r="AD1009" s="68"/>
      <c r="AE1009" s="110"/>
      <c r="AF1009" s="110"/>
      <c r="AG1009" s="68"/>
      <c r="AH1009" s="68"/>
      <c r="AI1009" s="110"/>
      <c r="AJ1009" s="110"/>
      <c r="AK1009" s="68"/>
      <c r="AL1009" s="68"/>
      <c r="AM1009" s="110"/>
      <c r="AN1009" s="110"/>
      <c r="AO1009" s="68"/>
      <c r="AP1009" s="68"/>
      <c r="AQ1009" s="40"/>
      <c r="AR1009" s="40"/>
      <c r="AS1009" s="23"/>
    </row>
    <row r="1010" spans="1:45" ht="15.75" x14ac:dyDescent="0.25">
      <c r="A1010" s="44"/>
      <c r="B1010" s="23"/>
      <c r="C1010" s="23"/>
      <c r="D1010" s="23"/>
      <c r="E1010" s="68"/>
      <c r="F1010" s="68"/>
      <c r="G1010" s="110"/>
      <c r="H1010" s="110"/>
      <c r="I1010" s="68"/>
      <c r="J1010" s="68"/>
      <c r="K1010" s="110"/>
      <c r="L1010" s="110"/>
      <c r="M1010" s="68"/>
      <c r="N1010" s="68"/>
      <c r="O1010" s="110"/>
      <c r="P1010" s="110"/>
      <c r="Q1010" s="68"/>
      <c r="R1010" s="68"/>
      <c r="S1010" s="110"/>
      <c r="T1010" s="110"/>
      <c r="U1010" s="68"/>
      <c r="V1010" s="68"/>
      <c r="W1010" s="110"/>
      <c r="X1010" s="110"/>
      <c r="Y1010" s="110"/>
      <c r="Z1010" s="110"/>
      <c r="AA1010" s="110"/>
      <c r="AB1010" s="110"/>
      <c r="AC1010" s="114"/>
      <c r="AD1010" s="68"/>
      <c r="AE1010" s="110"/>
      <c r="AF1010" s="110"/>
      <c r="AG1010" s="68"/>
      <c r="AH1010" s="68"/>
      <c r="AI1010" s="110"/>
      <c r="AJ1010" s="110"/>
      <c r="AK1010" s="68"/>
      <c r="AL1010" s="68"/>
      <c r="AM1010" s="110"/>
      <c r="AN1010" s="110"/>
      <c r="AO1010" s="68"/>
      <c r="AP1010" s="68"/>
      <c r="AQ1010" s="40"/>
      <c r="AR1010" s="40"/>
      <c r="AS1010" s="23"/>
    </row>
    <row r="1011" spans="1:45" ht="15.75" x14ac:dyDescent="0.25">
      <c r="A1011" s="44"/>
      <c r="B1011" s="23"/>
      <c r="C1011" s="23"/>
      <c r="D1011" s="23"/>
      <c r="E1011" s="68"/>
      <c r="F1011" s="68"/>
      <c r="G1011" s="110"/>
      <c r="H1011" s="110"/>
      <c r="I1011" s="68"/>
      <c r="J1011" s="68"/>
      <c r="K1011" s="110"/>
      <c r="L1011" s="110"/>
      <c r="M1011" s="68"/>
      <c r="N1011" s="68"/>
      <c r="O1011" s="110"/>
      <c r="P1011" s="110"/>
      <c r="Q1011" s="68"/>
      <c r="R1011" s="68"/>
      <c r="S1011" s="110"/>
      <c r="T1011" s="110"/>
      <c r="U1011" s="68"/>
      <c r="V1011" s="68"/>
      <c r="W1011" s="110"/>
      <c r="X1011" s="110"/>
      <c r="Y1011" s="110"/>
      <c r="Z1011" s="110"/>
      <c r="AA1011" s="110"/>
      <c r="AB1011" s="110"/>
      <c r="AC1011" s="114"/>
      <c r="AD1011" s="68"/>
      <c r="AE1011" s="110"/>
      <c r="AF1011" s="110"/>
      <c r="AG1011" s="68"/>
      <c r="AH1011" s="68"/>
      <c r="AI1011" s="110"/>
      <c r="AJ1011" s="110"/>
      <c r="AK1011" s="68"/>
      <c r="AL1011" s="68"/>
      <c r="AM1011" s="110"/>
      <c r="AN1011" s="110"/>
      <c r="AO1011" s="68"/>
      <c r="AP1011" s="68"/>
      <c r="AQ1011" s="40"/>
      <c r="AR1011" s="40"/>
      <c r="AS1011" s="23"/>
    </row>
    <row r="1012" spans="1:45" ht="15.75" x14ac:dyDescent="0.25">
      <c r="A1012" s="44"/>
      <c r="B1012" s="23"/>
      <c r="C1012" s="23"/>
      <c r="D1012" s="23"/>
      <c r="E1012" s="68"/>
      <c r="F1012" s="68"/>
      <c r="G1012" s="110"/>
      <c r="H1012" s="110"/>
      <c r="I1012" s="68"/>
      <c r="J1012" s="68"/>
      <c r="K1012" s="110"/>
      <c r="L1012" s="110"/>
      <c r="M1012" s="68"/>
      <c r="N1012" s="68"/>
      <c r="O1012" s="110"/>
      <c r="P1012" s="110"/>
      <c r="Q1012" s="68"/>
      <c r="R1012" s="68"/>
      <c r="S1012" s="110"/>
      <c r="T1012" s="110"/>
      <c r="U1012" s="68"/>
      <c r="V1012" s="68"/>
      <c r="W1012" s="110"/>
      <c r="X1012" s="110"/>
      <c r="Y1012" s="110"/>
      <c r="Z1012" s="110"/>
      <c r="AA1012" s="110"/>
      <c r="AB1012" s="110"/>
      <c r="AC1012" s="114"/>
      <c r="AD1012" s="68"/>
      <c r="AE1012" s="110"/>
      <c r="AF1012" s="110"/>
      <c r="AG1012" s="68"/>
      <c r="AH1012" s="68"/>
      <c r="AI1012" s="110"/>
      <c r="AJ1012" s="110"/>
      <c r="AK1012" s="68"/>
      <c r="AL1012" s="68"/>
      <c r="AM1012" s="110"/>
      <c r="AN1012" s="110"/>
      <c r="AO1012" s="68"/>
      <c r="AP1012" s="68"/>
      <c r="AQ1012" s="40"/>
      <c r="AR1012" s="40"/>
      <c r="AS1012" s="23"/>
    </row>
    <row r="1013" spans="1:45" ht="15.75" x14ac:dyDescent="0.25">
      <c r="A1013" s="44"/>
      <c r="B1013" s="23"/>
      <c r="C1013" s="23"/>
      <c r="D1013" s="23"/>
      <c r="E1013" s="68"/>
      <c r="F1013" s="68"/>
      <c r="G1013" s="110"/>
      <c r="H1013" s="110"/>
      <c r="I1013" s="68"/>
      <c r="J1013" s="68"/>
      <c r="K1013" s="110"/>
      <c r="L1013" s="110"/>
      <c r="M1013" s="68"/>
      <c r="N1013" s="68"/>
      <c r="O1013" s="110"/>
      <c r="P1013" s="110"/>
      <c r="Q1013" s="68"/>
      <c r="R1013" s="68"/>
      <c r="S1013" s="110"/>
      <c r="T1013" s="110"/>
      <c r="U1013" s="68"/>
      <c r="V1013" s="68"/>
      <c r="W1013" s="110"/>
      <c r="X1013" s="110"/>
      <c r="Y1013" s="110"/>
      <c r="Z1013" s="110"/>
      <c r="AA1013" s="110"/>
      <c r="AB1013" s="110"/>
      <c r="AC1013" s="114"/>
      <c r="AD1013" s="68"/>
      <c r="AE1013" s="110"/>
      <c r="AF1013" s="110"/>
      <c r="AG1013" s="68"/>
      <c r="AH1013" s="68"/>
      <c r="AI1013" s="110"/>
      <c r="AJ1013" s="110"/>
      <c r="AK1013" s="68"/>
      <c r="AL1013" s="68"/>
      <c r="AM1013" s="110"/>
      <c r="AN1013" s="110"/>
      <c r="AO1013" s="68"/>
      <c r="AP1013" s="68"/>
      <c r="AQ1013" s="40"/>
      <c r="AR1013" s="40"/>
      <c r="AS1013" s="23"/>
    </row>
    <row r="1014" spans="1:45" ht="15.75" x14ac:dyDescent="0.25">
      <c r="A1014" s="44"/>
      <c r="B1014" s="23"/>
      <c r="C1014" s="23"/>
      <c r="D1014" s="23"/>
      <c r="E1014" s="68"/>
      <c r="F1014" s="68"/>
      <c r="G1014" s="110"/>
      <c r="H1014" s="110"/>
      <c r="I1014" s="68"/>
      <c r="J1014" s="68"/>
      <c r="K1014" s="110"/>
      <c r="L1014" s="110"/>
      <c r="M1014" s="68"/>
      <c r="N1014" s="68"/>
      <c r="O1014" s="110"/>
      <c r="P1014" s="110"/>
      <c r="Q1014" s="68"/>
      <c r="R1014" s="68"/>
      <c r="S1014" s="110"/>
      <c r="T1014" s="110"/>
      <c r="U1014" s="68"/>
      <c r="V1014" s="68"/>
      <c r="W1014" s="110"/>
      <c r="X1014" s="110"/>
      <c r="Y1014" s="110"/>
      <c r="Z1014" s="110"/>
      <c r="AA1014" s="110"/>
      <c r="AB1014" s="110"/>
      <c r="AC1014" s="114"/>
      <c r="AD1014" s="68"/>
      <c r="AE1014" s="110"/>
      <c r="AF1014" s="110"/>
      <c r="AG1014" s="68"/>
      <c r="AH1014" s="68"/>
      <c r="AI1014" s="110"/>
      <c r="AJ1014" s="110"/>
      <c r="AK1014" s="68"/>
      <c r="AL1014" s="68"/>
      <c r="AM1014" s="110"/>
      <c r="AN1014" s="110"/>
      <c r="AO1014" s="68"/>
      <c r="AP1014" s="68"/>
      <c r="AQ1014" s="40"/>
      <c r="AR1014" s="40"/>
      <c r="AS1014" s="23"/>
    </row>
    <row r="1015" spans="1:45" ht="15.75" x14ac:dyDescent="0.25">
      <c r="A1015" s="44"/>
      <c r="B1015" s="23"/>
      <c r="C1015" s="23"/>
      <c r="D1015" s="23"/>
      <c r="E1015" s="68"/>
      <c r="F1015" s="68"/>
      <c r="G1015" s="110"/>
      <c r="H1015" s="110"/>
      <c r="I1015" s="68"/>
      <c r="J1015" s="68"/>
      <c r="K1015" s="110"/>
      <c r="L1015" s="110"/>
      <c r="M1015" s="68"/>
      <c r="N1015" s="68"/>
      <c r="O1015" s="110"/>
      <c r="P1015" s="110"/>
      <c r="Q1015" s="68"/>
      <c r="R1015" s="68"/>
      <c r="S1015" s="110"/>
      <c r="T1015" s="110"/>
      <c r="U1015" s="68"/>
      <c r="V1015" s="68"/>
      <c r="W1015" s="110"/>
      <c r="X1015" s="110"/>
      <c r="Y1015" s="110"/>
      <c r="Z1015" s="110"/>
      <c r="AA1015" s="110"/>
      <c r="AB1015" s="110"/>
      <c r="AC1015" s="114"/>
      <c r="AD1015" s="68"/>
      <c r="AE1015" s="110"/>
      <c r="AF1015" s="110"/>
      <c r="AG1015" s="68"/>
      <c r="AH1015" s="68"/>
      <c r="AI1015" s="110"/>
      <c r="AJ1015" s="110"/>
      <c r="AK1015" s="68"/>
      <c r="AL1015" s="68"/>
      <c r="AM1015" s="110"/>
      <c r="AN1015" s="110"/>
      <c r="AO1015" s="68"/>
      <c r="AP1015" s="68"/>
      <c r="AQ1015" s="40"/>
      <c r="AR1015" s="40"/>
      <c r="AS1015" s="23"/>
    </row>
    <row r="1016" spans="1:45" ht="15.75" x14ac:dyDescent="0.25">
      <c r="A1016" s="44"/>
      <c r="B1016" s="23"/>
      <c r="C1016" s="23"/>
      <c r="D1016" s="23"/>
      <c r="E1016" s="68"/>
      <c r="F1016" s="68"/>
      <c r="G1016" s="110"/>
      <c r="H1016" s="110"/>
      <c r="I1016" s="68"/>
      <c r="J1016" s="68"/>
      <c r="K1016" s="110"/>
      <c r="L1016" s="110"/>
      <c r="M1016" s="68"/>
      <c r="N1016" s="68"/>
      <c r="O1016" s="110"/>
      <c r="P1016" s="110"/>
      <c r="Q1016" s="68"/>
      <c r="R1016" s="68"/>
      <c r="S1016" s="110"/>
      <c r="T1016" s="110"/>
      <c r="U1016" s="68"/>
      <c r="V1016" s="68"/>
      <c r="W1016" s="110"/>
      <c r="X1016" s="110"/>
      <c r="Y1016" s="110"/>
      <c r="Z1016" s="110"/>
      <c r="AA1016" s="110"/>
      <c r="AB1016" s="110"/>
      <c r="AC1016" s="114"/>
      <c r="AD1016" s="68"/>
      <c r="AE1016" s="110"/>
      <c r="AF1016" s="110"/>
      <c r="AG1016" s="68"/>
      <c r="AH1016" s="68"/>
      <c r="AI1016" s="110"/>
      <c r="AJ1016" s="110"/>
      <c r="AK1016" s="68"/>
      <c r="AL1016" s="68"/>
      <c r="AM1016" s="110"/>
      <c r="AN1016" s="110"/>
      <c r="AO1016" s="68"/>
      <c r="AP1016" s="68"/>
      <c r="AQ1016" s="40"/>
      <c r="AR1016" s="40"/>
      <c r="AS1016" s="23"/>
    </row>
    <row r="1017" spans="1:45" ht="15.75" x14ac:dyDescent="0.25">
      <c r="A1017" s="44"/>
      <c r="B1017" s="23"/>
      <c r="C1017" s="23"/>
      <c r="D1017" s="23"/>
      <c r="E1017" s="68"/>
      <c r="F1017" s="68"/>
      <c r="G1017" s="110"/>
      <c r="H1017" s="110"/>
      <c r="I1017" s="68"/>
      <c r="J1017" s="68"/>
      <c r="K1017" s="110"/>
      <c r="L1017" s="110"/>
      <c r="M1017" s="68"/>
      <c r="N1017" s="68"/>
      <c r="O1017" s="110"/>
      <c r="P1017" s="110"/>
      <c r="Q1017" s="68"/>
      <c r="R1017" s="68"/>
      <c r="S1017" s="110"/>
      <c r="T1017" s="110"/>
      <c r="U1017" s="68"/>
      <c r="V1017" s="68"/>
      <c r="W1017" s="110"/>
      <c r="X1017" s="110"/>
      <c r="Y1017" s="110"/>
      <c r="Z1017" s="110"/>
      <c r="AA1017" s="110"/>
      <c r="AB1017" s="110"/>
      <c r="AC1017" s="114"/>
      <c r="AD1017" s="68"/>
      <c r="AE1017" s="110"/>
      <c r="AF1017" s="110"/>
      <c r="AG1017" s="68"/>
      <c r="AH1017" s="68"/>
      <c r="AI1017" s="110"/>
      <c r="AJ1017" s="110"/>
      <c r="AK1017" s="68"/>
      <c r="AL1017" s="68"/>
      <c r="AM1017" s="110"/>
      <c r="AN1017" s="110"/>
      <c r="AO1017" s="68"/>
      <c r="AP1017" s="68"/>
      <c r="AQ1017" s="40"/>
      <c r="AR1017" s="40"/>
      <c r="AS1017" s="23"/>
    </row>
    <row r="1018" spans="1:45" ht="15.75" x14ac:dyDescent="0.25">
      <c r="A1018" s="44"/>
      <c r="B1018" s="23"/>
      <c r="C1018" s="23"/>
      <c r="D1018" s="23"/>
      <c r="E1018" s="68"/>
      <c r="F1018" s="68"/>
      <c r="G1018" s="110"/>
      <c r="H1018" s="110"/>
      <c r="I1018" s="68"/>
      <c r="J1018" s="68"/>
      <c r="K1018" s="110"/>
      <c r="L1018" s="110"/>
      <c r="M1018" s="68"/>
      <c r="N1018" s="68"/>
      <c r="O1018" s="110"/>
      <c r="P1018" s="110"/>
      <c r="Q1018" s="68"/>
      <c r="R1018" s="68"/>
      <c r="S1018" s="110"/>
      <c r="T1018" s="110"/>
      <c r="U1018" s="68"/>
      <c r="V1018" s="68"/>
      <c r="W1018" s="110"/>
      <c r="X1018" s="110"/>
      <c r="Y1018" s="110"/>
      <c r="Z1018" s="110"/>
      <c r="AA1018" s="110"/>
      <c r="AB1018" s="110"/>
      <c r="AC1018" s="114"/>
      <c r="AD1018" s="68"/>
      <c r="AE1018" s="110"/>
      <c r="AF1018" s="110"/>
      <c r="AG1018" s="68"/>
      <c r="AH1018" s="68"/>
      <c r="AI1018" s="110"/>
      <c r="AJ1018" s="110"/>
      <c r="AK1018" s="68"/>
      <c r="AL1018" s="68"/>
      <c r="AM1018" s="110"/>
      <c r="AN1018" s="110"/>
      <c r="AO1018" s="68"/>
      <c r="AP1018" s="68"/>
      <c r="AQ1018" s="40"/>
      <c r="AR1018" s="40"/>
      <c r="AS1018" s="23"/>
    </row>
    <row r="1019" spans="1:45" ht="15.75" x14ac:dyDescent="0.25">
      <c r="A1019" s="44"/>
      <c r="B1019" s="23"/>
      <c r="C1019" s="23"/>
      <c r="D1019" s="23"/>
      <c r="E1019" s="68"/>
      <c r="F1019" s="68"/>
      <c r="G1019" s="110"/>
      <c r="H1019" s="110"/>
      <c r="I1019" s="68"/>
      <c r="J1019" s="68"/>
      <c r="K1019" s="110"/>
      <c r="L1019" s="110"/>
      <c r="M1019" s="68"/>
      <c r="N1019" s="68"/>
      <c r="O1019" s="110"/>
      <c r="P1019" s="110"/>
      <c r="Q1019" s="68"/>
      <c r="R1019" s="68"/>
      <c r="S1019" s="110"/>
      <c r="T1019" s="110"/>
      <c r="U1019" s="68"/>
      <c r="V1019" s="68"/>
      <c r="W1019" s="110"/>
      <c r="X1019" s="110"/>
      <c r="Y1019" s="110"/>
      <c r="Z1019" s="110"/>
      <c r="AA1019" s="110"/>
      <c r="AB1019" s="110"/>
      <c r="AC1019" s="114"/>
      <c r="AD1019" s="68"/>
      <c r="AE1019" s="110"/>
      <c r="AF1019" s="110"/>
      <c r="AG1019" s="68"/>
      <c r="AH1019" s="68"/>
      <c r="AI1019" s="110"/>
      <c r="AJ1019" s="110"/>
      <c r="AK1019" s="68"/>
      <c r="AL1019" s="68"/>
      <c r="AM1019" s="110"/>
      <c r="AN1019" s="110"/>
      <c r="AO1019" s="68"/>
      <c r="AP1019" s="68"/>
      <c r="AQ1019" s="40"/>
      <c r="AR1019" s="40"/>
      <c r="AS1019" s="23"/>
    </row>
    <row r="1020" spans="1:45" ht="15.75" x14ac:dyDescent="0.25">
      <c r="A1020" s="44"/>
      <c r="B1020" s="23"/>
      <c r="C1020" s="23"/>
      <c r="D1020" s="23"/>
      <c r="E1020" s="68"/>
      <c r="F1020" s="68"/>
      <c r="G1020" s="110"/>
      <c r="H1020" s="110"/>
      <c r="I1020" s="68"/>
      <c r="J1020" s="68"/>
      <c r="K1020" s="110"/>
      <c r="L1020" s="110"/>
      <c r="M1020" s="68"/>
      <c r="N1020" s="68"/>
      <c r="O1020" s="110"/>
      <c r="P1020" s="110"/>
      <c r="Q1020" s="68"/>
      <c r="R1020" s="68"/>
      <c r="S1020" s="110"/>
      <c r="T1020" s="110"/>
      <c r="U1020" s="68"/>
      <c r="V1020" s="68"/>
      <c r="W1020" s="110"/>
      <c r="X1020" s="110"/>
      <c r="Y1020" s="110"/>
      <c r="Z1020" s="110"/>
      <c r="AA1020" s="110"/>
      <c r="AB1020" s="110"/>
      <c r="AC1020" s="114"/>
      <c r="AD1020" s="68"/>
      <c r="AE1020" s="110"/>
      <c r="AF1020" s="110"/>
      <c r="AG1020" s="68"/>
      <c r="AH1020" s="68"/>
      <c r="AI1020" s="110"/>
      <c r="AJ1020" s="110"/>
      <c r="AK1020" s="68"/>
      <c r="AL1020" s="68"/>
      <c r="AM1020" s="110"/>
      <c r="AN1020" s="110"/>
      <c r="AO1020" s="68"/>
      <c r="AP1020" s="68"/>
      <c r="AQ1020" s="40"/>
      <c r="AR1020" s="40"/>
      <c r="AS1020" s="23"/>
    </row>
    <row r="1021" spans="1:45" ht="15.75" x14ac:dyDescent="0.25">
      <c r="A1021" s="44"/>
      <c r="B1021" s="23"/>
      <c r="C1021" s="23"/>
      <c r="D1021" s="23"/>
      <c r="E1021" s="68"/>
      <c r="F1021" s="68"/>
      <c r="G1021" s="110"/>
      <c r="H1021" s="110"/>
      <c r="I1021" s="68"/>
      <c r="J1021" s="68"/>
      <c r="K1021" s="110"/>
      <c r="L1021" s="110"/>
      <c r="M1021" s="68"/>
      <c r="N1021" s="68"/>
      <c r="O1021" s="110"/>
      <c r="P1021" s="110"/>
      <c r="Q1021" s="68"/>
      <c r="R1021" s="68"/>
      <c r="S1021" s="110"/>
      <c r="T1021" s="110"/>
      <c r="U1021" s="68"/>
      <c r="V1021" s="68"/>
      <c r="W1021" s="110"/>
      <c r="X1021" s="110"/>
      <c r="Y1021" s="110"/>
      <c r="Z1021" s="110"/>
      <c r="AA1021" s="110"/>
      <c r="AB1021" s="110"/>
      <c r="AC1021" s="114"/>
      <c r="AD1021" s="68"/>
      <c r="AE1021" s="110"/>
      <c r="AF1021" s="110"/>
      <c r="AG1021" s="68"/>
      <c r="AH1021" s="68"/>
      <c r="AI1021" s="110"/>
      <c r="AJ1021" s="110"/>
      <c r="AK1021" s="68"/>
      <c r="AL1021" s="68"/>
      <c r="AM1021" s="110"/>
      <c r="AN1021" s="110"/>
      <c r="AO1021" s="68"/>
      <c r="AP1021" s="68"/>
      <c r="AQ1021" s="40"/>
      <c r="AR1021" s="40"/>
      <c r="AS1021" s="23"/>
    </row>
    <row r="1022" spans="1:45" ht="15.75" x14ac:dyDescent="0.25">
      <c r="A1022" s="44"/>
      <c r="B1022" s="23"/>
      <c r="C1022" s="23"/>
      <c r="D1022" s="23"/>
      <c r="E1022" s="68"/>
      <c r="F1022" s="68"/>
      <c r="G1022" s="110"/>
      <c r="H1022" s="110"/>
      <c r="I1022" s="68"/>
      <c r="J1022" s="68"/>
      <c r="K1022" s="110"/>
      <c r="L1022" s="110"/>
      <c r="M1022" s="68"/>
      <c r="N1022" s="68"/>
      <c r="O1022" s="110"/>
      <c r="P1022" s="110"/>
      <c r="Q1022" s="68"/>
      <c r="R1022" s="68"/>
      <c r="S1022" s="110"/>
      <c r="T1022" s="110"/>
      <c r="U1022" s="68"/>
      <c r="V1022" s="68"/>
      <c r="W1022" s="110"/>
      <c r="X1022" s="110"/>
      <c r="Y1022" s="110"/>
      <c r="Z1022" s="110"/>
      <c r="AA1022" s="110"/>
      <c r="AB1022" s="110"/>
      <c r="AC1022" s="114"/>
      <c r="AD1022" s="68"/>
      <c r="AE1022" s="110"/>
      <c r="AF1022" s="110"/>
      <c r="AG1022" s="68"/>
      <c r="AH1022" s="68"/>
      <c r="AI1022" s="110"/>
      <c r="AJ1022" s="110"/>
      <c r="AK1022" s="68"/>
      <c r="AL1022" s="68"/>
      <c r="AM1022" s="110"/>
      <c r="AN1022" s="110"/>
      <c r="AO1022" s="68"/>
      <c r="AP1022" s="68"/>
      <c r="AQ1022" s="40"/>
      <c r="AR1022" s="40"/>
      <c r="AS1022" s="23"/>
    </row>
    <row r="1023" spans="1:45" ht="15.75" x14ac:dyDescent="0.25">
      <c r="A1023" s="44"/>
      <c r="B1023" s="23"/>
      <c r="C1023" s="23"/>
      <c r="D1023" s="23"/>
      <c r="E1023" s="68"/>
      <c r="F1023" s="68"/>
      <c r="G1023" s="110"/>
      <c r="H1023" s="110"/>
      <c r="I1023" s="68"/>
      <c r="J1023" s="68"/>
      <c r="K1023" s="110"/>
      <c r="L1023" s="110"/>
      <c r="M1023" s="68"/>
      <c r="N1023" s="68"/>
      <c r="O1023" s="110"/>
      <c r="P1023" s="110"/>
      <c r="Q1023" s="68"/>
      <c r="R1023" s="68"/>
      <c r="S1023" s="110"/>
      <c r="T1023" s="110"/>
      <c r="U1023" s="68"/>
      <c r="V1023" s="68"/>
      <c r="W1023" s="110"/>
      <c r="X1023" s="110"/>
      <c r="Y1023" s="110"/>
      <c r="Z1023" s="110"/>
      <c r="AA1023" s="110"/>
      <c r="AB1023" s="110"/>
      <c r="AC1023" s="114"/>
      <c r="AD1023" s="68"/>
      <c r="AE1023" s="110"/>
      <c r="AF1023" s="110"/>
      <c r="AG1023" s="68"/>
      <c r="AH1023" s="68"/>
      <c r="AI1023" s="110"/>
      <c r="AJ1023" s="110"/>
      <c r="AK1023" s="68"/>
      <c r="AL1023" s="68"/>
      <c r="AM1023" s="110"/>
      <c r="AN1023" s="110"/>
      <c r="AO1023" s="68"/>
      <c r="AP1023" s="68"/>
      <c r="AQ1023" s="40"/>
      <c r="AR1023" s="40"/>
      <c r="AS1023" s="23"/>
    </row>
    <row r="1024" spans="1:45" ht="15.75" x14ac:dyDescent="0.25">
      <c r="A1024" s="44"/>
      <c r="B1024" s="23"/>
      <c r="C1024" s="23"/>
      <c r="D1024" s="23"/>
      <c r="E1024" s="68"/>
      <c r="F1024" s="68"/>
      <c r="G1024" s="110"/>
      <c r="H1024" s="110"/>
      <c r="I1024" s="68"/>
      <c r="J1024" s="68"/>
      <c r="K1024" s="110"/>
      <c r="L1024" s="110"/>
      <c r="M1024" s="68"/>
      <c r="N1024" s="68"/>
      <c r="O1024" s="110"/>
      <c r="P1024" s="110"/>
      <c r="Q1024" s="68"/>
      <c r="R1024" s="68"/>
      <c r="S1024" s="110"/>
      <c r="T1024" s="110"/>
      <c r="U1024" s="68"/>
      <c r="V1024" s="68"/>
      <c r="W1024" s="110"/>
      <c r="X1024" s="110"/>
      <c r="Y1024" s="110"/>
      <c r="Z1024" s="110"/>
      <c r="AA1024" s="110"/>
      <c r="AB1024" s="110"/>
      <c r="AC1024" s="114"/>
      <c r="AD1024" s="68"/>
      <c r="AE1024" s="110"/>
      <c r="AF1024" s="110"/>
      <c r="AG1024" s="68"/>
      <c r="AH1024" s="68"/>
      <c r="AI1024" s="110"/>
      <c r="AJ1024" s="110"/>
      <c r="AK1024" s="68"/>
      <c r="AL1024" s="68"/>
      <c r="AM1024" s="110"/>
      <c r="AN1024" s="110"/>
      <c r="AO1024" s="68"/>
      <c r="AP1024" s="68"/>
      <c r="AQ1024" s="40"/>
      <c r="AR1024" s="40"/>
      <c r="AS1024" s="23"/>
    </row>
    <row r="1025" spans="1:45" ht="15.75" x14ac:dyDescent="0.25">
      <c r="A1025" s="44"/>
      <c r="B1025" s="23"/>
      <c r="C1025" s="23"/>
      <c r="D1025" s="23"/>
      <c r="E1025" s="68"/>
      <c r="F1025" s="68"/>
      <c r="G1025" s="110"/>
      <c r="H1025" s="110"/>
      <c r="I1025" s="68"/>
      <c r="J1025" s="68"/>
      <c r="K1025" s="110"/>
      <c r="L1025" s="110"/>
      <c r="M1025" s="68"/>
      <c r="N1025" s="68"/>
      <c r="O1025" s="110"/>
      <c r="P1025" s="110"/>
      <c r="Q1025" s="68"/>
      <c r="R1025" s="68"/>
      <c r="S1025" s="110"/>
      <c r="T1025" s="110"/>
      <c r="U1025" s="68"/>
      <c r="V1025" s="68"/>
      <c r="W1025" s="110"/>
      <c r="X1025" s="110"/>
      <c r="Y1025" s="110"/>
      <c r="Z1025" s="110"/>
      <c r="AA1025" s="110"/>
      <c r="AB1025" s="110"/>
      <c r="AC1025" s="114"/>
      <c r="AD1025" s="68"/>
      <c r="AE1025" s="110"/>
      <c r="AF1025" s="110"/>
      <c r="AG1025" s="68"/>
      <c r="AH1025" s="68"/>
      <c r="AI1025" s="110"/>
      <c r="AJ1025" s="110"/>
      <c r="AK1025" s="68"/>
      <c r="AL1025" s="68"/>
      <c r="AM1025" s="110"/>
      <c r="AN1025" s="110"/>
      <c r="AO1025" s="68"/>
      <c r="AP1025" s="68"/>
      <c r="AQ1025" s="40"/>
      <c r="AR1025" s="40"/>
      <c r="AS1025" s="23"/>
    </row>
    <row r="1026" spans="1:45" ht="15.75" x14ac:dyDescent="0.25">
      <c r="A1026" s="44"/>
      <c r="B1026" s="23"/>
      <c r="C1026" s="23"/>
      <c r="D1026" s="23"/>
      <c r="E1026" s="68"/>
      <c r="F1026" s="68"/>
      <c r="G1026" s="110"/>
      <c r="H1026" s="110"/>
      <c r="I1026" s="68"/>
      <c r="J1026" s="68"/>
      <c r="K1026" s="110"/>
      <c r="L1026" s="110"/>
      <c r="M1026" s="68"/>
      <c r="N1026" s="68"/>
      <c r="O1026" s="110"/>
      <c r="P1026" s="110"/>
      <c r="Q1026" s="68"/>
      <c r="R1026" s="68"/>
      <c r="S1026" s="110"/>
      <c r="T1026" s="110"/>
      <c r="U1026" s="68"/>
      <c r="V1026" s="68"/>
      <c r="W1026" s="110"/>
      <c r="X1026" s="110"/>
      <c r="Y1026" s="110"/>
      <c r="Z1026" s="110"/>
      <c r="AA1026" s="110"/>
      <c r="AB1026" s="110"/>
      <c r="AC1026" s="114"/>
      <c r="AD1026" s="68"/>
      <c r="AE1026" s="110"/>
      <c r="AF1026" s="110"/>
      <c r="AG1026" s="68"/>
      <c r="AH1026" s="68"/>
      <c r="AI1026" s="110"/>
      <c r="AJ1026" s="110"/>
      <c r="AK1026" s="68"/>
      <c r="AL1026" s="68"/>
      <c r="AM1026" s="110"/>
      <c r="AN1026" s="110"/>
      <c r="AO1026" s="68"/>
      <c r="AP1026" s="68"/>
      <c r="AQ1026" s="40"/>
      <c r="AR1026" s="40"/>
      <c r="AS1026" s="23"/>
    </row>
    <row r="1027" spans="1:45" ht="15.75" x14ac:dyDescent="0.25">
      <c r="A1027" s="44"/>
      <c r="B1027" s="23"/>
      <c r="C1027" s="23"/>
      <c r="D1027" s="23"/>
      <c r="E1027" s="68"/>
      <c r="F1027" s="68"/>
      <c r="G1027" s="110"/>
      <c r="H1027" s="110"/>
      <c r="I1027" s="68"/>
      <c r="J1027" s="68"/>
      <c r="K1027" s="110"/>
      <c r="L1027" s="110"/>
      <c r="M1027" s="68"/>
      <c r="N1027" s="68"/>
      <c r="O1027" s="110"/>
      <c r="P1027" s="110"/>
      <c r="Q1027" s="68"/>
      <c r="R1027" s="68"/>
      <c r="S1027" s="110"/>
      <c r="T1027" s="110"/>
      <c r="U1027" s="68"/>
      <c r="V1027" s="68"/>
      <c r="W1027" s="110"/>
      <c r="X1027" s="110"/>
      <c r="Y1027" s="110"/>
      <c r="Z1027" s="110"/>
      <c r="AA1027" s="110"/>
      <c r="AB1027" s="110"/>
      <c r="AC1027" s="114"/>
      <c r="AD1027" s="68"/>
      <c r="AE1027" s="110"/>
      <c r="AF1027" s="110"/>
      <c r="AG1027" s="68"/>
      <c r="AH1027" s="68"/>
      <c r="AI1027" s="110"/>
      <c r="AJ1027" s="110"/>
      <c r="AK1027" s="68"/>
      <c r="AL1027" s="68"/>
      <c r="AM1027" s="110"/>
      <c r="AN1027" s="110"/>
      <c r="AO1027" s="68"/>
      <c r="AP1027" s="68"/>
      <c r="AQ1027" s="40"/>
      <c r="AR1027" s="40"/>
      <c r="AS1027" s="23"/>
    </row>
    <row r="1028" spans="1:45" ht="15.75" x14ac:dyDescent="0.25">
      <c r="A1028" s="44"/>
      <c r="B1028" s="23"/>
      <c r="C1028" s="23"/>
      <c r="D1028" s="23"/>
      <c r="E1028" s="68"/>
      <c r="F1028" s="68"/>
      <c r="G1028" s="110"/>
      <c r="H1028" s="110"/>
      <c r="I1028" s="68"/>
      <c r="J1028" s="68"/>
      <c r="K1028" s="110"/>
      <c r="L1028" s="110"/>
      <c r="M1028" s="68"/>
      <c r="N1028" s="68"/>
      <c r="O1028" s="110"/>
      <c r="P1028" s="110"/>
      <c r="Q1028" s="68"/>
      <c r="R1028" s="68"/>
      <c r="S1028" s="110"/>
      <c r="T1028" s="110"/>
      <c r="U1028" s="68"/>
      <c r="V1028" s="68"/>
      <c r="W1028" s="110"/>
      <c r="X1028" s="110"/>
      <c r="Y1028" s="110"/>
      <c r="Z1028" s="110"/>
      <c r="AA1028" s="110"/>
      <c r="AB1028" s="110"/>
      <c r="AC1028" s="114"/>
      <c r="AD1028" s="68"/>
      <c r="AE1028" s="110"/>
      <c r="AF1028" s="110"/>
      <c r="AG1028" s="68"/>
      <c r="AH1028" s="68"/>
      <c r="AI1028" s="110"/>
      <c r="AJ1028" s="110"/>
      <c r="AK1028" s="68"/>
      <c r="AL1028" s="68"/>
      <c r="AM1028" s="110"/>
      <c r="AN1028" s="110"/>
      <c r="AO1028" s="68"/>
      <c r="AP1028" s="68"/>
      <c r="AQ1028" s="40"/>
      <c r="AR1028" s="40"/>
      <c r="AS1028" s="23"/>
    </row>
    <row r="1029" spans="1:45" ht="15.75" x14ac:dyDescent="0.25">
      <c r="A1029" s="44"/>
      <c r="B1029" s="23"/>
      <c r="C1029" s="23"/>
      <c r="D1029" s="23"/>
      <c r="E1029" s="68"/>
      <c r="F1029" s="68"/>
      <c r="G1029" s="110"/>
      <c r="H1029" s="110"/>
      <c r="I1029" s="68"/>
      <c r="J1029" s="68"/>
      <c r="K1029" s="110"/>
      <c r="L1029" s="110"/>
      <c r="M1029" s="68"/>
      <c r="N1029" s="68"/>
      <c r="O1029" s="110"/>
      <c r="P1029" s="110"/>
      <c r="Q1029" s="68"/>
      <c r="R1029" s="68"/>
      <c r="S1029" s="110"/>
      <c r="T1029" s="110"/>
      <c r="U1029" s="68"/>
      <c r="V1029" s="68"/>
      <c r="W1029" s="110"/>
      <c r="X1029" s="110"/>
      <c r="Y1029" s="110"/>
      <c r="Z1029" s="110"/>
      <c r="AA1029" s="110"/>
      <c r="AB1029" s="110"/>
      <c r="AC1029" s="114"/>
      <c r="AD1029" s="68"/>
      <c r="AE1029" s="110"/>
      <c r="AF1029" s="110"/>
      <c r="AG1029" s="68"/>
      <c r="AH1029" s="68"/>
      <c r="AI1029" s="110"/>
      <c r="AJ1029" s="110"/>
      <c r="AK1029" s="68"/>
      <c r="AL1029" s="68"/>
      <c r="AM1029" s="110"/>
      <c r="AN1029" s="110"/>
      <c r="AO1029" s="68"/>
      <c r="AP1029" s="68"/>
      <c r="AQ1029" s="40"/>
      <c r="AR1029" s="40"/>
      <c r="AS1029" s="23"/>
    </row>
    <row r="1030" spans="1:45" ht="15.75" x14ac:dyDescent="0.25">
      <c r="A1030" s="44"/>
      <c r="B1030" s="23"/>
      <c r="C1030" s="23"/>
      <c r="D1030" s="23"/>
      <c r="E1030" s="68"/>
      <c r="F1030" s="68"/>
      <c r="G1030" s="110"/>
      <c r="H1030" s="110"/>
      <c r="I1030" s="68"/>
      <c r="J1030" s="68"/>
      <c r="K1030" s="110"/>
      <c r="L1030" s="110"/>
      <c r="M1030" s="68"/>
      <c r="N1030" s="68"/>
      <c r="O1030" s="110"/>
      <c r="P1030" s="110"/>
      <c r="Q1030" s="68"/>
      <c r="R1030" s="68"/>
      <c r="S1030" s="110"/>
      <c r="T1030" s="110"/>
      <c r="U1030" s="68"/>
      <c r="V1030" s="68"/>
      <c r="W1030" s="110"/>
      <c r="X1030" s="110"/>
      <c r="Y1030" s="110"/>
      <c r="Z1030" s="110"/>
      <c r="AA1030" s="110"/>
      <c r="AB1030" s="110"/>
      <c r="AC1030" s="114"/>
      <c r="AD1030" s="68"/>
      <c r="AE1030" s="110"/>
      <c r="AF1030" s="110"/>
      <c r="AG1030" s="68"/>
      <c r="AH1030" s="68"/>
      <c r="AI1030" s="110"/>
      <c r="AJ1030" s="110"/>
      <c r="AK1030" s="68"/>
      <c r="AL1030" s="68"/>
      <c r="AM1030" s="110"/>
      <c r="AN1030" s="110"/>
      <c r="AO1030" s="68"/>
      <c r="AP1030" s="68"/>
      <c r="AQ1030" s="40"/>
      <c r="AR1030" s="40"/>
      <c r="AS1030" s="23"/>
    </row>
    <row r="1031" spans="1:45" ht="15.75" x14ac:dyDescent="0.25">
      <c r="A1031" s="44"/>
      <c r="B1031" s="23"/>
      <c r="C1031" s="23"/>
      <c r="D1031" s="23"/>
      <c r="E1031" s="68"/>
      <c r="F1031" s="68"/>
      <c r="G1031" s="110"/>
      <c r="H1031" s="110"/>
      <c r="I1031" s="68"/>
      <c r="J1031" s="68"/>
      <c r="K1031" s="110"/>
      <c r="L1031" s="110"/>
      <c r="M1031" s="68"/>
      <c r="N1031" s="68"/>
      <c r="O1031" s="110"/>
      <c r="P1031" s="110"/>
      <c r="Q1031" s="68"/>
      <c r="R1031" s="68"/>
      <c r="S1031" s="110"/>
      <c r="T1031" s="110"/>
      <c r="U1031" s="68"/>
      <c r="V1031" s="68"/>
      <c r="W1031" s="110"/>
      <c r="X1031" s="110"/>
      <c r="Y1031" s="110"/>
      <c r="Z1031" s="110"/>
      <c r="AA1031" s="110"/>
      <c r="AB1031" s="110"/>
      <c r="AC1031" s="114"/>
      <c r="AD1031" s="68"/>
      <c r="AE1031" s="110"/>
      <c r="AF1031" s="110"/>
      <c r="AG1031" s="68"/>
      <c r="AH1031" s="68"/>
      <c r="AI1031" s="110"/>
      <c r="AJ1031" s="110"/>
      <c r="AK1031" s="68"/>
      <c r="AL1031" s="68"/>
      <c r="AM1031" s="110"/>
      <c r="AN1031" s="110"/>
      <c r="AO1031" s="68"/>
      <c r="AP1031" s="68"/>
      <c r="AQ1031" s="40"/>
      <c r="AR1031" s="40"/>
      <c r="AS1031" s="23"/>
    </row>
    <row r="1032" spans="1:45" ht="15.75" x14ac:dyDescent="0.25">
      <c r="A1032" s="44"/>
      <c r="B1032" s="23"/>
      <c r="C1032" s="23"/>
      <c r="D1032" s="23"/>
      <c r="E1032" s="68"/>
      <c r="F1032" s="68"/>
      <c r="G1032" s="110"/>
      <c r="H1032" s="110"/>
      <c r="I1032" s="68"/>
      <c r="J1032" s="68"/>
      <c r="K1032" s="110"/>
      <c r="L1032" s="110"/>
      <c r="M1032" s="68"/>
      <c r="N1032" s="68"/>
      <c r="O1032" s="110"/>
      <c r="P1032" s="110"/>
      <c r="Q1032" s="68"/>
      <c r="R1032" s="68"/>
      <c r="S1032" s="110"/>
      <c r="T1032" s="110"/>
      <c r="U1032" s="68"/>
      <c r="V1032" s="68"/>
      <c r="W1032" s="110"/>
      <c r="X1032" s="110"/>
      <c r="Y1032" s="110"/>
      <c r="Z1032" s="110"/>
      <c r="AA1032" s="110"/>
      <c r="AB1032" s="110"/>
      <c r="AC1032" s="114"/>
      <c r="AD1032" s="68"/>
      <c r="AE1032" s="110"/>
      <c r="AF1032" s="110"/>
      <c r="AG1032" s="68"/>
      <c r="AH1032" s="68"/>
      <c r="AI1032" s="110"/>
      <c r="AJ1032" s="110"/>
      <c r="AK1032" s="68"/>
      <c r="AL1032" s="68"/>
      <c r="AM1032" s="110"/>
      <c r="AN1032" s="110"/>
      <c r="AO1032" s="68"/>
      <c r="AP1032" s="68"/>
      <c r="AQ1032" s="40"/>
      <c r="AR1032" s="40"/>
      <c r="AS1032" s="23"/>
    </row>
    <row r="1033" spans="1:45" ht="15.75" x14ac:dyDescent="0.25">
      <c r="A1033" s="44"/>
      <c r="B1033" s="23"/>
      <c r="C1033" s="23"/>
      <c r="D1033" s="23"/>
      <c r="E1033" s="68"/>
      <c r="F1033" s="68"/>
      <c r="G1033" s="110"/>
      <c r="H1033" s="110"/>
      <c r="I1033" s="68"/>
      <c r="J1033" s="68"/>
      <c r="K1033" s="110"/>
      <c r="L1033" s="110"/>
      <c r="M1033" s="68"/>
      <c r="N1033" s="68"/>
      <c r="O1033" s="110"/>
      <c r="P1033" s="110"/>
      <c r="Q1033" s="68"/>
      <c r="R1033" s="68"/>
      <c r="S1033" s="110"/>
      <c r="T1033" s="110"/>
      <c r="U1033" s="68"/>
      <c r="V1033" s="68"/>
      <c r="W1033" s="110"/>
      <c r="X1033" s="110"/>
      <c r="Y1033" s="110"/>
      <c r="Z1033" s="110"/>
      <c r="AA1033" s="110"/>
      <c r="AB1033" s="110"/>
      <c r="AC1033" s="114"/>
      <c r="AD1033" s="68"/>
      <c r="AE1033" s="110"/>
      <c r="AF1033" s="110"/>
      <c r="AG1033" s="68"/>
      <c r="AH1033" s="68"/>
      <c r="AI1033" s="110"/>
      <c r="AJ1033" s="110"/>
      <c r="AK1033" s="68"/>
      <c r="AL1033" s="68"/>
      <c r="AM1033" s="110"/>
      <c r="AN1033" s="110"/>
      <c r="AO1033" s="68"/>
      <c r="AP1033" s="68"/>
      <c r="AQ1033" s="40"/>
      <c r="AR1033" s="40"/>
      <c r="AS1033" s="23"/>
    </row>
    <row r="1034" spans="1:45" ht="15.75" x14ac:dyDescent="0.25">
      <c r="A1034" s="44"/>
      <c r="B1034" s="23"/>
      <c r="C1034" s="23"/>
      <c r="D1034" s="23"/>
      <c r="E1034" s="68"/>
      <c r="F1034" s="68"/>
      <c r="G1034" s="110"/>
      <c r="H1034" s="110"/>
      <c r="I1034" s="68"/>
      <c r="J1034" s="68"/>
      <c r="K1034" s="110"/>
      <c r="L1034" s="110"/>
      <c r="M1034" s="68"/>
      <c r="N1034" s="68"/>
      <c r="O1034" s="110"/>
      <c r="P1034" s="110"/>
      <c r="Q1034" s="68"/>
      <c r="R1034" s="68"/>
      <c r="S1034" s="110"/>
      <c r="T1034" s="110"/>
      <c r="U1034" s="68"/>
      <c r="V1034" s="68"/>
      <c r="W1034" s="110"/>
      <c r="X1034" s="110"/>
      <c r="Y1034" s="110"/>
      <c r="Z1034" s="110"/>
      <c r="AA1034" s="110"/>
      <c r="AB1034" s="110"/>
      <c r="AC1034" s="114"/>
      <c r="AD1034" s="68"/>
      <c r="AE1034" s="110"/>
      <c r="AF1034" s="110"/>
      <c r="AG1034" s="68"/>
      <c r="AH1034" s="68"/>
      <c r="AI1034" s="110"/>
      <c r="AJ1034" s="110"/>
      <c r="AK1034" s="68"/>
      <c r="AL1034" s="68"/>
      <c r="AM1034" s="110"/>
      <c r="AN1034" s="110"/>
      <c r="AO1034" s="68"/>
      <c r="AP1034" s="68"/>
      <c r="AQ1034" s="40"/>
      <c r="AR1034" s="40"/>
      <c r="AS1034" s="23"/>
    </row>
    <row r="1035" spans="1:45" ht="15.75" x14ac:dyDescent="0.25">
      <c r="A1035" s="44"/>
      <c r="B1035" s="23"/>
      <c r="C1035" s="23"/>
      <c r="D1035" s="23"/>
      <c r="E1035" s="68"/>
      <c r="F1035" s="68"/>
      <c r="G1035" s="110"/>
      <c r="H1035" s="110"/>
      <c r="I1035" s="68"/>
      <c r="J1035" s="68"/>
      <c r="K1035" s="110"/>
      <c r="L1035" s="110"/>
      <c r="M1035" s="68"/>
      <c r="N1035" s="68"/>
      <c r="O1035" s="110"/>
      <c r="P1035" s="110"/>
      <c r="Q1035" s="68"/>
      <c r="R1035" s="68"/>
      <c r="S1035" s="110"/>
      <c r="T1035" s="110"/>
      <c r="U1035" s="68"/>
      <c r="V1035" s="68"/>
      <c r="W1035" s="110"/>
      <c r="X1035" s="110"/>
      <c r="Y1035" s="110"/>
      <c r="Z1035" s="110"/>
      <c r="AA1035" s="110"/>
      <c r="AB1035" s="110"/>
      <c r="AC1035" s="114"/>
      <c r="AD1035" s="68"/>
      <c r="AE1035" s="110"/>
      <c r="AF1035" s="110"/>
      <c r="AG1035" s="68"/>
      <c r="AH1035" s="68"/>
      <c r="AI1035" s="110"/>
      <c r="AJ1035" s="110"/>
      <c r="AK1035" s="68"/>
      <c r="AL1035" s="68"/>
      <c r="AM1035" s="110"/>
      <c r="AN1035" s="110"/>
      <c r="AO1035" s="68"/>
      <c r="AP1035" s="68"/>
      <c r="AQ1035" s="40"/>
      <c r="AR1035" s="40"/>
      <c r="AS1035" s="23"/>
    </row>
    <row r="1036" spans="1:45" ht="15.75" x14ac:dyDescent="0.25">
      <c r="A1036" s="44"/>
      <c r="B1036" s="23"/>
      <c r="C1036" s="23"/>
      <c r="D1036" s="23"/>
      <c r="E1036" s="68"/>
      <c r="F1036" s="68"/>
      <c r="G1036" s="110"/>
      <c r="H1036" s="110"/>
      <c r="I1036" s="68"/>
      <c r="J1036" s="68"/>
      <c r="K1036" s="110"/>
      <c r="L1036" s="110"/>
      <c r="M1036" s="68"/>
      <c r="N1036" s="68"/>
      <c r="O1036" s="110"/>
      <c r="P1036" s="110"/>
      <c r="Q1036" s="68"/>
      <c r="R1036" s="68"/>
      <c r="S1036" s="110"/>
      <c r="T1036" s="110"/>
      <c r="U1036" s="68"/>
      <c r="V1036" s="68"/>
      <c r="W1036" s="110"/>
      <c r="X1036" s="110"/>
      <c r="Y1036" s="110"/>
      <c r="Z1036" s="110"/>
      <c r="AA1036" s="110"/>
      <c r="AB1036" s="110"/>
      <c r="AC1036" s="114"/>
      <c r="AD1036" s="68"/>
      <c r="AE1036" s="110"/>
      <c r="AF1036" s="110"/>
      <c r="AG1036" s="68"/>
      <c r="AH1036" s="68"/>
      <c r="AI1036" s="110"/>
      <c r="AJ1036" s="110"/>
      <c r="AK1036" s="68"/>
      <c r="AL1036" s="68"/>
      <c r="AM1036" s="110"/>
      <c r="AN1036" s="110"/>
      <c r="AO1036" s="68"/>
      <c r="AP1036" s="68"/>
      <c r="AQ1036" s="40"/>
      <c r="AR1036" s="40"/>
      <c r="AS1036" s="23"/>
    </row>
    <row r="1037" spans="1:45" ht="15.75" x14ac:dyDescent="0.25">
      <c r="A1037" s="44"/>
      <c r="B1037" s="23"/>
      <c r="C1037" s="23"/>
      <c r="D1037" s="23"/>
      <c r="E1037" s="68"/>
      <c r="F1037" s="68"/>
      <c r="G1037" s="110"/>
      <c r="H1037" s="110"/>
      <c r="I1037" s="68"/>
      <c r="J1037" s="68"/>
      <c r="K1037" s="110"/>
      <c r="L1037" s="110"/>
      <c r="M1037" s="68"/>
      <c r="N1037" s="68"/>
      <c r="O1037" s="110"/>
      <c r="P1037" s="110"/>
      <c r="Q1037" s="68"/>
      <c r="R1037" s="68"/>
      <c r="S1037" s="110"/>
      <c r="T1037" s="110"/>
      <c r="U1037" s="68"/>
      <c r="V1037" s="68"/>
      <c r="W1037" s="110"/>
      <c r="X1037" s="110"/>
      <c r="Y1037" s="110"/>
      <c r="Z1037" s="110"/>
      <c r="AA1037" s="110"/>
      <c r="AB1037" s="110"/>
      <c r="AC1037" s="114"/>
      <c r="AD1037" s="68"/>
      <c r="AE1037" s="110"/>
      <c r="AF1037" s="110"/>
      <c r="AG1037" s="68"/>
      <c r="AH1037" s="68"/>
      <c r="AI1037" s="110"/>
      <c r="AJ1037" s="110"/>
      <c r="AK1037" s="68"/>
      <c r="AL1037" s="68"/>
      <c r="AM1037" s="110"/>
      <c r="AN1037" s="110"/>
      <c r="AO1037" s="68"/>
      <c r="AP1037" s="68"/>
      <c r="AQ1037" s="40"/>
      <c r="AR1037" s="40"/>
      <c r="AS1037" s="23"/>
    </row>
    <row r="1038" spans="1:45" ht="15.75" x14ac:dyDescent="0.25">
      <c r="A1038" s="44"/>
      <c r="B1038" s="23"/>
      <c r="C1038" s="23"/>
      <c r="D1038" s="23"/>
      <c r="E1038" s="68"/>
      <c r="F1038" s="68"/>
      <c r="G1038" s="110"/>
      <c r="H1038" s="110"/>
      <c r="I1038" s="68"/>
      <c r="J1038" s="68"/>
      <c r="K1038" s="110"/>
      <c r="L1038" s="110"/>
      <c r="M1038" s="68"/>
      <c r="N1038" s="68"/>
      <c r="O1038" s="110"/>
      <c r="P1038" s="110"/>
      <c r="Q1038" s="68"/>
      <c r="R1038" s="68"/>
      <c r="S1038" s="110"/>
      <c r="T1038" s="110"/>
      <c r="U1038" s="68"/>
      <c r="V1038" s="68"/>
      <c r="W1038" s="110"/>
      <c r="X1038" s="110"/>
      <c r="Y1038" s="110"/>
      <c r="Z1038" s="110"/>
      <c r="AA1038" s="110"/>
      <c r="AB1038" s="110"/>
      <c r="AC1038" s="114"/>
      <c r="AD1038" s="68"/>
      <c r="AE1038" s="110"/>
      <c r="AF1038" s="110"/>
      <c r="AG1038" s="68"/>
      <c r="AH1038" s="68"/>
      <c r="AI1038" s="110"/>
      <c r="AJ1038" s="110"/>
      <c r="AK1038" s="68"/>
      <c r="AL1038" s="68"/>
      <c r="AM1038" s="110"/>
      <c r="AN1038" s="110"/>
      <c r="AO1038" s="68"/>
      <c r="AP1038" s="68"/>
      <c r="AQ1038" s="40"/>
      <c r="AR1038" s="40"/>
      <c r="AS1038" s="23"/>
    </row>
    <row r="1039" spans="1:45" ht="15.75" x14ac:dyDescent="0.25">
      <c r="A1039" s="44"/>
      <c r="B1039" s="23"/>
      <c r="C1039" s="23"/>
      <c r="D1039" s="23"/>
      <c r="E1039" s="68"/>
      <c r="F1039" s="68"/>
      <c r="G1039" s="110"/>
      <c r="H1039" s="110"/>
      <c r="I1039" s="68"/>
      <c r="J1039" s="68"/>
      <c r="K1039" s="110"/>
      <c r="L1039" s="110"/>
      <c r="M1039" s="68"/>
      <c r="N1039" s="68"/>
      <c r="O1039" s="110"/>
      <c r="P1039" s="110"/>
      <c r="Q1039" s="68"/>
      <c r="R1039" s="68"/>
      <c r="S1039" s="110"/>
      <c r="T1039" s="110"/>
      <c r="U1039" s="68"/>
      <c r="V1039" s="68"/>
      <c r="W1039" s="110"/>
      <c r="X1039" s="110"/>
      <c r="Y1039" s="110"/>
      <c r="Z1039" s="110"/>
      <c r="AA1039" s="110"/>
      <c r="AB1039" s="110"/>
      <c r="AC1039" s="114"/>
      <c r="AD1039" s="68"/>
      <c r="AE1039" s="110"/>
      <c r="AF1039" s="110"/>
      <c r="AG1039" s="68"/>
      <c r="AH1039" s="68"/>
      <c r="AI1039" s="110"/>
      <c r="AJ1039" s="110"/>
      <c r="AK1039" s="68"/>
      <c r="AL1039" s="68"/>
      <c r="AM1039" s="110"/>
      <c r="AN1039" s="110"/>
      <c r="AO1039" s="68"/>
      <c r="AP1039" s="68"/>
      <c r="AQ1039" s="40"/>
      <c r="AR1039" s="40"/>
      <c r="AS1039" s="23"/>
    </row>
    <row r="1040" spans="1:45" ht="15.75" x14ac:dyDescent="0.25">
      <c r="A1040" s="44"/>
      <c r="B1040" s="23"/>
      <c r="C1040" s="23"/>
      <c r="D1040" s="23"/>
      <c r="E1040" s="68"/>
      <c r="F1040" s="68"/>
      <c r="G1040" s="110"/>
      <c r="H1040" s="110"/>
      <c r="I1040" s="68"/>
      <c r="J1040" s="68"/>
      <c r="K1040" s="110"/>
      <c r="L1040" s="110"/>
      <c r="M1040" s="68"/>
      <c r="N1040" s="68"/>
      <c r="O1040" s="110"/>
      <c r="P1040" s="110"/>
      <c r="Q1040" s="68"/>
      <c r="R1040" s="68"/>
      <c r="S1040" s="110"/>
      <c r="T1040" s="110"/>
      <c r="U1040" s="68"/>
      <c r="V1040" s="68"/>
      <c r="W1040" s="110"/>
      <c r="X1040" s="110"/>
      <c r="Y1040" s="110"/>
      <c r="Z1040" s="110"/>
      <c r="AA1040" s="110"/>
      <c r="AB1040" s="110"/>
      <c r="AC1040" s="114"/>
      <c r="AD1040" s="68"/>
      <c r="AE1040" s="110"/>
      <c r="AF1040" s="110"/>
      <c r="AG1040" s="68"/>
      <c r="AH1040" s="68"/>
      <c r="AI1040" s="110"/>
      <c r="AJ1040" s="110"/>
      <c r="AK1040" s="68"/>
      <c r="AL1040" s="68"/>
      <c r="AM1040" s="110"/>
      <c r="AN1040" s="110"/>
      <c r="AO1040" s="68"/>
      <c r="AP1040" s="68"/>
      <c r="AQ1040" s="40"/>
      <c r="AR1040" s="40"/>
      <c r="AS1040" s="23"/>
    </row>
    <row r="1041" spans="1:45" ht="15.75" x14ac:dyDescent="0.25">
      <c r="A1041" s="44"/>
      <c r="B1041" s="23"/>
      <c r="C1041" s="23"/>
      <c r="D1041" s="23"/>
      <c r="E1041" s="68"/>
      <c r="F1041" s="68"/>
      <c r="G1041" s="110"/>
      <c r="H1041" s="110"/>
      <c r="I1041" s="68"/>
      <c r="J1041" s="68"/>
      <c r="K1041" s="110"/>
      <c r="L1041" s="110"/>
      <c r="M1041" s="68"/>
      <c r="N1041" s="68"/>
      <c r="O1041" s="110"/>
      <c r="P1041" s="110"/>
      <c r="Q1041" s="68"/>
      <c r="R1041" s="68"/>
      <c r="S1041" s="110"/>
      <c r="T1041" s="110"/>
      <c r="U1041" s="68"/>
      <c r="V1041" s="68"/>
      <c r="W1041" s="110"/>
      <c r="X1041" s="110"/>
      <c r="Y1041" s="110"/>
      <c r="Z1041" s="110"/>
      <c r="AA1041" s="110"/>
      <c r="AB1041" s="110"/>
      <c r="AC1041" s="114"/>
      <c r="AD1041" s="68"/>
      <c r="AE1041" s="110"/>
      <c r="AF1041" s="110"/>
      <c r="AG1041" s="68"/>
      <c r="AH1041" s="68"/>
      <c r="AI1041" s="110"/>
      <c r="AJ1041" s="110"/>
      <c r="AK1041" s="68"/>
      <c r="AL1041" s="68"/>
      <c r="AM1041" s="110"/>
      <c r="AN1041" s="110"/>
      <c r="AO1041" s="68"/>
      <c r="AP1041" s="68"/>
      <c r="AQ1041" s="40"/>
      <c r="AR1041" s="40"/>
      <c r="AS1041" s="23"/>
    </row>
    <row r="1042" spans="1:45" ht="15.75" x14ac:dyDescent="0.25">
      <c r="A1042" s="44"/>
      <c r="B1042" s="23"/>
      <c r="C1042" s="23"/>
      <c r="D1042" s="23"/>
      <c r="E1042" s="68"/>
      <c r="F1042" s="68"/>
      <c r="G1042" s="110"/>
      <c r="H1042" s="110"/>
      <c r="I1042" s="68"/>
      <c r="J1042" s="68"/>
      <c r="K1042" s="110"/>
      <c r="L1042" s="110"/>
      <c r="M1042" s="68"/>
      <c r="N1042" s="68"/>
      <c r="O1042" s="110"/>
      <c r="P1042" s="110"/>
      <c r="Q1042" s="68"/>
      <c r="R1042" s="68"/>
      <c r="S1042" s="110"/>
      <c r="T1042" s="110"/>
      <c r="U1042" s="68"/>
      <c r="V1042" s="68"/>
      <c r="W1042" s="110"/>
      <c r="X1042" s="110"/>
      <c r="Y1042" s="110"/>
      <c r="Z1042" s="110"/>
      <c r="AA1042" s="110"/>
      <c r="AB1042" s="110"/>
      <c r="AC1042" s="114"/>
      <c r="AD1042" s="68"/>
      <c r="AE1042" s="110"/>
      <c r="AF1042" s="110"/>
      <c r="AG1042" s="68"/>
      <c r="AH1042" s="68"/>
      <c r="AI1042" s="110"/>
      <c r="AJ1042" s="110"/>
      <c r="AK1042" s="68"/>
      <c r="AL1042" s="68"/>
      <c r="AM1042" s="110"/>
      <c r="AN1042" s="110"/>
      <c r="AO1042" s="68"/>
      <c r="AP1042" s="68"/>
      <c r="AQ1042" s="40"/>
      <c r="AR1042" s="40"/>
      <c r="AS1042" s="23"/>
    </row>
    <row r="1043" spans="1:45" ht="15.75" x14ac:dyDescent="0.25">
      <c r="A1043" s="44"/>
      <c r="B1043" s="23"/>
      <c r="C1043" s="23"/>
      <c r="D1043" s="23"/>
      <c r="E1043" s="68"/>
      <c r="F1043" s="68"/>
      <c r="G1043" s="110"/>
      <c r="H1043" s="110"/>
      <c r="I1043" s="68"/>
      <c r="J1043" s="68"/>
      <c r="K1043" s="110"/>
      <c r="L1043" s="110"/>
      <c r="M1043" s="68"/>
      <c r="N1043" s="68"/>
      <c r="O1043" s="110"/>
      <c r="P1043" s="110"/>
      <c r="Q1043" s="68"/>
      <c r="R1043" s="68"/>
      <c r="S1043" s="110"/>
      <c r="T1043" s="110"/>
      <c r="U1043" s="68"/>
      <c r="V1043" s="68"/>
      <c r="W1043" s="110"/>
      <c r="X1043" s="110"/>
      <c r="Y1043" s="110"/>
      <c r="Z1043" s="110"/>
      <c r="AA1043" s="110"/>
      <c r="AB1043" s="110"/>
      <c r="AC1043" s="114"/>
      <c r="AD1043" s="68"/>
      <c r="AE1043" s="110"/>
      <c r="AF1043" s="110"/>
      <c r="AG1043" s="68"/>
      <c r="AH1043" s="68"/>
      <c r="AI1043" s="110"/>
      <c r="AJ1043" s="110"/>
      <c r="AK1043" s="68"/>
      <c r="AL1043" s="68"/>
      <c r="AM1043" s="110"/>
      <c r="AN1043" s="110"/>
      <c r="AO1043" s="68"/>
      <c r="AP1043" s="68"/>
      <c r="AQ1043" s="40"/>
      <c r="AR1043" s="40"/>
      <c r="AS1043" s="23"/>
    </row>
    <row r="1044" spans="1:45" ht="15.75" x14ac:dyDescent="0.25">
      <c r="A1044" s="44"/>
      <c r="B1044" s="23"/>
      <c r="C1044" s="23"/>
      <c r="D1044" s="23"/>
      <c r="E1044" s="68"/>
      <c r="F1044" s="68"/>
      <c r="G1044" s="110"/>
      <c r="H1044" s="110"/>
      <c r="I1044" s="68"/>
      <c r="J1044" s="68"/>
      <c r="K1044" s="110"/>
      <c r="L1044" s="110"/>
      <c r="M1044" s="68"/>
      <c r="N1044" s="68"/>
      <c r="O1044" s="110"/>
      <c r="P1044" s="110"/>
      <c r="Q1044" s="68"/>
      <c r="R1044" s="68"/>
      <c r="S1044" s="110"/>
      <c r="T1044" s="110"/>
      <c r="U1044" s="68"/>
      <c r="V1044" s="68"/>
      <c r="W1044" s="110"/>
      <c r="X1044" s="110"/>
      <c r="Y1044" s="110"/>
      <c r="Z1044" s="110"/>
      <c r="AA1044" s="110"/>
      <c r="AB1044" s="110"/>
      <c r="AC1044" s="114"/>
      <c r="AD1044" s="68"/>
      <c r="AE1044" s="110"/>
      <c r="AF1044" s="110"/>
      <c r="AG1044" s="68"/>
      <c r="AH1044" s="68"/>
      <c r="AI1044" s="110"/>
      <c r="AJ1044" s="110"/>
      <c r="AK1044" s="68"/>
      <c r="AL1044" s="68"/>
      <c r="AM1044" s="110"/>
      <c r="AN1044" s="110"/>
      <c r="AO1044" s="68"/>
      <c r="AP1044" s="68"/>
      <c r="AQ1044" s="40"/>
      <c r="AR1044" s="40"/>
      <c r="AS1044" s="23"/>
    </row>
    <row r="1045" spans="1:45" ht="15.75" x14ac:dyDescent="0.25">
      <c r="A1045" s="44"/>
      <c r="B1045" s="23"/>
      <c r="C1045" s="23"/>
      <c r="D1045" s="23"/>
      <c r="E1045" s="68"/>
      <c r="F1045" s="68"/>
      <c r="G1045" s="110"/>
      <c r="H1045" s="110"/>
      <c r="I1045" s="68"/>
      <c r="J1045" s="68"/>
      <c r="K1045" s="110"/>
      <c r="L1045" s="110"/>
      <c r="M1045" s="68"/>
      <c r="N1045" s="68"/>
      <c r="O1045" s="110"/>
      <c r="P1045" s="110"/>
      <c r="Q1045" s="68"/>
      <c r="R1045" s="68"/>
      <c r="S1045" s="110"/>
      <c r="T1045" s="110"/>
      <c r="U1045" s="68"/>
      <c r="V1045" s="68"/>
      <c r="W1045" s="110"/>
      <c r="X1045" s="110"/>
      <c r="Y1045" s="110"/>
      <c r="Z1045" s="110"/>
      <c r="AA1045" s="110"/>
      <c r="AB1045" s="110"/>
      <c r="AC1045" s="114"/>
      <c r="AD1045" s="68"/>
      <c r="AE1045" s="110"/>
      <c r="AF1045" s="110"/>
      <c r="AG1045" s="68"/>
      <c r="AH1045" s="68"/>
      <c r="AI1045" s="110"/>
      <c r="AJ1045" s="110"/>
      <c r="AK1045" s="68"/>
      <c r="AL1045" s="68"/>
      <c r="AM1045" s="110"/>
      <c r="AN1045" s="110"/>
      <c r="AO1045" s="68"/>
      <c r="AP1045" s="68"/>
      <c r="AQ1045" s="40"/>
      <c r="AR1045" s="40"/>
      <c r="AS1045" s="23"/>
    </row>
    <row r="1046" spans="1:45" ht="15.75" x14ac:dyDescent="0.25">
      <c r="A1046" s="44"/>
      <c r="B1046" s="23"/>
      <c r="C1046" s="23"/>
      <c r="D1046" s="23"/>
      <c r="E1046" s="68"/>
      <c r="F1046" s="68"/>
      <c r="G1046" s="110"/>
      <c r="H1046" s="110"/>
      <c r="I1046" s="68"/>
      <c r="J1046" s="68"/>
      <c r="K1046" s="110"/>
      <c r="L1046" s="110"/>
      <c r="M1046" s="68"/>
      <c r="N1046" s="68"/>
      <c r="O1046" s="110"/>
      <c r="P1046" s="110"/>
      <c r="Q1046" s="68"/>
      <c r="R1046" s="68"/>
      <c r="S1046" s="110"/>
      <c r="T1046" s="110"/>
      <c r="U1046" s="68"/>
      <c r="V1046" s="68"/>
      <c r="W1046" s="110"/>
      <c r="X1046" s="110"/>
      <c r="Y1046" s="110"/>
      <c r="Z1046" s="110"/>
      <c r="AA1046" s="110"/>
      <c r="AB1046" s="110"/>
      <c r="AC1046" s="114"/>
      <c r="AD1046" s="68"/>
      <c r="AE1046" s="110"/>
      <c r="AF1046" s="110"/>
      <c r="AG1046" s="68"/>
      <c r="AH1046" s="68"/>
      <c r="AI1046" s="110"/>
      <c r="AJ1046" s="110"/>
      <c r="AK1046" s="68"/>
      <c r="AL1046" s="68"/>
      <c r="AM1046" s="110"/>
      <c r="AN1046" s="110"/>
      <c r="AO1046" s="68"/>
      <c r="AP1046" s="68"/>
      <c r="AQ1046" s="40"/>
      <c r="AR1046" s="40"/>
      <c r="AS1046" s="23"/>
    </row>
    <row r="1047" spans="1:45" ht="15.75" x14ac:dyDescent="0.25">
      <c r="A1047" s="44"/>
      <c r="B1047" s="23"/>
      <c r="C1047" s="23"/>
      <c r="D1047" s="23"/>
      <c r="E1047" s="68"/>
      <c r="F1047" s="68"/>
      <c r="G1047" s="110"/>
      <c r="H1047" s="110"/>
      <c r="I1047" s="68"/>
      <c r="J1047" s="68"/>
      <c r="K1047" s="110"/>
      <c r="L1047" s="110"/>
      <c r="M1047" s="68"/>
      <c r="N1047" s="68"/>
      <c r="O1047" s="110"/>
      <c r="P1047" s="110"/>
      <c r="Q1047" s="68"/>
      <c r="R1047" s="68"/>
      <c r="S1047" s="110"/>
      <c r="T1047" s="110"/>
      <c r="U1047" s="68"/>
      <c r="V1047" s="68"/>
      <c r="W1047" s="110"/>
      <c r="X1047" s="110"/>
      <c r="Y1047" s="110"/>
      <c r="Z1047" s="110"/>
      <c r="AA1047" s="110"/>
      <c r="AB1047" s="110"/>
      <c r="AC1047" s="114"/>
      <c r="AD1047" s="68"/>
      <c r="AE1047" s="110"/>
      <c r="AF1047" s="110"/>
      <c r="AG1047" s="68"/>
      <c r="AH1047" s="68"/>
      <c r="AI1047" s="110"/>
      <c r="AJ1047" s="110"/>
      <c r="AK1047" s="68"/>
      <c r="AL1047" s="68"/>
      <c r="AM1047" s="110"/>
      <c r="AN1047" s="110"/>
      <c r="AO1047" s="68"/>
      <c r="AP1047" s="68"/>
      <c r="AQ1047" s="40"/>
      <c r="AR1047" s="40"/>
      <c r="AS1047" s="23"/>
    </row>
    <row r="1048" spans="1:45" ht="15.75" x14ac:dyDescent="0.25">
      <c r="A1048" s="44"/>
      <c r="B1048" s="23"/>
      <c r="C1048" s="23"/>
      <c r="D1048" s="23"/>
      <c r="E1048" s="68"/>
      <c r="F1048" s="68"/>
      <c r="G1048" s="110"/>
      <c r="H1048" s="110"/>
      <c r="I1048" s="68"/>
      <c r="J1048" s="68"/>
      <c r="K1048" s="110"/>
      <c r="L1048" s="110"/>
      <c r="M1048" s="68"/>
      <c r="N1048" s="68"/>
      <c r="O1048" s="110"/>
      <c r="P1048" s="110"/>
      <c r="Q1048" s="68"/>
      <c r="R1048" s="68"/>
      <c r="S1048" s="110"/>
      <c r="T1048" s="110"/>
      <c r="U1048" s="68"/>
      <c r="V1048" s="68"/>
      <c r="W1048" s="110"/>
      <c r="X1048" s="110"/>
      <c r="Y1048" s="110"/>
      <c r="Z1048" s="110"/>
      <c r="AA1048" s="110"/>
      <c r="AB1048" s="110"/>
      <c r="AC1048" s="114"/>
      <c r="AD1048" s="68"/>
      <c r="AE1048" s="110"/>
      <c r="AF1048" s="110"/>
      <c r="AG1048" s="68"/>
      <c r="AH1048" s="68"/>
      <c r="AI1048" s="110"/>
      <c r="AJ1048" s="110"/>
      <c r="AK1048" s="68"/>
      <c r="AL1048" s="68"/>
      <c r="AM1048" s="110"/>
      <c r="AN1048" s="110"/>
      <c r="AO1048" s="68"/>
      <c r="AP1048" s="68"/>
      <c r="AQ1048" s="40"/>
      <c r="AR1048" s="40"/>
      <c r="AS1048" s="23"/>
    </row>
    <row r="1049" spans="1:45" ht="15.75" x14ac:dyDescent="0.25">
      <c r="A1049" s="44"/>
      <c r="B1049" s="23"/>
      <c r="C1049" s="23"/>
      <c r="D1049" s="23"/>
      <c r="E1049" s="68"/>
      <c r="F1049" s="68"/>
      <c r="G1049" s="110"/>
      <c r="H1049" s="110"/>
      <c r="I1049" s="68"/>
      <c r="J1049" s="68"/>
      <c r="K1049" s="110"/>
      <c r="L1049" s="110"/>
      <c r="M1049" s="68"/>
      <c r="N1049" s="68"/>
      <c r="O1049" s="110"/>
      <c r="P1049" s="110"/>
      <c r="Q1049" s="68"/>
      <c r="R1049" s="68"/>
      <c r="S1049" s="110"/>
      <c r="T1049" s="110"/>
      <c r="U1049" s="68"/>
      <c r="V1049" s="68"/>
      <c r="W1049" s="110"/>
      <c r="X1049" s="110"/>
      <c r="Y1049" s="110"/>
      <c r="Z1049" s="110"/>
      <c r="AA1049" s="110"/>
      <c r="AB1049" s="110"/>
      <c r="AC1049" s="114"/>
      <c r="AD1049" s="68"/>
      <c r="AE1049" s="110"/>
      <c r="AF1049" s="110"/>
      <c r="AG1049" s="68"/>
      <c r="AH1049" s="68"/>
      <c r="AI1049" s="110"/>
      <c r="AJ1049" s="110"/>
      <c r="AK1049" s="68"/>
      <c r="AL1049" s="68"/>
      <c r="AM1049" s="110"/>
      <c r="AN1049" s="110"/>
      <c r="AO1049" s="68"/>
      <c r="AP1049" s="68"/>
      <c r="AQ1049" s="40"/>
      <c r="AR1049" s="40"/>
      <c r="AS1049" s="23"/>
    </row>
    <row r="1050" spans="1:45" ht="15.75" x14ac:dyDescent="0.25">
      <c r="A1050" s="44"/>
      <c r="B1050" s="23"/>
      <c r="C1050" s="23"/>
      <c r="D1050" s="23"/>
      <c r="E1050" s="68"/>
      <c r="F1050" s="68"/>
      <c r="G1050" s="110"/>
      <c r="H1050" s="110"/>
      <c r="I1050" s="68"/>
      <c r="J1050" s="68"/>
      <c r="K1050" s="110"/>
      <c r="L1050" s="110"/>
      <c r="M1050" s="68"/>
      <c r="N1050" s="68"/>
      <c r="O1050" s="110"/>
      <c r="P1050" s="110"/>
      <c r="Q1050" s="68"/>
      <c r="R1050" s="68"/>
      <c r="S1050" s="110"/>
      <c r="T1050" s="110"/>
      <c r="U1050" s="68"/>
      <c r="V1050" s="68"/>
      <c r="W1050" s="110"/>
      <c r="X1050" s="110"/>
      <c r="Y1050" s="110"/>
      <c r="Z1050" s="110"/>
      <c r="AA1050" s="110"/>
      <c r="AB1050" s="110"/>
      <c r="AC1050" s="114"/>
      <c r="AD1050" s="68"/>
      <c r="AE1050" s="110"/>
      <c r="AF1050" s="110"/>
      <c r="AG1050" s="68"/>
      <c r="AH1050" s="68"/>
      <c r="AI1050" s="110"/>
      <c r="AJ1050" s="110"/>
      <c r="AK1050" s="68"/>
      <c r="AL1050" s="68"/>
      <c r="AM1050" s="110"/>
      <c r="AN1050" s="110"/>
      <c r="AO1050" s="68"/>
      <c r="AP1050" s="68"/>
      <c r="AQ1050" s="40"/>
      <c r="AR1050" s="40"/>
      <c r="AS1050" s="23"/>
    </row>
    <row r="1051" spans="1:45" ht="15.75" x14ac:dyDescent="0.25">
      <c r="A1051" s="44"/>
      <c r="B1051" s="23"/>
      <c r="C1051" s="23"/>
      <c r="D1051" s="23"/>
      <c r="E1051" s="68"/>
      <c r="F1051" s="68"/>
      <c r="G1051" s="110"/>
      <c r="H1051" s="110"/>
      <c r="I1051" s="68"/>
      <c r="J1051" s="68"/>
      <c r="K1051" s="110"/>
      <c r="L1051" s="110"/>
      <c r="M1051" s="68"/>
      <c r="N1051" s="68"/>
      <c r="O1051" s="110"/>
      <c r="P1051" s="110"/>
      <c r="Q1051" s="68"/>
      <c r="R1051" s="68"/>
      <c r="S1051" s="110"/>
      <c r="T1051" s="110"/>
      <c r="U1051" s="68"/>
      <c r="V1051" s="68"/>
      <c r="W1051" s="110"/>
      <c r="X1051" s="110"/>
      <c r="Y1051" s="110"/>
      <c r="Z1051" s="110"/>
      <c r="AA1051" s="110"/>
      <c r="AB1051" s="110"/>
      <c r="AC1051" s="114"/>
      <c r="AD1051" s="68"/>
      <c r="AE1051" s="110"/>
      <c r="AF1051" s="110"/>
      <c r="AG1051" s="68"/>
      <c r="AH1051" s="68"/>
      <c r="AI1051" s="110"/>
      <c r="AJ1051" s="110"/>
      <c r="AK1051" s="68"/>
      <c r="AL1051" s="68"/>
      <c r="AM1051" s="110"/>
      <c r="AN1051" s="110"/>
      <c r="AO1051" s="68"/>
      <c r="AP1051" s="68"/>
      <c r="AQ1051" s="40"/>
      <c r="AR1051" s="40"/>
      <c r="AS1051" s="23"/>
    </row>
    <row r="1052" spans="1:45" ht="15.75" x14ac:dyDescent="0.25">
      <c r="A1052" s="44"/>
      <c r="B1052" s="23"/>
      <c r="C1052" s="23"/>
      <c r="D1052" s="23"/>
      <c r="E1052" s="68"/>
      <c r="F1052" s="68"/>
      <c r="G1052" s="110"/>
      <c r="H1052" s="110"/>
      <c r="I1052" s="68"/>
      <c r="J1052" s="68"/>
      <c r="K1052" s="110"/>
      <c r="L1052" s="110"/>
      <c r="M1052" s="68"/>
      <c r="N1052" s="68"/>
      <c r="O1052" s="110"/>
      <c r="P1052" s="110"/>
      <c r="Q1052" s="68"/>
      <c r="R1052" s="68"/>
      <c r="S1052" s="110"/>
      <c r="T1052" s="110"/>
      <c r="U1052" s="68"/>
      <c r="V1052" s="68"/>
      <c r="W1052" s="110"/>
      <c r="X1052" s="110"/>
      <c r="Y1052" s="110"/>
      <c r="Z1052" s="110"/>
      <c r="AA1052" s="110"/>
      <c r="AB1052" s="110"/>
      <c r="AC1052" s="114"/>
      <c r="AD1052" s="68"/>
      <c r="AE1052" s="110"/>
      <c r="AF1052" s="110"/>
      <c r="AG1052" s="68"/>
      <c r="AH1052" s="68"/>
      <c r="AI1052" s="110"/>
      <c r="AJ1052" s="110"/>
      <c r="AK1052" s="68"/>
      <c r="AL1052" s="68"/>
      <c r="AM1052" s="110"/>
      <c r="AN1052" s="110"/>
      <c r="AO1052" s="68"/>
      <c r="AP1052" s="68"/>
      <c r="AQ1052" s="40"/>
      <c r="AR1052" s="40"/>
      <c r="AS1052" s="23"/>
    </row>
  </sheetData>
  <autoFilter ref="A1:AS212"/>
  <conditionalFormatting sqref="G2:G5 S6:S85 W6:W85 W87:W89 S87:S89 S91:S93 W91:W93 W95:W97 S95:S97 S99:S101 W99:W101 W103:W105 S103:S105 S107:S109 W107:W109 W111:W113 S111:S113 S115:S117 W115:W117 W119:W121 S119:S121 S123:S125 W123:W125 W127:W129 S127:S129 S131:S133 W131:W133 W135:W137 S135:S137 S139:S141 W143:W145 S143:S145 S147:S149 W147:W149 W151:W153 S151:S153 S155:S157 W155:W157 W159:W161 S159:S161 S163:S165 W163:W165 W167:W169 S167:S169 S171:S173 W171:W173 W175:W177 S175:S177 S179:S181 W179:W181 W183:W185 S183:S185 S187:S189 W187:W189 W191:W193 S191:S193 S195:S197 W195:W197 W199:W201 S199:S201 S203:S205 W203:W205 W207:W209 S207:S209 W139:W141">
    <cfRule type="cellIs" dxfId="3689" priority="1373" operator="lessThan">
      <formula>0</formula>
    </cfRule>
  </conditionalFormatting>
  <conditionalFormatting sqref="G2:G5 S6:S85 W6:W85 W87:W89 S87:S89 S91:S93 W91:W93 W95:W97 S95:S97 S99:S101 W99:W101 W103:W105 S103:S105 S107:S109 W107:W109 W111:W113 S111:S113 S115:S117 W115:W117 W119:W121 S119:S121 S123:S125 W123:W125 W127:W129 S127:S129 S131:S133 W131:W133 W135:W137 S135:S137 S139:S141 W143:W145 S143:S145 S147:S149 W147:W149 W151:W153 S151:S153 S155:S157 W155:W157 W159:W161 S159:S161 S163:S165 W163:W165 W167:W169 S167:S169 S171:S173 W171:W173 W175:W177 S175:S177 S179:S181 W179:W181 W183:W185 S183:S185 S187:S189 W187:W189 W191:W193 S191:S193 S195:S197 W195:W197 W199:W201 S199:S201 S203:S205 W203:W205 W207:W209 S207:S209 W139:W141">
    <cfRule type="cellIs" dxfId="3688" priority="1374" operator="greaterThanOrEqual">
      <formula>0</formula>
    </cfRule>
  </conditionalFormatting>
  <conditionalFormatting sqref="K2:K85 K87:K89 K91:K93 K95:K97 K99:K101 K103:K105 K107:K109 K111:K113 K115:K117 K119:K121 K123:K125 K127:K129 K131:K133 K135:K137 K143:K145 K147:K149 K151:K153 K155:K157 K159:K161 K163:K165 K167:K169 K171:K173 K175:K177 K179:K181 K183:K185 K187:K189 K191:K193 K195:K197 K199:K201 K203:K205 K207:K209 K139:K141">
    <cfRule type="cellIs" dxfId="3687" priority="1375" operator="lessThanOrEqual">
      <formula>0</formula>
    </cfRule>
  </conditionalFormatting>
  <conditionalFormatting sqref="K2:K85 K87:K89 K91:K93 K95:K97 K99:K101 K103:K105 K107:K109 K111:K113 K115:K117 K119:K121 K123:K125 K127:K129 K131:K133 K135:K137 K143:K145 K147:K149 K151:K153 K155:K157 K159:K161 K163:K165 K167:K169 K171:K173 K175:K177 K179:K181 K183:K185 K187:K189 K191:K193 K195:K197 K199:K201 K203:K205 K207:K209 K139:K141">
    <cfRule type="cellIs" dxfId="3686" priority="1376" operator="greaterThan">
      <formula>0</formula>
    </cfRule>
  </conditionalFormatting>
  <conditionalFormatting sqref="O6:O85 O87:O89 O91:O93 O95:O97 O99:O101 O103:O105 O107:O109 O111:O113 O115:O117 O119:O121 O123:O125 O127:O129 O131:O133 O135:O137 O143:O145 O147:O149 O151:O153 O155:O157 O159:O161 O163:O165 O167:O169 O171:O173 O175:O177 O179:O181 O183:O185 O187:O189 O191:O193 O195:O197 O199:O201 O203:O205 O207:O209 O139:O141">
    <cfRule type="cellIs" dxfId="3685" priority="1377" operator="lessThan">
      <formula>0</formula>
    </cfRule>
  </conditionalFormatting>
  <conditionalFormatting sqref="O6:O85 O87:O89 O91:O93 O95:O97 O99:O101 O103:O105 O107:O109 O111:O113 O115:O117 O119:O121 O123:O125 O127:O129 O131:O133 O135:O137 O143:O145 O147:O149 O151:O153 O155:O157 O159:O161 O163:O165 O167:O169 O171:O173 O175:O177 O179:O181 O183:O185 O187:O189 O191:O193 O195:O197 O199:O201 O203:O205 O207:O209 O139:O141">
    <cfRule type="cellIs" dxfId="3684" priority="1378" operator="greaterThanOrEqual">
      <formula>0</formula>
    </cfRule>
  </conditionalFormatting>
  <conditionalFormatting sqref="AQ6:AQ85 AQ87:AQ89 AQ91:AQ93 AQ95:AQ97 AQ99:AQ101 AQ103:AQ105 AQ107:AQ109 AQ111:AQ113 AQ115:AQ117 AQ119:AQ121 AQ123:AQ125 AQ127:AQ129 AQ131:AQ133 AQ135:AQ137 AQ139:AQ141 AQ143:AQ145 AQ147:AQ149 AQ151:AQ153 AQ155:AQ157 AQ159:AQ161 AQ163:AQ165 AQ167:AQ169 AQ171:AQ173 AQ175:AQ177 AQ179:AQ181 AQ183:AQ185 AQ187:AQ189 AQ191:AQ193 AQ195:AQ197 AQ199:AQ201 AQ203:AQ205 AQ207:AQ209">
    <cfRule type="cellIs" dxfId="3683" priority="1363" operator="lessThan">
      <formula>0</formula>
    </cfRule>
  </conditionalFormatting>
  <conditionalFormatting sqref="AQ6:AQ85 AQ87:AQ89 AQ91:AQ93 AQ95:AQ97 AQ99:AQ101 AQ103:AQ105 AQ107:AQ109 AQ111:AQ113 AQ115:AQ117 AQ119:AQ121 AQ123:AQ125 AQ127:AQ129 AQ131:AQ133 AQ135:AQ137 AQ139:AQ141 AQ143:AQ145 AQ147:AQ149 AQ151:AQ153 AQ155:AQ157 AQ159:AQ161 AQ163:AQ165 AQ167:AQ169 AQ171:AQ173 AQ175:AQ177 AQ179:AQ181 AQ183:AQ185 AQ187:AQ189 AQ191:AQ193 AQ195:AQ197 AQ199:AQ201 AQ203:AQ205 AQ207:AQ209">
    <cfRule type="cellIs" dxfId="3682" priority="1364" operator="greaterThanOrEqual">
      <formula>0</formula>
    </cfRule>
  </conditionalFormatting>
  <conditionalFormatting sqref="H2:H5">
    <cfRule type="cellIs" dxfId="3681" priority="1361" operator="lessThan">
      <formula>0</formula>
    </cfRule>
  </conditionalFormatting>
  <conditionalFormatting sqref="H2:H5">
    <cfRule type="cellIs" dxfId="3680" priority="1362" operator="greaterThanOrEqual">
      <formula>0</formula>
    </cfRule>
  </conditionalFormatting>
  <conditionalFormatting sqref="L2:L85 L87:L89 L91:L93 L95:L97 L99:L101 L103:L105 L107:L109 L111:L113 L115:L117 L119:L121 L123:L125 L127:L129 L131:L133 L135:L137 L143:L145 L147:L149 L151:L153 L155:L157 L159:L161 L163:L165 L167:L169 L171:L173 L175:L177 L179:L181 L183:L185 L187:L189 L191:L193 L195:L197 L199:L201 L203:L205 L207:L209 L139:L141">
    <cfRule type="cellIs" dxfId="3679" priority="1359" operator="lessThanOrEqual">
      <formula>0</formula>
    </cfRule>
  </conditionalFormatting>
  <conditionalFormatting sqref="L2:L85 L87:L89 L91:L93 L95:L97 L99:L101 L103:L105 L107:L109 L111:L113 L115:L117 L119:L121 L123:L125 L127:L129 L131:L133 L135:L137 L143:L145 L147:L149 L151:L153 L155:L157 L159:L161 L163:L165 L167:L169 L171:L173 L175:L177 L179:L181 L183:L185 L187:L189 L191:L193 L195:L197 L199:L201 L203:L205 L207:L209 L139:L141">
    <cfRule type="cellIs" dxfId="3678" priority="1360" operator="greaterThan">
      <formula>0</formula>
    </cfRule>
  </conditionalFormatting>
  <conditionalFormatting sqref="T6:T85 T87:T89 T91:T93 T95:T97 T99:T101 T103:T105 T107:T109 T111:T113 T115:T117 T119:T121 T123:T125 T127:T129 T131:T133 T135:T137 T139:T141 T143:T145 T147:T149 T151:T153 T155:T157 T159:T161 T163:T165 T167:T169 T171:T173 T175:T177 T179:T181 T183:T185 T187:T189 T191:T193 T195:T197 T199:T201 T203:T205 T207:T209">
    <cfRule type="cellIs" dxfId="3677" priority="1357" operator="lessThan">
      <formula>0</formula>
    </cfRule>
  </conditionalFormatting>
  <conditionalFormatting sqref="T6:T85 T87:T89 T91:T93 T95:T97 T99:T101 T103:T105 T107:T109 T111:T113 T115:T117 T119:T121 T123:T125 T127:T129 T131:T133 T135:T137 T139:T141 T143:T145 T147:T149 T151:T153 T155:T157 T159:T161 T163:T165 T167:T169 T171:T173 T175:T177 T179:T181 T183:T185 T187:T189 T191:T193 T195:T197 T199:T201 T203:T205 T207:T209">
    <cfRule type="cellIs" dxfId="3676" priority="1358" operator="greaterThanOrEqual">
      <formula>0</formula>
    </cfRule>
  </conditionalFormatting>
  <conditionalFormatting sqref="X6:X85 X87:X89 X91:X93 X95:X97 X99:X101 X103:X105 X107:X109 X111:X113 X115:X117 X119:X121 X123:X125 X127:X129 X131:X133 X135:X137 X143:X145 X147:X149 X151:X153 X155:X157 X159:X161 X163:X165 X167:X169 X171:X173 X175:X177 X179:X181 X183:X185 X187:X189 X191:X193 X195:X197 X199:X201 X203:X205 X207:X209 X139:X141">
    <cfRule type="cellIs" dxfId="3675" priority="1355" operator="lessThan">
      <formula>0</formula>
    </cfRule>
  </conditionalFormatting>
  <conditionalFormatting sqref="X6:X85 X87:X89 X91:X93 X95:X97 X99:X101 X103:X105 X107:X109 X111:X113 X115:X117 X119:X121 X123:X125 X127:X129 X131:X133 X135:X137 X143:X145 X147:X149 X151:X153 X155:X157 X159:X161 X163:X165 X167:X169 X171:X173 X175:X177 X179:X181 X183:X185 X187:X189 X191:X193 X195:X197 X199:X201 X203:X205 X207:X209 X139:X141">
    <cfRule type="cellIs" dxfId="3674" priority="1356" operator="greaterThanOrEqual">
      <formula>0</formula>
    </cfRule>
  </conditionalFormatting>
  <conditionalFormatting sqref="AB6:AB85 AB87:AB89 AB91:AB93 AB95:AB97 AB99:AB101 AB103:AB105 AB107:AB109 AB111:AB113 AB115:AB117 AB119:AB121 AB123:AB125 AB127:AB129 AB131:AB133 AB135:AB137 AB143:AB145 AB147:AB149 AB151:AB153 AB155:AB157 AB159:AB161 AB163:AB165 AB167:AB169 AB171:AB173 AB175:AB177 AB179:AB181 AB183:AB185 AB187:AB189 AB191:AB193 AB195:AB197 AB199:AB201 AB203:AB205 AB207:AB209 AB139:AB141">
    <cfRule type="cellIs" dxfId="3673" priority="1353" operator="lessThan">
      <formula>0</formula>
    </cfRule>
  </conditionalFormatting>
  <conditionalFormatting sqref="AB6:AB85 AB87:AB89 AB91:AB93 AB95:AB97 AB99:AB101 AB103:AB105 AB107:AB109 AB111:AB113 AB115:AB117 AB119:AB121 AB123:AB125 AB127:AB129 AB131:AB133 AB135:AB137 AB143:AB145 AB147:AB149 AB151:AB153 AB155:AB157 AB159:AB161 AB163:AB165 AB167:AB169 AB171:AB173 AB175:AB177 AB179:AB181 AB183:AB185 AB187:AB189 AB191:AB193 AB195:AB197 AB199:AB201 AB203:AB205 AB207:AB209 AB139:AB141">
    <cfRule type="cellIs" dxfId="3672" priority="1354" operator="greaterThanOrEqual">
      <formula>0</formula>
    </cfRule>
  </conditionalFormatting>
  <conditionalFormatting sqref="AF6:AF85 AF87:AF89 AF91:AF93 AF95:AF97 AF99:AF101 AF103:AF105 AF107:AF109 AF111:AF113 AF115:AF117 AF119:AF121 AF123:AF125 AF127:AF129 AF131:AF133 AF135:AF137 AF143:AF145 AF147:AF149 AF151:AF153 AF155:AF157 AF159:AF161 AF163:AF165 AF167:AF169 AF171:AF173 AF175:AF177 AF179:AF181 AF183:AF185 AF187:AF189 AF191:AF193 AF195:AF197 AF199:AF201 AF203:AF205 AF207:AF209 AF139:AF141">
    <cfRule type="cellIs" dxfId="3671" priority="1351" operator="lessThan">
      <formula>0</formula>
    </cfRule>
  </conditionalFormatting>
  <conditionalFormatting sqref="AF6:AF85 AF87:AF89 AF91:AF93 AF95:AF97 AF99:AF101 AF103:AF105 AF107:AF109 AF111:AF113 AF115:AF117 AF119:AF121 AF123:AF125 AF127:AF129 AF131:AF133 AF135:AF137 AF143:AF145 AF147:AF149 AF151:AF153 AF155:AF157 AF159:AF161 AF163:AF165 AF167:AF169 AF171:AF173 AF175:AF177 AF179:AF181 AF183:AF185 AF187:AF189 AF191:AF193 AF195:AF197 AF199:AF201 AF203:AF205 AF207:AF209 AF139:AF141">
    <cfRule type="cellIs" dxfId="3670" priority="1352" operator="greaterThanOrEqual">
      <formula>0</formula>
    </cfRule>
  </conditionalFormatting>
  <conditionalFormatting sqref="AF3:AF5">
    <cfRule type="cellIs" dxfId="3669" priority="1343" operator="lessThan">
      <formula>0</formula>
    </cfRule>
  </conditionalFormatting>
  <conditionalFormatting sqref="AF3:AF5">
    <cfRule type="cellIs" dxfId="3668" priority="1344" operator="greaterThanOrEqual">
      <formula>0</formula>
    </cfRule>
  </conditionalFormatting>
  <conditionalFormatting sqref="AB3:AB5">
    <cfRule type="cellIs" dxfId="3667" priority="1341" operator="lessThan">
      <formula>0</formula>
    </cfRule>
  </conditionalFormatting>
  <conditionalFormatting sqref="AB3:AB5">
    <cfRule type="cellIs" dxfId="3666" priority="1342" operator="greaterThanOrEqual">
      <formula>0</formula>
    </cfRule>
  </conditionalFormatting>
  <conditionalFormatting sqref="T3:T5">
    <cfRule type="cellIs" dxfId="3665" priority="1339" operator="lessThan">
      <formula>0</formula>
    </cfRule>
  </conditionalFormatting>
  <conditionalFormatting sqref="T3:T5">
    <cfRule type="cellIs" dxfId="3664" priority="1340" operator="greaterThanOrEqual">
      <formula>0</formula>
    </cfRule>
  </conditionalFormatting>
  <conditionalFormatting sqref="X3:X5">
    <cfRule type="cellIs" dxfId="3663" priority="1337" operator="lessThan">
      <formula>0</formula>
    </cfRule>
  </conditionalFormatting>
  <conditionalFormatting sqref="X3:X5">
    <cfRule type="cellIs" dxfId="3662" priority="1338" operator="greaterThanOrEqual">
      <formula>0</formula>
    </cfRule>
  </conditionalFormatting>
  <conditionalFormatting sqref="AF2">
    <cfRule type="cellIs" dxfId="3661" priority="1331" operator="lessThan">
      <formula>0</formula>
    </cfRule>
  </conditionalFormatting>
  <conditionalFormatting sqref="AF2">
    <cfRule type="cellIs" dxfId="3660" priority="1332" operator="greaterThanOrEqual">
      <formula>0</formula>
    </cfRule>
  </conditionalFormatting>
  <conditionalFormatting sqref="T2">
    <cfRule type="cellIs" dxfId="3659" priority="1329" operator="lessThan">
      <formula>0</formula>
    </cfRule>
  </conditionalFormatting>
  <conditionalFormatting sqref="T2">
    <cfRule type="cellIs" dxfId="3658" priority="1330" operator="greaterThanOrEqual">
      <formula>0</formula>
    </cfRule>
  </conditionalFormatting>
  <conditionalFormatting sqref="X2">
    <cfRule type="cellIs" dxfId="3657" priority="1327" operator="lessThan">
      <formula>0</formula>
    </cfRule>
  </conditionalFormatting>
  <conditionalFormatting sqref="X2">
    <cfRule type="cellIs" dxfId="3656" priority="1328" operator="greaterThanOrEqual">
      <formula>0</formula>
    </cfRule>
  </conditionalFormatting>
  <conditionalFormatting sqref="AB2">
    <cfRule type="cellIs" dxfId="3655" priority="1325" operator="lessThan">
      <formula>0</formula>
    </cfRule>
  </conditionalFormatting>
  <conditionalFormatting sqref="AB2">
    <cfRule type="cellIs" dxfId="3654" priority="1326" operator="greaterThanOrEqual">
      <formula>0</formula>
    </cfRule>
  </conditionalFormatting>
  <conditionalFormatting sqref="AN3:AN5">
    <cfRule type="cellIs" dxfId="3653" priority="1315" operator="lessThan">
      <formula>0</formula>
    </cfRule>
  </conditionalFormatting>
  <conditionalFormatting sqref="AN3:AN5">
    <cfRule type="cellIs" dxfId="3652" priority="1316" operator="greaterThanOrEqual">
      <formula>0</formula>
    </cfRule>
  </conditionalFormatting>
  <conditionalFormatting sqref="AN2">
    <cfRule type="cellIs" dxfId="3651" priority="1313" operator="lessThan">
      <formula>0</formula>
    </cfRule>
  </conditionalFormatting>
  <conditionalFormatting sqref="AN2">
    <cfRule type="cellIs" dxfId="3650" priority="1314" operator="greaterThanOrEqual">
      <formula>0</formula>
    </cfRule>
  </conditionalFormatting>
  <conditionalFormatting sqref="P2:P85 P87:P89 P91:P93 P95:P97 P99:P101 P103:P105 P107:P109 P111:P113 P115:P117 P119:P121 P123:P125 P127:P129 P131:P133 P135:P137 P143:P145 P147:P149 P151:P153 P155:P157 P159:P161 P163:P165 P167:P169 P171:P173 P175:P177 P179:P181 P183:P185 P187:P189 P191:P193 P195:P197 P199:P201 P203:P205 P207:P209 P139:P141">
    <cfRule type="cellIs" dxfId="3649" priority="1311" operator="lessThan">
      <formula>0</formula>
    </cfRule>
  </conditionalFormatting>
  <conditionalFormatting sqref="P2:P85 P87:P89 P91:P93 P95:P97 P99:P101 P103:P105 P107:P109 P111:P113 P115:P117 P119:P121 P123:P125 P127:P129 P131:P133 P135:P137 P143:P145 P147:P149 P151:P153 P155:P157 P159:P161 P163:P165 P167:P169 P171:P173 P175:P177 P179:P181 P183:P185 P187:P189 P191:P193 P195:P197 P199:P201 P203:P205 P207:P209 P139:P141">
    <cfRule type="cellIs" dxfId="3648" priority="1312" operator="greaterThanOrEqual">
      <formula>0</formula>
    </cfRule>
  </conditionalFormatting>
  <conditionalFormatting sqref="AJ6:AJ85 AJ87:AJ89 AJ91:AJ93 AJ95:AJ97 AJ99:AJ101 AJ103:AJ105 AJ107:AJ109 AJ111:AJ113 AJ115:AJ117 AJ119:AJ121 AJ123:AJ125 AJ127:AJ129 AJ131:AJ133 AJ135:AJ137 AJ139:AJ141 AJ143:AJ145 AJ147:AJ149 AJ151:AJ153 AJ155:AJ157 AJ159:AJ161 AJ163:AJ165 AJ167:AJ169 AJ171:AJ173 AJ175:AJ177 AJ179:AJ181 AJ183:AJ185 AJ187:AJ189 AJ191:AJ193 AJ195:AJ197 AJ199:AJ201 AJ203:AJ205 AJ207:AJ209">
    <cfRule type="cellIs" dxfId="3647" priority="1305" operator="lessThan">
      <formula>0</formula>
    </cfRule>
  </conditionalFormatting>
  <conditionalFormatting sqref="AJ6:AJ85 AJ87:AJ89 AJ91:AJ93 AJ95:AJ97 AJ99:AJ101 AJ103:AJ105 AJ107:AJ109 AJ111:AJ113 AJ115:AJ117 AJ119:AJ121 AJ123:AJ125 AJ127:AJ129 AJ131:AJ133 AJ135:AJ137 AJ139:AJ141 AJ143:AJ145 AJ147:AJ149 AJ151:AJ153 AJ155:AJ157 AJ159:AJ161 AJ163:AJ165 AJ167:AJ169 AJ171:AJ173 AJ175:AJ177 AJ179:AJ181 AJ183:AJ185 AJ187:AJ189 AJ191:AJ193 AJ195:AJ197 AJ199:AJ201 AJ203:AJ205 AJ207:AJ209">
    <cfRule type="cellIs" dxfId="3646" priority="1306" operator="greaterThanOrEqual">
      <formula>0</formula>
    </cfRule>
  </conditionalFormatting>
  <conditionalFormatting sqref="AJ3:AJ5">
    <cfRule type="cellIs" dxfId="3645" priority="1303" operator="lessThan">
      <formula>0</formula>
    </cfRule>
  </conditionalFormatting>
  <conditionalFormatting sqref="AJ3:AJ5">
    <cfRule type="cellIs" dxfId="3644" priority="1304" operator="greaterThanOrEqual">
      <formula>0</formula>
    </cfRule>
  </conditionalFormatting>
  <conditionalFormatting sqref="AJ2">
    <cfRule type="cellIs" dxfId="3643" priority="1301" operator="lessThan">
      <formula>0</formula>
    </cfRule>
  </conditionalFormatting>
  <conditionalFormatting sqref="AJ2">
    <cfRule type="cellIs" dxfId="3642" priority="1302" operator="greaterThanOrEqual">
      <formula>0</formula>
    </cfRule>
  </conditionalFormatting>
  <conditionalFormatting sqref="AR6:AR85 AR87:AR89 AR91:AR93 AR95:AR97 AR99:AR101 AR103:AR105 AR107:AR109 AR111:AR113 AR115:AR117 AR119:AR121 AR123:AR125 AR127:AR129 AR131:AR133 AR135:AR137 AR139:AR141 AR143:AR145 AR147:AR149 AR151:AR153 AR155:AR157 AR159:AR161 AR163:AR165 AR167:AR169 AR171:AR173 AR175:AR177 AR179:AR181 AR183:AR185 AR187:AR189 AR191:AR193 AR195:AR197 AR199:AR201 AR203:AR205 AR207:AR209">
    <cfRule type="cellIs" dxfId="3641" priority="1299" operator="lessThan">
      <formula>0</formula>
    </cfRule>
  </conditionalFormatting>
  <conditionalFormatting sqref="AR6:AR85 AR87:AR89 AR91:AR93 AR95:AR97 AR99:AR101 AR103:AR105 AR107:AR109 AR111:AR113 AR115:AR117 AR119:AR121 AR123:AR125 AR127:AR129 AR131:AR133 AR135:AR137 AR139:AR141 AR143:AR145 AR147:AR149 AR151:AR153 AR155:AR157 AR159:AR161 AR163:AR165 AR167:AR169 AR171:AR173 AR175:AR177 AR179:AR181 AR183:AR185 AR187:AR189 AR191:AR193 AR195:AR197 AR199:AR201 AR203:AR205 AR207:AR209">
    <cfRule type="cellIs" dxfId="3640" priority="1300" operator="greaterThanOrEqual">
      <formula>0</formula>
    </cfRule>
  </conditionalFormatting>
  <conditionalFormatting sqref="AR3:AR5">
    <cfRule type="cellIs" dxfId="3639" priority="1297" operator="lessThan">
      <formula>0</formula>
    </cfRule>
  </conditionalFormatting>
  <conditionalFormatting sqref="AR3:AR5">
    <cfRule type="cellIs" dxfId="3638" priority="1298" operator="greaterThanOrEqual">
      <formula>0</formula>
    </cfRule>
  </conditionalFormatting>
  <conditionalFormatting sqref="AR2">
    <cfRule type="cellIs" dxfId="3637" priority="1295" operator="lessThan">
      <formula>0</formula>
    </cfRule>
  </conditionalFormatting>
  <conditionalFormatting sqref="AR2">
    <cfRule type="cellIs" dxfId="3636" priority="1296" operator="greaterThanOrEqual">
      <formula>0</formula>
    </cfRule>
  </conditionalFormatting>
  <conditionalFormatting sqref="AA6:AA85 AA87:AA89 AA91:AA93 AA95:AA97 AA99:AA101 AA103:AA105 AA107:AA109 AA111:AA113 AA115:AA117 AA119:AA121 AA123:AA125 AA127:AA129 AA131:AA133 AA135:AA137 AA143:AA145 AA147:AA149 AA151:AA153 AA155:AA157 AA159:AA161 AA163:AA165 AA167:AA169 AA171:AA173 AA175:AA177 AA179:AA181 AA183:AA185 AA187:AA189 AA191:AA193 AA195:AA197 AA199:AA201 AA203:AA205 AA207:AA209 AA139:AA141">
    <cfRule type="cellIs" dxfId="3635" priority="1293" operator="lessThan">
      <formula>0</formula>
    </cfRule>
  </conditionalFormatting>
  <conditionalFormatting sqref="AA6:AA85 AA87:AA89 AA91:AA93 AA95:AA97 AA99:AA101 AA103:AA105 AA107:AA109 AA111:AA113 AA115:AA117 AA119:AA121 AA123:AA125 AA127:AA129 AA131:AA133 AA135:AA137 AA143:AA145 AA147:AA149 AA151:AA153 AA155:AA157 AA159:AA161 AA163:AA165 AA167:AA169 AA171:AA173 AA175:AA177 AA179:AA181 AA183:AA185 AA187:AA189 AA191:AA193 AA195:AA197 AA199:AA201 AA203:AA205 AA207:AA209 AA139:AA141">
    <cfRule type="cellIs" dxfId="3634" priority="1294" operator="greaterThanOrEqual">
      <formula>0</formula>
    </cfRule>
  </conditionalFormatting>
  <conditionalFormatting sqref="AE6:AE85 AE87:AE89 AE91:AE93 AE95:AE97 AE99:AE101 AE103:AE105 AE107:AE109 AE111:AE113 AE115:AE117 AE119:AE121 AE123:AE125 AE127:AE129 AE131:AE133 AE135:AE137 AE143:AE145 AE147:AE149 AE151:AE153 AE155:AE157 AE159:AE161 AE163:AE165 AE167:AE169 AE171:AE173 AE175:AE177 AE179:AE181 AE183:AE185 AE187:AE189 AE191:AE193 AE195:AE197 AE199:AE201 AE203:AE205 AE207:AE209 AE139:AE141">
    <cfRule type="cellIs" dxfId="3633" priority="1289" operator="lessThan">
      <formula>0</formula>
    </cfRule>
  </conditionalFormatting>
  <conditionalFormatting sqref="AE6:AE85 AE87:AE89 AE91:AE93 AE95:AE97 AE99:AE101 AE103:AE105 AE107:AE109 AE111:AE113 AE115:AE117 AE119:AE121 AE123:AE125 AE127:AE129 AE131:AE133 AE135:AE137 AE143:AE145 AE147:AE149 AE151:AE153 AE155:AE157 AE159:AE161 AE163:AE165 AE167:AE169 AE171:AE173 AE175:AE177 AE179:AE181 AE183:AE185 AE187:AE189 AE191:AE193 AE195:AE197 AE199:AE201 AE203:AE205 AE207:AE209 AE139:AE141">
    <cfRule type="cellIs" dxfId="3632" priority="1290" operator="greaterThanOrEqual">
      <formula>0</formula>
    </cfRule>
  </conditionalFormatting>
  <conditionalFormatting sqref="AI6:AI85 AI87:AI89 AI91:AI93 AI95:AI97 AI99:AI101 AI103:AI105 AI107:AI109 AI111:AI113 AI115:AI117 AI119:AI121 AI123:AI125 AI127:AI129 AI131:AI133 AI135:AI137 AI139:AI141 AI143:AI145 AI147:AI149 AI151:AI153 AI155:AI157 AI159:AI161 AI163:AI165 AI167:AI169 AI171:AI173 AI175:AI177 AI179:AI181 AI183:AI185 AI187:AI189 AI191:AI193 AI195:AI197 AI199:AI201 AI203:AI205 AI207:AI209">
    <cfRule type="cellIs" dxfId="3631" priority="1283" operator="lessThan">
      <formula>0</formula>
    </cfRule>
  </conditionalFormatting>
  <conditionalFormatting sqref="AI6:AI85 AI87:AI89 AI91:AI93 AI95:AI97 AI99:AI101 AI103:AI105 AI107:AI109 AI111:AI113 AI115:AI117 AI119:AI121 AI123:AI125 AI127:AI129 AI131:AI133 AI135:AI137 AI139:AI141 AI143:AI145 AI147:AI149 AI151:AI153 AI155:AI157 AI159:AI161 AI163:AI165 AI167:AI169 AI171:AI173 AI175:AI177 AI179:AI181 AI183:AI185 AI187:AI189 AI191:AI193 AI195:AI197 AI199:AI201 AI203:AI205 AI207:AI209">
    <cfRule type="cellIs" dxfId="3630" priority="1284" operator="greaterThanOrEqual">
      <formula>0</formula>
    </cfRule>
  </conditionalFormatting>
  <conditionalFormatting sqref="AN6:AN85 AN87:AN89 AN91:AN93 AN95:AN97 AN99:AN101 AN103:AN105 AN107:AN109 AN111:AN113 AN115:AN117 AN119:AN121 AN123:AN125 AN127:AN129 AN131:AN133 AN135:AN137 AN139:AN141 AN143:AN145 AN147:AN149 AN151:AN153 AN155:AN157 AN159:AN161 AN163:AN165 AN167:AN169 AN171:AN173 AN175:AN177 AN179:AN181 AN183:AN185 AN187:AN189 AN191:AN193 AN195:AN197 AN199:AN201 AN203:AN205 AN207:AN209">
    <cfRule type="cellIs" dxfId="3629" priority="1273" operator="lessThan">
      <formula>0</formula>
    </cfRule>
  </conditionalFormatting>
  <conditionalFormatting sqref="AN6:AN85 AN87:AN89 AN91:AN93 AN95:AN97 AN99:AN101 AN103:AN105 AN107:AN109 AN111:AN113 AN115:AN117 AN119:AN121 AN123:AN125 AN127:AN129 AN131:AN133 AN135:AN137 AN139:AN141 AN143:AN145 AN147:AN149 AN151:AN153 AN155:AN157 AN159:AN161 AN163:AN165 AN167:AN169 AN171:AN173 AN175:AN177 AN179:AN181 AN183:AN185 AN187:AN189 AN191:AN193 AN195:AN197 AN199:AN201 AN203:AN205 AN207:AN209">
    <cfRule type="cellIs" dxfId="3628" priority="1274" operator="greaterThanOrEqual">
      <formula>0</formula>
    </cfRule>
  </conditionalFormatting>
  <conditionalFormatting sqref="O2:O5">
    <cfRule type="cellIs" dxfId="3627" priority="1271" operator="lessThan">
      <formula>0</formula>
    </cfRule>
  </conditionalFormatting>
  <conditionalFormatting sqref="O2:O5">
    <cfRule type="cellIs" dxfId="3626" priority="1272" operator="greaterThanOrEqual">
      <formula>0</formula>
    </cfRule>
  </conditionalFormatting>
  <conditionalFormatting sqref="S2:S5">
    <cfRule type="cellIs" dxfId="3625" priority="1269" operator="lessThan">
      <formula>0</formula>
    </cfRule>
  </conditionalFormatting>
  <conditionalFormatting sqref="S2:S5">
    <cfRule type="cellIs" dxfId="3624" priority="1270" operator="greaterThanOrEqual">
      <formula>0</formula>
    </cfRule>
  </conditionalFormatting>
  <conditionalFormatting sqref="W2:W5">
    <cfRule type="cellIs" dxfId="3623" priority="1267" operator="lessThan">
      <formula>0</formula>
    </cfRule>
  </conditionalFormatting>
  <conditionalFormatting sqref="W2:W5">
    <cfRule type="cellIs" dxfId="3622" priority="1268" operator="greaterThanOrEqual">
      <formula>0</formula>
    </cfRule>
  </conditionalFormatting>
  <conditionalFormatting sqref="AE2:AE5">
    <cfRule type="cellIs" dxfId="3621" priority="1265" operator="lessThan">
      <formula>0</formula>
    </cfRule>
  </conditionalFormatting>
  <conditionalFormatting sqref="AE2:AE5">
    <cfRule type="cellIs" dxfId="3620" priority="1266" operator="greaterThanOrEqual">
      <formula>0</formula>
    </cfRule>
  </conditionalFormatting>
  <conditionalFormatting sqref="AA2:AA5">
    <cfRule type="cellIs" dxfId="3619" priority="1263" operator="lessThan">
      <formula>0</formula>
    </cfRule>
  </conditionalFormatting>
  <conditionalFormatting sqref="AA2:AA5">
    <cfRule type="cellIs" dxfId="3618" priority="1264" operator="greaterThanOrEqual">
      <formula>0</formula>
    </cfRule>
  </conditionalFormatting>
  <conditionalFormatting sqref="AI2:AI5">
    <cfRule type="cellIs" dxfId="3617" priority="1261" operator="lessThan">
      <formula>0</formula>
    </cfRule>
  </conditionalFormatting>
  <conditionalFormatting sqref="AI2:AI5">
    <cfRule type="cellIs" dxfId="3616" priority="1262" operator="greaterThanOrEqual">
      <formula>0</formula>
    </cfRule>
  </conditionalFormatting>
  <conditionalFormatting sqref="AQ2:AQ5">
    <cfRule type="cellIs" dxfId="3615" priority="1257" operator="lessThan">
      <formula>0</formula>
    </cfRule>
  </conditionalFormatting>
  <conditionalFormatting sqref="AQ2:AQ5">
    <cfRule type="cellIs" dxfId="3614" priority="1258" operator="greaterThanOrEqual">
      <formula>0</formula>
    </cfRule>
  </conditionalFormatting>
  <conditionalFormatting sqref="H6:H85 H87:H89 H91:H93 H95:H97 H99:H101 H103:H105 H107:H109 H111:H113 H115:H117 H119:H121 H123:H125 H127:H129 H131:H133 H135:H137 H139:H141 H143:H145 H147:H149 H151:H153 H155:H157 H159:H161 H163:H165 H167:H169 H171:H173 H175:H177 H179:H181 H183:H185 H187:H189 H191:H193 H195:H197 H199:H201 H203:H205 H207:H209">
    <cfRule type="cellIs" dxfId="3613" priority="1219" operator="lessThan">
      <formula>0</formula>
    </cfRule>
  </conditionalFormatting>
  <conditionalFormatting sqref="G6:G85 G87:G89 G91:G93 G95:G97 G99:G101 G103:G105 G107:G109 G111:G113 G115:G117 G119:G121 G123:G125 G127:G129 G131:G133 G135:G137 G139:G141 G143:G145 G147:G149 G151:G153 G155:G157 G159:G161 G163:G165 G167:G169 G171:G173 G175:G177 G179:G181 G183:G185 G187:G189 G191:G193 G195:G197 G199:G201 G203:G205 G207:G209">
    <cfRule type="cellIs" dxfId="3612" priority="1221" operator="lessThan">
      <formula>0</formula>
    </cfRule>
  </conditionalFormatting>
  <conditionalFormatting sqref="G6:G85 G87:G89 G91:G93 G95:G97 G99:G101 G103:G105 G107:G109 G111:G113 G115:G117 G119:G121 G123:G125 G127:G129 G131:G133 G135:G137 G139:G141 G143:G145 G147:G149 G151:G153 G155:G157 G159:G161 G163:G165 G167:G169 G171:G173 G175:G177 G179:G181 G183:G185 G187:G189 G191:G193 G195:G197 G199:G201 G203:G205 G207:G209">
    <cfRule type="cellIs" dxfId="3611" priority="1222" operator="greaterThanOrEqual">
      <formula>0</formula>
    </cfRule>
  </conditionalFormatting>
  <conditionalFormatting sqref="H6:H85 H87:H89 H91:H93 H95:H97 H99:H101 H103:H105 H107:H109 H111:H113 H115:H117 H119:H121 H123:H125 H127:H129 H131:H133 H135:H137 H139:H141 H143:H145 H147:H149 H151:H153 H155:H157 H159:H161 H163:H165 H167:H169 H171:H173 H175:H177 H179:H181 H183:H185 H187:H189 H191:H193 H195:H197 H199:H201 H203:H205 H207:H209">
    <cfRule type="cellIs" dxfId="3610" priority="1220" operator="greaterThanOrEqual">
      <formula>0</formula>
    </cfRule>
  </conditionalFormatting>
  <conditionalFormatting sqref="S86 W86">
    <cfRule type="cellIs" dxfId="3609" priority="1213" operator="lessThan">
      <formula>0</formula>
    </cfRule>
  </conditionalFormatting>
  <conditionalFormatting sqref="S86 W86">
    <cfRule type="cellIs" dxfId="3608" priority="1214" operator="greaterThanOrEqual">
      <formula>0</formula>
    </cfRule>
  </conditionalFormatting>
  <conditionalFormatting sqref="K86">
    <cfRule type="cellIs" dxfId="3607" priority="1215" operator="lessThanOrEqual">
      <formula>0</formula>
    </cfRule>
  </conditionalFormatting>
  <conditionalFormatting sqref="K86">
    <cfRule type="cellIs" dxfId="3606" priority="1216" operator="greaterThan">
      <formula>0</formula>
    </cfRule>
  </conditionalFormatting>
  <conditionalFormatting sqref="O86">
    <cfRule type="cellIs" dxfId="3605" priority="1217" operator="lessThan">
      <formula>0</formula>
    </cfRule>
  </conditionalFormatting>
  <conditionalFormatting sqref="O86">
    <cfRule type="cellIs" dxfId="3604" priority="1218" operator="greaterThanOrEqual">
      <formula>0</formula>
    </cfRule>
  </conditionalFormatting>
  <conditionalFormatting sqref="AQ86">
    <cfRule type="cellIs" dxfId="3603" priority="1211" operator="lessThan">
      <formula>0</formula>
    </cfRule>
  </conditionalFormatting>
  <conditionalFormatting sqref="AQ86">
    <cfRule type="cellIs" dxfId="3602" priority="1212" operator="greaterThanOrEqual">
      <formula>0</formula>
    </cfRule>
  </conditionalFormatting>
  <conditionalFormatting sqref="L86">
    <cfRule type="cellIs" dxfId="3601" priority="1209" operator="lessThanOrEqual">
      <formula>0</formula>
    </cfRule>
  </conditionalFormatting>
  <conditionalFormatting sqref="L86">
    <cfRule type="cellIs" dxfId="3600" priority="1210" operator="greaterThan">
      <formula>0</formula>
    </cfRule>
  </conditionalFormatting>
  <conditionalFormatting sqref="T86">
    <cfRule type="cellIs" dxfId="3599" priority="1207" operator="lessThan">
      <formula>0</formula>
    </cfRule>
  </conditionalFormatting>
  <conditionalFormatting sqref="T86">
    <cfRule type="cellIs" dxfId="3598" priority="1208" operator="greaterThanOrEqual">
      <formula>0</formula>
    </cfRule>
  </conditionalFormatting>
  <conditionalFormatting sqref="X86">
    <cfRule type="cellIs" dxfId="3597" priority="1205" operator="lessThan">
      <formula>0</formula>
    </cfRule>
  </conditionalFormatting>
  <conditionalFormatting sqref="X86">
    <cfRule type="cellIs" dxfId="3596" priority="1206" operator="greaterThanOrEqual">
      <formula>0</formula>
    </cfRule>
  </conditionalFormatting>
  <conditionalFormatting sqref="AB86">
    <cfRule type="cellIs" dxfId="3595" priority="1203" operator="lessThan">
      <formula>0</formula>
    </cfRule>
  </conditionalFormatting>
  <conditionalFormatting sqref="AB86">
    <cfRule type="cellIs" dxfId="3594" priority="1204" operator="greaterThanOrEqual">
      <formula>0</formula>
    </cfRule>
  </conditionalFormatting>
  <conditionalFormatting sqref="AF86">
    <cfRule type="cellIs" dxfId="3593" priority="1201" operator="lessThan">
      <formula>0</formula>
    </cfRule>
  </conditionalFormatting>
  <conditionalFormatting sqref="AF86">
    <cfRule type="cellIs" dxfId="3592" priority="1202" operator="greaterThanOrEqual">
      <formula>0</formula>
    </cfRule>
  </conditionalFormatting>
  <conditionalFormatting sqref="P86">
    <cfRule type="cellIs" dxfId="3591" priority="1199" operator="lessThan">
      <formula>0</formula>
    </cfRule>
  </conditionalFormatting>
  <conditionalFormatting sqref="P86">
    <cfRule type="cellIs" dxfId="3590" priority="1200" operator="greaterThanOrEqual">
      <formula>0</formula>
    </cfRule>
  </conditionalFormatting>
  <conditionalFormatting sqref="AJ86">
    <cfRule type="cellIs" dxfId="3589" priority="1197" operator="lessThan">
      <formula>0</formula>
    </cfRule>
  </conditionalFormatting>
  <conditionalFormatting sqref="AJ86">
    <cfRule type="cellIs" dxfId="3588" priority="1198" operator="greaterThanOrEqual">
      <formula>0</formula>
    </cfRule>
  </conditionalFormatting>
  <conditionalFormatting sqref="AR86">
    <cfRule type="cellIs" dxfId="3587" priority="1195" operator="lessThan">
      <formula>0</formula>
    </cfRule>
  </conditionalFormatting>
  <conditionalFormatting sqref="AR86">
    <cfRule type="cellIs" dxfId="3586" priority="1196" operator="greaterThanOrEqual">
      <formula>0</formula>
    </cfRule>
  </conditionalFormatting>
  <conditionalFormatting sqref="AA86">
    <cfRule type="cellIs" dxfId="3585" priority="1193" operator="lessThan">
      <formula>0</formula>
    </cfRule>
  </conditionalFormatting>
  <conditionalFormatting sqref="AA86">
    <cfRule type="cellIs" dxfId="3584" priority="1194" operator="greaterThanOrEqual">
      <formula>0</formula>
    </cfRule>
  </conditionalFormatting>
  <conditionalFormatting sqref="AE86">
    <cfRule type="cellIs" dxfId="3583" priority="1191" operator="lessThan">
      <formula>0</formula>
    </cfRule>
  </conditionalFormatting>
  <conditionalFormatting sqref="AE86">
    <cfRule type="cellIs" dxfId="3582" priority="1192" operator="greaterThanOrEqual">
      <formula>0</formula>
    </cfRule>
  </conditionalFormatting>
  <conditionalFormatting sqref="AI86">
    <cfRule type="cellIs" dxfId="3581" priority="1189" operator="lessThan">
      <formula>0</formula>
    </cfRule>
  </conditionalFormatting>
  <conditionalFormatting sqref="AI86">
    <cfRule type="cellIs" dxfId="3580" priority="1190" operator="greaterThanOrEqual">
      <formula>0</formula>
    </cfRule>
  </conditionalFormatting>
  <conditionalFormatting sqref="AN86">
    <cfRule type="cellIs" dxfId="3579" priority="1185" operator="lessThan">
      <formula>0</formula>
    </cfRule>
  </conditionalFormatting>
  <conditionalFormatting sqref="AN86">
    <cfRule type="cellIs" dxfId="3578" priority="1186" operator="greaterThanOrEqual">
      <formula>0</formula>
    </cfRule>
  </conditionalFormatting>
  <conditionalFormatting sqref="H86">
    <cfRule type="cellIs" dxfId="3577" priority="1181" operator="lessThan">
      <formula>0</formula>
    </cfRule>
  </conditionalFormatting>
  <conditionalFormatting sqref="G86">
    <cfRule type="cellIs" dxfId="3576" priority="1183" operator="lessThan">
      <formula>0</formula>
    </cfRule>
  </conditionalFormatting>
  <conditionalFormatting sqref="G86">
    <cfRule type="cellIs" dxfId="3575" priority="1184" operator="greaterThanOrEqual">
      <formula>0</formula>
    </cfRule>
  </conditionalFormatting>
  <conditionalFormatting sqref="H86">
    <cfRule type="cellIs" dxfId="3574" priority="1182" operator="greaterThanOrEqual">
      <formula>0</formula>
    </cfRule>
  </conditionalFormatting>
  <conditionalFormatting sqref="S90 W90">
    <cfRule type="cellIs" dxfId="3573" priority="1175" operator="lessThan">
      <formula>0</formula>
    </cfRule>
  </conditionalFormatting>
  <conditionalFormatting sqref="S90 W90">
    <cfRule type="cellIs" dxfId="3572" priority="1176" operator="greaterThanOrEqual">
      <formula>0</formula>
    </cfRule>
  </conditionalFormatting>
  <conditionalFormatting sqref="K90">
    <cfRule type="cellIs" dxfId="3571" priority="1177" operator="lessThanOrEqual">
      <formula>0</formula>
    </cfRule>
  </conditionalFormatting>
  <conditionalFormatting sqref="K90">
    <cfRule type="cellIs" dxfId="3570" priority="1178" operator="greaterThan">
      <formula>0</formula>
    </cfRule>
  </conditionalFormatting>
  <conditionalFormatting sqref="O90">
    <cfRule type="cellIs" dxfId="3569" priority="1179" operator="lessThan">
      <formula>0</formula>
    </cfRule>
  </conditionalFormatting>
  <conditionalFormatting sqref="O90">
    <cfRule type="cellIs" dxfId="3568" priority="1180" operator="greaterThanOrEqual">
      <formula>0</formula>
    </cfRule>
  </conditionalFormatting>
  <conditionalFormatting sqref="AQ90">
    <cfRule type="cellIs" dxfId="3567" priority="1173" operator="lessThan">
      <formula>0</formula>
    </cfRule>
  </conditionalFormatting>
  <conditionalFormatting sqref="AQ90">
    <cfRule type="cellIs" dxfId="3566" priority="1174" operator="greaterThanOrEqual">
      <formula>0</formula>
    </cfRule>
  </conditionalFormatting>
  <conditionalFormatting sqref="L90">
    <cfRule type="cellIs" dxfId="3565" priority="1171" operator="lessThanOrEqual">
      <formula>0</formula>
    </cfRule>
  </conditionalFormatting>
  <conditionalFormatting sqref="L90">
    <cfRule type="cellIs" dxfId="3564" priority="1172" operator="greaterThan">
      <formula>0</formula>
    </cfRule>
  </conditionalFormatting>
  <conditionalFormatting sqref="T90">
    <cfRule type="cellIs" dxfId="3563" priority="1169" operator="lessThan">
      <formula>0</formula>
    </cfRule>
  </conditionalFormatting>
  <conditionalFormatting sqref="T90">
    <cfRule type="cellIs" dxfId="3562" priority="1170" operator="greaterThanOrEqual">
      <formula>0</formula>
    </cfRule>
  </conditionalFormatting>
  <conditionalFormatting sqref="X90">
    <cfRule type="cellIs" dxfId="3561" priority="1167" operator="lessThan">
      <formula>0</formula>
    </cfRule>
  </conditionalFormatting>
  <conditionalFormatting sqref="X90">
    <cfRule type="cellIs" dxfId="3560" priority="1168" operator="greaterThanOrEqual">
      <formula>0</formula>
    </cfRule>
  </conditionalFormatting>
  <conditionalFormatting sqref="AB90">
    <cfRule type="cellIs" dxfId="3559" priority="1165" operator="lessThan">
      <formula>0</formula>
    </cfRule>
  </conditionalFormatting>
  <conditionalFormatting sqref="AB90">
    <cfRule type="cellIs" dxfId="3558" priority="1166" operator="greaterThanOrEqual">
      <formula>0</formula>
    </cfRule>
  </conditionalFormatting>
  <conditionalFormatting sqref="AF90">
    <cfRule type="cellIs" dxfId="3557" priority="1163" operator="lessThan">
      <formula>0</formula>
    </cfRule>
  </conditionalFormatting>
  <conditionalFormatting sqref="AF90">
    <cfRule type="cellIs" dxfId="3556" priority="1164" operator="greaterThanOrEqual">
      <formula>0</formula>
    </cfRule>
  </conditionalFormatting>
  <conditionalFormatting sqref="P90">
    <cfRule type="cellIs" dxfId="3555" priority="1161" operator="lessThan">
      <formula>0</formula>
    </cfRule>
  </conditionalFormatting>
  <conditionalFormatting sqref="P90">
    <cfRule type="cellIs" dxfId="3554" priority="1162" operator="greaterThanOrEqual">
      <formula>0</formula>
    </cfRule>
  </conditionalFormatting>
  <conditionalFormatting sqref="AJ90">
    <cfRule type="cellIs" dxfId="3553" priority="1159" operator="lessThan">
      <formula>0</formula>
    </cfRule>
  </conditionalFormatting>
  <conditionalFormatting sqref="AJ90">
    <cfRule type="cellIs" dxfId="3552" priority="1160" operator="greaterThanOrEqual">
      <formula>0</formula>
    </cfRule>
  </conditionalFormatting>
  <conditionalFormatting sqref="AR90">
    <cfRule type="cellIs" dxfId="3551" priority="1157" operator="lessThan">
      <formula>0</formula>
    </cfRule>
  </conditionalFormatting>
  <conditionalFormatting sqref="AR90">
    <cfRule type="cellIs" dxfId="3550" priority="1158" operator="greaterThanOrEqual">
      <formula>0</formula>
    </cfRule>
  </conditionalFormatting>
  <conditionalFormatting sqref="AA90">
    <cfRule type="cellIs" dxfId="3549" priority="1155" operator="lessThan">
      <formula>0</formula>
    </cfRule>
  </conditionalFormatting>
  <conditionalFormatting sqref="AA90">
    <cfRule type="cellIs" dxfId="3548" priority="1156" operator="greaterThanOrEqual">
      <formula>0</formula>
    </cfRule>
  </conditionalFormatting>
  <conditionalFormatting sqref="AE90">
    <cfRule type="cellIs" dxfId="3547" priority="1153" operator="lessThan">
      <formula>0</formula>
    </cfRule>
  </conditionalFormatting>
  <conditionalFormatting sqref="AE90">
    <cfRule type="cellIs" dxfId="3546" priority="1154" operator="greaterThanOrEqual">
      <formula>0</formula>
    </cfRule>
  </conditionalFormatting>
  <conditionalFormatting sqref="AI90">
    <cfRule type="cellIs" dxfId="3545" priority="1151" operator="lessThan">
      <formula>0</formula>
    </cfRule>
  </conditionalFormatting>
  <conditionalFormatting sqref="AI90">
    <cfRule type="cellIs" dxfId="3544" priority="1152" operator="greaterThanOrEqual">
      <formula>0</formula>
    </cfRule>
  </conditionalFormatting>
  <conditionalFormatting sqref="AN90">
    <cfRule type="cellIs" dxfId="3543" priority="1147" operator="lessThan">
      <formula>0</formula>
    </cfRule>
  </conditionalFormatting>
  <conditionalFormatting sqref="AN90">
    <cfRule type="cellIs" dxfId="3542" priority="1148" operator="greaterThanOrEqual">
      <formula>0</formula>
    </cfRule>
  </conditionalFormatting>
  <conditionalFormatting sqref="H90">
    <cfRule type="cellIs" dxfId="3541" priority="1143" operator="lessThan">
      <formula>0</formula>
    </cfRule>
  </conditionalFormatting>
  <conditionalFormatting sqref="G90">
    <cfRule type="cellIs" dxfId="3540" priority="1145" operator="lessThan">
      <formula>0</formula>
    </cfRule>
  </conditionalFormatting>
  <conditionalFormatting sqref="G90">
    <cfRule type="cellIs" dxfId="3539" priority="1146" operator="greaterThanOrEqual">
      <formula>0</formula>
    </cfRule>
  </conditionalFormatting>
  <conditionalFormatting sqref="H90">
    <cfRule type="cellIs" dxfId="3538" priority="1144" operator="greaterThanOrEqual">
      <formula>0</formula>
    </cfRule>
  </conditionalFormatting>
  <conditionalFormatting sqref="S94 W94">
    <cfRule type="cellIs" dxfId="3537" priority="1137" operator="lessThan">
      <formula>0</formula>
    </cfRule>
  </conditionalFormatting>
  <conditionalFormatting sqref="S94 W94">
    <cfRule type="cellIs" dxfId="3536" priority="1138" operator="greaterThanOrEqual">
      <formula>0</formula>
    </cfRule>
  </conditionalFormatting>
  <conditionalFormatting sqref="K94">
    <cfRule type="cellIs" dxfId="3535" priority="1139" operator="lessThanOrEqual">
      <formula>0</formula>
    </cfRule>
  </conditionalFormatting>
  <conditionalFormatting sqref="K94">
    <cfRule type="cellIs" dxfId="3534" priority="1140" operator="greaterThan">
      <formula>0</formula>
    </cfRule>
  </conditionalFormatting>
  <conditionalFormatting sqref="O94">
    <cfRule type="cellIs" dxfId="3533" priority="1141" operator="lessThan">
      <formula>0</formula>
    </cfRule>
  </conditionalFormatting>
  <conditionalFormatting sqref="O94">
    <cfRule type="cellIs" dxfId="3532" priority="1142" operator="greaterThanOrEqual">
      <formula>0</formula>
    </cfRule>
  </conditionalFormatting>
  <conditionalFormatting sqref="AQ94">
    <cfRule type="cellIs" dxfId="3531" priority="1135" operator="lessThan">
      <formula>0</formula>
    </cfRule>
  </conditionalFormatting>
  <conditionalFormatting sqref="AQ94">
    <cfRule type="cellIs" dxfId="3530" priority="1136" operator="greaterThanOrEqual">
      <formula>0</formula>
    </cfRule>
  </conditionalFormatting>
  <conditionalFormatting sqref="L94">
    <cfRule type="cellIs" dxfId="3529" priority="1133" operator="lessThanOrEqual">
      <formula>0</formula>
    </cfRule>
  </conditionalFormatting>
  <conditionalFormatting sqref="L94">
    <cfRule type="cellIs" dxfId="3528" priority="1134" operator="greaterThan">
      <formula>0</formula>
    </cfRule>
  </conditionalFormatting>
  <conditionalFormatting sqref="T94">
    <cfRule type="cellIs" dxfId="3527" priority="1131" operator="lessThan">
      <formula>0</formula>
    </cfRule>
  </conditionalFormatting>
  <conditionalFormatting sqref="T94">
    <cfRule type="cellIs" dxfId="3526" priority="1132" operator="greaterThanOrEqual">
      <formula>0</formula>
    </cfRule>
  </conditionalFormatting>
  <conditionalFormatting sqref="X94">
    <cfRule type="cellIs" dxfId="3525" priority="1129" operator="lessThan">
      <formula>0</formula>
    </cfRule>
  </conditionalFormatting>
  <conditionalFormatting sqref="X94">
    <cfRule type="cellIs" dxfId="3524" priority="1130" operator="greaterThanOrEqual">
      <formula>0</formula>
    </cfRule>
  </conditionalFormatting>
  <conditionalFormatting sqref="AB94">
    <cfRule type="cellIs" dxfId="3523" priority="1127" operator="lessThan">
      <formula>0</formula>
    </cfRule>
  </conditionalFormatting>
  <conditionalFormatting sqref="AB94">
    <cfRule type="cellIs" dxfId="3522" priority="1128" operator="greaterThanOrEqual">
      <formula>0</formula>
    </cfRule>
  </conditionalFormatting>
  <conditionalFormatting sqref="AF94">
    <cfRule type="cellIs" dxfId="3521" priority="1125" operator="lessThan">
      <formula>0</formula>
    </cfRule>
  </conditionalFormatting>
  <conditionalFormatting sqref="AF94">
    <cfRule type="cellIs" dxfId="3520" priority="1126" operator="greaterThanOrEqual">
      <formula>0</formula>
    </cfRule>
  </conditionalFormatting>
  <conditionalFormatting sqref="P94">
    <cfRule type="cellIs" dxfId="3519" priority="1123" operator="lessThan">
      <formula>0</formula>
    </cfRule>
  </conditionalFormatting>
  <conditionalFormatting sqref="P94">
    <cfRule type="cellIs" dxfId="3518" priority="1124" operator="greaterThanOrEqual">
      <formula>0</formula>
    </cfRule>
  </conditionalFormatting>
  <conditionalFormatting sqref="AJ94">
    <cfRule type="cellIs" dxfId="3517" priority="1121" operator="lessThan">
      <formula>0</formula>
    </cfRule>
  </conditionalFormatting>
  <conditionalFormatting sqref="AJ94">
    <cfRule type="cellIs" dxfId="3516" priority="1122" operator="greaterThanOrEqual">
      <formula>0</formula>
    </cfRule>
  </conditionalFormatting>
  <conditionalFormatting sqref="AR94">
    <cfRule type="cellIs" dxfId="3515" priority="1119" operator="lessThan">
      <formula>0</formula>
    </cfRule>
  </conditionalFormatting>
  <conditionalFormatting sqref="AR94">
    <cfRule type="cellIs" dxfId="3514" priority="1120" operator="greaterThanOrEqual">
      <formula>0</formula>
    </cfRule>
  </conditionalFormatting>
  <conditionalFormatting sqref="AA94">
    <cfRule type="cellIs" dxfId="3513" priority="1117" operator="lessThan">
      <formula>0</formula>
    </cfRule>
  </conditionalFormatting>
  <conditionalFormatting sqref="AA94">
    <cfRule type="cellIs" dxfId="3512" priority="1118" operator="greaterThanOrEqual">
      <formula>0</formula>
    </cfRule>
  </conditionalFormatting>
  <conditionalFormatting sqref="AE94">
    <cfRule type="cellIs" dxfId="3511" priority="1115" operator="lessThan">
      <formula>0</formula>
    </cfRule>
  </conditionalFormatting>
  <conditionalFormatting sqref="AE94">
    <cfRule type="cellIs" dxfId="3510" priority="1116" operator="greaterThanOrEqual">
      <formula>0</formula>
    </cfRule>
  </conditionalFormatting>
  <conditionalFormatting sqref="AI94">
    <cfRule type="cellIs" dxfId="3509" priority="1113" operator="lessThan">
      <formula>0</formula>
    </cfRule>
  </conditionalFormatting>
  <conditionalFormatting sqref="AI94">
    <cfRule type="cellIs" dxfId="3508" priority="1114" operator="greaterThanOrEqual">
      <formula>0</formula>
    </cfRule>
  </conditionalFormatting>
  <conditionalFormatting sqref="AN94">
    <cfRule type="cellIs" dxfId="3507" priority="1109" operator="lessThan">
      <formula>0</formula>
    </cfRule>
  </conditionalFormatting>
  <conditionalFormatting sqref="AN94">
    <cfRule type="cellIs" dxfId="3506" priority="1110" operator="greaterThanOrEqual">
      <formula>0</formula>
    </cfRule>
  </conditionalFormatting>
  <conditionalFormatting sqref="H94">
    <cfRule type="cellIs" dxfId="3505" priority="1105" operator="lessThan">
      <formula>0</formula>
    </cfRule>
  </conditionalFormatting>
  <conditionalFormatting sqref="G94">
    <cfRule type="cellIs" dxfId="3504" priority="1107" operator="lessThan">
      <formula>0</formula>
    </cfRule>
  </conditionalFormatting>
  <conditionalFormatting sqref="G94">
    <cfRule type="cellIs" dxfId="3503" priority="1108" operator="greaterThanOrEqual">
      <formula>0</formula>
    </cfRule>
  </conditionalFormatting>
  <conditionalFormatting sqref="H94">
    <cfRule type="cellIs" dxfId="3502" priority="1106" operator="greaterThanOrEqual">
      <formula>0</formula>
    </cfRule>
  </conditionalFormatting>
  <conditionalFormatting sqref="S98 W98">
    <cfRule type="cellIs" dxfId="3501" priority="1099" operator="lessThan">
      <formula>0</formula>
    </cfRule>
  </conditionalFormatting>
  <conditionalFormatting sqref="S98 W98">
    <cfRule type="cellIs" dxfId="3500" priority="1100" operator="greaterThanOrEqual">
      <formula>0</formula>
    </cfRule>
  </conditionalFormatting>
  <conditionalFormatting sqref="K98">
    <cfRule type="cellIs" dxfId="3499" priority="1101" operator="lessThanOrEqual">
      <formula>0</formula>
    </cfRule>
  </conditionalFormatting>
  <conditionalFormatting sqref="K98">
    <cfRule type="cellIs" dxfId="3498" priority="1102" operator="greaterThan">
      <formula>0</formula>
    </cfRule>
  </conditionalFormatting>
  <conditionalFormatting sqref="O98">
    <cfRule type="cellIs" dxfId="3497" priority="1103" operator="lessThan">
      <formula>0</formula>
    </cfRule>
  </conditionalFormatting>
  <conditionalFormatting sqref="O98">
    <cfRule type="cellIs" dxfId="3496" priority="1104" operator="greaterThanOrEqual">
      <formula>0</formula>
    </cfRule>
  </conditionalFormatting>
  <conditionalFormatting sqref="AQ98">
    <cfRule type="cellIs" dxfId="3495" priority="1097" operator="lessThan">
      <formula>0</formula>
    </cfRule>
  </conditionalFormatting>
  <conditionalFormatting sqref="AQ98">
    <cfRule type="cellIs" dxfId="3494" priority="1098" operator="greaterThanOrEqual">
      <formula>0</formula>
    </cfRule>
  </conditionalFormatting>
  <conditionalFormatting sqref="L98">
    <cfRule type="cellIs" dxfId="3493" priority="1095" operator="lessThanOrEqual">
      <formula>0</formula>
    </cfRule>
  </conditionalFormatting>
  <conditionalFormatting sqref="L98">
    <cfRule type="cellIs" dxfId="3492" priority="1096" operator="greaterThan">
      <formula>0</formula>
    </cfRule>
  </conditionalFormatting>
  <conditionalFormatting sqref="T98">
    <cfRule type="cellIs" dxfId="3491" priority="1093" operator="lessThan">
      <formula>0</formula>
    </cfRule>
  </conditionalFormatting>
  <conditionalFormatting sqref="T98">
    <cfRule type="cellIs" dxfId="3490" priority="1094" operator="greaterThanOrEqual">
      <formula>0</formula>
    </cfRule>
  </conditionalFormatting>
  <conditionalFormatting sqref="X98">
    <cfRule type="cellIs" dxfId="3489" priority="1091" operator="lessThan">
      <formula>0</formula>
    </cfRule>
  </conditionalFormatting>
  <conditionalFormatting sqref="X98">
    <cfRule type="cellIs" dxfId="3488" priority="1092" operator="greaterThanOrEqual">
      <formula>0</formula>
    </cfRule>
  </conditionalFormatting>
  <conditionalFormatting sqref="AB98">
    <cfRule type="cellIs" dxfId="3487" priority="1089" operator="lessThan">
      <formula>0</formula>
    </cfRule>
  </conditionalFormatting>
  <conditionalFormatting sqref="AB98">
    <cfRule type="cellIs" dxfId="3486" priority="1090" operator="greaterThanOrEqual">
      <formula>0</formula>
    </cfRule>
  </conditionalFormatting>
  <conditionalFormatting sqref="AF98">
    <cfRule type="cellIs" dxfId="3485" priority="1087" operator="lessThan">
      <formula>0</formula>
    </cfRule>
  </conditionalFormatting>
  <conditionalFormatting sqref="AF98">
    <cfRule type="cellIs" dxfId="3484" priority="1088" operator="greaterThanOrEqual">
      <formula>0</formula>
    </cfRule>
  </conditionalFormatting>
  <conditionalFormatting sqref="P98">
    <cfRule type="cellIs" dxfId="3483" priority="1085" operator="lessThan">
      <formula>0</formula>
    </cfRule>
  </conditionalFormatting>
  <conditionalFormatting sqref="P98">
    <cfRule type="cellIs" dxfId="3482" priority="1086" operator="greaterThanOrEqual">
      <formula>0</formula>
    </cfRule>
  </conditionalFormatting>
  <conditionalFormatting sqref="AJ98">
    <cfRule type="cellIs" dxfId="3481" priority="1083" operator="lessThan">
      <formula>0</formula>
    </cfRule>
  </conditionalFormatting>
  <conditionalFormatting sqref="AJ98">
    <cfRule type="cellIs" dxfId="3480" priority="1084" operator="greaterThanOrEqual">
      <formula>0</formula>
    </cfRule>
  </conditionalFormatting>
  <conditionalFormatting sqref="AR98">
    <cfRule type="cellIs" dxfId="3479" priority="1081" operator="lessThan">
      <formula>0</formula>
    </cfRule>
  </conditionalFormatting>
  <conditionalFormatting sqref="AR98">
    <cfRule type="cellIs" dxfId="3478" priority="1082" operator="greaterThanOrEqual">
      <formula>0</formula>
    </cfRule>
  </conditionalFormatting>
  <conditionalFormatting sqref="AA98">
    <cfRule type="cellIs" dxfId="3477" priority="1079" operator="lessThan">
      <formula>0</formula>
    </cfRule>
  </conditionalFormatting>
  <conditionalFormatting sqref="AA98">
    <cfRule type="cellIs" dxfId="3476" priority="1080" operator="greaterThanOrEqual">
      <formula>0</formula>
    </cfRule>
  </conditionalFormatting>
  <conditionalFormatting sqref="AE98">
    <cfRule type="cellIs" dxfId="3475" priority="1077" operator="lessThan">
      <formula>0</formula>
    </cfRule>
  </conditionalFormatting>
  <conditionalFormatting sqref="AE98">
    <cfRule type="cellIs" dxfId="3474" priority="1078" operator="greaterThanOrEqual">
      <formula>0</formula>
    </cfRule>
  </conditionalFormatting>
  <conditionalFormatting sqref="AI98">
    <cfRule type="cellIs" dxfId="3473" priority="1075" operator="lessThan">
      <formula>0</formula>
    </cfRule>
  </conditionalFormatting>
  <conditionalFormatting sqref="AI98">
    <cfRule type="cellIs" dxfId="3472" priority="1076" operator="greaterThanOrEqual">
      <formula>0</formula>
    </cfRule>
  </conditionalFormatting>
  <conditionalFormatting sqref="AN98">
    <cfRule type="cellIs" dxfId="3471" priority="1071" operator="lessThan">
      <formula>0</formula>
    </cfRule>
  </conditionalFormatting>
  <conditionalFormatting sqref="AN98">
    <cfRule type="cellIs" dxfId="3470" priority="1072" operator="greaterThanOrEqual">
      <formula>0</formula>
    </cfRule>
  </conditionalFormatting>
  <conditionalFormatting sqref="H98">
    <cfRule type="cellIs" dxfId="3469" priority="1067" operator="lessThan">
      <formula>0</formula>
    </cfRule>
  </conditionalFormatting>
  <conditionalFormatting sqref="G98">
    <cfRule type="cellIs" dxfId="3468" priority="1069" operator="lessThan">
      <formula>0</formula>
    </cfRule>
  </conditionalFormatting>
  <conditionalFormatting sqref="G98">
    <cfRule type="cellIs" dxfId="3467" priority="1070" operator="greaterThanOrEqual">
      <formula>0</formula>
    </cfRule>
  </conditionalFormatting>
  <conditionalFormatting sqref="H98">
    <cfRule type="cellIs" dxfId="3466" priority="1068" operator="greaterThanOrEqual">
      <formula>0</formula>
    </cfRule>
  </conditionalFormatting>
  <conditionalFormatting sqref="S102 W102">
    <cfRule type="cellIs" dxfId="3465" priority="1061" operator="lessThan">
      <formula>0</formula>
    </cfRule>
  </conditionalFormatting>
  <conditionalFormatting sqref="S102 W102">
    <cfRule type="cellIs" dxfId="3464" priority="1062" operator="greaterThanOrEqual">
      <formula>0</formula>
    </cfRule>
  </conditionalFormatting>
  <conditionalFormatting sqref="K102">
    <cfRule type="cellIs" dxfId="3463" priority="1063" operator="lessThanOrEqual">
      <formula>0</formula>
    </cfRule>
  </conditionalFormatting>
  <conditionalFormatting sqref="K102">
    <cfRule type="cellIs" dxfId="3462" priority="1064" operator="greaterThan">
      <formula>0</formula>
    </cfRule>
  </conditionalFormatting>
  <conditionalFormatting sqref="O102">
    <cfRule type="cellIs" dxfId="3461" priority="1065" operator="lessThan">
      <formula>0</formula>
    </cfRule>
  </conditionalFormatting>
  <conditionalFormatting sqref="O102">
    <cfRule type="cellIs" dxfId="3460" priority="1066" operator="greaterThanOrEqual">
      <formula>0</formula>
    </cfRule>
  </conditionalFormatting>
  <conditionalFormatting sqref="AQ102">
    <cfRule type="cellIs" dxfId="3459" priority="1059" operator="lessThan">
      <formula>0</formula>
    </cfRule>
  </conditionalFormatting>
  <conditionalFormatting sqref="AQ102">
    <cfRule type="cellIs" dxfId="3458" priority="1060" operator="greaterThanOrEqual">
      <formula>0</formula>
    </cfRule>
  </conditionalFormatting>
  <conditionalFormatting sqref="L102">
    <cfRule type="cellIs" dxfId="3457" priority="1057" operator="lessThanOrEqual">
      <formula>0</formula>
    </cfRule>
  </conditionalFormatting>
  <conditionalFormatting sqref="L102">
    <cfRule type="cellIs" dxfId="3456" priority="1058" operator="greaterThan">
      <formula>0</formula>
    </cfRule>
  </conditionalFormatting>
  <conditionalFormatting sqref="T102">
    <cfRule type="cellIs" dxfId="3455" priority="1055" operator="lessThan">
      <formula>0</formula>
    </cfRule>
  </conditionalFormatting>
  <conditionalFormatting sqref="T102">
    <cfRule type="cellIs" dxfId="3454" priority="1056" operator="greaterThanOrEqual">
      <formula>0</formula>
    </cfRule>
  </conditionalFormatting>
  <conditionalFormatting sqref="X102">
    <cfRule type="cellIs" dxfId="3453" priority="1053" operator="lessThan">
      <formula>0</formula>
    </cfRule>
  </conditionalFormatting>
  <conditionalFormatting sqref="X102">
    <cfRule type="cellIs" dxfId="3452" priority="1054" operator="greaterThanOrEqual">
      <formula>0</formula>
    </cfRule>
  </conditionalFormatting>
  <conditionalFormatting sqref="AB102">
    <cfRule type="cellIs" dxfId="3451" priority="1051" operator="lessThan">
      <formula>0</formula>
    </cfRule>
  </conditionalFormatting>
  <conditionalFormatting sqref="AB102">
    <cfRule type="cellIs" dxfId="3450" priority="1052" operator="greaterThanOrEqual">
      <formula>0</formula>
    </cfRule>
  </conditionalFormatting>
  <conditionalFormatting sqref="AF102">
    <cfRule type="cellIs" dxfId="3449" priority="1049" operator="lessThan">
      <formula>0</formula>
    </cfRule>
  </conditionalFormatting>
  <conditionalFormatting sqref="AF102">
    <cfRule type="cellIs" dxfId="3448" priority="1050" operator="greaterThanOrEqual">
      <formula>0</formula>
    </cfRule>
  </conditionalFormatting>
  <conditionalFormatting sqref="P102">
    <cfRule type="cellIs" dxfId="3447" priority="1047" operator="lessThan">
      <formula>0</formula>
    </cfRule>
  </conditionalFormatting>
  <conditionalFormatting sqref="P102">
    <cfRule type="cellIs" dxfId="3446" priority="1048" operator="greaterThanOrEqual">
      <formula>0</formula>
    </cfRule>
  </conditionalFormatting>
  <conditionalFormatting sqref="AJ102">
    <cfRule type="cellIs" dxfId="3445" priority="1045" operator="lessThan">
      <formula>0</formula>
    </cfRule>
  </conditionalFormatting>
  <conditionalFormatting sqref="AJ102">
    <cfRule type="cellIs" dxfId="3444" priority="1046" operator="greaterThanOrEqual">
      <formula>0</formula>
    </cfRule>
  </conditionalFormatting>
  <conditionalFormatting sqref="AR102">
    <cfRule type="cellIs" dxfId="3443" priority="1043" operator="lessThan">
      <formula>0</formula>
    </cfRule>
  </conditionalFormatting>
  <conditionalFormatting sqref="AR102">
    <cfRule type="cellIs" dxfId="3442" priority="1044" operator="greaterThanOrEqual">
      <formula>0</formula>
    </cfRule>
  </conditionalFormatting>
  <conditionalFormatting sqref="AA102">
    <cfRule type="cellIs" dxfId="3441" priority="1041" operator="lessThan">
      <formula>0</formula>
    </cfRule>
  </conditionalFormatting>
  <conditionalFormatting sqref="AA102">
    <cfRule type="cellIs" dxfId="3440" priority="1042" operator="greaterThanOrEqual">
      <formula>0</formula>
    </cfRule>
  </conditionalFormatting>
  <conditionalFormatting sqref="AE102">
    <cfRule type="cellIs" dxfId="3439" priority="1039" operator="lessThan">
      <formula>0</formula>
    </cfRule>
  </conditionalFormatting>
  <conditionalFormatting sqref="AE102">
    <cfRule type="cellIs" dxfId="3438" priority="1040" operator="greaterThanOrEqual">
      <formula>0</formula>
    </cfRule>
  </conditionalFormatting>
  <conditionalFormatting sqref="AI102">
    <cfRule type="cellIs" dxfId="3437" priority="1037" operator="lessThan">
      <formula>0</formula>
    </cfRule>
  </conditionalFormatting>
  <conditionalFormatting sqref="AI102">
    <cfRule type="cellIs" dxfId="3436" priority="1038" operator="greaterThanOrEqual">
      <formula>0</formula>
    </cfRule>
  </conditionalFormatting>
  <conditionalFormatting sqref="AN102">
    <cfRule type="cellIs" dxfId="3435" priority="1033" operator="lessThan">
      <formula>0</formula>
    </cfRule>
  </conditionalFormatting>
  <conditionalFormatting sqref="AN102">
    <cfRule type="cellIs" dxfId="3434" priority="1034" operator="greaterThanOrEqual">
      <formula>0</formula>
    </cfRule>
  </conditionalFormatting>
  <conditionalFormatting sqref="H102">
    <cfRule type="cellIs" dxfId="3433" priority="1029" operator="lessThan">
      <formula>0</formula>
    </cfRule>
  </conditionalFormatting>
  <conditionalFormatting sqref="G102">
    <cfRule type="cellIs" dxfId="3432" priority="1031" operator="lessThan">
      <formula>0</formula>
    </cfRule>
  </conditionalFormatting>
  <conditionalFormatting sqref="G102">
    <cfRule type="cellIs" dxfId="3431" priority="1032" operator="greaterThanOrEqual">
      <formula>0</formula>
    </cfRule>
  </conditionalFormatting>
  <conditionalFormatting sqref="H102">
    <cfRule type="cellIs" dxfId="3430" priority="1030" operator="greaterThanOrEqual">
      <formula>0</formula>
    </cfRule>
  </conditionalFormatting>
  <conditionalFormatting sqref="S106 W106">
    <cfRule type="cellIs" dxfId="3429" priority="1023" operator="lessThan">
      <formula>0</formula>
    </cfRule>
  </conditionalFormatting>
  <conditionalFormatting sqref="S106 W106">
    <cfRule type="cellIs" dxfId="3428" priority="1024" operator="greaterThanOrEqual">
      <formula>0</formula>
    </cfRule>
  </conditionalFormatting>
  <conditionalFormatting sqref="K106">
    <cfRule type="cellIs" dxfId="3427" priority="1025" operator="lessThanOrEqual">
      <formula>0</formula>
    </cfRule>
  </conditionalFormatting>
  <conditionalFormatting sqref="K106">
    <cfRule type="cellIs" dxfId="3426" priority="1026" operator="greaterThan">
      <formula>0</formula>
    </cfRule>
  </conditionalFormatting>
  <conditionalFormatting sqref="O106">
    <cfRule type="cellIs" dxfId="3425" priority="1027" operator="lessThan">
      <formula>0</formula>
    </cfRule>
  </conditionalFormatting>
  <conditionalFormatting sqref="O106">
    <cfRule type="cellIs" dxfId="3424" priority="1028" operator="greaterThanOrEqual">
      <formula>0</formula>
    </cfRule>
  </conditionalFormatting>
  <conditionalFormatting sqref="AQ106">
    <cfRule type="cellIs" dxfId="3423" priority="1021" operator="lessThan">
      <formula>0</formula>
    </cfRule>
  </conditionalFormatting>
  <conditionalFormatting sqref="AQ106">
    <cfRule type="cellIs" dxfId="3422" priority="1022" operator="greaterThanOrEqual">
      <formula>0</formula>
    </cfRule>
  </conditionalFormatting>
  <conditionalFormatting sqref="L106">
    <cfRule type="cellIs" dxfId="3421" priority="1019" operator="lessThanOrEqual">
      <formula>0</formula>
    </cfRule>
  </conditionalFormatting>
  <conditionalFormatting sqref="L106">
    <cfRule type="cellIs" dxfId="3420" priority="1020" operator="greaterThan">
      <formula>0</formula>
    </cfRule>
  </conditionalFormatting>
  <conditionalFormatting sqref="T106">
    <cfRule type="cellIs" dxfId="3419" priority="1017" operator="lessThan">
      <formula>0</formula>
    </cfRule>
  </conditionalFormatting>
  <conditionalFormatting sqref="T106">
    <cfRule type="cellIs" dxfId="3418" priority="1018" operator="greaterThanOrEqual">
      <formula>0</formula>
    </cfRule>
  </conditionalFormatting>
  <conditionalFormatting sqref="X106">
    <cfRule type="cellIs" dxfId="3417" priority="1015" operator="lessThan">
      <formula>0</formula>
    </cfRule>
  </conditionalFormatting>
  <conditionalFormatting sqref="X106">
    <cfRule type="cellIs" dxfId="3416" priority="1016" operator="greaterThanOrEqual">
      <formula>0</formula>
    </cfRule>
  </conditionalFormatting>
  <conditionalFormatting sqref="AB106">
    <cfRule type="cellIs" dxfId="3415" priority="1013" operator="lessThan">
      <formula>0</formula>
    </cfRule>
  </conditionalFormatting>
  <conditionalFormatting sqref="AB106">
    <cfRule type="cellIs" dxfId="3414" priority="1014" operator="greaterThanOrEqual">
      <formula>0</formula>
    </cfRule>
  </conditionalFormatting>
  <conditionalFormatting sqref="AF106">
    <cfRule type="cellIs" dxfId="3413" priority="1011" operator="lessThan">
      <formula>0</formula>
    </cfRule>
  </conditionalFormatting>
  <conditionalFormatting sqref="AF106">
    <cfRule type="cellIs" dxfId="3412" priority="1012" operator="greaterThanOrEqual">
      <formula>0</formula>
    </cfRule>
  </conditionalFormatting>
  <conditionalFormatting sqref="P106">
    <cfRule type="cellIs" dxfId="3411" priority="1009" operator="lessThan">
      <formula>0</formula>
    </cfRule>
  </conditionalFormatting>
  <conditionalFormatting sqref="P106">
    <cfRule type="cellIs" dxfId="3410" priority="1010" operator="greaterThanOrEqual">
      <formula>0</formula>
    </cfRule>
  </conditionalFormatting>
  <conditionalFormatting sqref="AJ106">
    <cfRule type="cellIs" dxfId="3409" priority="1007" operator="lessThan">
      <formula>0</formula>
    </cfRule>
  </conditionalFormatting>
  <conditionalFormatting sqref="AJ106">
    <cfRule type="cellIs" dxfId="3408" priority="1008" operator="greaterThanOrEqual">
      <formula>0</formula>
    </cfRule>
  </conditionalFormatting>
  <conditionalFormatting sqref="AR106">
    <cfRule type="cellIs" dxfId="3407" priority="1005" operator="lessThan">
      <formula>0</formula>
    </cfRule>
  </conditionalFormatting>
  <conditionalFormatting sqref="AR106">
    <cfRule type="cellIs" dxfId="3406" priority="1006" operator="greaterThanOrEqual">
      <formula>0</formula>
    </cfRule>
  </conditionalFormatting>
  <conditionalFormatting sqref="AA106">
    <cfRule type="cellIs" dxfId="3405" priority="1003" operator="lessThan">
      <formula>0</formula>
    </cfRule>
  </conditionalFormatting>
  <conditionalFormatting sqref="AA106">
    <cfRule type="cellIs" dxfId="3404" priority="1004" operator="greaterThanOrEqual">
      <formula>0</formula>
    </cfRule>
  </conditionalFormatting>
  <conditionalFormatting sqref="AE106">
    <cfRule type="cellIs" dxfId="3403" priority="1001" operator="lessThan">
      <formula>0</formula>
    </cfRule>
  </conditionalFormatting>
  <conditionalFormatting sqref="AE106">
    <cfRule type="cellIs" dxfId="3402" priority="1002" operator="greaterThanOrEqual">
      <formula>0</formula>
    </cfRule>
  </conditionalFormatting>
  <conditionalFormatting sqref="AI106">
    <cfRule type="cellIs" dxfId="3401" priority="999" operator="lessThan">
      <formula>0</formula>
    </cfRule>
  </conditionalFormatting>
  <conditionalFormatting sqref="AI106">
    <cfRule type="cellIs" dxfId="3400" priority="1000" operator="greaterThanOrEqual">
      <formula>0</formula>
    </cfRule>
  </conditionalFormatting>
  <conditionalFormatting sqref="AN106">
    <cfRule type="cellIs" dxfId="3399" priority="995" operator="lessThan">
      <formula>0</formula>
    </cfRule>
  </conditionalFormatting>
  <conditionalFormatting sqref="AN106">
    <cfRule type="cellIs" dxfId="3398" priority="996" operator="greaterThanOrEqual">
      <formula>0</formula>
    </cfRule>
  </conditionalFormatting>
  <conditionalFormatting sqref="H106">
    <cfRule type="cellIs" dxfId="3397" priority="991" operator="lessThan">
      <formula>0</formula>
    </cfRule>
  </conditionalFormatting>
  <conditionalFormatting sqref="G106">
    <cfRule type="cellIs" dxfId="3396" priority="993" operator="lessThan">
      <formula>0</formula>
    </cfRule>
  </conditionalFormatting>
  <conditionalFormatting sqref="G106">
    <cfRule type="cellIs" dxfId="3395" priority="994" operator="greaterThanOrEqual">
      <formula>0</formula>
    </cfRule>
  </conditionalFormatting>
  <conditionalFormatting sqref="H106">
    <cfRule type="cellIs" dxfId="3394" priority="992" operator="greaterThanOrEqual">
      <formula>0</formula>
    </cfRule>
  </conditionalFormatting>
  <conditionalFormatting sqref="S110 W110">
    <cfRule type="cellIs" dxfId="3393" priority="985" operator="lessThan">
      <formula>0</formula>
    </cfRule>
  </conditionalFormatting>
  <conditionalFormatting sqref="S110 W110">
    <cfRule type="cellIs" dxfId="3392" priority="986" operator="greaterThanOrEqual">
      <formula>0</formula>
    </cfRule>
  </conditionalFormatting>
  <conditionalFormatting sqref="K110">
    <cfRule type="cellIs" dxfId="3391" priority="987" operator="lessThanOrEqual">
      <formula>0</formula>
    </cfRule>
  </conditionalFormatting>
  <conditionalFormatting sqref="K110">
    <cfRule type="cellIs" dxfId="3390" priority="988" operator="greaterThan">
      <formula>0</formula>
    </cfRule>
  </conditionalFormatting>
  <conditionalFormatting sqref="O110">
    <cfRule type="cellIs" dxfId="3389" priority="989" operator="lessThan">
      <formula>0</formula>
    </cfRule>
  </conditionalFormatting>
  <conditionalFormatting sqref="O110">
    <cfRule type="cellIs" dxfId="3388" priority="990" operator="greaterThanOrEqual">
      <formula>0</formula>
    </cfRule>
  </conditionalFormatting>
  <conditionalFormatting sqref="AQ110">
    <cfRule type="cellIs" dxfId="3387" priority="983" operator="lessThan">
      <formula>0</formula>
    </cfRule>
  </conditionalFormatting>
  <conditionalFormatting sqref="AQ110">
    <cfRule type="cellIs" dxfId="3386" priority="984" operator="greaterThanOrEqual">
      <formula>0</formula>
    </cfRule>
  </conditionalFormatting>
  <conditionalFormatting sqref="L110">
    <cfRule type="cellIs" dxfId="3385" priority="981" operator="lessThanOrEqual">
      <formula>0</formula>
    </cfRule>
  </conditionalFormatting>
  <conditionalFormatting sqref="L110">
    <cfRule type="cellIs" dxfId="3384" priority="982" operator="greaterThan">
      <formula>0</formula>
    </cfRule>
  </conditionalFormatting>
  <conditionalFormatting sqref="T110">
    <cfRule type="cellIs" dxfId="3383" priority="979" operator="lessThan">
      <formula>0</formula>
    </cfRule>
  </conditionalFormatting>
  <conditionalFormatting sqref="T110">
    <cfRule type="cellIs" dxfId="3382" priority="980" operator="greaterThanOrEqual">
      <formula>0</formula>
    </cfRule>
  </conditionalFormatting>
  <conditionalFormatting sqref="X110">
    <cfRule type="cellIs" dxfId="3381" priority="977" operator="lessThan">
      <formula>0</formula>
    </cfRule>
  </conditionalFormatting>
  <conditionalFormatting sqref="X110">
    <cfRule type="cellIs" dxfId="3380" priority="978" operator="greaterThanOrEqual">
      <formula>0</formula>
    </cfRule>
  </conditionalFormatting>
  <conditionalFormatting sqref="AB110">
    <cfRule type="cellIs" dxfId="3379" priority="975" operator="lessThan">
      <formula>0</formula>
    </cfRule>
  </conditionalFormatting>
  <conditionalFormatting sqref="AB110">
    <cfRule type="cellIs" dxfId="3378" priority="976" operator="greaterThanOrEqual">
      <formula>0</formula>
    </cfRule>
  </conditionalFormatting>
  <conditionalFormatting sqref="AF110">
    <cfRule type="cellIs" dxfId="3377" priority="973" operator="lessThan">
      <formula>0</formula>
    </cfRule>
  </conditionalFormatting>
  <conditionalFormatting sqref="AF110">
    <cfRule type="cellIs" dxfId="3376" priority="974" operator="greaterThanOrEqual">
      <formula>0</formula>
    </cfRule>
  </conditionalFormatting>
  <conditionalFormatting sqref="P110">
    <cfRule type="cellIs" dxfId="3375" priority="971" operator="lessThan">
      <formula>0</formula>
    </cfRule>
  </conditionalFormatting>
  <conditionalFormatting sqref="P110">
    <cfRule type="cellIs" dxfId="3374" priority="972" operator="greaterThanOrEqual">
      <formula>0</formula>
    </cfRule>
  </conditionalFormatting>
  <conditionalFormatting sqref="AJ110">
    <cfRule type="cellIs" dxfId="3373" priority="969" operator="lessThan">
      <formula>0</formula>
    </cfRule>
  </conditionalFormatting>
  <conditionalFormatting sqref="AJ110">
    <cfRule type="cellIs" dxfId="3372" priority="970" operator="greaterThanOrEqual">
      <formula>0</formula>
    </cfRule>
  </conditionalFormatting>
  <conditionalFormatting sqref="AR110">
    <cfRule type="cellIs" dxfId="3371" priority="967" operator="lessThan">
      <formula>0</formula>
    </cfRule>
  </conditionalFormatting>
  <conditionalFormatting sqref="AR110">
    <cfRule type="cellIs" dxfId="3370" priority="968" operator="greaterThanOrEqual">
      <formula>0</formula>
    </cfRule>
  </conditionalFormatting>
  <conditionalFormatting sqref="AA110">
    <cfRule type="cellIs" dxfId="3369" priority="965" operator="lessThan">
      <formula>0</formula>
    </cfRule>
  </conditionalFormatting>
  <conditionalFormatting sqref="AA110">
    <cfRule type="cellIs" dxfId="3368" priority="966" operator="greaterThanOrEqual">
      <formula>0</formula>
    </cfRule>
  </conditionalFormatting>
  <conditionalFormatting sqref="AE110">
    <cfRule type="cellIs" dxfId="3367" priority="963" operator="lessThan">
      <formula>0</formula>
    </cfRule>
  </conditionalFormatting>
  <conditionalFormatting sqref="AE110">
    <cfRule type="cellIs" dxfId="3366" priority="964" operator="greaterThanOrEqual">
      <formula>0</formula>
    </cfRule>
  </conditionalFormatting>
  <conditionalFormatting sqref="AI110">
    <cfRule type="cellIs" dxfId="3365" priority="961" operator="lessThan">
      <formula>0</formula>
    </cfRule>
  </conditionalFormatting>
  <conditionalFormatting sqref="AI110">
    <cfRule type="cellIs" dxfId="3364" priority="962" operator="greaterThanOrEqual">
      <formula>0</formula>
    </cfRule>
  </conditionalFormatting>
  <conditionalFormatting sqref="AN110">
    <cfRule type="cellIs" dxfId="3363" priority="957" operator="lessThan">
      <formula>0</formula>
    </cfRule>
  </conditionalFormatting>
  <conditionalFormatting sqref="AN110">
    <cfRule type="cellIs" dxfId="3362" priority="958" operator="greaterThanOrEqual">
      <formula>0</formula>
    </cfRule>
  </conditionalFormatting>
  <conditionalFormatting sqref="H110">
    <cfRule type="cellIs" dxfId="3361" priority="953" operator="lessThan">
      <formula>0</formula>
    </cfRule>
  </conditionalFormatting>
  <conditionalFormatting sqref="G110">
    <cfRule type="cellIs" dxfId="3360" priority="955" operator="lessThan">
      <formula>0</formula>
    </cfRule>
  </conditionalFormatting>
  <conditionalFormatting sqref="G110">
    <cfRule type="cellIs" dxfId="3359" priority="956" operator="greaterThanOrEqual">
      <formula>0</formula>
    </cfRule>
  </conditionalFormatting>
  <conditionalFormatting sqref="H110">
    <cfRule type="cellIs" dxfId="3358" priority="954" operator="greaterThanOrEqual">
      <formula>0</formula>
    </cfRule>
  </conditionalFormatting>
  <conditionalFormatting sqref="S114 W114">
    <cfRule type="cellIs" dxfId="3357" priority="947" operator="lessThan">
      <formula>0</formula>
    </cfRule>
  </conditionalFormatting>
  <conditionalFormatting sqref="S114 W114">
    <cfRule type="cellIs" dxfId="3356" priority="948" operator="greaterThanOrEqual">
      <formula>0</formula>
    </cfRule>
  </conditionalFormatting>
  <conditionalFormatting sqref="K114">
    <cfRule type="cellIs" dxfId="3355" priority="949" operator="lessThanOrEqual">
      <formula>0</formula>
    </cfRule>
  </conditionalFormatting>
  <conditionalFormatting sqref="K114">
    <cfRule type="cellIs" dxfId="3354" priority="950" operator="greaterThan">
      <formula>0</formula>
    </cfRule>
  </conditionalFormatting>
  <conditionalFormatting sqref="O114">
    <cfRule type="cellIs" dxfId="3353" priority="951" operator="lessThan">
      <formula>0</formula>
    </cfRule>
  </conditionalFormatting>
  <conditionalFormatting sqref="O114">
    <cfRule type="cellIs" dxfId="3352" priority="952" operator="greaterThanOrEqual">
      <formula>0</formula>
    </cfRule>
  </conditionalFormatting>
  <conditionalFormatting sqref="AQ114">
    <cfRule type="cellIs" dxfId="3351" priority="945" operator="lessThan">
      <formula>0</formula>
    </cfRule>
  </conditionalFormatting>
  <conditionalFormatting sqref="AQ114">
    <cfRule type="cellIs" dxfId="3350" priority="946" operator="greaterThanOrEqual">
      <formula>0</formula>
    </cfRule>
  </conditionalFormatting>
  <conditionalFormatting sqref="L114">
    <cfRule type="cellIs" dxfId="3349" priority="943" operator="lessThanOrEqual">
      <formula>0</formula>
    </cfRule>
  </conditionalFormatting>
  <conditionalFormatting sqref="L114">
    <cfRule type="cellIs" dxfId="3348" priority="944" operator="greaterThan">
      <formula>0</formula>
    </cfRule>
  </conditionalFormatting>
  <conditionalFormatting sqref="T114">
    <cfRule type="cellIs" dxfId="3347" priority="941" operator="lessThan">
      <formula>0</formula>
    </cfRule>
  </conditionalFormatting>
  <conditionalFormatting sqref="T114">
    <cfRule type="cellIs" dxfId="3346" priority="942" operator="greaterThanOrEqual">
      <formula>0</formula>
    </cfRule>
  </conditionalFormatting>
  <conditionalFormatting sqref="X114">
    <cfRule type="cellIs" dxfId="3345" priority="939" operator="lessThan">
      <formula>0</formula>
    </cfRule>
  </conditionalFormatting>
  <conditionalFormatting sqref="X114">
    <cfRule type="cellIs" dxfId="3344" priority="940" operator="greaterThanOrEqual">
      <formula>0</formula>
    </cfRule>
  </conditionalFormatting>
  <conditionalFormatting sqref="AB114">
    <cfRule type="cellIs" dxfId="3343" priority="937" operator="lessThan">
      <formula>0</formula>
    </cfRule>
  </conditionalFormatting>
  <conditionalFormatting sqref="AB114">
    <cfRule type="cellIs" dxfId="3342" priority="938" operator="greaterThanOrEqual">
      <formula>0</formula>
    </cfRule>
  </conditionalFormatting>
  <conditionalFormatting sqref="AF114">
    <cfRule type="cellIs" dxfId="3341" priority="935" operator="lessThan">
      <formula>0</formula>
    </cfRule>
  </conditionalFormatting>
  <conditionalFormatting sqref="AF114">
    <cfRule type="cellIs" dxfId="3340" priority="936" operator="greaterThanOrEqual">
      <formula>0</formula>
    </cfRule>
  </conditionalFormatting>
  <conditionalFormatting sqref="P114">
    <cfRule type="cellIs" dxfId="3339" priority="933" operator="lessThan">
      <formula>0</formula>
    </cfRule>
  </conditionalFormatting>
  <conditionalFormatting sqref="P114">
    <cfRule type="cellIs" dxfId="3338" priority="934" operator="greaterThanOrEqual">
      <formula>0</formula>
    </cfRule>
  </conditionalFormatting>
  <conditionalFormatting sqref="AJ114">
    <cfRule type="cellIs" dxfId="3337" priority="931" operator="lessThan">
      <formula>0</formula>
    </cfRule>
  </conditionalFormatting>
  <conditionalFormatting sqref="AJ114">
    <cfRule type="cellIs" dxfId="3336" priority="932" operator="greaterThanOrEqual">
      <formula>0</formula>
    </cfRule>
  </conditionalFormatting>
  <conditionalFormatting sqref="AR114">
    <cfRule type="cellIs" dxfId="3335" priority="929" operator="lessThan">
      <formula>0</formula>
    </cfRule>
  </conditionalFormatting>
  <conditionalFormatting sqref="AR114">
    <cfRule type="cellIs" dxfId="3334" priority="930" operator="greaterThanOrEqual">
      <formula>0</formula>
    </cfRule>
  </conditionalFormatting>
  <conditionalFormatting sqref="AA114">
    <cfRule type="cellIs" dxfId="3333" priority="927" operator="lessThan">
      <formula>0</formula>
    </cfRule>
  </conditionalFormatting>
  <conditionalFormatting sqref="AA114">
    <cfRule type="cellIs" dxfId="3332" priority="928" operator="greaterThanOrEqual">
      <formula>0</formula>
    </cfRule>
  </conditionalFormatting>
  <conditionalFormatting sqref="AE114">
    <cfRule type="cellIs" dxfId="3331" priority="925" operator="lessThan">
      <formula>0</formula>
    </cfRule>
  </conditionalFormatting>
  <conditionalFormatting sqref="AE114">
    <cfRule type="cellIs" dxfId="3330" priority="926" operator="greaterThanOrEqual">
      <formula>0</formula>
    </cfRule>
  </conditionalFormatting>
  <conditionalFormatting sqref="AI114">
    <cfRule type="cellIs" dxfId="3329" priority="923" operator="lessThan">
      <formula>0</formula>
    </cfRule>
  </conditionalFormatting>
  <conditionalFormatting sqref="AI114">
    <cfRule type="cellIs" dxfId="3328" priority="924" operator="greaterThanOrEqual">
      <formula>0</formula>
    </cfRule>
  </conditionalFormatting>
  <conditionalFormatting sqref="AN114">
    <cfRule type="cellIs" dxfId="3327" priority="919" operator="lessThan">
      <formula>0</formula>
    </cfRule>
  </conditionalFormatting>
  <conditionalFormatting sqref="AN114">
    <cfRule type="cellIs" dxfId="3326" priority="920" operator="greaterThanOrEqual">
      <formula>0</formula>
    </cfRule>
  </conditionalFormatting>
  <conditionalFormatting sqref="H114">
    <cfRule type="cellIs" dxfId="3325" priority="915" operator="lessThan">
      <formula>0</formula>
    </cfRule>
  </conditionalFormatting>
  <conditionalFormatting sqref="G114">
    <cfRule type="cellIs" dxfId="3324" priority="917" operator="lessThan">
      <formula>0</formula>
    </cfRule>
  </conditionalFormatting>
  <conditionalFormatting sqref="G114">
    <cfRule type="cellIs" dxfId="3323" priority="918" operator="greaterThanOrEqual">
      <formula>0</formula>
    </cfRule>
  </conditionalFormatting>
  <conditionalFormatting sqref="H114">
    <cfRule type="cellIs" dxfId="3322" priority="916" operator="greaterThanOrEqual">
      <formula>0</formula>
    </cfRule>
  </conditionalFormatting>
  <conditionalFormatting sqref="S118 W118">
    <cfRule type="cellIs" dxfId="3321" priority="909" operator="lessThan">
      <formula>0</formula>
    </cfRule>
  </conditionalFormatting>
  <conditionalFormatting sqref="S118 W118">
    <cfRule type="cellIs" dxfId="3320" priority="910" operator="greaterThanOrEqual">
      <formula>0</formula>
    </cfRule>
  </conditionalFormatting>
  <conditionalFormatting sqref="K118">
    <cfRule type="cellIs" dxfId="3319" priority="911" operator="lessThanOrEqual">
      <formula>0</formula>
    </cfRule>
  </conditionalFormatting>
  <conditionalFormatting sqref="K118">
    <cfRule type="cellIs" dxfId="3318" priority="912" operator="greaterThan">
      <formula>0</formula>
    </cfRule>
  </conditionalFormatting>
  <conditionalFormatting sqref="O118">
    <cfRule type="cellIs" dxfId="3317" priority="913" operator="lessThan">
      <formula>0</formula>
    </cfRule>
  </conditionalFormatting>
  <conditionalFormatting sqref="O118">
    <cfRule type="cellIs" dxfId="3316" priority="914" operator="greaterThanOrEqual">
      <formula>0</formula>
    </cfRule>
  </conditionalFormatting>
  <conditionalFormatting sqref="AQ118">
    <cfRule type="cellIs" dxfId="3315" priority="907" operator="lessThan">
      <formula>0</formula>
    </cfRule>
  </conditionalFormatting>
  <conditionalFormatting sqref="AQ118">
    <cfRule type="cellIs" dxfId="3314" priority="908" operator="greaterThanOrEqual">
      <formula>0</formula>
    </cfRule>
  </conditionalFormatting>
  <conditionalFormatting sqref="L118">
    <cfRule type="cellIs" dxfId="3313" priority="905" operator="lessThanOrEqual">
      <formula>0</formula>
    </cfRule>
  </conditionalFormatting>
  <conditionalFormatting sqref="L118">
    <cfRule type="cellIs" dxfId="3312" priority="906" operator="greaterThan">
      <formula>0</formula>
    </cfRule>
  </conditionalFormatting>
  <conditionalFormatting sqref="T118">
    <cfRule type="cellIs" dxfId="3311" priority="903" operator="lessThan">
      <formula>0</formula>
    </cfRule>
  </conditionalFormatting>
  <conditionalFormatting sqref="T118">
    <cfRule type="cellIs" dxfId="3310" priority="904" operator="greaterThanOrEqual">
      <formula>0</formula>
    </cfRule>
  </conditionalFormatting>
  <conditionalFormatting sqref="X118">
    <cfRule type="cellIs" dxfId="3309" priority="901" operator="lessThan">
      <formula>0</formula>
    </cfRule>
  </conditionalFormatting>
  <conditionalFormatting sqref="X118">
    <cfRule type="cellIs" dxfId="3308" priority="902" operator="greaterThanOrEqual">
      <formula>0</formula>
    </cfRule>
  </conditionalFormatting>
  <conditionalFormatting sqref="AB118">
    <cfRule type="cellIs" dxfId="3307" priority="899" operator="lessThan">
      <formula>0</formula>
    </cfRule>
  </conditionalFormatting>
  <conditionalFormatting sqref="AB118">
    <cfRule type="cellIs" dxfId="3306" priority="900" operator="greaterThanOrEqual">
      <formula>0</formula>
    </cfRule>
  </conditionalFormatting>
  <conditionalFormatting sqref="AF118">
    <cfRule type="cellIs" dxfId="3305" priority="897" operator="lessThan">
      <formula>0</formula>
    </cfRule>
  </conditionalFormatting>
  <conditionalFormatting sqref="AF118">
    <cfRule type="cellIs" dxfId="3304" priority="898" operator="greaterThanOrEqual">
      <formula>0</formula>
    </cfRule>
  </conditionalFormatting>
  <conditionalFormatting sqref="P118">
    <cfRule type="cellIs" dxfId="3303" priority="895" operator="lessThan">
      <formula>0</formula>
    </cfRule>
  </conditionalFormatting>
  <conditionalFormatting sqref="P118">
    <cfRule type="cellIs" dxfId="3302" priority="896" operator="greaterThanOrEqual">
      <formula>0</formula>
    </cfRule>
  </conditionalFormatting>
  <conditionalFormatting sqref="AJ118">
    <cfRule type="cellIs" dxfId="3301" priority="893" operator="lessThan">
      <formula>0</formula>
    </cfRule>
  </conditionalFormatting>
  <conditionalFormatting sqref="AJ118">
    <cfRule type="cellIs" dxfId="3300" priority="894" operator="greaterThanOrEqual">
      <formula>0</formula>
    </cfRule>
  </conditionalFormatting>
  <conditionalFormatting sqref="AR118">
    <cfRule type="cellIs" dxfId="3299" priority="891" operator="lessThan">
      <formula>0</formula>
    </cfRule>
  </conditionalFormatting>
  <conditionalFormatting sqref="AR118">
    <cfRule type="cellIs" dxfId="3298" priority="892" operator="greaterThanOrEqual">
      <formula>0</formula>
    </cfRule>
  </conditionalFormatting>
  <conditionalFormatting sqref="AA118">
    <cfRule type="cellIs" dxfId="3297" priority="889" operator="lessThan">
      <formula>0</formula>
    </cfRule>
  </conditionalFormatting>
  <conditionalFormatting sqref="AA118">
    <cfRule type="cellIs" dxfId="3296" priority="890" operator="greaterThanOrEqual">
      <formula>0</formula>
    </cfRule>
  </conditionalFormatting>
  <conditionalFormatting sqref="AE118">
    <cfRule type="cellIs" dxfId="3295" priority="887" operator="lessThan">
      <formula>0</formula>
    </cfRule>
  </conditionalFormatting>
  <conditionalFormatting sqref="AE118">
    <cfRule type="cellIs" dxfId="3294" priority="888" operator="greaterThanOrEqual">
      <formula>0</formula>
    </cfRule>
  </conditionalFormatting>
  <conditionalFormatting sqref="AI118">
    <cfRule type="cellIs" dxfId="3293" priority="885" operator="lessThan">
      <formula>0</formula>
    </cfRule>
  </conditionalFormatting>
  <conditionalFormatting sqref="AI118">
    <cfRule type="cellIs" dxfId="3292" priority="886" operator="greaterThanOrEqual">
      <formula>0</formula>
    </cfRule>
  </conditionalFormatting>
  <conditionalFormatting sqref="AN118">
    <cfRule type="cellIs" dxfId="3291" priority="881" operator="lessThan">
      <formula>0</formula>
    </cfRule>
  </conditionalFormatting>
  <conditionalFormatting sqref="AN118">
    <cfRule type="cellIs" dxfId="3290" priority="882" operator="greaterThanOrEqual">
      <formula>0</formula>
    </cfRule>
  </conditionalFormatting>
  <conditionalFormatting sqref="H118">
    <cfRule type="cellIs" dxfId="3289" priority="877" operator="lessThan">
      <formula>0</formula>
    </cfRule>
  </conditionalFormatting>
  <conditionalFormatting sqref="G118">
    <cfRule type="cellIs" dxfId="3288" priority="879" operator="lessThan">
      <formula>0</formula>
    </cfRule>
  </conditionalFormatting>
  <conditionalFormatting sqref="G118">
    <cfRule type="cellIs" dxfId="3287" priority="880" operator="greaterThanOrEqual">
      <formula>0</formula>
    </cfRule>
  </conditionalFormatting>
  <conditionalFormatting sqref="H118">
    <cfRule type="cellIs" dxfId="3286" priority="878" operator="greaterThanOrEqual">
      <formula>0</formula>
    </cfRule>
  </conditionalFormatting>
  <conditionalFormatting sqref="S122 W122">
    <cfRule type="cellIs" dxfId="3285" priority="871" operator="lessThan">
      <formula>0</formula>
    </cfRule>
  </conditionalFormatting>
  <conditionalFormatting sqref="S122 W122">
    <cfRule type="cellIs" dxfId="3284" priority="872" operator="greaterThanOrEqual">
      <formula>0</formula>
    </cfRule>
  </conditionalFormatting>
  <conditionalFormatting sqref="K122">
    <cfRule type="cellIs" dxfId="3283" priority="873" operator="lessThanOrEqual">
      <formula>0</formula>
    </cfRule>
  </conditionalFormatting>
  <conditionalFormatting sqref="K122">
    <cfRule type="cellIs" dxfId="3282" priority="874" operator="greaterThan">
      <formula>0</formula>
    </cfRule>
  </conditionalFormatting>
  <conditionalFormatting sqref="O122">
    <cfRule type="cellIs" dxfId="3281" priority="875" operator="lessThan">
      <formula>0</formula>
    </cfRule>
  </conditionalFormatting>
  <conditionalFormatting sqref="O122">
    <cfRule type="cellIs" dxfId="3280" priority="876" operator="greaterThanOrEqual">
      <formula>0</formula>
    </cfRule>
  </conditionalFormatting>
  <conditionalFormatting sqref="AQ122">
    <cfRule type="cellIs" dxfId="3279" priority="869" operator="lessThan">
      <formula>0</formula>
    </cfRule>
  </conditionalFormatting>
  <conditionalFormatting sqref="AQ122">
    <cfRule type="cellIs" dxfId="3278" priority="870" operator="greaterThanOrEqual">
      <formula>0</formula>
    </cfRule>
  </conditionalFormatting>
  <conditionalFormatting sqref="L122">
    <cfRule type="cellIs" dxfId="3277" priority="867" operator="lessThanOrEqual">
      <formula>0</formula>
    </cfRule>
  </conditionalFormatting>
  <conditionalFormatting sqref="L122">
    <cfRule type="cellIs" dxfId="3276" priority="868" operator="greaterThan">
      <formula>0</formula>
    </cfRule>
  </conditionalFormatting>
  <conditionalFormatting sqref="T122">
    <cfRule type="cellIs" dxfId="3275" priority="865" operator="lessThan">
      <formula>0</formula>
    </cfRule>
  </conditionalFormatting>
  <conditionalFormatting sqref="T122">
    <cfRule type="cellIs" dxfId="3274" priority="866" operator="greaterThanOrEqual">
      <formula>0</formula>
    </cfRule>
  </conditionalFormatting>
  <conditionalFormatting sqref="X122">
    <cfRule type="cellIs" dxfId="3273" priority="863" operator="lessThan">
      <formula>0</formula>
    </cfRule>
  </conditionalFormatting>
  <conditionalFormatting sqref="X122">
    <cfRule type="cellIs" dxfId="3272" priority="864" operator="greaterThanOrEqual">
      <formula>0</formula>
    </cfRule>
  </conditionalFormatting>
  <conditionalFormatting sqref="AB122">
    <cfRule type="cellIs" dxfId="3271" priority="861" operator="lessThan">
      <formula>0</formula>
    </cfRule>
  </conditionalFormatting>
  <conditionalFormatting sqref="AB122">
    <cfRule type="cellIs" dxfId="3270" priority="862" operator="greaterThanOrEqual">
      <formula>0</formula>
    </cfRule>
  </conditionalFormatting>
  <conditionalFormatting sqref="AF122">
    <cfRule type="cellIs" dxfId="3269" priority="859" operator="lessThan">
      <formula>0</formula>
    </cfRule>
  </conditionalFormatting>
  <conditionalFormatting sqref="AF122">
    <cfRule type="cellIs" dxfId="3268" priority="860" operator="greaterThanOrEqual">
      <formula>0</formula>
    </cfRule>
  </conditionalFormatting>
  <conditionalFormatting sqref="P122">
    <cfRule type="cellIs" dxfId="3267" priority="857" operator="lessThan">
      <formula>0</formula>
    </cfRule>
  </conditionalFormatting>
  <conditionalFormatting sqref="P122">
    <cfRule type="cellIs" dxfId="3266" priority="858" operator="greaterThanOrEqual">
      <formula>0</formula>
    </cfRule>
  </conditionalFormatting>
  <conditionalFormatting sqref="AJ122">
    <cfRule type="cellIs" dxfId="3265" priority="855" operator="lessThan">
      <formula>0</formula>
    </cfRule>
  </conditionalFormatting>
  <conditionalFormatting sqref="AJ122">
    <cfRule type="cellIs" dxfId="3264" priority="856" operator="greaterThanOrEqual">
      <formula>0</formula>
    </cfRule>
  </conditionalFormatting>
  <conditionalFormatting sqref="AR122">
    <cfRule type="cellIs" dxfId="3263" priority="853" operator="lessThan">
      <formula>0</formula>
    </cfRule>
  </conditionalFormatting>
  <conditionalFormatting sqref="AR122">
    <cfRule type="cellIs" dxfId="3262" priority="854" operator="greaterThanOrEqual">
      <formula>0</formula>
    </cfRule>
  </conditionalFormatting>
  <conditionalFormatting sqref="AA122">
    <cfRule type="cellIs" dxfId="3261" priority="851" operator="lessThan">
      <formula>0</formula>
    </cfRule>
  </conditionalFormatting>
  <conditionalFormatting sqref="AA122">
    <cfRule type="cellIs" dxfId="3260" priority="852" operator="greaterThanOrEqual">
      <formula>0</formula>
    </cfRule>
  </conditionalFormatting>
  <conditionalFormatting sqref="AE122">
    <cfRule type="cellIs" dxfId="3259" priority="849" operator="lessThan">
      <formula>0</formula>
    </cfRule>
  </conditionalFormatting>
  <conditionalFormatting sqref="AE122">
    <cfRule type="cellIs" dxfId="3258" priority="850" operator="greaterThanOrEqual">
      <formula>0</formula>
    </cfRule>
  </conditionalFormatting>
  <conditionalFormatting sqref="AI122">
    <cfRule type="cellIs" dxfId="3257" priority="847" operator="lessThan">
      <formula>0</formula>
    </cfRule>
  </conditionalFormatting>
  <conditionalFormatting sqref="AI122">
    <cfRule type="cellIs" dxfId="3256" priority="848" operator="greaterThanOrEqual">
      <formula>0</formula>
    </cfRule>
  </conditionalFormatting>
  <conditionalFormatting sqref="AN122">
    <cfRule type="cellIs" dxfId="3255" priority="843" operator="lessThan">
      <formula>0</formula>
    </cfRule>
  </conditionalFormatting>
  <conditionalFormatting sqref="AN122">
    <cfRule type="cellIs" dxfId="3254" priority="844" operator="greaterThanOrEqual">
      <formula>0</formula>
    </cfRule>
  </conditionalFormatting>
  <conditionalFormatting sqref="H122">
    <cfRule type="cellIs" dxfId="3253" priority="839" operator="lessThan">
      <formula>0</formula>
    </cfRule>
  </conditionalFormatting>
  <conditionalFormatting sqref="G122">
    <cfRule type="cellIs" dxfId="3252" priority="841" operator="lessThan">
      <formula>0</formula>
    </cfRule>
  </conditionalFormatting>
  <conditionalFormatting sqref="G122">
    <cfRule type="cellIs" dxfId="3251" priority="842" operator="greaterThanOrEqual">
      <formula>0</formula>
    </cfRule>
  </conditionalFormatting>
  <conditionalFormatting sqref="H122">
    <cfRule type="cellIs" dxfId="3250" priority="840" operator="greaterThanOrEqual">
      <formula>0</formula>
    </cfRule>
  </conditionalFormatting>
  <conditionalFormatting sqref="S126 W126">
    <cfRule type="cellIs" dxfId="3249" priority="833" operator="lessThan">
      <formula>0</formula>
    </cfRule>
  </conditionalFormatting>
  <conditionalFormatting sqref="S126 W126">
    <cfRule type="cellIs" dxfId="3248" priority="834" operator="greaterThanOrEqual">
      <formula>0</formula>
    </cfRule>
  </conditionalFormatting>
  <conditionalFormatting sqref="K126">
    <cfRule type="cellIs" dxfId="3247" priority="835" operator="lessThanOrEqual">
      <formula>0</formula>
    </cfRule>
  </conditionalFormatting>
  <conditionalFormatting sqref="K126">
    <cfRule type="cellIs" dxfId="3246" priority="836" operator="greaterThan">
      <formula>0</formula>
    </cfRule>
  </conditionalFormatting>
  <conditionalFormatting sqref="O126">
    <cfRule type="cellIs" dxfId="3245" priority="837" operator="lessThan">
      <formula>0</formula>
    </cfRule>
  </conditionalFormatting>
  <conditionalFormatting sqref="O126">
    <cfRule type="cellIs" dxfId="3244" priority="838" operator="greaterThanOrEqual">
      <formula>0</formula>
    </cfRule>
  </conditionalFormatting>
  <conditionalFormatting sqref="AQ126">
    <cfRule type="cellIs" dxfId="3243" priority="831" operator="lessThan">
      <formula>0</formula>
    </cfRule>
  </conditionalFormatting>
  <conditionalFormatting sqref="AQ126">
    <cfRule type="cellIs" dxfId="3242" priority="832" operator="greaterThanOrEqual">
      <formula>0</formula>
    </cfRule>
  </conditionalFormatting>
  <conditionalFormatting sqref="L126">
    <cfRule type="cellIs" dxfId="3241" priority="829" operator="lessThanOrEqual">
      <formula>0</formula>
    </cfRule>
  </conditionalFormatting>
  <conditionalFormatting sqref="L126">
    <cfRule type="cellIs" dxfId="3240" priority="830" operator="greaterThan">
      <formula>0</formula>
    </cfRule>
  </conditionalFormatting>
  <conditionalFormatting sqref="T126">
    <cfRule type="cellIs" dxfId="3239" priority="827" operator="lessThan">
      <formula>0</formula>
    </cfRule>
  </conditionalFormatting>
  <conditionalFormatting sqref="T126">
    <cfRule type="cellIs" dxfId="3238" priority="828" operator="greaterThanOrEqual">
      <formula>0</formula>
    </cfRule>
  </conditionalFormatting>
  <conditionalFormatting sqref="X126">
    <cfRule type="cellIs" dxfId="3237" priority="825" operator="lessThan">
      <formula>0</formula>
    </cfRule>
  </conditionalFormatting>
  <conditionalFormatting sqref="X126">
    <cfRule type="cellIs" dxfId="3236" priority="826" operator="greaterThanOrEqual">
      <formula>0</formula>
    </cfRule>
  </conditionalFormatting>
  <conditionalFormatting sqref="AB126">
    <cfRule type="cellIs" dxfId="3235" priority="823" operator="lessThan">
      <formula>0</formula>
    </cfRule>
  </conditionalFormatting>
  <conditionalFormatting sqref="AB126">
    <cfRule type="cellIs" dxfId="3234" priority="824" operator="greaterThanOrEqual">
      <formula>0</formula>
    </cfRule>
  </conditionalFormatting>
  <conditionalFormatting sqref="AF126">
    <cfRule type="cellIs" dxfId="3233" priority="821" operator="lessThan">
      <formula>0</formula>
    </cfRule>
  </conditionalFormatting>
  <conditionalFormatting sqref="AF126">
    <cfRule type="cellIs" dxfId="3232" priority="822" operator="greaterThanOrEqual">
      <formula>0</formula>
    </cfRule>
  </conditionalFormatting>
  <conditionalFormatting sqref="P126">
    <cfRule type="cellIs" dxfId="3231" priority="819" operator="lessThan">
      <formula>0</formula>
    </cfRule>
  </conditionalFormatting>
  <conditionalFormatting sqref="P126">
    <cfRule type="cellIs" dxfId="3230" priority="820" operator="greaterThanOrEqual">
      <formula>0</formula>
    </cfRule>
  </conditionalFormatting>
  <conditionalFormatting sqref="AJ126">
    <cfRule type="cellIs" dxfId="3229" priority="817" operator="lessThan">
      <formula>0</formula>
    </cfRule>
  </conditionalFormatting>
  <conditionalFormatting sqref="AJ126">
    <cfRule type="cellIs" dxfId="3228" priority="818" operator="greaterThanOrEqual">
      <formula>0</formula>
    </cfRule>
  </conditionalFormatting>
  <conditionalFormatting sqref="AR126">
    <cfRule type="cellIs" dxfId="3227" priority="815" operator="lessThan">
      <formula>0</formula>
    </cfRule>
  </conditionalFormatting>
  <conditionalFormatting sqref="AR126">
    <cfRule type="cellIs" dxfId="3226" priority="816" operator="greaterThanOrEqual">
      <formula>0</formula>
    </cfRule>
  </conditionalFormatting>
  <conditionalFormatting sqref="AA126">
    <cfRule type="cellIs" dxfId="3225" priority="813" operator="lessThan">
      <formula>0</formula>
    </cfRule>
  </conditionalFormatting>
  <conditionalFormatting sqref="AA126">
    <cfRule type="cellIs" dxfId="3224" priority="814" operator="greaterThanOrEqual">
      <formula>0</formula>
    </cfRule>
  </conditionalFormatting>
  <conditionalFormatting sqref="AE126">
    <cfRule type="cellIs" dxfId="3223" priority="811" operator="lessThan">
      <formula>0</formula>
    </cfRule>
  </conditionalFormatting>
  <conditionalFormatting sqref="AE126">
    <cfRule type="cellIs" dxfId="3222" priority="812" operator="greaterThanOrEqual">
      <formula>0</formula>
    </cfRule>
  </conditionalFormatting>
  <conditionalFormatting sqref="AI126">
    <cfRule type="cellIs" dxfId="3221" priority="809" operator="lessThan">
      <formula>0</formula>
    </cfRule>
  </conditionalFormatting>
  <conditionalFormatting sqref="AI126">
    <cfRule type="cellIs" dxfId="3220" priority="810" operator="greaterThanOrEqual">
      <formula>0</formula>
    </cfRule>
  </conditionalFormatting>
  <conditionalFormatting sqref="AN126">
    <cfRule type="cellIs" dxfId="3219" priority="805" operator="lessThan">
      <formula>0</formula>
    </cfRule>
  </conditionalFormatting>
  <conditionalFormatting sqref="AN126">
    <cfRule type="cellIs" dxfId="3218" priority="806" operator="greaterThanOrEqual">
      <formula>0</formula>
    </cfRule>
  </conditionalFormatting>
  <conditionalFormatting sqref="H126">
    <cfRule type="cellIs" dxfId="3217" priority="801" operator="lessThan">
      <formula>0</formula>
    </cfRule>
  </conditionalFormatting>
  <conditionalFormatting sqref="G126">
    <cfRule type="cellIs" dxfId="3216" priority="803" operator="lessThan">
      <formula>0</formula>
    </cfRule>
  </conditionalFormatting>
  <conditionalFormatting sqref="G126">
    <cfRule type="cellIs" dxfId="3215" priority="804" operator="greaterThanOrEqual">
      <formula>0</formula>
    </cfRule>
  </conditionalFormatting>
  <conditionalFormatting sqref="H126">
    <cfRule type="cellIs" dxfId="3214" priority="802" operator="greaterThanOrEqual">
      <formula>0</formula>
    </cfRule>
  </conditionalFormatting>
  <conditionalFormatting sqref="S130 W130">
    <cfRule type="cellIs" dxfId="3213" priority="795" operator="lessThan">
      <formula>0</formula>
    </cfRule>
  </conditionalFormatting>
  <conditionalFormatting sqref="S130 W130">
    <cfRule type="cellIs" dxfId="3212" priority="796" operator="greaterThanOrEqual">
      <formula>0</formula>
    </cfRule>
  </conditionalFormatting>
  <conditionalFormatting sqref="K130">
    <cfRule type="cellIs" dxfId="3211" priority="797" operator="lessThanOrEqual">
      <formula>0</formula>
    </cfRule>
  </conditionalFormatting>
  <conditionalFormatting sqref="K130">
    <cfRule type="cellIs" dxfId="3210" priority="798" operator="greaterThan">
      <formula>0</formula>
    </cfRule>
  </conditionalFormatting>
  <conditionalFormatting sqref="O130">
    <cfRule type="cellIs" dxfId="3209" priority="799" operator="lessThan">
      <formula>0</formula>
    </cfRule>
  </conditionalFormatting>
  <conditionalFormatting sqref="O130">
    <cfRule type="cellIs" dxfId="3208" priority="800" operator="greaterThanOrEqual">
      <formula>0</formula>
    </cfRule>
  </conditionalFormatting>
  <conditionalFormatting sqref="AQ130">
    <cfRule type="cellIs" dxfId="3207" priority="793" operator="lessThan">
      <formula>0</formula>
    </cfRule>
  </conditionalFormatting>
  <conditionalFormatting sqref="AQ130">
    <cfRule type="cellIs" dxfId="3206" priority="794" operator="greaterThanOrEqual">
      <formula>0</formula>
    </cfRule>
  </conditionalFormatting>
  <conditionalFormatting sqref="L130">
    <cfRule type="cellIs" dxfId="3205" priority="791" operator="lessThanOrEqual">
      <formula>0</formula>
    </cfRule>
  </conditionalFormatting>
  <conditionalFormatting sqref="L130">
    <cfRule type="cellIs" dxfId="3204" priority="792" operator="greaterThan">
      <formula>0</formula>
    </cfRule>
  </conditionalFormatting>
  <conditionalFormatting sqref="T130">
    <cfRule type="cellIs" dxfId="3203" priority="789" operator="lessThan">
      <formula>0</formula>
    </cfRule>
  </conditionalFormatting>
  <conditionalFormatting sqref="T130">
    <cfRule type="cellIs" dxfId="3202" priority="790" operator="greaterThanOrEqual">
      <formula>0</formula>
    </cfRule>
  </conditionalFormatting>
  <conditionalFormatting sqref="X130">
    <cfRule type="cellIs" dxfId="3201" priority="787" operator="lessThan">
      <formula>0</formula>
    </cfRule>
  </conditionalFormatting>
  <conditionalFormatting sqref="X130">
    <cfRule type="cellIs" dxfId="3200" priority="788" operator="greaterThanOrEqual">
      <formula>0</formula>
    </cfRule>
  </conditionalFormatting>
  <conditionalFormatting sqref="AB130">
    <cfRule type="cellIs" dxfId="3199" priority="785" operator="lessThan">
      <formula>0</formula>
    </cfRule>
  </conditionalFormatting>
  <conditionalFormatting sqref="AB130">
    <cfRule type="cellIs" dxfId="3198" priority="786" operator="greaterThanOrEqual">
      <formula>0</formula>
    </cfRule>
  </conditionalFormatting>
  <conditionalFormatting sqref="AF130">
    <cfRule type="cellIs" dxfId="3197" priority="783" operator="lessThan">
      <formula>0</formula>
    </cfRule>
  </conditionalFormatting>
  <conditionalFormatting sqref="AF130">
    <cfRule type="cellIs" dxfId="3196" priority="784" operator="greaterThanOrEqual">
      <formula>0</formula>
    </cfRule>
  </conditionalFormatting>
  <conditionalFormatting sqref="P130">
    <cfRule type="cellIs" dxfId="3195" priority="781" operator="lessThan">
      <formula>0</formula>
    </cfRule>
  </conditionalFormatting>
  <conditionalFormatting sqref="P130">
    <cfRule type="cellIs" dxfId="3194" priority="782" operator="greaterThanOrEqual">
      <formula>0</formula>
    </cfRule>
  </conditionalFormatting>
  <conditionalFormatting sqref="AJ130">
    <cfRule type="cellIs" dxfId="3193" priority="779" operator="lessThan">
      <formula>0</formula>
    </cfRule>
  </conditionalFormatting>
  <conditionalFormatting sqref="AJ130">
    <cfRule type="cellIs" dxfId="3192" priority="780" operator="greaterThanOrEqual">
      <formula>0</formula>
    </cfRule>
  </conditionalFormatting>
  <conditionalFormatting sqref="AR130">
    <cfRule type="cellIs" dxfId="3191" priority="777" operator="lessThan">
      <formula>0</formula>
    </cfRule>
  </conditionalFormatting>
  <conditionalFormatting sqref="AR130">
    <cfRule type="cellIs" dxfId="3190" priority="778" operator="greaterThanOrEqual">
      <formula>0</formula>
    </cfRule>
  </conditionalFormatting>
  <conditionalFormatting sqref="AA130">
    <cfRule type="cellIs" dxfId="3189" priority="775" operator="lessThan">
      <formula>0</formula>
    </cfRule>
  </conditionalFormatting>
  <conditionalFormatting sqref="AA130">
    <cfRule type="cellIs" dxfId="3188" priority="776" operator="greaterThanOrEqual">
      <formula>0</formula>
    </cfRule>
  </conditionalFormatting>
  <conditionalFormatting sqref="AE130">
    <cfRule type="cellIs" dxfId="3187" priority="773" operator="lessThan">
      <formula>0</formula>
    </cfRule>
  </conditionalFormatting>
  <conditionalFormatting sqref="AE130">
    <cfRule type="cellIs" dxfId="3186" priority="774" operator="greaterThanOrEqual">
      <formula>0</formula>
    </cfRule>
  </conditionalFormatting>
  <conditionalFormatting sqref="AI130">
    <cfRule type="cellIs" dxfId="3185" priority="771" operator="lessThan">
      <formula>0</formula>
    </cfRule>
  </conditionalFormatting>
  <conditionalFormatting sqref="AI130">
    <cfRule type="cellIs" dxfId="3184" priority="772" operator="greaterThanOrEqual">
      <formula>0</formula>
    </cfRule>
  </conditionalFormatting>
  <conditionalFormatting sqref="AN130">
    <cfRule type="cellIs" dxfId="3183" priority="767" operator="lessThan">
      <formula>0</formula>
    </cfRule>
  </conditionalFormatting>
  <conditionalFormatting sqref="AN130">
    <cfRule type="cellIs" dxfId="3182" priority="768" operator="greaterThanOrEqual">
      <formula>0</formula>
    </cfRule>
  </conditionalFormatting>
  <conditionalFormatting sqref="H130">
    <cfRule type="cellIs" dxfId="3181" priority="763" operator="lessThan">
      <formula>0</formula>
    </cfRule>
  </conditionalFormatting>
  <conditionalFormatting sqref="G130">
    <cfRule type="cellIs" dxfId="3180" priority="765" operator="lessThan">
      <formula>0</formula>
    </cfRule>
  </conditionalFormatting>
  <conditionalFormatting sqref="G130">
    <cfRule type="cellIs" dxfId="3179" priority="766" operator="greaterThanOrEqual">
      <formula>0</formula>
    </cfRule>
  </conditionalFormatting>
  <conditionalFormatting sqref="H130">
    <cfRule type="cellIs" dxfId="3178" priority="764" operator="greaterThanOrEqual">
      <formula>0</formula>
    </cfRule>
  </conditionalFormatting>
  <conditionalFormatting sqref="S134 W134">
    <cfRule type="cellIs" dxfId="3177" priority="757" operator="lessThan">
      <formula>0</formula>
    </cfRule>
  </conditionalFormatting>
  <conditionalFormatting sqref="S134 W134">
    <cfRule type="cellIs" dxfId="3176" priority="758" operator="greaterThanOrEqual">
      <formula>0</formula>
    </cfRule>
  </conditionalFormatting>
  <conditionalFormatting sqref="K134">
    <cfRule type="cellIs" dxfId="3175" priority="759" operator="lessThanOrEqual">
      <formula>0</formula>
    </cfRule>
  </conditionalFormatting>
  <conditionalFormatting sqref="K134">
    <cfRule type="cellIs" dxfId="3174" priority="760" operator="greaterThan">
      <formula>0</formula>
    </cfRule>
  </conditionalFormatting>
  <conditionalFormatting sqref="O134">
    <cfRule type="cellIs" dxfId="3173" priority="761" operator="lessThan">
      <formula>0</formula>
    </cfRule>
  </conditionalFormatting>
  <conditionalFormatting sqref="O134">
    <cfRule type="cellIs" dxfId="3172" priority="762" operator="greaterThanOrEqual">
      <formula>0</formula>
    </cfRule>
  </conditionalFormatting>
  <conditionalFormatting sqref="AQ134">
    <cfRule type="cellIs" dxfId="3171" priority="755" operator="lessThan">
      <formula>0</formula>
    </cfRule>
  </conditionalFormatting>
  <conditionalFormatting sqref="AQ134">
    <cfRule type="cellIs" dxfId="3170" priority="756" operator="greaterThanOrEqual">
      <formula>0</formula>
    </cfRule>
  </conditionalFormatting>
  <conditionalFormatting sqref="L134">
    <cfRule type="cellIs" dxfId="3169" priority="753" operator="lessThanOrEqual">
      <formula>0</formula>
    </cfRule>
  </conditionalFormatting>
  <conditionalFormatting sqref="L134">
    <cfRule type="cellIs" dxfId="3168" priority="754" operator="greaterThan">
      <formula>0</formula>
    </cfRule>
  </conditionalFormatting>
  <conditionalFormatting sqref="T134">
    <cfRule type="cellIs" dxfId="3167" priority="751" operator="lessThan">
      <formula>0</formula>
    </cfRule>
  </conditionalFormatting>
  <conditionalFormatting sqref="T134">
    <cfRule type="cellIs" dxfId="3166" priority="752" operator="greaterThanOrEqual">
      <formula>0</formula>
    </cfRule>
  </conditionalFormatting>
  <conditionalFormatting sqref="X134">
    <cfRule type="cellIs" dxfId="3165" priority="749" operator="lessThan">
      <formula>0</formula>
    </cfRule>
  </conditionalFormatting>
  <conditionalFormatting sqref="X134">
    <cfRule type="cellIs" dxfId="3164" priority="750" operator="greaterThanOrEqual">
      <formula>0</formula>
    </cfRule>
  </conditionalFormatting>
  <conditionalFormatting sqref="AB134">
    <cfRule type="cellIs" dxfId="3163" priority="747" operator="lessThan">
      <formula>0</formula>
    </cfRule>
  </conditionalFormatting>
  <conditionalFormatting sqref="AB134">
    <cfRule type="cellIs" dxfId="3162" priority="748" operator="greaterThanOrEqual">
      <formula>0</formula>
    </cfRule>
  </conditionalFormatting>
  <conditionalFormatting sqref="AF134">
    <cfRule type="cellIs" dxfId="3161" priority="745" operator="lessThan">
      <formula>0</formula>
    </cfRule>
  </conditionalFormatting>
  <conditionalFormatting sqref="AF134">
    <cfRule type="cellIs" dxfId="3160" priority="746" operator="greaterThanOrEqual">
      <formula>0</formula>
    </cfRule>
  </conditionalFormatting>
  <conditionalFormatting sqref="P134">
    <cfRule type="cellIs" dxfId="3159" priority="743" operator="lessThan">
      <formula>0</formula>
    </cfRule>
  </conditionalFormatting>
  <conditionalFormatting sqref="P134">
    <cfRule type="cellIs" dxfId="3158" priority="744" operator="greaterThanOrEqual">
      <formula>0</formula>
    </cfRule>
  </conditionalFormatting>
  <conditionalFormatting sqref="AJ134">
    <cfRule type="cellIs" dxfId="3157" priority="741" operator="lessThan">
      <formula>0</formula>
    </cfRule>
  </conditionalFormatting>
  <conditionalFormatting sqref="AJ134">
    <cfRule type="cellIs" dxfId="3156" priority="742" operator="greaterThanOrEqual">
      <formula>0</formula>
    </cfRule>
  </conditionalFormatting>
  <conditionalFormatting sqref="AR134">
    <cfRule type="cellIs" dxfId="3155" priority="739" operator="lessThan">
      <formula>0</formula>
    </cfRule>
  </conditionalFormatting>
  <conditionalFormatting sqref="AR134">
    <cfRule type="cellIs" dxfId="3154" priority="740" operator="greaterThanOrEqual">
      <formula>0</formula>
    </cfRule>
  </conditionalFormatting>
  <conditionalFormatting sqref="AA134">
    <cfRule type="cellIs" dxfId="3153" priority="737" operator="lessThan">
      <formula>0</formula>
    </cfRule>
  </conditionalFormatting>
  <conditionalFormatting sqref="AA134">
    <cfRule type="cellIs" dxfId="3152" priority="738" operator="greaterThanOrEqual">
      <formula>0</formula>
    </cfRule>
  </conditionalFormatting>
  <conditionalFormatting sqref="AE134">
    <cfRule type="cellIs" dxfId="3151" priority="735" operator="lessThan">
      <formula>0</formula>
    </cfRule>
  </conditionalFormatting>
  <conditionalFormatting sqref="AE134">
    <cfRule type="cellIs" dxfId="3150" priority="736" operator="greaterThanOrEqual">
      <formula>0</formula>
    </cfRule>
  </conditionalFormatting>
  <conditionalFormatting sqref="AI134">
    <cfRule type="cellIs" dxfId="3149" priority="733" operator="lessThan">
      <formula>0</formula>
    </cfRule>
  </conditionalFormatting>
  <conditionalFormatting sqref="AI134">
    <cfRule type="cellIs" dxfId="3148" priority="734" operator="greaterThanOrEqual">
      <formula>0</formula>
    </cfRule>
  </conditionalFormatting>
  <conditionalFormatting sqref="AN134">
    <cfRule type="cellIs" dxfId="3147" priority="729" operator="lessThan">
      <formula>0</formula>
    </cfRule>
  </conditionalFormatting>
  <conditionalFormatting sqref="AN134">
    <cfRule type="cellIs" dxfId="3146" priority="730" operator="greaterThanOrEqual">
      <formula>0</formula>
    </cfRule>
  </conditionalFormatting>
  <conditionalFormatting sqref="H134">
    <cfRule type="cellIs" dxfId="3145" priority="725" operator="lessThan">
      <formula>0</formula>
    </cfRule>
  </conditionalFormatting>
  <conditionalFormatting sqref="G134">
    <cfRule type="cellIs" dxfId="3144" priority="727" operator="lessThan">
      <formula>0</formula>
    </cfRule>
  </conditionalFormatting>
  <conditionalFormatting sqref="G134">
    <cfRule type="cellIs" dxfId="3143" priority="728" operator="greaterThanOrEqual">
      <formula>0</formula>
    </cfRule>
  </conditionalFormatting>
  <conditionalFormatting sqref="H134">
    <cfRule type="cellIs" dxfId="3142" priority="726" operator="greaterThanOrEqual">
      <formula>0</formula>
    </cfRule>
  </conditionalFormatting>
  <conditionalFormatting sqref="S138 W138">
    <cfRule type="cellIs" dxfId="3141" priority="719" operator="lessThan">
      <formula>0</formula>
    </cfRule>
  </conditionalFormatting>
  <conditionalFormatting sqref="S138 W138">
    <cfRule type="cellIs" dxfId="3140" priority="720" operator="greaterThanOrEqual">
      <formula>0</formula>
    </cfRule>
  </conditionalFormatting>
  <conditionalFormatting sqref="K138">
    <cfRule type="cellIs" dxfId="3139" priority="721" operator="lessThanOrEqual">
      <formula>0</formula>
    </cfRule>
  </conditionalFormatting>
  <conditionalFormatting sqref="K138">
    <cfRule type="cellIs" dxfId="3138" priority="722" operator="greaterThan">
      <formula>0</formula>
    </cfRule>
  </conditionalFormatting>
  <conditionalFormatting sqref="O138">
    <cfRule type="cellIs" dxfId="3137" priority="723" operator="lessThan">
      <formula>0</formula>
    </cfRule>
  </conditionalFormatting>
  <conditionalFormatting sqref="O138">
    <cfRule type="cellIs" dxfId="3136" priority="724" operator="greaterThanOrEqual">
      <formula>0</formula>
    </cfRule>
  </conditionalFormatting>
  <conditionalFormatting sqref="AQ138">
    <cfRule type="cellIs" dxfId="3135" priority="717" operator="lessThan">
      <formula>0</formula>
    </cfRule>
  </conditionalFormatting>
  <conditionalFormatting sqref="AQ138">
    <cfRule type="cellIs" dxfId="3134" priority="718" operator="greaterThanOrEqual">
      <formula>0</formula>
    </cfRule>
  </conditionalFormatting>
  <conditionalFormatting sqref="L138">
    <cfRule type="cellIs" dxfId="3133" priority="715" operator="lessThanOrEqual">
      <formula>0</formula>
    </cfRule>
  </conditionalFormatting>
  <conditionalFormatting sqref="L138">
    <cfRule type="cellIs" dxfId="3132" priority="716" operator="greaterThan">
      <formula>0</formula>
    </cfRule>
  </conditionalFormatting>
  <conditionalFormatting sqref="T138">
    <cfRule type="cellIs" dxfId="3131" priority="713" operator="lessThan">
      <formula>0</formula>
    </cfRule>
  </conditionalFormatting>
  <conditionalFormatting sqref="T138">
    <cfRule type="cellIs" dxfId="3130" priority="714" operator="greaterThanOrEqual">
      <formula>0</formula>
    </cfRule>
  </conditionalFormatting>
  <conditionalFormatting sqref="X138">
    <cfRule type="cellIs" dxfId="3129" priority="711" operator="lessThan">
      <formula>0</formula>
    </cfRule>
  </conditionalFormatting>
  <conditionalFormatting sqref="X138">
    <cfRule type="cellIs" dxfId="3128" priority="712" operator="greaterThanOrEqual">
      <formula>0</formula>
    </cfRule>
  </conditionalFormatting>
  <conditionalFormatting sqref="AB138">
    <cfRule type="cellIs" dxfId="3127" priority="709" operator="lessThan">
      <formula>0</formula>
    </cfRule>
  </conditionalFormatting>
  <conditionalFormatting sqref="AB138">
    <cfRule type="cellIs" dxfId="3126" priority="710" operator="greaterThanOrEqual">
      <formula>0</formula>
    </cfRule>
  </conditionalFormatting>
  <conditionalFormatting sqref="AF138">
    <cfRule type="cellIs" dxfId="3125" priority="707" operator="lessThan">
      <formula>0</formula>
    </cfRule>
  </conditionalFormatting>
  <conditionalFormatting sqref="AF138">
    <cfRule type="cellIs" dxfId="3124" priority="708" operator="greaterThanOrEqual">
      <formula>0</formula>
    </cfRule>
  </conditionalFormatting>
  <conditionalFormatting sqref="P138">
    <cfRule type="cellIs" dxfId="3123" priority="705" operator="lessThan">
      <formula>0</formula>
    </cfRule>
  </conditionalFormatting>
  <conditionalFormatting sqref="P138">
    <cfRule type="cellIs" dxfId="3122" priority="706" operator="greaterThanOrEqual">
      <formula>0</formula>
    </cfRule>
  </conditionalFormatting>
  <conditionalFormatting sqref="AJ138">
    <cfRule type="cellIs" dxfId="3121" priority="703" operator="lessThan">
      <formula>0</formula>
    </cfRule>
  </conditionalFormatting>
  <conditionalFormatting sqref="AJ138">
    <cfRule type="cellIs" dxfId="3120" priority="704" operator="greaterThanOrEqual">
      <formula>0</formula>
    </cfRule>
  </conditionalFormatting>
  <conditionalFormatting sqref="AR138">
    <cfRule type="cellIs" dxfId="3119" priority="701" operator="lessThan">
      <formula>0</formula>
    </cfRule>
  </conditionalFormatting>
  <conditionalFormatting sqref="AR138">
    <cfRule type="cellIs" dxfId="3118" priority="702" operator="greaterThanOrEqual">
      <formula>0</formula>
    </cfRule>
  </conditionalFormatting>
  <conditionalFormatting sqref="AA138">
    <cfRule type="cellIs" dxfId="3117" priority="699" operator="lessThan">
      <formula>0</formula>
    </cfRule>
  </conditionalFormatting>
  <conditionalFormatting sqref="AA138">
    <cfRule type="cellIs" dxfId="3116" priority="700" operator="greaterThanOrEqual">
      <formula>0</formula>
    </cfRule>
  </conditionalFormatting>
  <conditionalFormatting sqref="AE138">
    <cfRule type="cellIs" dxfId="3115" priority="697" operator="lessThan">
      <formula>0</formula>
    </cfRule>
  </conditionalFormatting>
  <conditionalFormatting sqref="AE138">
    <cfRule type="cellIs" dxfId="3114" priority="698" operator="greaterThanOrEqual">
      <formula>0</formula>
    </cfRule>
  </conditionalFormatting>
  <conditionalFormatting sqref="AI138">
    <cfRule type="cellIs" dxfId="3113" priority="695" operator="lessThan">
      <formula>0</formula>
    </cfRule>
  </conditionalFormatting>
  <conditionalFormatting sqref="AI138">
    <cfRule type="cellIs" dxfId="3112" priority="696" operator="greaterThanOrEqual">
      <formula>0</formula>
    </cfRule>
  </conditionalFormatting>
  <conditionalFormatting sqref="AN138">
    <cfRule type="cellIs" dxfId="3111" priority="691" operator="lessThan">
      <formula>0</formula>
    </cfRule>
  </conditionalFormatting>
  <conditionalFormatting sqref="AN138">
    <cfRule type="cellIs" dxfId="3110" priority="692" operator="greaterThanOrEqual">
      <formula>0</formula>
    </cfRule>
  </conditionalFormatting>
  <conditionalFormatting sqref="H138">
    <cfRule type="cellIs" dxfId="3109" priority="687" operator="lessThan">
      <formula>0</formula>
    </cfRule>
  </conditionalFormatting>
  <conditionalFormatting sqref="G138">
    <cfRule type="cellIs" dxfId="3108" priority="689" operator="lessThan">
      <formula>0</formula>
    </cfRule>
  </conditionalFormatting>
  <conditionalFormatting sqref="G138">
    <cfRule type="cellIs" dxfId="3107" priority="690" operator="greaterThanOrEqual">
      <formula>0</formula>
    </cfRule>
  </conditionalFormatting>
  <conditionalFormatting sqref="H138">
    <cfRule type="cellIs" dxfId="3106" priority="688" operator="greaterThanOrEqual">
      <formula>0</formula>
    </cfRule>
  </conditionalFormatting>
  <conditionalFormatting sqref="S142 W142">
    <cfRule type="cellIs" dxfId="3105" priority="681" operator="lessThan">
      <formula>0</formula>
    </cfRule>
  </conditionalFormatting>
  <conditionalFormatting sqref="S142 W142">
    <cfRule type="cellIs" dxfId="3104" priority="682" operator="greaterThanOrEqual">
      <formula>0</formula>
    </cfRule>
  </conditionalFormatting>
  <conditionalFormatting sqref="K142">
    <cfRule type="cellIs" dxfId="3103" priority="683" operator="lessThanOrEqual">
      <formula>0</formula>
    </cfRule>
  </conditionalFormatting>
  <conditionalFormatting sqref="K142">
    <cfRule type="cellIs" dxfId="3102" priority="684" operator="greaterThan">
      <formula>0</formula>
    </cfRule>
  </conditionalFormatting>
  <conditionalFormatting sqref="O142">
    <cfRule type="cellIs" dxfId="3101" priority="685" operator="lessThan">
      <formula>0</formula>
    </cfRule>
  </conditionalFormatting>
  <conditionalFormatting sqref="O142">
    <cfRule type="cellIs" dxfId="3100" priority="686" operator="greaterThanOrEqual">
      <formula>0</formula>
    </cfRule>
  </conditionalFormatting>
  <conditionalFormatting sqref="AQ142">
    <cfRule type="cellIs" dxfId="3099" priority="679" operator="lessThan">
      <formula>0</formula>
    </cfRule>
  </conditionalFormatting>
  <conditionalFormatting sqref="AQ142">
    <cfRule type="cellIs" dxfId="3098" priority="680" operator="greaterThanOrEqual">
      <formula>0</formula>
    </cfRule>
  </conditionalFormatting>
  <conditionalFormatting sqref="L142">
    <cfRule type="cellIs" dxfId="3097" priority="677" operator="lessThanOrEqual">
      <formula>0</formula>
    </cfRule>
  </conditionalFormatting>
  <conditionalFormatting sqref="L142">
    <cfRule type="cellIs" dxfId="3096" priority="678" operator="greaterThan">
      <formula>0</formula>
    </cfRule>
  </conditionalFormatting>
  <conditionalFormatting sqref="T142">
    <cfRule type="cellIs" dxfId="3095" priority="675" operator="lessThan">
      <formula>0</formula>
    </cfRule>
  </conditionalFormatting>
  <conditionalFormatting sqref="T142">
    <cfRule type="cellIs" dxfId="3094" priority="676" operator="greaterThanOrEqual">
      <formula>0</formula>
    </cfRule>
  </conditionalFormatting>
  <conditionalFormatting sqref="X142">
    <cfRule type="cellIs" dxfId="3093" priority="673" operator="lessThan">
      <formula>0</formula>
    </cfRule>
  </conditionalFormatting>
  <conditionalFormatting sqref="X142">
    <cfRule type="cellIs" dxfId="3092" priority="674" operator="greaterThanOrEqual">
      <formula>0</formula>
    </cfRule>
  </conditionalFormatting>
  <conditionalFormatting sqref="AB142">
    <cfRule type="cellIs" dxfId="3091" priority="671" operator="lessThan">
      <formula>0</formula>
    </cfRule>
  </conditionalFormatting>
  <conditionalFormatting sqref="AB142">
    <cfRule type="cellIs" dxfId="3090" priority="672" operator="greaterThanOrEqual">
      <formula>0</formula>
    </cfRule>
  </conditionalFormatting>
  <conditionalFormatting sqref="AF142">
    <cfRule type="cellIs" dxfId="3089" priority="669" operator="lessThan">
      <formula>0</formula>
    </cfRule>
  </conditionalFormatting>
  <conditionalFormatting sqref="AF142">
    <cfRule type="cellIs" dxfId="3088" priority="670" operator="greaterThanOrEqual">
      <formula>0</formula>
    </cfRule>
  </conditionalFormatting>
  <conditionalFormatting sqref="P142">
    <cfRule type="cellIs" dxfId="3087" priority="667" operator="lessThan">
      <formula>0</formula>
    </cfRule>
  </conditionalFormatting>
  <conditionalFormatting sqref="P142">
    <cfRule type="cellIs" dxfId="3086" priority="668" operator="greaterThanOrEqual">
      <formula>0</formula>
    </cfRule>
  </conditionalFormatting>
  <conditionalFormatting sqref="AJ142">
    <cfRule type="cellIs" dxfId="3085" priority="665" operator="lessThan">
      <formula>0</formula>
    </cfRule>
  </conditionalFormatting>
  <conditionalFormatting sqref="AJ142">
    <cfRule type="cellIs" dxfId="3084" priority="666" operator="greaterThanOrEqual">
      <formula>0</formula>
    </cfRule>
  </conditionalFormatting>
  <conditionalFormatting sqref="AR142">
    <cfRule type="cellIs" dxfId="3083" priority="663" operator="lessThan">
      <formula>0</formula>
    </cfRule>
  </conditionalFormatting>
  <conditionalFormatting sqref="AR142">
    <cfRule type="cellIs" dxfId="3082" priority="664" operator="greaterThanOrEqual">
      <formula>0</formula>
    </cfRule>
  </conditionalFormatting>
  <conditionalFormatting sqref="AA142">
    <cfRule type="cellIs" dxfId="3081" priority="661" operator="lessThan">
      <formula>0</formula>
    </cfRule>
  </conditionalFormatting>
  <conditionalFormatting sqref="AA142">
    <cfRule type="cellIs" dxfId="3080" priority="662" operator="greaterThanOrEqual">
      <formula>0</formula>
    </cfRule>
  </conditionalFormatting>
  <conditionalFormatting sqref="AE142">
    <cfRule type="cellIs" dxfId="3079" priority="659" operator="lessThan">
      <formula>0</formula>
    </cfRule>
  </conditionalFormatting>
  <conditionalFormatting sqref="AE142">
    <cfRule type="cellIs" dxfId="3078" priority="660" operator="greaterThanOrEqual">
      <formula>0</formula>
    </cfRule>
  </conditionalFormatting>
  <conditionalFormatting sqref="AI142">
    <cfRule type="cellIs" dxfId="3077" priority="657" operator="lessThan">
      <formula>0</formula>
    </cfRule>
  </conditionalFormatting>
  <conditionalFormatting sqref="AI142">
    <cfRule type="cellIs" dxfId="3076" priority="658" operator="greaterThanOrEqual">
      <formula>0</formula>
    </cfRule>
  </conditionalFormatting>
  <conditionalFormatting sqref="AN142">
    <cfRule type="cellIs" dxfId="3075" priority="653" operator="lessThan">
      <formula>0</formula>
    </cfRule>
  </conditionalFormatting>
  <conditionalFormatting sqref="AN142">
    <cfRule type="cellIs" dxfId="3074" priority="654" operator="greaterThanOrEqual">
      <formula>0</formula>
    </cfRule>
  </conditionalFormatting>
  <conditionalFormatting sqref="H142">
    <cfRule type="cellIs" dxfId="3073" priority="649" operator="lessThan">
      <formula>0</formula>
    </cfRule>
  </conditionalFormatting>
  <conditionalFormatting sqref="G142">
    <cfRule type="cellIs" dxfId="3072" priority="651" operator="lessThan">
      <formula>0</formula>
    </cfRule>
  </conditionalFormatting>
  <conditionalFormatting sqref="G142">
    <cfRule type="cellIs" dxfId="3071" priority="652" operator="greaterThanOrEqual">
      <formula>0</formula>
    </cfRule>
  </conditionalFormatting>
  <conditionalFormatting sqref="H142">
    <cfRule type="cellIs" dxfId="3070" priority="650" operator="greaterThanOrEqual">
      <formula>0</formula>
    </cfRule>
  </conditionalFormatting>
  <conditionalFormatting sqref="S146 W146">
    <cfRule type="cellIs" dxfId="3069" priority="643" operator="lessThan">
      <formula>0</formula>
    </cfRule>
  </conditionalFormatting>
  <conditionalFormatting sqref="S146 W146">
    <cfRule type="cellIs" dxfId="3068" priority="644" operator="greaterThanOrEqual">
      <formula>0</formula>
    </cfRule>
  </conditionalFormatting>
  <conditionalFormatting sqref="K146">
    <cfRule type="cellIs" dxfId="3067" priority="645" operator="lessThanOrEqual">
      <formula>0</formula>
    </cfRule>
  </conditionalFormatting>
  <conditionalFormatting sqref="K146">
    <cfRule type="cellIs" dxfId="3066" priority="646" operator="greaterThan">
      <formula>0</formula>
    </cfRule>
  </conditionalFormatting>
  <conditionalFormatting sqref="O146">
    <cfRule type="cellIs" dxfId="3065" priority="647" operator="lessThan">
      <formula>0</formula>
    </cfRule>
  </conditionalFormatting>
  <conditionalFormatting sqref="O146">
    <cfRule type="cellIs" dxfId="3064" priority="648" operator="greaterThanOrEqual">
      <formula>0</formula>
    </cfRule>
  </conditionalFormatting>
  <conditionalFormatting sqref="AQ146">
    <cfRule type="cellIs" dxfId="3063" priority="641" operator="lessThan">
      <formula>0</formula>
    </cfRule>
  </conditionalFormatting>
  <conditionalFormatting sqref="AQ146">
    <cfRule type="cellIs" dxfId="3062" priority="642" operator="greaterThanOrEqual">
      <formula>0</formula>
    </cfRule>
  </conditionalFormatting>
  <conditionalFormatting sqref="L146">
    <cfRule type="cellIs" dxfId="3061" priority="639" operator="lessThanOrEqual">
      <formula>0</formula>
    </cfRule>
  </conditionalFormatting>
  <conditionalFormatting sqref="L146">
    <cfRule type="cellIs" dxfId="3060" priority="640" operator="greaterThan">
      <formula>0</formula>
    </cfRule>
  </conditionalFormatting>
  <conditionalFormatting sqref="T146">
    <cfRule type="cellIs" dxfId="3059" priority="637" operator="lessThan">
      <formula>0</formula>
    </cfRule>
  </conditionalFormatting>
  <conditionalFormatting sqref="T146">
    <cfRule type="cellIs" dxfId="3058" priority="638" operator="greaterThanOrEqual">
      <formula>0</formula>
    </cfRule>
  </conditionalFormatting>
  <conditionalFormatting sqref="X146">
    <cfRule type="cellIs" dxfId="3057" priority="635" operator="lessThan">
      <formula>0</formula>
    </cfRule>
  </conditionalFormatting>
  <conditionalFormatting sqref="X146">
    <cfRule type="cellIs" dxfId="3056" priority="636" operator="greaterThanOrEqual">
      <formula>0</formula>
    </cfRule>
  </conditionalFormatting>
  <conditionalFormatting sqref="AB146">
    <cfRule type="cellIs" dxfId="3055" priority="633" operator="lessThan">
      <formula>0</formula>
    </cfRule>
  </conditionalFormatting>
  <conditionalFormatting sqref="AB146">
    <cfRule type="cellIs" dxfId="3054" priority="634" operator="greaterThanOrEqual">
      <formula>0</formula>
    </cfRule>
  </conditionalFormatting>
  <conditionalFormatting sqref="AF146">
    <cfRule type="cellIs" dxfId="3053" priority="631" operator="lessThan">
      <formula>0</formula>
    </cfRule>
  </conditionalFormatting>
  <conditionalFormatting sqref="AF146">
    <cfRule type="cellIs" dxfId="3052" priority="632" operator="greaterThanOrEqual">
      <formula>0</formula>
    </cfRule>
  </conditionalFormatting>
  <conditionalFormatting sqref="P146">
    <cfRule type="cellIs" dxfId="3051" priority="629" operator="lessThan">
      <formula>0</formula>
    </cfRule>
  </conditionalFormatting>
  <conditionalFormatting sqref="P146">
    <cfRule type="cellIs" dxfId="3050" priority="630" operator="greaterThanOrEqual">
      <formula>0</formula>
    </cfRule>
  </conditionalFormatting>
  <conditionalFormatting sqref="AJ146">
    <cfRule type="cellIs" dxfId="3049" priority="627" operator="lessThan">
      <formula>0</formula>
    </cfRule>
  </conditionalFormatting>
  <conditionalFormatting sqref="AJ146">
    <cfRule type="cellIs" dxfId="3048" priority="628" operator="greaterThanOrEqual">
      <formula>0</formula>
    </cfRule>
  </conditionalFormatting>
  <conditionalFormatting sqref="AR146">
    <cfRule type="cellIs" dxfId="3047" priority="625" operator="lessThan">
      <formula>0</formula>
    </cfRule>
  </conditionalFormatting>
  <conditionalFormatting sqref="AR146">
    <cfRule type="cellIs" dxfId="3046" priority="626" operator="greaterThanOrEqual">
      <formula>0</formula>
    </cfRule>
  </conditionalFormatting>
  <conditionalFormatting sqref="AA146">
    <cfRule type="cellIs" dxfId="3045" priority="623" operator="lessThan">
      <formula>0</formula>
    </cfRule>
  </conditionalFormatting>
  <conditionalFormatting sqref="AA146">
    <cfRule type="cellIs" dxfId="3044" priority="624" operator="greaterThanOrEqual">
      <formula>0</formula>
    </cfRule>
  </conditionalFormatting>
  <conditionalFormatting sqref="AE146">
    <cfRule type="cellIs" dxfId="3043" priority="621" operator="lessThan">
      <formula>0</formula>
    </cfRule>
  </conditionalFormatting>
  <conditionalFormatting sqref="AE146">
    <cfRule type="cellIs" dxfId="3042" priority="622" operator="greaterThanOrEqual">
      <formula>0</formula>
    </cfRule>
  </conditionalFormatting>
  <conditionalFormatting sqref="AI146">
    <cfRule type="cellIs" dxfId="3041" priority="619" operator="lessThan">
      <formula>0</formula>
    </cfRule>
  </conditionalFormatting>
  <conditionalFormatting sqref="AI146">
    <cfRule type="cellIs" dxfId="3040" priority="620" operator="greaterThanOrEqual">
      <formula>0</formula>
    </cfRule>
  </conditionalFormatting>
  <conditionalFormatting sqref="AN146">
    <cfRule type="cellIs" dxfId="3039" priority="615" operator="lessThan">
      <formula>0</formula>
    </cfRule>
  </conditionalFormatting>
  <conditionalFormatting sqref="AN146">
    <cfRule type="cellIs" dxfId="3038" priority="616" operator="greaterThanOrEqual">
      <formula>0</formula>
    </cfRule>
  </conditionalFormatting>
  <conditionalFormatting sqref="H146">
    <cfRule type="cellIs" dxfId="3037" priority="611" operator="lessThan">
      <formula>0</formula>
    </cfRule>
  </conditionalFormatting>
  <conditionalFormatting sqref="G146">
    <cfRule type="cellIs" dxfId="3036" priority="613" operator="lessThan">
      <formula>0</formula>
    </cfRule>
  </conditionalFormatting>
  <conditionalFormatting sqref="G146">
    <cfRule type="cellIs" dxfId="3035" priority="614" operator="greaterThanOrEqual">
      <formula>0</formula>
    </cfRule>
  </conditionalFormatting>
  <conditionalFormatting sqref="H146">
    <cfRule type="cellIs" dxfId="3034" priority="612" operator="greaterThanOrEqual">
      <formula>0</formula>
    </cfRule>
  </conditionalFormatting>
  <conditionalFormatting sqref="S150 W150">
    <cfRule type="cellIs" dxfId="3033" priority="605" operator="lessThan">
      <formula>0</formula>
    </cfRule>
  </conditionalFormatting>
  <conditionalFormatting sqref="S150 W150">
    <cfRule type="cellIs" dxfId="3032" priority="606" operator="greaterThanOrEqual">
      <formula>0</formula>
    </cfRule>
  </conditionalFormatting>
  <conditionalFormatting sqref="K150">
    <cfRule type="cellIs" dxfId="3031" priority="607" operator="lessThanOrEqual">
      <formula>0</formula>
    </cfRule>
  </conditionalFormatting>
  <conditionalFormatting sqref="K150">
    <cfRule type="cellIs" dxfId="3030" priority="608" operator="greaterThan">
      <formula>0</formula>
    </cfRule>
  </conditionalFormatting>
  <conditionalFormatting sqref="O150">
    <cfRule type="cellIs" dxfId="3029" priority="609" operator="lessThan">
      <formula>0</formula>
    </cfRule>
  </conditionalFormatting>
  <conditionalFormatting sqref="O150">
    <cfRule type="cellIs" dxfId="3028" priority="610" operator="greaterThanOrEqual">
      <formula>0</formula>
    </cfRule>
  </conditionalFormatting>
  <conditionalFormatting sqref="AQ150">
    <cfRule type="cellIs" dxfId="3027" priority="603" operator="lessThan">
      <formula>0</formula>
    </cfRule>
  </conditionalFormatting>
  <conditionalFormatting sqref="AQ150">
    <cfRule type="cellIs" dxfId="3026" priority="604" operator="greaterThanOrEqual">
      <formula>0</formula>
    </cfRule>
  </conditionalFormatting>
  <conditionalFormatting sqref="L150">
    <cfRule type="cellIs" dxfId="3025" priority="601" operator="lessThanOrEqual">
      <formula>0</formula>
    </cfRule>
  </conditionalFormatting>
  <conditionalFormatting sqref="L150">
    <cfRule type="cellIs" dxfId="3024" priority="602" operator="greaterThan">
      <formula>0</formula>
    </cfRule>
  </conditionalFormatting>
  <conditionalFormatting sqref="T150">
    <cfRule type="cellIs" dxfId="3023" priority="599" operator="lessThan">
      <formula>0</formula>
    </cfRule>
  </conditionalFormatting>
  <conditionalFormatting sqref="T150">
    <cfRule type="cellIs" dxfId="3022" priority="600" operator="greaterThanOrEqual">
      <formula>0</formula>
    </cfRule>
  </conditionalFormatting>
  <conditionalFormatting sqref="X150">
    <cfRule type="cellIs" dxfId="3021" priority="597" operator="lessThan">
      <formula>0</formula>
    </cfRule>
  </conditionalFormatting>
  <conditionalFormatting sqref="X150">
    <cfRule type="cellIs" dxfId="3020" priority="598" operator="greaterThanOrEqual">
      <formula>0</formula>
    </cfRule>
  </conditionalFormatting>
  <conditionalFormatting sqref="AB150">
    <cfRule type="cellIs" dxfId="3019" priority="595" operator="lessThan">
      <formula>0</formula>
    </cfRule>
  </conditionalFormatting>
  <conditionalFormatting sqref="AB150">
    <cfRule type="cellIs" dxfId="3018" priority="596" operator="greaterThanOrEqual">
      <formula>0</formula>
    </cfRule>
  </conditionalFormatting>
  <conditionalFormatting sqref="AF150">
    <cfRule type="cellIs" dxfId="3017" priority="593" operator="lessThan">
      <formula>0</formula>
    </cfRule>
  </conditionalFormatting>
  <conditionalFormatting sqref="AF150">
    <cfRule type="cellIs" dxfId="3016" priority="594" operator="greaterThanOrEqual">
      <formula>0</formula>
    </cfRule>
  </conditionalFormatting>
  <conditionalFormatting sqref="P150">
    <cfRule type="cellIs" dxfId="3015" priority="591" operator="lessThan">
      <formula>0</formula>
    </cfRule>
  </conditionalFormatting>
  <conditionalFormatting sqref="P150">
    <cfRule type="cellIs" dxfId="3014" priority="592" operator="greaterThanOrEqual">
      <formula>0</formula>
    </cfRule>
  </conditionalFormatting>
  <conditionalFormatting sqref="AJ150">
    <cfRule type="cellIs" dxfId="3013" priority="589" operator="lessThan">
      <formula>0</formula>
    </cfRule>
  </conditionalFormatting>
  <conditionalFormatting sqref="AJ150">
    <cfRule type="cellIs" dxfId="3012" priority="590" operator="greaterThanOrEqual">
      <formula>0</formula>
    </cfRule>
  </conditionalFormatting>
  <conditionalFormatting sqref="AR150">
    <cfRule type="cellIs" dxfId="3011" priority="587" operator="lessThan">
      <formula>0</formula>
    </cfRule>
  </conditionalFormatting>
  <conditionalFormatting sqref="AR150">
    <cfRule type="cellIs" dxfId="3010" priority="588" operator="greaterThanOrEqual">
      <formula>0</formula>
    </cfRule>
  </conditionalFormatting>
  <conditionalFormatting sqref="AA150">
    <cfRule type="cellIs" dxfId="3009" priority="585" operator="lessThan">
      <formula>0</formula>
    </cfRule>
  </conditionalFormatting>
  <conditionalFormatting sqref="AA150">
    <cfRule type="cellIs" dxfId="3008" priority="586" operator="greaterThanOrEqual">
      <formula>0</formula>
    </cfRule>
  </conditionalFormatting>
  <conditionalFormatting sqref="AE150">
    <cfRule type="cellIs" dxfId="3007" priority="583" operator="lessThan">
      <formula>0</formula>
    </cfRule>
  </conditionalFormatting>
  <conditionalFormatting sqref="AE150">
    <cfRule type="cellIs" dxfId="3006" priority="584" operator="greaterThanOrEqual">
      <formula>0</formula>
    </cfRule>
  </conditionalFormatting>
  <conditionalFormatting sqref="AI150">
    <cfRule type="cellIs" dxfId="3005" priority="581" operator="lessThan">
      <formula>0</formula>
    </cfRule>
  </conditionalFormatting>
  <conditionalFormatting sqref="AI150">
    <cfRule type="cellIs" dxfId="3004" priority="582" operator="greaterThanOrEqual">
      <formula>0</formula>
    </cfRule>
  </conditionalFormatting>
  <conditionalFormatting sqref="AN150">
    <cfRule type="cellIs" dxfId="3003" priority="577" operator="lessThan">
      <formula>0</formula>
    </cfRule>
  </conditionalFormatting>
  <conditionalFormatting sqref="AN150">
    <cfRule type="cellIs" dxfId="3002" priority="578" operator="greaterThanOrEqual">
      <formula>0</formula>
    </cfRule>
  </conditionalFormatting>
  <conditionalFormatting sqref="H150">
    <cfRule type="cellIs" dxfId="3001" priority="573" operator="lessThan">
      <formula>0</formula>
    </cfRule>
  </conditionalFormatting>
  <conditionalFormatting sqref="G150">
    <cfRule type="cellIs" dxfId="3000" priority="575" operator="lessThan">
      <formula>0</formula>
    </cfRule>
  </conditionalFormatting>
  <conditionalFormatting sqref="G150">
    <cfRule type="cellIs" dxfId="2999" priority="576" operator="greaterThanOrEqual">
      <formula>0</formula>
    </cfRule>
  </conditionalFormatting>
  <conditionalFormatting sqref="H150">
    <cfRule type="cellIs" dxfId="2998" priority="574" operator="greaterThanOrEqual">
      <formula>0</formula>
    </cfRule>
  </conditionalFormatting>
  <conditionalFormatting sqref="S154 W154">
    <cfRule type="cellIs" dxfId="2997" priority="567" operator="lessThan">
      <formula>0</formula>
    </cfRule>
  </conditionalFormatting>
  <conditionalFormatting sqref="S154 W154">
    <cfRule type="cellIs" dxfId="2996" priority="568" operator="greaterThanOrEqual">
      <formula>0</formula>
    </cfRule>
  </conditionalFormatting>
  <conditionalFormatting sqref="K154">
    <cfRule type="cellIs" dxfId="2995" priority="569" operator="lessThanOrEqual">
      <formula>0</formula>
    </cfRule>
  </conditionalFormatting>
  <conditionalFormatting sqref="K154">
    <cfRule type="cellIs" dxfId="2994" priority="570" operator="greaterThan">
      <formula>0</formula>
    </cfRule>
  </conditionalFormatting>
  <conditionalFormatting sqref="O154">
    <cfRule type="cellIs" dxfId="2993" priority="571" operator="lessThan">
      <formula>0</formula>
    </cfRule>
  </conditionalFormatting>
  <conditionalFormatting sqref="O154">
    <cfRule type="cellIs" dxfId="2992" priority="572" operator="greaterThanOrEqual">
      <formula>0</formula>
    </cfRule>
  </conditionalFormatting>
  <conditionalFormatting sqref="AQ154">
    <cfRule type="cellIs" dxfId="2991" priority="565" operator="lessThan">
      <formula>0</formula>
    </cfRule>
  </conditionalFormatting>
  <conditionalFormatting sqref="AQ154">
    <cfRule type="cellIs" dxfId="2990" priority="566" operator="greaterThanOrEqual">
      <formula>0</formula>
    </cfRule>
  </conditionalFormatting>
  <conditionalFormatting sqref="L154">
    <cfRule type="cellIs" dxfId="2989" priority="563" operator="lessThanOrEqual">
      <formula>0</formula>
    </cfRule>
  </conditionalFormatting>
  <conditionalFormatting sqref="L154">
    <cfRule type="cellIs" dxfId="2988" priority="564" operator="greaterThan">
      <formula>0</formula>
    </cfRule>
  </conditionalFormatting>
  <conditionalFormatting sqref="T154">
    <cfRule type="cellIs" dxfId="2987" priority="561" operator="lessThan">
      <formula>0</formula>
    </cfRule>
  </conditionalFormatting>
  <conditionalFormatting sqref="T154">
    <cfRule type="cellIs" dxfId="2986" priority="562" operator="greaterThanOrEqual">
      <formula>0</formula>
    </cfRule>
  </conditionalFormatting>
  <conditionalFormatting sqref="X154">
    <cfRule type="cellIs" dxfId="2985" priority="559" operator="lessThan">
      <formula>0</formula>
    </cfRule>
  </conditionalFormatting>
  <conditionalFormatting sqref="X154">
    <cfRule type="cellIs" dxfId="2984" priority="560" operator="greaterThanOrEqual">
      <formula>0</formula>
    </cfRule>
  </conditionalFormatting>
  <conditionalFormatting sqref="AB154">
    <cfRule type="cellIs" dxfId="2983" priority="557" operator="lessThan">
      <formula>0</formula>
    </cfRule>
  </conditionalFormatting>
  <conditionalFormatting sqref="AB154">
    <cfRule type="cellIs" dxfId="2982" priority="558" operator="greaterThanOrEqual">
      <formula>0</formula>
    </cfRule>
  </conditionalFormatting>
  <conditionalFormatting sqref="AF154">
    <cfRule type="cellIs" dxfId="2981" priority="555" operator="lessThan">
      <formula>0</formula>
    </cfRule>
  </conditionalFormatting>
  <conditionalFormatting sqref="AF154">
    <cfRule type="cellIs" dxfId="2980" priority="556" operator="greaterThanOrEqual">
      <formula>0</formula>
    </cfRule>
  </conditionalFormatting>
  <conditionalFormatting sqref="P154">
    <cfRule type="cellIs" dxfId="2979" priority="553" operator="lessThan">
      <formula>0</formula>
    </cfRule>
  </conditionalFormatting>
  <conditionalFormatting sqref="P154">
    <cfRule type="cellIs" dxfId="2978" priority="554" operator="greaterThanOrEqual">
      <formula>0</formula>
    </cfRule>
  </conditionalFormatting>
  <conditionalFormatting sqref="AJ154">
    <cfRule type="cellIs" dxfId="2977" priority="551" operator="lessThan">
      <formula>0</formula>
    </cfRule>
  </conditionalFormatting>
  <conditionalFormatting sqref="AJ154">
    <cfRule type="cellIs" dxfId="2976" priority="552" operator="greaterThanOrEqual">
      <formula>0</formula>
    </cfRule>
  </conditionalFormatting>
  <conditionalFormatting sqref="AR154">
    <cfRule type="cellIs" dxfId="2975" priority="549" operator="lessThan">
      <formula>0</formula>
    </cfRule>
  </conditionalFormatting>
  <conditionalFormatting sqref="AR154">
    <cfRule type="cellIs" dxfId="2974" priority="550" operator="greaterThanOrEqual">
      <formula>0</formula>
    </cfRule>
  </conditionalFormatting>
  <conditionalFormatting sqref="AA154">
    <cfRule type="cellIs" dxfId="2973" priority="547" operator="lessThan">
      <formula>0</formula>
    </cfRule>
  </conditionalFormatting>
  <conditionalFormatting sqref="AA154">
    <cfRule type="cellIs" dxfId="2972" priority="548" operator="greaterThanOrEqual">
      <formula>0</formula>
    </cfRule>
  </conditionalFormatting>
  <conditionalFormatting sqref="AE154">
    <cfRule type="cellIs" dxfId="2971" priority="545" operator="lessThan">
      <formula>0</formula>
    </cfRule>
  </conditionalFormatting>
  <conditionalFormatting sqref="AE154">
    <cfRule type="cellIs" dxfId="2970" priority="546" operator="greaterThanOrEqual">
      <formula>0</formula>
    </cfRule>
  </conditionalFormatting>
  <conditionalFormatting sqref="AI154">
    <cfRule type="cellIs" dxfId="2969" priority="543" operator="lessThan">
      <formula>0</formula>
    </cfRule>
  </conditionalFormatting>
  <conditionalFormatting sqref="AI154">
    <cfRule type="cellIs" dxfId="2968" priority="544" operator="greaterThanOrEqual">
      <formula>0</formula>
    </cfRule>
  </conditionalFormatting>
  <conditionalFormatting sqref="AN154">
    <cfRule type="cellIs" dxfId="2967" priority="539" operator="lessThan">
      <formula>0</formula>
    </cfRule>
  </conditionalFormatting>
  <conditionalFormatting sqref="AN154">
    <cfRule type="cellIs" dxfId="2966" priority="540" operator="greaterThanOrEqual">
      <formula>0</formula>
    </cfRule>
  </conditionalFormatting>
  <conditionalFormatting sqref="H154">
    <cfRule type="cellIs" dxfId="2965" priority="535" operator="lessThan">
      <formula>0</formula>
    </cfRule>
  </conditionalFormatting>
  <conditionalFormatting sqref="G154">
    <cfRule type="cellIs" dxfId="2964" priority="537" operator="lessThan">
      <formula>0</formula>
    </cfRule>
  </conditionalFormatting>
  <conditionalFormatting sqref="G154">
    <cfRule type="cellIs" dxfId="2963" priority="538" operator="greaterThanOrEqual">
      <formula>0</formula>
    </cfRule>
  </conditionalFormatting>
  <conditionalFormatting sqref="H154">
    <cfRule type="cellIs" dxfId="2962" priority="536" operator="greaterThanOrEqual">
      <formula>0</formula>
    </cfRule>
  </conditionalFormatting>
  <conditionalFormatting sqref="S158 W158">
    <cfRule type="cellIs" dxfId="2961" priority="529" operator="lessThan">
      <formula>0</formula>
    </cfRule>
  </conditionalFormatting>
  <conditionalFormatting sqref="S158 W158">
    <cfRule type="cellIs" dxfId="2960" priority="530" operator="greaterThanOrEqual">
      <formula>0</formula>
    </cfRule>
  </conditionalFormatting>
  <conditionalFormatting sqref="K158">
    <cfRule type="cellIs" dxfId="2959" priority="531" operator="lessThanOrEqual">
      <formula>0</formula>
    </cfRule>
  </conditionalFormatting>
  <conditionalFormatting sqref="K158">
    <cfRule type="cellIs" dxfId="2958" priority="532" operator="greaterThan">
      <formula>0</formula>
    </cfRule>
  </conditionalFormatting>
  <conditionalFormatting sqref="O158">
    <cfRule type="cellIs" dxfId="2957" priority="533" operator="lessThan">
      <formula>0</formula>
    </cfRule>
  </conditionalFormatting>
  <conditionalFormatting sqref="O158">
    <cfRule type="cellIs" dxfId="2956" priority="534" operator="greaterThanOrEqual">
      <formula>0</formula>
    </cfRule>
  </conditionalFormatting>
  <conditionalFormatting sqref="AQ158">
    <cfRule type="cellIs" dxfId="2955" priority="527" operator="lessThan">
      <formula>0</formula>
    </cfRule>
  </conditionalFormatting>
  <conditionalFormatting sqref="AQ158">
    <cfRule type="cellIs" dxfId="2954" priority="528" operator="greaterThanOrEqual">
      <formula>0</formula>
    </cfRule>
  </conditionalFormatting>
  <conditionalFormatting sqref="L158">
    <cfRule type="cellIs" dxfId="2953" priority="525" operator="lessThanOrEqual">
      <formula>0</formula>
    </cfRule>
  </conditionalFormatting>
  <conditionalFormatting sqref="L158">
    <cfRule type="cellIs" dxfId="2952" priority="526" operator="greaterThan">
      <formula>0</formula>
    </cfRule>
  </conditionalFormatting>
  <conditionalFormatting sqref="T158">
    <cfRule type="cellIs" dxfId="2951" priority="523" operator="lessThan">
      <formula>0</formula>
    </cfRule>
  </conditionalFormatting>
  <conditionalFormatting sqref="T158">
    <cfRule type="cellIs" dxfId="2950" priority="524" operator="greaterThanOrEqual">
      <formula>0</formula>
    </cfRule>
  </conditionalFormatting>
  <conditionalFormatting sqref="X158">
    <cfRule type="cellIs" dxfId="2949" priority="521" operator="lessThan">
      <formula>0</formula>
    </cfRule>
  </conditionalFormatting>
  <conditionalFormatting sqref="X158">
    <cfRule type="cellIs" dxfId="2948" priority="522" operator="greaterThanOrEqual">
      <formula>0</formula>
    </cfRule>
  </conditionalFormatting>
  <conditionalFormatting sqref="AB158">
    <cfRule type="cellIs" dxfId="2947" priority="519" operator="lessThan">
      <formula>0</formula>
    </cfRule>
  </conditionalFormatting>
  <conditionalFormatting sqref="AB158">
    <cfRule type="cellIs" dxfId="2946" priority="520" operator="greaterThanOrEqual">
      <formula>0</formula>
    </cfRule>
  </conditionalFormatting>
  <conditionalFormatting sqref="AF158">
    <cfRule type="cellIs" dxfId="2945" priority="517" operator="lessThan">
      <formula>0</formula>
    </cfRule>
  </conditionalFormatting>
  <conditionalFormatting sqref="AF158">
    <cfRule type="cellIs" dxfId="2944" priority="518" operator="greaterThanOrEqual">
      <formula>0</formula>
    </cfRule>
  </conditionalFormatting>
  <conditionalFormatting sqref="P158">
    <cfRule type="cellIs" dxfId="2943" priority="515" operator="lessThan">
      <formula>0</formula>
    </cfRule>
  </conditionalFormatting>
  <conditionalFormatting sqref="P158">
    <cfRule type="cellIs" dxfId="2942" priority="516" operator="greaterThanOrEqual">
      <formula>0</formula>
    </cfRule>
  </conditionalFormatting>
  <conditionalFormatting sqref="AJ158">
    <cfRule type="cellIs" dxfId="2941" priority="513" operator="lessThan">
      <formula>0</formula>
    </cfRule>
  </conditionalFormatting>
  <conditionalFormatting sqref="AJ158">
    <cfRule type="cellIs" dxfId="2940" priority="514" operator="greaterThanOrEqual">
      <formula>0</formula>
    </cfRule>
  </conditionalFormatting>
  <conditionalFormatting sqref="AR158">
    <cfRule type="cellIs" dxfId="2939" priority="511" operator="lessThan">
      <formula>0</formula>
    </cfRule>
  </conditionalFormatting>
  <conditionalFormatting sqref="AR158">
    <cfRule type="cellIs" dxfId="2938" priority="512" operator="greaterThanOrEqual">
      <formula>0</formula>
    </cfRule>
  </conditionalFormatting>
  <conditionalFormatting sqref="AA158">
    <cfRule type="cellIs" dxfId="2937" priority="509" operator="lessThan">
      <formula>0</formula>
    </cfRule>
  </conditionalFormatting>
  <conditionalFormatting sqref="AA158">
    <cfRule type="cellIs" dxfId="2936" priority="510" operator="greaterThanOrEqual">
      <formula>0</formula>
    </cfRule>
  </conditionalFormatting>
  <conditionalFormatting sqref="AE158">
    <cfRule type="cellIs" dxfId="2935" priority="507" operator="lessThan">
      <formula>0</formula>
    </cfRule>
  </conditionalFormatting>
  <conditionalFormatting sqref="AE158">
    <cfRule type="cellIs" dxfId="2934" priority="508" operator="greaterThanOrEqual">
      <formula>0</formula>
    </cfRule>
  </conditionalFormatting>
  <conditionalFormatting sqref="AI158">
    <cfRule type="cellIs" dxfId="2933" priority="505" operator="lessThan">
      <formula>0</formula>
    </cfRule>
  </conditionalFormatting>
  <conditionalFormatting sqref="AI158">
    <cfRule type="cellIs" dxfId="2932" priority="506" operator="greaterThanOrEqual">
      <formula>0</formula>
    </cfRule>
  </conditionalFormatting>
  <conditionalFormatting sqref="AN158">
    <cfRule type="cellIs" dxfId="2931" priority="501" operator="lessThan">
      <formula>0</formula>
    </cfRule>
  </conditionalFormatting>
  <conditionalFormatting sqref="AN158">
    <cfRule type="cellIs" dxfId="2930" priority="502" operator="greaterThanOrEqual">
      <formula>0</formula>
    </cfRule>
  </conditionalFormatting>
  <conditionalFormatting sqref="H158">
    <cfRule type="cellIs" dxfId="2929" priority="497" operator="lessThan">
      <formula>0</formula>
    </cfRule>
  </conditionalFormatting>
  <conditionalFormatting sqref="G158">
    <cfRule type="cellIs" dxfId="2928" priority="499" operator="lessThan">
      <formula>0</formula>
    </cfRule>
  </conditionalFormatting>
  <conditionalFormatting sqref="G158">
    <cfRule type="cellIs" dxfId="2927" priority="500" operator="greaterThanOrEqual">
      <formula>0</formula>
    </cfRule>
  </conditionalFormatting>
  <conditionalFormatting sqref="H158">
    <cfRule type="cellIs" dxfId="2926" priority="498" operator="greaterThanOrEqual">
      <formula>0</formula>
    </cfRule>
  </conditionalFormatting>
  <conditionalFormatting sqref="S162 W162">
    <cfRule type="cellIs" dxfId="2925" priority="491" operator="lessThan">
      <formula>0</formula>
    </cfRule>
  </conditionalFormatting>
  <conditionalFormatting sqref="S162 W162">
    <cfRule type="cellIs" dxfId="2924" priority="492" operator="greaterThanOrEqual">
      <formula>0</formula>
    </cfRule>
  </conditionalFormatting>
  <conditionalFormatting sqref="K162">
    <cfRule type="cellIs" dxfId="2923" priority="493" operator="lessThanOrEqual">
      <formula>0</formula>
    </cfRule>
  </conditionalFormatting>
  <conditionalFormatting sqref="K162">
    <cfRule type="cellIs" dxfId="2922" priority="494" operator="greaterThan">
      <formula>0</formula>
    </cfRule>
  </conditionalFormatting>
  <conditionalFormatting sqref="O162">
    <cfRule type="cellIs" dxfId="2921" priority="495" operator="lessThan">
      <formula>0</formula>
    </cfRule>
  </conditionalFormatting>
  <conditionalFormatting sqref="O162">
    <cfRule type="cellIs" dxfId="2920" priority="496" operator="greaterThanOrEqual">
      <formula>0</formula>
    </cfRule>
  </conditionalFormatting>
  <conditionalFormatting sqref="AQ162">
    <cfRule type="cellIs" dxfId="2919" priority="489" operator="lessThan">
      <formula>0</formula>
    </cfRule>
  </conditionalFormatting>
  <conditionalFormatting sqref="AQ162">
    <cfRule type="cellIs" dxfId="2918" priority="490" operator="greaterThanOrEqual">
      <formula>0</formula>
    </cfRule>
  </conditionalFormatting>
  <conditionalFormatting sqref="L162">
    <cfRule type="cellIs" dxfId="2917" priority="487" operator="lessThanOrEqual">
      <formula>0</formula>
    </cfRule>
  </conditionalFormatting>
  <conditionalFormatting sqref="L162">
    <cfRule type="cellIs" dxfId="2916" priority="488" operator="greaterThan">
      <formula>0</formula>
    </cfRule>
  </conditionalFormatting>
  <conditionalFormatting sqref="T162">
    <cfRule type="cellIs" dxfId="2915" priority="485" operator="lessThan">
      <formula>0</formula>
    </cfRule>
  </conditionalFormatting>
  <conditionalFormatting sqref="T162">
    <cfRule type="cellIs" dxfId="2914" priority="486" operator="greaterThanOrEqual">
      <formula>0</formula>
    </cfRule>
  </conditionalFormatting>
  <conditionalFormatting sqref="X162">
    <cfRule type="cellIs" dxfId="2913" priority="483" operator="lessThan">
      <formula>0</formula>
    </cfRule>
  </conditionalFormatting>
  <conditionalFormatting sqref="X162">
    <cfRule type="cellIs" dxfId="2912" priority="484" operator="greaterThanOrEqual">
      <formula>0</formula>
    </cfRule>
  </conditionalFormatting>
  <conditionalFormatting sqref="AB162">
    <cfRule type="cellIs" dxfId="2911" priority="481" operator="lessThan">
      <formula>0</formula>
    </cfRule>
  </conditionalFormatting>
  <conditionalFormatting sqref="AB162">
    <cfRule type="cellIs" dxfId="2910" priority="482" operator="greaterThanOrEqual">
      <formula>0</formula>
    </cfRule>
  </conditionalFormatting>
  <conditionalFormatting sqref="AF162">
    <cfRule type="cellIs" dxfId="2909" priority="479" operator="lessThan">
      <formula>0</formula>
    </cfRule>
  </conditionalFormatting>
  <conditionalFormatting sqref="AF162">
    <cfRule type="cellIs" dxfId="2908" priority="480" operator="greaterThanOrEqual">
      <formula>0</formula>
    </cfRule>
  </conditionalFormatting>
  <conditionalFormatting sqref="P162">
    <cfRule type="cellIs" dxfId="2907" priority="477" operator="lessThan">
      <formula>0</formula>
    </cfRule>
  </conditionalFormatting>
  <conditionalFormatting sqref="P162">
    <cfRule type="cellIs" dxfId="2906" priority="478" operator="greaterThanOrEqual">
      <formula>0</formula>
    </cfRule>
  </conditionalFormatting>
  <conditionalFormatting sqref="AJ162">
    <cfRule type="cellIs" dxfId="2905" priority="475" operator="lessThan">
      <formula>0</formula>
    </cfRule>
  </conditionalFormatting>
  <conditionalFormatting sqref="AJ162">
    <cfRule type="cellIs" dxfId="2904" priority="476" operator="greaterThanOrEqual">
      <formula>0</formula>
    </cfRule>
  </conditionalFormatting>
  <conditionalFormatting sqref="AR162">
    <cfRule type="cellIs" dxfId="2903" priority="473" operator="lessThan">
      <formula>0</formula>
    </cfRule>
  </conditionalFormatting>
  <conditionalFormatting sqref="AR162">
    <cfRule type="cellIs" dxfId="2902" priority="474" operator="greaterThanOrEqual">
      <formula>0</formula>
    </cfRule>
  </conditionalFormatting>
  <conditionalFormatting sqref="AA162">
    <cfRule type="cellIs" dxfId="2901" priority="471" operator="lessThan">
      <formula>0</formula>
    </cfRule>
  </conditionalFormatting>
  <conditionalFormatting sqref="AA162">
    <cfRule type="cellIs" dxfId="2900" priority="472" operator="greaterThanOrEqual">
      <formula>0</formula>
    </cfRule>
  </conditionalFormatting>
  <conditionalFormatting sqref="AE162">
    <cfRule type="cellIs" dxfId="2899" priority="469" operator="lessThan">
      <formula>0</formula>
    </cfRule>
  </conditionalFormatting>
  <conditionalFormatting sqref="AE162">
    <cfRule type="cellIs" dxfId="2898" priority="470" operator="greaterThanOrEqual">
      <formula>0</formula>
    </cfRule>
  </conditionalFormatting>
  <conditionalFormatting sqref="AI162">
    <cfRule type="cellIs" dxfId="2897" priority="467" operator="lessThan">
      <formula>0</formula>
    </cfRule>
  </conditionalFormatting>
  <conditionalFormatting sqref="AI162">
    <cfRule type="cellIs" dxfId="2896" priority="468" operator="greaterThanOrEqual">
      <formula>0</formula>
    </cfRule>
  </conditionalFormatting>
  <conditionalFormatting sqref="AN162">
    <cfRule type="cellIs" dxfId="2895" priority="463" operator="lessThan">
      <formula>0</formula>
    </cfRule>
  </conditionalFormatting>
  <conditionalFormatting sqref="AN162">
    <cfRule type="cellIs" dxfId="2894" priority="464" operator="greaterThanOrEqual">
      <formula>0</formula>
    </cfRule>
  </conditionalFormatting>
  <conditionalFormatting sqref="H162">
    <cfRule type="cellIs" dxfId="2893" priority="459" operator="lessThan">
      <formula>0</formula>
    </cfRule>
  </conditionalFormatting>
  <conditionalFormatting sqref="G162">
    <cfRule type="cellIs" dxfId="2892" priority="461" operator="lessThan">
      <formula>0</formula>
    </cfRule>
  </conditionalFormatting>
  <conditionalFormatting sqref="G162">
    <cfRule type="cellIs" dxfId="2891" priority="462" operator="greaterThanOrEqual">
      <formula>0</formula>
    </cfRule>
  </conditionalFormatting>
  <conditionalFormatting sqref="H162">
    <cfRule type="cellIs" dxfId="2890" priority="460" operator="greaterThanOrEqual">
      <formula>0</formula>
    </cfRule>
  </conditionalFormatting>
  <conditionalFormatting sqref="S166 W166">
    <cfRule type="cellIs" dxfId="2889" priority="453" operator="lessThan">
      <formula>0</formula>
    </cfRule>
  </conditionalFormatting>
  <conditionalFormatting sqref="S166 W166">
    <cfRule type="cellIs" dxfId="2888" priority="454" operator="greaterThanOrEqual">
      <formula>0</formula>
    </cfRule>
  </conditionalFormatting>
  <conditionalFormatting sqref="K166">
    <cfRule type="cellIs" dxfId="2887" priority="455" operator="lessThanOrEqual">
      <formula>0</formula>
    </cfRule>
  </conditionalFormatting>
  <conditionalFormatting sqref="K166">
    <cfRule type="cellIs" dxfId="2886" priority="456" operator="greaterThan">
      <formula>0</formula>
    </cfRule>
  </conditionalFormatting>
  <conditionalFormatting sqref="O166">
    <cfRule type="cellIs" dxfId="2885" priority="457" operator="lessThan">
      <formula>0</formula>
    </cfRule>
  </conditionalFormatting>
  <conditionalFormatting sqref="O166">
    <cfRule type="cellIs" dxfId="2884" priority="458" operator="greaterThanOrEqual">
      <formula>0</formula>
    </cfRule>
  </conditionalFormatting>
  <conditionalFormatting sqref="AQ166">
    <cfRule type="cellIs" dxfId="2883" priority="451" operator="lessThan">
      <formula>0</formula>
    </cfRule>
  </conditionalFormatting>
  <conditionalFormatting sqref="AQ166">
    <cfRule type="cellIs" dxfId="2882" priority="452" operator="greaterThanOrEqual">
      <formula>0</formula>
    </cfRule>
  </conditionalFormatting>
  <conditionalFormatting sqref="L166">
    <cfRule type="cellIs" dxfId="2881" priority="449" operator="lessThanOrEqual">
      <formula>0</formula>
    </cfRule>
  </conditionalFormatting>
  <conditionalFormatting sqref="L166">
    <cfRule type="cellIs" dxfId="2880" priority="450" operator="greaterThan">
      <formula>0</formula>
    </cfRule>
  </conditionalFormatting>
  <conditionalFormatting sqref="T166">
    <cfRule type="cellIs" dxfId="2879" priority="447" operator="lessThan">
      <formula>0</formula>
    </cfRule>
  </conditionalFormatting>
  <conditionalFormatting sqref="T166">
    <cfRule type="cellIs" dxfId="2878" priority="448" operator="greaterThanOrEqual">
      <formula>0</formula>
    </cfRule>
  </conditionalFormatting>
  <conditionalFormatting sqref="X166">
    <cfRule type="cellIs" dxfId="2877" priority="445" operator="lessThan">
      <formula>0</formula>
    </cfRule>
  </conditionalFormatting>
  <conditionalFormatting sqref="X166">
    <cfRule type="cellIs" dxfId="2876" priority="446" operator="greaterThanOrEqual">
      <formula>0</formula>
    </cfRule>
  </conditionalFormatting>
  <conditionalFormatting sqref="AB166">
    <cfRule type="cellIs" dxfId="2875" priority="443" operator="lessThan">
      <formula>0</formula>
    </cfRule>
  </conditionalFormatting>
  <conditionalFormatting sqref="AB166">
    <cfRule type="cellIs" dxfId="2874" priority="444" operator="greaterThanOrEqual">
      <formula>0</formula>
    </cfRule>
  </conditionalFormatting>
  <conditionalFormatting sqref="AF166">
    <cfRule type="cellIs" dxfId="2873" priority="441" operator="lessThan">
      <formula>0</formula>
    </cfRule>
  </conditionalFormatting>
  <conditionalFormatting sqref="AF166">
    <cfRule type="cellIs" dxfId="2872" priority="442" operator="greaterThanOrEqual">
      <formula>0</formula>
    </cfRule>
  </conditionalFormatting>
  <conditionalFormatting sqref="P166">
    <cfRule type="cellIs" dxfId="2871" priority="439" operator="lessThan">
      <formula>0</formula>
    </cfRule>
  </conditionalFormatting>
  <conditionalFormatting sqref="P166">
    <cfRule type="cellIs" dxfId="2870" priority="440" operator="greaterThanOrEqual">
      <formula>0</formula>
    </cfRule>
  </conditionalFormatting>
  <conditionalFormatting sqref="AJ166">
    <cfRule type="cellIs" dxfId="2869" priority="437" operator="lessThan">
      <formula>0</formula>
    </cfRule>
  </conditionalFormatting>
  <conditionalFormatting sqref="AJ166">
    <cfRule type="cellIs" dxfId="2868" priority="438" operator="greaterThanOrEqual">
      <formula>0</formula>
    </cfRule>
  </conditionalFormatting>
  <conditionalFormatting sqref="AR166">
    <cfRule type="cellIs" dxfId="2867" priority="435" operator="lessThan">
      <formula>0</formula>
    </cfRule>
  </conditionalFormatting>
  <conditionalFormatting sqref="AR166">
    <cfRule type="cellIs" dxfId="2866" priority="436" operator="greaterThanOrEqual">
      <formula>0</formula>
    </cfRule>
  </conditionalFormatting>
  <conditionalFormatting sqref="AA166">
    <cfRule type="cellIs" dxfId="2865" priority="433" operator="lessThan">
      <formula>0</formula>
    </cfRule>
  </conditionalFormatting>
  <conditionalFormatting sqref="AA166">
    <cfRule type="cellIs" dxfId="2864" priority="434" operator="greaterThanOrEqual">
      <formula>0</formula>
    </cfRule>
  </conditionalFormatting>
  <conditionalFormatting sqref="AE166">
    <cfRule type="cellIs" dxfId="2863" priority="431" operator="lessThan">
      <formula>0</formula>
    </cfRule>
  </conditionalFormatting>
  <conditionalFormatting sqref="AE166">
    <cfRule type="cellIs" dxfId="2862" priority="432" operator="greaterThanOrEqual">
      <formula>0</formula>
    </cfRule>
  </conditionalFormatting>
  <conditionalFormatting sqref="AI166">
    <cfRule type="cellIs" dxfId="2861" priority="429" operator="lessThan">
      <formula>0</formula>
    </cfRule>
  </conditionalFormatting>
  <conditionalFormatting sqref="AI166">
    <cfRule type="cellIs" dxfId="2860" priority="430" operator="greaterThanOrEqual">
      <formula>0</formula>
    </cfRule>
  </conditionalFormatting>
  <conditionalFormatting sqref="AN166">
    <cfRule type="cellIs" dxfId="2859" priority="425" operator="lessThan">
      <formula>0</formula>
    </cfRule>
  </conditionalFormatting>
  <conditionalFormatting sqref="AN166">
    <cfRule type="cellIs" dxfId="2858" priority="426" operator="greaterThanOrEqual">
      <formula>0</formula>
    </cfRule>
  </conditionalFormatting>
  <conditionalFormatting sqref="H166">
    <cfRule type="cellIs" dxfId="2857" priority="421" operator="lessThan">
      <formula>0</formula>
    </cfRule>
  </conditionalFormatting>
  <conditionalFormatting sqref="G166">
    <cfRule type="cellIs" dxfId="2856" priority="423" operator="lessThan">
      <formula>0</formula>
    </cfRule>
  </conditionalFormatting>
  <conditionalFormatting sqref="G166">
    <cfRule type="cellIs" dxfId="2855" priority="424" operator="greaterThanOrEqual">
      <formula>0</formula>
    </cfRule>
  </conditionalFormatting>
  <conditionalFormatting sqref="H166">
    <cfRule type="cellIs" dxfId="2854" priority="422" operator="greaterThanOrEqual">
      <formula>0</formula>
    </cfRule>
  </conditionalFormatting>
  <conditionalFormatting sqref="S170 W170">
    <cfRule type="cellIs" dxfId="2853" priority="415" operator="lessThan">
      <formula>0</formula>
    </cfRule>
  </conditionalFormatting>
  <conditionalFormatting sqref="S170 W170">
    <cfRule type="cellIs" dxfId="2852" priority="416" operator="greaterThanOrEqual">
      <formula>0</formula>
    </cfRule>
  </conditionalFormatting>
  <conditionalFormatting sqref="K170">
    <cfRule type="cellIs" dxfId="2851" priority="417" operator="lessThanOrEqual">
      <formula>0</formula>
    </cfRule>
  </conditionalFormatting>
  <conditionalFormatting sqref="K170">
    <cfRule type="cellIs" dxfId="2850" priority="418" operator="greaterThan">
      <formula>0</formula>
    </cfRule>
  </conditionalFormatting>
  <conditionalFormatting sqref="O170">
    <cfRule type="cellIs" dxfId="2849" priority="419" operator="lessThan">
      <formula>0</formula>
    </cfRule>
  </conditionalFormatting>
  <conditionalFormatting sqref="O170">
    <cfRule type="cellIs" dxfId="2848" priority="420" operator="greaterThanOrEqual">
      <formula>0</formula>
    </cfRule>
  </conditionalFormatting>
  <conditionalFormatting sqref="AQ170">
    <cfRule type="cellIs" dxfId="2847" priority="413" operator="lessThan">
      <formula>0</formula>
    </cfRule>
  </conditionalFormatting>
  <conditionalFormatting sqref="AQ170">
    <cfRule type="cellIs" dxfId="2846" priority="414" operator="greaterThanOrEqual">
      <formula>0</formula>
    </cfRule>
  </conditionalFormatting>
  <conditionalFormatting sqref="L170">
    <cfRule type="cellIs" dxfId="2845" priority="411" operator="lessThanOrEqual">
      <formula>0</formula>
    </cfRule>
  </conditionalFormatting>
  <conditionalFormatting sqref="L170">
    <cfRule type="cellIs" dxfId="2844" priority="412" operator="greaterThan">
      <formula>0</formula>
    </cfRule>
  </conditionalFormatting>
  <conditionalFormatting sqref="T170">
    <cfRule type="cellIs" dxfId="2843" priority="409" operator="lessThan">
      <formula>0</formula>
    </cfRule>
  </conditionalFormatting>
  <conditionalFormatting sqref="T170">
    <cfRule type="cellIs" dxfId="2842" priority="410" operator="greaterThanOrEqual">
      <formula>0</formula>
    </cfRule>
  </conditionalFormatting>
  <conditionalFormatting sqref="X170">
    <cfRule type="cellIs" dxfId="2841" priority="407" operator="lessThan">
      <formula>0</formula>
    </cfRule>
  </conditionalFormatting>
  <conditionalFormatting sqref="X170">
    <cfRule type="cellIs" dxfId="2840" priority="408" operator="greaterThanOrEqual">
      <formula>0</formula>
    </cfRule>
  </conditionalFormatting>
  <conditionalFormatting sqref="AB170">
    <cfRule type="cellIs" dxfId="2839" priority="405" operator="lessThan">
      <formula>0</formula>
    </cfRule>
  </conditionalFormatting>
  <conditionalFormatting sqref="AB170">
    <cfRule type="cellIs" dxfId="2838" priority="406" operator="greaterThanOrEqual">
      <formula>0</formula>
    </cfRule>
  </conditionalFormatting>
  <conditionalFormatting sqref="AF170">
    <cfRule type="cellIs" dxfId="2837" priority="403" operator="lessThan">
      <formula>0</formula>
    </cfRule>
  </conditionalFormatting>
  <conditionalFormatting sqref="AF170">
    <cfRule type="cellIs" dxfId="2836" priority="404" operator="greaterThanOrEqual">
      <formula>0</formula>
    </cfRule>
  </conditionalFormatting>
  <conditionalFormatting sqref="P170">
    <cfRule type="cellIs" dxfId="2835" priority="401" operator="lessThan">
      <formula>0</formula>
    </cfRule>
  </conditionalFormatting>
  <conditionalFormatting sqref="P170">
    <cfRule type="cellIs" dxfId="2834" priority="402" operator="greaterThanOrEqual">
      <formula>0</formula>
    </cfRule>
  </conditionalFormatting>
  <conditionalFormatting sqref="AJ170">
    <cfRule type="cellIs" dxfId="2833" priority="399" operator="lessThan">
      <formula>0</formula>
    </cfRule>
  </conditionalFormatting>
  <conditionalFormatting sqref="AJ170">
    <cfRule type="cellIs" dxfId="2832" priority="400" operator="greaterThanOrEqual">
      <formula>0</formula>
    </cfRule>
  </conditionalFormatting>
  <conditionalFormatting sqref="AR170">
    <cfRule type="cellIs" dxfId="2831" priority="397" operator="lessThan">
      <formula>0</formula>
    </cfRule>
  </conditionalFormatting>
  <conditionalFormatting sqref="AR170">
    <cfRule type="cellIs" dxfId="2830" priority="398" operator="greaterThanOrEqual">
      <formula>0</formula>
    </cfRule>
  </conditionalFormatting>
  <conditionalFormatting sqref="AA170">
    <cfRule type="cellIs" dxfId="2829" priority="395" operator="lessThan">
      <formula>0</formula>
    </cfRule>
  </conditionalFormatting>
  <conditionalFormatting sqref="AA170">
    <cfRule type="cellIs" dxfId="2828" priority="396" operator="greaterThanOrEqual">
      <formula>0</formula>
    </cfRule>
  </conditionalFormatting>
  <conditionalFormatting sqref="AE170">
    <cfRule type="cellIs" dxfId="2827" priority="393" operator="lessThan">
      <formula>0</formula>
    </cfRule>
  </conditionalFormatting>
  <conditionalFormatting sqref="AE170">
    <cfRule type="cellIs" dxfId="2826" priority="394" operator="greaterThanOrEqual">
      <formula>0</formula>
    </cfRule>
  </conditionalFormatting>
  <conditionalFormatting sqref="AI170">
    <cfRule type="cellIs" dxfId="2825" priority="391" operator="lessThan">
      <formula>0</formula>
    </cfRule>
  </conditionalFormatting>
  <conditionalFormatting sqref="AI170">
    <cfRule type="cellIs" dxfId="2824" priority="392" operator="greaterThanOrEqual">
      <formula>0</formula>
    </cfRule>
  </conditionalFormatting>
  <conditionalFormatting sqref="AN170">
    <cfRule type="cellIs" dxfId="2823" priority="387" operator="lessThan">
      <formula>0</formula>
    </cfRule>
  </conditionalFormatting>
  <conditionalFormatting sqref="AN170">
    <cfRule type="cellIs" dxfId="2822" priority="388" operator="greaterThanOrEqual">
      <formula>0</formula>
    </cfRule>
  </conditionalFormatting>
  <conditionalFormatting sqref="H170">
    <cfRule type="cellIs" dxfId="2821" priority="383" operator="lessThan">
      <formula>0</formula>
    </cfRule>
  </conditionalFormatting>
  <conditionalFormatting sqref="G170">
    <cfRule type="cellIs" dxfId="2820" priority="385" operator="lessThan">
      <formula>0</formula>
    </cfRule>
  </conditionalFormatting>
  <conditionalFormatting sqref="G170">
    <cfRule type="cellIs" dxfId="2819" priority="386" operator="greaterThanOrEqual">
      <formula>0</formula>
    </cfRule>
  </conditionalFormatting>
  <conditionalFormatting sqref="H170">
    <cfRule type="cellIs" dxfId="2818" priority="384" operator="greaterThanOrEqual">
      <formula>0</formula>
    </cfRule>
  </conditionalFormatting>
  <conditionalFormatting sqref="S174 W174">
    <cfRule type="cellIs" dxfId="2817" priority="377" operator="lessThan">
      <formula>0</formula>
    </cfRule>
  </conditionalFormatting>
  <conditionalFormatting sqref="S174 W174">
    <cfRule type="cellIs" dxfId="2816" priority="378" operator="greaterThanOrEqual">
      <formula>0</formula>
    </cfRule>
  </conditionalFormatting>
  <conditionalFormatting sqref="K174">
    <cfRule type="cellIs" dxfId="2815" priority="379" operator="lessThanOrEqual">
      <formula>0</formula>
    </cfRule>
  </conditionalFormatting>
  <conditionalFormatting sqref="K174">
    <cfRule type="cellIs" dxfId="2814" priority="380" operator="greaterThan">
      <formula>0</formula>
    </cfRule>
  </conditionalFormatting>
  <conditionalFormatting sqref="O174">
    <cfRule type="cellIs" dxfId="2813" priority="381" operator="lessThan">
      <formula>0</formula>
    </cfRule>
  </conditionalFormatting>
  <conditionalFormatting sqref="O174">
    <cfRule type="cellIs" dxfId="2812" priority="382" operator="greaterThanOrEqual">
      <formula>0</formula>
    </cfRule>
  </conditionalFormatting>
  <conditionalFormatting sqref="AQ174">
    <cfRule type="cellIs" dxfId="2811" priority="375" operator="lessThan">
      <formula>0</formula>
    </cfRule>
  </conditionalFormatting>
  <conditionalFormatting sqref="AQ174">
    <cfRule type="cellIs" dxfId="2810" priority="376" operator="greaterThanOrEqual">
      <formula>0</formula>
    </cfRule>
  </conditionalFormatting>
  <conditionalFormatting sqref="L174">
    <cfRule type="cellIs" dxfId="2809" priority="373" operator="lessThanOrEqual">
      <formula>0</formula>
    </cfRule>
  </conditionalFormatting>
  <conditionalFormatting sqref="L174">
    <cfRule type="cellIs" dxfId="2808" priority="374" operator="greaterThan">
      <formula>0</formula>
    </cfRule>
  </conditionalFormatting>
  <conditionalFormatting sqref="T174">
    <cfRule type="cellIs" dxfId="2807" priority="371" operator="lessThan">
      <formula>0</formula>
    </cfRule>
  </conditionalFormatting>
  <conditionalFormatting sqref="T174">
    <cfRule type="cellIs" dxfId="2806" priority="372" operator="greaterThanOrEqual">
      <formula>0</formula>
    </cfRule>
  </conditionalFormatting>
  <conditionalFormatting sqref="X174">
    <cfRule type="cellIs" dxfId="2805" priority="369" operator="lessThan">
      <formula>0</formula>
    </cfRule>
  </conditionalFormatting>
  <conditionalFormatting sqref="X174">
    <cfRule type="cellIs" dxfId="2804" priority="370" operator="greaterThanOrEqual">
      <formula>0</formula>
    </cfRule>
  </conditionalFormatting>
  <conditionalFormatting sqref="AB174">
    <cfRule type="cellIs" dxfId="2803" priority="367" operator="lessThan">
      <formula>0</formula>
    </cfRule>
  </conditionalFormatting>
  <conditionalFormatting sqref="AB174">
    <cfRule type="cellIs" dxfId="2802" priority="368" operator="greaterThanOrEqual">
      <formula>0</formula>
    </cfRule>
  </conditionalFormatting>
  <conditionalFormatting sqref="AF174">
    <cfRule type="cellIs" dxfId="2801" priority="365" operator="lessThan">
      <formula>0</formula>
    </cfRule>
  </conditionalFormatting>
  <conditionalFormatting sqref="AF174">
    <cfRule type="cellIs" dxfId="2800" priority="366" operator="greaterThanOrEqual">
      <formula>0</formula>
    </cfRule>
  </conditionalFormatting>
  <conditionalFormatting sqref="P174">
    <cfRule type="cellIs" dxfId="2799" priority="363" operator="lessThan">
      <formula>0</formula>
    </cfRule>
  </conditionalFormatting>
  <conditionalFormatting sqref="P174">
    <cfRule type="cellIs" dxfId="2798" priority="364" operator="greaterThanOrEqual">
      <formula>0</formula>
    </cfRule>
  </conditionalFormatting>
  <conditionalFormatting sqref="AJ174">
    <cfRule type="cellIs" dxfId="2797" priority="361" operator="lessThan">
      <formula>0</formula>
    </cfRule>
  </conditionalFormatting>
  <conditionalFormatting sqref="AJ174">
    <cfRule type="cellIs" dxfId="2796" priority="362" operator="greaterThanOrEqual">
      <formula>0</formula>
    </cfRule>
  </conditionalFormatting>
  <conditionalFormatting sqref="AR174">
    <cfRule type="cellIs" dxfId="2795" priority="359" operator="lessThan">
      <formula>0</formula>
    </cfRule>
  </conditionalFormatting>
  <conditionalFormatting sqref="AR174">
    <cfRule type="cellIs" dxfId="2794" priority="360" operator="greaterThanOrEqual">
      <formula>0</formula>
    </cfRule>
  </conditionalFormatting>
  <conditionalFormatting sqref="AA174">
    <cfRule type="cellIs" dxfId="2793" priority="357" operator="lessThan">
      <formula>0</formula>
    </cfRule>
  </conditionalFormatting>
  <conditionalFormatting sqref="AA174">
    <cfRule type="cellIs" dxfId="2792" priority="358" operator="greaterThanOrEqual">
      <formula>0</formula>
    </cfRule>
  </conditionalFormatting>
  <conditionalFormatting sqref="AE174">
    <cfRule type="cellIs" dxfId="2791" priority="355" operator="lessThan">
      <formula>0</formula>
    </cfRule>
  </conditionalFormatting>
  <conditionalFormatting sqref="AE174">
    <cfRule type="cellIs" dxfId="2790" priority="356" operator="greaterThanOrEqual">
      <formula>0</formula>
    </cfRule>
  </conditionalFormatting>
  <conditionalFormatting sqref="AI174">
    <cfRule type="cellIs" dxfId="2789" priority="353" operator="lessThan">
      <formula>0</formula>
    </cfRule>
  </conditionalFormatting>
  <conditionalFormatting sqref="AI174">
    <cfRule type="cellIs" dxfId="2788" priority="354" operator="greaterThanOrEqual">
      <formula>0</formula>
    </cfRule>
  </conditionalFormatting>
  <conditionalFormatting sqref="AN174">
    <cfRule type="cellIs" dxfId="2787" priority="349" operator="lessThan">
      <formula>0</formula>
    </cfRule>
  </conditionalFormatting>
  <conditionalFormatting sqref="AN174">
    <cfRule type="cellIs" dxfId="2786" priority="350" operator="greaterThanOrEqual">
      <formula>0</formula>
    </cfRule>
  </conditionalFormatting>
  <conditionalFormatting sqref="H174">
    <cfRule type="cellIs" dxfId="2785" priority="345" operator="lessThan">
      <formula>0</formula>
    </cfRule>
  </conditionalFormatting>
  <conditionalFormatting sqref="G174">
    <cfRule type="cellIs" dxfId="2784" priority="347" operator="lessThan">
      <formula>0</formula>
    </cfRule>
  </conditionalFormatting>
  <conditionalFormatting sqref="G174">
    <cfRule type="cellIs" dxfId="2783" priority="348" operator="greaterThanOrEqual">
      <formula>0</formula>
    </cfRule>
  </conditionalFormatting>
  <conditionalFormatting sqref="H174">
    <cfRule type="cellIs" dxfId="2782" priority="346" operator="greaterThanOrEqual">
      <formula>0</formula>
    </cfRule>
  </conditionalFormatting>
  <conditionalFormatting sqref="S178 W178">
    <cfRule type="cellIs" dxfId="2781" priority="339" operator="lessThan">
      <formula>0</formula>
    </cfRule>
  </conditionalFormatting>
  <conditionalFormatting sqref="S178 W178">
    <cfRule type="cellIs" dxfId="2780" priority="340" operator="greaterThanOrEqual">
      <formula>0</formula>
    </cfRule>
  </conditionalFormatting>
  <conditionalFormatting sqref="K178">
    <cfRule type="cellIs" dxfId="2779" priority="341" operator="lessThanOrEqual">
      <formula>0</formula>
    </cfRule>
  </conditionalFormatting>
  <conditionalFormatting sqref="K178">
    <cfRule type="cellIs" dxfId="2778" priority="342" operator="greaterThan">
      <formula>0</formula>
    </cfRule>
  </conditionalFormatting>
  <conditionalFormatting sqref="O178">
    <cfRule type="cellIs" dxfId="2777" priority="343" operator="lessThan">
      <formula>0</formula>
    </cfRule>
  </conditionalFormatting>
  <conditionalFormatting sqref="O178">
    <cfRule type="cellIs" dxfId="2776" priority="344" operator="greaterThanOrEqual">
      <formula>0</formula>
    </cfRule>
  </conditionalFormatting>
  <conditionalFormatting sqref="AQ178">
    <cfRule type="cellIs" dxfId="2775" priority="337" operator="lessThan">
      <formula>0</formula>
    </cfRule>
  </conditionalFormatting>
  <conditionalFormatting sqref="AQ178">
    <cfRule type="cellIs" dxfId="2774" priority="338" operator="greaterThanOrEqual">
      <formula>0</formula>
    </cfRule>
  </conditionalFormatting>
  <conditionalFormatting sqref="L178">
    <cfRule type="cellIs" dxfId="2773" priority="335" operator="lessThanOrEqual">
      <formula>0</formula>
    </cfRule>
  </conditionalFormatting>
  <conditionalFormatting sqref="L178">
    <cfRule type="cellIs" dxfId="2772" priority="336" operator="greaterThan">
      <formula>0</formula>
    </cfRule>
  </conditionalFormatting>
  <conditionalFormatting sqref="T178">
    <cfRule type="cellIs" dxfId="2771" priority="333" operator="lessThan">
      <formula>0</formula>
    </cfRule>
  </conditionalFormatting>
  <conditionalFormatting sqref="T178">
    <cfRule type="cellIs" dxfId="2770" priority="334" operator="greaterThanOrEqual">
      <formula>0</formula>
    </cfRule>
  </conditionalFormatting>
  <conditionalFormatting sqref="X178">
    <cfRule type="cellIs" dxfId="2769" priority="331" operator="lessThan">
      <formula>0</formula>
    </cfRule>
  </conditionalFormatting>
  <conditionalFormatting sqref="X178">
    <cfRule type="cellIs" dxfId="2768" priority="332" operator="greaterThanOrEqual">
      <formula>0</formula>
    </cfRule>
  </conditionalFormatting>
  <conditionalFormatting sqref="AB178">
    <cfRule type="cellIs" dxfId="2767" priority="329" operator="lessThan">
      <formula>0</formula>
    </cfRule>
  </conditionalFormatting>
  <conditionalFormatting sqref="AB178">
    <cfRule type="cellIs" dxfId="2766" priority="330" operator="greaterThanOrEqual">
      <formula>0</formula>
    </cfRule>
  </conditionalFormatting>
  <conditionalFormatting sqref="AF178">
    <cfRule type="cellIs" dxfId="2765" priority="327" operator="lessThan">
      <formula>0</formula>
    </cfRule>
  </conditionalFormatting>
  <conditionalFormatting sqref="AF178">
    <cfRule type="cellIs" dxfId="2764" priority="328" operator="greaterThanOrEqual">
      <formula>0</formula>
    </cfRule>
  </conditionalFormatting>
  <conditionalFormatting sqref="P178">
    <cfRule type="cellIs" dxfId="2763" priority="325" operator="lessThan">
      <formula>0</formula>
    </cfRule>
  </conditionalFormatting>
  <conditionalFormatting sqref="P178">
    <cfRule type="cellIs" dxfId="2762" priority="326" operator="greaterThanOrEqual">
      <formula>0</formula>
    </cfRule>
  </conditionalFormatting>
  <conditionalFormatting sqref="AJ178">
    <cfRule type="cellIs" dxfId="2761" priority="323" operator="lessThan">
      <formula>0</formula>
    </cfRule>
  </conditionalFormatting>
  <conditionalFormatting sqref="AJ178">
    <cfRule type="cellIs" dxfId="2760" priority="324" operator="greaterThanOrEqual">
      <formula>0</formula>
    </cfRule>
  </conditionalFormatting>
  <conditionalFormatting sqref="AR178">
    <cfRule type="cellIs" dxfId="2759" priority="321" operator="lessThan">
      <formula>0</formula>
    </cfRule>
  </conditionalFormatting>
  <conditionalFormatting sqref="AR178">
    <cfRule type="cellIs" dxfId="2758" priority="322" operator="greaterThanOrEqual">
      <formula>0</formula>
    </cfRule>
  </conditionalFormatting>
  <conditionalFormatting sqref="AA178">
    <cfRule type="cellIs" dxfId="2757" priority="319" operator="lessThan">
      <formula>0</formula>
    </cfRule>
  </conditionalFormatting>
  <conditionalFormatting sqref="AA178">
    <cfRule type="cellIs" dxfId="2756" priority="320" operator="greaterThanOrEqual">
      <formula>0</formula>
    </cfRule>
  </conditionalFormatting>
  <conditionalFormatting sqref="AE178">
    <cfRule type="cellIs" dxfId="2755" priority="317" operator="lessThan">
      <formula>0</formula>
    </cfRule>
  </conditionalFormatting>
  <conditionalFormatting sqref="AE178">
    <cfRule type="cellIs" dxfId="2754" priority="318" operator="greaterThanOrEqual">
      <formula>0</formula>
    </cfRule>
  </conditionalFormatting>
  <conditionalFormatting sqref="AI178">
    <cfRule type="cellIs" dxfId="2753" priority="315" operator="lessThan">
      <formula>0</formula>
    </cfRule>
  </conditionalFormatting>
  <conditionalFormatting sqref="AI178">
    <cfRule type="cellIs" dxfId="2752" priority="316" operator="greaterThanOrEqual">
      <formula>0</formula>
    </cfRule>
  </conditionalFormatting>
  <conditionalFormatting sqref="AN178">
    <cfRule type="cellIs" dxfId="2751" priority="311" operator="lessThan">
      <formula>0</formula>
    </cfRule>
  </conditionalFormatting>
  <conditionalFormatting sqref="AN178">
    <cfRule type="cellIs" dxfId="2750" priority="312" operator="greaterThanOrEqual">
      <formula>0</formula>
    </cfRule>
  </conditionalFormatting>
  <conditionalFormatting sqref="H178">
    <cfRule type="cellIs" dxfId="2749" priority="307" operator="lessThan">
      <formula>0</formula>
    </cfRule>
  </conditionalFormatting>
  <conditionalFormatting sqref="G178">
    <cfRule type="cellIs" dxfId="2748" priority="309" operator="lessThan">
      <formula>0</formula>
    </cfRule>
  </conditionalFormatting>
  <conditionalFormatting sqref="G178">
    <cfRule type="cellIs" dxfId="2747" priority="310" operator="greaterThanOrEqual">
      <formula>0</formula>
    </cfRule>
  </conditionalFormatting>
  <conditionalFormatting sqref="H178">
    <cfRule type="cellIs" dxfId="2746" priority="308" operator="greaterThanOrEqual">
      <formula>0</formula>
    </cfRule>
  </conditionalFormatting>
  <conditionalFormatting sqref="S182 W182">
    <cfRule type="cellIs" dxfId="2745" priority="301" operator="lessThan">
      <formula>0</formula>
    </cfRule>
  </conditionalFormatting>
  <conditionalFormatting sqref="S182 W182">
    <cfRule type="cellIs" dxfId="2744" priority="302" operator="greaterThanOrEqual">
      <formula>0</formula>
    </cfRule>
  </conditionalFormatting>
  <conditionalFormatting sqref="K182">
    <cfRule type="cellIs" dxfId="2743" priority="303" operator="lessThanOrEqual">
      <formula>0</formula>
    </cfRule>
  </conditionalFormatting>
  <conditionalFormatting sqref="K182">
    <cfRule type="cellIs" dxfId="2742" priority="304" operator="greaterThan">
      <formula>0</formula>
    </cfRule>
  </conditionalFormatting>
  <conditionalFormatting sqref="O182">
    <cfRule type="cellIs" dxfId="2741" priority="305" operator="lessThan">
      <formula>0</formula>
    </cfRule>
  </conditionalFormatting>
  <conditionalFormatting sqref="O182">
    <cfRule type="cellIs" dxfId="2740" priority="306" operator="greaterThanOrEqual">
      <formula>0</formula>
    </cfRule>
  </conditionalFormatting>
  <conditionalFormatting sqref="AQ182">
    <cfRule type="cellIs" dxfId="2739" priority="299" operator="lessThan">
      <formula>0</formula>
    </cfRule>
  </conditionalFormatting>
  <conditionalFormatting sqref="AQ182">
    <cfRule type="cellIs" dxfId="2738" priority="300" operator="greaterThanOrEqual">
      <formula>0</formula>
    </cfRule>
  </conditionalFormatting>
  <conditionalFormatting sqref="L182">
    <cfRule type="cellIs" dxfId="2737" priority="297" operator="lessThanOrEqual">
      <formula>0</formula>
    </cfRule>
  </conditionalFormatting>
  <conditionalFormatting sqref="L182">
    <cfRule type="cellIs" dxfId="2736" priority="298" operator="greaterThan">
      <formula>0</formula>
    </cfRule>
  </conditionalFormatting>
  <conditionalFormatting sqref="T182">
    <cfRule type="cellIs" dxfId="2735" priority="295" operator="lessThan">
      <formula>0</formula>
    </cfRule>
  </conditionalFormatting>
  <conditionalFormatting sqref="T182">
    <cfRule type="cellIs" dxfId="2734" priority="296" operator="greaterThanOrEqual">
      <formula>0</formula>
    </cfRule>
  </conditionalFormatting>
  <conditionalFormatting sqref="X182">
    <cfRule type="cellIs" dxfId="2733" priority="293" operator="lessThan">
      <formula>0</formula>
    </cfRule>
  </conditionalFormatting>
  <conditionalFormatting sqref="X182">
    <cfRule type="cellIs" dxfId="2732" priority="294" operator="greaterThanOrEqual">
      <formula>0</formula>
    </cfRule>
  </conditionalFormatting>
  <conditionalFormatting sqref="AB182">
    <cfRule type="cellIs" dxfId="2731" priority="291" operator="lessThan">
      <formula>0</formula>
    </cfRule>
  </conditionalFormatting>
  <conditionalFormatting sqref="AB182">
    <cfRule type="cellIs" dxfId="2730" priority="292" operator="greaterThanOrEqual">
      <formula>0</formula>
    </cfRule>
  </conditionalFormatting>
  <conditionalFormatting sqref="AF182">
    <cfRule type="cellIs" dxfId="2729" priority="289" operator="lessThan">
      <formula>0</formula>
    </cfRule>
  </conditionalFormatting>
  <conditionalFormatting sqref="AF182">
    <cfRule type="cellIs" dxfId="2728" priority="290" operator="greaterThanOrEqual">
      <formula>0</formula>
    </cfRule>
  </conditionalFormatting>
  <conditionalFormatting sqref="P182">
    <cfRule type="cellIs" dxfId="2727" priority="287" operator="lessThan">
      <formula>0</formula>
    </cfRule>
  </conditionalFormatting>
  <conditionalFormatting sqref="P182">
    <cfRule type="cellIs" dxfId="2726" priority="288" operator="greaterThanOrEqual">
      <formula>0</formula>
    </cfRule>
  </conditionalFormatting>
  <conditionalFormatting sqref="AJ182">
    <cfRule type="cellIs" dxfId="2725" priority="285" operator="lessThan">
      <formula>0</formula>
    </cfRule>
  </conditionalFormatting>
  <conditionalFormatting sqref="AJ182">
    <cfRule type="cellIs" dxfId="2724" priority="286" operator="greaterThanOrEqual">
      <formula>0</formula>
    </cfRule>
  </conditionalFormatting>
  <conditionalFormatting sqref="AR182">
    <cfRule type="cellIs" dxfId="2723" priority="283" operator="lessThan">
      <formula>0</formula>
    </cfRule>
  </conditionalFormatting>
  <conditionalFormatting sqref="AR182">
    <cfRule type="cellIs" dxfId="2722" priority="284" operator="greaterThanOrEqual">
      <formula>0</formula>
    </cfRule>
  </conditionalFormatting>
  <conditionalFormatting sqref="AA182">
    <cfRule type="cellIs" dxfId="2721" priority="281" operator="lessThan">
      <formula>0</formula>
    </cfRule>
  </conditionalFormatting>
  <conditionalFormatting sqref="AA182">
    <cfRule type="cellIs" dxfId="2720" priority="282" operator="greaterThanOrEqual">
      <formula>0</formula>
    </cfRule>
  </conditionalFormatting>
  <conditionalFormatting sqref="AE182">
    <cfRule type="cellIs" dxfId="2719" priority="279" operator="lessThan">
      <formula>0</formula>
    </cfRule>
  </conditionalFormatting>
  <conditionalFormatting sqref="AE182">
    <cfRule type="cellIs" dxfId="2718" priority="280" operator="greaterThanOrEqual">
      <formula>0</formula>
    </cfRule>
  </conditionalFormatting>
  <conditionalFormatting sqref="AI182">
    <cfRule type="cellIs" dxfId="2717" priority="277" operator="lessThan">
      <formula>0</formula>
    </cfRule>
  </conditionalFormatting>
  <conditionalFormatting sqref="AI182">
    <cfRule type="cellIs" dxfId="2716" priority="278" operator="greaterThanOrEqual">
      <formula>0</formula>
    </cfRule>
  </conditionalFormatting>
  <conditionalFormatting sqref="AN182">
    <cfRule type="cellIs" dxfId="2715" priority="273" operator="lessThan">
      <formula>0</formula>
    </cfRule>
  </conditionalFormatting>
  <conditionalFormatting sqref="AN182">
    <cfRule type="cellIs" dxfId="2714" priority="274" operator="greaterThanOrEqual">
      <formula>0</formula>
    </cfRule>
  </conditionalFormatting>
  <conditionalFormatting sqref="H182">
    <cfRule type="cellIs" dxfId="2713" priority="269" operator="lessThan">
      <formula>0</formula>
    </cfRule>
  </conditionalFormatting>
  <conditionalFormatting sqref="G182">
    <cfRule type="cellIs" dxfId="2712" priority="271" operator="lessThan">
      <formula>0</formula>
    </cfRule>
  </conditionalFormatting>
  <conditionalFormatting sqref="G182">
    <cfRule type="cellIs" dxfId="2711" priority="272" operator="greaterThanOrEqual">
      <formula>0</formula>
    </cfRule>
  </conditionalFormatting>
  <conditionalFormatting sqref="H182">
    <cfRule type="cellIs" dxfId="2710" priority="270" operator="greaterThanOrEqual">
      <formula>0</formula>
    </cfRule>
  </conditionalFormatting>
  <conditionalFormatting sqref="S186 W186">
    <cfRule type="cellIs" dxfId="2709" priority="263" operator="lessThan">
      <formula>0</formula>
    </cfRule>
  </conditionalFormatting>
  <conditionalFormatting sqref="S186 W186">
    <cfRule type="cellIs" dxfId="2708" priority="264" operator="greaterThanOrEqual">
      <formula>0</formula>
    </cfRule>
  </conditionalFormatting>
  <conditionalFormatting sqref="K186">
    <cfRule type="cellIs" dxfId="2707" priority="265" operator="lessThanOrEqual">
      <formula>0</formula>
    </cfRule>
  </conditionalFormatting>
  <conditionalFormatting sqref="K186">
    <cfRule type="cellIs" dxfId="2706" priority="266" operator="greaterThan">
      <formula>0</formula>
    </cfRule>
  </conditionalFormatting>
  <conditionalFormatting sqref="O186">
    <cfRule type="cellIs" dxfId="2705" priority="267" operator="lessThan">
      <formula>0</formula>
    </cfRule>
  </conditionalFormatting>
  <conditionalFormatting sqref="O186">
    <cfRule type="cellIs" dxfId="2704" priority="268" operator="greaterThanOrEqual">
      <formula>0</formula>
    </cfRule>
  </conditionalFormatting>
  <conditionalFormatting sqref="AQ186">
    <cfRule type="cellIs" dxfId="2703" priority="261" operator="lessThan">
      <formula>0</formula>
    </cfRule>
  </conditionalFormatting>
  <conditionalFormatting sqref="AQ186">
    <cfRule type="cellIs" dxfId="2702" priority="262" operator="greaterThanOrEqual">
      <formula>0</formula>
    </cfRule>
  </conditionalFormatting>
  <conditionalFormatting sqref="L186">
    <cfRule type="cellIs" dxfId="2701" priority="259" operator="lessThanOrEqual">
      <formula>0</formula>
    </cfRule>
  </conditionalFormatting>
  <conditionalFormatting sqref="L186">
    <cfRule type="cellIs" dxfId="2700" priority="260" operator="greaterThan">
      <formula>0</formula>
    </cfRule>
  </conditionalFormatting>
  <conditionalFormatting sqref="T186">
    <cfRule type="cellIs" dxfId="2699" priority="257" operator="lessThan">
      <formula>0</formula>
    </cfRule>
  </conditionalFormatting>
  <conditionalFormatting sqref="T186">
    <cfRule type="cellIs" dxfId="2698" priority="258" operator="greaterThanOrEqual">
      <formula>0</formula>
    </cfRule>
  </conditionalFormatting>
  <conditionalFormatting sqref="X186">
    <cfRule type="cellIs" dxfId="2697" priority="255" operator="lessThan">
      <formula>0</formula>
    </cfRule>
  </conditionalFormatting>
  <conditionalFormatting sqref="X186">
    <cfRule type="cellIs" dxfId="2696" priority="256" operator="greaterThanOrEqual">
      <formula>0</formula>
    </cfRule>
  </conditionalFormatting>
  <conditionalFormatting sqref="AB186">
    <cfRule type="cellIs" dxfId="2695" priority="253" operator="lessThan">
      <formula>0</formula>
    </cfRule>
  </conditionalFormatting>
  <conditionalFormatting sqref="AB186">
    <cfRule type="cellIs" dxfId="2694" priority="254" operator="greaterThanOrEqual">
      <formula>0</formula>
    </cfRule>
  </conditionalFormatting>
  <conditionalFormatting sqref="AF186">
    <cfRule type="cellIs" dxfId="2693" priority="251" operator="lessThan">
      <formula>0</formula>
    </cfRule>
  </conditionalFormatting>
  <conditionalFormatting sqref="AF186">
    <cfRule type="cellIs" dxfId="2692" priority="252" operator="greaterThanOrEqual">
      <formula>0</formula>
    </cfRule>
  </conditionalFormatting>
  <conditionalFormatting sqref="P186">
    <cfRule type="cellIs" dxfId="2691" priority="249" operator="lessThan">
      <formula>0</formula>
    </cfRule>
  </conditionalFormatting>
  <conditionalFormatting sqref="P186">
    <cfRule type="cellIs" dxfId="2690" priority="250" operator="greaterThanOrEqual">
      <formula>0</formula>
    </cfRule>
  </conditionalFormatting>
  <conditionalFormatting sqref="AJ186">
    <cfRule type="cellIs" dxfId="2689" priority="247" operator="lessThan">
      <formula>0</formula>
    </cfRule>
  </conditionalFormatting>
  <conditionalFormatting sqref="AJ186">
    <cfRule type="cellIs" dxfId="2688" priority="248" operator="greaterThanOrEqual">
      <formula>0</formula>
    </cfRule>
  </conditionalFormatting>
  <conditionalFormatting sqref="AR186">
    <cfRule type="cellIs" dxfId="2687" priority="245" operator="lessThan">
      <formula>0</formula>
    </cfRule>
  </conditionalFormatting>
  <conditionalFormatting sqref="AR186">
    <cfRule type="cellIs" dxfId="2686" priority="246" operator="greaterThanOrEqual">
      <formula>0</formula>
    </cfRule>
  </conditionalFormatting>
  <conditionalFormatting sqref="AA186">
    <cfRule type="cellIs" dxfId="2685" priority="243" operator="lessThan">
      <formula>0</formula>
    </cfRule>
  </conditionalFormatting>
  <conditionalFormatting sqref="AA186">
    <cfRule type="cellIs" dxfId="2684" priority="244" operator="greaterThanOrEqual">
      <formula>0</formula>
    </cfRule>
  </conditionalFormatting>
  <conditionalFormatting sqref="AE186">
    <cfRule type="cellIs" dxfId="2683" priority="241" operator="lessThan">
      <formula>0</formula>
    </cfRule>
  </conditionalFormatting>
  <conditionalFormatting sqref="AE186">
    <cfRule type="cellIs" dxfId="2682" priority="242" operator="greaterThanOrEqual">
      <formula>0</formula>
    </cfRule>
  </conditionalFormatting>
  <conditionalFormatting sqref="AI186">
    <cfRule type="cellIs" dxfId="2681" priority="239" operator="lessThan">
      <formula>0</formula>
    </cfRule>
  </conditionalFormatting>
  <conditionalFormatting sqref="AI186">
    <cfRule type="cellIs" dxfId="2680" priority="240" operator="greaterThanOrEqual">
      <formula>0</formula>
    </cfRule>
  </conditionalFormatting>
  <conditionalFormatting sqref="AN186">
    <cfRule type="cellIs" dxfId="2679" priority="235" operator="lessThan">
      <formula>0</formula>
    </cfRule>
  </conditionalFormatting>
  <conditionalFormatting sqref="AN186">
    <cfRule type="cellIs" dxfId="2678" priority="236" operator="greaterThanOrEqual">
      <formula>0</formula>
    </cfRule>
  </conditionalFormatting>
  <conditionalFormatting sqref="H186">
    <cfRule type="cellIs" dxfId="2677" priority="231" operator="lessThan">
      <formula>0</formula>
    </cfRule>
  </conditionalFormatting>
  <conditionalFormatting sqref="G186">
    <cfRule type="cellIs" dxfId="2676" priority="233" operator="lessThan">
      <formula>0</formula>
    </cfRule>
  </conditionalFormatting>
  <conditionalFormatting sqref="G186">
    <cfRule type="cellIs" dxfId="2675" priority="234" operator="greaterThanOrEqual">
      <formula>0</formula>
    </cfRule>
  </conditionalFormatting>
  <conditionalFormatting sqref="H186">
    <cfRule type="cellIs" dxfId="2674" priority="232" operator="greaterThanOrEqual">
      <formula>0</formula>
    </cfRule>
  </conditionalFormatting>
  <conditionalFormatting sqref="S190 W190">
    <cfRule type="cellIs" dxfId="2673" priority="225" operator="lessThan">
      <formula>0</formula>
    </cfRule>
  </conditionalFormatting>
  <conditionalFormatting sqref="S190 W190">
    <cfRule type="cellIs" dxfId="2672" priority="226" operator="greaterThanOrEqual">
      <formula>0</formula>
    </cfRule>
  </conditionalFormatting>
  <conditionalFormatting sqref="K190">
    <cfRule type="cellIs" dxfId="2671" priority="227" operator="lessThanOrEqual">
      <formula>0</formula>
    </cfRule>
  </conditionalFormatting>
  <conditionalFormatting sqref="K190">
    <cfRule type="cellIs" dxfId="2670" priority="228" operator="greaterThan">
      <formula>0</formula>
    </cfRule>
  </conditionalFormatting>
  <conditionalFormatting sqref="O190">
    <cfRule type="cellIs" dxfId="2669" priority="229" operator="lessThan">
      <formula>0</formula>
    </cfRule>
  </conditionalFormatting>
  <conditionalFormatting sqref="O190">
    <cfRule type="cellIs" dxfId="2668" priority="230" operator="greaterThanOrEqual">
      <formula>0</formula>
    </cfRule>
  </conditionalFormatting>
  <conditionalFormatting sqref="AQ190">
    <cfRule type="cellIs" dxfId="2667" priority="223" operator="lessThan">
      <formula>0</formula>
    </cfRule>
  </conditionalFormatting>
  <conditionalFormatting sqref="AQ190">
    <cfRule type="cellIs" dxfId="2666" priority="224" operator="greaterThanOrEqual">
      <formula>0</formula>
    </cfRule>
  </conditionalFormatting>
  <conditionalFormatting sqref="L190">
    <cfRule type="cellIs" dxfId="2665" priority="221" operator="lessThanOrEqual">
      <formula>0</formula>
    </cfRule>
  </conditionalFormatting>
  <conditionalFormatting sqref="L190">
    <cfRule type="cellIs" dxfId="2664" priority="222" operator="greaterThan">
      <formula>0</formula>
    </cfRule>
  </conditionalFormatting>
  <conditionalFormatting sqref="T190">
    <cfRule type="cellIs" dxfId="2663" priority="219" operator="lessThan">
      <formula>0</formula>
    </cfRule>
  </conditionalFormatting>
  <conditionalFormatting sqref="T190">
    <cfRule type="cellIs" dxfId="2662" priority="220" operator="greaterThanOrEqual">
      <formula>0</formula>
    </cfRule>
  </conditionalFormatting>
  <conditionalFormatting sqref="X190">
    <cfRule type="cellIs" dxfId="2661" priority="217" operator="lessThan">
      <formula>0</formula>
    </cfRule>
  </conditionalFormatting>
  <conditionalFormatting sqref="X190">
    <cfRule type="cellIs" dxfId="2660" priority="218" operator="greaterThanOrEqual">
      <formula>0</formula>
    </cfRule>
  </conditionalFormatting>
  <conditionalFormatting sqref="AB190">
    <cfRule type="cellIs" dxfId="2659" priority="215" operator="lessThan">
      <formula>0</formula>
    </cfRule>
  </conditionalFormatting>
  <conditionalFormatting sqref="AB190">
    <cfRule type="cellIs" dxfId="2658" priority="216" operator="greaterThanOrEqual">
      <formula>0</formula>
    </cfRule>
  </conditionalFormatting>
  <conditionalFormatting sqref="AF190">
    <cfRule type="cellIs" dxfId="2657" priority="213" operator="lessThan">
      <formula>0</formula>
    </cfRule>
  </conditionalFormatting>
  <conditionalFormatting sqref="AF190">
    <cfRule type="cellIs" dxfId="2656" priority="214" operator="greaterThanOrEqual">
      <formula>0</formula>
    </cfRule>
  </conditionalFormatting>
  <conditionalFormatting sqref="P190">
    <cfRule type="cellIs" dxfId="2655" priority="211" operator="lessThan">
      <formula>0</formula>
    </cfRule>
  </conditionalFormatting>
  <conditionalFormatting sqref="P190">
    <cfRule type="cellIs" dxfId="2654" priority="212" operator="greaterThanOrEqual">
      <formula>0</formula>
    </cfRule>
  </conditionalFormatting>
  <conditionalFormatting sqref="AJ190">
    <cfRule type="cellIs" dxfId="2653" priority="209" operator="lessThan">
      <formula>0</formula>
    </cfRule>
  </conditionalFormatting>
  <conditionalFormatting sqref="AJ190">
    <cfRule type="cellIs" dxfId="2652" priority="210" operator="greaterThanOrEqual">
      <formula>0</formula>
    </cfRule>
  </conditionalFormatting>
  <conditionalFormatting sqref="AR190">
    <cfRule type="cellIs" dxfId="2651" priority="207" operator="lessThan">
      <formula>0</formula>
    </cfRule>
  </conditionalFormatting>
  <conditionalFormatting sqref="AR190">
    <cfRule type="cellIs" dxfId="2650" priority="208" operator="greaterThanOrEqual">
      <formula>0</formula>
    </cfRule>
  </conditionalFormatting>
  <conditionalFormatting sqref="AA190">
    <cfRule type="cellIs" dxfId="2649" priority="205" operator="lessThan">
      <formula>0</formula>
    </cfRule>
  </conditionalFormatting>
  <conditionalFormatting sqref="AA190">
    <cfRule type="cellIs" dxfId="2648" priority="206" operator="greaterThanOrEqual">
      <formula>0</formula>
    </cfRule>
  </conditionalFormatting>
  <conditionalFormatting sqref="AE190">
    <cfRule type="cellIs" dxfId="2647" priority="203" operator="lessThan">
      <formula>0</formula>
    </cfRule>
  </conditionalFormatting>
  <conditionalFormatting sqref="AE190">
    <cfRule type="cellIs" dxfId="2646" priority="204" operator="greaterThanOrEqual">
      <formula>0</formula>
    </cfRule>
  </conditionalFormatting>
  <conditionalFormatting sqref="AI190">
    <cfRule type="cellIs" dxfId="2645" priority="201" operator="lessThan">
      <formula>0</formula>
    </cfRule>
  </conditionalFormatting>
  <conditionalFormatting sqref="AI190">
    <cfRule type="cellIs" dxfId="2644" priority="202" operator="greaterThanOrEqual">
      <formula>0</formula>
    </cfRule>
  </conditionalFormatting>
  <conditionalFormatting sqref="AN190">
    <cfRule type="cellIs" dxfId="2643" priority="197" operator="lessThan">
      <formula>0</formula>
    </cfRule>
  </conditionalFormatting>
  <conditionalFormatting sqref="AN190">
    <cfRule type="cellIs" dxfId="2642" priority="198" operator="greaterThanOrEqual">
      <formula>0</formula>
    </cfRule>
  </conditionalFormatting>
  <conditionalFormatting sqref="H190">
    <cfRule type="cellIs" dxfId="2641" priority="193" operator="lessThan">
      <formula>0</formula>
    </cfRule>
  </conditionalFormatting>
  <conditionalFormatting sqref="G190">
    <cfRule type="cellIs" dxfId="2640" priority="195" operator="lessThan">
      <formula>0</formula>
    </cfRule>
  </conditionalFormatting>
  <conditionalFormatting sqref="G190">
    <cfRule type="cellIs" dxfId="2639" priority="196" operator="greaterThanOrEqual">
      <formula>0</formula>
    </cfRule>
  </conditionalFormatting>
  <conditionalFormatting sqref="H190">
    <cfRule type="cellIs" dxfId="2638" priority="194" operator="greaterThanOrEqual">
      <formula>0</formula>
    </cfRule>
  </conditionalFormatting>
  <conditionalFormatting sqref="S194 W194">
    <cfRule type="cellIs" dxfId="2637" priority="187" operator="lessThan">
      <formula>0</formula>
    </cfRule>
  </conditionalFormatting>
  <conditionalFormatting sqref="S194 W194">
    <cfRule type="cellIs" dxfId="2636" priority="188" operator="greaterThanOrEqual">
      <formula>0</formula>
    </cfRule>
  </conditionalFormatting>
  <conditionalFormatting sqref="K194">
    <cfRule type="cellIs" dxfId="2635" priority="189" operator="lessThanOrEqual">
      <formula>0</formula>
    </cfRule>
  </conditionalFormatting>
  <conditionalFormatting sqref="K194">
    <cfRule type="cellIs" dxfId="2634" priority="190" operator="greaterThan">
      <formula>0</formula>
    </cfRule>
  </conditionalFormatting>
  <conditionalFormatting sqref="O194">
    <cfRule type="cellIs" dxfId="2633" priority="191" operator="lessThan">
      <formula>0</formula>
    </cfRule>
  </conditionalFormatting>
  <conditionalFormatting sqref="O194">
    <cfRule type="cellIs" dxfId="2632" priority="192" operator="greaterThanOrEqual">
      <formula>0</formula>
    </cfRule>
  </conditionalFormatting>
  <conditionalFormatting sqref="AQ194">
    <cfRule type="cellIs" dxfId="2631" priority="185" operator="lessThan">
      <formula>0</formula>
    </cfRule>
  </conditionalFormatting>
  <conditionalFormatting sqref="AQ194">
    <cfRule type="cellIs" dxfId="2630" priority="186" operator="greaterThanOrEqual">
      <formula>0</formula>
    </cfRule>
  </conditionalFormatting>
  <conditionalFormatting sqref="L194">
    <cfRule type="cellIs" dxfId="2629" priority="183" operator="lessThanOrEqual">
      <formula>0</formula>
    </cfRule>
  </conditionalFormatting>
  <conditionalFormatting sqref="L194">
    <cfRule type="cellIs" dxfId="2628" priority="184" operator="greaterThan">
      <formula>0</formula>
    </cfRule>
  </conditionalFormatting>
  <conditionalFormatting sqref="T194">
    <cfRule type="cellIs" dxfId="2627" priority="181" operator="lessThan">
      <formula>0</formula>
    </cfRule>
  </conditionalFormatting>
  <conditionalFormatting sqref="T194">
    <cfRule type="cellIs" dxfId="2626" priority="182" operator="greaterThanOrEqual">
      <formula>0</formula>
    </cfRule>
  </conditionalFormatting>
  <conditionalFormatting sqref="X194">
    <cfRule type="cellIs" dxfId="2625" priority="179" operator="lessThan">
      <formula>0</formula>
    </cfRule>
  </conditionalFormatting>
  <conditionalFormatting sqref="X194">
    <cfRule type="cellIs" dxfId="2624" priority="180" operator="greaterThanOrEqual">
      <formula>0</formula>
    </cfRule>
  </conditionalFormatting>
  <conditionalFormatting sqref="AB194">
    <cfRule type="cellIs" dxfId="2623" priority="177" operator="lessThan">
      <formula>0</formula>
    </cfRule>
  </conditionalFormatting>
  <conditionalFormatting sqref="AB194">
    <cfRule type="cellIs" dxfId="2622" priority="178" operator="greaterThanOrEqual">
      <formula>0</formula>
    </cfRule>
  </conditionalFormatting>
  <conditionalFormatting sqref="AF194">
    <cfRule type="cellIs" dxfId="2621" priority="175" operator="lessThan">
      <formula>0</formula>
    </cfRule>
  </conditionalFormatting>
  <conditionalFormatting sqref="AF194">
    <cfRule type="cellIs" dxfId="2620" priority="176" operator="greaterThanOrEqual">
      <formula>0</formula>
    </cfRule>
  </conditionalFormatting>
  <conditionalFormatting sqref="P194">
    <cfRule type="cellIs" dxfId="2619" priority="173" operator="lessThan">
      <formula>0</formula>
    </cfRule>
  </conditionalFormatting>
  <conditionalFormatting sqref="P194">
    <cfRule type="cellIs" dxfId="2618" priority="174" operator="greaterThanOrEqual">
      <formula>0</formula>
    </cfRule>
  </conditionalFormatting>
  <conditionalFormatting sqref="AJ194">
    <cfRule type="cellIs" dxfId="2617" priority="171" operator="lessThan">
      <formula>0</formula>
    </cfRule>
  </conditionalFormatting>
  <conditionalFormatting sqref="AJ194">
    <cfRule type="cellIs" dxfId="2616" priority="172" operator="greaterThanOrEqual">
      <formula>0</formula>
    </cfRule>
  </conditionalFormatting>
  <conditionalFormatting sqref="AR194">
    <cfRule type="cellIs" dxfId="2615" priority="169" operator="lessThan">
      <formula>0</formula>
    </cfRule>
  </conditionalFormatting>
  <conditionalFormatting sqref="AR194">
    <cfRule type="cellIs" dxfId="2614" priority="170" operator="greaterThanOrEqual">
      <formula>0</formula>
    </cfRule>
  </conditionalFormatting>
  <conditionalFormatting sqref="AA194">
    <cfRule type="cellIs" dxfId="2613" priority="167" operator="lessThan">
      <formula>0</formula>
    </cfRule>
  </conditionalFormatting>
  <conditionalFormatting sqref="AA194">
    <cfRule type="cellIs" dxfId="2612" priority="168" operator="greaterThanOrEqual">
      <formula>0</formula>
    </cfRule>
  </conditionalFormatting>
  <conditionalFormatting sqref="AE194">
    <cfRule type="cellIs" dxfId="2611" priority="165" operator="lessThan">
      <formula>0</formula>
    </cfRule>
  </conditionalFormatting>
  <conditionalFormatting sqref="AE194">
    <cfRule type="cellIs" dxfId="2610" priority="166" operator="greaterThanOrEqual">
      <formula>0</formula>
    </cfRule>
  </conditionalFormatting>
  <conditionalFormatting sqref="AI194">
    <cfRule type="cellIs" dxfId="2609" priority="163" operator="lessThan">
      <formula>0</formula>
    </cfRule>
  </conditionalFormatting>
  <conditionalFormatting sqref="AI194">
    <cfRule type="cellIs" dxfId="2608" priority="164" operator="greaterThanOrEqual">
      <formula>0</formula>
    </cfRule>
  </conditionalFormatting>
  <conditionalFormatting sqref="AN194">
    <cfRule type="cellIs" dxfId="2607" priority="159" operator="lessThan">
      <formula>0</formula>
    </cfRule>
  </conditionalFormatting>
  <conditionalFormatting sqref="AN194">
    <cfRule type="cellIs" dxfId="2606" priority="160" operator="greaterThanOrEqual">
      <formula>0</formula>
    </cfRule>
  </conditionalFormatting>
  <conditionalFormatting sqref="H194">
    <cfRule type="cellIs" dxfId="2605" priority="155" operator="lessThan">
      <formula>0</formula>
    </cfRule>
  </conditionalFormatting>
  <conditionalFormatting sqref="G194">
    <cfRule type="cellIs" dxfId="2604" priority="157" operator="lessThan">
      <formula>0</formula>
    </cfRule>
  </conditionalFormatting>
  <conditionalFormatting sqref="G194">
    <cfRule type="cellIs" dxfId="2603" priority="158" operator="greaterThanOrEqual">
      <formula>0</formula>
    </cfRule>
  </conditionalFormatting>
  <conditionalFormatting sqref="H194">
    <cfRule type="cellIs" dxfId="2602" priority="156" operator="greaterThanOrEqual">
      <formula>0</formula>
    </cfRule>
  </conditionalFormatting>
  <conditionalFormatting sqref="S198 W198">
    <cfRule type="cellIs" dxfId="2601" priority="149" operator="lessThan">
      <formula>0</formula>
    </cfRule>
  </conditionalFormatting>
  <conditionalFormatting sqref="S198 W198">
    <cfRule type="cellIs" dxfId="2600" priority="150" operator="greaterThanOrEqual">
      <formula>0</formula>
    </cfRule>
  </conditionalFormatting>
  <conditionalFormatting sqref="K198">
    <cfRule type="cellIs" dxfId="2599" priority="151" operator="lessThanOrEqual">
      <formula>0</formula>
    </cfRule>
  </conditionalFormatting>
  <conditionalFormatting sqref="K198">
    <cfRule type="cellIs" dxfId="2598" priority="152" operator="greaterThan">
      <formula>0</formula>
    </cfRule>
  </conditionalFormatting>
  <conditionalFormatting sqref="O198">
    <cfRule type="cellIs" dxfId="2597" priority="153" operator="lessThan">
      <formula>0</formula>
    </cfRule>
  </conditionalFormatting>
  <conditionalFormatting sqref="O198">
    <cfRule type="cellIs" dxfId="2596" priority="154" operator="greaterThanOrEqual">
      <formula>0</formula>
    </cfRule>
  </conditionalFormatting>
  <conditionalFormatting sqref="AQ198">
    <cfRule type="cellIs" dxfId="2595" priority="147" operator="lessThan">
      <formula>0</formula>
    </cfRule>
  </conditionalFormatting>
  <conditionalFormatting sqref="AQ198">
    <cfRule type="cellIs" dxfId="2594" priority="148" operator="greaterThanOrEqual">
      <formula>0</formula>
    </cfRule>
  </conditionalFormatting>
  <conditionalFormatting sqref="L198">
    <cfRule type="cellIs" dxfId="2593" priority="145" operator="lessThanOrEqual">
      <formula>0</formula>
    </cfRule>
  </conditionalFormatting>
  <conditionalFormatting sqref="L198">
    <cfRule type="cellIs" dxfId="2592" priority="146" operator="greaterThan">
      <formula>0</formula>
    </cfRule>
  </conditionalFormatting>
  <conditionalFormatting sqref="T198">
    <cfRule type="cellIs" dxfId="2591" priority="143" operator="lessThan">
      <formula>0</formula>
    </cfRule>
  </conditionalFormatting>
  <conditionalFormatting sqref="T198">
    <cfRule type="cellIs" dxfId="2590" priority="144" operator="greaterThanOrEqual">
      <formula>0</formula>
    </cfRule>
  </conditionalFormatting>
  <conditionalFormatting sqref="X198">
    <cfRule type="cellIs" dxfId="2589" priority="141" operator="lessThan">
      <formula>0</formula>
    </cfRule>
  </conditionalFormatting>
  <conditionalFormatting sqref="X198">
    <cfRule type="cellIs" dxfId="2588" priority="142" operator="greaterThanOrEqual">
      <formula>0</formula>
    </cfRule>
  </conditionalFormatting>
  <conditionalFormatting sqref="AB198">
    <cfRule type="cellIs" dxfId="2587" priority="139" operator="lessThan">
      <formula>0</formula>
    </cfRule>
  </conditionalFormatting>
  <conditionalFormatting sqref="AB198">
    <cfRule type="cellIs" dxfId="2586" priority="140" operator="greaterThanOrEqual">
      <formula>0</formula>
    </cfRule>
  </conditionalFormatting>
  <conditionalFormatting sqref="AF198">
    <cfRule type="cellIs" dxfId="2585" priority="137" operator="lessThan">
      <formula>0</formula>
    </cfRule>
  </conditionalFormatting>
  <conditionalFormatting sqref="AF198">
    <cfRule type="cellIs" dxfId="2584" priority="138" operator="greaterThanOrEqual">
      <formula>0</formula>
    </cfRule>
  </conditionalFormatting>
  <conditionalFormatting sqref="P198">
    <cfRule type="cellIs" dxfId="2583" priority="135" operator="lessThan">
      <formula>0</formula>
    </cfRule>
  </conditionalFormatting>
  <conditionalFormatting sqref="P198">
    <cfRule type="cellIs" dxfId="2582" priority="136" operator="greaterThanOrEqual">
      <formula>0</formula>
    </cfRule>
  </conditionalFormatting>
  <conditionalFormatting sqref="AJ198">
    <cfRule type="cellIs" dxfId="2581" priority="133" operator="lessThan">
      <formula>0</formula>
    </cfRule>
  </conditionalFormatting>
  <conditionalFormatting sqref="AJ198">
    <cfRule type="cellIs" dxfId="2580" priority="134" operator="greaterThanOrEqual">
      <formula>0</formula>
    </cfRule>
  </conditionalFormatting>
  <conditionalFormatting sqref="AR198">
    <cfRule type="cellIs" dxfId="2579" priority="131" operator="lessThan">
      <formula>0</formula>
    </cfRule>
  </conditionalFormatting>
  <conditionalFormatting sqref="AR198">
    <cfRule type="cellIs" dxfId="2578" priority="132" operator="greaterThanOrEqual">
      <formula>0</formula>
    </cfRule>
  </conditionalFormatting>
  <conditionalFormatting sqref="AA198">
    <cfRule type="cellIs" dxfId="2577" priority="129" operator="lessThan">
      <formula>0</formula>
    </cfRule>
  </conditionalFormatting>
  <conditionalFormatting sqref="AA198">
    <cfRule type="cellIs" dxfId="2576" priority="130" operator="greaterThanOrEqual">
      <formula>0</formula>
    </cfRule>
  </conditionalFormatting>
  <conditionalFormatting sqref="AE198">
    <cfRule type="cellIs" dxfId="2575" priority="127" operator="lessThan">
      <formula>0</formula>
    </cfRule>
  </conditionalFormatting>
  <conditionalFormatting sqref="AE198">
    <cfRule type="cellIs" dxfId="2574" priority="128" operator="greaterThanOrEqual">
      <formula>0</formula>
    </cfRule>
  </conditionalFormatting>
  <conditionalFormatting sqref="AI198">
    <cfRule type="cellIs" dxfId="2573" priority="125" operator="lessThan">
      <formula>0</formula>
    </cfRule>
  </conditionalFormatting>
  <conditionalFormatting sqref="AI198">
    <cfRule type="cellIs" dxfId="2572" priority="126" operator="greaterThanOrEqual">
      <formula>0</formula>
    </cfRule>
  </conditionalFormatting>
  <conditionalFormatting sqref="AN198">
    <cfRule type="cellIs" dxfId="2571" priority="121" operator="lessThan">
      <formula>0</formula>
    </cfRule>
  </conditionalFormatting>
  <conditionalFormatting sqref="AN198">
    <cfRule type="cellIs" dxfId="2570" priority="122" operator="greaterThanOrEqual">
      <formula>0</formula>
    </cfRule>
  </conditionalFormatting>
  <conditionalFormatting sqref="H198">
    <cfRule type="cellIs" dxfId="2569" priority="117" operator="lessThan">
      <formula>0</formula>
    </cfRule>
  </conditionalFormatting>
  <conditionalFormatting sqref="G198">
    <cfRule type="cellIs" dxfId="2568" priority="119" operator="lessThan">
      <formula>0</formula>
    </cfRule>
  </conditionalFormatting>
  <conditionalFormatting sqref="G198">
    <cfRule type="cellIs" dxfId="2567" priority="120" operator="greaterThanOrEqual">
      <formula>0</formula>
    </cfRule>
  </conditionalFormatting>
  <conditionalFormatting sqref="H198">
    <cfRule type="cellIs" dxfId="2566" priority="118" operator="greaterThanOrEqual">
      <formula>0</formula>
    </cfRule>
  </conditionalFormatting>
  <conditionalFormatting sqref="S202 W202">
    <cfRule type="cellIs" dxfId="2565" priority="111" operator="lessThan">
      <formula>0</formula>
    </cfRule>
  </conditionalFormatting>
  <conditionalFormatting sqref="S202 W202">
    <cfRule type="cellIs" dxfId="2564" priority="112" operator="greaterThanOrEqual">
      <formula>0</formula>
    </cfRule>
  </conditionalFormatting>
  <conditionalFormatting sqref="K202">
    <cfRule type="cellIs" dxfId="2563" priority="113" operator="lessThanOrEqual">
      <formula>0</formula>
    </cfRule>
  </conditionalFormatting>
  <conditionalFormatting sqref="K202">
    <cfRule type="cellIs" dxfId="2562" priority="114" operator="greaterThan">
      <formula>0</formula>
    </cfRule>
  </conditionalFormatting>
  <conditionalFormatting sqref="O202">
    <cfRule type="cellIs" dxfId="2561" priority="115" operator="lessThan">
      <formula>0</formula>
    </cfRule>
  </conditionalFormatting>
  <conditionalFormatting sqref="O202">
    <cfRule type="cellIs" dxfId="2560" priority="116" operator="greaterThanOrEqual">
      <formula>0</formula>
    </cfRule>
  </conditionalFormatting>
  <conditionalFormatting sqref="AQ202">
    <cfRule type="cellIs" dxfId="2559" priority="109" operator="lessThan">
      <formula>0</formula>
    </cfRule>
  </conditionalFormatting>
  <conditionalFormatting sqref="AQ202">
    <cfRule type="cellIs" dxfId="2558" priority="110" operator="greaterThanOrEqual">
      <formula>0</formula>
    </cfRule>
  </conditionalFormatting>
  <conditionalFormatting sqref="L202">
    <cfRule type="cellIs" dxfId="2557" priority="107" operator="lessThanOrEqual">
      <formula>0</formula>
    </cfRule>
  </conditionalFormatting>
  <conditionalFormatting sqref="L202">
    <cfRule type="cellIs" dxfId="2556" priority="108" operator="greaterThan">
      <formula>0</formula>
    </cfRule>
  </conditionalFormatting>
  <conditionalFormatting sqref="T202">
    <cfRule type="cellIs" dxfId="2555" priority="105" operator="lessThan">
      <formula>0</formula>
    </cfRule>
  </conditionalFormatting>
  <conditionalFormatting sqref="T202">
    <cfRule type="cellIs" dxfId="2554" priority="106" operator="greaterThanOrEqual">
      <formula>0</formula>
    </cfRule>
  </conditionalFormatting>
  <conditionalFormatting sqref="X202">
    <cfRule type="cellIs" dxfId="2553" priority="103" operator="lessThan">
      <formula>0</formula>
    </cfRule>
  </conditionalFormatting>
  <conditionalFormatting sqref="X202">
    <cfRule type="cellIs" dxfId="2552" priority="104" operator="greaterThanOrEqual">
      <formula>0</formula>
    </cfRule>
  </conditionalFormatting>
  <conditionalFormatting sqref="AB202">
    <cfRule type="cellIs" dxfId="2551" priority="101" operator="lessThan">
      <formula>0</formula>
    </cfRule>
  </conditionalFormatting>
  <conditionalFormatting sqref="AB202">
    <cfRule type="cellIs" dxfId="2550" priority="102" operator="greaterThanOrEqual">
      <formula>0</formula>
    </cfRule>
  </conditionalFormatting>
  <conditionalFormatting sqref="AF202">
    <cfRule type="cellIs" dxfId="2549" priority="99" operator="lessThan">
      <formula>0</formula>
    </cfRule>
  </conditionalFormatting>
  <conditionalFormatting sqref="AF202">
    <cfRule type="cellIs" dxfId="2548" priority="100" operator="greaterThanOrEqual">
      <formula>0</formula>
    </cfRule>
  </conditionalFormatting>
  <conditionalFormatting sqref="P202">
    <cfRule type="cellIs" dxfId="2547" priority="97" operator="lessThan">
      <formula>0</formula>
    </cfRule>
  </conditionalFormatting>
  <conditionalFormatting sqref="P202">
    <cfRule type="cellIs" dxfId="2546" priority="98" operator="greaterThanOrEqual">
      <formula>0</formula>
    </cfRule>
  </conditionalFormatting>
  <conditionalFormatting sqref="AJ202">
    <cfRule type="cellIs" dxfId="2545" priority="95" operator="lessThan">
      <formula>0</formula>
    </cfRule>
  </conditionalFormatting>
  <conditionalFormatting sqref="AJ202">
    <cfRule type="cellIs" dxfId="2544" priority="96" operator="greaterThanOrEqual">
      <formula>0</formula>
    </cfRule>
  </conditionalFormatting>
  <conditionalFormatting sqref="AR202">
    <cfRule type="cellIs" dxfId="2543" priority="93" operator="lessThan">
      <formula>0</formula>
    </cfRule>
  </conditionalFormatting>
  <conditionalFormatting sqref="AR202">
    <cfRule type="cellIs" dxfId="2542" priority="94" operator="greaterThanOrEqual">
      <formula>0</formula>
    </cfRule>
  </conditionalFormatting>
  <conditionalFormatting sqref="AA202">
    <cfRule type="cellIs" dxfId="2541" priority="91" operator="lessThan">
      <formula>0</formula>
    </cfRule>
  </conditionalFormatting>
  <conditionalFormatting sqref="AA202">
    <cfRule type="cellIs" dxfId="2540" priority="92" operator="greaterThanOrEqual">
      <formula>0</formula>
    </cfRule>
  </conditionalFormatting>
  <conditionalFormatting sqref="AE202">
    <cfRule type="cellIs" dxfId="2539" priority="89" operator="lessThan">
      <formula>0</formula>
    </cfRule>
  </conditionalFormatting>
  <conditionalFormatting sqref="AE202">
    <cfRule type="cellIs" dxfId="2538" priority="90" operator="greaterThanOrEqual">
      <formula>0</formula>
    </cfRule>
  </conditionalFormatting>
  <conditionalFormatting sqref="AI202">
    <cfRule type="cellIs" dxfId="2537" priority="87" operator="lessThan">
      <formula>0</formula>
    </cfRule>
  </conditionalFormatting>
  <conditionalFormatting sqref="AI202">
    <cfRule type="cellIs" dxfId="2536" priority="88" operator="greaterThanOrEqual">
      <formula>0</formula>
    </cfRule>
  </conditionalFormatting>
  <conditionalFormatting sqref="AN202">
    <cfRule type="cellIs" dxfId="2535" priority="83" operator="lessThan">
      <formula>0</formula>
    </cfRule>
  </conditionalFormatting>
  <conditionalFormatting sqref="AN202">
    <cfRule type="cellIs" dxfId="2534" priority="84" operator="greaterThanOrEqual">
      <formula>0</formula>
    </cfRule>
  </conditionalFormatting>
  <conditionalFormatting sqref="H202">
    <cfRule type="cellIs" dxfId="2533" priority="79" operator="lessThan">
      <formula>0</formula>
    </cfRule>
  </conditionalFormatting>
  <conditionalFormatting sqref="G202">
    <cfRule type="cellIs" dxfId="2532" priority="81" operator="lessThan">
      <formula>0</formula>
    </cfRule>
  </conditionalFormatting>
  <conditionalFormatting sqref="G202">
    <cfRule type="cellIs" dxfId="2531" priority="82" operator="greaterThanOrEqual">
      <formula>0</formula>
    </cfRule>
  </conditionalFormatting>
  <conditionalFormatting sqref="H202">
    <cfRule type="cellIs" dxfId="2530" priority="80" operator="greaterThanOrEqual">
      <formula>0</formula>
    </cfRule>
  </conditionalFormatting>
  <conditionalFormatting sqref="S206 W206">
    <cfRule type="cellIs" dxfId="2529" priority="35" operator="lessThan">
      <formula>0</formula>
    </cfRule>
  </conditionalFormatting>
  <conditionalFormatting sqref="S206 W206">
    <cfRule type="cellIs" dxfId="2528" priority="36" operator="greaterThanOrEqual">
      <formula>0</formula>
    </cfRule>
  </conditionalFormatting>
  <conditionalFormatting sqref="K206">
    <cfRule type="cellIs" dxfId="2527" priority="37" operator="lessThanOrEqual">
      <formula>0</formula>
    </cfRule>
  </conditionalFormatting>
  <conditionalFormatting sqref="K206">
    <cfRule type="cellIs" dxfId="2526" priority="38" operator="greaterThan">
      <formula>0</formula>
    </cfRule>
  </conditionalFormatting>
  <conditionalFormatting sqref="O206">
    <cfRule type="cellIs" dxfId="2525" priority="39" operator="lessThan">
      <formula>0</formula>
    </cfRule>
  </conditionalFormatting>
  <conditionalFormatting sqref="O206">
    <cfRule type="cellIs" dxfId="2524" priority="40" operator="greaterThanOrEqual">
      <formula>0</formula>
    </cfRule>
  </conditionalFormatting>
  <conditionalFormatting sqref="AQ206">
    <cfRule type="cellIs" dxfId="2523" priority="33" operator="lessThan">
      <formula>0</formula>
    </cfRule>
  </conditionalFormatting>
  <conditionalFormatting sqref="AQ206">
    <cfRule type="cellIs" dxfId="2522" priority="34" operator="greaterThanOrEqual">
      <formula>0</formula>
    </cfRule>
  </conditionalFormatting>
  <conditionalFormatting sqref="L206">
    <cfRule type="cellIs" dxfId="2521" priority="31" operator="lessThanOrEqual">
      <formula>0</formula>
    </cfRule>
  </conditionalFormatting>
  <conditionalFormatting sqref="L206">
    <cfRule type="cellIs" dxfId="2520" priority="32" operator="greaterThan">
      <formula>0</formula>
    </cfRule>
  </conditionalFormatting>
  <conditionalFormatting sqref="T206">
    <cfRule type="cellIs" dxfId="2519" priority="29" operator="lessThan">
      <formula>0</formula>
    </cfRule>
  </conditionalFormatting>
  <conditionalFormatting sqref="T206">
    <cfRule type="cellIs" dxfId="2518" priority="30" operator="greaterThanOrEqual">
      <formula>0</formula>
    </cfRule>
  </conditionalFormatting>
  <conditionalFormatting sqref="X206">
    <cfRule type="cellIs" dxfId="2517" priority="27" operator="lessThan">
      <formula>0</formula>
    </cfRule>
  </conditionalFormatting>
  <conditionalFormatting sqref="X206">
    <cfRule type="cellIs" dxfId="2516" priority="28" operator="greaterThanOrEqual">
      <formula>0</formula>
    </cfRule>
  </conditionalFormatting>
  <conditionalFormatting sqref="AB206">
    <cfRule type="cellIs" dxfId="2515" priority="25" operator="lessThan">
      <formula>0</formula>
    </cfRule>
  </conditionalFormatting>
  <conditionalFormatting sqref="AB206">
    <cfRule type="cellIs" dxfId="2514" priority="26" operator="greaterThanOrEqual">
      <formula>0</formula>
    </cfRule>
  </conditionalFormatting>
  <conditionalFormatting sqref="AF206">
    <cfRule type="cellIs" dxfId="2513" priority="23" operator="lessThan">
      <formula>0</formula>
    </cfRule>
  </conditionalFormatting>
  <conditionalFormatting sqref="AF206">
    <cfRule type="cellIs" dxfId="2512" priority="24" operator="greaterThanOrEqual">
      <formula>0</formula>
    </cfRule>
  </conditionalFormatting>
  <conditionalFormatting sqref="P206">
    <cfRule type="cellIs" dxfId="2511" priority="21" operator="lessThan">
      <formula>0</formula>
    </cfRule>
  </conditionalFormatting>
  <conditionalFormatting sqref="P206">
    <cfRule type="cellIs" dxfId="2510" priority="22" operator="greaterThanOrEqual">
      <formula>0</formula>
    </cfRule>
  </conditionalFormatting>
  <conditionalFormatting sqref="AJ206">
    <cfRule type="cellIs" dxfId="2509" priority="19" operator="lessThan">
      <formula>0</formula>
    </cfRule>
  </conditionalFormatting>
  <conditionalFormatting sqref="AJ206">
    <cfRule type="cellIs" dxfId="2508" priority="20" operator="greaterThanOrEqual">
      <formula>0</formula>
    </cfRule>
  </conditionalFormatting>
  <conditionalFormatting sqref="AR206">
    <cfRule type="cellIs" dxfId="2507" priority="17" operator="lessThan">
      <formula>0</formula>
    </cfRule>
  </conditionalFormatting>
  <conditionalFormatting sqref="AR206">
    <cfRule type="cellIs" dxfId="2506" priority="18" operator="greaterThanOrEqual">
      <formula>0</formula>
    </cfRule>
  </conditionalFormatting>
  <conditionalFormatting sqref="AA206">
    <cfRule type="cellIs" dxfId="2505" priority="15" operator="lessThan">
      <formula>0</formula>
    </cfRule>
  </conditionalFormatting>
  <conditionalFormatting sqref="AA206">
    <cfRule type="cellIs" dxfId="2504" priority="16" operator="greaterThanOrEqual">
      <formula>0</formula>
    </cfRule>
  </conditionalFormatting>
  <conditionalFormatting sqref="AE206">
    <cfRule type="cellIs" dxfId="2503" priority="13" operator="lessThan">
      <formula>0</formula>
    </cfRule>
  </conditionalFormatting>
  <conditionalFormatting sqref="AE206">
    <cfRule type="cellIs" dxfId="2502" priority="14" operator="greaterThanOrEqual">
      <formula>0</formula>
    </cfRule>
  </conditionalFormatting>
  <conditionalFormatting sqref="AI206">
    <cfRule type="cellIs" dxfId="2501" priority="11" operator="lessThan">
      <formula>0</formula>
    </cfRule>
  </conditionalFormatting>
  <conditionalFormatting sqref="AI206">
    <cfRule type="cellIs" dxfId="2500" priority="12" operator="greaterThanOrEqual">
      <formula>0</formula>
    </cfRule>
  </conditionalFormatting>
  <conditionalFormatting sqref="AN206">
    <cfRule type="cellIs" dxfId="2499" priority="7" operator="lessThan">
      <formula>0</formula>
    </cfRule>
  </conditionalFormatting>
  <conditionalFormatting sqref="AN206">
    <cfRule type="cellIs" dxfId="2498" priority="8" operator="greaterThanOrEqual">
      <formula>0</formula>
    </cfRule>
  </conditionalFormatting>
  <conditionalFormatting sqref="H206">
    <cfRule type="cellIs" dxfId="2497" priority="3" operator="lessThan">
      <formula>0</formula>
    </cfRule>
  </conditionalFormatting>
  <conditionalFormatting sqref="G206">
    <cfRule type="cellIs" dxfId="2496" priority="5" operator="lessThan">
      <formula>0</formula>
    </cfRule>
  </conditionalFormatting>
  <conditionalFormatting sqref="G206">
    <cfRule type="cellIs" dxfId="2495" priority="6" operator="greaterThanOrEqual">
      <formula>0</formula>
    </cfRule>
  </conditionalFormatting>
  <conditionalFormatting sqref="H206">
    <cfRule type="cellIs" dxfId="2494" priority="4" operator="greaterThanOrEqual">
      <formula>0</formula>
    </cfRule>
  </conditionalFormatting>
  <conditionalFormatting sqref="AM1:AM1048576">
    <cfRule type="cellIs" dxfId="2493" priority="1" operator="lessThan">
      <formula>0</formula>
    </cfRule>
    <cfRule type="cellIs" dxfId="2492" priority="2" operator="greaterThan">
      <formula>0</formula>
    </cfRule>
  </conditionalFormatting>
  <pageMargins left="0.75" right="0.75" top="1" bottom="1" header="0.5" footer="0.5"/>
  <pageSetup orientation="portrait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V1000"/>
  <sheetViews>
    <sheetView topLeftCell="B1" workbookViewId="0">
      <pane ySplit="1" topLeftCell="A29" activePane="bottomLeft" state="frozen"/>
      <selection pane="bottomLeft" activeCell="L49" sqref="L49"/>
    </sheetView>
  </sheetViews>
  <sheetFormatPr defaultColWidth="13.5" defaultRowHeight="15" customHeight="1" outlineLevelCol="1" x14ac:dyDescent="0.25"/>
  <cols>
    <col min="1" max="1" width="12.125" customWidth="1"/>
    <col min="2" max="2" width="7.375" customWidth="1"/>
    <col min="3" max="3" width="11.375" customWidth="1"/>
    <col min="4" max="4" width="14" bestFit="1" customWidth="1"/>
    <col min="5" max="5" width="14" bestFit="1" customWidth="1" outlineLevel="1"/>
    <col min="6" max="6" width="6.125" customWidth="1" outlineLevel="1" collapsed="1"/>
    <col min="7" max="7" width="9" customWidth="1"/>
    <col min="8" max="8" width="14.125" style="140" customWidth="1"/>
    <col min="9" max="9" width="14.125" hidden="1" customWidth="1" outlineLevel="1"/>
    <col min="10" max="10" width="8.625" hidden="1" customWidth="1" outlineLevel="1" collapsed="1"/>
    <col min="11" max="11" width="8" customWidth="1" collapsed="1"/>
    <col min="12" max="12" width="14.375" style="140" customWidth="1"/>
    <col min="13" max="13" width="13" hidden="1" customWidth="1" outlineLevel="1"/>
    <col min="14" max="14" width="6.125" hidden="1" customWidth="1" outlineLevel="1" collapsed="1"/>
    <col min="15" max="15" width="6.625" customWidth="1" collapsed="1"/>
    <col min="16" max="16" width="12.375" style="43" bestFit="1" customWidth="1"/>
    <col min="17" max="17" width="12" style="43" hidden="1" customWidth="1" outlineLevel="1"/>
    <col min="18" max="18" width="6.125" hidden="1" customWidth="1" outlineLevel="1" collapsed="1"/>
    <col min="19" max="19" width="6.125" customWidth="1" collapsed="1"/>
    <col min="20" max="20" width="10.125" style="43" customWidth="1"/>
    <col min="21" max="21" width="10.875" style="43" hidden="1" customWidth="1" outlineLevel="1"/>
    <col min="22" max="22" width="6.125" hidden="1" customWidth="1" outlineLevel="1" collapsed="1"/>
    <col min="23" max="23" width="7.875" customWidth="1" collapsed="1"/>
    <col min="24" max="24" width="10.375" customWidth="1"/>
    <col min="25" max="25" width="10.875" hidden="1" customWidth="1" outlineLevel="1"/>
    <col min="26" max="26" width="9.125" hidden="1" customWidth="1" outlineLevel="1" collapsed="1"/>
    <col min="27" max="27" width="7.125" customWidth="1" collapsed="1"/>
    <col min="28" max="28" width="9" customWidth="1" collapsed="1"/>
    <col min="29" max="29" width="10.875" hidden="1" customWidth="1" outlineLevel="1"/>
    <col min="30" max="30" width="6.125" hidden="1" customWidth="1" outlineLevel="1" collapsed="1"/>
    <col min="31" max="31" width="6.125" customWidth="1" collapsed="1"/>
    <col min="32" max="32" width="8.875" customWidth="1"/>
    <col min="33" max="33" width="8.875" hidden="1" customWidth="1" outlineLevel="1"/>
    <col min="34" max="34" width="6" hidden="1" customWidth="1" outlineLevel="1" collapsed="1"/>
    <col min="35" max="35" width="6.125" customWidth="1" collapsed="1"/>
    <col min="36" max="36" width="10" customWidth="1"/>
    <col min="37" max="37" width="10" hidden="1" customWidth="1" outlineLevel="1"/>
    <col min="38" max="38" width="6.125" hidden="1" customWidth="1" outlineLevel="1" collapsed="1"/>
    <col min="39" max="39" width="6.125" customWidth="1" collapsed="1"/>
    <col min="40" max="40" width="8.625" customWidth="1"/>
    <col min="41" max="41" width="6.125" hidden="1" customWidth="1" outlineLevel="1"/>
    <col min="42" max="42" width="6.125" hidden="1" customWidth="1" outlineLevel="1" collapsed="1"/>
    <col min="43" max="43" width="7.625" customWidth="1" collapsed="1"/>
    <col min="44" max="44" width="8.375" customWidth="1"/>
    <col min="45" max="45" width="8.375" hidden="1" customWidth="1" outlineLevel="1"/>
    <col min="46" max="46" width="6.125" hidden="1" customWidth="1" outlineLevel="1"/>
    <col min="47" max="47" width="7.375" customWidth="1" collapsed="1"/>
    <col min="48" max="48" width="43.5" customWidth="1"/>
    <col min="49" max="49" width="10.5" customWidth="1"/>
  </cols>
  <sheetData>
    <row r="1" spans="1:48" s="188" customFormat="1" ht="31.5" x14ac:dyDescent="0.25">
      <c r="A1" s="183" t="s">
        <v>19</v>
      </c>
      <c r="B1" s="183" t="s">
        <v>20</v>
      </c>
      <c r="C1" s="183" t="s">
        <v>21</v>
      </c>
      <c r="D1" s="200" t="s">
        <v>1</v>
      </c>
      <c r="E1" s="200" t="s">
        <v>98</v>
      </c>
      <c r="F1" s="184" t="s">
        <v>23</v>
      </c>
      <c r="G1" s="184" t="s">
        <v>24</v>
      </c>
      <c r="H1" s="201" t="s">
        <v>119</v>
      </c>
      <c r="I1" s="200" t="s">
        <v>120</v>
      </c>
      <c r="J1" s="184" t="s">
        <v>23</v>
      </c>
      <c r="K1" s="184" t="s">
        <v>24</v>
      </c>
      <c r="L1" s="201" t="s">
        <v>121</v>
      </c>
      <c r="M1" s="200" t="s">
        <v>122</v>
      </c>
      <c r="N1" s="184" t="s">
        <v>23</v>
      </c>
      <c r="O1" s="184" t="s">
        <v>24</v>
      </c>
      <c r="P1" s="200" t="s">
        <v>95</v>
      </c>
      <c r="Q1" s="200" t="s">
        <v>116</v>
      </c>
      <c r="R1" s="184" t="s">
        <v>23</v>
      </c>
      <c r="S1" s="184" t="s">
        <v>24</v>
      </c>
      <c r="T1" s="200" t="s">
        <v>152</v>
      </c>
      <c r="U1" s="200" t="s">
        <v>153</v>
      </c>
      <c r="V1" s="184" t="s">
        <v>23</v>
      </c>
      <c r="W1" s="184" t="s">
        <v>24</v>
      </c>
      <c r="X1" s="201" t="s">
        <v>154</v>
      </c>
      <c r="Y1" s="201" t="s">
        <v>155</v>
      </c>
      <c r="Z1" s="184" t="s">
        <v>23</v>
      </c>
      <c r="AA1" s="184" t="s">
        <v>24</v>
      </c>
      <c r="AB1" s="201" t="s">
        <v>146</v>
      </c>
      <c r="AC1" s="201" t="s">
        <v>147</v>
      </c>
      <c r="AD1" s="184" t="s">
        <v>23</v>
      </c>
      <c r="AE1" s="184" t="s">
        <v>24</v>
      </c>
      <c r="AF1" s="185" t="s">
        <v>4</v>
      </c>
      <c r="AG1" s="185" t="s">
        <v>101</v>
      </c>
      <c r="AH1" s="184" t="s">
        <v>23</v>
      </c>
      <c r="AI1" s="184" t="s">
        <v>24</v>
      </c>
      <c r="AJ1" s="185" t="s">
        <v>5</v>
      </c>
      <c r="AK1" s="185" t="s">
        <v>102</v>
      </c>
      <c r="AL1" s="184" t="s">
        <v>23</v>
      </c>
      <c r="AM1" s="184" t="s">
        <v>24</v>
      </c>
      <c r="AN1" s="202" t="s">
        <v>109</v>
      </c>
      <c r="AO1" s="202" t="s">
        <v>110</v>
      </c>
      <c r="AP1" s="184" t="s">
        <v>23</v>
      </c>
      <c r="AQ1" s="184" t="s">
        <v>24</v>
      </c>
      <c r="AR1" s="200" t="s">
        <v>6</v>
      </c>
      <c r="AS1" s="200" t="s">
        <v>103</v>
      </c>
      <c r="AT1" s="184" t="s">
        <v>23</v>
      </c>
      <c r="AU1" s="184" t="s">
        <v>24</v>
      </c>
      <c r="AV1" s="183" t="s">
        <v>26</v>
      </c>
    </row>
    <row r="2" spans="1:48" ht="15.75" customHeight="1" x14ac:dyDescent="0.3">
      <c r="A2" s="49" t="s">
        <v>17</v>
      </c>
      <c r="B2" s="49" t="s">
        <v>27</v>
      </c>
      <c r="C2" s="50">
        <v>42734</v>
      </c>
      <c r="D2" s="192">
        <v>23453</v>
      </c>
      <c r="E2" s="51">
        <v>5907</v>
      </c>
      <c r="F2" s="52"/>
      <c r="G2" s="52">
        <f t="shared" ref="G2:G54" si="0">(D2-E2)/E2</f>
        <v>2.9703741323853055</v>
      </c>
      <c r="H2" s="51">
        <f>L2+P2+T2</f>
        <v>2833.94</v>
      </c>
      <c r="I2" s="51">
        <f>M2+Q2+U2</f>
        <v>1032.28</v>
      </c>
      <c r="J2" s="33"/>
      <c r="K2" s="33">
        <f t="shared" ref="K2:K54" si="1">(H2-I2)/I2</f>
        <v>1.7453210369279655</v>
      </c>
      <c r="L2" s="51">
        <v>2333.94</v>
      </c>
      <c r="M2" s="51">
        <v>532.28</v>
      </c>
      <c r="N2" s="33"/>
      <c r="O2" s="33">
        <f t="shared" ref="O2:O54" si="2">(L2-M2)/M2</f>
        <v>3.3847974750131513</v>
      </c>
      <c r="P2" s="55">
        <v>0</v>
      </c>
      <c r="Q2" s="55">
        <v>0</v>
      </c>
      <c r="R2" s="33"/>
      <c r="S2" s="33" t="e">
        <f t="shared" ref="S2:S54" si="3">(P2-Q2)/Q2</f>
        <v>#DIV/0!</v>
      </c>
      <c r="T2" s="55">
        <v>500</v>
      </c>
      <c r="U2" s="55">
        <f>2500/5</f>
        <v>500</v>
      </c>
      <c r="V2" s="33"/>
      <c r="W2" s="33">
        <f t="shared" ref="W2:W54" si="4">(T2-U2)/U2</f>
        <v>0</v>
      </c>
      <c r="X2" s="53">
        <f t="shared" ref="X2:X33" si="5">D2/(L2+P2)</f>
        <v>10.048673059290298</v>
      </c>
      <c r="Y2" s="53">
        <f t="shared" ref="Y2:Y33" si="6">E2/(M2+Q2)</f>
        <v>11.097542646727288</v>
      </c>
      <c r="Z2" s="52"/>
      <c r="AA2" s="52">
        <f t="shared" ref="AA2:AA54" si="7">(X2-Y2)/Y2</f>
        <v>-9.4513679363629713E-2</v>
      </c>
      <c r="AB2" s="53">
        <f>D2/(L2+P2+T2)</f>
        <v>8.2757574260570088</v>
      </c>
      <c r="AC2" s="53">
        <f>E2/(M2+Q2+U2)</f>
        <v>5.7222846514511572</v>
      </c>
      <c r="AD2" s="52"/>
      <c r="AE2" s="52">
        <f t="shared" ref="AE2:AE54" si="8">(AB2-AC2)/AC2</f>
        <v>0.44623309222450114</v>
      </c>
      <c r="AF2" s="54">
        <v>3905</v>
      </c>
      <c r="AG2" s="54">
        <v>1365</v>
      </c>
      <c r="AH2" s="52"/>
      <c r="AI2" s="52">
        <f t="shared" ref="AI2:AI54" si="9">(AF2-AG2)/AG2</f>
        <v>1.8608058608058609</v>
      </c>
      <c r="AJ2" s="54">
        <v>210</v>
      </c>
      <c r="AK2" s="54">
        <v>59</v>
      </c>
      <c r="AL2" s="52"/>
      <c r="AM2" s="52">
        <f t="shared" ref="AM2:AM54" si="10">(AJ2-AK2)/AK2</f>
        <v>2.5593220338983049</v>
      </c>
      <c r="AN2" s="89">
        <f>AJ2/AF2</f>
        <v>5.3777208706786171E-2</v>
      </c>
      <c r="AO2" s="89">
        <f t="shared" ref="AO2:AO11" si="11">AK2/AG2</f>
        <v>4.3223443223443223E-2</v>
      </c>
      <c r="AP2" s="52"/>
      <c r="AQ2" s="52">
        <f t="shared" ref="AQ2:AQ54" si="12">(AN2-AO2)/AO2</f>
        <v>0.24416762516547669</v>
      </c>
      <c r="AR2" s="51">
        <f t="shared" ref="AR2:AR33" si="13">D2/AJ2</f>
        <v>111.68095238095238</v>
      </c>
      <c r="AS2" s="51">
        <f t="shared" ref="AS2:AS33" si="14">E2/AK2</f>
        <v>100.11864406779661</v>
      </c>
      <c r="AT2" s="52"/>
      <c r="AU2" s="52">
        <f t="shared" ref="AU2:AU54" si="15">(AR2-AS2)/AS2</f>
        <v>0.11548606576539534</v>
      </c>
      <c r="AV2" s="68"/>
    </row>
    <row r="3" spans="1:48" ht="15.75" customHeight="1" x14ac:dyDescent="0.3">
      <c r="A3" s="49" t="s">
        <v>17</v>
      </c>
      <c r="B3" s="49" t="s">
        <v>31</v>
      </c>
      <c r="C3" s="50">
        <f>C2+7</f>
        <v>42741</v>
      </c>
      <c r="D3" s="193">
        <v>9658</v>
      </c>
      <c r="E3" s="55">
        <v>1645</v>
      </c>
      <c r="F3" s="52">
        <f t="shared" ref="F3:F53" si="16">(D3-D2)/D2</f>
        <v>-0.58819767193962391</v>
      </c>
      <c r="G3" s="52">
        <f t="shared" si="0"/>
        <v>4.8711246200607903</v>
      </c>
      <c r="H3" s="51">
        <f t="shared" ref="H3:H53" si="17">L3+P3+T3</f>
        <v>1193.67</v>
      </c>
      <c r="I3" s="51">
        <f t="shared" ref="I3:I53" si="18">M3+Q3+U3</f>
        <v>655.18000000000006</v>
      </c>
      <c r="J3" s="40">
        <f t="shared" ref="J3:J27" si="19">(H3-H2)/H2</f>
        <v>-0.57879489332872258</v>
      </c>
      <c r="K3" s="40">
        <f t="shared" si="1"/>
        <v>0.82189627277999933</v>
      </c>
      <c r="L3" s="55">
        <v>693.67</v>
      </c>
      <c r="M3" s="55">
        <v>155.18</v>
      </c>
      <c r="N3" s="40">
        <f t="shared" ref="N3:N53" si="20">(L3-L2)/L2</f>
        <v>-0.70279013170861293</v>
      </c>
      <c r="O3" s="40">
        <f t="shared" si="2"/>
        <v>3.4700992395927308</v>
      </c>
      <c r="P3" s="55">
        <v>0</v>
      </c>
      <c r="Q3" s="55">
        <v>0</v>
      </c>
      <c r="R3" s="40" t="e">
        <f t="shared" ref="R3:R27" si="21">(P3-P2)/P2</f>
        <v>#DIV/0!</v>
      </c>
      <c r="S3" s="40" t="e">
        <f t="shared" si="3"/>
        <v>#DIV/0!</v>
      </c>
      <c r="T3" s="55">
        <v>500</v>
      </c>
      <c r="U3" s="55">
        <f>2500/5</f>
        <v>500</v>
      </c>
      <c r="V3" s="40">
        <f t="shared" ref="V3:V27" si="22">(T3-T2)/T2</f>
        <v>0</v>
      </c>
      <c r="W3" s="40">
        <f t="shared" si="4"/>
        <v>0</v>
      </c>
      <c r="X3" s="53">
        <f t="shared" si="5"/>
        <v>13.923046981994322</v>
      </c>
      <c r="Y3" s="53">
        <f t="shared" si="6"/>
        <v>10.600592859904626</v>
      </c>
      <c r="Z3" s="52">
        <f t="shared" ref="Z3:Z34" si="23">(X3-X2)/X2</f>
        <v>0.38556075014521934</v>
      </c>
      <c r="AA3" s="52">
        <f t="shared" si="7"/>
        <v>0.31342153839871062</v>
      </c>
      <c r="AB3" s="53">
        <f t="shared" ref="AB3:AB54" si="24">D3/(L3+P3+T3)</f>
        <v>8.0910134291722162</v>
      </c>
      <c r="AC3" s="53">
        <f t="shared" ref="AC3:AC53" si="25">E3/(M3+Q3+U3)</f>
        <v>2.5107604017216638</v>
      </c>
      <c r="AD3" s="52">
        <f t="shared" ref="AD3:AD53" si="26">(AB3-AB2)/AB2</f>
        <v>-2.2323515223284403E-2</v>
      </c>
      <c r="AE3" s="52">
        <f t="shared" si="8"/>
        <v>2.2225350629331633</v>
      </c>
      <c r="AF3" s="56">
        <v>4133</v>
      </c>
      <c r="AG3" s="56">
        <v>819</v>
      </c>
      <c r="AH3" s="52">
        <f t="shared" ref="AH3:AH53" si="27">(AF3-AF2)/AF2</f>
        <v>5.8386683738796415E-2</v>
      </c>
      <c r="AI3" s="52">
        <f t="shared" si="9"/>
        <v>4.0463980463980462</v>
      </c>
      <c r="AJ3" s="56">
        <v>96</v>
      </c>
      <c r="AK3" s="56">
        <v>18</v>
      </c>
      <c r="AL3" s="52">
        <f t="shared" ref="AL3:AL53" si="28">(AJ3-AJ2)/AJ2</f>
        <v>-0.54285714285714282</v>
      </c>
      <c r="AM3" s="52">
        <f t="shared" si="10"/>
        <v>4.333333333333333</v>
      </c>
      <c r="AN3" s="99">
        <f t="shared" ref="AN3:AO54" si="29">AJ3/AF3</f>
        <v>2.3227679651584805E-2</v>
      </c>
      <c r="AO3" s="89">
        <f t="shared" si="11"/>
        <v>2.197802197802198E-2</v>
      </c>
      <c r="AP3" s="52">
        <f t="shared" ref="AP3:AP53" si="30">(AN3-AN2)/AN2</f>
        <v>-0.56807576647886349</v>
      </c>
      <c r="AQ3" s="52">
        <f t="shared" si="12"/>
        <v>5.6859424147108525E-2</v>
      </c>
      <c r="AR3" s="51">
        <f t="shared" si="13"/>
        <v>100.60416666666667</v>
      </c>
      <c r="AS3" s="51">
        <f t="shared" si="14"/>
        <v>91.388888888888886</v>
      </c>
      <c r="AT3" s="52">
        <f t="shared" ref="AT3:AT53" si="31">(AR3-AR2)/AR2</f>
        <v>-9.9182407367927272E-2</v>
      </c>
      <c r="AU3" s="52">
        <f t="shared" si="15"/>
        <v>0.10083586626139826</v>
      </c>
      <c r="AV3" s="68" t="s">
        <v>123</v>
      </c>
    </row>
    <row r="4" spans="1:48" ht="15.75" customHeight="1" x14ac:dyDescent="0.3">
      <c r="A4" s="49" t="s">
        <v>17</v>
      </c>
      <c r="B4" s="49" t="s">
        <v>32</v>
      </c>
      <c r="C4" s="50">
        <f t="shared" ref="C4:C53" si="32">C3+7</f>
        <v>42748</v>
      </c>
      <c r="D4" s="193">
        <v>21813</v>
      </c>
      <c r="E4" s="55">
        <v>1958</v>
      </c>
      <c r="F4" s="52">
        <f t="shared" si="16"/>
        <v>1.2585421412300684</v>
      </c>
      <c r="G4" s="52">
        <f t="shared" si="0"/>
        <v>10.140449438202246</v>
      </c>
      <c r="H4" s="51">
        <f t="shared" si="17"/>
        <v>2045.77</v>
      </c>
      <c r="I4" s="51">
        <f t="shared" si="18"/>
        <v>689.94</v>
      </c>
      <c r="J4" s="40">
        <f t="shared" si="19"/>
        <v>0.71384888620808085</v>
      </c>
      <c r="K4" s="40">
        <f t="shared" si="1"/>
        <v>1.9651418963967879</v>
      </c>
      <c r="L4" s="55">
        <v>1545.77</v>
      </c>
      <c r="M4" s="55">
        <v>189.94</v>
      </c>
      <c r="N4" s="40">
        <f t="shared" si="20"/>
        <v>1.2283939048827253</v>
      </c>
      <c r="O4" s="40">
        <f t="shared" si="2"/>
        <v>7.1382015373275767</v>
      </c>
      <c r="P4" s="55">
        <v>0</v>
      </c>
      <c r="Q4" s="55">
        <v>0</v>
      </c>
      <c r="R4" s="40" t="e">
        <f t="shared" si="21"/>
        <v>#DIV/0!</v>
      </c>
      <c r="S4" s="40" t="e">
        <f t="shared" si="3"/>
        <v>#DIV/0!</v>
      </c>
      <c r="T4" s="55">
        <v>500</v>
      </c>
      <c r="U4" s="55">
        <f>2500/5</f>
        <v>500</v>
      </c>
      <c r="V4" s="40">
        <f t="shared" si="22"/>
        <v>0</v>
      </c>
      <c r="W4" s="40">
        <f t="shared" si="4"/>
        <v>0</v>
      </c>
      <c r="X4" s="53">
        <f t="shared" si="5"/>
        <v>14.111413729080006</v>
      </c>
      <c r="Y4" s="53">
        <f t="shared" si="6"/>
        <v>10.308518479519849</v>
      </c>
      <c r="Z4" s="52">
        <f t="shared" si="23"/>
        <v>1.3529132475763778E-2</v>
      </c>
      <c r="AA4" s="52">
        <f t="shared" si="7"/>
        <v>0.36890803049103993</v>
      </c>
      <c r="AB4" s="53">
        <f t="shared" si="24"/>
        <v>10.662488940594494</v>
      </c>
      <c r="AC4" s="53">
        <f t="shared" si="25"/>
        <v>2.8379279357625298</v>
      </c>
      <c r="AD4" s="52">
        <f t="shared" si="26"/>
        <v>0.31781871751081292</v>
      </c>
      <c r="AE4" s="52">
        <f t="shared" si="8"/>
        <v>2.7571387230203097</v>
      </c>
      <c r="AF4" s="56">
        <v>4179</v>
      </c>
      <c r="AG4" s="56">
        <v>1288</v>
      </c>
      <c r="AH4" s="52">
        <f t="shared" si="27"/>
        <v>1.1129929833051052E-2</v>
      </c>
      <c r="AI4" s="52">
        <f t="shared" si="9"/>
        <v>2.2445652173913042</v>
      </c>
      <c r="AJ4" s="56">
        <v>215</v>
      </c>
      <c r="AK4" s="56">
        <v>23</v>
      </c>
      <c r="AL4" s="52">
        <f t="shared" si="28"/>
        <v>1.2395833333333333</v>
      </c>
      <c r="AM4" s="52">
        <f t="shared" si="10"/>
        <v>8.3478260869565215</v>
      </c>
      <c r="AN4" s="99">
        <f t="shared" si="29"/>
        <v>5.1447714764297679E-2</v>
      </c>
      <c r="AO4" s="89">
        <f t="shared" si="11"/>
        <v>1.7857142857142856E-2</v>
      </c>
      <c r="AP4" s="52">
        <f t="shared" si="30"/>
        <v>1.2149313033421074</v>
      </c>
      <c r="AQ4" s="52">
        <f t="shared" si="12"/>
        <v>1.8810720268006702</v>
      </c>
      <c r="AR4" s="51">
        <f t="shared" si="13"/>
        <v>101.45581395348837</v>
      </c>
      <c r="AS4" s="51">
        <f t="shared" si="14"/>
        <v>85.130434782608702</v>
      </c>
      <c r="AT4" s="52">
        <f t="shared" si="31"/>
        <v>8.4653281771467602E-3</v>
      </c>
      <c r="AU4" s="52">
        <f t="shared" si="15"/>
        <v>0.19176900966814731</v>
      </c>
      <c r="AV4" s="68"/>
    </row>
    <row r="5" spans="1:48" ht="15.75" customHeight="1" x14ac:dyDescent="0.3">
      <c r="A5" s="69" t="s">
        <v>17</v>
      </c>
      <c r="B5" s="69" t="s">
        <v>33</v>
      </c>
      <c r="C5" s="70">
        <f t="shared" si="32"/>
        <v>42755</v>
      </c>
      <c r="D5" s="194">
        <v>22915</v>
      </c>
      <c r="E5" s="71">
        <v>12016</v>
      </c>
      <c r="F5" s="73">
        <f t="shared" si="16"/>
        <v>5.0520331912162472E-2</v>
      </c>
      <c r="G5" s="73">
        <f t="shared" si="0"/>
        <v>0.90704061251664447</v>
      </c>
      <c r="H5" s="72">
        <f t="shared" si="17"/>
        <v>2148</v>
      </c>
      <c r="I5" s="72">
        <f t="shared" si="18"/>
        <v>1749.06</v>
      </c>
      <c r="J5" s="240">
        <f t="shared" si="19"/>
        <v>4.9971404410075436E-2</v>
      </c>
      <c r="K5" s="33">
        <f t="shared" si="1"/>
        <v>0.22808823024939115</v>
      </c>
      <c r="L5" s="71">
        <v>1648</v>
      </c>
      <c r="M5" s="71">
        <v>1249.06</v>
      </c>
      <c r="N5" s="33">
        <f t="shared" si="20"/>
        <v>6.6135324142660309E-2</v>
      </c>
      <c r="O5" s="33">
        <f t="shared" si="2"/>
        <v>0.31939218292155708</v>
      </c>
      <c r="P5" s="71">
        <v>0</v>
      </c>
      <c r="Q5" s="71">
        <v>0</v>
      </c>
      <c r="R5" s="33" t="e">
        <f t="shared" si="21"/>
        <v>#DIV/0!</v>
      </c>
      <c r="S5" s="33" t="e">
        <f t="shared" si="3"/>
        <v>#DIV/0!</v>
      </c>
      <c r="T5" s="71">
        <v>500</v>
      </c>
      <c r="U5" s="71">
        <f>2500/5</f>
        <v>500</v>
      </c>
      <c r="V5" s="33">
        <f t="shared" si="22"/>
        <v>0</v>
      </c>
      <c r="W5" s="33">
        <f t="shared" si="4"/>
        <v>0</v>
      </c>
      <c r="X5" s="74">
        <f t="shared" si="5"/>
        <v>13.904733009708737</v>
      </c>
      <c r="Y5" s="74">
        <f t="shared" si="6"/>
        <v>9.6200342657678579</v>
      </c>
      <c r="Z5" s="73">
        <f t="shared" si="23"/>
        <v>-1.4646351055908224E-2</v>
      </c>
      <c r="AA5" s="73">
        <f t="shared" si="7"/>
        <v>0.44539329336774253</v>
      </c>
      <c r="AB5" s="74">
        <f t="shared" si="24"/>
        <v>10.668063314711359</v>
      </c>
      <c r="AC5" s="74">
        <f t="shared" si="25"/>
        <v>6.8699758727545079</v>
      </c>
      <c r="AD5" s="73">
        <f t="shared" si="26"/>
        <v>5.2280233516978315E-4</v>
      </c>
      <c r="AE5" s="73">
        <f t="shared" si="8"/>
        <v>0.55285309763890234</v>
      </c>
      <c r="AF5" s="75">
        <v>2102</v>
      </c>
      <c r="AG5" s="75">
        <v>2179</v>
      </c>
      <c r="AH5" s="73">
        <f t="shared" si="27"/>
        <v>-0.49700885379277338</v>
      </c>
      <c r="AI5" s="73">
        <f t="shared" si="9"/>
        <v>-3.5337310692978428E-2</v>
      </c>
      <c r="AJ5" s="75">
        <v>221</v>
      </c>
      <c r="AK5" s="75">
        <v>102</v>
      </c>
      <c r="AL5" s="73">
        <f t="shared" si="28"/>
        <v>2.7906976744186046E-2</v>
      </c>
      <c r="AM5" s="73">
        <f t="shared" si="10"/>
        <v>1.1666666666666667</v>
      </c>
      <c r="AN5" s="100">
        <f t="shared" si="29"/>
        <v>0.10513796384395814</v>
      </c>
      <c r="AO5" s="89">
        <f t="shared" si="11"/>
        <v>4.6810463515374025E-2</v>
      </c>
      <c r="AP5" s="73">
        <f t="shared" si="30"/>
        <v>1.0435886088553539</v>
      </c>
      <c r="AQ5" s="73">
        <f t="shared" si="12"/>
        <v>1.2460355217253412</v>
      </c>
      <c r="AR5" s="72">
        <f t="shared" si="13"/>
        <v>103.68778280542986</v>
      </c>
      <c r="AS5" s="72">
        <f t="shared" si="14"/>
        <v>117.80392156862744</v>
      </c>
      <c r="AT5" s="73">
        <f t="shared" si="31"/>
        <v>2.1999417923596935E-2</v>
      </c>
      <c r="AU5" s="73">
        <f t="shared" si="15"/>
        <v>-0.11982740960770252</v>
      </c>
      <c r="AV5" s="77"/>
    </row>
    <row r="6" spans="1:48" ht="15.75" customHeight="1" x14ac:dyDescent="0.3">
      <c r="A6" s="49" t="s">
        <v>18</v>
      </c>
      <c r="B6" s="49" t="s">
        <v>34</v>
      </c>
      <c r="C6" s="50">
        <f t="shared" si="32"/>
        <v>42762</v>
      </c>
      <c r="D6" s="192">
        <v>27165</v>
      </c>
      <c r="E6" s="51">
        <v>11986</v>
      </c>
      <c r="F6" s="52">
        <f t="shared" si="16"/>
        <v>0.18546803403883919</v>
      </c>
      <c r="G6" s="52">
        <f t="shared" si="0"/>
        <v>1.2663941264808944</v>
      </c>
      <c r="H6" s="51">
        <f t="shared" si="17"/>
        <v>2240.12</v>
      </c>
      <c r="I6" s="51">
        <f t="shared" si="18"/>
        <v>1739.02</v>
      </c>
      <c r="J6" s="40">
        <f t="shared" si="19"/>
        <v>4.2886405959031607E-2</v>
      </c>
      <c r="K6" s="40">
        <f t="shared" si="1"/>
        <v>0.28815079757564599</v>
      </c>
      <c r="L6" s="51">
        <v>1740.12</v>
      </c>
      <c r="M6" s="51">
        <v>1239.02</v>
      </c>
      <c r="N6" s="40">
        <f t="shared" si="20"/>
        <v>5.5898058252427121E-2</v>
      </c>
      <c r="O6" s="40">
        <f t="shared" si="2"/>
        <v>0.40443253539087337</v>
      </c>
      <c r="P6" s="51">
        <v>0</v>
      </c>
      <c r="Q6" s="51">
        <v>0</v>
      </c>
      <c r="R6" s="40" t="e">
        <f t="shared" si="21"/>
        <v>#DIV/0!</v>
      </c>
      <c r="S6" s="40" t="e">
        <f t="shared" si="3"/>
        <v>#DIV/0!</v>
      </c>
      <c r="T6" s="51">
        <v>500</v>
      </c>
      <c r="U6" s="51">
        <f>2500/5</f>
        <v>500</v>
      </c>
      <c r="V6" s="40">
        <f t="shared" si="22"/>
        <v>0</v>
      </c>
      <c r="W6" s="40">
        <f t="shared" si="4"/>
        <v>0</v>
      </c>
      <c r="X6" s="53">
        <f t="shared" si="5"/>
        <v>15.610992345355493</v>
      </c>
      <c r="Y6" s="53">
        <f t="shared" si="6"/>
        <v>9.6737744346338239</v>
      </c>
      <c r="Z6" s="52">
        <f t="shared" si="23"/>
        <v>0.12271068667448631</v>
      </c>
      <c r="AA6" s="52">
        <f t="shared" si="7"/>
        <v>0.61374367893729032</v>
      </c>
      <c r="AB6" s="53">
        <f t="shared" si="24"/>
        <v>12.126582504508688</v>
      </c>
      <c r="AC6" s="53">
        <f t="shared" si="25"/>
        <v>6.8923876666168304</v>
      </c>
      <c r="AD6" s="52">
        <f t="shared" si="26"/>
        <v>0.13671827273334769</v>
      </c>
      <c r="AE6" s="52">
        <f t="shared" si="8"/>
        <v>0.75941677849079747</v>
      </c>
      <c r="AF6" s="54">
        <v>3825</v>
      </c>
      <c r="AG6" s="54">
        <v>2088</v>
      </c>
      <c r="AH6" s="52">
        <f t="shared" si="27"/>
        <v>0.81969552806850621</v>
      </c>
      <c r="AI6" s="52">
        <f t="shared" si="9"/>
        <v>0.8318965517241379</v>
      </c>
      <c r="AJ6" s="54">
        <v>324</v>
      </c>
      <c r="AK6" s="54">
        <v>139</v>
      </c>
      <c r="AL6" s="52">
        <f t="shared" si="28"/>
        <v>0.4660633484162896</v>
      </c>
      <c r="AM6" s="52">
        <f t="shared" si="10"/>
        <v>1.3309352517985611</v>
      </c>
      <c r="AN6" s="99">
        <f t="shared" si="29"/>
        <v>8.4705882352941173E-2</v>
      </c>
      <c r="AO6" s="89">
        <f t="shared" si="11"/>
        <v>6.6570881226053646E-2</v>
      </c>
      <c r="AP6" s="52">
        <f t="shared" si="30"/>
        <v>-0.19433590630822473</v>
      </c>
      <c r="AQ6" s="52">
        <f t="shared" si="12"/>
        <v>0.27241641980533204</v>
      </c>
      <c r="AR6" s="51">
        <f t="shared" si="13"/>
        <v>83.842592592592595</v>
      </c>
      <c r="AS6" s="51">
        <f t="shared" si="14"/>
        <v>86.230215827338128</v>
      </c>
      <c r="AT6" s="52">
        <f t="shared" si="31"/>
        <v>-0.1913937175228905</v>
      </c>
      <c r="AU6" s="52">
        <f t="shared" si="15"/>
        <v>-2.7688939565295268E-2</v>
      </c>
      <c r="AV6" s="68"/>
    </row>
    <row r="7" spans="1:48" ht="15.75" customHeight="1" x14ac:dyDescent="0.3">
      <c r="A7" s="49" t="s">
        <v>18</v>
      </c>
      <c r="B7" s="49" t="s">
        <v>35</v>
      </c>
      <c r="C7" s="50">
        <f t="shared" si="32"/>
        <v>42769</v>
      </c>
      <c r="D7" s="192">
        <v>19784</v>
      </c>
      <c r="E7" s="51">
        <v>14851</v>
      </c>
      <c r="F7" s="52">
        <f t="shared" si="16"/>
        <v>-0.27170992085404011</v>
      </c>
      <c r="G7" s="52">
        <f t="shared" si="0"/>
        <v>0.33216618409534709</v>
      </c>
      <c r="H7" s="51">
        <f t="shared" si="17"/>
        <v>1964.28</v>
      </c>
      <c r="I7" s="51">
        <f t="shared" si="18"/>
        <v>3668.96</v>
      </c>
      <c r="J7" s="40">
        <f t="shared" si="19"/>
        <v>-0.12313626055747011</v>
      </c>
      <c r="K7" s="40">
        <f t="shared" si="1"/>
        <v>-0.46462212725131918</v>
      </c>
      <c r="L7" s="51">
        <v>1339.28</v>
      </c>
      <c r="M7" s="51">
        <f>1783.96</f>
        <v>1783.96</v>
      </c>
      <c r="N7" s="40">
        <f t="shared" si="20"/>
        <v>-0.23035192975197111</v>
      </c>
      <c r="O7" s="40">
        <f t="shared" si="2"/>
        <v>-0.24926567860265927</v>
      </c>
      <c r="P7" s="51">
        <v>0</v>
      </c>
      <c r="Q7" s="51">
        <f t="shared" ref="Q7:Q14" si="33">900*1.4</f>
        <v>1260</v>
      </c>
      <c r="R7" s="40" t="e">
        <f t="shared" si="21"/>
        <v>#DIV/0!</v>
      </c>
      <c r="S7" s="40">
        <f t="shared" si="3"/>
        <v>-1</v>
      </c>
      <c r="T7" s="51">
        <v>625</v>
      </c>
      <c r="U7" s="51">
        <f t="shared" ref="U7:U22" si="34">2500/4</f>
        <v>625</v>
      </c>
      <c r="V7" s="40">
        <f t="shared" si="22"/>
        <v>0.25</v>
      </c>
      <c r="W7" s="40">
        <f t="shared" si="4"/>
        <v>0</v>
      </c>
      <c r="X7" s="53">
        <f t="shared" si="5"/>
        <v>14.772116361029807</v>
      </c>
      <c r="Y7" s="53">
        <f t="shared" si="6"/>
        <v>4.8788420347179331</v>
      </c>
      <c r="Z7" s="52">
        <f t="shared" si="23"/>
        <v>-5.3736236990421946E-2</v>
      </c>
      <c r="AA7" s="52">
        <f t="shared" si="7"/>
        <v>2.0277914832886874</v>
      </c>
      <c r="AB7" s="53">
        <f t="shared" si="24"/>
        <v>10.071883845480277</v>
      </c>
      <c r="AC7" s="53">
        <f t="shared" si="25"/>
        <v>4.0477410492346602</v>
      </c>
      <c r="AD7" s="52">
        <f t="shared" si="26"/>
        <v>-0.1694375689329182</v>
      </c>
      <c r="AE7" s="52">
        <f t="shared" si="8"/>
        <v>1.4882727731272858</v>
      </c>
      <c r="AF7" s="54">
        <v>3591</v>
      </c>
      <c r="AG7" s="54">
        <v>2149</v>
      </c>
      <c r="AH7" s="52">
        <f t="shared" si="27"/>
        <v>-6.1176470588235297E-2</v>
      </c>
      <c r="AI7" s="52">
        <f t="shared" si="9"/>
        <v>0.67100977198697065</v>
      </c>
      <c r="AJ7" s="54">
        <v>232</v>
      </c>
      <c r="AK7" s="54">
        <v>126</v>
      </c>
      <c r="AL7" s="52">
        <f t="shared" si="28"/>
        <v>-0.2839506172839506</v>
      </c>
      <c r="AM7" s="52">
        <f t="shared" si="10"/>
        <v>0.84126984126984128</v>
      </c>
      <c r="AN7" s="99">
        <f t="shared" si="29"/>
        <v>6.4605959342801444E-2</v>
      </c>
      <c r="AO7" s="89">
        <f t="shared" si="11"/>
        <v>5.8631921824104233E-2</v>
      </c>
      <c r="AP7" s="52">
        <f t="shared" si="30"/>
        <v>-0.23729075775859401</v>
      </c>
      <c r="AQ7" s="52">
        <f t="shared" si="12"/>
        <v>0.10189052879111356</v>
      </c>
      <c r="AR7" s="51">
        <f t="shared" si="13"/>
        <v>85.275862068965523</v>
      </c>
      <c r="AS7" s="51">
        <f t="shared" si="14"/>
        <v>117.86507936507937</v>
      </c>
      <c r="AT7" s="52">
        <f t="shared" si="31"/>
        <v>1.7094765703840553E-2</v>
      </c>
      <c r="AU7" s="52">
        <f t="shared" si="15"/>
        <v>-0.27649595174132008</v>
      </c>
      <c r="AV7" s="68"/>
    </row>
    <row r="8" spans="1:48" ht="15.75" customHeight="1" x14ac:dyDescent="0.3">
      <c r="A8" s="49" t="s">
        <v>18</v>
      </c>
      <c r="B8" s="49" t="s">
        <v>36</v>
      </c>
      <c r="C8" s="50">
        <f t="shared" si="32"/>
        <v>42776</v>
      </c>
      <c r="D8" s="192">
        <v>75527</v>
      </c>
      <c r="E8" s="51">
        <v>6352</v>
      </c>
      <c r="F8" s="52">
        <f t="shared" si="16"/>
        <v>2.8175798625151636</v>
      </c>
      <c r="G8" s="52">
        <f t="shared" si="0"/>
        <v>10.890270780856422</v>
      </c>
      <c r="H8" s="51">
        <f t="shared" si="17"/>
        <v>1681.74</v>
      </c>
      <c r="I8" s="51">
        <f t="shared" si="18"/>
        <v>2929.9300000000003</v>
      </c>
      <c r="J8" s="33">
        <f t="shared" si="19"/>
        <v>-0.14383896389516768</v>
      </c>
      <c r="K8" s="33">
        <f t="shared" si="1"/>
        <v>-0.42601359076838019</v>
      </c>
      <c r="L8" s="51">
        <v>1056.74</v>
      </c>
      <c r="M8" s="51">
        <v>1044.93</v>
      </c>
      <c r="N8" s="33">
        <f t="shared" si="20"/>
        <v>-0.21096410011349379</v>
      </c>
      <c r="O8" s="33">
        <f t="shared" si="2"/>
        <v>1.1302192491363005E-2</v>
      </c>
      <c r="P8" s="51">
        <v>0</v>
      </c>
      <c r="Q8" s="51">
        <f t="shared" si="33"/>
        <v>1260</v>
      </c>
      <c r="R8" s="33" t="e">
        <f t="shared" si="21"/>
        <v>#DIV/0!</v>
      </c>
      <c r="S8" s="33">
        <f t="shared" si="3"/>
        <v>-1</v>
      </c>
      <c r="T8" s="51">
        <v>625</v>
      </c>
      <c r="U8" s="51">
        <f t="shared" si="34"/>
        <v>625</v>
      </c>
      <c r="V8" s="33">
        <f t="shared" si="22"/>
        <v>0</v>
      </c>
      <c r="W8" s="33">
        <f t="shared" si="4"/>
        <v>0</v>
      </c>
      <c r="X8" s="53">
        <f t="shared" si="5"/>
        <v>71.471695970626641</v>
      </c>
      <c r="Y8" s="53">
        <f t="shared" si="6"/>
        <v>2.7558320643143173</v>
      </c>
      <c r="Z8" s="52">
        <f t="shared" si="23"/>
        <v>3.8382841174454532</v>
      </c>
      <c r="AA8" s="52">
        <f t="shared" si="7"/>
        <v>24.934706579593275</v>
      </c>
      <c r="AB8" s="53">
        <f t="shared" si="24"/>
        <v>44.910033655618584</v>
      </c>
      <c r="AC8" s="53">
        <f t="shared" si="25"/>
        <v>2.1679698832395311</v>
      </c>
      <c r="AD8" s="52">
        <f t="shared" si="26"/>
        <v>3.4589507131549975</v>
      </c>
      <c r="AE8" s="52">
        <f t="shared" si="8"/>
        <v>19.715247939012372</v>
      </c>
      <c r="AF8" s="54">
        <v>3578</v>
      </c>
      <c r="AG8" s="54">
        <v>2690</v>
      </c>
      <c r="AH8" s="52">
        <f t="shared" si="27"/>
        <v>-3.6201615148983568E-3</v>
      </c>
      <c r="AI8" s="52">
        <f t="shared" si="9"/>
        <v>0.33011152416356876</v>
      </c>
      <c r="AJ8" s="54">
        <v>531</v>
      </c>
      <c r="AK8" s="54">
        <v>55</v>
      </c>
      <c r="AL8" s="52">
        <f t="shared" si="28"/>
        <v>1.2887931034482758</v>
      </c>
      <c r="AM8" s="52">
        <f t="shared" si="10"/>
        <v>8.6545454545454543</v>
      </c>
      <c r="AN8" s="99">
        <f t="shared" si="29"/>
        <v>0.14840693124650642</v>
      </c>
      <c r="AO8" s="89">
        <f t="shared" si="11"/>
        <v>2.0446096654275093E-2</v>
      </c>
      <c r="AP8" s="52">
        <f t="shared" si="30"/>
        <v>1.297109009078468</v>
      </c>
      <c r="AQ8" s="52">
        <f t="shared" si="12"/>
        <v>6.2584480918745857</v>
      </c>
      <c r="AR8" s="51">
        <f t="shared" si="13"/>
        <v>142.23540489642184</v>
      </c>
      <c r="AS8" s="51">
        <f t="shared" si="14"/>
        <v>115.49090909090908</v>
      </c>
      <c r="AT8" s="52">
        <f t="shared" si="31"/>
        <v>0.66794449737009021</v>
      </c>
      <c r="AU8" s="52">
        <f t="shared" si="15"/>
        <v>0.23157230310188942</v>
      </c>
      <c r="AV8" s="68" t="s">
        <v>159</v>
      </c>
    </row>
    <row r="9" spans="1:48" ht="15.75" customHeight="1" x14ac:dyDescent="0.3">
      <c r="A9" s="69" t="s">
        <v>18</v>
      </c>
      <c r="B9" s="69" t="s">
        <v>37</v>
      </c>
      <c r="C9" s="70">
        <f t="shared" si="32"/>
        <v>42783</v>
      </c>
      <c r="D9" s="195">
        <v>17401</v>
      </c>
      <c r="E9" s="72">
        <v>15477</v>
      </c>
      <c r="F9" s="73">
        <f t="shared" si="16"/>
        <v>-0.76960557151747055</v>
      </c>
      <c r="G9" s="73">
        <f t="shared" si="0"/>
        <v>0.1243134974478258</v>
      </c>
      <c r="H9" s="72">
        <f t="shared" si="17"/>
        <v>2017.97</v>
      </c>
      <c r="I9" s="72">
        <f t="shared" si="18"/>
        <v>4115.87</v>
      </c>
      <c r="J9" s="40">
        <f t="shared" si="19"/>
        <v>0.19992983457609381</v>
      </c>
      <c r="K9" s="40">
        <f t="shared" si="1"/>
        <v>-0.50970997626261272</v>
      </c>
      <c r="L9" s="72">
        <v>1392.97</v>
      </c>
      <c r="M9" s="72">
        <v>2230.87</v>
      </c>
      <c r="N9" s="40">
        <f t="shared" si="20"/>
        <v>0.31817665650964289</v>
      </c>
      <c r="O9" s="40">
        <f t="shared" si="2"/>
        <v>-0.37559337836808054</v>
      </c>
      <c r="P9" s="72">
        <v>0</v>
      </c>
      <c r="Q9" s="72">
        <f t="shared" si="33"/>
        <v>1260</v>
      </c>
      <c r="R9" s="40" t="e">
        <f t="shared" si="21"/>
        <v>#DIV/0!</v>
      </c>
      <c r="S9" s="40">
        <f t="shared" si="3"/>
        <v>-1</v>
      </c>
      <c r="T9" s="72">
        <v>625</v>
      </c>
      <c r="U9" s="72">
        <f t="shared" si="34"/>
        <v>625</v>
      </c>
      <c r="V9" s="40">
        <f t="shared" si="22"/>
        <v>0</v>
      </c>
      <c r="W9" s="40">
        <f t="shared" si="4"/>
        <v>0</v>
      </c>
      <c r="X9" s="74">
        <f t="shared" si="5"/>
        <v>12.492013467626725</v>
      </c>
      <c r="Y9" s="74">
        <f t="shared" si="6"/>
        <v>4.4335652716944489</v>
      </c>
      <c r="Z9" s="73">
        <f t="shared" si="23"/>
        <v>-0.82521733536642705</v>
      </c>
      <c r="AA9" s="73">
        <f t="shared" si="7"/>
        <v>1.8175999905494669</v>
      </c>
      <c r="AB9" s="74">
        <f t="shared" si="24"/>
        <v>8.6230221460180285</v>
      </c>
      <c r="AC9" s="74">
        <f t="shared" si="25"/>
        <v>3.7603228479033595</v>
      </c>
      <c r="AD9" s="73">
        <f t="shared" si="26"/>
        <v>-0.80799341607843067</v>
      </c>
      <c r="AE9" s="73">
        <f t="shared" si="8"/>
        <v>1.2931600542825628</v>
      </c>
      <c r="AF9" s="76">
        <v>2539</v>
      </c>
      <c r="AG9" s="76">
        <v>2478</v>
      </c>
      <c r="AH9" s="73">
        <f t="shared" si="27"/>
        <v>-0.29038569032979317</v>
      </c>
      <c r="AI9" s="73">
        <f t="shared" si="9"/>
        <v>2.4616626311541566E-2</v>
      </c>
      <c r="AJ9" s="76">
        <v>177</v>
      </c>
      <c r="AK9" s="76">
        <v>154</v>
      </c>
      <c r="AL9" s="73">
        <f t="shared" si="28"/>
        <v>-0.66666666666666663</v>
      </c>
      <c r="AM9" s="73">
        <f t="shared" si="10"/>
        <v>0.14935064935064934</v>
      </c>
      <c r="AN9" s="100">
        <f t="shared" si="29"/>
        <v>6.9712485230405671E-2</v>
      </c>
      <c r="AO9" s="89">
        <f t="shared" si="11"/>
        <v>6.2146892655367235E-2</v>
      </c>
      <c r="AP9" s="73">
        <f t="shared" si="30"/>
        <v>-0.53026125771301036</v>
      </c>
      <c r="AQ9" s="73">
        <f t="shared" si="12"/>
        <v>0.12173726234380029</v>
      </c>
      <c r="AR9" s="72">
        <f t="shared" si="13"/>
        <v>98.31073446327683</v>
      </c>
      <c r="AS9" s="72">
        <f t="shared" si="14"/>
        <v>100.5</v>
      </c>
      <c r="AT9" s="73">
        <f t="shared" si="31"/>
        <v>-0.30881671455241172</v>
      </c>
      <c r="AU9" s="73">
        <f t="shared" si="15"/>
        <v>-2.1783736683812633E-2</v>
      </c>
      <c r="AV9" s="77"/>
    </row>
    <row r="10" spans="1:48" ht="15.75" customHeight="1" x14ac:dyDescent="0.3">
      <c r="A10" s="49" t="s">
        <v>38</v>
      </c>
      <c r="B10" s="49" t="s">
        <v>39</v>
      </c>
      <c r="C10" s="50">
        <f t="shared" si="32"/>
        <v>42790</v>
      </c>
      <c r="D10" s="192">
        <v>16157</v>
      </c>
      <c r="E10" s="51">
        <v>9987</v>
      </c>
      <c r="F10" s="52">
        <f t="shared" si="16"/>
        <v>-7.149014424458365E-2</v>
      </c>
      <c r="G10" s="52">
        <f t="shared" si="0"/>
        <v>0.61780314408731352</v>
      </c>
      <c r="H10" s="51">
        <f t="shared" si="17"/>
        <v>1447.77</v>
      </c>
      <c r="I10" s="51">
        <f t="shared" si="18"/>
        <v>3424.54</v>
      </c>
      <c r="J10" s="40">
        <f t="shared" si="19"/>
        <v>-0.28256118772826161</v>
      </c>
      <c r="K10" s="40">
        <f t="shared" si="1"/>
        <v>-0.57723665076185415</v>
      </c>
      <c r="L10" s="51">
        <v>822.77</v>
      </c>
      <c r="M10" s="51">
        <v>1539.54</v>
      </c>
      <c r="N10" s="40">
        <f t="shared" si="20"/>
        <v>-0.40934119184189183</v>
      </c>
      <c r="O10" s="40">
        <f t="shared" si="2"/>
        <v>-0.46557413253309432</v>
      </c>
      <c r="P10" s="51">
        <v>0</v>
      </c>
      <c r="Q10" s="51">
        <f t="shared" si="33"/>
        <v>1260</v>
      </c>
      <c r="R10" s="40" t="e">
        <f t="shared" si="21"/>
        <v>#DIV/0!</v>
      </c>
      <c r="S10" s="40">
        <f t="shared" si="3"/>
        <v>-1</v>
      </c>
      <c r="T10" s="51">
        <v>625</v>
      </c>
      <c r="U10" s="51">
        <f t="shared" si="34"/>
        <v>625</v>
      </c>
      <c r="V10" s="40">
        <f t="shared" si="22"/>
        <v>0</v>
      </c>
      <c r="W10" s="40">
        <f t="shared" si="4"/>
        <v>0</v>
      </c>
      <c r="X10" s="53">
        <f t="shared" si="5"/>
        <v>19.637322702577876</v>
      </c>
      <c r="Y10" s="53">
        <f t="shared" si="6"/>
        <v>3.5673717825071263</v>
      </c>
      <c r="Z10" s="52">
        <f t="shared" si="23"/>
        <v>0.5719901962536581</v>
      </c>
      <c r="AA10" s="52">
        <f t="shared" si="7"/>
        <v>4.5047031539776574</v>
      </c>
      <c r="AB10" s="53">
        <f t="shared" si="24"/>
        <v>11.159921810784862</v>
      </c>
      <c r="AC10" s="53">
        <f t="shared" si="25"/>
        <v>2.9163040875562851</v>
      </c>
      <c r="AD10" s="52">
        <f t="shared" si="26"/>
        <v>0.29420075952586211</v>
      </c>
      <c r="AE10" s="52">
        <f t="shared" si="8"/>
        <v>2.8267346187949527</v>
      </c>
      <c r="AF10" s="54">
        <v>3962</v>
      </c>
      <c r="AG10" s="54">
        <v>2790</v>
      </c>
      <c r="AH10" s="52">
        <f t="shared" si="27"/>
        <v>0.5604568727845608</v>
      </c>
      <c r="AI10" s="52">
        <f t="shared" si="9"/>
        <v>0.42007168458781363</v>
      </c>
      <c r="AJ10" s="54">
        <v>217</v>
      </c>
      <c r="AK10" s="54">
        <v>87</v>
      </c>
      <c r="AL10" s="52">
        <f t="shared" si="28"/>
        <v>0.22598870056497175</v>
      </c>
      <c r="AM10" s="52">
        <f t="shared" si="10"/>
        <v>1.4942528735632183</v>
      </c>
      <c r="AN10" s="99">
        <f t="shared" si="29"/>
        <v>5.4770318021201414E-2</v>
      </c>
      <c r="AO10" s="89">
        <f t="shared" si="11"/>
        <v>3.118279569892473E-2</v>
      </c>
      <c r="AP10" s="52">
        <f t="shared" si="30"/>
        <v>-0.21433990137948933</v>
      </c>
      <c r="AQ10" s="52">
        <f t="shared" si="12"/>
        <v>0.7564274399902523</v>
      </c>
      <c r="AR10" s="51">
        <f t="shared" si="13"/>
        <v>74.456221198156683</v>
      </c>
      <c r="AS10" s="51">
        <f t="shared" si="14"/>
        <v>114.79310344827586</v>
      </c>
      <c r="AT10" s="52">
        <f t="shared" si="31"/>
        <v>-0.24264403470641149</v>
      </c>
      <c r="AU10" s="52">
        <f t="shared" si="15"/>
        <v>-0.35138767955946415</v>
      </c>
      <c r="AV10" s="86" t="s">
        <v>167</v>
      </c>
    </row>
    <row r="11" spans="1:48" ht="15.75" customHeight="1" x14ac:dyDescent="0.3">
      <c r="A11" s="49" t="s">
        <v>38</v>
      </c>
      <c r="B11" s="49" t="s">
        <v>40</v>
      </c>
      <c r="C11" s="50">
        <f t="shared" si="32"/>
        <v>42797</v>
      </c>
      <c r="D11" s="192">
        <v>63408</v>
      </c>
      <c r="E11" s="51">
        <v>13074</v>
      </c>
      <c r="F11" s="52">
        <f t="shared" si="16"/>
        <v>2.9244909327226587</v>
      </c>
      <c r="G11" s="52">
        <f t="shared" si="0"/>
        <v>3.8499311610830658</v>
      </c>
      <c r="H11" s="51">
        <f t="shared" si="17"/>
        <v>5026.97</v>
      </c>
      <c r="I11" s="51">
        <f t="shared" si="18"/>
        <v>3475.84</v>
      </c>
      <c r="J11" s="33">
        <f t="shared" si="19"/>
        <v>2.472215890645614</v>
      </c>
      <c r="K11" s="33">
        <f t="shared" si="1"/>
        <v>0.44626047228871296</v>
      </c>
      <c r="L11" s="51">
        <v>4109.72</v>
      </c>
      <c r="M11" s="51">
        <v>1590.84</v>
      </c>
      <c r="N11" s="33">
        <f t="shared" si="20"/>
        <v>3.9949803711851435</v>
      </c>
      <c r="O11" s="33">
        <f t="shared" si="2"/>
        <v>1.5833647632697192</v>
      </c>
      <c r="P11" s="51">
        <v>0</v>
      </c>
      <c r="Q11" s="51">
        <f t="shared" si="33"/>
        <v>1260</v>
      </c>
      <c r="R11" s="33" t="e">
        <f t="shared" si="21"/>
        <v>#DIV/0!</v>
      </c>
      <c r="S11" s="33">
        <f t="shared" si="3"/>
        <v>-1</v>
      </c>
      <c r="T11" s="51">
        <v>917.25</v>
      </c>
      <c r="U11" s="51">
        <f t="shared" si="34"/>
        <v>625</v>
      </c>
      <c r="V11" s="33">
        <f t="shared" si="22"/>
        <v>0.46760000000000002</v>
      </c>
      <c r="W11" s="33">
        <f t="shared" si="4"/>
        <v>0.46760000000000002</v>
      </c>
      <c r="X11" s="53">
        <f t="shared" si="5"/>
        <v>15.428788335945027</v>
      </c>
      <c r="Y11" s="53">
        <f t="shared" si="6"/>
        <v>4.5860167529570228</v>
      </c>
      <c r="Z11" s="52">
        <f t="shared" si="23"/>
        <v>-0.21431304207677843</v>
      </c>
      <c r="AA11" s="52">
        <f t="shared" si="7"/>
        <v>2.3643113767512256</v>
      </c>
      <c r="AB11" s="53">
        <f t="shared" si="24"/>
        <v>12.613562444176113</v>
      </c>
      <c r="AC11" s="53">
        <f t="shared" si="25"/>
        <v>3.7613929294789172</v>
      </c>
      <c r="AD11" s="52">
        <f t="shared" si="26"/>
        <v>0.13025544963822808</v>
      </c>
      <c r="AE11" s="52">
        <f t="shared" si="8"/>
        <v>2.3534285517794937</v>
      </c>
      <c r="AF11" s="54">
        <v>5206</v>
      </c>
      <c r="AG11" s="54">
        <v>1946</v>
      </c>
      <c r="AH11" s="52">
        <f t="shared" si="27"/>
        <v>0.31398283695103485</v>
      </c>
      <c r="AI11" s="52">
        <f t="shared" si="9"/>
        <v>1.6752312435765673</v>
      </c>
      <c r="AJ11" s="54">
        <v>629</v>
      </c>
      <c r="AK11" s="54">
        <v>89</v>
      </c>
      <c r="AL11" s="52">
        <f t="shared" si="28"/>
        <v>1.8986175115207373</v>
      </c>
      <c r="AM11" s="52">
        <f t="shared" si="10"/>
        <v>6.0674157303370784</v>
      </c>
      <c r="AN11" s="99">
        <f t="shared" si="29"/>
        <v>0.12082212831348445</v>
      </c>
      <c r="AO11" s="89">
        <f t="shared" si="11"/>
        <v>4.5734840698869475E-2</v>
      </c>
      <c r="AP11" s="52">
        <f t="shared" si="30"/>
        <v>1.2059782137236192</v>
      </c>
      <c r="AQ11" s="52">
        <f t="shared" si="12"/>
        <v>1.6417961988543903</v>
      </c>
      <c r="AR11" s="51">
        <f t="shared" si="13"/>
        <v>100.80763116057234</v>
      </c>
      <c r="AS11" s="51">
        <f t="shared" si="14"/>
        <v>146.89887640449439</v>
      </c>
      <c r="AT11" s="52">
        <f t="shared" si="31"/>
        <v>0.35391817551799204</v>
      </c>
      <c r="AU11" s="52">
        <f t="shared" si="15"/>
        <v>-0.31376172760509879</v>
      </c>
      <c r="AV11" s="86" t="s">
        <v>170</v>
      </c>
    </row>
    <row r="12" spans="1:48" ht="15.75" customHeight="1" x14ac:dyDescent="0.3">
      <c r="A12" s="49" t="s">
        <v>38</v>
      </c>
      <c r="B12" s="49" t="s">
        <v>41</v>
      </c>
      <c r="C12" s="50">
        <f t="shared" si="32"/>
        <v>42804</v>
      </c>
      <c r="D12" s="192">
        <v>46182</v>
      </c>
      <c r="E12" s="51">
        <v>22170</v>
      </c>
      <c r="F12" s="52">
        <f t="shared" si="16"/>
        <v>-0.27166919000757001</v>
      </c>
      <c r="G12" s="52">
        <f t="shared" si="0"/>
        <v>1.0830852503382951</v>
      </c>
      <c r="H12" s="51">
        <f t="shared" si="17"/>
        <v>4101.1499999999996</v>
      </c>
      <c r="I12" s="51">
        <f t="shared" si="18"/>
        <v>4081.91</v>
      </c>
      <c r="J12" s="40">
        <f t="shared" si="19"/>
        <v>-0.18417058387060209</v>
      </c>
      <c r="K12" s="40">
        <f t="shared" si="1"/>
        <v>4.7134797190530372E-3</v>
      </c>
      <c r="L12" s="51">
        <v>3183.9</v>
      </c>
      <c r="M12" s="51">
        <v>2196.91</v>
      </c>
      <c r="N12" s="40">
        <f t="shared" si="20"/>
        <v>-0.22527568788141286</v>
      </c>
      <c r="O12" s="40">
        <f t="shared" si="2"/>
        <v>0.44926282824512626</v>
      </c>
      <c r="P12" s="51">
        <v>0</v>
      </c>
      <c r="Q12" s="51">
        <f t="shared" si="33"/>
        <v>1260</v>
      </c>
      <c r="R12" s="40" t="e">
        <f t="shared" si="21"/>
        <v>#DIV/0!</v>
      </c>
      <c r="S12" s="40">
        <f t="shared" si="3"/>
        <v>-1</v>
      </c>
      <c r="T12" s="51">
        <v>917.25</v>
      </c>
      <c r="U12" s="51">
        <f t="shared" si="34"/>
        <v>625</v>
      </c>
      <c r="V12" s="40">
        <f t="shared" si="22"/>
        <v>0</v>
      </c>
      <c r="W12" s="40">
        <f t="shared" si="4"/>
        <v>0.46760000000000002</v>
      </c>
      <c r="X12" s="53">
        <f t="shared" si="5"/>
        <v>14.504852539338547</v>
      </c>
      <c r="Y12" s="53">
        <f t="shared" si="6"/>
        <v>6.4132418836475349</v>
      </c>
      <c r="Z12" s="52">
        <f t="shared" si="23"/>
        <v>-5.9883885661581898E-2</v>
      </c>
      <c r="AA12" s="52">
        <f t="shared" si="7"/>
        <v>1.261703644193271</v>
      </c>
      <c r="AB12" s="53">
        <f t="shared" si="24"/>
        <v>11.260743937676018</v>
      </c>
      <c r="AC12" s="53">
        <f t="shared" si="25"/>
        <v>5.4312809444598242</v>
      </c>
      <c r="AD12" s="52">
        <f t="shared" si="26"/>
        <v>-0.10725110471266686</v>
      </c>
      <c r="AE12" s="52">
        <f t="shared" si="8"/>
        <v>1.0733127328208891</v>
      </c>
      <c r="AF12" s="54">
        <v>4196</v>
      </c>
      <c r="AG12" s="54">
        <v>3142</v>
      </c>
      <c r="AH12" s="52">
        <f t="shared" si="27"/>
        <v>-0.19400691509796389</v>
      </c>
      <c r="AI12" s="52">
        <f t="shared" si="9"/>
        <v>0.33545512412476131</v>
      </c>
      <c r="AJ12" s="54">
        <v>467</v>
      </c>
      <c r="AK12" s="54">
        <v>178</v>
      </c>
      <c r="AL12" s="52">
        <f t="shared" si="28"/>
        <v>-0.25755166931637519</v>
      </c>
      <c r="AM12" s="52">
        <f t="shared" si="10"/>
        <v>1.6235955056179776</v>
      </c>
      <c r="AN12" s="99">
        <f t="shared" si="29"/>
        <v>0.11129647283126787</v>
      </c>
      <c r="AO12" s="89">
        <f>AK12/AG12</f>
        <v>5.6651814131126674E-2</v>
      </c>
      <c r="AP12" s="52">
        <f t="shared" si="30"/>
        <v>-7.8840321844864086E-2</v>
      </c>
      <c r="AQ12" s="52">
        <f t="shared" si="12"/>
        <v>0.96457032379687424</v>
      </c>
      <c r="AR12" s="51">
        <f t="shared" si="13"/>
        <v>98.890792291220563</v>
      </c>
      <c r="AS12" s="51">
        <f t="shared" si="14"/>
        <v>124.55056179775281</v>
      </c>
      <c r="AT12" s="52">
        <f t="shared" si="31"/>
        <v>-1.9014819089425129E-2</v>
      </c>
      <c r="AU12" s="52">
        <f t="shared" si="15"/>
        <v>-0.20601889815799457</v>
      </c>
      <c r="AV12" s="86" t="s">
        <v>183</v>
      </c>
    </row>
    <row r="13" spans="1:48" ht="15.75" customHeight="1" x14ac:dyDescent="0.3">
      <c r="A13" s="69" t="s">
        <v>38</v>
      </c>
      <c r="B13" s="69" t="s">
        <v>42</v>
      </c>
      <c r="C13" s="70">
        <f t="shared" si="32"/>
        <v>42811</v>
      </c>
      <c r="D13" s="195">
        <v>22258</v>
      </c>
      <c r="E13" s="72">
        <v>10835</v>
      </c>
      <c r="F13" s="73">
        <f t="shared" si="16"/>
        <v>-0.51803733056169066</v>
      </c>
      <c r="G13" s="73">
        <f t="shared" si="0"/>
        <v>1.0542685740655284</v>
      </c>
      <c r="H13" s="72">
        <f t="shared" si="17"/>
        <v>2278.83</v>
      </c>
      <c r="I13" s="72">
        <f t="shared" si="18"/>
        <v>2854.82</v>
      </c>
      <c r="J13" s="40">
        <f t="shared" si="19"/>
        <v>-0.44434365970520462</v>
      </c>
      <c r="K13" s="40">
        <f t="shared" si="1"/>
        <v>-0.2017605313119567</v>
      </c>
      <c r="L13" s="72">
        <v>1361.58</v>
      </c>
      <c r="M13" s="72">
        <v>969.82</v>
      </c>
      <c r="N13" s="40">
        <f t="shared" si="20"/>
        <v>-0.57235465938000574</v>
      </c>
      <c r="O13" s="40">
        <f t="shared" si="2"/>
        <v>0.40395124868532289</v>
      </c>
      <c r="P13" s="51">
        <v>0</v>
      </c>
      <c r="Q13" s="51">
        <f t="shared" si="33"/>
        <v>1260</v>
      </c>
      <c r="R13" s="40" t="e">
        <f t="shared" si="21"/>
        <v>#DIV/0!</v>
      </c>
      <c r="S13" s="40">
        <f t="shared" si="3"/>
        <v>-1</v>
      </c>
      <c r="T13" s="72">
        <v>917.25</v>
      </c>
      <c r="U13" s="72">
        <f t="shared" si="34"/>
        <v>625</v>
      </c>
      <c r="V13" s="40">
        <f t="shared" si="22"/>
        <v>0</v>
      </c>
      <c r="W13" s="40">
        <f t="shared" si="4"/>
        <v>0.46760000000000002</v>
      </c>
      <c r="X13" s="74">
        <f t="shared" si="5"/>
        <v>16.347184888144657</v>
      </c>
      <c r="Y13" s="74">
        <f t="shared" si="6"/>
        <v>4.8591366119238319</v>
      </c>
      <c r="Z13" s="73">
        <f t="shared" si="23"/>
        <v>0.12701489682914932</v>
      </c>
      <c r="AA13" s="73">
        <f t="shared" si="7"/>
        <v>2.3642159489877916</v>
      </c>
      <c r="AB13" s="74">
        <f t="shared" si="24"/>
        <v>9.7672928651983693</v>
      </c>
      <c r="AC13" s="74">
        <f t="shared" si="25"/>
        <v>3.7953356078491813</v>
      </c>
      <c r="AD13" s="73">
        <f t="shared" si="26"/>
        <v>-0.13262454778683708</v>
      </c>
      <c r="AE13" s="73">
        <f t="shared" si="8"/>
        <v>1.5734991248200838</v>
      </c>
      <c r="AF13" s="76">
        <v>3374</v>
      </c>
      <c r="AG13" s="76">
        <v>2124</v>
      </c>
      <c r="AH13" s="73">
        <f t="shared" si="27"/>
        <v>-0.19590085795996187</v>
      </c>
      <c r="AI13" s="73">
        <f t="shared" si="9"/>
        <v>0.58851224105461397</v>
      </c>
      <c r="AJ13" s="76">
        <v>270</v>
      </c>
      <c r="AK13" s="76">
        <v>75</v>
      </c>
      <c r="AL13" s="73">
        <f t="shared" si="28"/>
        <v>-0.42184154175588867</v>
      </c>
      <c r="AM13" s="73">
        <f t="shared" si="10"/>
        <v>2.6</v>
      </c>
      <c r="AN13" s="100">
        <f t="shared" si="29"/>
        <v>8.0023710729104913E-2</v>
      </c>
      <c r="AO13" s="89">
        <f t="shared" ref="AO13:AO44" si="35">AK13/AG13</f>
        <v>3.5310734463276837E-2</v>
      </c>
      <c r="AP13" s="73">
        <f t="shared" si="30"/>
        <v>-0.28098610231408089</v>
      </c>
      <c r="AQ13" s="73">
        <f t="shared" si="12"/>
        <v>1.2662714878482511</v>
      </c>
      <c r="AR13" s="72">
        <f t="shared" si="13"/>
        <v>82.437037037037044</v>
      </c>
      <c r="AS13" s="72">
        <f t="shared" si="14"/>
        <v>144.46666666666667</v>
      </c>
      <c r="AT13" s="73">
        <f t="shared" si="31"/>
        <v>-0.16638308656410947</v>
      </c>
      <c r="AU13" s="73">
        <f t="shared" si="15"/>
        <v>-0.42936984053735316</v>
      </c>
      <c r="AV13" s="86" t="s">
        <v>185</v>
      </c>
    </row>
    <row r="14" spans="1:48" ht="15.75" customHeight="1" x14ac:dyDescent="0.3">
      <c r="A14" s="49" t="s">
        <v>43</v>
      </c>
      <c r="B14" s="49" t="s">
        <v>44</v>
      </c>
      <c r="C14" s="50">
        <f t="shared" si="32"/>
        <v>42818</v>
      </c>
      <c r="D14" s="192">
        <v>27902</v>
      </c>
      <c r="E14" s="51">
        <v>12974</v>
      </c>
      <c r="F14" s="52">
        <f t="shared" si="16"/>
        <v>0.25357174948333183</v>
      </c>
      <c r="G14" s="52">
        <f t="shared" si="0"/>
        <v>1.1506089101279482</v>
      </c>
      <c r="H14" s="51">
        <f t="shared" si="17"/>
        <v>2358.87</v>
      </c>
      <c r="I14" s="51">
        <f t="shared" si="18"/>
        <v>2944.13</v>
      </c>
      <c r="J14" s="33">
        <f t="shared" si="19"/>
        <v>3.5123286949882163E-2</v>
      </c>
      <c r="K14" s="33">
        <f t="shared" si="1"/>
        <v>-0.19878877631082872</v>
      </c>
      <c r="L14" s="51">
        <v>1441.62</v>
      </c>
      <c r="M14" s="51">
        <v>1059.1300000000001</v>
      </c>
      <c r="N14" s="33">
        <f t="shared" si="20"/>
        <v>5.8784647248050034E-2</v>
      </c>
      <c r="O14" s="33">
        <f t="shared" si="2"/>
        <v>0.36113602673892697</v>
      </c>
      <c r="P14" s="107">
        <v>0</v>
      </c>
      <c r="Q14" s="107">
        <f t="shared" si="33"/>
        <v>1260</v>
      </c>
      <c r="R14" s="33" t="e">
        <f t="shared" si="21"/>
        <v>#DIV/0!</v>
      </c>
      <c r="S14" s="33">
        <f t="shared" si="3"/>
        <v>-1</v>
      </c>
      <c r="T14" s="51">
        <v>917.25</v>
      </c>
      <c r="U14" s="51">
        <f t="shared" si="34"/>
        <v>625</v>
      </c>
      <c r="V14" s="33">
        <f t="shared" si="22"/>
        <v>0</v>
      </c>
      <c r="W14" s="33">
        <f t="shared" si="4"/>
        <v>0.46760000000000002</v>
      </c>
      <c r="X14" s="53">
        <f t="shared" si="5"/>
        <v>19.354614947073433</v>
      </c>
      <c r="Y14" s="53">
        <f t="shared" si="6"/>
        <v>5.5943392565315442</v>
      </c>
      <c r="Z14" s="52">
        <f t="shared" si="23"/>
        <v>0.18397235239627291</v>
      </c>
      <c r="AA14" s="52">
        <f t="shared" si="7"/>
        <v>2.4596784462930792</v>
      </c>
      <c r="AB14" s="53">
        <f t="shared" si="24"/>
        <v>11.828545023676591</v>
      </c>
      <c r="AC14" s="53">
        <f t="shared" si="25"/>
        <v>4.4067347569570634</v>
      </c>
      <c r="AD14" s="52">
        <f t="shared" si="26"/>
        <v>0.21103617828668017</v>
      </c>
      <c r="AE14" s="52">
        <f t="shared" si="8"/>
        <v>1.6841971836408944</v>
      </c>
      <c r="AF14" s="54">
        <v>3539</v>
      </c>
      <c r="AG14" s="54">
        <v>3402</v>
      </c>
      <c r="AH14" s="52">
        <f t="shared" si="27"/>
        <v>4.8903378778897451E-2</v>
      </c>
      <c r="AI14" s="52">
        <f t="shared" si="9"/>
        <v>4.0270429159318048E-2</v>
      </c>
      <c r="AJ14" s="54">
        <v>364</v>
      </c>
      <c r="AK14" s="54">
        <v>96</v>
      </c>
      <c r="AL14" s="52">
        <f t="shared" si="28"/>
        <v>0.34814814814814815</v>
      </c>
      <c r="AM14" s="52">
        <f t="shared" si="10"/>
        <v>2.7916666666666665</v>
      </c>
      <c r="AN14" s="99">
        <f t="shared" si="29"/>
        <v>0.10285391353489687</v>
      </c>
      <c r="AO14" s="89">
        <f t="shared" si="35"/>
        <v>2.821869488536155E-2</v>
      </c>
      <c r="AP14" s="52">
        <f t="shared" si="30"/>
        <v>0.28529297876571136</v>
      </c>
      <c r="AQ14" s="52">
        <f t="shared" si="12"/>
        <v>2.644885560892908</v>
      </c>
      <c r="AR14" s="51">
        <f t="shared" si="13"/>
        <v>76.65384615384616</v>
      </c>
      <c r="AS14" s="51">
        <f t="shared" si="14"/>
        <v>135.14583333333334</v>
      </c>
      <c r="AT14" s="52">
        <f t="shared" si="31"/>
        <v>-7.0152823185440666E-2</v>
      </c>
      <c r="AU14" s="52">
        <f t="shared" si="15"/>
        <v>-0.43280644128493673</v>
      </c>
      <c r="AV14" s="106" t="s">
        <v>167</v>
      </c>
    </row>
    <row r="15" spans="1:48" ht="15.75" customHeight="1" x14ac:dyDescent="0.3">
      <c r="A15" s="49" t="s">
        <v>43</v>
      </c>
      <c r="B15" s="49" t="s">
        <v>45</v>
      </c>
      <c r="C15" s="50">
        <f t="shared" si="32"/>
        <v>42825</v>
      </c>
      <c r="D15" s="192">
        <v>34338</v>
      </c>
      <c r="E15" s="51">
        <v>16127</v>
      </c>
      <c r="F15" s="52">
        <f t="shared" si="16"/>
        <v>0.23066446849688194</v>
      </c>
      <c r="G15" s="52">
        <f t="shared" si="0"/>
        <v>1.1292242822595646</v>
      </c>
      <c r="H15" s="51">
        <f t="shared" si="17"/>
        <v>2807.98</v>
      </c>
      <c r="I15" s="51">
        <f t="shared" si="18"/>
        <v>3609.74</v>
      </c>
      <c r="J15" s="40">
        <f t="shared" si="19"/>
        <v>0.19039200973347414</v>
      </c>
      <c r="K15" s="40">
        <f t="shared" si="1"/>
        <v>-0.22211017968053096</v>
      </c>
      <c r="L15" s="51">
        <v>2182.98</v>
      </c>
      <c r="M15" s="51">
        <v>1814.74</v>
      </c>
      <c r="N15" s="40">
        <f t="shared" si="20"/>
        <v>0.51425479668706053</v>
      </c>
      <c r="O15" s="40">
        <f t="shared" si="2"/>
        <v>0.20291612021556807</v>
      </c>
      <c r="P15" s="51">
        <v>0</v>
      </c>
      <c r="Q15" s="51">
        <v>1170</v>
      </c>
      <c r="R15" s="40" t="e">
        <f t="shared" si="21"/>
        <v>#DIV/0!</v>
      </c>
      <c r="S15" s="40">
        <f t="shared" si="3"/>
        <v>-1</v>
      </c>
      <c r="T15" s="51">
        <v>625</v>
      </c>
      <c r="U15" s="51">
        <f t="shared" si="34"/>
        <v>625</v>
      </c>
      <c r="V15" s="40">
        <f t="shared" si="22"/>
        <v>-0.31861542654674296</v>
      </c>
      <c r="W15" s="40">
        <f t="shared" si="4"/>
        <v>0</v>
      </c>
      <c r="X15" s="53">
        <f t="shared" si="5"/>
        <v>15.729873842179039</v>
      </c>
      <c r="Y15" s="53">
        <f t="shared" si="6"/>
        <v>5.4031506931927069</v>
      </c>
      <c r="Z15" s="52">
        <f t="shared" si="23"/>
        <v>-0.18728045558160189</v>
      </c>
      <c r="AA15" s="52">
        <f t="shared" si="7"/>
        <v>1.9112410027720881</v>
      </c>
      <c r="AB15" s="53">
        <f t="shared" si="24"/>
        <v>12.22871957777477</v>
      </c>
      <c r="AC15" s="53">
        <f t="shared" si="25"/>
        <v>4.4676347881010825</v>
      </c>
      <c r="AD15" s="52">
        <f t="shared" si="26"/>
        <v>3.3831257631193851E-2</v>
      </c>
      <c r="AE15" s="52">
        <f t="shared" si="8"/>
        <v>1.7371797735894274</v>
      </c>
      <c r="AF15" s="54">
        <v>2804</v>
      </c>
      <c r="AG15" s="54">
        <v>2314</v>
      </c>
      <c r="AH15" s="52">
        <f t="shared" si="27"/>
        <v>-0.20768578694546483</v>
      </c>
      <c r="AI15" s="52">
        <f t="shared" si="9"/>
        <v>0.21175453759723423</v>
      </c>
      <c r="AJ15" s="54">
        <v>345</v>
      </c>
      <c r="AK15" s="54">
        <v>132</v>
      </c>
      <c r="AL15" s="52">
        <f t="shared" si="28"/>
        <v>-5.21978021978022E-2</v>
      </c>
      <c r="AM15" s="52">
        <f t="shared" si="10"/>
        <v>1.6136363636363635</v>
      </c>
      <c r="AN15" s="99">
        <f t="shared" si="29"/>
        <v>0.12303851640513552</v>
      </c>
      <c r="AO15" s="89">
        <f t="shared" si="35"/>
        <v>5.7044079515989631E-2</v>
      </c>
      <c r="AP15" s="52">
        <f t="shared" si="30"/>
        <v>0.1962453559279522</v>
      </c>
      <c r="AQ15" s="52">
        <f t="shared" si="12"/>
        <v>1.1569024769809362</v>
      </c>
      <c r="AR15" s="51">
        <f t="shared" si="13"/>
        <v>99.530434782608694</v>
      </c>
      <c r="AS15" s="51">
        <f t="shared" si="14"/>
        <v>122.17424242424242</v>
      </c>
      <c r="AT15" s="52">
        <f t="shared" si="31"/>
        <v>0.29844019284888401</v>
      </c>
      <c r="AU15" s="52">
        <f t="shared" si="15"/>
        <v>-0.18534027461373176</v>
      </c>
      <c r="AV15" s="86"/>
    </row>
    <row r="16" spans="1:48" ht="15.75" customHeight="1" x14ac:dyDescent="0.3">
      <c r="A16" s="49" t="s">
        <v>43</v>
      </c>
      <c r="B16" s="49" t="s">
        <v>46</v>
      </c>
      <c r="C16" s="50">
        <f t="shared" si="32"/>
        <v>42832</v>
      </c>
      <c r="D16" s="192">
        <v>15385</v>
      </c>
      <c r="E16" s="51">
        <v>21444</v>
      </c>
      <c r="F16" s="52">
        <f t="shared" si="16"/>
        <v>-0.55195410332576156</v>
      </c>
      <c r="G16" s="52">
        <f t="shared" si="0"/>
        <v>-0.28254989740720016</v>
      </c>
      <c r="H16" s="51">
        <f t="shared" si="17"/>
        <v>1571.26</v>
      </c>
      <c r="I16" s="51">
        <f t="shared" si="18"/>
        <v>4911.16</v>
      </c>
      <c r="J16" s="40">
        <f t="shared" si="19"/>
        <v>-0.44043048739663387</v>
      </c>
      <c r="K16" s="40">
        <f t="shared" si="1"/>
        <v>-0.68006336588504546</v>
      </c>
      <c r="L16" s="51">
        <v>946.26</v>
      </c>
      <c r="M16" s="51">
        <v>3116.16</v>
      </c>
      <c r="N16" s="40">
        <f t="shared" si="20"/>
        <v>-0.56652832366764694</v>
      </c>
      <c r="O16" s="40">
        <f t="shared" si="2"/>
        <v>-0.69633780036968573</v>
      </c>
      <c r="P16" s="51">
        <v>0</v>
      </c>
      <c r="Q16" s="51">
        <v>1170</v>
      </c>
      <c r="R16" s="40" t="e">
        <f t="shared" si="21"/>
        <v>#DIV/0!</v>
      </c>
      <c r="S16" s="40">
        <f t="shared" si="3"/>
        <v>-1</v>
      </c>
      <c r="T16" s="51">
        <v>625</v>
      </c>
      <c r="U16" s="51">
        <f t="shared" si="34"/>
        <v>625</v>
      </c>
      <c r="V16" s="40">
        <f t="shared" si="22"/>
        <v>0</v>
      </c>
      <c r="W16" s="40">
        <f t="shared" si="4"/>
        <v>0</v>
      </c>
      <c r="X16" s="53">
        <f t="shared" si="5"/>
        <v>16.258744953818191</v>
      </c>
      <c r="Y16" s="53">
        <f t="shared" si="6"/>
        <v>5.0030796797133101</v>
      </c>
      <c r="Z16" s="52">
        <f t="shared" si="23"/>
        <v>3.3622082220456512E-2</v>
      </c>
      <c r="AA16" s="52">
        <f t="shared" si="7"/>
        <v>2.2497473545633917</v>
      </c>
      <c r="AB16" s="53">
        <f t="shared" si="24"/>
        <v>9.7915049068900117</v>
      </c>
      <c r="AC16" s="53">
        <f t="shared" si="25"/>
        <v>4.3663818731216253</v>
      </c>
      <c r="AD16" s="52">
        <f t="shared" si="26"/>
        <v>-0.1993025234885836</v>
      </c>
      <c r="AE16" s="52">
        <f t="shared" si="8"/>
        <v>1.2424756220165056</v>
      </c>
      <c r="AF16" s="54">
        <v>1979</v>
      </c>
      <c r="AG16" s="54">
        <v>4662</v>
      </c>
      <c r="AH16" s="52">
        <f t="shared" si="27"/>
        <v>-0.2942225392296719</v>
      </c>
      <c r="AI16" s="52">
        <f t="shared" si="9"/>
        <v>-0.57550407550407545</v>
      </c>
      <c r="AJ16" s="54">
        <v>181</v>
      </c>
      <c r="AK16" s="54">
        <v>231</v>
      </c>
      <c r="AL16" s="52">
        <f t="shared" si="28"/>
        <v>-0.47536231884057972</v>
      </c>
      <c r="AM16" s="52">
        <f t="shared" si="10"/>
        <v>-0.21645021645021645</v>
      </c>
      <c r="AN16" s="99">
        <f t="shared" si="29"/>
        <v>9.1460333501768576E-2</v>
      </c>
      <c r="AO16" s="89">
        <f t="shared" si="35"/>
        <v>4.954954954954955E-2</v>
      </c>
      <c r="AP16" s="52">
        <f t="shared" si="30"/>
        <v>-0.25665282568417658</v>
      </c>
      <c r="AQ16" s="52">
        <f t="shared" si="12"/>
        <v>0.84583582158114756</v>
      </c>
      <c r="AR16" s="51">
        <f t="shared" si="13"/>
        <v>85</v>
      </c>
      <c r="AS16" s="51">
        <f t="shared" si="14"/>
        <v>92.831168831168824</v>
      </c>
      <c r="AT16" s="52">
        <f t="shared" si="31"/>
        <v>-0.14598986545518083</v>
      </c>
      <c r="AU16" s="52">
        <f t="shared" si="15"/>
        <v>-8.4359261331841004E-2</v>
      </c>
      <c r="AV16" s="86" t="s">
        <v>131</v>
      </c>
    </row>
    <row r="17" spans="1:48" ht="15.75" customHeight="1" x14ac:dyDescent="0.3">
      <c r="A17" s="69" t="s">
        <v>43</v>
      </c>
      <c r="B17" s="69" t="s">
        <v>47</v>
      </c>
      <c r="C17" s="70">
        <f t="shared" si="32"/>
        <v>42839</v>
      </c>
      <c r="D17" s="195">
        <v>32339</v>
      </c>
      <c r="E17" s="72">
        <v>10029</v>
      </c>
      <c r="F17" s="73">
        <f t="shared" si="16"/>
        <v>1.101982450438739</v>
      </c>
      <c r="G17" s="73">
        <f t="shared" si="0"/>
        <v>2.224548808455479</v>
      </c>
      <c r="H17" s="72">
        <f t="shared" si="17"/>
        <v>2799.82</v>
      </c>
      <c r="I17" s="72">
        <f t="shared" si="18"/>
        <v>2704.74</v>
      </c>
      <c r="J17" s="33">
        <f t="shared" si="19"/>
        <v>0.78189478507694476</v>
      </c>
      <c r="K17" s="33">
        <f t="shared" si="1"/>
        <v>3.5153101592020078E-2</v>
      </c>
      <c r="L17" s="72">
        <v>2174.8200000000002</v>
      </c>
      <c r="M17" s="72">
        <v>909.74</v>
      </c>
      <c r="N17" s="33">
        <f t="shared" si="20"/>
        <v>1.2983323822205315</v>
      </c>
      <c r="O17" s="33">
        <f t="shared" si="2"/>
        <v>1.3905951150878275</v>
      </c>
      <c r="P17" s="72">
        <v>0</v>
      </c>
      <c r="Q17" s="72">
        <v>1170</v>
      </c>
      <c r="R17" s="33" t="e">
        <f t="shared" si="21"/>
        <v>#DIV/0!</v>
      </c>
      <c r="S17" s="33">
        <f t="shared" si="3"/>
        <v>-1</v>
      </c>
      <c r="T17" s="72">
        <v>625</v>
      </c>
      <c r="U17" s="72">
        <f t="shared" si="34"/>
        <v>625</v>
      </c>
      <c r="V17" s="33">
        <f t="shared" si="22"/>
        <v>0</v>
      </c>
      <c r="W17" s="33">
        <f t="shared" si="4"/>
        <v>0</v>
      </c>
      <c r="X17" s="74">
        <f t="shared" si="5"/>
        <v>14.869736345996449</v>
      </c>
      <c r="Y17" s="74">
        <f t="shared" si="6"/>
        <v>4.8222373950589983</v>
      </c>
      <c r="Z17" s="73">
        <f t="shared" si="23"/>
        <v>-8.543147775348725E-2</v>
      </c>
      <c r="AA17" s="73">
        <f t="shared" si="7"/>
        <v>2.0835761759121199</v>
      </c>
      <c r="AB17" s="74">
        <f t="shared" si="24"/>
        <v>11.550385381917408</v>
      </c>
      <c r="AC17" s="74">
        <f t="shared" si="25"/>
        <v>3.7079349586281865</v>
      </c>
      <c r="AD17" s="73">
        <f t="shared" si="26"/>
        <v>0.17963331395460169</v>
      </c>
      <c r="AE17" s="73">
        <f t="shared" si="8"/>
        <v>2.1150453044059514</v>
      </c>
      <c r="AF17" s="76">
        <v>2341</v>
      </c>
      <c r="AG17" s="76">
        <v>1277</v>
      </c>
      <c r="AH17" s="73">
        <f t="shared" si="27"/>
        <v>0.18292066700353715</v>
      </c>
      <c r="AI17" s="73">
        <f t="shared" si="9"/>
        <v>0.83320281910728267</v>
      </c>
      <c r="AJ17" s="76">
        <v>286</v>
      </c>
      <c r="AK17" s="76">
        <v>98</v>
      </c>
      <c r="AL17" s="73">
        <f t="shared" si="28"/>
        <v>0.58011049723756902</v>
      </c>
      <c r="AM17" s="73">
        <f t="shared" si="10"/>
        <v>1.9183673469387754</v>
      </c>
      <c r="AN17" s="100">
        <f t="shared" si="29"/>
        <v>0.12217001281503631</v>
      </c>
      <c r="AO17" s="89">
        <f t="shared" si="35"/>
        <v>7.6742364917776043E-2</v>
      </c>
      <c r="AP17" s="73">
        <f t="shared" si="30"/>
        <v>0.33577047160749635</v>
      </c>
      <c r="AQ17" s="73">
        <f t="shared" si="12"/>
        <v>0.59195006494695268</v>
      </c>
      <c r="AR17" s="72">
        <f t="shared" si="13"/>
        <v>113.07342657342657</v>
      </c>
      <c r="AS17" s="72">
        <f t="shared" si="14"/>
        <v>102.33673469387755</v>
      </c>
      <c r="AT17" s="73">
        <f t="shared" si="31"/>
        <v>0.33027560674619499</v>
      </c>
      <c r="AU17" s="73">
        <f t="shared" si="15"/>
        <v>0.10491532597425514</v>
      </c>
      <c r="AV17" s="77"/>
    </row>
    <row r="18" spans="1:48" ht="15.75" customHeight="1" x14ac:dyDescent="0.3">
      <c r="A18" s="49" t="s">
        <v>48</v>
      </c>
      <c r="B18" s="49" t="s">
        <v>49</v>
      </c>
      <c r="C18" s="50">
        <f t="shared" si="32"/>
        <v>42846</v>
      </c>
      <c r="D18" s="192">
        <v>18240</v>
      </c>
      <c r="E18" s="51">
        <v>6121</v>
      </c>
      <c r="F18" s="52">
        <f t="shared" si="16"/>
        <v>-0.4359751383778101</v>
      </c>
      <c r="G18" s="52">
        <f t="shared" si="0"/>
        <v>1.9799052442411371</v>
      </c>
      <c r="H18" s="51">
        <f t="shared" si="17"/>
        <v>1848.8</v>
      </c>
      <c r="I18" s="51">
        <f t="shared" si="18"/>
        <v>2423.86</v>
      </c>
      <c r="J18" s="40">
        <f t="shared" si="19"/>
        <v>-0.33967183604660306</v>
      </c>
      <c r="K18" s="40">
        <f t="shared" si="1"/>
        <v>-0.23724967613641057</v>
      </c>
      <c r="L18" s="51">
        <v>1223.8</v>
      </c>
      <c r="M18" s="51">
        <v>628.86</v>
      </c>
      <c r="N18" s="40">
        <f t="shared" si="20"/>
        <v>-0.43728676396207511</v>
      </c>
      <c r="O18" s="40">
        <f t="shared" si="2"/>
        <v>0.94606112648284191</v>
      </c>
      <c r="P18" s="107">
        <v>0</v>
      </c>
      <c r="Q18" s="107">
        <v>1170</v>
      </c>
      <c r="R18" s="40" t="e">
        <f t="shared" si="21"/>
        <v>#DIV/0!</v>
      </c>
      <c r="S18" s="40">
        <f t="shared" si="3"/>
        <v>-1</v>
      </c>
      <c r="T18" s="51">
        <v>625</v>
      </c>
      <c r="U18" s="51">
        <f t="shared" si="34"/>
        <v>625</v>
      </c>
      <c r="V18" s="40">
        <f t="shared" si="22"/>
        <v>0</v>
      </c>
      <c r="W18" s="40">
        <f t="shared" si="4"/>
        <v>0</v>
      </c>
      <c r="X18" s="53">
        <f t="shared" si="5"/>
        <v>14.904396143160648</v>
      </c>
      <c r="Y18" s="53">
        <f t="shared" si="6"/>
        <v>3.4027106056057721</v>
      </c>
      <c r="Z18" s="52">
        <f t="shared" si="23"/>
        <v>2.3308952060559535E-3</v>
      </c>
      <c r="AA18" s="52">
        <f t="shared" si="7"/>
        <v>3.3801539039513098</v>
      </c>
      <c r="AB18" s="53">
        <f t="shared" si="24"/>
        <v>9.8658589355257469</v>
      </c>
      <c r="AC18" s="53">
        <f t="shared" si="25"/>
        <v>2.5253108677893938</v>
      </c>
      <c r="AD18" s="52">
        <f t="shared" si="26"/>
        <v>-0.14584157936659456</v>
      </c>
      <c r="AE18" s="52">
        <f t="shared" si="8"/>
        <v>2.9067898773833423</v>
      </c>
      <c r="AF18" s="54">
        <v>2329</v>
      </c>
      <c r="AG18" s="54">
        <v>1567</v>
      </c>
      <c r="AH18" s="52">
        <f t="shared" si="27"/>
        <v>-5.1260145237078175E-3</v>
      </c>
      <c r="AI18" s="52">
        <f t="shared" si="9"/>
        <v>0.48627951499680921</v>
      </c>
      <c r="AJ18" s="54">
        <v>185</v>
      </c>
      <c r="AK18" s="54">
        <v>90</v>
      </c>
      <c r="AL18" s="52">
        <f t="shared" si="28"/>
        <v>-0.35314685314685312</v>
      </c>
      <c r="AM18" s="52">
        <f t="shared" si="10"/>
        <v>1.0555555555555556</v>
      </c>
      <c r="AN18" s="99">
        <f t="shared" si="29"/>
        <v>7.9433233147273505E-2</v>
      </c>
      <c r="AO18" s="89">
        <f t="shared" si="35"/>
        <v>5.7434588385449903E-2</v>
      </c>
      <c r="AP18" s="52">
        <f t="shared" si="30"/>
        <v>-0.34981399021759696</v>
      </c>
      <c r="AQ18" s="52">
        <f t="shared" si="12"/>
        <v>0.38302084824197319</v>
      </c>
      <c r="AR18" s="51">
        <f t="shared" si="13"/>
        <v>98.594594594594597</v>
      </c>
      <c r="AS18" s="51">
        <f t="shared" si="14"/>
        <v>68.011111111111106</v>
      </c>
      <c r="AT18" s="52">
        <f t="shared" si="31"/>
        <v>-0.12804805176245232</v>
      </c>
      <c r="AU18" s="52">
        <f t="shared" si="15"/>
        <v>0.44968363233352626</v>
      </c>
      <c r="AV18" s="68"/>
    </row>
    <row r="19" spans="1:48" ht="15.75" customHeight="1" x14ac:dyDescent="0.3">
      <c r="A19" s="49" t="s">
        <v>48</v>
      </c>
      <c r="B19" s="49" t="s">
        <v>50</v>
      </c>
      <c r="C19" s="50">
        <f t="shared" si="32"/>
        <v>42853</v>
      </c>
      <c r="D19" s="192">
        <v>91686</v>
      </c>
      <c r="E19" s="51">
        <v>15860</v>
      </c>
      <c r="F19" s="52">
        <f t="shared" si="16"/>
        <v>4.0266447368421057</v>
      </c>
      <c r="G19" s="52">
        <f t="shared" si="0"/>
        <v>4.7809583858764189</v>
      </c>
      <c r="H19" s="51">
        <f t="shared" si="17"/>
        <v>1686.55</v>
      </c>
      <c r="I19" s="51">
        <f t="shared" si="18"/>
        <v>3212.52</v>
      </c>
      <c r="J19" s="40">
        <f t="shared" si="19"/>
        <v>-8.7759627866724366E-2</v>
      </c>
      <c r="K19" s="40">
        <f t="shared" si="1"/>
        <v>-0.47500715948850125</v>
      </c>
      <c r="L19" s="51">
        <v>1186.55</v>
      </c>
      <c r="M19" s="51">
        <v>1462.52</v>
      </c>
      <c r="N19" s="40">
        <f t="shared" si="20"/>
        <v>-3.043798006210165E-2</v>
      </c>
      <c r="O19" s="40">
        <f t="shared" si="2"/>
        <v>-0.18869485545496817</v>
      </c>
      <c r="P19" s="51">
        <v>0</v>
      </c>
      <c r="Q19" s="51">
        <v>1125</v>
      </c>
      <c r="R19" s="40" t="e">
        <f t="shared" si="21"/>
        <v>#DIV/0!</v>
      </c>
      <c r="S19" s="40">
        <f t="shared" si="3"/>
        <v>-1</v>
      </c>
      <c r="T19" s="51">
        <v>500</v>
      </c>
      <c r="U19" s="51">
        <f t="shared" si="34"/>
        <v>625</v>
      </c>
      <c r="V19" s="40">
        <f t="shared" si="22"/>
        <v>-0.2</v>
      </c>
      <c r="W19" s="40">
        <f t="shared" si="4"/>
        <v>-0.2</v>
      </c>
      <c r="X19" s="53">
        <f t="shared" si="5"/>
        <v>77.271080021912269</v>
      </c>
      <c r="Y19" s="53">
        <f t="shared" si="6"/>
        <v>6.129421221864952</v>
      </c>
      <c r="Z19" s="52">
        <f t="shared" si="23"/>
        <v>4.1844488887508895</v>
      </c>
      <c r="AA19" s="52">
        <f t="shared" si="7"/>
        <v>11.606586694722472</v>
      </c>
      <c r="AB19" s="53">
        <f t="shared" si="24"/>
        <v>54.363048827488072</v>
      </c>
      <c r="AC19" s="53">
        <f t="shared" si="25"/>
        <v>4.9369342447673477</v>
      </c>
      <c r="AD19" s="52">
        <f t="shared" si="26"/>
        <v>4.5102195544002157</v>
      </c>
      <c r="AE19" s="52">
        <f t="shared" si="8"/>
        <v>10.011499471581461</v>
      </c>
      <c r="AF19" s="54">
        <v>3387</v>
      </c>
      <c r="AG19" s="54">
        <v>1327</v>
      </c>
      <c r="AH19" s="52">
        <f t="shared" si="27"/>
        <v>0.45427221983683985</v>
      </c>
      <c r="AI19" s="52">
        <f t="shared" si="9"/>
        <v>1.5523737754333082</v>
      </c>
      <c r="AJ19" s="54">
        <v>622</v>
      </c>
      <c r="AK19" s="54">
        <v>121</v>
      </c>
      <c r="AL19" s="52">
        <f t="shared" si="28"/>
        <v>2.362162162162162</v>
      </c>
      <c r="AM19" s="52">
        <f t="shared" si="10"/>
        <v>4.1404958677685952</v>
      </c>
      <c r="AN19" s="99">
        <f t="shared" si="29"/>
        <v>0.18364334219072925</v>
      </c>
      <c r="AO19" s="89">
        <f t="shared" si="35"/>
        <v>9.1183119819140915E-2</v>
      </c>
      <c r="AP19" s="52">
        <f t="shared" si="30"/>
        <v>1.3119207781740998</v>
      </c>
      <c r="AQ19" s="52">
        <f t="shared" si="12"/>
        <v>1.014005909810725</v>
      </c>
      <c r="AR19" s="51">
        <f t="shared" si="13"/>
        <v>147.40514469453376</v>
      </c>
      <c r="AS19" s="51">
        <f t="shared" si="14"/>
        <v>131.07438016528926</v>
      </c>
      <c r="AT19" s="52">
        <f t="shared" si="31"/>
        <v>0.49506314520223382</v>
      </c>
      <c r="AU19" s="52">
        <f t="shared" si="15"/>
        <v>0.12459158310457662</v>
      </c>
      <c r="AV19" s="144" t="s">
        <v>200</v>
      </c>
    </row>
    <row r="20" spans="1:48" ht="15.75" customHeight="1" x14ac:dyDescent="0.3">
      <c r="A20" s="49" t="s">
        <v>48</v>
      </c>
      <c r="B20" s="49" t="s">
        <v>51</v>
      </c>
      <c r="C20" s="50">
        <f t="shared" si="32"/>
        <v>42860</v>
      </c>
      <c r="D20" s="192">
        <v>26376</v>
      </c>
      <c r="E20" s="51">
        <v>6208</v>
      </c>
      <c r="F20" s="52">
        <f t="shared" si="16"/>
        <v>-0.71232249198350894</v>
      </c>
      <c r="G20" s="52">
        <f t="shared" si="0"/>
        <v>3.2487113402061856</v>
      </c>
      <c r="H20" s="51">
        <f t="shared" si="17"/>
        <v>2888.83</v>
      </c>
      <c r="I20" s="51">
        <f t="shared" si="18"/>
        <v>2493.4299999999998</v>
      </c>
      <c r="J20" s="33">
        <f t="shared" si="19"/>
        <v>0.71286353799175828</v>
      </c>
      <c r="K20" s="33">
        <f t="shared" si="1"/>
        <v>0.15857673967185767</v>
      </c>
      <c r="L20" s="51">
        <v>2388.83</v>
      </c>
      <c r="M20" s="51">
        <v>743.43</v>
      </c>
      <c r="N20" s="33">
        <f t="shared" si="20"/>
        <v>1.013256921326535</v>
      </c>
      <c r="O20" s="33">
        <f t="shared" si="2"/>
        <v>2.2132547785265597</v>
      </c>
      <c r="P20" s="51">
        <v>0</v>
      </c>
      <c r="Q20" s="51">
        <v>1125</v>
      </c>
      <c r="R20" s="33" t="e">
        <f t="shared" si="21"/>
        <v>#DIV/0!</v>
      </c>
      <c r="S20" s="33">
        <f t="shared" si="3"/>
        <v>-1</v>
      </c>
      <c r="T20" s="51">
        <v>500</v>
      </c>
      <c r="U20" s="51">
        <f t="shared" si="34"/>
        <v>625</v>
      </c>
      <c r="V20" s="33">
        <f t="shared" si="22"/>
        <v>0</v>
      </c>
      <c r="W20" s="33">
        <f t="shared" si="4"/>
        <v>-0.2</v>
      </c>
      <c r="X20" s="53">
        <f t="shared" si="5"/>
        <v>11.041388462134183</v>
      </c>
      <c r="Y20" s="53">
        <f t="shared" si="6"/>
        <v>3.3225756383701825</v>
      </c>
      <c r="Z20" s="52">
        <f t="shared" si="23"/>
        <v>-0.85710839735897182</v>
      </c>
      <c r="AA20" s="52">
        <f t="shared" si="7"/>
        <v>2.3231413408997055</v>
      </c>
      <c r="AB20" s="53">
        <f t="shared" si="24"/>
        <v>9.1303399646223564</v>
      </c>
      <c r="AC20" s="53">
        <f t="shared" si="25"/>
        <v>2.4897430447215285</v>
      </c>
      <c r="AD20" s="52">
        <f t="shared" si="26"/>
        <v>-0.83204878752117184</v>
      </c>
      <c r="AE20" s="52">
        <f t="shared" si="8"/>
        <v>2.667181633052242</v>
      </c>
      <c r="AF20" s="54">
        <v>2366</v>
      </c>
      <c r="AG20" s="54">
        <v>1163</v>
      </c>
      <c r="AH20" s="52">
        <f t="shared" si="27"/>
        <v>-0.30144670800118101</v>
      </c>
      <c r="AI20" s="52">
        <f t="shared" si="9"/>
        <v>1.0343938091143594</v>
      </c>
      <c r="AJ20" s="54">
        <v>269</v>
      </c>
      <c r="AK20" s="54">
        <v>55</v>
      </c>
      <c r="AL20" s="52">
        <f t="shared" si="28"/>
        <v>-0.567524115755627</v>
      </c>
      <c r="AM20" s="52">
        <f t="shared" si="10"/>
        <v>3.8909090909090911</v>
      </c>
      <c r="AN20" s="99">
        <f t="shared" si="29"/>
        <v>0.11369399830938293</v>
      </c>
      <c r="AO20" s="89">
        <f t="shared" si="35"/>
        <v>4.7291487532244193E-2</v>
      </c>
      <c r="AP20" s="52">
        <f t="shared" si="30"/>
        <v>-0.38089779377189714</v>
      </c>
      <c r="AQ20" s="52">
        <f t="shared" si="12"/>
        <v>1.4041112733420429</v>
      </c>
      <c r="AR20" s="51">
        <f t="shared" si="13"/>
        <v>98.05204460966543</v>
      </c>
      <c r="AS20" s="51">
        <f t="shared" si="14"/>
        <v>112.87272727272727</v>
      </c>
      <c r="AT20" s="52">
        <f t="shared" si="31"/>
        <v>-0.33481260228157084</v>
      </c>
      <c r="AU20" s="52">
        <f t="shared" si="15"/>
        <v>-0.13130437282029664</v>
      </c>
      <c r="AV20" s="68"/>
    </row>
    <row r="21" spans="1:48" ht="15.75" customHeight="1" x14ac:dyDescent="0.3">
      <c r="A21" s="69" t="s">
        <v>48</v>
      </c>
      <c r="B21" s="69" t="s">
        <v>52</v>
      </c>
      <c r="C21" s="70">
        <f t="shared" si="32"/>
        <v>42867</v>
      </c>
      <c r="D21" s="195">
        <v>11571</v>
      </c>
      <c r="E21" s="72">
        <v>9823</v>
      </c>
      <c r="F21" s="73">
        <f t="shared" si="16"/>
        <v>-0.56130573248407645</v>
      </c>
      <c r="G21" s="73">
        <f t="shared" si="0"/>
        <v>0.17794970986460348</v>
      </c>
      <c r="H21" s="72">
        <f t="shared" si="17"/>
        <v>1528.4</v>
      </c>
      <c r="I21" s="72">
        <f t="shared" si="18"/>
        <v>2717.6</v>
      </c>
      <c r="J21" s="40">
        <f t="shared" si="19"/>
        <v>-0.4709276766026384</v>
      </c>
      <c r="K21" s="40">
        <f t="shared" si="1"/>
        <v>-0.43759199293494255</v>
      </c>
      <c r="L21" s="72">
        <v>1028.4000000000001</v>
      </c>
      <c r="M21" s="72">
        <v>967.6</v>
      </c>
      <c r="N21" s="40">
        <f t="shared" si="20"/>
        <v>-0.5694963643289811</v>
      </c>
      <c r="O21" s="40">
        <f t="shared" si="2"/>
        <v>6.2835882596114168E-2</v>
      </c>
      <c r="P21" s="72">
        <v>0</v>
      </c>
      <c r="Q21" s="72">
        <v>1125</v>
      </c>
      <c r="R21" s="40" t="e">
        <f t="shared" si="21"/>
        <v>#DIV/0!</v>
      </c>
      <c r="S21" s="40">
        <f t="shared" si="3"/>
        <v>-1</v>
      </c>
      <c r="T21" s="72">
        <v>500</v>
      </c>
      <c r="U21" s="72">
        <f t="shared" si="34"/>
        <v>625</v>
      </c>
      <c r="V21" s="40">
        <f t="shared" si="22"/>
        <v>0</v>
      </c>
      <c r="W21" s="40">
        <f t="shared" si="4"/>
        <v>-0.2</v>
      </c>
      <c r="X21" s="74">
        <f t="shared" si="5"/>
        <v>11.251458576429403</v>
      </c>
      <c r="Y21" s="74">
        <f t="shared" si="6"/>
        <v>4.6941603746535412</v>
      </c>
      <c r="Z21" s="73">
        <f t="shared" si="23"/>
        <v>1.9025697267661939E-2</v>
      </c>
      <c r="AA21" s="73">
        <f t="shared" si="7"/>
        <v>1.3969054481356173</v>
      </c>
      <c r="AB21" s="74">
        <f t="shared" si="24"/>
        <v>7.5706621303323729</v>
      </c>
      <c r="AC21" s="74">
        <f t="shared" si="25"/>
        <v>3.614586399764498</v>
      </c>
      <c r="AD21" s="73">
        <f t="shared" si="26"/>
        <v>-0.17082363201516276</v>
      </c>
      <c r="AE21" s="73">
        <f t="shared" si="8"/>
        <v>1.0944753543104202</v>
      </c>
      <c r="AF21" s="76">
        <v>1467</v>
      </c>
      <c r="AG21" s="76">
        <v>2447</v>
      </c>
      <c r="AH21" s="73">
        <f t="shared" si="27"/>
        <v>-0.37996618765849532</v>
      </c>
      <c r="AI21" s="73">
        <f t="shared" si="9"/>
        <v>-0.40049039640375972</v>
      </c>
      <c r="AJ21" s="76">
        <v>122</v>
      </c>
      <c r="AK21" s="76">
        <v>86</v>
      </c>
      <c r="AL21" s="73">
        <f t="shared" si="28"/>
        <v>-0.54646840148698883</v>
      </c>
      <c r="AM21" s="73">
        <f t="shared" si="10"/>
        <v>0.41860465116279072</v>
      </c>
      <c r="AN21" s="100">
        <f t="shared" si="29"/>
        <v>8.3162917518745744E-2</v>
      </c>
      <c r="AO21" s="89">
        <f t="shared" si="35"/>
        <v>3.5145075602778915E-2</v>
      </c>
      <c r="AP21" s="73">
        <f t="shared" si="30"/>
        <v>-0.26853731282768617</v>
      </c>
      <c r="AQ21" s="73">
        <f t="shared" si="12"/>
        <v>1.3662751066089631</v>
      </c>
      <c r="AR21" s="72">
        <f t="shared" si="13"/>
        <v>94.844262295081961</v>
      </c>
      <c r="AS21" s="72">
        <f t="shared" si="14"/>
        <v>114.22093023255815</v>
      </c>
      <c r="AT21" s="73">
        <f t="shared" si="31"/>
        <v>-3.2715098673906318E-2</v>
      </c>
      <c r="AU21" s="73">
        <f t="shared" si="15"/>
        <v>-0.16964200780036159</v>
      </c>
      <c r="AV21" s="77"/>
    </row>
    <row r="22" spans="1:48" ht="15.75" customHeight="1" x14ac:dyDescent="0.3">
      <c r="A22" s="49" t="s">
        <v>53</v>
      </c>
      <c r="B22" s="49" t="s">
        <v>54</v>
      </c>
      <c r="C22" s="50">
        <f t="shared" si="32"/>
        <v>42874</v>
      </c>
      <c r="D22" s="192">
        <v>19617</v>
      </c>
      <c r="E22" s="51">
        <v>30624</v>
      </c>
      <c r="F22" s="52">
        <f t="shared" si="16"/>
        <v>0.69535908737360641</v>
      </c>
      <c r="G22" s="52">
        <f t="shared" si="0"/>
        <v>-0.3594239811912226</v>
      </c>
      <c r="H22" s="51">
        <f t="shared" si="17"/>
        <v>2601.27</v>
      </c>
      <c r="I22" s="51">
        <f t="shared" si="18"/>
        <v>6000.15</v>
      </c>
      <c r="J22" s="40">
        <f t="shared" si="19"/>
        <v>0.70195629416383132</v>
      </c>
      <c r="K22" s="40">
        <f t="shared" si="1"/>
        <v>-0.56646583835404107</v>
      </c>
      <c r="L22" s="51">
        <v>1461.27</v>
      </c>
      <c r="M22" s="51">
        <v>4250.1499999999996</v>
      </c>
      <c r="N22" s="40">
        <f t="shared" si="20"/>
        <v>0.42091598599766611</v>
      </c>
      <c r="O22" s="40">
        <f t="shared" si="2"/>
        <v>-0.65618389939178612</v>
      </c>
      <c r="P22" s="107">
        <v>640</v>
      </c>
      <c r="Q22" s="51">
        <v>1125</v>
      </c>
      <c r="R22" s="40" t="e">
        <f t="shared" si="21"/>
        <v>#DIV/0!</v>
      </c>
      <c r="S22" s="40">
        <f t="shared" si="3"/>
        <v>-0.43111111111111111</v>
      </c>
      <c r="T22" s="51">
        <v>500</v>
      </c>
      <c r="U22" s="51">
        <f t="shared" si="34"/>
        <v>625</v>
      </c>
      <c r="V22" s="40">
        <f t="shared" si="22"/>
        <v>0</v>
      </c>
      <c r="W22" s="40">
        <f t="shared" si="4"/>
        <v>-0.2</v>
      </c>
      <c r="X22" s="53">
        <f t="shared" si="5"/>
        <v>9.3357826457332944</v>
      </c>
      <c r="Y22" s="53">
        <f t="shared" si="6"/>
        <v>5.6973293768545998</v>
      </c>
      <c r="Z22" s="52">
        <f t="shared" si="23"/>
        <v>-0.17026023050106981</v>
      </c>
      <c r="AA22" s="52">
        <f t="shared" si="7"/>
        <v>0.63862434979797911</v>
      </c>
      <c r="AB22" s="53">
        <f t="shared" si="24"/>
        <v>7.5413163570102295</v>
      </c>
      <c r="AC22" s="53">
        <f t="shared" si="25"/>
        <v>5.1038724031899205</v>
      </c>
      <c r="AD22" s="52">
        <f t="shared" si="26"/>
        <v>-3.8762492390946295E-3</v>
      </c>
      <c r="AE22" s="52">
        <f t="shared" si="8"/>
        <v>0.47756757247632337</v>
      </c>
      <c r="AF22" s="54">
        <v>2061</v>
      </c>
      <c r="AG22" s="54">
        <v>3232</v>
      </c>
      <c r="AH22" s="52">
        <f t="shared" si="27"/>
        <v>0.40490797546012269</v>
      </c>
      <c r="AI22" s="52">
        <f t="shared" si="9"/>
        <v>-0.36231435643564358</v>
      </c>
      <c r="AJ22" s="54">
        <v>203</v>
      </c>
      <c r="AK22" s="54">
        <v>243</v>
      </c>
      <c r="AL22" s="52">
        <f t="shared" si="28"/>
        <v>0.66393442622950816</v>
      </c>
      <c r="AM22" s="52">
        <f t="shared" si="10"/>
        <v>-0.16460905349794239</v>
      </c>
      <c r="AN22" s="99">
        <f t="shared" si="29"/>
        <v>9.8495875788452203E-2</v>
      </c>
      <c r="AO22" s="89">
        <f t="shared" si="35"/>
        <v>7.5185643564356433E-2</v>
      </c>
      <c r="AP22" s="52">
        <f t="shared" si="30"/>
        <v>0.18437253919392929</v>
      </c>
      <c r="AQ22" s="52">
        <f t="shared" si="12"/>
        <v>0.31003568126863179</v>
      </c>
      <c r="AR22" s="51">
        <f t="shared" si="13"/>
        <v>96.635467980295573</v>
      </c>
      <c r="AS22" s="51">
        <f t="shared" si="14"/>
        <v>126.0246913580247</v>
      </c>
      <c r="AT22" s="52">
        <f t="shared" si="31"/>
        <v>1.8885756943743899E-2</v>
      </c>
      <c r="AU22" s="52">
        <f t="shared" si="15"/>
        <v>-0.23320210556387724</v>
      </c>
      <c r="AV22" s="68" t="s">
        <v>214</v>
      </c>
    </row>
    <row r="23" spans="1:48" ht="15.75" customHeight="1" x14ac:dyDescent="0.3">
      <c r="A23" s="49" t="s">
        <v>53</v>
      </c>
      <c r="B23" s="49" t="s">
        <v>55</v>
      </c>
      <c r="C23" s="50">
        <f t="shared" si="32"/>
        <v>42881</v>
      </c>
      <c r="D23" s="192">
        <v>15709</v>
      </c>
      <c r="E23" s="51">
        <v>9607</v>
      </c>
      <c r="F23" s="52">
        <f t="shared" si="16"/>
        <v>-0.19921496661059285</v>
      </c>
      <c r="G23" s="52">
        <f t="shared" si="0"/>
        <v>0.63516186114291662</v>
      </c>
      <c r="H23" s="51">
        <f t="shared" si="17"/>
        <v>1711.81</v>
      </c>
      <c r="I23" s="51">
        <f t="shared" si="18"/>
        <v>2547.58</v>
      </c>
      <c r="J23" s="33">
        <f t="shared" si="19"/>
        <v>-0.34193297889108015</v>
      </c>
      <c r="K23" s="33">
        <f t="shared" si="1"/>
        <v>-0.32806428061140375</v>
      </c>
      <c r="L23" s="51">
        <v>1211.81</v>
      </c>
      <c r="M23" s="51">
        <v>1104.3800000000001</v>
      </c>
      <c r="N23" s="33">
        <f t="shared" si="20"/>
        <v>-0.17071451545573374</v>
      </c>
      <c r="O23" s="33">
        <f t="shared" si="2"/>
        <v>9.7276299824335666E-2</v>
      </c>
      <c r="P23" s="51">
        <v>0</v>
      </c>
      <c r="Q23" s="51">
        <v>943.2</v>
      </c>
      <c r="R23" s="33">
        <f t="shared" si="21"/>
        <v>-1</v>
      </c>
      <c r="S23" s="33">
        <f t="shared" si="3"/>
        <v>-1</v>
      </c>
      <c r="T23" s="51">
        <v>500</v>
      </c>
      <c r="U23" s="51">
        <f>2500/5</f>
        <v>500</v>
      </c>
      <c r="V23" s="33">
        <f t="shared" si="22"/>
        <v>0</v>
      </c>
      <c r="W23" s="33">
        <f t="shared" si="4"/>
        <v>0</v>
      </c>
      <c r="X23" s="53">
        <f t="shared" si="5"/>
        <v>12.963253315288702</v>
      </c>
      <c r="Y23" s="53">
        <f t="shared" si="6"/>
        <v>4.6918801707381395</v>
      </c>
      <c r="Z23" s="52">
        <f t="shared" si="23"/>
        <v>0.38855560451734161</v>
      </c>
      <c r="AA23" s="52">
        <f t="shared" si="7"/>
        <v>1.7629122747287229</v>
      </c>
      <c r="AB23" s="53">
        <f t="shared" si="24"/>
        <v>9.1768362142994846</v>
      </c>
      <c r="AC23" s="53">
        <f t="shared" si="25"/>
        <v>3.7710297615776542</v>
      </c>
      <c r="AD23" s="52">
        <f t="shared" si="26"/>
        <v>0.21687458526639244</v>
      </c>
      <c r="AE23" s="52">
        <f t="shared" si="8"/>
        <v>1.4335093580540312</v>
      </c>
      <c r="AF23" s="54">
        <v>1843</v>
      </c>
      <c r="AG23" s="54">
        <v>2033</v>
      </c>
      <c r="AH23" s="52">
        <f t="shared" si="27"/>
        <v>-0.10577389616690927</v>
      </c>
      <c r="AI23" s="52">
        <f t="shared" si="9"/>
        <v>-9.3457943925233641E-2</v>
      </c>
      <c r="AJ23" s="54">
        <v>158</v>
      </c>
      <c r="AK23" s="54">
        <v>89</v>
      </c>
      <c r="AL23" s="52">
        <f t="shared" si="28"/>
        <v>-0.22167487684729065</v>
      </c>
      <c r="AM23" s="52">
        <f t="shared" si="10"/>
        <v>0.7752808988764045</v>
      </c>
      <c r="AN23" s="99">
        <f t="shared" si="29"/>
        <v>8.5729788388497014E-2</v>
      </c>
      <c r="AO23" s="89">
        <f t="shared" si="35"/>
        <v>4.3777668470241025E-2</v>
      </c>
      <c r="AP23" s="52">
        <f t="shared" si="30"/>
        <v>-0.12961037503107214</v>
      </c>
      <c r="AQ23" s="52">
        <f t="shared" si="12"/>
        <v>0.95829954824510588</v>
      </c>
      <c r="AR23" s="51">
        <f t="shared" si="13"/>
        <v>99.424050632911388</v>
      </c>
      <c r="AS23" s="51">
        <f t="shared" si="14"/>
        <v>107.9438202247191</v>
      </c>
      <c r="AT23" s="52">
        <f t="shared" si="31"/>
        <v>2.8856720114238187E-2</v>
      </c>
      <c r="AU23" s="52">
        <f t="shared" si="15"/>
        <v>-7.8927812394179939E-2</v>
      </c>
      <c r="AV23" s="68"/>
    </row>
    <row r="24" spans="1:48" ht="15.75" customHeight="1" x14ac:dyDescent="0.3">
      <c r="A24" s="49" t="s">
        <v>53</v>
      </c>
      <c r="B24" s="49" t="s">
        <v>56</v>
      </c>
      <c r="C24" s="50">
        <f t="shared" si="32"/>
        <v>42888</v>
      </c>
      <c r="D24" s="192">
        <v>14408</v>
      </c>
      <c r="E24" s="51">
        <v>22653</v>
      </c>
      <c r="F24" s="52">
        <f t="shared" si="16"/>
        <v>-8.2818766312305045E-2</v>
      </c>
      <c r="G24" s="52">
        <f t="shared" si="0"/>
        <v>-0.36396945216969057</v>
      </c>
      <c r="H24" s="51">
        <f t="shared" si="17"/>
        <v>2139.48</v>
      </c>
      <c r="I24" s="51">
        <f t="shared" si="18"/>
        <v>4506.0600000000004</v>
      </c>
      <c r="J24" s="40">
        <f t="shared" si="19"/>
        <v>0.24983497000251201</v>
      </c>
      <c r="K24" s="40">
        <f t="shared" si="1"/>
        <v>-0.52519939814383299</v>
      </c>
      <c r="L24" s="51">
        <v>1514.48</v>
      </c>
      <c r="M24" s="51">
        <v>3062.86</v>
      </c>
      <c r="N24" s="40">
        <f t="shared" si="20"/>
        <v>0.24976687764583563</v>
      </c>
      <c r="O24" s="40">
        <f t="shared" si="2"/>
        <v>-0.50553404334510887</v>
      </c>
      <c r="P24" s="51">
        <v>0</v>
      </c>
      <c r="Q24" s="51">
        <v>943.2</v>
      </c>
      <c r="R24" s="40" t="e">
        <f t="shared" si="21"/>
        <v>#DIV/0!</v>
      </c>
      <c r="S24" s="40">
        <f t="shared" si="3"/>
        <v>-1</v>
      </c>
      <c r="T24" s="245">
        <v>625</v>
      </c>
      <c r="U24" s="51">
        <f>2500/5</f>
        <v>500</v>
      </c>
      <c r="V24" s="40">
        <f t="shared" si="22"/>
        <v>0.25</v>
      </c>
      <c r="W24" s="40">
        <f t="shared" si="4"/>
        <v>0.25</v>
      </c>
      <c r="X24" s="53">
        <f t="shared" si="5"/>
        <v>9.5134963815963225</v>
      </c>
      <c r="Y24" s="53">
        <f t="shared" si="6"/>
        <v>5.6546831550201437</v>
      </c>
      <c r="Z24" s="52">
        <f t="shared" si="23"/>
        <v>-0.26611814563739011</v>
      </c>
      <c r="AA24" s="52">
        <f t="shared" si="7"/>
        <v>0.68241015823324813</v>
      </c>
      <c r="AB24" s="53">
        <f t="shared" si="24"/>
        <v>6.7343466636752858</v>
      </c>
      <c r="AC24" s="53">
        <f t="shared" si="25"/>
        <v>5.0272299969374572</v>
      </c>
      <c r="AD24" s="52">
        <f t="shared" si="26"/>
        <v>-0.26615812831205105</v>
      </c>
      <c r="AE24" s="52">
        <f t="shared" si="8"/>
        <v>0.33957401347815569</v>
      </c>
      <c r="AF24" s="54">
        <v>1811</v>
      </c>
      <c r="AG24" s="54">
        <v>4188</v>
      </c>
      <c r="AH24" s="52">
        <f t="shared" si="27"/>
        <v>-1.7362995116657624E-2</v>
      </c>
      <c r="AI24" s="52">
        <f t="shared" si="9"/>
        <v>-0.56757402101241639</v>
      </c>
      <c r="AJ24" s="54">
        <v>197</v>
      </c>
      <c r="AK24" s="54">
        <v>231</v>
      </c>
      <c r="AL24" s="52">
        <f t="shared" si="28"/>
        <v>0.24683544303797469</v>
      </c>
      <c r="AM24" s="52">
        <f t="shared" si="10"/>
        <v>-0.1471861471861472</v>
      </c>
      <c r="AN24" s="99">
        <f t="shared" si="29"/>
        <v>0.10877967973495306</v>
      </c>
      <c r="AO24" s="89">
        <f t="shared" si="35"/>
        <v>5.515759312320917E-2</v>
      </c>
      <c r="AP24" s="52">
        <f t="shared" si="30"/>
        <v>0.26886677057923097</v>
      </c>
      <c r="AQ24" s="52">
        <f t="shared" si="12"/>
        <v>0.9721614663635646</v>
      </c>
      <c r="AR24" s="51">
        <f t="shared" si="13"/>
        <v>73.137055837563452</v>
      </c>
      <c r="AS24" s="51">
        <f t="shared" si="14"/>
        <v>98.064935064935071</v>
      </c>
      <c r="AT24" s="52">
        <f t="shared" si="31"/>
        <v>-0.26439271612865073</v>
      </c>
      <c r="AU24" s="52">
        <f t="shared" si="15"/>
        <v>-0.25419768249339353</v>
      </c>
      <c r="AV24" s="68"/>
    </row>
    <row r="25" spans="1:48" ht="15.75" customHeight="1" x14ac:dyDescent="0.3">
      <c r="A25" s="69" t="s">
        <v>53</v>
      </c>
      <c r="B25" s="69" t="s">
        <v>57</v>
      </c>
      <c r="C25" s="70">
        <f t="shared" si="32"/>
        <v>42895</v>
      </c>
      <c r="D25" s="195">
        <v>42858</v>
      </c>
      <c r="E25" s="72">
        <v>5323</v>
      </c>
      <c r="F25" s="73">
        <f t="shared" si="16"/>
        <v>1.9745974458634092</v>
      </c>
      <c r="G25" s="73">
        <f t="shared" si="0"/>
        <v>7.0514747322938192</v>
      </c>
      <c r="H25" s="72">
        <f t="shared" si="17"/>
        <v>1284</v>
      </c>
      <c r="I25" s="72">
        <f t="shared" si="18"/>
        <v>2172.58</v>
      </c>
      <c r="J25" s="40">
        <f t="shared" si="19"/>
        <v>-0.39985417017219138</v>
      </c>
      <c r="K25" s="40">
        <f t="shared" si="1"/>
        <v>-0.40899759732668073</v>
      </c>
      <c r="L25" s="72">
        <v>659</v>
      </c>
      <c r="M25" s="72">
        <v>729.38</v>
      </c>
      <c r="N25" s="40">
        <f t="shared" si="20"/>
        <v>-0.56486714912049019</v>
      </c>
      <c r="O25" s="40">
        <f t="shared" si="2"/>
        <v>-9.6492911788093993E-2</v>
      </c>
      <c r="P25" s="72">
        <v>0</v>
      </c>
      <c r="Q25" s="72">
        <v>943.2</v>
      </c>
      <c r="R25" s="40" t="e">
        <f t="shared" si="21"/>
        <v>#DIV/0!</v>
      </c>
      <c r="S25" s="40">
        <f t="shared" si="3"/>
        <v>-1</v>
      </c>
      <c r="T25" s="246">
        <v>625</v>
      </c>
      <c r="U25" s="72">
        <f>2500/5</f>
        <v>500</v>
      </c>
      <c r="V25" s="40">
        <f t="shared" si="22"/>
        <v>0</v>
      </c>
      <c r="W25" s="40">
        <f t="shared" si="4"/>
        <v>0.25</v>
      </c>
      <c r="X25" s="74">
        <f t="shared" si="5"/>
        <v>65.034901365705608</v>
      </c>
      <c r="Y25" s="74">
        <f t="shared" si="6"/>
        <v>3.182508459983977</v>
      </c>
      <c r="Z25" s="73">
        <f t="shared" si="23"/>
        <v>5.8360672834768073</v>
      </c>
      <c r="AA25" s="73">
        <f t="shared" si="7"/>
        <v>19.435107143763268</v>
      </c>
      <c r="AB25" s="74">
        <f t="shared" si="24"/>
        <v>33.378504672897193</v>
      </c>
      <c r="AC25" s="74">
        <f t="shared" si="25"/>
        <v>2.4500823905218683</v>
      </c>
      <c r="AD25" s="73">
        <f t="shared" si="26"/>
        <v>3.9564577441400668</v>
      </c>
      <c r="AE25" s="73">
        <f t="shared" si="8"/>
        <v>12.62342131922656</v>
      </c>
      <c r="AF25" s="76">
        <v>2106</v>
      </c>
      <c r="AG25" s="76">
        <v>2991</v>
      </c>
      <c r="AH25" s="73">
        <f t="shared" si="27"/>
        <v>0.16289342904472667</v>
      </c>
      <c r="AI25" s="73">
        <f t="shared" si="9"/>
        <v>-0.2958876629889669</v>
      </c>
      <c r="AJ25" s="76">
        <v>321</v>
      </c>
      <c r="AK25" s="76">
        <v>45</v>
      </c>
      <c r="AL25" s="73">
        <f t="shared" si="28"/>
        <v>0.62944162436548223</v>
      </c>
      <c r="AM25" s="73">
        <f t="shared" si="10"/>
        <v>6.1333333333333337</v>
      </c>
      <c r="AN25" s="100">
        <f t="shared" si="29"/>
        <v>0.15242165242165243</v>
      </c>
      <c r="AO25" s="89">
        <f t="shared" si="35"/>
        <v>1.5045135406218655E-2</v>
      </c>
      <c r="AP25" s="73">
        <f t="shared" si="30"/>
        <v>0.40119600271884542</v>
      </c>
      <c r="AQ25" s="73">
        <f t="shared" si="12"/>
        <v>9.1309591642924985</v>
      </c>
      <c r="AR25" s="72">
        <f t="shared" si="13"/>
        <v>133.51401869158877</v>
      </c>
      <c r="AS25" s="72">
        <f t="shared" si="14"/>
        <v>118.28888888888889</v>
      </c>
      <c r="AT25" s="73">
        <f t="shared" si="31"/>
        <v>0.82553176584140675</v>
      </c>
      <c r="AU25" s="73">
        <f t="shared" si="15"/>
        <v>0.12871141106922687</v>
      </c>
      <c r="AV25" s="77" t="s">
        <v>227</v>
      </c>
    </row>
    <row r="26" spans="1:48" ht="15.75" customHeight="1" x14ac:dyDescent="0.3">
      <c r="A26" s="49" t="s">
        <v>58</v>
      </c>
      <c r="B26" s="49" t="s">
        <v>59</v>
      </c>
      <c r="C26" s="50">
        <f t="shared" si="32"/>
        <v>42902</v>
      </c>
      <c r="D26" s="192">
        <v>13456</v>
      </c>
      <c r="E26" s="51">
        <v>17375</v>
      </c>
      <c r="F26" s="52">
        <f t="shared" si="16"/>
        <v>-0.68603294600774656</v>
      </c>
      <c r="G26" s="52">
        <f t="shared" si="0"/>
        <v>-0.22555395683453239</v>
      </c>
      <c r="H26" s="51">
        <f t="shared" si="17"/>
        <v>1452.6100000000001</v>
      </c>
      <c r="I26" s="51">
        <f t="shared" si="18"/>
        <v>4104.6000000000004</v>
      </c>
      <c r="J26" s="33">
        <f t="shared" si="19"/>
        <v>0.13131619937694713</v>
      </c>
      <c r="K26" s="33">
        <f t="shared" si="1"/>
        <v>-0.64610193441504649</v>
      </c>
      <c r="L26" s="51">
        <v>827.61</v>
      </c>
      <c r="M26" s="51">
        <v>2661.4</v>
      </c>
      <c r="N26" s="33">
        <f t="shared" si="20"/>
        <v>0.25585735963581185</v>
      </c>
      <c r="O26" s="33">
        <f t="shared" si="2"/>
        <v>-0.68903208837453966</v>
      </c>
      <c r="P26" s="51">
        <v>0</v>
      </c>
      <c r="Q26" s="51">
        <v>943.2</v>
      </c>
      <c r="R26" s="33" t="e">
        <f t="shared" si="21"/>
        <v>#DIV/0!</v>
      </c>
      <c r="S26" s="33">
        <f t="shared" si="3"/>
        <v>-1</v>
      </c>
      <c r="T26" s="245">
        <v>625</v>
      </c>
      <c r="U26" s="51">
        <f>2500/5</f>
        <v>500</v>
      </c>
      <c r="V26" s="33">
        <f t="shared" si="22"/>
        <v>0</v>
      </c>
      <c r="W26" s="33">
        <f t="shared" si="4"/>
        <v>0.25</v>
      </c>
      <c r="X26" s="53">
        <f t="shared" si="5"/>
        <v>16.258865890938967</v>
      </c>
      <c r="Y26" s="53">
        <f t="shared" si="6"/>
        <v>4.8202297064861561</v>
      </c>
      <c r="Z26" s="52">
        <f t="shared" si="23"/>
        <v>-0.74999783886021798</v>
      </c>
      <c r="AA26" s="52">
        <f t="shared" si="7"/>
        <v>2.3730479418980495</v>
      </c>
      <c r="AB26" s="53">
        <f t="shared" si="24"/>
        <v>9.2633260131762825</v>
      </c>
      <c r="AC26" s="53">
        <f t="shared" si="25"/>
        <v>4.2330555961604048</v>
      </c>
      <c r="AD26" s="52">
        <f t="shared" si="26"/>
        <v>-0.72247630311917621</v>
      </c>
      <c r="AE26" s="52">
        <f t="shared" si="8"/>
        <v>1.1883308174781797</v>
      </c>
      <c r="AF26" s="54">
        <v>1593</v>
      </c>
      <c r="AG26" s="54">
        <v>3507</v>
      </c>
      <c r="AH26" s="52">
        <f t="shared" si="27"/>
        <v>-0.24358974358974358</v>
      </c>
      <c r="AI26" s="52">
        <f t="shared" si="9"/>
        <v>-0.54576561163387516</v>
      </c>
      <c r="AJ26" s="54">
        <v>132</v>
      </c>
      <c r="AK26" s="54">
        <v>172</v>
      </c>
      <c r="AL26" s="52">
        <f t="shared" si="28"/>
        <v>-0.58878504672897192</v>
      </c>
      <c r="AM26" s="52">
        <f t="shared" si="10"/>
        <v>-0.23255813953488372</v>
      </c>
      <c r="AN26" s="99">
        <f t="shared" si="29"/>
        <v>8.2862523540489647E-2</v>
      </c>
      <c r="AO26" s="89">
        <f t="shared" si="35"/>
        <v>4.9044767607641856E-2</v>
      </c>
      <c r="AP26" s="52">
        <f t="shared" si="30"/>
        <v>-0.45635989228575952</v>
      </c>
      <c r="AQ26" s="52">
        <f t="shared" si="12"/>
        <v>0.68952831428196049</v>
      </c>
      <c r="AR26" s="51">
        <f t="shared" si="13"/>
        <v>101.93939393939394</v>
      </c>
      <c r="AS26" s="51">
        <f t="shared" si="14"/>
        <v>101.01744186046511</v>
      </c>
      <c r="AT26" s="52">
        <f t="shared" si="31"/>
        <v>-0.23648920960974715</v>
      </c>
      <c r="AU26" s="52">
        <f t="shared" si="15"/>
        <v>9.126662306518445E-3</v>
      </c>
      <c r="AV26" s="68"/>
    </row>
    <row r="27" spans="1:48" ht="15.75" customHeight="1" x14ac:dyDescent="0.3">
      <c r="A27" s="49" t="s">
        <v>58</v>
      </c>
      <c r="B27" s="49" t="s">
        <v>60</v>
      </c>
      <c r="C27" s="50">
        <f t="shared" si="32"/>
        <v>42909</v>
      </c>
      <c r="D27" s="192">
        <v>14237</v>
      </c>
      <c r="E27" s="51">
        <v>6118</v>
      </c>
      <c r="F27" s="52">
        <f t="shared" si="16"/>
        <v>5.80410225921522E-2</v>
      </c>
      <c r="G27" s="52">
        <f t="shared" si="0"/>
        <v>1.3270676691729324</v>
      </c>
      <c r="H27" s="51">
        <f t="shared" si="17"/>
        <v>1505.94</v>
      </c>
      <c r="I27" s="51">
        <f t="shared" si="18"/>
        <v>2284.84</v>
      </c>
      <c r="J27" s="40">
        <f t="shared" si="19"/>
        <v>3.6713226537060821E-2</v>
      </c>
      <c r="K27" s="40">
        <f t="shared" si="1"/>
        <v>-0.34089914392255038</v>
      </c>
      <c r="L27" s="51">
        <v>880.94</v>
      </c>
      <c r="M27" s="51">
        <v>841.64</v>
      </c>
      <c r="N27" s="40">
        <f t="shared" si="20"/>
        <v>6.4438564057950051E-2</v>
      </c>
      <c r="O27" s="40">
        <f t="shared" si="2"/>
        <v>4.6694548738177924E-2</v>
      </c>
      <c r="P27" s="51">
        <v>0</v>
      </c>
      <c r="Q27" s="51">
        <v>943.2</v>
      </c>
      <c r="R27" s="40" t="e">
        <f t="shared" si="21"/>
        <v>#DIV/0!</v>
      </c>
      <c r="S27" s="40">
        <f t="shared" si="3"/>
        <v>-1</v>
      </c>
      <c r="T27" s="245">
        <v>625</v>
      </c>
      <c r="U27" s="51">
        <f>2500/5</f>
        <v>500</v>
      </c>
      <c r="V27" s="40">
        <f t="shared" si="22"/>
        <v>0</v>
      </c>
      <c r="W27" s="40">
        <f t="shared" si="4"/>
        <v>0.25</v>
      </c>
      <c r="X27" s="53">
        <f t="shared" si="5"/>
        <v>16.161146048539059</v>
      </c>
      <c r="Y27" s="53">
        <f t="shared" si="6"/>
        <v>3.4277582304296179</v>
      </c>
      <c r="Z27" s="52">
        <f t="shared" si="23"/>
        <v>-6.0102496112208409E-3</v>
      </c>
      <c r="AA27" s="52">
        <f t="shared" si="7"/>
        <v>3.7147858635623505</v>
      </c>
      <c r="AB27" s="53">
        <f t="shared" si="24"/>
        <v>9.4538959055473661</v>
      </c>
      <c r="AC27" s="53">
        <f t="shared" si="25"/>
        <v>2.6776492008193133</v>
      </c>
      <c r="AD27" s="52">
        <f t="shared" si="26"/>
        <v>2.0572512734628408E-2</v>
      </c>
      <c r="AE27" s="52">
        <f t="shared" si="8"/>
        <v>2.5306700753237732</v>
      </c>
      <c r="AF27" s="54">
        <v>1582</v>
      </c>
      <c r="AG27" s="54">
        <v>2445</v>
      </c>
      <c r="AH27" s="52">
        <f t="shared" si="27"/>
        <v>-6.9052102950408036E-3</v>
      </c>
      <c r="AI27" s="52">
        <f t="shared" si="9"/>
        <v>-0.35296523517382411</v>
      </c>
      <c r="AJ27" s="54">
        <v>135</v>
      </c>
      <c r="AK27" s="54">
        <v>61</v>
      </c>
      <c r="AL27" s="52">
        <f t="shared" si="28"/>
        <v>2.2727272727272728E-2</v>
      </c>
      <c r="AM27" s="52">
        <f t="shared" si="10"/>
        <v>1.2131147540983607</v>
      </c>
      <c r="AN27" s="99">
        <f t="shared" si="29"/>
        <v>8.5335018963337547E-2</v>
      </c>
      <c r="AO27" s="89">
        <f t="shared" si="35"/>
        <v>2.4948875255623722E-2</v>
      </c>
      <c r="AP27" s="52">
        <f t="shared" si="30"/>
        <v>2.9838524307550799E-2</v>
      </c>
      <c r="AQ27" s="52">
        <f t="shared" si="12"/>
        <v>2.4203954322190211</v>
      </c>
      <c r="AR27" s="51">
        <f t="shared" si="13"/>
        <v>105.45925925925926</v>
      </c>
      <c r="AS27" s="51">
        <f t="shared" si="14"/>
        <v>100.29508196721312</v>
      </c>
      <c r="AT27" s="52">
        <f t="shared" si="31"/>
        <v>3.4528999867882132E-2</v>
      </c>
      <c r="AU27" s="52">
        <f t="shared" si="15"/>
        <v>5.1489835700361905E-2</v>
      </c>
      <c r="AV27" s="68"/>
    </row>
    <row r="28" spans="1:48" ht="15.75" customHeight="1" x14ac:dyDescent="0.3">
      <c r="A28" s="49" t="s">
        <v>58</v>
      </c>
      <c r="B28" s="49" t="s">
        <v>61</v>
      </c>
      <c r="C28" s="50">
        <f t="shared" si="32"/>
        <v>42916</v>
      </c>
      <c r="D28" s="192">
        <v>16820</v>
      </c>
      <c r="E28" s="51">
        <v>15151</v>
      </c>
      <c r="F28" s="52">
        <f t="shared" si="16"/>
        <v>0.18142867177073821</v>
      </c>
      <c r="G28" s="52">
        <f t="shared" si="0"/>
        <v>0.11015774536334236</v>
      </c>
      <c r="H28" s="51">
        <f t="shared" si="17"/>
        <v>1658.95</v>
      </c>
      <c r="I28" s="51">
        <f t="shared" si="18"/>
        <v>4058.99</v>
      </c>
      <c r="J28" s="40">
        <v>1.02</v>
      </c>
      <c r="K28" s="40">
        <f t="shared" si="1"/>
        <v>-0.59128995144112206</v>
      </c>
      <c r="L28" s="51">
        <v>1033.95</v>
      </c>
      <c r="M28" s="51">
        <v>2254.9899999999998</v>
      </c>
      <c r="N28" s="40">
        <v>1.02</v>
      </c>
      <c r="O28" s="40">
        <f t="shared" si="2"/>
        <v>-0.54148355425079486</v>
      </c>
      <c r="P28" s="51">
        <v>0</v>
      </c>
      <c r="Q28" s="51">
        <v>1179</v>
      </c>
      <c r="R28" s="40">
        <v>1.02</v>
      </c>
      <c r="S28" s="40">
        <f t="shared" si="3"/>
        <v>-1</v>
      </c>
      <c r="T28" s="245">
        <v>625</v>
      </c>
      <c r="U28" s="51">
        <f>2500/4</f>
        <v>625</v>
      </c>
      <c r="V28" s="40">
        <v>1.02</v>
      </c>
      <c r="W28" s="40">
        <f t="shared" si="4"/>
        <v>0</v>
      </c>
      <c r="X28" s="53">
        <f t="shared" si="5"/>
        <v>16.267711204603703</v>
      </c>
      <c r="Y28" s="53">
        <f t="shared" si="6"/>
        <v>4.4120687596644137</v>
      </c>
      <c r="Z28" s="52">
        <f t="shared" si="23"/>
        <v>6.5939108368046079E-3</v>
      </c>
      <c r="AA28" s="52">
        <f t="shared" si="7"/>
        <v>2.6870937627547402</v>
      </c>
      <c r="AB28" s="53">
        <f t="shared" si="24"/>
        <v>10.138943307513788</v>
      </c>
      <c r="AC28" s="53">
        <f t="shared" si="25"/>
        <v>3.732701977585557</v>
      </c>
      <c r="AD28" s="52">
        <f t="shared" si="26"/>
        <v>7.2461915046520567E-2</v>
      </c>
      <c r="AE28" s="52">
        <f t="shared" si="8"/>
        <v>1.7162477391436466</v>
      </c>
      <c r="AF28" s="54">
        <v>1484</v>
      </c>
      <c r="AG28" s="54">
        <v>3154</v>
      </c>
      <c r="AH28" s="52">
        <f t="shared" si="27"/>
        <v>-6.1946902654867256E-2</v>
      </c>
      <c r="AI28" s="52">
        <f t="shared" si="9"/>
        <v>-0.5294863665187064</v>
      </c>
      <c r="AJ28" s="54">
        <v>153</v>
      </c>
      <c r="AK28" s="54">
        <v>165</v>
      </c>
      <c r="AL28" s="52">
        <f t="shared" si="28"/>
        <v>0.13333333333333333</v>
      </c>
      <c r="AM28" s="52">
        <f t="shared" si="10"/>
        <v>-7.2727272727272724E-2</v>
      </c>
      <c r="AN28" s="99">
        <f t="shared" si="29"/>
        <v>0.10309973045822103</v>
      </c>
      <c r="AO28" s="89">
        <f t="shared" si="35"/>
        <v>5.2314521242866202E-2</v>
      </c>
      <c r="AP28" s="52">
        <f t="shared" si="30"/>
        <v>0.20817610062893091</v>
      </c>
      <c r="AQ28" s="52">
        <f t="shared" si="12"/>
        <v>0.97076696888017655</v>
      </c>
      <c r="AR28" s="51">
        <f t="shared" si="13"/>
        <v>109.93464052287581</v>
      </c>
      <c r="AS28" s="51">
        <f t="shared" si="14"/>
        <v>91.824242424242428</v>
      </c>
      <c r="AT28" s="52">
        <f t="shared" si="31"/>
        <v>4.2437063327121931E-2</v>
      </c>
      <c r="AU28" s="52">
        <f t="shared" si="15"/>
        <v>0.19722894107811417</v>
      </c>
      <c r="AV28" s="68"/>
    </row>
    <row r="29" spans="1:48" ht="15.75" customHeight="1" x14ac:dyDescent="0.3">
      <c r="A29" s="69" t="s">
        <v>58</v>
      </c>
      <c r="B29" s="69" t="s">
        <v>62</v>
      </c>
      <c r="C29" s="70">
        <f t="shared" si="32"/>
        <v>42923</v>
      </c>
      <c r="D29" s="195">
        <v>22953</v>
      </c>
      <c r="E29" s="72">
        <v>23850</v>
      </c>
      <c r="F29" s="73">
        <f t="shared" si="16"/>
        <v>0.36462544589774076</v>
      </c>
      <c r="G29" s="73">
        <f t="shared" si="0"/>
        <v>-3.7610062893081761E-2</v>
      </c>
      <c r="H29" s="72">
        <f t="shared" si="17"/>
        <v>2162.21</v>
      </c>
      <c r="I29" s="72">
        <f t="shared" si="18"/>
        <v>4697.6000000000004</v>
      </c>
      <c r="J29" s="33">
        <f t="shared" ref="J29:J53" si="36">(H29-H28)/H28</f>
        <v>0.30336055938997558</v>
      </c>
      <c r="K29" s="33">
        <f t="shared" si="1"/>
        <v>-0.53972028269754768</v>
      </c>
      <c r="L29" s="72">
        <v>1537.21</v>
      </c>
      <c r="M29" s="72">
        <v>2893.6</v>
      </c>
      <c r="N29" s="33">
        <f t="shared" si="20"/>
        <v>0.4867353353643793</v>
      </c>
      <c r="O29" s="33">
        <f t="shared" si="2"/>
        <v>-0.46875518385402265</v>
      </c>
      <c r="P29" s="72">
        <v>0</v>
      </c>
      <c r="Q29" s="72">
        <v>1179</v>
      </c>
      <c r="R29" s="33" t="e">
        <f t="shared" ref="R29:R53" si="37">(P29-P28)/P28</f>
        <v>#DIV/0!</v>
      </c>
      <c r="S29" s="33">
        <f t="shared" si="3"/>
        <v>-1</v>
      </c>
      <c r="T29" s="246">
        <v>625</v>
      </c>
      <c r="U29" s="72">
        <f>2500/4</f>
        <v>625</v>
      </c>
      <c r="V29" s="33">
        <f t="shared" ref="V29:V53" si="38">(T29-T28)/T28</f>
        <v>0</v>
      </c>
      <c r="W29" s="33">
        <f t="shared" si="4"/>
        <v>0</v>
      </c>
      <c r="X29" s="74">
        <f t="shared" si="5"/>
        <v>14.931596854040762</v>
      </c>
      <c r="Y29" s="74">
        <f t="shared" si="6"/>
        <v>5.8562097922702945</v>
      </c>
      <c r="Z29" s="73">
        <f t="shared" si="23"/>
        <v>-8.213290325591871E-2</v>
      </c>
      <c r="AA29" s="73">
        <f t="shared" si="7"/>
        <v>1.5497032011642098</v>
      </c>
      <c r="AB29" s="74">
        <f t="shared" si="24"/>
        <v>10.615527631451155</v>
      </c>
      <c r="AC29" s="74">
        <f t="shared" si="25"/>
        <v>5.0770606267029965</v>
      </c>
      <c r="AD29" s="73">
        <f t="shared" si="26"/>
        <v>4.7005324863013932E-2</v>
      </c>
      <c r="AE29" s="73">
        <f t="shared" si="8"/>
        <v>1.0908806122224299</v>
      </c>
      <c r="AF29" s="76">
        <v>1835</v>
      </c>
      <c r="AG29" s="76">
        <v>2673</v>
      </c>
      <c r="AH29" s="73">
        <f t="shared" si="27"/>
        <v>0.23652291105121293</v>
      </c>
      <c r="AI29" s="73">
        <f t="shared" si="9"/>
        <v>-0.31350542461653574</v>
      </c>
      <c r="AJ29" s="76">
        <v>181</v>
      </c>
      <c r="AK29" s="76">
        <v>182</v>
      </c>
      <c r="AL29" s="73">
        <f t="shared" si="28"/>
        <v>0.18300653594771241</v>
      </c>
      <c r="AM29" s="73">
        <f t="shared" si="10"/>
        <v>-5.4945054945054949E-3</v>
      </c>
      <c r="AN29" s="100">
        <f t="shared" si="29"/>
        <v>9.8637602179836512E-2</v>
      </c>
      <c r="AO29" s="89">
        <f t="shared" si="35"/>
        <v>6.8088290310512528E-2</v>
      </c>
      <c r="AP29" s="73">
        <f t="shared" si="30"/>
        <v>-4.3279727876618476E-2</v>
      </c>
      <c r="AQ29" s="73">
        <f t="shared" si="12"/>
        <v>0.44867203641045611</v>
      </c>
      <c r="AR29" s="72">
        <f t="shared" si="13"/>
        <v>126.81215469613259</v>
      </c>
      <c r="AS29" s="72">
        <f t="shared" si="14"/>
        <v>131.04395604395606</v>
      </c>
      <c r="AT29" s="73">
        <f t="shared" si="31"/>
        <v>0.15352316697433344</v>
      </c>
      <c r="AU29" s="73">
        <f t="shared" si="15"/>
        <v>-3.2292991417353048E-2</v>
      </c>
      <c r="AV29" s="77"/>
    </row>
    <row r="30" spans="1:48" ht="15.75" customHeight="1" x14ac:dyDescent="0.3">
      <c r="A30" s="49" t="s">
        <v>63</v>
      </c>
      <c r="B30" s="49" t="s">
        <v>64</v>
      </c>
      <c r="C30" s="50">
        <f t="shared" si="32"/>
        <v>42930</v>
      </c>
      <c r="D30" s="192">
        <v>27040</v>
      </c>
      <c r="E30" s="51">
        <v>13548</v>
      </c>
      <c r="F30" s="52">
        <f t="shared" si="16"/>
        <v>0.17805951291770139</v>
      </c>
      <c r="G30" s="52">
        <f t="shared" si="0"/>
        <v>0.99586654856805434</v>
      </c>
      <c r="H30" s="51">
        <f t="shared" si="17"/>
        <v>1881.78</v>
      </c>
      <c r="I30" s="51">
        <f t="shared" si="18"/>
        <v>3984.85</v>
      </c>
      <c r="J30" s="40">
        <f t="shared" si="36"/>
        <v>-0.12969600547587887</v>
      </c>
      <c r="K30" s="40">
        <f t="shared" si="1"/>
        <v>-0.52776641529794088</v>
      </c>
      <c r="L30" s="51">
        <v>1256.78</v>
      </c>
      <c r="M30" s="51">
        <v>2180.85</v>
      </c>
      <c r="N30" s="40">
        <f t="shared" si="20"/>
        <v>-0.18242790510079954</v>
      </c>
      <c r="O30" s="40">
        <f t="shared" si="2"/>
        <v>-0.42372010913176056</v>
      </c>
      <c r="P30" s="51">
        <v>0</v>
      </c>
      <c r="Q30" s="51">
        <v>1179</v>
      </c>
      <c r="R30" s="40" t="e">
        <f t="shared" si="37"/>
        <v>#DIV/0!</v>
      </c>
      <c r="S30" s="40">
        <f t="shared" si="3"/>
        <v>-1</v>
      </c>
      <c r="T30" s="245">
        <v>625</v>
      </c>
      <c r="U30" s="51">
        <f>2500/4</f>
        <v>625</v>
      </c>
      <c r="V30" s="40">
        <f t="shared" si="38"/>
        <v>0</v>
      </c>
      <c r="W30" s="40">
        <f t="shared" si="4"/>
        <v>0</v>
      </c>
      <c r="X30" s="53">
        <f t="shared" si="5"/>
        <v>21.515301007336209</v>
      </c>
      <c r="Y30" s="53">
        <f t="shared" si="6"/>
        <v>4.0323228715567661</v>
      </c>
      <c r="Z30" s="52">
        <f t="shared" si="23"/>
        <v>0.44092431758320449</v>
      </c>
      <c r="AA30" s="52">
        <f t="shared" si="7"/>
        <v>4.3357088935266139</v>
      </c>
      <c r="AB30" s="53">
        <f t="shared" si="24"/>
        <v>14.369373678113275</v>
      </c>
      <c r="AC30" s="53">
        <f t="shared" si="25"/>
        <v>3.3998770342672873</v>
      </c>
      <c r="AD30" s="52">
        <f t="shared" si="26"/>
        <v>0.35361841417476164</v>
      </c>
      <c r="AE30" s="52">
        <f t="shared" si="8"/>
        <v>3.2264392309735523</v>
      </c>
      <c r="AF30" s="54">
        <v>2204</v>
      </c>
      <c r="AG30" s="54">
        <v>2440</v>
      </c>
      <c r="AH30" s="52">
        <f t="shared" si="27"/>
        <v>0.20108991825613079</v>
      </c>
      <c r="AI30" s="52">
        <f t="shared" si="9"/>
        <v>-9.6721311475409841E-2</v>
      </c>
      <c r="AJ30" s="54">
        <v>217</v>
      </c>
      <c r="AK30" s="54">
        <v>122</v>
      </c>
      <c r="AL30" s="52">
        <f t="shared" si="28"/>
        <v>0.19889502762430938</v>
      </c>
      <c r="AM30" s="52">
        <f t="shared" si="10"/>
        <v>0.77868852459016391</v>
      </c>
      <c r="AN30" s="99">
        <f t="shared" si="29"/>
        <v>9.8457350272232305E-2</v>
      </c>
      <c r="AO30" s="89">
        <f t="shared" si="35"/>
        <v>0.05</v>
      </c>
      <c r="AP30" s="52">
        <f t="shared" si="30"/>
        <v>-1.827415748363087E-3</v>
      </c>
      <c r="AQ30" s="52">
        <f t="shared" si="12"/>
        <v>0.96914700544464605</v>
      </c>
      <c r="AR30" s="51">
        <f t="shared" si="13"/>
        <v>124.60829493087557</v>
      </c>
      <c r="AS30" s="51">
        <f t="shared" si="14"/>
        <v>111.04918032786885</v>
      </c>
      <c r="AT30" s="52">
        <f t="shared" si="31"/>
        <v>-1.7378931621640784E-2</v>
      </c>
      <c r="AU30" s="52">
        <f t="shared" si="15"/>
        <v>0.12210008721337612</v>
      </c>
      <c r="AV30" s="68" t="s">
        <v>241</v>
      </c>
    </row>
    <row r="31" spans="1:48" ht="15.75" customHeight="1" x14ac:dyDescent="0.3">
      <c r="A31" s="49" t="s">
        <v>63</v>
      </c>
      <c r="B31" s="49" t="s">
        <v>65</v>
      </c>
      <c r="C31" s="50">
        <f t="shared" si="32"/>
        <v>42937</v>
      </c>
      <c r="D31" s="192">
        <v>33397</v>
      </c>
      <c r="E31" s="51">
        <v>7284</v>
      </c>
      <c r="F31" s="52">
        <f t="shared" si="16"/>
        <v>0.23509615384615384</v>
      </c>
      <c r="G31" s="52">
        <f t="shared" si="0"/>
        <v>3.5849807797913233</v>
      </c>
      <c r="H31" s="51">
        <f t="shared" si="17"/>
        <v>1141.24</v>
      </c>
      <c r="I31" s="51">
        <f t="shared" si="18"/>
        <v>2854.0299999999997</v>
      </c>
      <c r="J31" s="40">
        <f t="shared" si="36"/>
        <v>-0.39353165619785518</v>
      </c>
      <c r="K31" s="40">
        <f t="shared" si="1"/>
        <v>-0.60013034200761728</v>
      </c>
      <c r="L31" s="51">
        <v>516.24</v>
      </c>
      <c r="M31" s="51">
        <v>1050.03</v>
      </c>
      <c r="N31" s="40">
        <f t="shared" si="20"/>
        <v>-0.58923598402266109</v>
      </c>
      <c r="O31" s="40">
        <f t="shared" si="2"/>
        <v>-0.50835690408845458</v>
      </c>
      <c r="P31" s="51">
        <v>0</v>
      </c>
      <c r="Q31" s="51">
        <v>1179</v>
      </c>
      <c r="R31" s="40" t="e">
        <f t="shared" si="37"/>
        <v>#DIV/0!</v>
      </c>
      <c r="S31" s="40">
        <f t="shared" si="3"/>
        <v>-1</v>
      </c>
      <c r="T31" s="245">
        <v>625</v>
      </c>
      <c r="U31" s="51">
        <f>2500/4</f>
        <v>625</v>
      </c>
      <c r="V31" s="40">
        <f t="shared" si="38"/>
        <v>0</v>
      </c>
      <c r="W31" s="40">
        <f t="shared" si="4"/>
        <v>0</v>
      </c>
      <c r="X31" s="53">
        <f t="shared" si="5"/>
        <v>64.692778552611188</v>
      </c>
      <c r="Y31" s="53">
        <f t="shared" si="6"/>
        <v>3.2677891280063531</v>
      </c>
      <c r="Z31" s="52">
        <f t="shared" si="23"/>
        <v>2.0068265617363421</v>
      </c>
      <c r="AA31" s="52">
        <f t="shared" si="7"/>
        <v>18.797109304932302</v>
      </c>
      <c r="AB31" s="53">
        <f t="shared" si="24"/>
        <v>29.263783253303423</v>
      </c>
      <c r="AC31" s="53">
        <f t="shared" si="25"/>
        <v>2.5521806007645331</v>
      </c>
      <c r="AD31" s="52">
        <f t="shared" si="26"/>
        <v>1.0365385373669127</v>
      </c>
      <c r="AE31" s="52">
        <f t="shared" si="8"/>
        <v>10.466188264473582</v>
      </c>
      <c r="AF31" s="54">
        <v>2412</v>
      </c>
      <c r="AG31" s="54">
        <v>1546</v>
      </c>
      <c r="AH31" s="52">
        <f t="shared" si="27"/>
        <v>9.4373865698729589E-2</v>
      </c>
      <c r="AI31" s="52">
        <f t="shared" si="9"/>
        <v>0.56015523932729627</v>
      </c>
      <c r="AJ31" s="54">
        <v>247</v>
      </c>
      <c r="AK31" s="54">
        <v>74</v>
      </c>
      <c r="AL31" s="52">
        <f t="shared" si="28"/>
        <v>0.13824884792626729</v>
      </c>
      <c r="AM31" s="52">
        <f t="shared" si="10"/>
        <v>2.3378378378378377</v>
      </c>
      <c r="AN31" s="99">
        <f t="shared" si="29"/>
        <v>0.10240464344941957</v>
      </c>
      <c r="AO31" s="89">
        <f t="shared" si="35"/>
        <v>4.7865459249676584E-2</v>
      </c>
      <c r="AP31" s="52">
        <f t="shared" si="30"/>
        <v>4.0091401670602496E-2</v>
      </c>
      <c r="AQ31" s="52">
        <f t="shared" si="12"/>
        <v>1.1394267401730089</v>
      </c>
      <c r="AR31" s="51">
        <f t="shared" si="13"/>
        <v>135.21052631578948</v>
      </c>
      <c r="AS31" s="51">
        <f t="shared" si="14"/>
        <v>98.432432432432435</v>
      </c>
      <c r="AT31" s="52">
        <f t="shared" si="31"/>
        <v>8.5084475241357913E-2</v>
      </c>
      <c r="AU31" s="52">
        <f t="shared" si="15"/>
        <v>0.37363796641521435</v>
      </c>
      <c r="AV31" s="68" t="s">
        <v>243</v>
      </c>
    </row>
    <row r="32" spans="1:48" ht="15.75" customHeight="1" x14ac:dyDescent="0.3">
      <c r="A32" s="49" t="s">
        <v>63</v>
      </c>
      <c r="B32" s="49" t="s">
        <v>66</v>
      </c>
      <c r="C32" s="50">
        <f t="shared" si="32"/>
        <v>42944</v>
      </c>
      <c r="D32" s="192">
        <v>17403</v>
      </c>
      <c r="E32" s="51">
        <v>8373</v>
      </c>
      <c r="F32" s="52">
        <f t="shared" si="16"/>
        <v>-0.47890529089439171</v>
      </c>
      <c r="G32" s="52">
        <f t="shared" si="0"/>
        <v>1.0784664994625581</v>
      </c>
      <c r="H32" s="51">
        <f t="shared" si="17"/>
        <v>1628.9</v>
      </c>
      <c r="I32" s="51">
        <f t="shared" si="18"/>
        <v>2778.1800000000003</v>
      </c>
      <c r="J32" s="33">
        <f t="shared" si="36"/>
        <v>0.42730713960253763</v>
      </c>
      <c r="K32" s="33">
        <f t="shared" si="1"/>
        <v>-0.413680899005824</v>
      </c>
      <c r="L32" s="51">
        <v>1128.9000000000001</v>
      </c>
      <c r="M32" s="51">
        <v>1334.98</v>
      </c>
      <c r="N32" s="33">
        <f t="shared" si="20"/>
        <v>1.1867735936773596</v>
      </c>
      <c r="O32" s="33">
        <f t="shared" si="2"/>
        <v>-0.15436935384799766</v>
      </c>
      <c r="P32" s="51">
        <v>0</v>
      </c>
      <c r="Q32" s="51">
        <v>943.2</v>
      </c>
      <c r="R32" s="33" t="e">
        <f t="shared" si="37"/>
        <v>#DIV/0!</v>
      </c>
      <c r="S32" s="33">
        <f t="shared" si="3"/>
        <v>-1</v>
      </c>
      <c r="T32" s="399">
        <v>500</v>
      </c>
      <c r="U32" s="51">
        <f>2500/5</f>
        <v>500</v>
      </c>
      <c r="V32" s="33">
        <f t="shared" si="38"/>
        <v>-0.2</v>
      </c>
      <c r="W32" s="33">
        <f t="shared" si="4"/>
        <v>0</v>
      </c>
      <c r="X32" s="53">
        <f t="shared" si="5"/>
        <v>15.415891575870315</v>
      </c>
      <c r="Y32" s="53">
        <f t="shared" si="6"/>
        <v>3.6753022149259493</v>
      </c>
      <c r="Z32" s="52">
        <f t="shared" si="23"/>
        <v>-0.76170614524875602</v>
      </c>
      <c r="AA32" s="52">
        <f t="shared" si="7"/>
        <v>3.1944554962756762</v>
      </c>
      <c r="AB32" s="53">
        <f t="shared" si="24"/>
        <v>10.683897108478114</v>
      </c>
      <c r="AC32" s="53">
        <f t="shared" si="25"/>
        <v>3.013843595447379</v>
      </c>
      <c r="AD32" s="52">
        <f t="shared" si="26"/>
        <v>-0.63491059867414545</v>
      </c>
      <c r="AE32" s="52">
        <f t="shared" si="8"/>
        <v>2.5449407940799866</v>
      </c>
      <c r="AF32" s="54">
        <v>2756</v>
      </c>
      <c r="AG32" s="54">
        <v>2933</v>
      </c>
      <c r="AH32" s="52">
        <f t="shared" si="27"/>
        <v>0.14262023217247097</v>
      </c>
      <c r="AI32" s="52">
        <f t="shared" si="9"/>
        <v>-6.0347766791680871E-2</v>
      </c>
      <c r="AJ32" s="54">
        <v>211</v>
      </c>
      <c r="AK32" s="54">
        <v>91</v>
      </c>
      <c r="AL32" s="52">
        <f t="shared" si="28"/>
        <v>-0.145748987854251</v>
      </c>
      <c r="AM32" s="52">
        <f t="shared" si="10"/>
        <v>1.3186813186813187</v>
      </c>
      <c r="AN32" s="99">
        <f t="shared" si="29"/>
        <v>7.6560232220609578E-2</v>
      </c>
      <c r="AO32" s="89">
        <f t="shared" si="35"/>
        <v>3.1026252983293555E-2</v>
      </c>
      <c r="AP32" s="52">
        <f t="shared" si="30"/>
        <v>-0.25237538414530247</v>
      </c>
      <c r="AQ32" s="52">
        <f t="shared" si="12"/>
        <v>1.4675951769565703</v>
      </c>
      <c r="AR32" s="51">
        <f t="shared" si="13"/>
        <v>82.478672985781984</v>
      </c>
      <c r="AS32" s="51">
        <f t="shared" si="14"/>
        <v>92.010989010989007</v>
      </c>
      <c r="AT32" s="52">
        <f t="shared" si="31"/>
        <v>-0.3899981367341932</v>
      </c>
      <c r="AU32" s="52">
        <f t="shared" si="15"/>
        <v>-0.10359975615595834</v>
      </c>
      <c r="AV32" s="68"/>
    </row>
    <row r="33" spans="1:48" ht="15.75" customHeight="1" x14ac:dyDescent="0.3">
      <c r="A33" s="69" t="s">
        <v>63</v>
      </c>
      <c r="B33" s="69" t="s">
        <v>67</v>
      </c>
      <c r="C33" s="70">
        <f t="shared" si="32"/>
        <v>42951</v>
      </c>
      <c r="D33" s="195">
        <v>17274</v>
      </c>
      <c r="E33" s="72">
        <v>8218</v>
      </c>
      <c r="F33" s="73">
        <f t="shared" si="16"/>
        <v>-7.4125150836062744E-3</v>
      </c>
      <c r="G33" s="73">
        <f t="shared" si="0"/>
        <v>1.1019712825504988</v>
      </c>
      <c r="H33" s="72">
        <f t="shared" si="17"/>
        <v>1542.02</v>
      </c>
      <c r="I33" s="72">
        <f t="shared" si="18"/>
        <v>2311.33</v>
      </c>
      <c r="J33" s="40">
        <f t="shared" si="36"/>
        <v>-5.3336607526551727E-2</v>
      </c>
      <c r="K33" s="40">
        <f t="shared" si="1"/>
        <v>-0.33284299515863158</v>
      </c>
      <c r="L33" s="72">
        <v>1042.02</v>
      </c>
      <c r="M33" s="72">
        <v>868.13</v>
      </c>
      <c r="N33" s="40">
        <f t="shared" si="20"/>
        <v>-7.6959872442200469E-2</v>
      </c>
      <c r="O33" s="40">
        <f t="shared" si="2"/>
        <v>0.2003041019202193</v>
      </c>
      <c r="P33" s="72">
        <v>0</v>
      </c>
      <c r="Q33" s="72">
        <v>943.2</v>
      </c>
      <c r="R33" s="40" t="e">
        <f t="shared" si="37"/>
        <v>#DIV/0!</v>
      </c>
      <c r="S33" s="40">
        <f t="shared" si="3"/>
        <v>-1</v>
      </c>
      <c r="T33" s="400">
        <v>500</v>
      </c>
      <c r="U33" s="72">
        <f>2500/5</f>
        <v>500</v>
      </c>
      <c r="V33" s="40">
        <f t="shared" si="38"/>
        <v>0</v>
      </c>
      <c r="W33" s="40">
        <f t="shared" si="4"/>
        <v>0</v>
      </c>
      <c r="X33" s="74">
        <f t="shared" si="5"/>
        <v>16.577416940173894</v>
      </c>
      <c r="Y33" s="74">
        <f t="shared" si="6"/>
        <v>4.5369976757410306</v>
      </c>
      <c r="Z33" s="73">
        <f t="shared" si="23"/>
        <v>7.5345973898885824E-2</v>
      </c>
      <c r="AA33" s="73">
        <f t="shared" si="7"/>
        <v>2.6538297184528079</v>
      </c>
      <c r="AB33" s="74">
        <f t="shared" si="24"/>
        <v>11.202189336065681</v>
      </c>
      <c r="AC33" s="74">
        <f t="shared" si="25"/>
        <v>3.5555286350283173</v>
      </c>
      <c r="AD33" s="73">
        <f t="shared" si="26"/>
        <v>4.8511533041279566E-2</v>
      </c>
      <c r="AE33" s="73">
        <f t="shared" si="8"/>
        <v>2.150639605515781</v>
      </c>
      <c r="AF33" s="76">
        <v>2106</v>
      </c>
      <c r="AG33" s="76">
        <v>1507</v>
      </c>
      <c r="AH33" s="73">
        <f t="shared" si="27"/>
        <v>-0.23584905660377359</v>
      </c>
      <c r="AI33" s="73">
        <f t="shared" si="9"/>
        <v>0.39747843397478433</v>
      </c>
      <c r="AJ33" s="76">
        <v>165</v>
      </c>
      <c r="AK33" s="76">
        <v>74</v>
      </c>
      <c r="AL33" s="73">
        <f t="shared" si="28"/>
        <v>-0.21800947867298578</v>
      </c>
      <c r="AM33" s="73">
        <f t="shared" si="10"/>
        <v>1.2297297297297298</v>
      </c>
      <c r="AN33" s="100">
        <f t="shared" si="29"/>
        <v>7.8347578347578342E-2</v>
      </c>
      <c r="AO33" s="89">
        <f t="shared" si="35"/>
        <v>4.9104180491041802E-2</v>
      </c>
      <c r="AP33" s="73">
        <f t="shared" si="30"/>
        <v>2.3345620502018549E-2</v>
      </c>
      <c r="AQ33" s="73">
        <f t="shared" si="12"/>
        <v>0.5955378455378455</v>
      </c>
      <c r="AR33" s="72">
        <f t="shared" si="13"/>
        <v>104.69090909090909</v>
      </c>
      <c r="AS33" s="72">
        <f t="shared" si="14"/>
        <v>111.05405405405405</v>
      </c>
      <c r="AT33" s="73">
        <f t="shared" si="31"/>
        <v>0.26930884434763086</v>
      </c>
      <c r="AU33" s="73">
        <f t="shared" si="15"/>
        <v>-5.7297727825836843E-2</v>
      </c>
      <c r="AV33" s="77"/>
    </row>
    <row r="34" spans="1:48" ht="15.75" customHeight="1" x14ac:dyDescent="0.3">
      <c r="A34" s="49" t="s">
        <v>68</v>
      </c>
      <c r="B34" s="49" t="s">
        <v>69</v>
      </c>
      <c r="C34" s="50">
        <f t="shared" si="32"/>
        <v>42958</v>
      </c>
      <c r="D34" s="192">
        <v>31691</v>
      </c>
      <c r="E34" s="51">
        <v>14750</v>
      </c>
      <c r="F34" s="52">
        <f t="shared" si="16"/>
        <v>0.83460692370035894</v>
      </c>
      <c r="G34" s="52">
        <f t="shared" si="0"/>
        <v>1.148542372881356</v>
      </c>
      <c r="H34" s="51">
        <f t="shared" si="17"/>
        <v>2654.16</v>
      </c>
      <c r="I34" s="51">
        <f t="shared" si="18"/>
        <v>3055.31</v>
      </c>
      <c r="J34" s="40">
        <f t="shared" si="36"/>
        <v>0.72122281163668422</v>
      </c>
      <c r="K34" s="40">
        <f t="shared" si="1"/>
        <v>-0.13129600596993435</v>
      </c>
      <c r="L34" s="51">
        <v>2154.16</v>
      </c>
      <c r="M34" s="51">
        <v>1612.11</v>
      </c>
      <c r="N34" s="40">
        <f t="shared" si="20"/>
        <v>1.0672923744265943</v>
      </c>
      <c r="O34" s="40">
        <f t="shared" si="2"/>
        <v>0.3362363610423606</v>
      </c>
      <c r="P34" s="51">
        <v>0</v>
      </c>
      <c r="Q34" s="51">
        <v>943.2</v>
      </c>
      <c r="R34" s="40" t="e">
        <f t="shared" si="37"/>
        <v>#DIV/0!</v>
      </c>
      <c r="S34" s="40">
        <f t="shared" si="3"/>
        <v>-1</v>
      </c>
      <c r="T34" s="399">
        <v>500</v>
      </c>
      <c r="U34" s="51">
        <f>2500/5</f>
        <v>500</v>
      </c>
      <c r="V34" s="40">
        <f t="shared" si="38"/>
        <v>0</v>
      </c>
      <c r="W34" s="40">
        <f t="shared" si="4"/>
        <v>0</v>
      </c>
      <c r="X34" s="53">
        <f t="shared" ref="X34:X54" si="39">D34/(L34+P34)</f>
        <v>14.711534890630224</v>
      </c>
      <c r="Y34" s="53">
        <f t="shared" ref="Y34:Y53" si="40">E34/(M34+Q34)</f>
        <v>5.772293772575539</v>
      </c>
      <c r="Z34" s="52">
        <f t="shared" si="23"/>
        <v>-0.11255565666698475</v>
      </c>
      <c r="AA34" s="52">
        <f t="shared" si="7"/>
        <v>1.5486462522966995</v>
      </c>
      <c r="AB34" s="53">
        <f t="shared" si="24"/>
        <v>11.940124182415529</v>
      </c>
      <c r="AC34" s="53">
        <f t="shared" si="25"/>
        <v>4.8276606956413586</v>
      </c>
      <c r="AD34" s="52">
        <f t="shared" si="26"/>
        <v>6.5874163006159114E-2</v>
      </c>
      <c r="AE34" s="52">
        <f t="shared" si="8"/>
        <v>1.47327327564583</v>
      </c>
      <c r="AF34" s="54">
        <v>2175</v>
      </c>
      <c r="AG34" s="54">
        <v>1299</v>
      </c>
      <c r="AH34" s="52">
        <f t="shared" si="27"/>
        <v>3.2763532763532763E-2</v>
      </c>
      <c r="AI34" s="52">
        <f t="shared" si="9"/>
        <v>0.67436489607390304</v>
      </c>
      <c r="AJ34" s="54">
        <v>235</v>
      </c>
      <c r="AK34" s="54">
        <v>114</v>
      </c>
      <c r="AL34" s="52">
        <f t="shared" si="28"/>
        <v>0.42424242424242425</v>
      </c>
      <c r="AM34" s="52">
        <f t="shared" si="10"/>
        <v>1.0614035087719298</v>
      </c>
      <c r="AN34" s="99">
        <f t="shared" si="29"/>
        <v>0.10804597701149425</v>
      </c>
      <c r="AO34" s="89">
        <f t="shared" si="35"/>
        <v>8.7759815242494224E-2</v>
      </c>
      <c r="AP34" s="52">
        <f t="shared" si="30"/>
        <v>0.37905956112852673</v>
      </c>
      <c r="AQ34" s="52">
        <f t="shared" si="12"/>
        <v>0.23115547489413191</v>
      </c>
      <c r="AR34" s="51">
        <f t="shared" ref="AR34:AR53" si="41">D34/AJ34</f>
        <v>134.85531914893616</v>
      </c>
      <c r="AS34" s="51">
        <f t="shared" ref="AS34:AS53" si="42">E34/AK34</f>
        <v>129.38596491228071</v>
      </c>
      <c r="AT34" s="52">
        <f t="shared" si="31"/>
        <v>0.28812826557684768</v>
      </c>
      <c r="AU34" s="52">
        <f t="shared" si="15"/>
        <v>4.2271619184998034E-2</v>
      </c>
      <c r="AV34" s="86"/>
    </row>
    <row r="35" spans="1:48" ht="15.75" customHeight="1" x14ac:dyDescent="0.3">
      <c r="A35" s="49" t="s">
        <v>68</v>
      </c>
      <c r="B35" s="49" t="s">
        <v>70</v>
      </c>
      <c r="C35" s="50">
        <f t="shared" si="32"/>
        <v>42965</v>
      </c>
      <c r="D35" s="192">
        <v>26508</v>
      </c>
      <c r="E35" s="51">
        <v>15993</v>
      </c>
      <c r="F35" s="52">
        <f t="shared" si="16"/>
        <v>-0.16354801047616041</v>
      </c>
      <c r="G35" s="52">
        <f t="shared" si="0"/>
        <v>0.65747514537610208</v>
      </c>
      <c r="H35" s="51">
        <f t="shared" si="17"/>
        <v>2414.3199999999997</v>
      </c>
      <c r="I35" s="51">
        <f t="shared" si="18"/>
        <v>3131.42</v>
      </c>
      <c r="J35" s="33">
        <f t="shared" si="36"/>
        <v>-9.0363806251318748E-2</v>
      </c>
      <c r="K35" s="33">
        <f t="shared" si="1"/>
        <v>-0.22900153923778999</v>
      </c>
      <c r="L35" s="51">
        <v>1914.32</v>
      </c>
      <c r="M35" s="51">
        <v>1688.22</v>
      </c>
      <c r="N35" s="33">
        <f t="shared" si="20"/>
        <v>-0.11133806216808405</v>
      </c>
      <c r="O35" s="33">
        <f t="shared" si="2"/>
        <v>0.13392804255369556</v>
      </c>
      <c r="P35" s="51">
        <v>0</v>
      </c>
      <c r="Q35" s="51">
        <v>943.2</v>
      </c>
      <c r="R35" s="33" t="e">
        <f t="shared" si="37"/>
        <v>#DIV/0!</v>
      </c>
      <c r="S35" s="33">
        <f t="shared" si="3"/>
        <v>-1</v>
      </c>
      <c r="T35" s="399">
        <v>500</v>
      </c>
      <c r="U35" s="51">
        <f>2500/5</f>
        <v>500</v>
      </c>
      <c r="V35" s="33">
        <f t="shared" si="38"/>
        <v>0</v>
      </c>
      <c r="W35" s="33">
        <f t="shared" si="4"/>
        <v>0</v>
      </c>
      <c r="X35" s="53">
        <f t="shared" si="39"/>
        <v>13.847214676752058</v>
      </c>
      <c r="Y35" s="53">
        <f t="shared" si="40"/>
        <v>6.0777070935084474</v>
      </c>
      <c r="Z35" s="52">
        <f t="shared" ref="Z35:Z53" si="43">(X35-X34)/X34</f>
        <v>-5.8751192197399577E-2</v>
      </c>
      <c r="AA35" s="52">
        <f t="shared" si="7"/>
        <v>1.2783616360094356</v>
      </c>
      <c r="AB35" s="53">
        <f t="shared" si="24"/>
        <v>10.979489048676234</v>
      </c>
      <c r="AC35" s="53">
        <f t="shared" si="25"/>
        <v>5.1072676293821972</v>
      </c>
      <c r="AD35" s="52">
        <f t="shared" si="26"/>
        <v>-8.0454367062115034E-2</v>
      </c>
      <c r="AE35" s="52">
        <f t="shared" si="8"/>
        <v>1.1497775024576835</v>
      </c>
      <c r="AF35" s="54">
        <v>2578</v>
      </c>
      <c r="AG35" s="54">
        <v>2844</v>
      </c>
      <c r="AH35" s="52">
        <f t="shared" si="27"/>
        <v>0.18528735632183907</v>
      </c>
      <c r="AI35" s="52">
        <f t="shared" si="9"/>
        <v>-9.3530239099859358E-2</v>
      </c>
      <c r="AJ35" s="54">
        <v>256</v>
      </c>
      <c r="AK35" s="54">
        <v>171</v>
      </c>
      <c r="AL35" s="52">
        <f t="shared" si="28"/>
        <v>8.9361702127659579E-2</v>
      </c>
      <c r="AM35" s="52">
        <f t="shared" si="10"/>
        <v>0.49707602339181284</v>
      </c>
      <c r="AN35" s="99">
        <f t="shared" si="29"/>
        <v>9.9301784328937159E-2</v>
      </c>
      <c r="AO35" s="89">
        <f t="shared" si="35"/>
        <v>6.0126582278481014E-2</v>
      </c>
      <c r="AP35" s="52">
        <f t="shared" si="30"/>
        <v>-8.0930293976858192E-2</v>
      </c>
      <c r="AQ35" s="52">
        <f t="shared" si="12"/>
        <v>0.65154546568127059</v>
      </c>
      <c r="AR35" s="51">
        <f t="shared" si="41"/>
        <v>103.546875</v>
      </c>
      <c r="AS35" s="51">
        <f t="shared" si="42"/>
        <v>93.526315789473685</v>
      </c>
      <c r="AT35" s="52">
        <f t="shared" si="31"/>
        <v>-0.23216321274178783</v>
      </c>
      <c r="AU35" s="52">
        <f t="shared" si="15"/>
        <v>0.10714160101294315</v>
      </c>
      <c r="AV35" s="68"/>
    </row>
    <row r="36" spans="1:48" ht="15.75" customHeight="1" x14ac:dyDescent="0.3">
      <c r="A36" s="49" t="s">
        <v>68</v>
      </c>
      <c r="B36" s="49" t="s">
        <v>71</v>
      </c>
      <c r="C36" s="50">
        <f t="shared" si="32"/>
        <v>42972</v>
      </c>
      <c r="D36" s="192">
        <v>17884</v>
      </c>
      <c r="E36" s="51">
        <v>9369</v>
      </c>
      <c r="F36" s="52">
        <f t="shared" si="16"/>
        <v>-0.32533574769880791</v>
      </c>
      <c r="G36" s="52">
        <f t="shared" si="0"/>
        <v>0.90884832959760908</v>
      </c>
      <c r="H36" s="51">
        <f t="shared" si="17"/>
        <v>1624.73</v>
      </c>
      <c r="I36" s="51">
        <f t="shared" si="18"/>
        <v>2637.92</v>
      </c>
      <c r="J36" s="40">
        <f t="shared" si="36"/>
        <v>-0.32704446800755482</v>
      </c>
      <c r="K36" s="40">
        <f t="shared" si="1"/>
        <v>-0.38408670467641171</v>
      </c>
      <c r="L36" s="51">
        <v>1124.73</v>
      </c>
      <c r="M36" s="51">
        <v>1194.72</v>
      </c>
      <c r="N36" s="40">
        <f t="shared" si="20"/>
        <v>-0.41246500062685443</v>
      </c>
      <c r="O36" s="40">
        <f t="shared" si="2"/>
        <v>-5.8582764162314185E-2</v>
      </c>
      <c r="P36" s="51">
        <v>0</v>
      </c>
      <c r="Q36" s="51">
        <v>943.2</v>
      </c>
      <c r="R36" s="40" t="e">
        <f t="shared" si="37"/>
        <v>#DIV/0!</v>
      </c>
      <c r="S36" s="40">
        <f t="shared" si="3"/>
        <v>-1</v>
      </c>
      <c r="T36" s="399">
        <v>500</v>
      </c>
      <c r="U36" s="51">
        <f>2500/5</f>
        <v>500</v>
      </c>
      <c r="V36" s="40">
        <f t="shared" si="38"/>
        <v>0</v>
      </c>
      <c r="W36" s="40">
        <f t="shared" si="4"/>
        <v>0</v>
      </c>
      <c r="X36" s="53">
        <f t="shared" si="39"/>
        <v>15.900705058102833</v>
      </c>
      <c r="Y36" s="53">
        <f t="shared" si="40"/>
        <v>4.3822968118545127</v>
      </c>
      <c r="Z36" s="52">
        <f t="shared" si="43"/>
        <v>0.14829627685330526</v>
      </c>
      <c r="AA36" s="52">
        <f t="shared" si="7"/>
        <v>2.6283952778118485</v>
      </c>
      <c r="AB36" s="53">
        <f t="shared" si="24"/>
        <v>11.007367377964339</v>
      </c>
      <c r="AC36" s="53">
        <f t="shared" si="25"/>
        <v>3.5516619154485349</v>
      </c>
      <c r="AD36" s="52">
        <f t="shared" si="26"/>
        <v>2.5391281110177647E-3</v>
      </c>
      <c r="AE36" s="52">
        <f t="shared" si="8"/>
        <v>2.0992159839555655</v>
      </c>
      <c r="AF36" s="54">
        <v>1771</v>
      </c>
      <c r="AG36" s="54">
        <v>2615</v>
      </c>
      <c r="AH36" s="52">
        <f t="shared" si="27"/>
        <v>-0.31303335919317299</v>
      </c>
      <c r="AI36" s="52">
        <f t="shared" si="9"/>
        <v>-0.32275334608030593</v>
      </c>
      <c r="AJ36" s="54">
        <v>146</v>
      </c>
      <c r="AK36" s="54">
        <v>75</v>
      </c>
      <c r="AL36" s="52">
        <f t="shared" si="28"/>
        <v>-0.4296875</v>
      </c>
      <c r="AM36" s="52">
        <f t="shared" si="10"/>
        <v>0.94666666666666666</v>
      </c>
      <c r="AN36" s="99">
        <f t="shared" si="29"/>
        <v>8.2439299830604176E-2</v>
      </c>
      <c r="AO36" s="89">
        <f t="shared" si="35"/>
        <v>2.8680688336520075E-2</v>
      </c>
      <c r="AP36" s="52">
        <f t="shared" si="30"/>
        <v>-0.16981048842461888</v>
      </c>
      <c r="AQ36" s="52">
        <f t="shared" si="12"/>
        <v>1.8743835874270658</v>
      </c>
      <c r="AR36" s="51">
        <f t="shared" si="41"/>
        <v>122.49315068493151</v>
      </c>
      <c r="AS36" s="51">
        <f t="shared" si="42"/>
        <v>124.92</v>
      </c>
      <c r="AT36" s="52">
        <f t="shared" si="31"/>
        <v>0.18297293554181626</v>
      </c>
      <c r="AU36" s="52">
        <f t="shared" si="15"/>
        <v>-1.9427227946433676E-2</v>
      </c>
      <c r="AV36" s="68"/>
    </row>
    <row r="37" spans="1:48" ht="15.75" customHeight="1" x14ac:dyDescent="0.3">
      <c r="A37" s="69" t="s">
        <v>68</v>
      </c>
      <c r="B37" s="69" t="s">
        <v>72</v>
      </c>
      <c r="C37" s="70">
        <f t="shared" si="32"/>
        <v>42979</v>
      </c>
      <c r="D37" s="195">
        <v>25069</v>
      </c>
      <c r="E37" s="72">
        <v>19175</v>
      </c>
      <c r="F37" s="73">
        <f t="shared" si="16"/>
        <v>0.40175575933795571</v>
      </c>
      <c r="G37" s="73">
        <f t="shared" si="0"/>
        <v>0.30737940026075622</v>
      </c>
      <c r="H37" s="72">
        <f>L37+P37+T37</f>
        <v>2258.2399999999998</v>
      </c>
      <c r="I37" s="72">
        <f t="shared" si="18"/>
        <v>5216.9799999999996</v>
      </c>
      <c r="J37" s="241">
        <f t="shared" si="36"/>
        <v>0.38991709391714302</v>
      </c>
      <c r="K37" s="40">
        <f t="shared" si="1"/>
        <v>-0.5671365425974414</v>
      </c>
      <c r="L37" s="72">
        <v>1598.51</v>
      </c>
      <c r="M37" s="72">
        <v>2912.02</v>
      </c>
      <c r="N37" s="40">
        <f t="shared" si="20"/>
        <v>0.42123887510780361</v>
      </c>
      <c r="O37" s="40">
        <f t="shared" si="2"/>
        <v>-0.45106489653230403</v>
      </c>
      <c r="P37" s="72">
        <v>0</v>
      </c>
      <c r="Q37" s="72">
        <v>1179</v>
      </c>
      <c r="R37" s="40" t="e">
        <f t="shared" si="37"/>
        <v>#DIV/0!</v>
      </c>
      <c r="S37" s="40">
        <f t="shared" si="3"/>
        <v>-1</v>
      </c>
      <c r="T37" s="425">
        <v>659.73</v>
      </c>
      <c r="U37" s="72">
        <v>1125.96</v>
      </c>
      <c r="V37" s="40">
        <f t="shared" si="38"/>
        <v>0.31946000000000002</v>
      </c>
      <c r="W37" s="40">
        <f t="shared" si="4"/>
        <v>-0.41407332409677078</v>
      </c>
      <c r="X37" s="74">
        <f t="shared" si="39"/>
        <v>15.682729541885882</v>
      </c>
      <c r="Y37" s="74">
        <f t="shared" si="40"/>
        <v>4.6870951498648257</v>
      </c>
      <c r="Z37" s="73">
        <f t="shared" si="43"/>
        <v>-1.370854408156404E-2</v>
      </c>
      <c r="AA37" s="73">
        <f t="shared" si="7"/>
        <v>2.3459379510010945</v>
      </c>
      <c r="AB37" s="74">
        <f t="shared" si="24"/>
        <v>11.101122998441266</v>
      </c>
      <c r="AC37" s="74">
        <f t="shared" si="25"/>
        <v>3.6754980850990422</v>
      </c>
      <c r="AD37" s="73">
        <f t="shared" si="26"/>
        <v>8.5175335080226369E-3</v>
      </c>
      <c r="AE37" s="73">
        <f t="shared" si="8"/>
        <v>2.0203043890695236</v>
      </c>
      <c r="AF37" s="76">
        <v>1794</v>
      </c>
      <c r="AG37" s="76">
        <v>2270</v>
      </c>
      <c r="AH37" s="73">
        <f t="shared" si="27"/>
        <v>1.2987012987012988E-2</v>
      </c>
      <c r="AI37" s="73">
        <f t="shared" si="9"/>
        <v>-0.20969162995594715</v>
      </c>
      <c r="AJ37" s="76">
        <v>203</v>
      </c>
      <c r="AK37" s="76">
        <v>153</v>
      </c>
      <c r="AL37" s="73">
        <f t="shared" si="28"/>
        <v>0.3904109589041096</v>
      </c>
      <c r="AM37" s="73">
        <f t="shared" si="10"/>
        <v>0.32679738562091504</v>
      </c>
      <c r="AN37" s="100">
        <f t="shared" si="29"/>
        <v>0.11315496098104794</v>
      </c>
      <c r="AO37" s="89">
        <f t="shared" si="35"/>
        <v>6.7400881057268727E-2</v>
      </c>
      <c r="AP37" s="73">
        <f t="shared" si="30"/>
        <v>0.37258517737969793</v>
      </c>
      <c r="AQ37" s="73">
        <f t="shared" si="12"/>
        <v>0.67883504200639733</v>
      </c>
      <c r="AR37" s="72">
        <f t="shared" si="41"/>
        <v>123.49261083743842</v>
      </c>
      <c r="AS37" s="72">
        <f t="shared" si="42"/>
        <v>125.32679738562092</v>
      </c>
      <c r="AT37" s="73">
        <f t="shared" si="31"/>
        <v>8.1593145977415169E-3</v>
      </c>
      <c r="AU37" s="73">
        <f t="shared" si="15"/>
        <v>-1.4635230345341468E-2</v>
      </c>
      <c r="AV37" s="77"/>
    </row>
    <row r="38" spans="1:48" ht="15.75" customHeight="1" x14ac:dyDescent="0.3">
      <c r="A38" s="49" t="s">
        <v>73</v>
      </c>
      <c r="B38" s="49" t="s">
        <v>74</v>
      </c>
      <c r="C38" s="50">
        <f t="shared" si="32"/>
        <v>42986</v>
      </c>
      <c r="D38" s="192">
        <v>32538</v>
      </c>
      <c r="E38" s="51">
        <v>15357</v>
      </c>
      <c r="F38" s="52">
        <f t="shared" si="16"/>
        <v>0.29793769197016234</v>
      </c>
      <c r="G38" s="52">
        <f t="shared" si="0"/>
        <v>1.1187731978902129</v>
      </c>
      <c r="H38" s="51">
        <f t="shared" si="17"/>
        <v>3064.5</v>
      </c>
      <c r="I38" s="51">
        <f t="shared" si="18"/>
        <v>4265.55</v>
      </c>
      <c r="J38" s="33">
        <f t="shared" si="36"/>
        <v>0.35703025364885943</v>
      </c>
      <c r="K38" s="33">
        <f t="shared" si="1"/>
        <v>-0.28156978584238845</v>
      </c>
      <c r="L38" s="51">
        <v>2404.77</v>
      </c>
      <c r="M38" s="51">
        <v>1960.59</v>
      </c>
      <c r="N38" s="33">
        <f t="shared" si="20"/>
        <v>0.50438220592927163</v>
      </c>
      <c r="O38" s="33">
        <f t="shared" si="2"/>
        <v>0.2265542515263263</v>
      </c>
      <c r="P38" s="51">
        <v>0</v>
      </c>
      <c r="Q38" s="51">
        <v>1179</v>
      </c>
      <c r="R38" s="33" t="e">
        <f t="shared" si="37"/>
        <v>#DIV/0!</v>
      </c>
      <c r="S38" s="33">
        <f t="shared" si="3"/>
        <v>-1</v>
      </c>
      <c r="T38" s="426">
        <v>659.73</v>
      </c>
      <c r="U38" s="51">
        <v>1125.96</v>
      </c>
      <c r="V38" s="33">
        <f t="shared" si="38"/>
        <v>0</v>
      </c>
      <c r="W38" s="33">
        <f t="shared" si="4"/>
        <v>-0.41407332409677078</v>
      </c>
      <c r="X38" s="53">
        <f t="shared" si="39"/>
        <v>13.53060791676543</v>
      </c>
      <c r="Y38" s="53">
        <f t="shared" si="40"/>
        <v>4.8914030175914691</v>
      </c>
      <c r="Z38" s="52">
        <f t="shared" si="43"/>
        <v>-0.13722876616423849</v>
      </c>
      <c r="AA38" s="52">
        <f t="shared" si="7"/>
        <v>1.7662018173730269</v>
      </c>
      <c r="AB38" s="53">
        <f t="shared" si="24"/>
        <v>10.617719040626529</v>
      </c>
      <c r="AC38" s="53">
        <f t="shared" si="25"/>
        <v>3.600239125083518</v>
      </c>
      <c r="AD38" s="52">
        <f t="shared" si="26"/>
        <v>-4.3545500566259172E-2</v>
      </c>
      <c r="AE38" s="52">
        <f t="shared" si="8"/>
        <v>1.9491705055508557</v>
      </c>
      <c r="AF38" s="54">
        <v>1829</v>
      </c>
      <c r="AG38" s="54">
        <v>3133</v>
      </c>
      <c r="AH38" s="52">
        <f t="shared" si="27"/>
        <v>1.950947603121516E-2</v>
      </c>
      <c r="AI38" s="52">
        <f t="shared" si="9"/>
        <v>-0.4162144909032876</v>
      </c>
      <c r="AJ38" s="54">
        <v>243</v>
      </c>
      <c r="AK38" s="54">
        <v>143</v>
      </c>
      <c r="AL38" s="52">
        <f t="shared" si="28"/>
        <v>0.19704433497536947</v>
      </c>
      <c r="AM38" s="52">
        <f t="shared" si="10"/>
        <v>0.69930069930069927</v>
      </c>
      <c r="AN38" s="99">
        <f t="shared" si="29"/>
        <v>0.13285948605795517</v>
      </c>
      <c r="AO38" s="89">
        <f t="shared" si="35"/>
        <v>4.5643153526970952E-2</v>
      </c>
      <c r="AP38" s="52">
        <f t="shared" si="30"/>
        <v>0.17413752703434274</v>
      </c>
      <c r="AQ38" s="52">
        <f t="shared" si="12"/>
        <v>1.9108305581788358</v>
      </c>
      <c r="AR38" s="51">
        <f t="shared" si="41"/>
        <v>133.90123456790124</v>
      </c>
      <c r="AS38" s="51">
        <f t="shared" si="42"/>
        <v>107.39160839160839</v>
      </c>
      <c r="AT38" s="52">
        <f t="shared" si="31"/>
        <v>8.4285396995650116E-2</v>
      </c>
      <c r="AU38" s="52">
        <f t="shared" si="15"/>
        <v>0.24685007118642172</v>
      </c>
      <c r="AV38" s="68"/>
    </row>
    <row r="39" spans="1:48" ht="15.75" customHeight="1" x14ac:dyDescent="0.3">
      <c r="A39" s="49" t="s">
        <v>73</v>
      </c>
      <c r="B39" s="49" t="s">
        <v>75</v>
      </c>
      <c r="C39" s="50">
        <f t="shared" si="32"/>
        <v>42993</v>
      </c>
      <c r="D39" s="192">
        <v>25384</v>
      </c>
      <c r="E39" s="51">
        <v>126350</v>
      </c>
      <c r="F39" s="52">
        <f t="shared" si="16"/>
        <v>-0.21986600282746327</v>
      </c>
      <c r="G39" s="52">
        <f t="shared" si="0"/>
        <v>-0.79909774436090231</v>
      </c>
      <c r="H39" s="51">
        <f t="shared" si="17"/>
        <v>2472.65</v>
      </c>
      <c r="I39" s="51">
        <f t="shared" si="18"/>
        <v>19912.36</v>
      </c>
      <c r="J39" s="40">
        <f t="shared" si="36"/>
        <v>-0.19313101647903408</v>
      </c>
      <c r="K39" s="40">
        <f t="shared" si="1"/>
        <v>-0.87582335795455679</v>
      </c>
      <c r="L39" s="51">
        <v>1812.92</v>
      </c>
      <c r="M39" s="51">
        <v>17607.400000000001</v>
      </c>
      <c r="N39" s="40">
        <f t="shared" si="20"/>
        <v>-0.24611501307817377</v>
      </c>
      <c r="O39" s="40">
        <f t="shared" si="2"/>
        <v>-0.89703647330099845</v>
      </c>
      <c r="P39" s="51">
        <v>0</v>
      </c>
      <c r="Q39" s="51">
        <v>1179</v>
      </c>
      <c r="R39" s="40" t="e">
        <f t="shared" si="37"/>
        <v>#DIV/0!</v>
      </c>
      <c r="S39" s="40">
        <f t="shared" si="3"/>
        <v>-1</v>
      </c>
      <c r="T39" s="426">
        <v>659.73</v>
      </c>
      <c r="U39" s="51">
        <v>1125.96</v>
      </c>
      <c r="V39" s="40">
        <f t="shared" si="38"/>
        <v>0</v>
      </c>
      <c r="W39" s="40">
        <f t="shared" si="4"/>
        <v>-0.41407332409677078</v>
      </c>
      <c r="X39" s="53">
        <f t="shared" si="39"/>
        <v>14.001720980517618</v>
      </c>
      <c r="Y39" s="53">
        <f t="shared" si="40"/>
        <v>6.7256100157560788</v>
      </c>
      <c r="Z39" s="52">
        <f t="shared" si="43"/>
        <v>3.4818322033294914E-2</v>
      </c>
      <c r="AA39" s="52">
        <f t="shared" si="7"/>
        <v>1.0818514525397402</v>
      </c>
      <c r="AB39" s="53">
        <f t="shared" si="24"/>
        <v>10.265909044951773</v>
      </c>
      <c r="AC39" s="53">
        <f t="shared" si="25"/>
        <v>6.3453051270668066</v>
      </c>
      <c r="AD39" s="52">
        <f t="shared" si="26"/>
        <v>-3.3134234794556842E-2</v>
      </c>
      <c r="AE39" s="52">
        <f t="shared" si="8"/>
        <v>0.61787476557448262</v>
      </c>
      <c r="AF39" s="54">
        <v>1957</v>
      </c>
      <c r="AG39" s="54">
        <v>6815</v>
      </c>
      <c r="AH39" s="52">
        <f t="shared" si="27"/>
        <v>6.9983597594313829E-2</v>
      </c>
      <c r="AI39" s="52">
        <f t="shared" si="9"/>
        <v>-0.71283932501834191</v>
      </c>
      <c r="AJ39" s="54">
        <v>214</v>
      </c>
      <c r="AK39" s="54">
        <v>715</v>
      </c>
      <c r="AL39" s="52">
        <f t="shared" si="28"/>
        <v>-0.11934156378600823</v>
      </c>
      <c r="AM39" s="52">
        <f t="shared" si="10"/>
        <v>-0.70069930069930075</v>
      </c>
      <c r="AN39" s="99">
        <f t="shared" si="29"/>
        <v>0.10935104752171691</v>
      </c>
      <c r="AO39" s="99">
        <f t="shared" si="35"/>
        <v>0.10491562729273661</v>
      </c>
      <c r="AP39" s="52">
        <f t="shared" si="30"/>
        <v>-0.17694211556699493</v>
      </c>
      <c r="AQ39" s="52">
        <f t="shared" si="12"/>
        <v>4.22760683363647E-2</v>
      </c>
      <c r="AR39" s="51">
        <f t="shared" si="41"/>
        <v>118.61682242990655</v>
      </c>
      <c r="AS39" s="51">
        <f t="shared" si="42"/>
        <v>176.71328671328672</v>
      </c>
      <c r="AT39" s="52">
        <f t="shared" si="31"/>
        <v>-0.11414690975268026</v>
      </c>
      <c r="AU39" s="52">
        <f t="shared" si="15"/>
        <v>-0.32876115522450988</v>
      </c>
      <c r="AV39" s="86"/>
    </row>
    <row r="40" spans="1:48" ht="15.75" customHeight="1" x14ac:dyDescent="0.3">
      <c r="A40" s="49" t="s">
        <v>73</v>
      </c>
      <c r="B40" s="49" t="s">
        <v>76</v>
      </c>
      <c r="C40" s="50">
        <f t="shared" si="32"/>
        <v>43000</v>
      </c>
      <c r="D40" s="192">
        <v>84309</v>
      </c>
      <c r="E40" s="51">
        <v>22701</v>
      </c>
      <c r="F40" s="52">
        <f t="shared" si="16"/>
        <v>2.3213441537976678</v>
      </c>
      <c r="G40" s="52">
        <f t="shared" si="0"/>
        <v>2.7138892559799128</v>
      </c>
      <c r="H40" s="51">
        <f t="shared" si="17"/>
        <v>2422.7399999999998</v>
      </c>
      <c r="I40" s="51">
        <f t="shared" si="18"/>
        <v>2780.11</v>
      </c>
      <c r="J40" s="40">
        <f t="shared" si="36"/>
        <v>-2.0184821952156717E-2</v>
      </c>
      <c r="K40" s="40">
        <f t="shared" si="1"/>
        <v>-0.12854527338846317</v>
      </c>
      <c r="L40" s="51">
        <v>1763.01</v>
      </c>
      <c r="M40" s="51">
        <v>475.15</v>
      </c>
      <c r="N40" s="40">
        <f t="shared" si="20"/>
        <v>-2.7530172318690333E-2</v>
      </c>
      <c r="O40" s="40">
        <f t="shared" si="2"/>
        <v>2.710428285804483</v>
      </c>
      <c r="P40" s="51"/>
      <c r="Q40" s="51">
        <v>1179</v>
      </c>
      <c r="R40" s="40" t="e">
        <f t="shared" si="37"/>
        <v>#DIV/0!</v>
      </c>
      <c r="S40" s="40">
        <f t="shared" si="3"/>
        <v>-1</v>
      </c>
      <c r="T40" s="426">
        <v>659.73</v>
      </c>
      <c r="U40" s="51">
        <v>1125.96</v>
      </c>
      <c r="V40" s="40">
        <f t="shared" si="38"/>
        <v>0</v>
      </c>
      <c r="W40" s="40">
        <f t="shared" si="4"/>
        <v>-0.41407332409677078</v>
      </c>
      <c r="X40" s="53">
        <f t="shared" si="39"/>
        <v>47.821056034849491</v>
      </c>
      <c r="Y40" s="53">
        <f t="shared" si="40"/>
        <v>13.72366472206269</v>
      </c>
      <c r="Z40" s="52">
        <f t="shared" si="43"/>
        <v>2.4153698749881554</v>
      </c>
      <c r="AA40" s="52">
        <f t="shared" si="7"/>
        <v>2.4845689546736391</v>
      </c>
      <c r="AB40" s="53">
        <f t="shared" si="24"/>
        <v>34.799029198345679</v>
      </c>
      <c r="AC40" s="53">
        <f t="shared" si="25"/>
        <v>8.1655042426378817</v>
      </c>
      <c r="AD40" s="52">
        <f t="shared" si="26"/>
        <v>2.3897659764926504</v>
      </c>
      <c r="AE40" s="52">
        <f t="shared" si="8"/>
        <v>3.2617122181671645</v>
      </c>
      <c r="AF40" s="54">
        <v>4155</v>
      </c>
      <c r="AG40" s="54">
        <v>1657</v>
      </c>
      <c r="AH40" s="52">
        <f t="shared" si="27"/>
        <v>1.1231476750127747</v>
      </c>
      <c r="AI40" s="52">
        <f t="shared" si="9"/>
        <v>1.507543753771877</v>
      </c>
      <c r="AJ40" s="54">
        <v>565</v>
      </c>
      <c r="AK40" s="54">
        <v>74</v>
      </c>
      <c r="AL40" s="52">
        <f t="shared" si="28"/>
        <v>1.6401869158878504</v>
      </c>
      <c r="AM40" s="52">
        <f t="shared" si="10"/>
        <v>6.6351351351351351</v>
      </c>
      <c r="AN40" s="99">
        <f t="shared" si="29"/>
        <v>0.13598074608904934</v>
      </c>
      <c r="AO40" s="89">
        <f t="shared" si="35"/>
        <v>4.4659022329511168E-2</v>
      </c>
      <c r="AP40" s="52">
        <f t="shared" si="30"/>
        <v>0.24352486026294184</v>
      </c>
      <c r="AQ40" s="52">
        <f t="shared" si="12"/>
        <v>2.0448661658047937</v>
      </c>
      <c r="AR40" s="51">
        <f t="shared" si="41"/>
        <v>149.21946902654867</v>
      </c>
      <c r="AS40" s="51">
        <f t="shared" si="42"/>
        <v>306.77027027027026</v>
      </c>
      <c r="AT40" s="52">
        <f t="shared" si="31"/>
        <v>0.25799583878354132</v>
      </c>
      <c r="AU40" s="52">
        <f t="shared" si="15"/>
        <v>-0.51357910629643622</v>
      </c>
      <c r="AV40" s="86"/>
    </row>
    <row r="41" spans="1:48" ht="15.75" customHeight="1" x14ac:dyDescent="0.3">
      <c r="A41" s="69" t="s">
        <v>73</v>
      </c>
      <c r="B41" s="69" t="s">
        <v>77</v>
      </c>
      <c r="C41" s="70">
        <f t="shared" si="32"/>
        <v>43007</v>
      </c>
      <c r="D41" s="195">
        <v>10865</v>
      </c>
      <c r="E41" s="72">
        <v>25306</v>
      </c>
      <c r="F41" s="73">
        <f t="shared" si="16"/>
        <v>-0.87112882373174871</v>
      </c>
      <c r="G41" s="73">
        <f t="shared" si="0"/>
        <v>-0.57065518058958353</v>
      </c>
      <c r="H41" s="72">
        <f t="shared" si="17"/>
        <v>3002.75</v>
      </c>
      <c r="I41" s="72">
        <f t="shared" si="18"/>
        <v>5053.13</v>
      </c>
      <c r="J41" s="33">
        <f t="shared" si="36"/>
        <v>0.23940249469608801</v>
      </c>
      <c r="K41" s="33">
        <f t="shared" si="1"/>
        <v>-0.40576434803775085</v>
      </c>
      <c r="L41" s="72">
        <v>502.75</v>
      </c>
      <c r="M41" s="72">
        <v>1913.13</v>
      </c>
      <c r="N41" s="33">
        <f t="shared" si="20"/>
        <v>-0.71483428908514413</v>
      </c>
      <c r="O41" s="33">
        <f t="shared" si="2"/>
        <v>-0.73721074887749394</v>
      </c>
      <c r="P41" s="72">
        <v>2000</v>
      </c>
      <c r="Q41" s="72">
        <v>2640</v>
      </c>
      <c r="R41" s="33" t="e">
        <f t="shared" si="37"/>
        <v>#DIV/0!</v>
      </c>
      <c r="S41" s="33">
        <f t="shared" si="3"/>
        <v>-0.24242424242424243</v>
      </c>
      <c r="T41" s="401">
        <v>500</v>
      </c>
      <c r="U41" s="72">
        <v>500</v>
      </c>
      <c r="V41" s="33">
        <f t="shared" si="38"/>
        <v>-0.24211419823261032</v>
      </c>
      <c r="W41" s="33">
        <f t="shared" si="4"/>
        <v>0</v>
      </c>
      <c r="X41" s="74">
        <f t="shared" si="39"/>
        <v>4.3412246528818299</v>
      </c>
      <c r="Y41" s="74">
        <f t="shared" si="40"/>
        <v>5.5579348711765313</v>
      </c>
      <c r="Z41" s="73">
        <f t="shared" si="43"/>
        <v>-0.90921938968227367</v>
      </c>
      <c r="AA41" s="73">
        <f t="shared" si="7"/>
        <v>-0.21891408346732608</v>
      </c>
      <c r="AB41" s="74">
        <f t="shared" si="24"/>
        <v>3.6183498459745231</v>
      </c>
      <c r="AC41" s="74">
        <f t="shared" si="25"/>
        <v>5.0079851497982437</v>
      </c>
      <c r="AD41" s="73">
        <f t="shared" si="26"/>
        <v>-0.89602152906764021</v>
      </c>
      <c r="AE41" s="73">
        <f t="shared" si="8"/>
        <v>-0.27748391064612177</v>
      </c>
      <c r="AF41" s="76">
        <v>4127</v>
      </c>
      <c r="AG41" s="76">
        <v>2852</v>
      </c>
      <c r="AH41" s="73">
        <f t="shared" si="27"/>
        <v>-6.7388688327316487E-3</v>
      </c>
      <c r="AI41" s="73">
        <f t="shared" si="9"/>
        <v>0.44705469845722301</v>
      </c>
      <c r="AJ41" s="76">
        <v>100</v>
      </c>
      <c r="AK41" s="76">
        <v>165</v>
      </c>
      <c r="AL41" s="73">
        <f t="shared" si="28"/>
        <v>-0.82300884955752207</v>
      </c>
      <c r="AM41" s="73">
        <f t="shared" si="10"/>
        <v>-0.39393939393939392</v>
      </c>
      <c r="AN41" s="100">
        <f t="shared" si="29"/>
        <v>2.42306760358614E-2</v>
      </c>
      <c r="AO41" s="89">
        <f t="shared" si="35"/>
        <v>5.7854137447405328E-2</v>
      </c>
      <c r="AP41" s="73">
        <f t="shared" si="30"/>
        <v>-0.82180803729379803</v>
      </c>
      <c r="AQ41" s="73">
        <f t="shared" si="12"/>
        <v>-0.58117643603468661</v>
      </c>
      <c r="AR41" s="72">
        <f t="shared" si="41"/>
        <v>108.65</v>
      </c>
      <c r="AS41" s="72">
        <f t="shared" si="42"/>
        <v>153.36969696969697</v>
      </c>
      <c r="AT41" s="73">
        <f t="shared" si="31"/>
        <v>-0.27187785408438003</v>
      </c>
      <c r="AU41" s="73">
        <f t="shared" si="15"/>
        <v>-0.29158104797281276</v>
      </c>
      <c r="AV41" s="77" t="s">
        <v>301</v>
      </c>
    </row>
    <row r="42" spans="1:48" ht="15.75" customHeight="1" x14ac:dyDescent="0.3">
      <c r="A42" s="49" t="s">
        <v>78</v>
      </c>
      <c r="B42" s="49" t="s">
        <v>79</v>
      </c>
      <c r="C42" s="50">
        <f t="shared" si="32"/>
        <v>43014</v>
      </c>
      <c r="D42" s="192">
        <v>49056</v>
      </c>
      <c r="E42" s="51">
        <v>36424</v>
      </c>
      <c r="F42" s="52">
        <f t="shared" si="16"/>
        <v>3.5150483202945235</v>
      </c>
      <c r="G42" s="52">
        <f t="shared" si="0"/>
        <v>0.34680430485394248</v>
      </c>
      <c r="H42" s="51">
        <f t="shared" si="17"/>
        <v>6138</v>
      </c>
      <c r="I42" s="51">
        <f t="shared" si="18"/>
        <v>7474.48</v>
      </c>
      <c r="J42" s="40">
        <f t="shared" si="36"/>
        <v>1.0441262176338357</v>
      </c>
      <c r="K42" s="40">
        <f t="shared" si="1"/>
        <v>-0.17880574969763779</v>
      </c>
      <c r="L42" s="51">
        <v>3638</v>
      </c>
      <c r="M42" s="51">
        <v>4334.4799999999996</v>
      </c>
      <c r="N42" s="40">
        <f t="shared" si="20"/>
        <v>6.2362008950770758</v>
      </c>
      <c r="O42" s="40">
        <f t="shared" si="2"/>
        <v>-0.16068363448441328</v>
      </c>
      <c r="P42" s="51">
        <v>2000</v>
      </c>
      <c r="Q42" s="51">
        <v>2640</v>
      </c>
      <c r="R42" s="40">
        <f t="shared" si="37"/>
        <v>0</v>
      </c>
      <c r="S42" s="40">
        <f t="shared" si="3"/>
        <v>-0.24242424242424243</v>
      </c>
      <c r="T42" s="402">
        <v>500</v>
      </c>
      <c r="U42" s="51">
        <v>500</v>
      </c>
      <c r="V42" s="40">
        <f t="shared" si="38"/>
        <v>0</v>
      </c>
      <c r="W42" s="40">
        <f t="shared" si="4"/>
        <v>0</v>
      </c>
      <c r="X42" s="53">
        <f t="shared" si="39"/>
        <v>8.700957786449095</v>
      </c>
      <c r="Y42" s="53">
        <f t="shared" si="40"/>
        <v>5.22246819834597</v>
      </c>
      <c r="Z42" s="52">
        <f t="shared" si="43"/>
        <v>1.0042634238412769</v>
      </c>
      <c r="AA42" s="52">
        <f t="shared" si="7"/>
        <v>0.66606237816916003</v>
      </c>
      <c r="AB42" s="53">
        <f t="shared" si="24"/>
        <v>7.9921798631476051</v>
      </c>
      <c r="AC42" s="53">
        <f t="shared" si="25"/>
        <v>4.8731149190311571</v>
      </c>
      <c r="AD42" s="52">
        <f t="shared" si="26"/>
        <v>1.2087913561036792</v>
      </c>
      <c r="AE42" s="52">
        <f t="shared" si="8"/>
        <v>0.64005569249669192</v>
      </c>
      <c r="AF42" s="54">
        <v>2779</v>
      </c>
      <c r="AG42" s="54">
        <v>4064</v>
      </c>
      <c r="AH42" s="52">
        <f t="shared" si="27"/>
        <v>-0.32662951296341169</v>
      </c>
      <c r="AI42" s="52">
        <f t="shared" si="9"/>
        <v>-0.31619094488188976</v>
      </c>
      <c r="AJ42" s="54">
        <v>373</v>
      </c>
      <c r="AK42" s="54">
        <v>265</v>
      </c>
      <c r="AL42" s="52">
        <f t="shared" si="28"/>
        <v>2.73</v>
      </c>
      <c r="AM42" s="52">
        <f t="shared" si="10"/>
        <v>0.40754716981132078</v>
      </c>
      <c r="AN42" s="99">
        <f t="shared" si="29"/>
        <v>0.13422094278517452</v>
      </c>
      <c r="AO42" s="89">
        <f t="shared" si="35"/>
        <v>6.5206692913385822E-2</v>
      </c>
      <c r="AP42" s="52">
        <f t="shared" si="30"/>
        <v>4.5392983087441525</v>
      </c>
      <c r="AQ42" s="52">
        <f t="shared" si="12"/>
        <v>1.0583921187884879</v>
      </c>
      <c r="AR42" s="51">
        <f t="shared" si="41"/>
        <v>131.51742627345845</v>
      </c>
      <c r="AS42" s="51">
        <f t="shared" si="42"/>
        <v>137.44905660377358</v>
      </c>
      <c r="AT42" s="52">
        <f t="shared" si="31"/>
        <v>0.21046871857762031</v>
      </c>
      <c r="AU42" s="52">
        <f t="shared" si="15"/>
        <v>-4.3155118535402742E-2</v>
      </c>
      <c r="AV42" s="86" t="s">
        <v>301</v>
      </c>
    </row>
    <row r="43" spans="1:48" ht="15.75" customHeight="1" x14ac:dyDescent="0.3">
      <c r="A43" s="49" t="s">
        <v>78</v>
      </c>
      <c r="B43" s="49" t="s">
        <v>80</v>
      </c>
      <c r="C43" s="50">
        <f t="shared" si="32"/>
        <v>43021</v>
      </c>
      <c r="D43" s="192">
        <v>25791</v>
      </c>
      <c r="E43" s="51">
        <v>23817</v>
      </c>
      <c r="F43" s="52">
        <f t="shared" si="16"/>
        <v>-0.47425391389432486</v>
      </c>
      <c r="G43" s="52">
        <f t="shared" si="0"/>
        <v>8.288197505983122E-2</v>
      </c>
      <c r="H43" s="51">
        <f t="shared" si="17"/>
        <v>4323.58</v>
      </c>
      <c r="I43" s="51">
        <f t="shared" si="18"/>
        <v>5324.71</v>
      </c>
      <c r="J43" s="40">
        <f t="shared" si="36"/>
        <v>-0.29560443141088305</v>
      </c>
      <c r="K43" s="40">
        <f t="shared" si="1"/>
        <v>-0.18801587316492355</v>
      </c>
      <c r="L43" s="51">
        <v>1823.58</v>
      </c>
      <c r="M43" s="51">
        <v>2184.71</v>
      </c>
      <c r="N43" s="40">
        <f t="shared" si="20"/>
        <v>-0.498741066520066</v>
      </c>
      <c r="O43" s="40">
        <f t="shared" si="2"/>
        <v>-0.16529882684658381</v>
      </c>
      <c r="P43" s="51">
        <v>2000</v>
      </c>
      <c r="Q43" s="51">
        <v>2640</v>
      </c>
      <c r="R43" s="40">
        <f t="shared" si="37"/>
        <v>0</v>
      </c>
      <c r="S43" s="40">
        <f t="shared" si="3"/>
        <v>-0.24242424242424243</v>
      </c>
      <c r="T43" s="402">
        <v>500</v>
      </c>
      <c r="U43" s="51">
        <v>500</v>
      </c>
      <c r="V43" s="40">
        <f t="shared" si="38"/>
        <v>0</v>
      </c>
      <c r="W43" s="40">
        <f t="shared" si="4"/>
        <v>0</v>
      </c>
      <c r="X43" s="53">
        <f t="shared" si="39"/>
        <v>6.7452492167026712</v>
      </c>
      <c r="Y43" s="53">
        <f t="shared" si="40"/>
        <v>4.936462502409471</v>
      </c>
      <c r="Z43" s="52">
        <f t="shared" si="43"/>
        <v>-0.22476934353046188</v>
      </c>
      <c r="AA43" s="52">
        <f t="shared" si="7"/>
        <v>0.36641354277690497</v>
      </c>
      <c r="AB43" s="53">
        <f t="shared" si="24"/>
        <v>5.9651955092770343</v>
      </c>
      <c r="AC43" s="53">
        <f t="shared" si="25"/>
        <v>4.4729196519622665</v>
      </c>
      <c r="AD43" s="52">
        <f t="shared" si="26"/>
        <v>-0.25362096306379572</v>
      </c>
      <c r="AE43" s="52">
        <f t="shared" si="8"/>
        <v>0.3336245614562085</v>
      </c>
      <c r="AF43" s="54">
        <v>2690</v>
      </c>
      <c r="AG43" s="54">
        <v>2683</v>
      </c>
      <c r="AH43" s="52">
        <f t="shared" si="27"/>
        <v>-3.2025908600215904E-2</v>
      </c>
      <c r="AI43" s="52">
        <f t="shared" si="9"/>
        <v>2.6090197540067088E-3</v>
      </c>
      <c r="AJ43" s="54">
        <v>244</v>
      </c>
      <c r="AK43" s="54">
        <v>200</v>
      </c>
      <c r="AL43" s="52">
        <f t="shared" si="28"/>
        <v>-0.34584450402144773</v>
      </c>
      <c r="AM43" s="52">
        <f t="shared" si="10"/>
        <v>0.22</v>
      </c>
      <c r="AN43" s="99">
        <f t="shared" si="29"/>
        <v>9.0706319702602234E-2</v>
      </c>
      <c r="AO43" s="89">
        <f t="shared" si="35"/>
        <v>7.4543421543048827E-2</v>
      </c>
      <c r="AP43" s="52">
        <f t="shared" si="30"/>
        <v>-0.32420144114334687</v>
      </c>
      <c r="AQ43" s="52">
        <f t="shared" si="12"/>
        <v>0.21682527881040894</v>
      </c>
      <c r="AR43" s="51">
        <f t="shared" si="41"/>
        <v>105.70081967213115</v>
      </c>
      <c r="AS43" s="51">
        <f t="shared" si="42"/>
        <v>119.08499999999999</v>
      </c>
      <c r="AT43" s="52">
        <f t="shared" si="31"/>
        <v>-0.19629799132206224</v>
      </c>
      <c r="AU43" s="52">
        <f t="shared" si="15"/>
        <v>-0.11239182372144979</v>
      </c>
      <c r="AV43" s="86" t="s">
        <v>301</v>
      </c>
    </row>
    <row r="44" spans="1:48" ht="15.75" customHeight="1" x14ac:dyDescent="0.3">
      <c r="A44" s="49" t="s">
        <v>78</v>
      </c>
      <c r="B44" s="49" t="s">
        <v>81</v>
      </c>
      <c r="C44" s="50">
        <f t="shared" si="32"/>
        <v>43028</v>
      </c>
      <c r="D44" s="192">
        <v>63276</v>
      </c>
      <c r="E44" s="51">
        <v>36137</v>
      </c>
      <c r="F44" s="52">
        <f t="shared" si="16"/>
        <v>1.4534139816214959</v>
      </c>
      <c r="G44" s="52">
        <f t="shared" si="0"/>
        <v>0.75100312698895866</v>
      </c>
      <c r="H44" s="51">
        <f t="shared" si="17"/>
        <v>7287</v>
      </c>
      <c r="I44" s="51">
        <f t="shared" si="18"/>
        <v>6668.6900000000005</v>
      </c>
      <c r="J44" s="33">
        <f t="shared" si="36"/>
        <v>0.68540885099847815</v>
      </c>
      <c r="K44" s="33">
        <f t="shared" si="1"/>
        <v>9.2718359977746675E-2</v>
      </c>
      <c r="L44" s="51">
        <v>4787</v>
      </c>
      <c r="M44" s="51">
        <v>3528.69</v>
      </c>
      <c r="N44" s="33">
        <f t="shared" si="20"/>
        <v>1.6250562081180975</v>
      </c>
      <c r="O44" s="33">
        <f t="shared" si="2"/>
        <v>0.356594090158104</v>
      </c>
      <c r="P44" s="51">
        <v>2000</v>
      </c>
      <c r="Q44" s="51">
        <v>2640</v>
      </c>
      <c r="R44" s="33">
        <f t="shared" si="37"/>
        <v>0</v>
      </c>
      <c r="S44" s="33">
        <f t="shared" si="3"/>
        <v>-0.24242424242424243</v>
      </c>
      <c r="T44" s="402">
        <v>500</v>
      </c>
      <c r="U44" s="51">
        <v>500</v>
      </c>
      <c r="V44" s="33">
        <f t="shared" si="38"/>
        <v>0</v>
      </c>
      <c r="W44" s="33">
        <f t="shared" si="4"/>
        <v>0</v>
      </c>
      <c r="X44" s="53">
        <f t="shared" si="39"/>
        <v>9.3231177250626196</v>
      </c>
      <c r="Y44" s="53">
        <f t="shared" si="40"/>
        <v>5.858131953461756</v>
      </c>
      <c r="Z44" s="52">
        <f t="shared" si="43"/>
        <v>0.38217542829649614</v>
      </c>
      <c r="AA44" s="52">
        <f t="shared" si="7"/>
        <v>0.59148305281059665</v>
      </c>
      <c r="AB44" s="53">
        <f t="shared" si="24"/>
        <v>8.6834088102099631</v>
      </c>
      <c r="AC44" s="53">
        <f t="shared" si="25"/>
        <v>5.4189053622225654</v>
      </c>
      <c r="AD44" s="52">
        <f t="shared" si="26"/>
        <v>0.45567882841485757</v>
      </c>
      <c r="AE44" s="52">
        <f t="shared" si="8"/>
        <v>0.60242857731851229</v>
      </c>
      <c r="AF44" s="54">
        <v>7934</v>
      </c>
      <c r="AG44" s="54">
        <v>3786</v>
      </c>
      <c r="AH44" s="52">
        <f t="shared" si="27"/>
        <v>1.9494423791821562</v>
      </c>
      <c r="AI44" s="52">
        <f t="shared" si="9"/>
        <v>1.0956154252509245</v>
      </c>
      <c r="AJ44" s="54">
        <v>449</v>
      </c>
      <c r="AK44" s="54">
        <v>227</v>
      </c>
      <c r="AL44" s="52">
        <f t="shared" si="28"/>
        <v>0.8401639344262295</v>
      </c>
      <c r="AM44" s="52">
        <f t="shared" si="10"/>
        <v>0.97797356828193838</v>
      </c>
      <c r="AN44" s="99">
        <f t="shared" si="29"/>
        <v>5.6591883035039071E-2</v>
      </c>
      <c r="AO44" s="89">
        <f t="shared" si="35"/>
        <v>5.9957739038563128E-2</v>
      </c>
      <c r="AP44" s="52">
        <f t="shared" si="30"/>
        <v>-0.37609768293338075</v>
      </c>
      <c r="AQ44" s="52">
        <f t="shared" si="12"/>
        <v>-5.6137140217365981E-2</v>
      </c>
      <c r="AR44" s="51">
        <f t="shared" si="41"/>
        <v>140.92650334075725</v>
      </c>
      <c r="AS44" s="51">
        <f t="shared" si="42"/>
        <v>159.19383259911893</v>
      </c>
      <c r="AT44" s="52">
        <f t="shared" si="31"/>
        <v>0.33325837754041215</v>
      </c>
      <c r="AU44" s="52">
        <f t="shared" si="15"/>
        <v>-0.11474897588754192</v>
      </c>
      <c r="AV44" s="86" t="s">
        <v>301</v>
      </c>
    </row>
    <row r="45" spans="1:48" s="80" customFormat="1" ht="15.75" customHeight="1" x14ac:dyDescent="0.3">
      <c r="A45" s="69" t="s">
        <v>78</v>
      </c>
      <c r="B45" s="69" t="s">
        <v>82</v>
      </c>
      <c r="C45" s="70">
        <f t="shared" si="32"/>
        <v>43035</v>
      </c>
      <c r="D45" s="196">
        <v>57135</v>
      </c>
      <c r="E45" s="78">
        <v>10195</v>
      </c>
      <c r="F45" s="73">
        <f t="shared" si="16"/>
        <v>-9.705101460269297E-2</v>
      </c>
      <c r="G45" s="73">
        <f t="shared" si="0"/>
        <v>4.6042177538008824</v>
      </c>
      <c r="H45" s="72">
        <f t="shared" si="17"/>
        <v>8632.34</v>
      </c>
      <c r="I45" s="72">
        <f t="shared" si="18"/>
        <v>4360.42</v>
      </c>
      <c r="J45" s="40">
        <f t="shared" si="36"/>
        <v>0.18462192946342804</v>
      </c>
      <c r="K45" s="40">
        <f t="shared" si="1"/>
        <v>0.97970379000188057</v>
      </c>
      <c r="L45" s="72">
        <v>6132.34</v>
      </c>
      <c r="M45" s="72">
        <v>1220.42</v>
      </c>
      <c r="N45" s="40">
        <f t="shared" si="20"/>
        <v>0.28104031752663466</v>
      </c>
      <c r="O45" s="40">
        <f t="shared" si="2"/>
        <v>4.0247783549925433</v>
      </c>
      <c r="P45" s="72">
        <v>2000</v>
      </c>
      <c r="Q45" s="72">
        <v>2640</v>
      </c>
      <c r="R45" s="40">
        <f t="shared" si="37"/>
        <v>0</v>
      </c>
      <c r="S45" s="40">
        <f t="shared" si="3"/>
        <v>-0.24242424242424243</v>
      </c>
      <c r="T45" s="401">
        <v>500</v>
      </c>
      <c r="U45" s="72">
        <v>500</v>
      </c>
      <c r="V45" s="40">
        <f t="shared" si="38"/>
        <v>0</v>
      </c>
      <c r="W45" s="40">
        <f t="shared" si="4"/>
        <v>0</v>
      </c>
      <c r="X45" s="74">
        <f t="shared" si="39"/>
        <v>7.0256531330465766</v>
      </c>
      <c r="Y45" s="74">
        <f t="shared" si="40"/>
        <v>2.6409043575569497</v>
      </c>
      <c r="Z45" s="73">
        <f t="shared" si="43"/>
        <v>-0.24642664179172016</v>
      </c>
      <c r="AA45" s="73">
        <f t="shared" si="7"/>
        <v>1.6603209286783387</v>
      </c>
      <c r="AB45" s="74">
        <f t="shared" si="24"/>
        <v>6.6187152035253476</v>
      </c>
      <c r="AC45" s="74">
        <f t="shared" si="25"/>
        <v>2.3380775246421215</v>
      </c>
      <c r="AD45" s="73">
        <f t="shared" si="26"/>
        <v>-0.23777454820012001</v>
      </c>
      <c r="AE45" s="73">
        <f t="shared" si="8"/>
        <v>1.8308365029677289</v>
      </c>
      <c r="AF45" s="76">
        <v>7601</v>
      </c>
      <c r="AG45" s="76">
        <v>2297</v>
      </c>
      <c r="AH45" s="73">
        <f t="shared" si="27"/>
        <v>-4.197126291908243E-2</v>
      </c>
      <c r="AI45" s="73">
        <f t="shared" si="9"/>
        <v>2.3090988245537658</v>
      </c>
      <c r="AJ45" s="76">
        <v>458</v>
      </c>
      <c r="AK45" s="76">
        <v>127</v>
      </c>
      <c r="AL45" s="73">
        <f t="shared" si="28"/>
        <v>2.0044543429844099E-2</v>
      </c>
      <c r="AM45" s="73">
        <f t="shared" si="10"/>
        <v>2.606299212598425</v>
      </c>
      <c r="AN45" s="100">
        <f t="shared" si="29"/>
        <v>6.0255229575055913E-2</v>
      </c>
      <c r="AO45" s="147">
        <f t="shared" si="29"/>
        <v>5.5289508053983458E-2</v>
      </c>
      <c r="AP45" s="73">
        <f t="shared" si="30"/>
        <v>6.4732720375264188E-2</v>
      </c>
      <c r="AQ45" s="73">
        <f t="shared" si="12"/>
        <v>8.9813089243334088E-2</v>
      </c>
      <c r="AR45" s="72">
        <f t="shared" si="41"/>
        <v>124.74890829694323</v>
      </c>
      <c r="AS45" s="72">
        <f t="shared" si="42"/>
        <v>80.275590551181097</v>
      </c>
      <c r="AT45" s="73">
        <f t="shared" si="31"/>
        <v>-0.11479455361705063</v>
      </c>
      <c r="AU45" s="73">
        <f t="shared" si="15"/>
        <v>0.55400797976574701</v>
      </c>
      <c r="AV45" s="77" t="s">
        <v>301</v>
      </c>
    </row>
    <row r="46" spans="1:48" ht="15.75" customHeight="1" x14ac:dyDescent="0.3">
      <c r="A46" s="49" t="s">
        <v>83</v>
      </c>
      <c r="B46" s="49" t="s">
        <v>84</v>
      </c>
      <c r="C46" s="50">
        <f t="shared" si="32"/>
        <v>43042</v>
      </c>
      <c r="D46" s="197">
        <v>97018</v>
      </c>
      <c r="E46" s="57">
        <v>22751</v>
      </c>
      <c r="F46" s="52">
        <f t="shared" si="16"/>
        <v>0.69804848166622913</v>
      </c>
      <c r="G46" s="52">
        <f t="shared" si="0"/>
        <v>3.264340029009714</v>
      </c>
      <c r="H46" s="51">
        <f t="shared" si="17"/>
        <v>28266.21</v>
      </c>
      <c r="I46" s="51">
        <f t="shared" si="18"/>
        <v>13281.72</v>
      </c>
      <c r="J46" s="40">
        <f t="shared" si="36"/>
        <v>2.274455130358628</v>
      </c>
      <c r="K46" s="40">
        <f t="shared" si="1"/>
        <v>1.1282040277915812</v>
      </c>
      <c r="L46" s="51">
        <v>9153.7099999999991</v>
      </c>
      <c r="M46" s="51">
        <v>2308.7199999999998</v>
      </c>
      <c r="N46" s="40">
        <f t="shared" si="20"/>
        <v>0.49269446899552194</v>
      </c>
      <c r="O46" s="40">
        <f t="shared" si="2"/>
        <v>2.9648419903669567</v>
      </c>
      <c r="P46" s="51">
        <v>17112.5</v>
      </c>
      <c r="Q46" s="51">
        <f>7370+1600</f>
        <v>8970</v>
      </c>
      <c r="R46" s="40">
        <f t="shared" si="37"/>
        <v>7.5562500000000004</v>
      </c>
      <c r="S46" s="40">
        <f t="shared" si="3"/>
        <v>0.90774804905239692</v>
      </c>
      <c r="T46" s="51">
        <v>2000</v>
      </c>
      <c r="U46" s="51">
        <v>2003</v>
      </c>
      <c r="V46" s="40">
        <f t="shared" si="38"/>
        <v>3</v>
      </c>
      <c r="W46" s="40">
        <f t="shared" si="4"/>
        <v>-1.4977533699450823E-3</v>
      </c>
      <c r="X46" s="53">
        <f t="shared" si="39"/>
        <v>3.6936428970909776</v>
      </c>
      <c r="Y46" s="53">
        <f t="shared" si="40"/>
        <v>2.0171615218748227</v>
      </c>
      <c r="Z46" s="52">
        <f t="shared" si="43"/>
        <v>-0.47426341335908212</v>
      </c>
      <c r="AA46" s="52">
        <f t="shared" si="7"/>
        <v>0.83110913877534842</v>
      </c>
      <c r="AB46" s="53">
        <f t="shared" si="24"/>
        <v>3.432296017046502</v>
      </c>
      <c r="AC46" s="53">
        <f t="shared" si="25"/>
        <v>1.7129558521034927</v>
      </c>
      <c r="AD46" s="52">
        <f t="shared" si="26"/>
        <v>-0.48142563752881418</v>
      </c>
      <c r="AE46" s="52">
        <f t="shared" si="8"/>
        <v>1.0037270737781576</v>
      </c>
      <c r="AF46" s="54">
        <v>10432</v>
      </c>
      <c r="AG46" s="54">
        <v>2036</v>
      </c>
      <c r="AH46" s="52">
        <f t="shared" si="27"/>
        <v>0.37245099329035652</v>
      </c>
      <c r="AI46" s="52">
        <f t="shared" si="9"/>
        <v>4.1237721021610998</v>
      </c>
      <c r="AJ46" s="54">
        <v>738</v>
      </c>
      <c r="AK46" s="54">
        <v>163</v>
      </c>
      <c r="AL46" s="52">
        <f t="shared" si="28"/>
        <v>0.611353711790393</v>
      </c>
      <c r="AM46" s="52">
        <f t="shared" si="10"/>
        <v>3.5276073619631902</v>
      </c>
      <c r="AN46" s="99">
        <f t="shared" si="29"/>
        <v>7.0743865030674841E-2</v>
      </c>
      <c r="AO46" s="89">
        <f t="shared" si="29"/>
        <v>8.0058939096267184E-2</v>
      </c>
      <c r="AP46" s="52">
        <f t="shared" si="30"/>
        <v>0.17407012685187656</v>
      </c>
      <c r="AQ46" s="52">
        <f t="shared" si="12"/>
        <v>-0.11635270427942339</v>
      </c>
      <c r="AR46" s="51">
        <f t="shared" si="41"/>
        <v>131.46070460704607</v>
      </c>
      <c r="AS46" s="51">
        <f t="shared" si="42"/>
        <v>139.57668711656441</v>
      </c>
      <c r="AT46" s="52">
        <f t="shared" si="31"/>
        <v>5.3802445261697751E-2</v>
      </c>
      <c r="AU46" s="52">
        <f t="shared" si="15"/>
        <v>-5.8147120963979185E-2</v>
      </c>
      <c r="AV46" s="86" t="s">
        <v>302</v>
      </c>
    </row>
    <row r="47" spans="1:48" ht="15.75" customHeight="1" x14ac:dyDescent="0.3">
      <c r="A47" s="49" t="s">
        <v>83</v>
      </c>
      <c r="B47" s="49" t="s">
        <v>85</v>
      </c>
      <c r="C47" s="50">
        <f t="shared" si="32"/>
        <v>43049</v>
      </c>
      <c r="D47" s="197">
        <v>41481</v>
      </c>
      <c r="E47" s="57">
        <v>22668</v>
      </c>
      <c r="F47" s="52">
        <f t="shared" si="16"/>
        <v>-0.5724401657424395</v>
      </c>
      <c r="G47" s="52">
        <f t="shared" si="0"/>
        <v>0.8299364743250397</v>
      </c>
      <c r="H47" s="51">
        <f t="shared" si="17"/>
        <v>22615.97</v>
      </c>
      <c r="I47" s="51">
        <f t="shared" si="18"/>
        <v>14535.369999999999</v>
      </c>
      <c r="J47" s="33">
        <f t="shared" si="36"/>
        <v>-0.19989379545400668</v>
      </c>
      <c r="K47" s="33">
        <f t="shared" si="1"/>
        <v>0.5559266809169634</v>
      </c>
      <c r="L47" s="51">
        <v>3503.47</v>
      </c>
      <c r="M47" s="51">
        <v>3562.37</v>
      </c>
      <c r="N47" s="33">
        <f t="shared" si="20"/>
        <v>-0.61726229037188207</v>
      </c>
      <c r="O47" s="33">
        <f t="shared" si="2"/>
        <v>-1.6533936676987538E-2</v>
      </c>
      <c r="P47" s="51">
        <v>17112.5</v>
      </c>
      <c r="Q47" s="51">
        <f>7370+1600</f>
        <v>8970</v>
      </c>
      <c r="R47" s="33">
        <f t="shared" si="37"/>
        <v>0</v>
      </c>
      <c r="S47" s="33">
        <f t="shared" si="3"/>
        <v>0.90774804905239692</v>
      </c>
      <c r="T47" s="51">
        <v>2000</v>
      </c>
      <c r="U47" s="51">
        <v>2003</v>
      </c>
      <c r="V47" s="33">
        <f t="shared" si="38"/>
        <v>0</v>
      </c>
      <c r="W47" s="33">
        <f t="shared" si="4"/>
        <v>-1.4977533699450823E-3</v>
      </c>
      <c r="X47" s="53">
        <f t="shared" si="39"/>
        <v>2.0120809256125227</v>
      </c>
      <c r="Y47" s="53">
        <f t="shared" si="40"/>
        <v>1.8087560453449747</v>
      </c>
      <c r="Z47" s="52">
        <f t="shared" si="43"/>
        <v>-0.45525840432566228</v>
      </c>
      <c r="AA47" s="52">
        <f t="shared" si="7"/>
        <v>0.11241144475554132</v>
      </c>
      <c r="AB47" s="53">
        <f t="shared" si="24"/>
        <v>1.834146401856741</v>
      </c>
      <c r="AC47" s="53">
        <f t="shared" si="25"/>
        <v>1.5595062251597311</v>
      </c>
      <c r="AD47" s="52">
        <f t="shared" si="26"/>
        <v>-0.46562114900712209</v>
      </c>
      <c r="AE47" s="52">
        <f t="shared" si="8"/>
        <v>0.17610713716059717</v>
      </c>
      <c r="AF47" s="54">
        <v>6021</v>
      </c>
      <c r="AG47" s="54">
        <v>5427</v>
      </c>
      <c r="AH47" s="52">
        <f t="shared" si="27"/>
        <v>-0.4228335889570552</v>
      </c>
      <c r="AI47" s="52">
        <f t="shared" si="9"/>
        <v>0.10945273631840796</v>
      </c>
      <c r="AJ47" s="58">
        <v>383</v>
      </c>
      <c r="AK47" s="58">
        <v>207</v>
      </c>
      <c r="AL47" s="52">
        <f t="shared" si="28"/>
        <v>-0.48102981029810299</v>
      </c>
      <c r="AM47" s="52">
        <f t="shared" si="10"/>
        <v>0.85024154589371981</v>
      </c>
      <c r="AN47" s="99">
        <f>AJ47/AF47</f>
        <v>6.3610695897691416E-2</v>
      </c>
      <c r="AO47" s="89">
        <f t="shared" si="29"/>
        <v>3.8142620232172471E-2</v>
      </c>
      <c r="AP47" s="52">
        <f t="shared" si="30"/>
        <v>-0.10083092194482804</v>
      </c>
      <c r="AQ47" s="52">
        <f t="shared" si="12"/>
        <v>0.66770650549164889</v>
      </c>
      <c r="AR47" s="51">
        <f t="shared" si="41"/>
        <v>108.30548302872063</v>
      </c>
      <c r="AS47" s="51">
        <f t="shared" si="42"/>
        <v>109.50724637681159</v>
      </c>
      <c r="AT47" s="52">
        <f t="shared" si="31"/>
        <v>-0.17613796949848662</v>
      </c>
      <c r="AU47" s="52">
        <f t="shared" si="15"/>
        <v>-1.0974281500565975E-2</v>
      </c>
      <c r="AV47" s="86" t="s">
        <v>302</v>
      </c>
    </row>
    <row r="48" spans="1:48" ht="15.75" customHeight="1" x14ac:dyDescent="0.3">
      <c r="A48" s="49" t="s">
        <v>83</v>
      </c>
      <c r="B48" s="49" t="s">
        <v>86</v>
      </c>
      <c r="C48" s="50">
        <f t="shared" si="32"/>
        <v>43056</v>
      </c>
      <c r="D48" s="197">
        <v>109892</v>
      </c>
      <c r="E48" s="57">
        <v>61678</v>
      </c>
      <c r="F48" s="52">
        <f t="shared" si="16"/>
        <v>1.6492128926496468</v>
      </c>
      <c r="G48" s="52">
        <f t="shared" si="0"/>
        <v>0.78170498394889587</v>
      </c>
      <c r="H48" s="51">
        <f t="shared" si="17"/>
        <v>29003.200000000001</v>
      </c>
      <c r="I48" s="51">
        <f t="shared" si="18"/>
        <v>20428.66</v>
      </c>
      <c r="J48" s="40">
        <f t="shared" si="36"/>
        <v>0.28242122712401896</v>
      </c>
      <c r="K48" s="40">
        <f t="shared" si="1"/>
        <v>0.41973090746040126</v>
      </c>
      <c r="L48" s="51">
        <v>9890.7000000000007</v>
      </c>
      <c r="M48" s="51">
        <v>9455.66</v>
      </c>
      <c r="N48" s="40">
        <f t="shared" si="20"/>
        <v>1.8231153684775385</v>
      </c>
      <c r="O48" s="40">
        <f t="shared" si="2"/>
        <v>4.6008422468659077E-2</v>
      </c>
      <c r="P48" s="51">
        <v>17112.5</v>
      </c>
      <c r="Q48" s="51">
        <f>7370+1600</f>
        <v>8970</v>
      </c>
      <c r="R48" s="40">
        <f t="shared" si="37"/>
        <v>0</v>
      </c>
      <c r="S48" s="40">
        <f t="shared" si="3"/>
        <v>0.90774804905239692</v>
      </c>
      <c r="T48" s="51">
        <v>2000</v>
      </c>
      <c r="U48" s="51">
        <v>2003</v>
      </c>
      <c r="V48" s="40">
        <f t="shared" si="38"/>
        <v>0</v>
      </c>
      <c r="W48" s="40">
        <f t="shared" si="4"/>
        <v>-1.4977533699450823E-3</v>
      </c>
      <c r="X48" s="53">
        <f t="shared" si="39"/>
        <v>4.0695917520886411</v>
      </c>
      <c r="Y48" s="53">
        <f t="shared" si="40"/>
        <v>3.3473970538911497</v>
      </c>
      <c r="Z48" s="52">
        <f t="shared" si="43"/>
        <v>1.0225785654469965</v>
      </c>
      <c r="AA48" s="52">
        <f t="shared" si="7"/>
        <v>0.21574814298112113</v>
      </c>
      <c r="AB48" s="53">
        <f t="shared" si="24"/>
        <v>3.7889612180724885</v>
      </c>
      <c r="AC48" s="53">
        <f t="shared" si="25"/>
        <v>3.0191897070096618</v>
      </c>
      <c r="AD48" s="52">
        <f t="shared" si="26"/>
        <v>1.0657899577900933</v>
      </c>
      <c r="AE48" s="52">
        <f t="shared" si="8"/>
        <v>0.25495963677792288</v>
      </c>
      <c r="AF48" s="54">
        <v>13549</v>
      </c>
      <c r="AG48" s="54">
        <v>10169</v>
      </c>
      <c r="AH48" s="52">
        <f t="shared" si="27"/>
        <v>1.2502906493937884</v>
      </c>
      <c r="AI48" s="52">
        <f t="shared" si="9"/>
        <v>0.33238273183203854</v>
      </c>
      <c r="AJ48" s="58">
        <v>873</v>
      </c>
      <c r="AK48" s="58">
        <v>552</v>
      </c>
      <c r="AL48" s="52">
        <f t="shared" si="28"/>
        <v>1.2793733681462141</v>
      </c>
      <c r="AM48" s="52">
        <f t="shared" si="10"/>
        <v>0.58152173913043481</v>
      </c>
      <c r="AN48" s="99">
        <f t="shared" si="29"/>
        <v>6.4432799468595467E-2</v>
      </c>
      <c r="AO48" s="89">
        <f t="shared" si="29"/>
        <v>5.4282623660143574E-2</v>
      </c>
      <c r="AP48" s="52">
        <f t="shared" si="30"/>
        <v>1.2923983290896317E-2</v>
      </c>
      <c r="AQ48" s="52">
        <f t="shared" si="12"/>
        <v>0.18698756847128134</v>
      </c>
      <c r="AR48" s="51">
        <f t="shared" si="41"/>
        <v>125.87857961053837</v>
      </c>
      <c r="AS48" s="51">
        <f t="shared" si="42"/>
        <v>111.73550724637681</v>
      </c>
      <c r="AT48" s="52">
        <f t="shared" si="31"/>
        <v>0.16225491166645434</v>
      </c>
      <c r="AU48" s="52">
        <f t="shared" si="15"/>
        <v>0.12657634723916433</v>
      </c>
      <c r="AV48" s="86" t="s">
        <v>302</v>
      </c>
    </row>
    <row r="49" spans="1:48" s="80" customFormat="1" ht="15.75" customHeight="1" x14ac:dyDescent="0.3">
      <c r="A49" s="69" t="s">
        <v>83</v>
      </c>
      <c r="B49" s="69" t="s">
        <v>87</v>
      </c>
      <c r="C49" s="70">
        <f t="shared" si="32"/>
        <v>43063</v>
      </c>
      <c r="D49" s="196">
        <v>312551</v>
      </c>
      <c r="E49" s="78">
        <v>168094</v>
      </c>
      <c r="F49" s="73">
        <f t="shared" si="16"/>
        <v>1.8441651803588979</v>
      </c>
      <c r="G49" s="73">
        <f t="shared" si="0"/>
        <v>0.85938225040751004</v>
      </c>
      <c r="H49" s="72">
        <f t="shared" si="17"/>
        <v>37667.29</v>
      </c>
      <c r="I49" s="72">
        <f t="shared" si="18"/>
        <v>38085.64</v>
      </c>
      <c r="J49" s="40">
        <f t="shared" si="36"/>
        <v>0.29872876096430739</v>
      </c>
      <c r="K49" s="40">
        <f t="shared" si="1"/>
        <v>-1.0984455033445639E-2</v>
      </c>
      <c r="L49" s="72">
        <v>18554.79</v>
      </c>
      <c r="M49" s="72">
        <v>27112.639999999999</v>
      </c>
      <c r="N49" s="40">
        <f t="shared" si="20"/>
        <v>0.87598349965118738</v>
      </c>
      <c r="O49" s="40">
        <f t="shared" si="2"/>
        <v>-0.31564060157918961</v>
      </c>
      <c r="P49" s="72">
        <v>17112.5</v>
      </c>
      <c r="Q49" s="72">
        <f>7370+1600</f>
        <v>8970</v>
      </c>
      <c r="R49" s="40">
        <f t="shared" si="37"/>
        <v>0</v>
      </c>
      <c r="S49" s="40">
        <f t="shared" si="3"/>
        <v>0.90774804905239692</v>
      </c>
      <c r="T49" s="72">
        <v>2000</v>
      </c>
      <c r="U49" s="72">
        <v>2003</v>
      </c>
      <c r="V49" s="40">
        <f t="shared" si="38"/>
        <v>0</v>
      </c>
      <c r="W49" s="40">
        <f t="shared" si="4"/>
        <v>-1.4977533699450823E-3</v>
      </c>
      <c r="X49" s="74">
        <f t="shared" si="39"/>
        <v>8.7629590024921988</v>
      </c>
      <c r="Y49" s="74">
        <f t="shared" si="40"/>
        <v>4.6585837399924177</v>
      </c>
      <c r="Z49" s="73">
        <f t="shared" si="43"/>
        <v>1.1532771679111979</v>
      </c>
      <c r="AA49" s="73">
        <f t="shared" si="7"/>
        <v>0.88103498650567591</v>
      </c>
      <c r="AB49" s="74">
        <f t="shared" si="24"/>
        <v>8.2976768437548856</v>
      </c>
      <c r="AC49" s="74">
        <f t="shared" si="25"/>
        <v>4.4135795013553665</v>
      </c>
      <c r="AD49" s="73">
        <f t="shared" si="26"/>
        <v>1.189960880089467</v>
      </c>
      <c r="AE49" s="73">
        <f t="shared" si="8"/>
        <v>0.88003339267067726</v>
      </c>
      <c r="AF49" s="76">
        <v>28217</v>
      </c>
      <c r="AG49" s="76">
        <v>15087</v>
      </c>
      <c r="AH49" s="73">
        <f t="shared" si="27"/>
        <v>1.0825891209683371</v>
      </c>
      <c r="AI49" s="73">
        <f t="shared" si="9"/>
        <v>0.87028567641015442</v>
      </c>
      <c r="AJ49" s="79">
        <v>2168</v>
      </c>
      <c r="AK49" s="79">
        <v>1193</v>
      </c>
      <c r="AL49" s="73">
        <f t="shared" si="28"/>
        <v>1.4833906071019474</v>
      </c>
      <c r="AM49" s="73">
        <f t="shared" si="10"/>
        <v>0.81726739312657171</v>
      </c>
      <c r="AN49" s="100">
        <f t="shared" si="29"/>
        <v>7.6833114788957005E-2</v>
      </c>
      <c r="AO49" s="147">
        <f t="shared" si="29"/>
        <v>7.9074700072910453E-2</v>
      </c>
      <c r="AP49" s="73">
        <f t="shared" si="30"/>
        <v>0.19245346194224339</v>
      </c>
      <c r="AQ49" s="73">
        <f t="shared" si="12"/>
        <v>-2.8347692522217666E-2</v>
      </c>
      <c r="AR49" s="72">
        <f t="shared" si="41"/>
        <v>144.16559040590406</v>
      </c>
      <c r="AS49" s="72">
        <f t="shared" si="42"/>
        <v>140.90025146689018</v>
      </c>
      <c r="AT49" s="73">
        <f t="shared" si="31"/>
        <v>0.14527500113160419</v>
      </c>
      <c r="AU49" s="73">
        <f t="shared" si="15"/>
        <v>2.3174826907822708E-2</v>
      </c>
      <c r="AV49" s="355" t="s">
        <v>302</v>
      </c>
    </row>
    <row r="50" spans="1:48" ht="15.75" customHeight="1" x14ac:dyDescent="0.3">
      <c r="A50" s="49" t="s">
        <v>88</v>
      </c>
      <c r="B50" s="49" t="s">
        <v>89</v>
      </c>
      <c r="C50" s="50">
        <f t="shared" si="32"/>
        <v>43070</v>
      </c>
      <c r="D50" s="198"/>
      <c r="E50" s="141">
        <v>33890</v>
      </c>
      <c r="F50" s="52">
        <f t="shared" si="16"/>
        <v>-1</v>
      </c>
      <c r="G50" s="52">
        <f t="shared" si="0"/>
        <v>-1</v>
      </c>
      <c r="H50" s="51">
        <f t="shared" si="17"/>
        <v>5000</v>
      </c>
      <c r="I50" s="51">
        <f t="shared" si="18"/>
        <v>5232.95</v>
      </c>
      <c r="J50" s="33">
        <f t="shared" si="36"/>
        <v>-0.8672588338582361</v>
      </c>
      <c r="K50" s="33">
        <f t="shared" si="1"/>
        <v>-4.4515999579587004E-2</v>
      </c>
      <c r="L50" s="51"/>
      <c r="M50" s="181">
        <f>2546.2</f>
        <v>2546.1999999999998</v>
      </c>
      <c r="N50" s="33">
        <f t="shared" si="20"/>
        <v>-1</v>
      </c>
      <c r="O50" s="33">
        <f t="shared" si="2"/>
        <v>-1</v>
      </c>
      <c r="P50" s="51">
        <v>5000</v>
      </c>
      <c r="Q50" s="51">
        <v>1600</v>
      </c>
      <c r="R50" s="33">
        <f t="shared" si="37"/>
        <v>-0.70781592403214022</v>
      </c>
      <c r="S50" s="33">
        <f t="shared" si="3"/>
        <v>2.125</v>
      </c>
      <c r="T50" s="51"/>
      <c r="U50" s="51">
        <v>1086.75</v>
      </c>
      <c r="V50" s="33">
        <f t="shared" si="38"/>
        <v>-1</v>
      </c>
      <c r="W50" s="33">
        <f t="shared" si="4"/>
        <v>-1</v>
      </c>
      <c r="X50" s="53">
        <f t="shared" si="39"/>
        <v>0</v>
      </c>
      <c r="Y50" s="53">
        <f t="shared" si="40"/>
        <v>8.1737494573344271</v>
      </c>
      <c r="Z50" s="52">
        <f t="shared" si="43"/>
        <v>-1</v>
      </c>
      <c r="AA50" s="52">
        <f t="shared" si="7"/>
        <v>-1</v>
      </c>
      <c r="AB50" s="53">
        <f t="shared" si="24"/>
        <v>0</v>
      </c>
      <c r="AC50" s="53">
        <f t="shared" si="25"/>
        <v>6.4762705548495596</v>
      </c>
      <c r="AD50" s="52">
        <f t="shared" si="26"/>
        <v>-1</v>
      </c>
      <c r="AE50" s="52">
        <f t="shared" si="8"/>
        <v>-1</v>
      </c>
      <c r="AF50" s="54"/>
      <c r="AG50" s="142">
        <v>6121</v>
      </c>
      <c r="AH50" s="52">
        <f t="shared" si="27"/>
        <v>-1</v>
      </c>
      <c r="AI50" s="52">
        <f t="shared" si="9"/>
        <v>-1</v>
      </c>
      <c r="AJ50" s="58"/>
      <c r="AK50" s="143">
        <v>364</v>
      </c>
      <c r="AL50" s="52">
        <f t="shared" si="28"/>
        <v>-1</v>
      </c>
      <c r="AM50" s="52">
        <f t="shared" si="10"/>
        <v>-1</v>
      </c>
      <c r="AN50" s="99" t="e">
        <f t="shared" si="29"/>
        <v>#DIV/0!</v>
      </c>
      <c r="AO50" s="89">
        <f t="shared" si="29"/>
        <v>5.9467407286391112E-2</v>
      </c>
      <c r="AP50" s="52" t="e">
        <f t="shared" si="30"/>
        <v>#DIV/0!</v>
      </c>
      <c r="AQ50" s="52" t="e">
        <f t="shared" si="12"/>
        <v>#DIV/0!</v>
      </c>
      <c r="AR50" s="51" t="e">
        <f t="shared" si="41"/>
        <v>#DIV/0!</v>
      </c>
      <c r="AS50" s="51">
        <f t="shared" si="42"/>
        <v>93.104395604395606</v>
      </c>
      <c r="AT50" s="52" t="e">
        <f t="shared" si="31"/>
        <v>#DIV/0!</v>
      </c>
      <c r="AU50" s="52" t="e">
        <f t="shared" si="15"/>
        <v>#DIV/0!</v>
      </c>
      <c r="AV50" s="86" t="s">
        <v>303</v>
      </c>
    </row>
    <row r="51" spans="1:48" ht="15.75" customHeight="1" x14ac:dyDescent="0.3">
      <c r="A51" s="49" t="s">
        <v>88</v>
      </c>
      <c r="B51" s="49" t="s">
        <v>90</v>
      </c>
      <c r="C51" s="50">
        <f t="shared" si="32"/>
        <v>43077</v>
      </c>
      <c r="D51" s="198"/>
      <c r="E51" s="141">
        <v>21674</v>
      </c>
      <c r="F51" s="52" t="e">
        <f t="shared" si="16"/>
        <v>#DIV/0!</v>
      </c>
      <c r="G51" s="52">
        <f t="shared" si="0"/>
        <v>-1</v>
      </c>
      <c r="H51" s="51">
        <f t="shared" si="17"/>
        <v>5000</v>
      </c>
      <c r="I51" s="51">
        <f t="shared" si="18"/>
        <v>4390.7700000000004</v>
      </c>
      <c r="J51" s="40">
        <f t="shared" si="36"/>
        <v>0</v>
      </c>
      <c r="K51" s="40">
        <f t="shared" si="1"/>
        <v>0.13875242838955343</v>
      </c>
      <c r="L51" s="51"/>
      <c r="M51" s="181">
        <f>1704.02</f>
        <v>1704.02</v>
      </c>
      <c r="N51" s="40" t="e">
        <f t="shared" si="20"/>
        <v>#DIV/0!</v>
      </c>
      <c r="O51" s="40">
        <f t="shared" si="2"/>
        <v>-1</v>
      </c>
      <c r="P51" s="51">
        <v>5000</v>
      </c>
      <c r="Q51" s="51">
        <v>1600</v>
      </c>
      <c r="R51" s="40">
        <f t="shared" si="37"/>
        <v>0</v>
      </c>
      <c r="S51" s="40">
        <f t="shared" si="3"/>
        <v>2.125</v>
      </c>
      <c r="T51" s="51"/>
      <c r="U51" s="51">
        <v>1086.75</v>
      </c>
      <c r="V51" s="40" t="e">
        <f t="shared" si="38"/>
        <v>#DIV/0!</v>
      </c>
      <c r="W51" s="40">
        <f t="shared" si="4"/>
        <v>-1</v>
      </c>
      <c r="X51" s="53">
        <f t="shared" si="39"/>
        <v>0</v>
      </c>
      <c r="Y51" s="53">
        <f t="shared" si="40"/>
        <v>6.5598876520117919</v>
      </c>
      <c r="Z51" s="52" t="e">
        <f t="shared" si="43"/>
        <v>#DIV/0!</v>
      </c>
      <c r="AA51" s="52">
        <f t="shared" si="7"/>
        <v>-1</v>
      </c>
      <c r="AB51" s="53">
        <f t="shared" si="24"/>
        <v>0</v>
      </c>
      <c r="AC51" s="53">
        <f t="shared" si="25"/>
        <v>4.9362640265830358</v>
      </c>
      <c r="AD51" s="52" t="e">
        <f t="shared" si="26"/>
        <v>#DIV/0!</v>
      </c>
      <c r="AE51" s="52">
        <f t="shared" si="8"/>
        <v>-1</v>
      </c>
      <c r="AF51" s="54"/>
      <c r="AG51" s="142">
        <v>5649</v>
      </c>
      <c r="AH51" s="52" t="e">
        <f t="shared" si="27"/>
        <v>#DIV/0!</v>
      </c>
      <c r="AI51" s="52">
        <f t="shared" si="9"/>
        <v>-1</v>
      </c>
      <c r="AJ51" s="58"/>
      <c r="AK51" s="143">
        <v>196</v>
      </c>
      <c r="AL51" s="52" t="e">
        <f t="shared" si="28"/>
        <v>#DIV/0!</v>
      </c>
      <c r="AM51" s="52">
        <f t="shared" si="10"/>
        <v>-1</v>
      </c>
      <c r="AN51" s="99" t="e">
        <f t="shared" si="29"/>
        <v>#DIV/0!</v>
      </c>
      <c r="AO51" s="89">
        <f t="shared" si="29"/>
        <v>3.4696406443618343E-2</v>
      </c>
      <c r="AP51" s="52" t="e">
        <f t="shared" si="30"/>
        <v>#DIV/0!</v>
      </c>
      <c r="AQ51" s="52" t="e">
        <f t="shared" si="12"/>
        <v>#DIV/0!</v>
      </c>
      <c r="AR51" s="51" t="e">
        <f t="shared" si="41"/>
        <v>#DIV/0!</v>
      </c>
      <c r="AS51" s="51">
        <f t="shared" si="42"/>
        <v>110.58163265306122</v>
      </c>
      <c r="AT51" s="52" t="e">
        <f t="shared" si="31"/>
        <v>#DIV/0!</v>
      </c>
      <c r="AU51" s="52" t="e">
        <f t="shared" si="15"/>
        <v>#DIV/0!</v>
      </c>
      <c r="AV51" s="86" t="s">
        <v>303</v>
      </c>
    </row>
    <row r="52" spans="1:48" ht="15.75" customHeight="1" x14ac:dyDescent="0.3">
      <c r="A52" s="49" t="s">
        <v>88</v>
      </c>
      <c r="B52" s="49" t="s">
        <v>91</v>
      </c>
      <c r="C52" s="50">
        <f t="shared" si="32"/>
        <v>43084</v>
      </c>
      <c r="D52" s="198"/>
      <c r="E52" s="141">
        <v>34976</v>
      </c>
      <c r="F52" s="52" t="e">
        <f t="shared" si="16"/>
        <v>#DIV/0!</v>
      </c>
      <c r="G52" s="52">
        <f t="shared" si="0"/>
        <v>-1</v>
      </c>
      <c r="H52" s="51">
        <f t="shared" si="17"/>
        <v>5000</v>
      </c>
      <c r="I52" s="51">
        <f t="shared" si="18"/>
        <v>3678.5299999999997</v>
      </c>
      <c r="J52" s="40">
        <f t="shared" si="36"/>
        <v>0</v>
      </c>
      <c r="K52" s="40">
        <f t="shared" si="1"/>
        <v>0.3592386089008382</v>
      </c>
      <c r="L52" s="51"/>
      <c r="M52" s="181">
        <f>991.78</f>
        <v>991.78</v>
      </c>
      <c r="N52" s="40" t="e">
        <f t="shared" si="20"/>
        <v>#DIV/0!</v>
      </c>
      <c r="O52" s="40">
        <f t="shared" si="2"/>
        <v>-1</v>
      </c>
      <c r="P52" s="51">
        <v>5000</v>
      </c>
      <c r="Q52" s="51">
        <v>1600</v>
      </c>
      <c r="R52" s="40">
        <f t="shared" si="37"/>
        <v>0</v>
      </c>
      <c r="S52" s="40">
        <f t="shared" si="3"/>
        <v>2.125</v>
      </c>
      <c r="T52" s="51"/>
      <c r="U52" s="51">
        <v>1086.75</v>
      </c>
      <c r="V52" s="40" t="e">
        <f t="shared" si="38"/>
        <v>#DIV/0!</v>
      </c>
      <c r="W52" s="40">
        <f t="shared" si="4"/>
        <v>-1</v>
      </c>
      <c r="X52" s="53">
        <f t="shared" si="39"/>
        <v>0</v>
      </c>
      <c r="Y52" s="53">
        <f t="shared" si="40"/>
        <v>13.494972567116037</v>
      </c>
      <c r="Z52" s="52" t="e">
        <f t="shared" si="43"/>
        <v>#DIV/0!</v>
      </c>
      <c r="AA52" s="52">
        <f t="shared" si="7"/>
        <v>-1</v>
      </c>
      <c r="AB52" s="53">
        <f t="shared" si="24"/>
        <v>0</v>
      </c>
      <c r="AC52" s="53">
        <f t="shared" si="25"/>
        <v>9.5081459169831426</v>
      </c>
      <c r="AD52" s="52" t="e">
        <f t="shared" si="26"/>
        <v>#DIV/0!</v>
      </c>
      <c r="AE52" s="52">
        <f t="shared" si="8"/>
        <v>-1</v>
      </c>
      <c r="AF52" s="54"/>
      <c r="AG52" s="142">
        <v>5021</v>
      </c>
      <c r="AH52" s="52" t="e">
        <f t="shared" si="27"/>
        <v>#DIV/0!</v>
      </c>
      <c r="AI52" s="52">
        <f t="shared" si="9"/>
        <v>-1</v>
      </c>
      <c r="AJ52" s="58"/>
      <c r="AK52" s="143">
        <v>249</v>
      </c>
      <c r="AL52" s="52" t="e">
        <f t="shared" si="28"/>
        <v>#DIV/0!</v>
      </c>
      <c r="AM52" s="52">
        <f t="shared" si="10"/>
        <v>-1</v>
      </c>
      <c r="AN52" s="99" t="e">
        <f t="shared" si="29"/>
        <v>#DIV/0!</v>
      </c>
      <c r="AO52" s="89">
        <f t="shared" si="29"/>
        <v>4.9591714797849032E-2</v>
      </c>
      <c r="AP52" s="52" t="e">
        <f t="shared" si="30"/>
        <v>#DIV/0!</v>
      </c>
      <c r="AQ52" s="52" t="e">
        <f t="shared" si="12"/>
        <v>#DIV/0!</v>
      </c>
      <c r="AR52" s="51" t="e">
        <f t="shared" si="41"/>
        <v>#DIV/0!</v>
      </c>
      <c r="AS52" s="51">
        <f t="shared" si="42"/>
        <v>140.46586345381527</v>
      </c>
      <c r="AT52" s="52" t="e">
        <f t="shared" si="31"/>
        <v>#DIV/0!</v>
      </c>
      <c r="AU52" s="52" t="e">
        <f t="shared" si="15"/>
        <v>#DIV/0!</v>
      </c>
      <c r="AV52" s="86" t="s">
        <v>303</v>
      </c>
    </row>
    <row r="53" spans="1:48" ht="15.75" customHeight="1" x14ac:dyDescent="0.3">
      <c r="A53" s="59" t="s">
        <v>88</v>
      </c>
      <c r="B53" s="59" t="s">
        <v>92</v>
      </c>
      <c r="C53" s="60">
        <f t="shared" si="32"/>
        <v>43091</v>
      </c>
      <c r="D53" s="199"/>
      <c r="E53" s="427">
        <v>49491</v>
      </c>
      <c r="F53" s="62" t="e">
        <f t="shared" si="16"/>
        <v>#DIV/0!</v>
      </c>
      <c r="G53" s="62">
        <f t="shared" si="0"/>
        <v>-1</v>
      </c>
      <c r="H53" s="51">
        <f t="shared" si="17"/>
        <v>5000</v>
      </c>
      <c r="I53" s="51">
        <f t="shared" si="18"/>
        <v>3518.23</v>
      </c>
      <c r="J53" s="33">
        <f t="shared" si="36"/>
        <v>0</v>
      </c>
      <c r="K53" s="33">
        <f t="shared" si="1"/>
        <v>0.42116916745067834</v>
      </c>
      <c r="L53" s="61"/>
      <c r="M53" s="181">
        <f>831.48</f>
        <v>831.48</v>
      </c>
      <c r="N53" s="33" t="e">
        <f t="shared" si="20"/>
        <v>#DIV/0!</v>
      </c>
      <c r="O53" s="33">
        <f t="shared" si="2"/>
        <v>-1</v>
      </c>
      <c r="P53" s="61">
        <v>5000</v>
      </c>
      <c r="Q53" s="61">
        <v>1600</v>
      </c>
      <c r="R53" s="33">
        <f t="shared" si="37"/>
        <v>0</v>
      </c>
      <c r="S53" s="33">
        <f t="shared" si="3"/>
        <v>2.125</v>
      </c>
      <c r="T53" s="61"/>
      <c r="U53" s="72">
        <v>1086.75</v>
      </c>
      <c r="V53" s="33" t="e">
        <f t="shared" si="38"/>
        <v>#DIV/0!</v>
      </c>
      <c r="W53" s="33">
        <f t="shared" si="4"/>
        <v>-1</v>
      </c>
      <c r="X53" s="63">
        <f t="shared" si="39"/>
        <v>0</v>
      </c>
      <c r="Y53" s="63">
        <f t="shared" si="40"/>
        <v>20.354269827430208</v>
      </c>
      <c r="Z53" s="62" t="e">
        <f t="shared" si="43"/>
        <v>#DIV/0!</v>
      </c>
      <c r="AA53" s="73">
        <f t="shared" si="7"/>
        <v>-1</v>
      </c>
      <c r="AB53" s="74">
        <f t="shared" si="24"/>
        <v>0</v>
      </c>
      <c r="AC53" s="74">
        <f t="shared" si="25"/>
        <v>14.067016653260303</v>
      </c>
      <c r="AD53" s="73" t="e">
        <f t="shared" si="26"/>
        <v>#DIV/0!</v>
      </c>
      <c r="AE53" s="73">
        <f t="shared" si="8"/>
        <v>-1</v>
      </c>
      <c r="AF53" s="64"/>
      <c r="AG53" s="439">
        <v>8718</v>
      </c>
      <c r="AH53" s="62" t="e">
        <f t="shared" si="27"/>
        <v>#DIV/0!</v>
      </c>
      <c r="AI53" s="62">
        <f t="shared" si="9"/>
        <v>-1</v>
      </c>
      <c r="AJ53" s="65"/>
      <c r="AK53" s="438">
        <v>476</v>
      </c>
      <c r="AL53" s="62" t="e">
        <f t="shared" si="28"/>
        <v>#DIV/0!</v>
      </c>
      <c r="AM53" s="62">
        <f t="shared" si="10"/>
        <v>-1</v>
      </c>
      <c r="AN53" s="101" t="e">
        <f t="shared" si="29"/>
        <v>#DIV/0!</v>
      </c>
      <c r="AO53" s="148">
        <f t="shared" si="29"/>
        <v>5.4599678825418677E-2</v>
      </c>
      <c r="AP53" s="62" t="e">
        <f t="shared" si="30"/>
        <v>#DIV/0!</v>
      </c>
      <c r="AQ53" s="62" t="e">
        <f t="shared" si="12"/>
        <v>#DIV/0!</v>
      </c>
      <c r="AR53" s="61" t="e">
        <f t="shared" si="41"/>
        <v>#DIV/0!</v>
      </c>
      <c r="AS53" s="61">
        <f t="shared" si="42"/>
        <v>103.97268907563026</v>
      </c>
      <c r="AT53" s="62" t="e">
        <f t="shared" si="31"/>
        <v>#DIV/0!</v>
      </c>
      <c r="AU53" s="62" t="e">
        <f t="shared" si="15"/>
        <v>#DIV/0!</v>
      </c>
      <c r="AV53" s="355" t="s">
        <v>303</v>
      </c>
    </row>
    <row r="54" spans="1:48" s="437" customFormat="1" ht="19.5" customHeight="1" x14ac:dyDescent="0.25">
      <c r="A54" s="428" t="s">
        <v>94</v>
      </c>
      <c r="B54" s="25"/>
      <c r="C54" s="429"/>
      <c r="D54" s="430">
        <f>SUM(D2:D53)</f>
        <v>1889178</v>
      </c>
      <c r="E54" s="430">
        <f>SUM(E2:E53)</f>
        <v>1163764</v>
      </c>
      <c r="F54" s="431"/>
      <c r="G54" s="432">
        <f t="shared" si="0"/>
        <v>0.62333428427069404</v>
      </c>
      <c r="H54" s="430">
        <f>SUM(H2:H53)</f>
        <v>251028.61000000002</v>
      </c>
      <c r="I54" s="430">
        <f>SUM(I2:I53)</f>
        <v>270768.27000000008</v>
      </c>
      <c r="J54" s="431"/>
      <c r="K54" s="33">
        <f t="shared" si="1"/>
        <v>-7.290241208838856E-2</v>
      </c>
      <c r="L54" s="430">
        <f>SUM(L2:L53)</f>
        <v>117630.68999999997</v>
      </c>
      <c r="M54" s="430">
        <f>SUM(M2:M53)</f>
        <v>137801.43000000002</v>
      </c>
      <c r="N54" s="431"/>
      <c r="O54" s="33">
        <f t="shared" si="2"/>
        <v>-0.14637540408688099</v>
      </c>
      <c r="P54" s="430">
        <f t="shared" ref="P54:U54" si="44">SUM(P2:P53)</f>
        <v>99090</v>
      </c>
      <c r="Q54" s="430">
        <f t="shared" si="44"/>
        <v>93604</v>
      </c>
      <c r="R54" s="431"/>
      <c r="S54" s="33">
        <f t="shared" si="3"/>
        <v>5.8608606469808984E-2</v>
      </c>
      <c r="T54" s="430">
        <f t="shared" si="44"/>
        <v>34307.919999999998</v>
      </c>
      <c r="U54" s="430">
        <f t="shared" si="44"/>
        <v>39362.839999999997</v>
      </c>
      <c r="V54" s="431"/>
      <c r="W54" s="33">
        <f t="shared" si="4"/>
        <v>-0.12841857955371103</v>
      </c>
      <c r="X54" s="433">
        <f t="shared" si="39"/>
        <v>8.71710956623477</v>
      </c>
      <c r="Y54" s="433">
        <f>E54/(M54+Q54)</f>
        <v>5.0291127567749809</v>
      </c>
      <c r="Z54" s="431"/>
      <c r="AA54" s="240">
        <f t="shared" si="7"/>
        <v>0.7333295131415567</v>
      </c>
      <c r="AB54" s="433">
        <f t="shared" si="24"/>
        <v>7.5257477623765681</v>
      </c>
      <c r="AC54" s="433">
        <f>I54/(Q54+Y54)</f>
        <v>2.8925443684908441</v>
      </c>
      <c r="AD54" s="431"/>
      <c r="AE54" s="240">
        <f t="shared" si="8"/>
        <v>1.6017743562920874</v>
      </c>
      <c r="AF54" s="434">
        <f>SUM(AF2:AF53)</f>
        <v>188204</v>
      </c>
      <c r="AG54" s="434">
        <f>SUM(AG2:AG53)</f>
        <v>170409</v>
      </c>
      <c r="AH54" s="431"/>
      <c r="AI54" s="432">
        <f t="shared" si="9"/>
        <v>0.10442523575632742</v>
      </c>
      <c r="AJ54" s="434">
        <f>SUM(AJ2:AJ53)</f>
        <v>15931</v>
      </c>
      <c r="AK54" s="434">
        <f>SUM(AK2:AK53)</f>
        <v>9392</v>
      </c>
      <c r="AL54" s="431"/>
      <c r="AM54" s="432">
        <f t="shared" si="10"/>
        <v>0.69623083475298131</v>
      </c>
      <c r="AN54" s="435">
        <f t="shared" si="29"/>
        <v>8.4647510148562199E-2</v>
      </c>
      <c r="AO54" s="435">
        <f t="shared" si="29"/>
        <v>5.5114459917023163E-2</v>
      </c>
      <c r="AP54" s="431"/>
      <c r="AQ54" s="432">
        <f t="shared" si="12"/>
        <v>0.53584939915953311</v>
      </c>
      <c r="AR54" s="430">
        <f>D54/AJ54</f>
        <v>118.585022911305</v>
      </c>
      <c r="AS54" s="430">
        <f>E54/AK54</f>
        <v>123.91013628620102</v>
      </c>
      <c r="AT54" s="431"/>
      <c r="AU54" s="432">
        <f t="shared" si="15"/>
        <v>-4.2975607440188406E-2</v>
      </c>
      <c r="AV54" s="436"/>
    </row>
    <row r="55" spans="1:48" ht="15.75" customHeight="1" x14ac:dyDescent="0.25">
      <c r="A55" s="44" t="s">
        <v>96</v>
      </c>
      <c r="B55" s="45"/>
      <c r="C55" s="45"/>
      <c r="D55" s="39"/>
      <c r="E55" s="39"/>
      <c r="F55" s="40"/>
      <c r="G55" s="40"/>
      <c r="H55" s="41">
        <f>2500</f>
        <v>2500</v>
      </c>
      <c r="I55" s="41"/>
      <c r="J55" s="40"/>
      <c r="K55" s="40"/>
      <c r="L55" s="41">
        <f>2500</f>
        <v>2500</v>
      </c>
      <c r="M55" s="39"/>
      <c r="N55" s="40"/>
      <c r="O55" s="40"/>
      <c r="P55" s="39"/>
      <c r="Q55" s="39"/>
      <c r="R55" s="40"/>
      <c r="S55" s="40"/>
      <c r="T55" s="39"/>
      <c r="U55" s="39"/>
      <c r="V55" s="40"/>
      <c r="W55" s="40"/>
      <c r="X55" s="41"/>
      <c r="Y55" s="41"/>
      <c r="Z55" s="40"/>
      <c r="AA55" s="40"/>
      <c r="AB55" s="41"/>
      <c r="AC55" s="41"/>
      <c r="AD55" s="40"/>
      <c r="AE55" s="40"/>
      <c r="AF55" s="42"/>
      <c r="AG55" s="42"/>
      <c r="AH55" s="40"/>
      <c r="AI55" s="40"/>
      <c r="AJ55" s="42"/>
      <c r="AK55" s="42"/>
      <c r="AL55" s="40"/>
      <c r="AM55" s="40"/>
      <c r="AN55" s="40"/>
      <c r="AO55" s="40"/>
      <c r="AP55" s="40"/>
      <c r="AQ55" s="40"/>
      <c r="AR55" s="39"/>
      <c r="AS55" s="39"/>
      <c r="AT55" s="40"/>
      <c r="AU55" s="40"/>
      <c r="AV55" s="23"/>
    </row>
    <row r="56" spans="1:48" ht="15.75" x14ac:dyDescent="0.25">
      <c r="A56" s="44"/>
      <c r="B56" s="36"/>
      <c r="C56" s="36"/>
      <c r="D56" s="39"/>
      <c r="E56" s="39"/>
      <c r="F56" s="40"/>
      <c r="G56" s="40"/>
      <c r="H56" s="41"/>
      <c r="I56" s="39"/>
      <c r="J56" s="40"/>
      <c r="K56" s="40"/>
      <c r="L56" s="41"/>
      <c r="M56" s="39"/>
      <c r="N56" s="40"/>
      <c r="O56" s="40"/>
      <c r="P56" s="39"/>
      <c r="Q56" s="39"/>
      <c r="R56" s="40"/>
      <c r="S56" s="40"/>
      <c r="T56" s="39"/>
      <c r="U56" s="39"/>
      <c r="V56" s="40"/>
      <c r="W56" s="40"/>
      <c r="X56" s="41"/>
      <c r="Y56" s="41"/>
      <c r="Z56" s="40"/>
      <c r="AA56" s="40"/>
      <c r="AB56" s="41"/>
      <c r="AC56" s="41"/>
      <c r="AD56" s="40"/>
      <c r="AE56" s="40"/>
      <c r="AF56" s="42"/>
      <c r="AG56" s="42"/>
      <c r="AH56" s="40"/>
      <c r="AI56" s="40"/>
      <c r="AJ56" s="42"/>
      <c r="AK56" s="42"/>
      <c r="AL56" s="40"/>
      <c r="AM56" s="40"/>
      <c r="AN56" s="40"/>
      <c r="AO56" s="40"/>
      <c r="AP56" s="40"/>
      <c r="AQ56" s="40"/>
      <c r="AR56" s="39"/>
      <c r="AS56" s="39"/>
      <c r="AT56" s="40"/>
      <c r="AU56" s="40"/>
      <c r="AV56" s="23"/>
    </row>
    <row r="57" spans="1:48" ht="15.75" x14ac:dyDescent="0.25">
      <c r="A57" s="44"/>
      <c r="B57" s="44"/>
      <c r="C57" s="46"/>
      <c r="D57" s="39"/>
      <c r="E57" s="39"/>
      <c r="F57" s="40"/>
      <c r="G57" s="40"/>
      <c r="H57" s="41"/>
      <c r="I57" s="39"/>
      <c r="J57" s="40"/>
      <c r="K57" s="40"/>
      <c r="L57" s="41"/>
      <c r="M57" s="39"/>
      <c r="N57" s="40"/>
      <c r="O57" s="40"/>
      <c r="P57" s="39"/>
      <c r="Q57" s="39"/>
      <c r="R57" s="40"/>
      <c r="S57" s="40"/>
      <c r="T57" s="39"/>
      <c r="U57" s="39"/>
      <c r="V57" s="40"/>
      <c r="W57" s="40"/>
      <c r="X57" s="41"/>
      <c r="Y57" s="41"/>
      <c r="Z57" s="40"/>
      <c r="AA57" s="40"/>
      <c r="AB57" s="41"/>
      <c r="AC57" s="41"/>
      <c r="AD57" s="40"/>
      <c r="AE57" s="40"/>
      <c r="AF57" s="42"/>
      <c r="AG57" s="42"/>
      <c r="AH57" s="40"/>
      <c r="AI57" s="40"/>
      <c r="AJ57" s="42"/>
      <c r="AK57" s="42"/>
      <c r="AL57" s="40"/>
      <c r="AM57" s="40"/>
      <c r="AN57" s="40"/>
      <c r="AO57" s="40"/>
      <c r="AP57" s="40"/>
      <c r="AQ57" s="40"/>
      <c r="AR57" s="39"/>
      <c r="AS57" s="39"/>
      <c r="AT57" s="40"/>
      <c r="AU57" s="40"/>
      <c r="AV57" s="23"/>
    </row>
    <row r="58" spans="1:48" ht="15.75" x14ac:dyDescent="0.25">
      <c r="A58" s="44"/>
      <c r="B58" s="23"/>
      <c r="C58" s="23"/>
      <c r="D58" s="39"/>
      <c r="E58" s="39"/>
      <c r="F58" s="40"/>
      <c r="G58" s="40"/>
      <c r="H58" s="41"/>
      <c r="I58" s="39"/>
      <c r="J58" s="40"/>
      <c r="K58" s="40"/>
      <c r="L58" s="41"/>
      <c r="M58" s="39"/>
      <c r="N58" s="40"/>
      <c r="O58" s="40"/>
      <c r="P58" s="39"/>
      <c r="Q58" s="39"/>
      <c r="R58" s="40"/>
      <c r="S58" s="40"/>
      <c r="T58" s="39"/>
      <c r="U58" s="39"/>
      <c r="V58" s="40"/>
      <c r="W58" s="40"/>
      <c r="X58" s="41"/>
      <c r="Y58" s="41"/>
      <c r="Z58" s="40"/>
      <c r="AA58" s="40"/>
      <c r="AB58" s="41"/>
      <c r="AC58" s="41"/>
      <c r="AD58" s="40"/>
      <c r="AE58" s="40"/>
      <c r="AF58" s="42"/>
      <c r="AG58" s="42"/>
      <c r="AH58" s="40"/>
      <c r="AI58" s="40"/>
      <c r="AJ58" s="42"/>
      <c r="AK58" s="42"/>
      <c r="AL58" s="40"/>
      <c r="AM58" s="40"/>
      <c r="AN58" s="40"/>
      <c r="AO58" s="40"/>
      <c r="AP58" s="40"/>
      <c r="AQ58" s="40"/>
      <c r="AR58" s="39"/>
      <c r="AS58" s="39"/>
      <c r="AT58" s="40"/>
      <c r="AU58" s="40"/>
      <c r="AV58" s="23"/>
    </row>
    <row r="59" spans="1:48" ht="15.75" x14ac:dyDescent="0.25">
      <c r="A59" s="44"/>
      <c r="B59" s="23"/>
      <c r="C59" s="23"/>
      <c r="D59" s="39"/>
      <c r="E59" s="39"/>
      <c r="F59" s="40"/>
      <c r="G59" s="40"/>
      <c r="H59" s="41"/>
      <c r="I59" s="39"/>
      <c r="J59" s="40"/>
      <c r="K59" s="40"/>
      <c r="L59" s="41"/>
      <c r="M59" s="39"/>
      <c r="N59" s="40"/>
      <c r="O59" s="40"/>
      <c r="P59" s="39"/>
      <c r="Q59" s="39"/>
      <c r="R59" s="40"/>
      <c r="S59" s="40"/>
      <c r="T59" s="39"/>
      <c r="U59" s="39"/>
      <c r="V59" s="40"/>
      <c r="W59" s="40"/>
      <c r="X59" s="41"/>
      <c r="Y59" s="41"/>
      <c r="Z59" s="40"/>
      <c r="AA59" s="40"/>
      <c r="AB59" s="41"/>
      <c r="AC59" s="41"/>
      <c r="AD59" s="40"/>
      <c r="AE59" s="40"/>
      <c r="AF59" s="42"/>
      <c r="AG59" s="42"/>
      <c r="AH59" s="40"/>
      <c r="AI59" s="40"/>
      <c r="AJ59" s="42"/>
      <c r="AK59" s="42"/>
      <c r="AL59" s="40"/>
      <c r="AM59" s="40"/>
      <c r="AN59" s="40"/>
      <c r="AO59" s="40"/>
      <c r="AP59" s="40"/>
      <c r="AQ59" s="40"/>
      <c r="AR59" s="39"/>
      <c r="AS59" s="39"/>
      <c r="AT59" s="40"/>
      <c r="AU59" s="40"/>
      <c r="AV59" s="23"/>
    </row>
    <row r="60" spans="1:48" ht="15.75" x14ac:dyDescent="0.25">
      <c r="A60" s="44"/>
      <c r="B60" s="23"/>
      <c r="C60" s="23"/>
      <c r="D60" s="39"/>
      <c r="E60" s="39"/>
      <c r="F60" s="40"/>
      <c r="G60" s="40"/>
      <c r="H60" s="41"/>
      <c r="I60" s="39"/>
      <c r="J60" s="40"/>
      <c r="K60" s="40"/>
      <c r="L60" s="41"/>
      <c r="M60" s="39"/>
      <c r="N60" s="40"/>
      <c r="O60" s="40"/>
      <c r="P60" s="39"/>
      <c r="Q60" s="39"/>
      <c r="R60" s="40"/>
      <c r="S60" s="40"/>
      <c r="T60" s="39"/>
      <c r="U60" s="39"/>
      <c r="V60" s="40"/>
      <c r="W60" s="40"/>
      <c r="X60" s="41"/>
      <c r="Y60" s="41"/>
      <c r="Z60" s="40"/>
      <c r="AA60" s="40"/>
      <c r="AB60" s="41"/>
      <c r="AC60" s="41"/>
      <c r="AD60" s="40"/>
      <c r="AE60" s="40"/>
      <c r="AF60" s="42"/>
      <c r="AG60" s="42"/>
      <c r="AH60" s="40"/>
      <c r="AI60" s="40"/>
      <c r="AJ60" s="42"/>
      <c r="AK60" s="42"/>
      <c r="AL60" s="40"/>
      <c r="AM60" s="40"/>
      <c r="AN60" s="40"/>
      <c r="AO60" s="40"/>
      <c r="AP60" s="40"/>
      <c r="AQ60" s="40"/>
      <c r="AR60" s="39"/>
      <c r="AS60" s="39"/>
      <c r="AT60" s="40"/>
      <c r="AU60" s="40"/>
      <c r="AV60" s="23"/>
    </row>
    <row r="61" spans="1:48" ht="15.75" x14ac:dyDescent="0.25">
      <c r="A61" s="44"/>
      <c r="B61" s="23"/>
      <c r="C61" s="23"/>
      <c r="D61" s="39"/>
      <c r="E61" s="39"/>
      <c r="F61" s="40"/>
      <c r="G61" s="40"/>
      <c r="H61" s="41"/>
      <c r="I61" s="39"/>
      <c r="J61" s="40"/>
      <c r="K61" s="40"/>
      <c r="L61" s="41"/>
      <c r="M61" s="39"/>
      <c r="N61" s="40"/>
      <c r="O61" s="40"/>
      <c r="P61" s="39"/>
      <c r="Q61" s="39"/>
      <c r="R61" s="40"/>
      <c r="S61" s="40"/>
      <c r="T61" s="39"/>
      <c r="U61" s="39"/>
      <c r="V61" s="40"/>
      <c r="W61" s="40"/>
      <c r="X61" s="41"/>
      <c r="Y61" s="41"/>
      <c r="Z61" s="40"/>
      <c r="AA61" s="40"/>
      <c r="AB61" s="41"/>
      <c r="AC61" s="41"/>
      <c r="AD61" s="40"/>
      <c r="AE61" s="40"/>
      <c r="AF61" s="42"/>
      <c r="AG61" s="42"/>
      <c r="AH61" s="40"/>
      <c r="AI61" s="40"/>
      <c r="AJ61" s="42"/>
      <c r="AK61" s="42"/>
      <c r="AL61" s="40"/>
      <c r="AM61" s="40"/>
      <c r="AN61" s="40"/>
      <c r="AO61" s="40"/>
      <c r="AP61" s="40"/>
      <c r="AQ61" s="40"/>
      <c r="AR61" s="39"/>
      <c r="AS61" s="39"/>
      <c r="AT61" s="40"/>
      <c r="AU61" s="40"/>
      <c r="AV61" s="23"/>
    </row>
    <row r="62" spans="1:48" ht="15.75" x14ac:dyDescent="0.25">
      <c r="A62" s="44"/>
      <c r="B62" s="23"/>
      <c r="C62" s="23"/>
      <c r="D62" s="39"/>
      <c r="E62" s="39"/>
      <c r="F62" s="40"/>
      <c r="G62" s="40"/>
      <c r="H62" s="41"/>
      <c r="I62" s="39"/>
      <c r="J62" s="40"/>
      <c r="K62" s="40"/>
      <c r="L62" s="41"/>
      <c r="M62" s="39"/>
      <c r="N62" s="40"/>
      <c r="O62" s="40"/>
      <c r="P62" s="39"/>
      <c r="Q62" s="39"/>
      <c r="R62" s="40"/>
      <c r="S62" s="40"/>
      <c r="T62" s="39"/>
      <c r="U62" s="39"/>
      <c r="V62" s="40"/>
      <c r="W62" s="40"/>
      <c r="X62" s="41"/>
      <c r="Y62" s="41"/>
      <c r="Z62" s="40"/>
      <c r="AA62" s="40"/>
      <c r="AB62" s="41"/>
      <c r="AC62" s="41"/>
      <c r="AD62" s="40"/>
      <c r="AE62" s="40"/>
      <c r="AF62" s="42"/>
      <c r="AG62" s="42"/>
      <c r="AH62" s="40"/>
      <c r="AI62" s="40"/>
      <c r="AJ62" s="42"/>
      <c r="AK62" s="42"/>
      <c r="AL62" s="40"/>
      <c r="AM62" s="40"/>
      <c r="AN62" s="40"/>
      <c r="AO62" s="40"/>
      <c r="AP62" s="40"/>
      <c r="AQ62" s="40"/>
      <c r="AR62" s="39"/>
      <c r="AS62" s="39"/>
      <c r="AT62" s="40"/>
      <c r="AU62" s="40"/>
      <c r="AV62" s="23"/>
    </row>
    <row r="63" spans="1:48" ht="15.75" x14ac:dyDescent="0.25">
      <c r="A63" s="44"/>
      <c r="B63" s="23"/>
      <c r="C63" s="23"/>
      <c r="D63" s="39"/>
      <c r="E63" s="39"/>
      <c r="F63" s="40"/>
      <c r="G63" s="40"/>
      <c r="H63" s="41"/>
      <c r="I63" s="39"/>
      <c r="J63" s="40"/>
      <c r="K63" s="40"/>
      <c r="L63" s="41"/>
      <c r="M63" s="39"/>
      <c r="N63" s="40"/>
      <c r="O63" s="40"/>
      <c r="P63" s="39"/>
      <c r="Q63" s="39"/>
      <c r="R63" s="40"/>
      <c r="S63" s="40"/>
      <c r="T63" s="39"/>
      <c r="U63" s="39"/>
      <c r="V63" s="40"/>
      <c r="W63" s="40"/>
      <c r="X63" s="41"/>
      <c r="Y63" s="41"/>
      <c r="Z63" s="40"/>
      <c r="AA63" s="40"/>
      <c r="AB63" s="41"/>
      <c r="AC63" s="41"/>
      <c r="AD63" s="40"/>
      <c r="AE63" s="40"/>
      <c r="AF63" s="42"/>
      <c r="AG63" s="42"/>
      <c r="AH63" s="40"/>
      <c r="AI63" s="40"/>
      <c r="AJ63" s="42"/>
      <c r="AK63" s="42"/>
      <c r="AL63" s="40"/>
      <c r="AM63" s="40"/>
      <c r="AN63" s="40"/>
      <c r="AO63" s="40"/>
      <c r="AP63" s="40"/>
      <c r="AQ63" s="40"/>
      <c r="AR63" s="39"/>
      <c r="AS63" s="39"/>
      <c r="AT63" s="40"/>
      <c r="AU63" s="40"/>
      <c r="AV63" s="23"/>
    </row>
    <row r="64" spans="1:48" ht="15.75" x14ac:dyDescent="0.25">
      <c r="A64" s="44"/>
      <c r="B64" s="23"/>
      <c r="C64" s="23"/>
      <c r="D64" s="39"/>
      <c r="E64" s="39"/>
      <c r="F64" s="40"/>
      <c r="G64" s="40"/>
      <c r="H64" s="41"/>
      <c r="I64" s="39"/>
      <c r="J64" s="40"/>
      <c r="K64" s="40"/>
      <c r="L64" s="41"/>
      <c r="M64" s="39"/>
      <c r="N64" s="40"/>
      <c r="O64" s="40"/>
      <c r="P64" s="39"/>
      <c r="Q64" s="39"/>
      <c r="R64" s="40"/>
      <c r="S64" s="40"/>
      <c r="T64" s="39"/>
      <c r="U64" s="39"/>
      <c r="V64" s="40"/>
      <c r="W64" s="40"/>
      <c r="X64" s="41"/>
      <c r="Y64" s="41"/>
      <c r="Z64" s="40"/>
      <c r="AA64" s="40"/>
      <c r="AB64" s="41"/>
      <c r="AC64" s="41"/>
      <c r="AD64" s="40"/>
      <c r="AE64" s="40"/>
      <c r="AF64" s="42"/>
      <c r="AG64" s="42"/>
      <c r="AH64" s="40"/>
      <c r="AI64" s="40"/>
      <c r="AJ64" s="42"/>
      <c r="AK64" s="42"/>
      <c r="AL64" s="40"/>
      <c r="AM64" s="40"/>
      <c r="AN64" s="40"/>
      <c r="AO64" s="40"/>
      <c r="AP64" s="40"/>
      <c r="AQ64" s="40"/>
      <c r="AR64" s="39"/>
      <c r="AS64" s="39"/>
      <c r="AT64" s="40"/>
      <c r="AU64" s="40"/>
      <c r="AV64" s="23"/>
    </row>
    <row r="65" spans="1:48" ht="15.75" x14ac:dyDescent="0.25">
      <c r="A65" s="44"/>
      <c r="B65" s="23"/>
      <c r="C65" s="23"/>
      <c r="D65" s="39"/>
      <c r="E65" s="39"/>
      <c r="F65" s="40"/>
      <c r="G65" s="40"/>
      <c r="H65" s="41"/>
      <c r="I65" s="39"/>
      <c r="J65" s="40"/>
      <c r="K65" s="40"/>
      <c r="L65" s="41"/>
      <c r="M65" s="39"/>
      <c r="N65" s="40"/>
      <c r="O65" s="40"/>
      <c r="P65" s="39"/>
      <c r="Q65" s="39"/>
      <c r="R65" s="40"/>
      <c r="S65" s="40"/>
      <c r="T65" s="39"/>
      <c r="U65" s="39"/>
      <c r="V65" s="40"/>
      <c r="W65" s="40"/>
      <c r="X65" s="41"/>
      <c r="Y65" s="41"/>
      <c r="Z65" s="40"/>
      <c r="AA65" s="40"/>
      <c r="AB65" s="41"/>
      <c r="AC65" s="41"/>
      <c r="AD65" s="40"/>
      <c r="AE65" s="40"/>
      <c r="AF65" s="42"/>
      <c r="AG65" s="42"/>
      <c r="AH65" s="40"/>
      <c r="AI65" s="40"/>
      <c r="AJ65" s="42"/>
      <c r="AK65" s="42"/>
      <c r="AL65" s="40"/>
      <c r="AM65" s="40"/>
      <c r="AN65" s="40"/>
      <c r="AO65" s="40"/>
      <c r="AP65" s="40"/>
      <c r="AQ65" s="40"/>
      <c r="AR65" s="39"/>
      <c r="AS65" s="39"/>
      <c r="AT65" s="40"/>
      <c r="AU65" s="40"/>
      <c r="AV65" s="23"/>
    </row>
    <row r="66" spans="1:48" ht="15.75" x14ac:dyDescent="0.25">
      <c r="A66" s="44"/>
      <c r="B66" s="23"/>
      <c r="C66" s="23"/>
      <c r="D66" s="39"/>
      <c r="E66" s="39"/>
      <c r="F66" s="40"/>
      <c r="G66" s="40"/>
      <c r="H66" s="41"/>
      <c r="I66" s="39"/>
      <c r="J66" s="40"/>
      <c r="K66" s="40"/>
      <c r="L66" s="41"/>
      <c r="M66" s="39"/>
      <c r="N66" s="40"/>
      <c r="O66" s="40"/>
      <c r="P66" s="39"/>
      <c r="Q66" s="39"/>
      <c r="R66" s="40"/>
      <c r="S66" s="40"/>
      <c r="T66" s="39"/>
      <c r="U66" s="39"/>
      <c r="V66" s="40"/>
      <c r="W66" s="40"/>
      <c r="X66" s="41"/>
      <c r="Y66" s="41"/>
      <c r="Z66" s="40"/>
      <c r="AA66" s="40"/>
      <c r="AB66" s="41"/>
      <c r="AC66" s="41"/>
      <c r="AD66" s="40"/>
      <c r="AE66" s="40"/>
      <c r="AF66" s="42"/>
      <c r="AG66" s="42"/>
      <c r="AH66" s="40"/>
      <c r="AI66" s="40"/>
      <c r="AJ66" s="42"/>
      <c r="AK66" s="42"/>
      <c r="AL66" s="40"/>
      <c r="AM66" s="40"/>
      <c r="AN66" s="40"/>
      <c r="AO66" s="40"/>
      <c r="AP66" s="40"/>
      <c r="AQ66" s="40"/>
      <c r="AR66" s="39"/>
      <c r="AS66" s="39"/>
      <c r="AT66" s="40"/>
      <c r="AU66" s="40"/>
      <c r="AV66" s="23"/>
    </row>
    <row r="67" spans="1:48" ht="15.75" x14ac:dyDescent="0.25">
      <c r="A67" s="44"/>
      <c r="B67" s="23"/>
      <c r="C67" s="23"/>
      <c r="D67" s="39"/>
      <c r="E67" s="39"/>
      <c r="F67" s="40"/>
      <c r="G67" s="40"/>
      <c r="H67" s="41"/>
      <c r="I67" s="39"/>
      <c r="J67" s="40"/>
      <c r="K67" s="40"/>
      <c r="L67" s="41"/>
      <c r="M67" s="39"/>
      <c r="N67" s="40"/>
      <c r="O67" s="40"/>
      <c r="P67" s="39"/>
      <c r="Q67" s="39"/>
      <c r="R67" s="40"/>
      <c r="S67" s="40"/>
      <c r="T67" s="39"/>
      <c r="U67" s="39"/>
      <c r="V67" s="40"/>
      <c r="W67" s="40"/>
      <c r="X67" s="41"/>
      <c r="Y67" s="41"/>
      <c r="Z67" s="40"/>
      <c r="AA67" s="40"/>
      <c r="AB67" s="41"/>
      <c r="AC67" s="41"/>
      <c r="AD67" s="40"/>
      <c r="AE67" s="40"/>
      <c r="AF67" s="42"/>
      <c r="AG67" s="42"/>
      <c r="AH67" s="40"/>
      <c r="AI67" s="40"/>
      <c r="AJ67" s="42"/>
      <c r="AK67" s="42"/>
      <c r="AL67" s="40"/>
      <c r="AM67" s="40"/>
      <c r="AN67" s="40"/>
      <c r="AO67" s="40"/>
      <c r="AP67" s="40"/>
      <c r="AQ67" s="40"/>
      <c r="AR67" s="39"/>
      <c r="AS67" s="39"/>
      <c r="AT67" s="40"/>
      <c r="AU67" s="40"/>
      <c r="AV67" s="23"/>
    </row>
    <row r="68" spans="1:48" ht="15.75" x14ac:dyDescent="0.25">
      <c r="A68" s="44"/>
      <c r="B68" s="23"/>
      <c r="C68" s="23"/>
      <c r="D68" s="39"/>
      <c r="E68" s="39"/>
      <c r="F68" s="40"/>
      <c r="G68" s="40"/>
      <c r="H68" s="41"/>
      <c r="I68" s="39"/>
      <c r="J68" s="40"/>
      <c r="K68" s="40"/>
      <c r="L68" s="41"/>
      <c r="M68" s="39"/>
      <c r="N68" s="40"/>
      <c r="O68" s="40"/>
      <c r="P68" s="39"/>
      <c r="Q68" s="39"/>
      <c r="R68" s="40"/>
      <c r="S68" s="40"/>
      <c r="T68" s="39"/>
      <c r="U68" s="39"/>
      <c r="V68" s="40"/>
      <c r="W68" s="40"/>
      <c r="X68" s="41"/>
      <c r="Y68" s="41"/>
      <c r="Z68" s="40"/>
      <c r="AA68" s="40"/>
      <c r="AB68" s="41"/>
      <c r="AC68" s="41"/>
      <c r="AD68" s="40"/>
      <c r="AE68" s="40"/>
      <c r="AF68" s="42"/>
      <c r="AG68" s="42"/>
      <c r="AH68" s="40"/>
      <c r="AI68" s="40"/>
      <c r="AJ68" s="42"/>
      <c r="AK68" s="42"/>
      <c r="AL68" s="40"/>
      <c r="AM68" s="40"/>
      <c r="AN68" s="40"/>
      <c r="AO68" s="40"/>
      <c r="AP68" s="40"/>
      <c r="AQ68" s="40"/>
      <c r="AR68" s="39"/>
      <c r="AS68" s="39"/>
      <c r="AT68" s="40"/>
      <c r="AU68" s="40"/>
      <c r="AV68" s="23"/>
    </row>
    <row r="69" spans="1:48" ht="15.75" x14ac:dyDescent="0.25">
      <c r="A69" s="44"/>
      <c r="B69" s="23"/>
      <c r="C69" s="23"/>
      <c r="D69" s="39"/>
      <c r="E69" s="39"/>
      <c r="F69" s="40"/>
      <c r="G69" s="40"/>
      <c r="H69" s="41"/>
      <c r="I69" s="39"/>
      <c r="J69" s="40"/>
      <c r="K69" s="40"/>
      <c r="L69" s="41"/>
      <c r="M69" s="39"/>
      <c r="N69" s="40"/>
      <c r="O69" s="40"/>
      <c r="P69" s="39"/>
      <c r="Q69" s="39"/>
      <c r="R69" s="40"/>
      <c r="S69" s="40"/>
      <c r="T69" s="39"/>
      <c r="U69" s="39"/>
      <c r="V69" s="40"/>
      <c r="W69" s="40"/>
      <c r="X69" s="41"/>
      <c r="Y69" s="41"/>
      <c r="Z69" s="40"/>
      <c r="AA69" s="40"/>
      <c r="AB69" s="41"/>
      <c r="AC69" s="41"/>
      <c r="AD69" s="40"/>
      <c r="AE69" s="40"/>
      <c r="AF69" s="42"/>
      <c r="AG69" s="42"/>
      <c r="AH69" s="40"/>
      <c r="AI69" s="40"/>
      <c r="AJ69" s="42"/>
      <c r="AK69" s="42"/>
      <c r="AL69" s="40"/>
      <c r="AM69" s="40"/>
      <c r="AN69" s="40"/>
      <c r="AO69" s="40"/>
      <c r="AP69" s="40"/>
      <c r="AQ69" s="40"/>
      <c r="AR69" s="39"/>
      <c r="AS69" s="39"/>
      <c r="AT69" s="40"/>
      <c r="AU69" s="40"/>
      <c r="AV69" s="23"/>
    </row>
    <row r="70" spans="1:48" ht="15.75" x14ac:dyDescent="0.25">
      <c r="A70" s="44"/>
      <c r="B70" s="23"/>
      <c r="C70" s="23"/>
      <c r="D70" s="39"/>
      <c r="E70" s="39"/>
      <c r="F70" s="40"/>
      <c r="G70" s="40"/>
      <c r="H70" s="41"/>
      <c r="I70" s="39"/>
      <c r="J70" s="40"/>
      <c r="K70" s="40"/>
      <c r="L70" s="41"/>
      <c r="M70" s="39"/>
      <c r="N70" s="40"/>
      <c r="O70" s="40"/>
      <c r="P70" s="39"/>
      <c r="Q70" s="39"/>
      <c r="R70" s="40"/>
      <c r="S70" s="40"/>
      <c r="T70" s="39"/>
      <c r="U70" s="39"/>
      <c r="V70" s="40"/>
      <c r="W70" s="40"/>
      <c r="X70" s="41"/>
      <c r="Y70" s="41"/>
      <c r="Z70" s="40"/>
      <c r="AA70" s="40"/>
      <c r="AB70" s="41"/>
      <c r="AC70" s="41"/>
      <c r="AD70" s="40"/>
      <c r="AE70" s="40"/>
      <c r="AF70" s="42"/>
      <c r="AG70" s="42"/>
      <c r="AH70" s="40"/>
      <c r="AI70" s="40"/>
      <c r="AJ70" s="42"/>
      <c r="AK70" s="42"/>
      <c r="AL70" s="40"/>
      <c r="AM70" s="40"/>
      <c r="AN70" s="40"/>
      <c r="AO70" s="40"/>
      <c r="AP70" s="40"/>
      <c r="AQ70" s="40"/>
      <c r="AR70" s="39"/>
      <c r="AS70" s="39"/>
      <c r="AT70" s="40"/>
      <c r="AU70" s="40"/>
      <c r="AV70" s="23"/>
    </row>
    <row r="71" spans="1:48" ht="15.75" x14ac:dyDescent="0.25">
      <c r="A71" s="44"/>
      <c r="B71" s="23"/>
      <c r="C71" s="23"/>
      <c r="D71" s="39"/>
      <c r="E71" s="39"/>
      <c r="F71" s="40"/>
      <c r="G71" s="40"/>
      <c r="H71" s="41"/>
      <c r="I71" s="39"/>
      <c r="J71" s="40"/>
      <c r="K71" s="40"/>
      <c r="L71" s="41"/>
      <c r="M71" s="39"/>
      <c r="N71" s="40"/>
      <c r="O71" s="40"/>
      <c r="P71" s="39"/>
      <c r="Q71" s="39"/>
      <c r="R71" s="40"/>
      <c r="S71" s="40"/>
      <c r="T71" s="39"/>
      <c r="U71" s="39"/>
      <c r="V71" s="40"/>
      <c r="W71" s="40"/>
      <c r="X71" s="41"/>
      <c r="Y71" s="41"/>
      <c r="Z71" s="40"/>
      <c r="AA71" s="40"/>
      <c r="AB71" s="41"/>
      <c r="AC71" s="41"/>
      <c r="AD71" s="40"/>
      <c r="AE71" s="40"/>
      <c r="AF71" s="42"/>
      <c r="AG71" s="42"/>
      <c r="AH71" s="40"/>
      <c r="AI71" s="40"/>
      <c r="AJ71" s="42"/>
      <c r="AK71" s="42"/>
      <c r="AL71" s="40"/>
      <c r="AM71" s="40"/>
      <c r="AN71" s="40"/>
      <c r="AO71" s="40"/>
      <c r="AP71" s="40"/>
      <c r="AQ71" s="40"/>
      <c r="AR71" s="39"/>
      <c r="AS71" s="39"/>
      <c r="AT71" s="40"/>
      <c r="AU71" s="40"/>
      <c r="AV71" s="23"/>
    </row>
    <row r="72" spans="1:48" ht="15.75" x14ac:dyDescent="0.25">
      <c r="A72" s="44"/>
      <c r="B72" s="23"/>
      <c r="C72" s="23"/>
      <c r="D72" s="39"/>
      <c r="E72" s="39"/>
      <c r="F72" s="40"/>
      <c r="G72" s="40"/>
      <c r="H72" s="41"/>
      <c r="I72" s="39"/>
      <c r="J72" s="40"/>
      <c r="K72" s="40"/>
      <c r="L72" s="41"/>
      <c r="M72" s="39"/>
      <c r="N72" s="40"/>
      <c r="O72" s="40"/>
      <c r="P72" s="39"/>
      <c r="Q72" s="39"/>
      <c r="R72" s="40"/>
      <c r="S72" s="40"/>
      <c r="T72" s="39"/>
      <c r="U72" s="39"/>
      <c r="V72" s="40"/>
      <c r="W72" s="40"/>
      <c r="X72" s="41"/>
      <c r="Y72" s="41"/>
      <c r="Z72" s="40"/>
      <c r="AA72" s="40"/>
      <c r="AB72" s="41"/>
      <c r="AC72" s="41"/>
      <c r="AD72" s="40"/>
      <c r="AE72" s="40"/>
      <c r="AF72" s="42"/>
      <c r="AG72" s="42"/>
      <c r="AH72" s="40"/>
      <c r="AI72" s="40"/>
      <c r="AJ72" s="42"/>
      <c r="AK72" s="42"/>
      <c r="AL72" s="40"/>
      <c r="AM72" s="40"/>
      <c r="AN72" s="40"/>
      <c r="AO72" s="40"/>
      <c r="AP72" s="40"/>
      <c r="AQ72" s="40"/>
      <c r="AR72" s="39"/>
      <c r="AS72" s="39"/>
      <c r="AT72" s="40"/>
      <c r="AU72" s="40"/>
      <c r="AV72" s="23"/>
    </row>
    <row r="73" spans="1:48" ht="15.75" x14ac:dyDescent="0.25">
      <c r="A73" s="44"/>
      <c r="B73" s="23"/>
      <c r="C73" s="23"/>
      <c r="D73" s="39"/>
      <c r="E73" s="39"/>
      <c r="F73" s="40"/>
      <c r="G73" s="40"/>
      <c r="H73" s="41"/>
      <c r="I73" s="39"/>
      <c r="J73" s="40"/>
      <c r="K73" s="40"/>
      <c r="L73" s="41"/>
      <c r="M73" s="39"/>
      <c r="N73" s="40"/>
      <c r="O73" s="40"/>
      <c r="P73" s="39"/>
      <c r="Q73" s="39"/>
      <c r="R73" s="40"/>
      <c r="S73" s="40"/>
      <c r="T73" s="39"/>
      <c r="U73" s="39"/>
      <c r="V73" s="40"/>
      <c r="W73" s="40"/>
      <c r="X73" s="41"/>
      <c r="Y73" s="41"/>
      <c r="Z73" s="40"/>
      <c r="AA73" s="40"/>
      <c r="AB73" s="41"/>
      <c r="AC73" s="41"/>
      <c r="AD73" s="40"/>
      <c r="AE73" s="40"/>
      <c r="AF73" s="42"/>
      <c r="AG73" s="42"/>
      <c r="AH73" s="40"/>
      <c r="AI73" s="40"/>
      <c r="AJ73" s="42"/>
      <c r="AK73" s="42"/>
      <c r="AL73" s="40"/>
      <c r="AM73" s="40"/>
      <c r="AN73" s="40"/>
      <c r="AO73" s="40"/>
      <c r="AP73" s="40"/>
      <c r="AQ73" s="40"/>
      <c r="AR73" s="39"/>
      <c r="AS73" s="39"/>
      <c r="AT73" s="40"/>
      <c r="AU73" s="40"/>
      <c r="AV73" s="23"/>
    </row>
    <row r="74" spans="1:48" ht="15.75" x14ac:dyDescent="0.25">
      <c r="A74" s="44"/>
      <c r="B74" s="23"/>
      <c r="C74" s="23"/>
      <c r="D74" s="39"/>
      <c r="E74" s="39"/>
      <c r="F74" s="40"/>
      <c r="G74" s="40"/>
      <c r="H74" s="41"/>
      <c r="I74" s="39"/>
      <c r="J74" s="40"/>
      <c r="K74" s="40"/>
      <c r="L74" s="41"/>
      <c r="M74" s="39"/>
      <c r="N74" s="40"/>
      <c r="O74" s="40"/>
      <c r="P74" s="39"/>
      <c r="Q74" s="39"/>
      <c r="R74" s="40"/>
      <c r="S74" s="40"/>
      <c r="T74" s="39"/>
      <c r="U74" s="39"/>
      <c r="V74" s="40"/>
      <c r="W74" s="40"/>
      <c r="X74" s="41"/>
      <c r="Y74" s="41"/>
      <c r="Z74" s="40"/>
      <c r="AA74" s="40"/>
      <c r="AB74" s="41"/>
      <c r="AC74" s="41"/>
      <c r="AD74" s="40"/>
      <c r="AE74" s="40"/>
      <c r="AF74" s="42"/>
      <c r="AG74" s="42"/>
      <c r="AH74" s="40"/>
      <c r="AI74" s="40"/>
      <c r="AJ74" s="42"/>
      <c r="AK74" s="42"/>
      <c r="AL74" s="40"/>
      <c r="AM74" s="40"/>
      <c r="AN74" s="40"/>
      <c r="AO74" s="40"/>
      <c r="AP74" s="40"/>
      <c r="AQ74" s="40"/>
      <c r="AR74" s="39"/>
      <c r="AS74" s="39"/>
      <c r="AT74" s="40"/>
      <c r="AU74" s="40"/>
      <c r="AV74" s="23"/>
    </row>
    <row r="75" spans="1:48" ht="15.75" x14ac:dyDescent="0.25">
      <c r="A75" s="44"/>
      <c r="B75" s="23"/>
      <c r="C75" s="23"/>
      <c r="D75" s="39"/>
      <c r="E75" s="39"/>
      <c r="F75" s="40"/>
      <c r="G75" s="40"/>
      <c r="H75" s="41"/>
      <c r="I75" s="39"/>
      <c r="J75" s="40"/>
      <c r="K75" s="40"/>
      <c r="L75" s="41"/>
      <c r="M75" s="39"/>
      <c r="N75" s="40"/>
      <c r="O75" s="40"/>
      <c r="P75" s="39"/>
      <c r="Q75" s="39"/>
      <c r="R75" s="40"/>
      <c r="S75" s="40"/>
      <c r="T75" s="39"/>
      <c r="U75" s="39"/>
      <c r="V75" s="40"/>
      <c r="W75" s="40"/>
      <c r="X75" s="41"/>
      <c r="Y75" s="41"/>
      <c r="Z75" s="40"/>
      <c r="AA75" s="40"/>
      <c r="AB75" s="41"/>
      <c r="AC75" s="41"/>
      <c r="AD75" s="40"/>
      <c r="AE75" s="40"/>
      <c r="AF75" s="42"/>
      <c r="AG75" s="42"/>
      <c r="AH75" s="40"/>
      <c r="AI75" s="40"/>
      <c r="AJ75" s="42"/>
      <c r="AK75" s="42"/>
      <c r="AL75" s="40"/>
      <c r="AM75" s="40"/>
      <c r="AN75" s="40"/>
      <c r="AO75" s="40"/>
      <c r="AP75" s="40"/>
      <c r="AQ75" s="40"/>
      <c r="AR75" s="39"/>
      <c r="AS75" s="39"/>
      <c r="AT75" s="40"/>
      <c r="AU75" s="40"/>
      <c r="AV75" s="23"/>
    </row>
    <row r="76" spans="1:48" ht="15.75" x14ac:dyDescent="0.25">
      <c r="A76" s="44"/>
      <c r="B76" s="23"/>
      <c r="C76" s="23"/>
      <c r="D76" s="39"/>
      <c r="E76" s="39"/>
      <c r="F76" s="40"/>
      <c r="G76" s="40"/>
      <c r="H76" s="41"/>
      <c r="I76" s="39"/>
      <c r="J76" s="40"/>
      <c r="K76" s="40"/>
      <c r="L76" s="41"/>
      <c r="M76" s="39"/>
      <c r="N76" s="40"/>
      <c r="O76" s="40"/>
      <c r="P76" s="39"/>
      <c r="Q76" s="39"/>
      <c r="R76" s="40"/>
      <c r="S76" s="40"/>
      <c r="T76" s="39"/>
      <c r="U76" s="39"/>
      <c r="V76" s="40"/>
      <c r="W76" s="40"/>
      <c r="X76" s="41"/>
      <c r="Y76" s="41"/>
      <c r="Z76" s="40"/>
      <c r="AA76" s="40"/>
      <c r="AB76" s="41"/>
      <c r="AC76" s="41"/>
      <c r="AD76" s="40"/>
      <c r="AE76" s="40"/>
      <c r="AF76" s="42"/>
      <c r="AG76" s="42"/>
      <c r="AH76" s="40"/>
      <c r="AI76" s="40"/>
      <c r="AJ76" s="42"/>
      <c r="AK76" s="42"/>
      <c r="AL76" s="40"/>
      <c r="AM76" s="40"/>
      <c r="AN76" s="40"/>
      <c r="AO76" s="40"/>
      <c r="AP76" s="40"/>
      <c r="AQ76" s="40"/>
      <c r="AR76" s="39"/>
      <c r="AS76" s="39"/>
      <c r="AT76" s="40"/>
      <c r="AU76" s="40"/>
      <c r="AV76" s="23"/>
    </row>
    <row r="77" spans="1:48" ht="15.75" x14ac:dyDescent="0.25">
      <c r="A77" s="44"/>
      <c r="B77" s="23"/>
      <c r="C77" s="23"/>
      <c r="D77" s="39"/>
      <c r="E77" s="39"/>
      <c r="F77" s="40"/>
      <c r="G77" s="40"/>
      <c r="H77" s="41"/>
      <c r="I77" s="39"/>
      <c r="J77" s="40"/>
      <c r="K77" s="40"/>
      <c r="L77" s="41"/>
      <c r="M77" s="39"/>
      <c r="N77" s="40"/>
      <c r="O77" s="40"/>
      <c r="P77" s="39"/>
      <c r="Q77" s="39"/>
      <c r="R77" s="40"/>
      <c r="S77" s="40"/>
      <c r="T77" s="39"/>
      <c r="U77" s="39"/>
      <c r="V77" s="40"/>
      <c r="W77" s="40"/>
      <c r="X77" s="41"/>
      <c r="Y77" s="41"/>
      <c r="Z77" s="40"/>
      <c r="AA77" s="40"/>
      <c r="AB77" s="41"/>
      <c r="AC77" s="41"/>
      <c r="AD77" s="40"/>
      <c r="AE77" s="40"/>
      <c r="AF77" s="42"/>
      <c r="AG77" s="42"/>
      <c r="AH77" s="40"/>
      <c r="AI77" s="40"/>
      <c r="AJ77" s="42"/>
      <c r="AK77" s="42"/>
      <c r="AL77" s="40"/>
      <c r="AM77" s="40"/>
      <c r="AN77" s="40"/>
      <c r="AO77" s="40"/>
      <c r="AP77" s="40"/>
      <c r="AQ77" s="40"/>
      <c r="AR77" s="39"/>
      <c r="AS77" s="39"/>
      <c r="AT77" s="40"/>
      <c r="AU77" s="40"/>
      <c r="AV77" s="23"/>
    </row>
    <row r="78" spans="1:48" ht="15.75" x14ac:dyDescent="0.25">
      <c r="A78" s="44"/>
      <c r="B78" s="23"/>
      <c r="C78" s="23"/>
      <c r="D78" s="39"/>
      <c r="E78" s="39"/>
      <c r="F78" s="40"/>
      <c r="G78" s="40"/>
      <c r="H78" s="41"/>
      <c r="I78" s="39"/>
      <c r="J78" s="40"/>
      <c r="K78" s="40"/>
      <c r="L78" s="41"/>
      <c r="M78" s="39"/>
      <c r="N78" s="40"/>
      <c r="O78" s="40"/>
      <c r="P78" s="39"/>
      <c r="Q78" s="39"/>
      <c r="R78" s="40"/>
      <c r="S78" s="40"/>
      <c r="T78" s="39"/>
      <c r="U78" s="39"/>
      <c r="V78" s="40"/>
      <c r="W78" s="40"/>
      <c r="X78" s="41"/>
      <c r="Y78" s="41"/>
      <c r="Z78" s="40"/>
      <c r="AA78" s="40"/>
      <c r="AB78" s="41"/>
      <c r="AC78" s="41"/>
      <c r="AD78" s="40"/>
      <c r="AE78" s="40"/>
      <c r="AF78" s="42"/>
      <c r="AG78" s="42"/>
      <c r="AH78" s="40"/>
      <c r="AI78" s="40"/>
      <c r="AJ78" s="42"/>
      <c r="AK78" s="42"/>
      <c r="AL78" s="40"/>
      <c r="AM78" s="40"/>
      <c r="AN78" s="40"/>
      <c r="AO78" s="40"/>
      <c r="AP78" s="40"/>
      <c r="AQ78" s="40"/>
      <c r="AR78" s="39"/>
      <c r="AS78" s="39"/>
      <c r="AT78" s="40"/>
      <c r="AU78" s="40"/>
      <c r="AV78" s="23"/>
    </row>
    <row r="79" spans="1:48" ht="15.75" x14ac:dyDescent="0.25">
      <c r="A79" s="44"/>
      <c r="B79" s="23"/>
      <c r="C79" s="23"/>
      <c r="D79" s="39"/>
      <c r="E79" s="39"/>
      <c r="F79" s="40"/>
      <c r="G79" s="40"/>
      <c r="H79" s="41"/>
      <c r="I79" s="39"/>
      <c r="J79" s="40"/>
      <c r="K79" s="40"/>
      <c r="L79" s="41"/>
      <c r="M79" s="39"/>
      <c r="N79" s="40"/>
      <c r="O79" s="40"/>
      <c r="P79" s="39"/>
      <c r="Q79" s="39"/>
      <c r="R79" s="40"/>
      <c r="S79" s="40"/>
      <c r="T79" s="39"/>
      <c r="U79" s="39"/>
      <c r="V79" s="40"/>
      <c r="W79" s="40"/>
      <c r="X79" s="41"/>
      <c r="Y79" s="41"/>
      <c r="Z79" s="40"/>
      <c r="AA79" s="40"/>
      <c r="AB79" s="41"/>
      <c r="AC79" s="41"/>
      <c r="AD79" s="40"/>
      <c r="AE79" s="40"/>
      <c r="AF79" s="42"/>
      <c r="AG79" s="42"/>
      <c r="AH79" s="40"/>
      <c r="AI79" s="40"/>
      <c r="AJ79" s="42"/>
      <c r="AK79" s="42"/>
      <c r="AL79" s="40"/>
      <c r="AM79" s="40"/>
      <c r="AN79" s="40"/>
      <c r="AO79" s="40"/>
      <c r="AP79" s="40"/>
      <c r="AQ79" s="40"/>
      <c r="AR79" s="39"/>
      <c r="AS79" s="39"/>
      <c r="AT79" s="40"/>
      <c r="AU79" s="40"/>
      <c r="AV79" s="23"/>
    </row>
    <row r="80" spans="1:48" ht="15.75" x14ac:dyDescent="0.25">
      <c r="A80" s="44"/>
      <c r="B80" s="23"/>
      <c r="C80" s="23"/>
      <c r="D80" s="39"/>
      <c r="E80" s="39"/>
      <c r="F80" s="40"/>
      <c r="G80" s="40"/>
      <c r="H80" s="41"/>
      <c r="I80" s="39"/>
      <c r="J80" s="40"/>
      <c r="K80" s="40"/>
      <c r="L80" s="41"/>
      <c r="M80" s="39"/>
      <c r="N80" s="40"/>
      <c r="O80" s="40"/>
      <c r="P80" s="39"/>
      <c r="Q80" s="39"/>
      <c r="R80" s="40"/>
      <c r="S80" s="40"/>
      <c r="T80" s="39"/>
      <c r="U80" s="39"/>
      <c r="V80" s="40"/>
      <c r="W80" s="40"/>
      <c r="X80" s="41"/>
      <c r="Y80" s="41"/>
      <c r="Z80" s="40"/>
      <c r="AA80" s="40"/>
      <c r="AB80" s="41"/>
      <c r="AC80" s="41"/>
      <c r="AD80" s="40"/>
      <c r="AE80" s="40"/>
      <c r="AF80" s="42"/>
      <c r="AG80" s="42"/>
      <c r="AH80" s="40"/>
      <c r="AI80" s="40"/>
      <c r="AJ80" s="42"/>
      <c r="AK80" s="42"/>
      <c r="AL80" s="40"/>
      <c r="AM80" s="40"/>
      <c r="AN80" s="40"/>
      <c r="AO80" s="40"/>
      <c r="AP80" s="40"/>
      <c r="AQ80" s="40"/>
      <c r="AR80" s="39"/>
      <c r="AS80" s="39"/>
      <c r="AT80" s="40"/>
      <c r="AU80" s="40"/>
      <c r="AV80" s="23"/>
    </row>
    <row r="81" spans="1:48" ht="15.75" x14ac:dyDescent="0.25">
      <c r="A81" s="44"/>
      <c r="B81" s="23"/>
      <c r="C81" s="23"/>
      <c r="D81" s="39"/>
      <c r="E81" s="39"/>
      <c r="F81" s="40"/>
      <c r="G81" s="40"/>
      <c r="H81" s="41"/>
      <c r="I81" s="39"/>
      <c r="J81" s="40"/>
      <c r="K81" s="40"/>
      <c r="L81" s="41"/>
      <c r="M81" s="39"/>
      <c r="N81" s="40"/>
      <c r="O81" s="40"/>
      <c r="P81" s="39"/>
      <c r="Q81" s="39"/>
      <c r="R81" s="40"/>
      <c r="S81" s="40"/>
      <c r="T81" s="39"/>
      <c r="U81" s="39"/>
      <c r="V81" s="40"/>
      <c r="W81" s="40"/>
      <c r="X81" s="41"/>
      <c r="Y81" s="41"/>
      <c r="Z81" s="40"/>
      <c r="AA81" s="40"/>
      <c r="AB81" s="41"/>
      <c r="AC81" s="41"/>
      <c r="AD81" s="40"/>
      <c r="AE81" s="40"/>
      <c r="AF81" s="42"/>
      <c r="AG81" s="42"/>
      <c r="AH81" s="40"/>
      <c r="AI81" s="40"/>
      <c r="AJ81" s="42"/>
      <c r="AK81" s="42"/>
      <c r="AL81" s="40"/>
      <c r="AM81" s="40"/>
      <c r="AN81" s="40"/>
      <c r="AO81" s="40"/>
      <c r="AP81" s="40"/>
      <c r="AQ81" s="40"/>
      <c r="AR81" s="39"/>
      <c r="AS81" s="39"/>
      <c r="AT81" s="40"/>
      <c r="AU81" s="40"/>
      <c r="AV81" s="23"/>
    </row>
    <row r="82" spans="1:48" ht="15.75" x14ac:dyDescent="0.25">
      <c r="A82" s="44"/>
      <c r="B82" s="23"/>
      <c r="C82" s="23"/>
      <c r="D82" s="39"/>
      <c r="E82" s="39"/>
      <c r="F82" s="40"/>
      <c r="G82" s="40"/>
      <c r="H82" s="41"/>
      <c r="I82" s="39"/>
      <c r="J82" s="40"/>
      <c r="K82" s="40"/>
      <c r="L82" s="41"/>
      <c r="M82" s="39"/>
      <c r="N82" s="40"/>
      <c r="O82" s="40"/>
      <c r="P82" s="39"/>
      <c r="Q82" s="39"/>
      <c r="R82" s="40"/>
      <c r="S82" s="40"/>
      <c r="T82" s="39"/>
      <c r="U82" s="39"/>
      <c r="V82" s="40"/>
      <c r="W82" s="40"/>
      <c r="X82" s="41"/>
      <c r="Y82" s="41"/>
      <c r="Z82" s="40"/>
      <c r="AA82" s="40"/>
      <c r="AB82" s="41"/>
      <c r="AC82" s="41"/>
      <c r="AD82" s="40"/>
      <c r="AE82" s="40"/>
      <c r="AF82" s="42"/>
      <c r="AG82" s="42"/>
      <c r="AH82" s="40"/>
      <c r="AI82" s="40"/>
      <c r="AJ82" s="42"/>
      <c r="AK82" s="42"/>
      <c r="AL82" s="40"/>
      <c r="AM82" s="40"/>
      <c r="AN82" s="40"/>
      <c r="AO82" s="40"/>
      <c r="AP82" s="40"/>
      <c r="AQ82" s="40"/>
      <c r="AR82" s="39"/>
      <c r="AS82" s="39"/>
      <c r="AT82" s="40"/>
      <c r="AU82" s="40"/>
      <c r="AV82" s="23"/>
    </row>
    <row r="83" spans="1:48" ht="15.75" x14ac:dyDescent="0.25">
      <c r="A83" s="44"/>
      <c r="B83" s="23"/>
      <c r="C83" s="23"/>
      <c r="D83" s="39"/>
      <c r="E83" s="39"/>
      <c r="F83" s="40"/>
      <c r="G83" s="40"/>
      <c r="H83" s="41"/>
      <c r="I83" s="39"/>
      <c r="J83" s="40"/>
      <c r="K83" s="40"/>
      <c r="L83" s="41"/>
      <c r="M83" s="39"/>
      <c r="N83" s="40"/>
      <c r="O83" s="40"/>
      <c r="P83" s="39"/>
      <c r="Q83" s="39"/>
      <c r="R83" s="40"/>
      <c r="S83" s="40"/>
      <c r="T83" s="39"/>
      <c r="U83" s="39"/>
      <c r="V83" s="40"/>
      <c r="W83" s="40"/>
      <c r="X83" s="41"/>
      <c r="Y83" s="41"/>
      <c r="Z83" s="40"/>
      <c r="AA83" s="40"/>
      <c r="AB83" s="41"/>
      <c r="AC83" s="41"/>
      <c r="AD83" s="40"/>
      <c r="AE83" s="40"/>
      <c r="AF83" s="42"/>
      <c r="AG83" s="42"/>
      <c r="AH83" s="40"/>
      <c r="AI83" s="40"/>
      <c r="AJ83" s="42"/>
      <c r="AK83" s="42"/>
      <c r="AL83" s="40"/>
      <c r="AM83" s="40"/>
      <c r="AN83" s="40"/>
      <c r="AO83" s="40"/>
      <c r="AP83" s="40"/>
      <c r="AQ83" s="40"/>
      <c r="AR83" s="39"/>
      <c r="AS83" s="39"/>
      <c r="AT83" s="40"/>
      <c r="AU83" s="40"/>
      <c r="AV83" s="23"/>
    </row>
    <row r="84" spans="1:48" ht="15.75" x14ac:dyDescent="0.25">
      <c r="A84" s="44"/>
      <c r="B84" s="23"/>
      <c r="C84" s="23"/>
      <c r="D84" s="39"/>
      <c r="E84" s="39"/>
      <c r="F84" s="40"/>
      <c r="G84" s="40"/>
      <c r="H84" s="41"/>
      <c r="I84" s="39"/>
      <c r="J84" s="40"/>
      <c r="K84" s="40"/>
      <c r="L84" s="41"/>
      <c r="M84" s="39"/>
      <c r="N84" s="40"/>
      <c r="O84" s="40"/>
      <c r="P84" s="39"/>
      <c r="Q84" s="39"/>
      <c r="R84" s="40"/>
      <c r="S84" s="40"/>
      <c r="T84" s="39"/>
      <c r="U84" s="39"/>
      <c r="V84" s="40"/>
      <c r="W84" s="40"/>
      <c r="X84" s="41"/>
      <c r="Y84" s="41"/>
      <c r="Z84" s="40"/>
      <c r="AA84" s="40"/>
      <c r="AB84" s="41"/>
      <c r="AC84" s="41"/>
      <c r="AD84" s="40"/>
      <c r="AE84" s="40"/>
      <c r="AF84" s="42"/>
      <c r="AG84" s="42"/>
      <c r="AH84" s="40"/>
      <c r="AI84" s="40"/>
      <c r="AJ84" s="42"/>
      <c r="AK84" s="42"/>
      <c r="AL84" s="40"/>
      <c r="AM84" s="40"/>
      <c r="AN84" s="40"/>
      <c r="AO84" s="40"/>
      <c r="AP84" s="40"/>
      <c r="AQ84" s="40"/>
      <c r="AR84" s="39"/>
      <c r="AS84" s="39"/>
      <c r="AT84" s="40"/>
      <c r="AU84" s="40"/>
      <c r="AV84" s="23"/>
    </row>
    <row r="85" spans="1:48" ht="15.75" x14ac:dyDescent="0.25">
      <c r="A85" s="44"/>
      <c r="B85" s="23"/>
      <c r="C85" s="23"/>
      <c r="D85" s="39"/>
      <c r="E85" s="39"/>
      <c r="F85" s="40"/>
      <c r="G85" s="40"/>
      <c r="H85" s="41"/>
      <c r="I85" s="39"/>
      <c r="J85" s="40"/>
      <c r="K85" s="40"/>
      <c r="L85" s="41"/>
      <c r="M85" s="39"/>
      <c r="N85" s="40"/>
      <c r="O85" s="40"/>
      <c r="P85" s="39"/>
      <c r="Q85" s="39"/>
      <c r="R85" s="40"/>
      <c r="S85" s="40"/>
      <c r="T85" s="39"/>
      <c r="U85" s="39"/>
      <c r="V85" s="40"/>
      <c r="W85" s="40"/>
      <c r="X85" s="41"/>
      <c r="Y85" s="41"/>
      <c r="Z85" s="40"/>
      <c r="AA85" s="40"/>
      <c r="AB85" s="41"/>
      <c r="AC85" s="41"/>
      <c r="AD85" s="40"/>
      <c r="AE85" s="40"/>
      <c r="AF85" s="42"/>
      <c r="AG85" s="42"/>
      <c r="AH85" s="40"/>
      <c r="AI85" s="40"/>
      <c r="AJ85" s="42"/>
      <c r="AK85" s="42"/>
      <c r="AL85" s="40"/>
      <c r="AM85" s="40"/>
      <c r="AN85" s="40"/>
      <c r="AO85" s="40"/>
      <c r="AP85" s="40"/>
      <c r="AQ85" s="40"/>
      <c r="AR85" s="39"/>
      <c r="AS85" s="39"/>
      <c r="AT85" s="40"/>
      <c r="AU85" s="40"/>
      <c r="AV85" s="23"/>
    </row>
    <row r="86" spans="1:48" ht="15.75" x14ac:dyDescent="0.25">
      <c r="A86" s="44"/>
      <c r="B86" s="23"/>
      <c r="C86" s="23"/>
      <c r="D86" s="39"/>
      <c r="E86" s="39"/>
      <c r="F86" s="40"/>
      <c r="G86" s="40"/>
      <c r="H86" s="41"/>
      <c r="I86" s="39"/>
      <c r="J86" s="40"/>
      <c r="K86" s="40"/>
      <c r="L86" s="41"/>
      <c r="M86" s="39"/>
      <c r="N86" s="40"/>
      <c r="O86" s="40"/>
      <c r="P86" s="39"/>
      <c r="Q86" s="39"/>
      <c r="R86" s="40"/>
      <c r="S86" s="40"/>
      <c r="T86" s="39"/>
      <c r="U86" s="39"/>
      <c r="V86" s="40"/>
      <c r="W86" s="40"/>
      <c r="X86" s="41"/>
      <c r="Y86" s="41"/>
      <c r="Z86" s="40"/>
      <c r="AA86" s="40"/>
      <c r="AB86" s="41"/>
      <c r="AC86" s="41"/>
      <c r="AD86" s="40"/>
      <c r="AE86" s="40"/>
      <c r="AF86" s="42"/>
      <c r="AG86" s="42"/>
      <c r="AH86" s="40"/>
      <c r="AI86" s="40"/>
      <c r="AJ86" s="42"/>
      <c r="AK86" s="42"/>
      <c r="AL86" s="40"/>
      <c r="AM86" s="40"/>
      <c r="AN86" s="40"/>
      <c r="AO86" s="40"/>
      <c r="AP86" s="40"/>
      <c r="AQ86" s="40"/>
      <c r="AR86" s="39"/>
      <c r="AS86" s="39"/>
      <c r="AT86" s="40"/>
      <c r="AU86" s="40"/>
      <c r="AV86" s="23"/>
    </row>
    <row r="87" spans="1:48" ht="15.75" x14ac:dyDescent="0.25">
      <c r="A87" s="44"/>
      <c r="B87" s="23"/>
      <c r="C87" s="23"/>
      <c r="D87" s="39"/>
      <c r="E87" s="39"/>
      <c r="F87" s="40"/>
      <c r="G87" s="40"/>
      <c r="H87" s="41"/>
      <c r="I87" s="39"/>
      <c r="J87" s="40"/>
      <c r="K87" s="40"/>
      <c r="L87" s="41"/>
      <c r="M87" s="39"/>
      <c r="N87" s="40"/>
      <c r="O87" s="40"/>
      <c r="P87" s="39"/>
      <c r="Q87" s="39"/>
      <c r="R87" s="40"/>
      <c r="S87" s="40"/>
      <c r="T87" s="39"/>
      <c r="U87" s="39"/>
      <c r="V87" s="40"/>
      <c r="W87" s="40"/>
      <c r="X87" s="41"/>
      <c r="Y87" s="41"/>
      <c r="Z87" s="40"/>
      <c r="AA87" s="40"/>
      <c r="AB87" s="41"/>
      <c r="AC87" s="41"/>
      <c r="AD87" s="40"/>
      <c r="AE87" s="40"/>
      <c r="AF87" s="42"/>
      <c r="AG87" s="42"/>
      <c r="AH87" s="40"/>
      <c r="AI87" s="40"/>
      <c r="AJ87" s="42"/>
      <c r="AK87" s="42"/>
      <c r="AL87" s="40"/>
      <c r="AM87" s="40"/>
      <c r="AN87" s="40"/>
      <c r="AO87" s="40"/>
      <c r="AP87" s="40"/>
      <c r="AQ87" s="40"/>
      <c r="AR87" s="39"/>
      <c r="AS87" s="39"/>
      <c r="AT87" s="40"/>
      <c r="AU87" s="40"/>
      <c r="AV87" s="23"/>
    </row>
    <row r="88" spans="1:48" ht="15.75" x14ac:dyDescent="0.25">
      <c r="A88" s="44"/>
      <c r="B88" s="23"/>
      <c r="C88" s="23"/>
      <c r="D88" s="39"/>
      <c r="E88" s="39"/>
      <c r="F88" s="40"/>
      <c r="G88" s="40"/>
      <c r="H88" s="41"/>
      <c r="I88" s="39"/>
      <c r="J88" s="40"/>
      <c r="K88" s="40"/>
      <c r="L88" s="41"/>
      <c r="M88" s="39"/>
      <c r="N88" s="40"/>
      <c r="O88" s="40"/>
      <c r="P88" s="39"/>
      <c r="Q88" s="39"/>
      <c r="R88" s="40"/>
      <c r="S88" s="40"/>
      <c r="T88" s="39"/>
      <c r="U88" s="39"/>
      <c r="V88" s="40"/>
      <c r="W88" s="40"/>
      <c r="X88" s="41"/>
      <c r="Y88" s="41"/>
      <c r="Z88" s="40"/>
      <c r="AA88" s="40"/>
      <c r="AB88" s="41"/>
      <c r="AC88" s="41"/>
      <c r="AD88" s="40"/>
      <c r="AE88" s="40"/>
      <c r="AF88" s="42"/>
      <c r="AG88" s="42"/>
      <c r="AH88" s="40"/>
      <c r="AI88" s="40"/>
      <c r="AJ88" s="42"/>
      <c r="AK88" s="42"/>
      <c r="AL88" s="40"/>
      <c r="AM88" s="40"/>
      <c r="AN88" s="40"/>
      <c r="AO88" s="40"/>
      <c r="AP88" s="40"/>
      <c r="AQ88" s="40"/>
      <c r="AR88" s="39"/>
      <c r="AS88" s="39"/>
      <c r="AT88" s="40"/>
      <c r="AU88" s="40"/>
      <c r="AV88" s="23"/>
    </row>
    <row r="89" spans="1:48" ht="15.75" x14ac:dyDescent="0.25">
      <c r="A89" s="44"/>
      <c r="B89" s="23"/>
      <c r="C89" s="23"/>
      <c r="D89" s="39"/>
      <c r="E89" s="39"/>
      <c r="F89" s="40"/>
      <c r="G89" s="40"/>
      <c r="H89" s="41"/>
      <c r="I89" s="39"/>
      <c r="J89" s="40"/>
      <c r="K89" s="40"/>
      <c r="L89" s="41"/>
      <c r="M89" s="39"/>
      <c r="N89" s="40"/>
      <c r="O89" s="40"/>
      <c r="P89" s="39"/>
      <c r="Q89" s="39"/>
      <c r="R89" s="40"/>
      <c r="S89" s="40"/>
      <c r="T89" s="39"/>
      <c r="U89" s="39"/>
      <c r="V89" s="40"/>
      <c r="W89" s="40"/>
      <c r="X89" s="41"/>
      <c r="Y89" s="41"/>
      <c r="Z89" s="40"/>
      <c r="AA89" s="40"/>
      <c r="AB89" s="41"/>
      <c r="AC89" s="41"/>
      <c r="AD89" s="40"/>
      <c r="AE89" s="40"/>
      <c r="AF89" s="42"/>
      <c r="AG89" s="42"/>
      <c r="AH89" s="40"/>
      <c r="AI89" s="40"/>
      <c r="AJ89" s="42"/>
      <c r="AK89" s="42"/>
      <c r="AL89" s="40"/>
      <c r="AM89" s="40"/>
      <c r="AN89" s="40"/>
      <c r="AO89" s="40"/>
      <c r="AP89" s="40"/>
      <c r="AQ89" s="40"/>
      <c r="AR89" s="39"/>
      <c r="AS89" s="39"/>
      <c r="AT89" s="40"/>
      <c r="AU89" s="40"/>
      <c r="AV89" s="23"/>
    </row>
    <row r="90" spans="1:48" ht="15.75" x14ac:dyDescent="0.25">
      <c r="A90" s="44"/>
      <c r="B90" s="23"/>
      <c r="C90" s="23"/>
      <c r="D90" s="39"/>
      <c r="E90" s="39"/>
      <c r="F90" s="40"/>
      <c r="G90" s="40"/>
      <c r="H90" s="41"/>
      <c r="I90" s="39"/>
      <c r="J90" s="40"/>
      <c r="K90" s="40"/>
      <c r="L90" s="41"/>
      <c r="M90" s="39"/>
      <c r="N90" s="40"/>
      <c r="O90" s="40"/>
      <c r="P90" s="39"/>
      <c r="Q90" s="39"/>
      <c r="R90" s="40"/>
      <c r="S90" s="40"/>
      <c r="T90" s="39"/>
      <c r="U90" s="39"/>
      <c r="V90" s="40"/>
      <c r="W90" s="40"/>
      <c r="X90" s="41"/>
      <c r="Y90" s="41"/>
      <c r="Z90" s="40"/>
      <c r="AA90" s="40"/>
      <c r="AB90" s="41"/>
      <c r="AC90" s="41"/>
      <c r="AD90" s="40"/>
      <c r="AE90" s="40"/>
      <c r="AF90" s="42"/>
      <c r="AG90" s="42"/>
      <c r="AH90" s="40"/>
      <c r="AI90" s="40"/>
      <c r="AJ90" s="42"/>
      <c r="AK90" s="42"/>
      <c r="AL90" s="40"/>
      <c r="AM90" s="40"/>
      <c r="AN90" s="40"/>
      <c r="AO90" s="40"/>
      <c r="AP90" s="40"/>
      <c r="AQ90" s="40"/>
      <c r="AR90" s="39"/>
      <c r="AS90" s="39"/>
      <c r="AT90" s="40"/>
      <c r="AU90" s="40"/>
      <c r="AV90" s="23"/>
    </row>
    <row r="91" spans="1:48" ht="15.75" x14ac:dyDescent="0.25">
      <c r="A91" s="44"/>
      <c r="B91" s="23"/>
      <c r="C91" s="23"/>
      <c r="D91" s="39"/>
      <c r="E91" s="39"/>
      <c r="F91" s="40"/>
      <c r="G91" s="40"/>
      <c r="H91" s="41"/>
      <c r="I91" s="39"/>
      <c r="J91" s="40"/>
      <c r="K91" s="40"/>
      <c r="L91" s="41"/>
      <c r="M91" s="39"/>
      <c r="N91" s="40"/>
      <c r="O91" s="40"/>
      <c r="P91" s="39"/>
      <c r="Q91" s="39"/>
      <c r="R91" s="40"/>
      <c r="S91" s="40"/>
      <c r="T91" s="39"/>
      <c r="U91" s="39"/>
      <c r="V91" s="40"/>
      <c r="W91" s="40"/>
      <c r="X91" s="41"/>
      <c r="Y91" s="41"/>
      <c r="Z91" s="40"/>
      <c r="AA91" s="40"/>
      <c r="AB91" s="41"/>
      <c r="AC91" s="41"/>
      <c r="AD91" s="40"/>
      <c r="AE91" s="40"/>
      <c r="AF91" s="42"/>
      <c r="AG91" s="42"/>
      <c r="AH91" s="40"/>
      <c r="AI91" s="40"/>
      <c r="AJ91" s="42"/>
      <c r="AK91" s="42"/>
      <c r="AL91" s="40"/>
      <c r="AM91" s="40"/>
      <c r="AN91" s="40"/>
      <c r="AO91" s="40"/>
      <c r="AP91" s="40"/>
      <c r="AQ91" s="40"/>
      <c r="AR91" s="39"/>
      <c r="AS91" s="39"/>
      <c r="AT91" s="40"/>
      <c r="AU91" s="40"/>
      <c r="AV91" s="23"/>
    </row>
    <row r="92" spans="1:48" ht="15.75" x14ac:dyDescent="0.25">
      <c r="A92" s="44"/>
      <c r="B92" s="23"/>
      <c r="C92" s="23"/>
      <c r="D92" s="39"/>
      <c r="E92" s="39"/>
      <c r="F92" s="40"/>
      <c r="G92" s="40"/>
      <c r="H92" s="41"/>
      <c r="I92" s="39"/>
      <c r="J92" s="40"/>
      <c r="K92" s="40"/>
      <c r="L92" s="41"/>
      <c r="M92" s="39"/>
      <c r="N92" s="40"/>
      <c r="O92" s="40"/>
      <c r="P92" s="39"/>
      <c r="Q92" s="39"/>
      <c r="R92" s="40"/>
      <c r="S92" s="40"/>
      <c r="T92" s="39"/>
      <c r="U92" s="39"/>
      <c r="V92" s="40"/>
      <c r="W92" s="40"/>
      <c r="X92" s="41"/>
      <c r="Y92" s="41"/>
      <c r="Z92" s="40"/>
      <c r="AA92" s="40"/>
      <c r="AB92" s="41"/>
      <c r="AC92" s="41"/>
      <c r="AD92" s="40"/>
      <c r="AE92" s="40"/>
      <c r="AF92" s="42"/>
      <c r="AG92" s="42"/>
      <c r="AH92" s="40"/>
      <c r="AI92" s="40"/>
      <c r="AJ92" s="42"/>
      <c r="AK92" s="42"/>
      <c r="AL92" s="40"/>
      <c r="AM92" s="40"/>
      <c r="AN92" s="40"/>
      <c r="AO92" s="40"/>
      <c r="AP92" s="40"/>
      <c r="AQ92" s="40"/>
      <c r="AR92" s="39"/>
      <c r="AS92" s="39"/>
      <c r="AT92" s="40"/>
      <c r="AU92" s="40"/>
      <c r="AV92" s="23"/>
    </row>
    <row r="93" spans="1:48" ht="15.75" x14ac:dyDescent="0.25">
      <c r="A93" s="44"/>
      <c r="B93" s="23"/>
      <c r="C93" s="23"/>
      <c r="D93" s="39"/>
      <c r="E93" s="39"/>
      <c r="F93" s="40"/>
      <c r="G93" s="40"/>
      <c r="H93" s="41"/>
      <c r="I93" s="39"/>
      <c r="J93" s="40"/>
      <c r="K93" s="40"/>
      <c r="L93" s="41"/>
      <c r="M93" s="39"/>
      <c r="N93" s="40"/>
      <c r="O93" s="40"/>
      <c r="P93" s="39"/>
      <c r="Q93" s="39"/>
      <c r="R93" s="40"/>
      <c r="S93" s="40"/>
      <c r="T93" s="39"/>
      <c r="U93" s="39"/>
      <c r="V93" s="40"/>
      <c r="W93" s="40"/>
      <c r="X93" s="41"/>
      <c r="Y93" s="41"/>
      <c r="Z93" s="40"/>
      <c r="AA93" s="40"/>
      <c r="AB93" s="41"/>
      <c r="AC93" s="41"/>
      <c r="AD93" s="40"/>
      <c r="AE93" s="40"/>
      <c r="AF93" s="42"/>
      <c r="AG93" s="42"/>
      <c r="AH93" s="40"/>
      <c r="AI93" s="40"/>
      <c r="AJ93" s="42"/>
      <c r="AK93" s="42"/>
      <c r="AL93" s="40"/>
      <c r="AM93" s="40"/>
      <c r="AN93" s="40"/>
      <c r="AO93" s="40"/>
      <c r="AP93" s="40"/>
      <c r="AQ93" s="40"/>
      <c r="AR93" s="39"/>
      <c r="AS93" s="39"/>
      <c r="AT93" s="40"/>
      <c r="AU93" s="40"/>
      <c r="AV93" s="23"/>
    </row>
    <row r="94" spans="1:48" ht="15.75" x14ac:dyDescent="0.25">
      <c r="A94" s="44"/>
      <c r="B94" s="23"/>
      <c r="C94" s="23"/>
      <c r="D94" s="39"/>
      <c r="E94" s="39"/>
      <c r="F94" s="40"/>
      <c r="G94" s="40"/>
      <c r="H94" s="41"/>
      <c r="I94" s="39"/>
      <c r="J94" s="40"/>
      <c r="K94" s="40"/>
      <c r="L94" s="41"/>
      <c r="M94" s="39"/>
      <c r="N94" s="40"/>
      <c r="O94" s="40"/>
      <c r="P94" s="39"/>
      <c r="Q94" s="39"/>
      <c r="R94" s="40"/>
      <c r="S94" s="40"/>
      <c r="T94" s="39"/>
      <c r="U94" s="39"/>
      <c r="V94" s="40"/>
      <c r="W94" s="40"/>
      <c r="X94" s="41"/>
      <c r="Y94" s="41"/>
      <c r="Z94" s="40"/>
      <c r="AA94" s="40"/>
      <c r="AB94" s="41"/>
      <c r="AC94" s="41"/>
      <c r="AD94" s="40"/>
      <c r="AE94" s="40"/>
      <c r="AF94" s="42"/>
      <c r="AG94" s="42"/>
      <c r="AH94" s="40"/>
      <c r="AI94" s="40"/>
      <c r="AJ94" s="42"/>
      <c r="AK94" s="42"/>
      <c r="AL94" s="40"/>
      <c r="AM94" s="40"/>
      <c r="AN94" s="40"/>
      <c r="AO94" s="40"/>
      <c r="AP94" s="40"/>
      <c r="AQ94" s="40"/>
      <c r="AR94" s="39"/>
      <c r="AS94" s="39"/>
      <c r="AT94" s="40"/>
      <c r="AU94" s="40"/>
      <c r="AV94" s="23"/>
    </row>
    <row r="95" spans="1:48" ht="15.75" x14ac:dyDescent="0.25">
      <c r="A95" s="44"/>
      <c r="B95" s="23"/>
      <c r="C95" s="23"/>
      <c r="D95" s="39"/>
      <c r="E95" s="39"/>
      <c r="F95" s="40"/>
      <c r="G95" s="40"/>
      <c r="H95" s="41"/>
      <c r="I95" s="39"/>
      <c r="J95" s="40"/>
      <c r="K95" s="40"/>
      <c r="L95" s="41"/>
      <c r="M95" s="39"/>
      <c r="N95" s="40"/>
      <c r="O95" s="40"/>
      <c r="P95" s="39"/>
      <c r="Q95" s="39"/>
      <c r="R95" s="40"/>
      <c r="S95" s="40"/>
      <c r="T95" s="39"/>
      <c r="U95" s="39"/>
      <c r="V95" s="40"/>
      <c r="W95" s="40"/>
      <c r="X95" s="41"/>
      <c r="Y95" s="41"/>
      <c r="Z95" s="40"/>
      <c r="AA95" s="40"/>
      <c r="AB95" s="41"/>
      <c r="AC95" s="41"/>
      <c r="AD95" s="40"/>
      <c r="AE95" s="40"/>
      <c r="AF95" s="42"/>
      <c r="AG95" s="42"/>
      <c r="AH95" s="40"/>
      <c r="AI95" s="40"/>
      <c r="AJ95" s="42"/>
      <c r="AK95" s="42"/>
      <c r="AL95" s="40"/>
      <c r="AM95" s="40"/>
      <c r="AN95" s="40"/>
      <c r="AO95" s="40"/>
      <c r="AP95" s="40"/>
      <c r="AQ95" s="40"/>
      <c r="AR95" s="39"/>
      <c r="AS95" s="39"/>
      <c r="AT95" s="40"/>
      <c r="AU95" s="40"/>
      <c r="AV95" s="23"/>
    </row>
    <row r="96" spans="1:48" ht="15.75" x14ac:dyDescent="0.25">
      <c r="A96" s="44"/>
      <c r="B96" s="23"/>
      <c r="C96" s="23"/>
      <c r="D96" s="39"/>
      <c r="E96" s="39"/>
      <c r="F96" s="40"/>
      <c r="G96" s="40"/>
      <c r="H96" s="41"/>
      <c r="I96" s="39"/>
      <c r="J96" s="40"/>
      <c r="K96" s="40"/>
      <c r="L96" s="41"/>
      <c r="M96" s="39"/>
      <c r="N96" s="40"/>
      <c r="O96" s="40"/>
      <c r="P96" s="39"/>
      <c r="Q96" s="39"/>
      <c r="R96" s="40"/>
      <c r="S96" s="40"/>
      <c r="T96" s="39"/>
      <c r="U96" s="39"/>
      <c r="V96" s="40"/>
      <c r="W96" s="40"/>
      <c r="X96" s="41"/>
      <c r="Y96" s="41"/>
      <c r="Z96" s="40"/>
      <c r="AA96" s="40"/>
      <c r="AB96" s="41"/>
      <c r="AC96" s="41"/>
      <c r="AD96" s="40"/>
      <c r="AE96" s="40"/>
      <c r="AF96" s="42"/>
      <c r="AG96" s="42"/>
      <c r="AH96" s="40"/>
      <c r="AI96" s="40"/>
      <c r="AJ96" s="42"/>
      <c r="AK96" s="42"/>
      <c r="AL96" s="40"/>
      <c r="AM96" s="40"/>
      <c r="AN96" s="40"/>
      <c r="AO96" s="40"/>
      <c r="AP96" s="40"/>
      <c r="AQ96" s="40"/>
      <c r="AR96" s="39"/>
      <c r="AS96" s="39"/>
      <c r="AT96" s="40"/>
      <c r="AU96" s="40"/>
      <c r="AV96" s="23"/>
    </row>
    <row r="97" spans="1:48" ht="15.75" x14ac:dyDescent="0.25">
      <c r="A97" s="44"/>
      <c r="B97" s="23"/>
      <c r="C97" s="23"/>
      <c r="D97" s="39"/>
      <c r="E97" s="39"/>
      <c r="F97" s="40"/>
      <c r="G97" s="40"/>
      <c r="H97" s="41"/>
      <c r="I97" s="39"/>
      <c r="J97" s="40"/>
      <c r="K97" s="40"/>
      <c r="L97" s="41"/>
      <c r="M97" s="39"/>
      <c r="N97" s="40"/>
      <c r="O97" s="40"/>
      <c r="P97" s="39"/>
      <c r="Q97" s="39"/>
      <c r="R97" s="40"/>
      <c r="S97" s="40"/>
      <c r="T97" s="39"/>
      <c r="U97" s="39"/>
      <c r="V97" s="40"/>
      <c r="W97" s="40"/>
      <c r="X97" s="41"/>
      <c r="Y97" s="41"/>
      <c r="Z97" s="40"/>
      <c r="AA97" s="40"/>
      <c r="AB97" s="41"/>
      <c r="AC97" s="41"/>
      <c r="AD97" s="40"/>
      <c r="AE97" s="40"/>
      <c r="AF97" s="42"/>
      <c r="AG97" s="42"/>
      <c r="AH97" s="40"/>
      <c r="AI97" s="40"/>
      <c r="AJ97" s="42"/>
      <c r="AK97" s="42"/>
      <c r="AL97" s="40"/>
      <c r="AM97" s="40"/>
      <c r="AN97" s="40"/>
      <c r="AO97" s="40"/>
      <c r="AP97" s="40"/>
      <c r="AQ97" s="40"/>
      <c r="AR97" s="39"/>
      <c r="AS97" s="39"/>
      <c r="AT97" s="40"/>
      <c r="AU97" s="40"/>
      <c r="AV97" s="23"/>
    </row>
    <row r="98" spans="1:48" ht="15.75" x14ac:dyDescent="0.25">
      <c r="A98" s="44"/>
      <c r="B98" s="23"/>
      <c r="C98" s="23"/>
      <c r="D98" s="39"/>
      <c r="E98" s="39"/>
      <c r="F98" s="40"/>
      <c r="G98" s="40"/>
      <c r="H98" s="41"/>
      <c r="I98" s="39"/>
      <c r="J98" s="40"/>
      <c r="K98" s="40"/>
      <c r="L98" s="41"/>
      <c r="M98" s="39"/>
      <c r="N98" s="40"/>
      <c r="O98" s="40"/>
      <c r="P98" s="39"/>
      <c r="Q98" s="39"/>
      <c r="R98" s="40"/>
      <c r="S98" s="40"/>
      <c r="T98" s="39"/>
      <c r="U98" s="39"/>
      <c r="V98" s="40"/>
      <c r="W98" s="40"/>
      <c r="X98" s="41"/>
      <c r="Y98" s="41"/>
      <c r="Z98" s="40"/>
      <c r="AA98" s="40"/>
      <c r="AB98" s="41"/>
      <c r="AC98" s="41"/>
      <c r="AD98" s="40"/>
      <c r="AE98" s="40"/>
      <c r="AF98" s="42"/>
      <c r="AG98" s="42"/>
      <c r="AH98" s="40"/>
      <c r="AI98" s="40"/>
      <c r="AJ98" s="42"/>
      <c r="AK98" s="42"/>
      <c r="AL98" s="40"/>
      <c r="AM98" s="40"/>
      <c r="AN98" s="40"/>
      <c r="AO98" s="40"/>
      <c r="AP98" s="40"/>
      <c r="AQ98" s="40"/>
      <c r="AR98" s="39"/>
      <c r="AS98" s="39"/>
      <c r="AT98" s="40"/>
      <c r="AU98" s="40"/>
      <c r="AV98" s="23"/>
    </row>
    <row r="99" spans="1:48" ht="15.75" x14ac:dyDescent="0.25">
      <c r="A99" s="44"/>
      <c r="B99" s="23"/>
      <c r="C99" s="23"/>
      <c r="D99" s="39"/>
      <c r="E99" s="39"/>
      <c r="F99" s="40"/>
      <c r="G99" s="40"/>
      <c r="H99" s="41"/>
      <c r="I99" s="39"/>
      <c r="J99" s="40"/>
      <c r="K99" s="40"/>
      <c r="L99" s="41"/>
      <c r="M99" s="39"/>
      <c r="N99" s="40"/>
      <c r="O99" s="40"/>
      <c r="P99" s="39"/>
      <c r="Q99" s="39"/>
      <c r="R99" s="40"/>
      <c r="S99" s="40"/>
      <c r="T99" s="39"/>
      <c r="U99" s="39"/>
      <c r="V99" s="40"/>
      <c r="W99" s="40"/>
      <c r="X99" s="41"/>
      <c r="Y99" s="41"/>
      <c r="Z99" s="40"/>
      <c r="AA99" s="40"/>
      <c r="AB99" s="41"/>
      <c r="AC99" s="41"/>
      <c r="AD99" s="40"/>
      <c r="AE99" s="40"/>
      <c r="AF99" s="42"/>
      <c r="AG99" s="42"/>
      <c r="AH99" s="40"/>
      <c r="AI99" s="40"/>
      <c r="AJ99" s="42"/>
      <c r="AK99" s="42"/>
      <c r="AL99" s="40"/>
      <c r="AM99" s="40"/>
      <c r="AN99" s="40"/>
      <c r="AO99" s="40"/>
      <c r="AP99" s="40"/>
      <c r="AQ99" s="40"/>
      <c r="AR99" s="39"/>
      <c r="AS99" s="39"/>
      <c r="AT99" s="40"/>
      <c r="AU99" s="40"/>
      <c r="AV99" s="23"/>
    </row>
    <row r="100" spans="1:48" ht="15.75" x14ac:dyDescent="0.25">
      <c r="A100" s="44"/>
      <c r="B100" s="23"/>
      <c r="C100" s="23"/>
      <c r="D100" s="39"/>
      <c r="E100" s="39"/>
      <c r="F100" s="40"/>
      <c r="G100" s="40"/>
      <c r="H100" s="41"/>
      <c r="I100" s="39"/>
      <c r="J100" s="40"/>
      <c r="K100" s="40"/>
      <c r="L100" s="41"/>
      <c r="M100" s="39"/>
      <c r="N100" s="40"/>
      <c r="O100" s="40"/>
      <c r="P100" s="39"/>
      <c r="Q100" s="39"/>
      <c r="R100" s="40"/>
      <c r="S100" s="40"/>
      <c r="T100" s="39"/>
      <c r="U100" s="39"/>
      <c r="V100" s="40"/>
      <c r="W100" s="40"/>
      <c r="X100" s="41"/>
      <c r="Y100" s="41"/>
      <c r="Z100" s="40"/>
      <c r="AA100" s="40"/>
      <c r="AB100" s="41"/>
      <c r="AC100" s="41"/>
      <c r="AD100" s="40"/>
      <c r="AE100" s="40"/>
      <c r="AF100" s="42"/>
      <c r="AG100" s="42"/>
      <c r="AH100" s="40"/>
      <c r="AI100" s="40"/>
      <c r="AJ100" s="42"/>
      <c r="AK100" s="42"/>
      <c r="AL100" s="40"/>
      <c r="AM100" s="40"/>
      <c r="AN100" s="40"/>
      <c r="AO100" s="40"/>
      <c r="AP100" s="40"/>
      <c r="AQ100" s="40"/>
      <c r="AR100" s="39"/>
      <c r="AS100" s="39"/>
      <c r="AT100" s="40"/>
      <c r="AU100" s="40"/>
      <c r="AV100" s="23"/>
    </row>
    <row r="101" spans="1:48" ht="15.75" x14ac:dyDescent="0.25">
      <c r="A101" s="44"/>
      <c r="B101" s="23"/>
      <c r="C101" s="23"/>
      <c r="D101" s="39"/>
      <c r="E101" s="39"/>
      <c r="F101" s="40"/>
      <c r="G101" s="40"/>
      <c r="H101" s="41"/>
      <c r="I101" s="39"/>
      <c r="J101" s="40"/>
      <c r="K101" s="40"/>
      <c r="L101" s="41"/>
      <c r="M101" s="39"/>
      <c r="N101" s="40"/>
      <c r="O101" s="40"/>
      <c r="P101" s="39"/>
      <c r="Q101" s="39"/>
      <c r="R101" s="40"/>
      <c r="S101" s="40"/>
      <c r="T101" s="39"/>
      <c r="U101" s="39"/>
      <c r="V101" s="40"/>
      <c r="W101" s="40"/>
      <c r="X101" s="41"/>
      <c r="Y101" s="41"/>
      <c r="Z101" s="40"/>
      <c r="AA101" s="40"/>
      <c r="AB101" s="41"/>
      <c r="AC101" s="41"/>
      <c r="AD101" s="40"/>
      <c r="AE101" s="40"/>
      <c r="AF101" s="42"/>
      <c r="AG101" s="42"/>
      <c r="AH101" s="40"/>
      <c r="AI101" s="40"/>
      <c r="AJ101" s="42"/>
      <c r="AK101" s="42"/>
      <c r="AL101" s="40"/>
      <c r="AM101" s="40"/>
      <c r="AN101" s="40"/>
      <c r="AO101" s="40"/>
      <c r="AP101" s="40"/>
      <c r="AQ101" s="40"/>
      <c r="AR101" s="39"/>
      <c r="AS101" s="39"/>
      <c r="AT101" s="40"/>
      <c r="AU101" s="40"/>
      <c r="AV101" s="23"/>
    </row>
    <row r="102" spans="1:48" ht="15.75" x14ac:dyDescent="0.25">
      <c r="A102" s="44"/>
      <c r="B102" s="23"/>
      <c r="C102" s="23"/>
      <c r="D102" s="39"/>
      <c r="E102" s="39"/>
      <c r="F102" s="40"/>
      <c r="G102" s="40"/>
      <c r="H102" s="41"/>
      <c r="I102" s="39"/>
      <c r="J102" s="40"/>
      <c r="K102" s="40"/>
      <c r="L102" s="41"/>
      <c r="M102" s="39"/>
      <c r="N102" s="40"/>
      <c r="O102" s="40"/>
      <c r="P102" s="39"/>
      <c r="Q102" s="39"/>
      <c r="R102" s="40"/>
      <c r="S102" s="40"/>
      <c r="T102" s="39"/>
      <c r="U102" s="39"/>
      <c r="V102" s="40"/>
      <c r="W102" s="40"/>
      <c r="X102" s="41"/>
      <c r="Y102" s="41"/>
      <c r="Z102" s="40"/>
      <c r="AA102" s="40"/>
      <c r="AB102" s="41"/>
      <c r="AC102" s="41"/>
      <c r="AD102" s="40"/>
      <c r="AE102" s="40"/>
      <c r="AF102" s="42"/>
      <c r="AG102" s="42"/>
      <c r="AH102" s="40"/>
      <c r="AI102" s="40"/>
      <c r="AJ102" s="42"/>
      <c r="AK102" s="42"/>
      <c r="AL102" s="40"/>
      <c r="AM102" s="40"/>
      <c r="AN102" s="40"/>
      <c r="AO102" s="40"/>
      <c r="AP102" s="40"/>
      <c r="AQ102" s="40"/>
      <c r="AR102" s="39"/>
      <c r="AS102" s="39"/>
      <c r="AT102" s="40"/>
      <c r="AU102" s="40"/>
      <c r="AV102" s="23"/>
    </row>
    <row r="103" spans="1:48" ht="15.75" x14ac:dyDescent="0.25">
      <c r="A103" s="44"/>
      <c r="B103" s="23"/>
      <c r="C103" s="23"/>
      <c r="D103" s="39"/>
      <c r="E103" s="39"/>
      <c r="F103" s="40"/>
      <c r="G103" s="40"/>
      <c r="H103" s="41"/>
      <c r="I103" s="39"/>
      <c r="J103" s="40"/>
      <c r="K103" s="40"/>
      <c r="L103" s="41"/>
      <c r="M103" s="39"/>
      <c r="N103" s="40"/>
      <c r="O103" s="40"/>
      <c r="P103" s="39"/>
      <c r="Q103" s="39"/>
      <c r="R103" s="40"/>
      <c r="S103" s="40"/>
      <c r="T103" s="39"/>
      <c r="U103" s="39"/>
      <c r="V103" s="40"/>
      <c r="W103" s="40"/>
      <c r="X103" s="41"/>
      <c r="Y103" s="41"/>
      <c r="Z103" s="40"/>
      <c r="AA103" s="40"/>
      <c r="AB103" s="41"/>
      <c r="AC103" s="41"/>
      <c r="AD103" s="40"/>
      <c r="AE103" s="40"/>
      <c r="AF103" s="42"/>
      <c r="AG103" s="42"/>
      <c r="AH103" s="40"/>
      <c r="AI103" s="40"/>
      <c r="AJ103" s="42"/>
      <c r="AK103" s="42"/>
      <c r="AL103" s="40"/>
      <c r="AM103" s="40"/>
      <c r="AN103" s="40"/>
      <c r="AO103" s="40"/>
      <c r="AP103" s="40"/>
      <c r="AQ103" s="40"/>
      <c r="AR103" s="39"/>
      <c r="AS103" s="39"/>
      <c r="AT103" s="40"/>
      <c r="AU103" s="40"/>
      <c r="AV103" s="23"/>
    </row>
    <row r="104" spans="1:48" ht="15.75" x14ac:dyDescent="0.25">
      <c r="A104" s="44"/>
      <c r="B104" s="23"/>
      <c r="C104" s="23"/>
      <c r="D104" s="39"/>
      <c r="E104" s="39"/>
      <c r="F104" s="40"/>
      <c r="G104" s="40"/>
      <c r="H104" s="41"/>
      <c r="I104" s="39"/>
      <c r="J104" s="40"/>
      <c r="K104" s="40"/>
      <c r="L104" s="41"/>
      <c r="M104" s="39"/>
      <c r="N104" s="40"/>
      <c r="O104" s="40"/>
      <c r="P104" s="39"/>
      <c r="Q104" s="39"/>
      <c r="R104" s="40"/>
      <c r="S104" s="40"/>
      <c r="T104" s="39"/>
      <c r="U104" s="39"/>
      <c r="V104" s="40"/>
      <c r="W104" s="40"/>
      <c r="X104" s="41"/>
      <c r="Y104" s="41"/>
      <c r="Z104" s="40"/>
      <c r="AA104" s="40"/>
      <c r="AB104" s="41"/>
      <c r="AC104" s="41"/>
      <c r="AD104" s="40"/>
      <c r="AE104" s="40"/>
      <c r="AF104" s="42"/>
      <c r="AG104" s="42"/>
      <c r="AH104" s="40"/>
      <c r="AI104" s="40"/>
      <c r="AJ104" s="42"/>
      <c r="AK104" s="42"/>
      <c r="AL104" s="40"/>
      <c r="AM104" s="40"/>
      <c r="AN104" s="40"/>
      <c r="AO104" s="40"/>
      <c r="AP104" s="40"/>
      <c r="AQ104" s="40"/>
      <c r="AR104" s="39"/>
      <c r="AS104" s="39"/>
      <c r="AT104" s="40"/>
      <c r="AU104" s="40"/>
      <c r="AV104" s="23"/>
    </row>
    <row r="105" spans="1:48" ht="15.75" x14ac:dyDescent="0.25">
      <c r="A105" s="44"/>
      <c r="B105" s="23"/>
      <c r="C105" s="23"/>
      <c r="D105" s="39"/>
      <c r="E105" s="39"/>
      <c r="F105" s="40"/>
      <c r="G105" s="40"/>
      <c r="H105" s="41"/>
      <c r="I105" s="39"/>
      <c r="J105" s="40"/>
      <c r="K105" s="40"/>
      <c r="L105" s="41"/>
      <c r="M105" s="39"/>
      <c r="N105" s="40"/>
      <c r="O105" s="40"/>
      <c r="P105" s="39"/>
      <c r="Q105" s="39"/>
      <c r="R105" s="40"/>
      <c r="S105" s="40"/>
      <c r="T105" s="39"/>
      <c r="U105" s="39"/>
      <c r="V105" s="40"/>
      <c r="W105" s="40"/>
      <c r="X105" s="41"/>
      <c r="Y105" s="41"/>
      <c r="Z105" s="40"/>
      <c r="AA105" s="40"/>
      <c r="AB105" s="41"/>
      <c r="AC105" s="41"/>
      <c r="AD105" s="40"/>
      <c r="AE105" s="40"/>
      <c r="AF105" s="42"/>
      <c r="AG105" s="42"/>
      <c r="AH105" s="40"/>
      <c r="AI105" s="40"/>
      <c r="AJ105" s="42"/>
      <c r="AK105" s="42"/>
      <c r="AL105" s="40"/>
      <c r="AM105" s="40"/>
      <c r="AN105" s="40"/>
      <c r="AO105" s="40"/>
      <c r="AP105" s="40"/>
      <c r="AQ105" s="40"/>
      <c r="AR105" s="39"/>
      <c r="AS105" s="39"/>
      <c r="AT105" s="40"/>
      <c r="AU105" s="40"/>
      <c r="AV105" s="23"/>
    </row>
    <row r="106" spans="1:48" ht="15.75" x14ac:dyDescent="0.25">
      <c r="A106" s="44"/>
      <c r="B106" s="23"/>
      <c r="C106" s="23"/>
      <c r="D106" s="39"/>
      <c r="E106" s="39"/>
      <c r="F106" s="40"/>
      <c r="G106" s="40"/>
      <c r="H106" s="41"/>
      <c r="I106" s="39"/>
      <c r="J106" s="40"/>
      <c r="K106" s="40"/>
      <c r="L106" s="41"/>
      <c r="M106" s="39"/>
      <c r="N106" s="40"/>
      <c r="O106" s="40"/>
      <c r="P106" s="39"/>
      <c r="Q106" s="39"/>
      <c r="R106" s="40"/>
      <c r="S106" s="40"/>
      <c r="T106" s="39"/>
      <c r="U106" s="39"/>
      <c r="V106" s="40"/>
      <c r="W106" s="40"/>
      <c r="X106" s="41"/>
      <c r="Y106" s="41"/>
      <c r="Z106" s="40"/>
      <c r="AA106" s="40"/>
      <c r="AB106" s="41"/>
      <c r="AC106" s="41"/>
      <c r="AD106" s="40"/>
      <c r="AE106" s="40"/>
      <c r="AF106" s="42"/>
      <c r="AG106" s="42"/>
      <c r="AH106" s="40"/>
      <c r="AI106" s="40"/>
      <c r="AJ106" s="42"/>
      <c r="AK106" s="42"/>
      <c r="AL106" s="40"/>
      <c r="AM106" s="40"/>
      <c r="AN106" s="40"/>
      <c r="AO106" s="40"/>
      <c r="AP106" s="40"/>
      <c r="AQ106" s="40"/>
      <c r="AR106" s="39"/>
      <c r="AS106" s="39"/>
      <c r="AT106" s="40"/>
      <c r="AU106" s="40"/>
      <c r="AV106" s="23"/>
    </row>
    <row r="107" spans="1:48" ht="15.75" x14ac:dyDescent="0.25">
      <c r="A107" s="44"/>
      <c r="B107" s="23"/>
      <c r="C107" s="23"/>
      <c r="D107" s="39"/>
      <c r="E107" s="39"/>
      <c r="F107" s="40"/>
      <c r="G107" s="40"/>
      <c r="H107" s="41"/>
      <c r="I107" s="39"/>
      <c r="J107" s="40"/>
      <c r="K107" s="40"/>
      <c r="L107" s="41"/>
      <c r="M107" s="39"/>
      <c r="N107" s="40"/>
      <c r="O107" s="40"/>
      <c r="P107" s="39"/>
      <c r="Q107" s="39"/>
      <c r="R107" s="40"/>
      <c r="S107" s="40"/>
      <c r="T107" s="39"/>
      <c r="U107" s="39"/>
      <c r="V107" s="40"/>
      <c r="W107" s="40"/>
      <c r="X107" s="41"/>
      <c r="Y107" s="41"/>
      <c r="Z107" s="40"/>
      <c r="AA107" s="40"/>
      <c r="AB107" s="41"/>
      <c r="AC107" s="41"/>
      <c r="AD107" s="40"/>
      <c r="AE107" s="40"/>
      <c r="AF107" s="42"/>
      <c r="AG107" s="42"/>
      <c r="AH107" s="40"/>
      <c r="AI107" s="40"/>
      <c r="AJ107" s="42"/>
      <c r="AK107" s="42"/>
      <c r="AL107" s="40"/>
      <c r="AM107" s="40"/>
      <c r="AN107" s="40"/>
      <c r="AO107" s="40"/>
      <c r="AP107" s="40"/>
      <c r="AQ107" s="40"/>
      <c r="AR107" s="39"/>
      <c r="AS107" s="39"/>
      <c r="AT107" s="40"/>
      <c r="AU107" s="40"/>
      <c r="AV107" s="23"/>
    </row>
    <row r="108" spans="1:48" ht="15.75" x14ac:dyDescent="0.25">
      <c r="A108" s="44"/>
      <c r="B108" s="23"/>
      <c r="C108" s="23"/>
      <c r="D108" s="39"/>
      <c r="E108" s="39"/>
      <c r="F108" s="40"/>
      <c r="G108" s="40"/>
      <c r="H108" s="41"/>
      <c r="I108" s="39"/>
      <c r="J108" s="40"/>
      <c r="K108" s="40"/>
      <c r="L108" s="41"/>
      <c r="M108" s="39"/>
      <c r="N108" s="40"/>
      <c r="O108" s="40"/>
      <c r="P108" s="39"/>
      <c r="Q108" s="39"/>
      <c r="R108" s="40"/>
      <c r="S108" s="40"/>
      <c r="T108" s="39"/>
      <c r="U108" s="39"/>
      <c r="V108" s="40"/>
      <c r="W108" s="40"/>
      <c r="X108" s="41"/>
      <c r="Y108" s="41"/>
      <c r="Z108" s="40"/>
      <c r="AA108" s="40"/>
      <c r="AB108" s="41"/>
      <c r="AC108" s="41"/>
      <c r="AD108" s="40"/>
      <c r="AE108" s="40"/>
      <c r="AF108" s="42"/>
      <c r="AG108" s="42"/>
      <c r="AH108" s="40"/>
      <c r="AI108" s="40"/>
      <c r="AJ108" s="42"/>
      <c r="AK108" s="42"/>
      <c r="AL108" s="40"/>
      <c r="AM108" s="40"/>
      <c r="AN108" s="40"/>
      <c r="AO108" s="40"/>
      <c r="AP108" s="40"/>
      <c r="AQ108" s="40"/>
      <c r="AR108" s="39"/>
      <c r="AS108" s="39"/>
      <c r="AT108" s="40"/>
      <c r="AU108" s="40"/>
      <c r="AV108" s="23"/>
    </row>
    <row r="109" spans="1:48" ht="15.75" x14ac:dyDescent="0.25">
      <c r="A109" s="44"/>
      <c r="B109" s="23"/>
      <c r="C109" s="23"/>
      <c r="D109" s="39"/>
      <c r="E109" s="39"/>
      <c r="F109" s="40"/>
      <c r="G109" s="40"/>
      <c r="H109" s="41"/>
      <c r="I109" s="39"/>
      <c r="J109" s="40"/>
      <c r="K109" s="40"/>
      <c r="L109" s="41"/>
      <c r="M109" s="39"/>
      <c r="N109" s="40"/>
      <c r="O109" s="40"/>
      <c r="P109" s="39"/>
      <c r="Q109" s="39"/>
      <c r="R109" s="40"/>
      <c r="S109" s="40"/>
      <c r="T109" s="39"/>
      <c r="U109" s="39"/>
      <c r="V109" s="40"/>
      <c r="W109" s="40"/>
      <c r="X109" s="41"/>
      <c r="Y109" s="41"/>
      <c r="Z109" s="40"/>
      <c r="AA109" s="40"/>
      <c r="AB109" s="41"/>
      <c r="AC109" s="41"/>
      <c r="AD109" s="40"/>
      <c r="AE109" s="40"/>
      <c r="AF109" s="42"/>
      <c r="AG109" s="42"/>
      <c r="AH109" s="40"/>
      <c r="AI109" s="40"/>
      <c r="AJ109" s="42"/>
      <c r="AK109" s="42"/>
      <c r="AL109" s="40"/>
      <c r="AM109" s="40"/>
      <c r="AN109" s="40"/>
      <c r="AO109" s="40"/>
      <c r="AP109" s="40"/>
      <c r="AQ109" s="40"/>
      <c r="AR109" s="39"/>
      <c r="AS109" s="39"/>
      <c r="AT109" s="40"/>
      <c r="AU109" s="40"/>
      <c r="AV109" s="23"/>
    </row>
    <row r="110" spans="1:48" ht="15.75" x14ac:dyDescent="0.25">
      <c r="A110" s="44"/>
      <c r="B110" s="23"/>
      <c r="C110" s="23"/>
      <c r="D110" s="39"/>
      <c r="E110" s="39"/>
      <c r="F110" s="40"/>
      <c r="G110" s="40"/>
      <c r="H110" s="41"/>
      <c r="I110" s="39"/>
      <c r="J110" s="40"/>
      <c r="K110" s="40"/>
      <c r="L110" s="41"/>
      <c r="M110" s="39"/>
      <c r="N110" s="40"/>
      <c r="O110" s="40"/>
      <c r="P110" s="39"/>
      <c r="Q110" s="39"/>
      <c r="R110" s="40"/>
      <c r="S110" s="40"/>
      <c r="T110" s="39"/>
      <c r="U110" s="39"/>
      <c r="V110" s="40"/>
      <c r="W110" s="40"/>
      <c r="X110" s="41"/>
      <c r="Y110" s="41"/>
      <c r="Z110" s="40"/>
      <c r="AA110" s="40"/>
      <c r="AB110" s="41"/>
      <c r="AC110" s="41"/>
      <c r="AD110" s="40"/>
      <c r="AE110" s="40"/>
      <c r="AF110" s="42"/>
      <c r="AG110" s="42"/>
      <c r="AH110" s="40"/>
      <c r="AI110" s="40"/>
      <c r="AJ110" s="42"/>
      <c r="AK110" s="42"/>
      <c r="AL110" s="40"/>
      <c r="AM110" s="40"/>
      <c r="AN110" s="40"/>
      <c r="AO110" s="40"/>
      <c r="AP110" s="40"/>
      <c r="AQ110" s="40"/>
      <c r="AR110" s="39"/>
      <c r="AS110" s="39"/>
      <c r="AT110" s="40"/>
      <c r="AU110" s="40"/>
      <c r="AV110" s="23"/>
    </row>
    <row r="111" spans="1:48" ht="15.75" x14ac:dyDescent="0.25">
      <c r="A111" s="44"/>
      <c r="B111" s="23"/>
      <c r="C111" s="23"/>
      <c r="D111" s="39"/>
      <c r="E111" s="39"/>
      <c r="F111" s="40"/>
      <c r="G111" s="40"/>
      <c r="H111" s="41"/>
      <c r="I111" s="39"/>
      <c r="J111" s="40"/>
      <c r="K111" s="40"/>
      <c r="L111" s="41"/>
      <c r="M111" s="39"/>
      <c r="N111" s="40"/>
      <c r="O111" s="40"/>
      <c r="P111" s="39"/>
      <c r="Q111" s="39"/>
      <c r="R111" s="40"/>
      <c r="S111" s="40"/>
      <c r="T111" s="39"/>
      <c r="U111" s="39"/>
      <c r="V111" s="40"/>
      <c r="W111" s="40"/>
      <c r="X111" s="41"/>
      <c r="Y111" s="41"/>
      <c r="Z111" s="40"/>
      <c r="AA111" s="40"/>
      <c r="AB111" s="41"/>
      <c r="AC111" s="41"/>
      <c r="AD111" s="40"/>
      <c r="AE111" s="40"/>
      <c r="AF111" s="42"/>
      <c r="AG111" s="42"/>
      <c r="AH111" s="40"/>
      <c r="AI111" s="40"/>
      <c r="AJ111" s="42"/>
      <c r="AK111" s="42"/>
      <c r="AL111" s="40"/>
      <c r="AM111" s="40"/>
      <c r="AN111" s="40"/>
      <c r="AO111" s="40"/>
      <c r="AP111" s="40"/>
      <c r="AQ111" s="40"/>
      <c r="AR111" s="39"/>
      <c r="AS111" s="39"/>
      <c r="AT111" s="40"/>
      <c r="AU111" s="40"/>
      <c r="AV111" s="23"/>
    </row>
    <row r="112" spans="1:48" ht="15.75" x14ac:dyDescent="0.25">
      <c r="A112" s="44"/>
      <c r="B112" s="23"/>
      <c r="C112" s="23"/>
      <c r="D112" s="39"/>
      <c r="E112" s="39"/>
      <c r="F112" s="40"/>
      <c r="G112" s="40"/>
      <c r="H112" s="41"/>
      <c r="I112" s="39"/>
      <c r="J112" s="40"/>
      <c r="K112" s="40"/>
      <c r="L112" s="41"/>
      <c r="M112" s="39"/>
      <c r="N112" s="40"/>
      <c r="O112" s="40"/>
      <c r="P112" s="39"/>
      <c r="Q112" s="39"/>
      <c r="R112" s="40"/>
      <c r="S112" s="40"/>
      <c r="T112" s="39"/>
      <c r="U112" s="39"/>
      <c r="V112" s="40"/>
      <c r="W112" s="40"/>
      <c r="X112" s="41"/>
      <c r="Y112" s="41"/>
      <c r="Z112" s="40"/>
      <c r="AA112" s="40"/>
      <c r="AB112" s="41"/>
      <c r="AC112" s="41"/>
      <c r="AD112" s="40"/>
      <c r="AE112" s="40"/>
      <c r="AF112" s="42"/>
      <c r="AG112" s="42"/>
      <c r="AH112" s="40"/>
      <c r="AI112" s="40"/>
      <c r="AJ112" s="42"/>
      <c r="AK112" s="42"/>
      <c r="AL112" s="40"/>
      <c r="AM112" s="40"/>
      <c r="AN112" s="40"/>
      <c r="AO112" s="40"/>
      <c r="AP112" s="40"/>
      <c r="AQ112" s="40"/>
      <c r="AR112" s="39"/>
      <c r="AS112" s="39"/>
      <c r="AT112" s="40"/>
      <c r="AU112" s="40"/>
      <c r="AV112" s="23"/>
    </row>
    <row r="113" spans="1:48" ht="15.75" x14ac:dyDescent="0.25">
      <c r="A113" s="44"/>
      <c r="B113" s="23"/>
      <c r="C113" s="23"/>
      <c r="D113" s="39"/>
      <c r="E113" s="39"/>
      <c r="F113" s="40"/>
      <c r="G113" s="40"/>
      <c r="H113" s="41"/>
      <c r="I113" s="39"/>
      <c r="J113" s="40"/>
      <c r="K113" s="40"/>
      <c r="L113" s="41"/>
      <c r="M113" s="39"/>
      <c r="N113" s="40"/>
      <c r="O113" s="40"/>
      <c r="P113" s="39"/>
      <c r="Q113" s="39"/>
      <c r="R113" s="40"/>
      <c r="S113" s="40"/>
      <c r="T113" s="39"/>
      <c r="U113" s="39"/>
      <c r="V113" s="40"/>
      <c r="W113" s="40"/>
      <c r="X113" s="41"/>
      <c r="Y113" s="41"/>
      <c r="Z113" s="40"/>
      <c r="AA113" s="40"/>
      <c r="AB113" s="41"/>
      <c r="AC113" s="41"/>
      <c r="AD113" s="40"/>
      <c r="AE113" s="40"/>
      <c r="AF113" s="42"/>
      <c r="AG113" s="42"/>
      <c r="AH113" s="40"/>
      <c r="AI113" s="40"/>
      <c r="AJ113" s="42"/>
      <c r="AK113" s="42"/>
      <c r="AL113" s="40"/>
      <c r="AM113" s="40"/>
      <c r="AN113" s="40"/>
      <c r="AO113" s="40"/>
      <c r="AP113" s="40"/>
      <c r="AQ113" s="40"/>
      <c r="AR113" s="39"/>
      <c r="AS113" s="39"/>
      <c r="AT113" s="40"/>
      <c r="AU113" s="40"/>
      <c r="AV113" s="23"/>
    </row>
    <row r="114" spans="1:48" ht="15.75" x14ac:dyDescent="0.25">
      <c r="A114" s="44"/>
      <c r="B114" s="23"/>
      <c r="C114" s="23"/>
      <c r="D114" s="39"/>
      <c r="E114" s="39"/>
      <c r="F114" s="40"/>
      <c r="G114" s="40"/>
      <c r="H114" s="41"/>
      <c r="I114" s="39"/>
      <c r="J114" s="40"/>
      <c r="K114" s="40"/>
      <c r="L114" s="41"/>
      <c r="M114" s="39"/>
      <c r="N114" s="40"/>
      <c r="O114" s="40"/>
      <c r="P114" s="39"/>
      <c r="Q114" s="39"/>
      <c r="R114" s="40"/>
      <c r="S114" s="40"/>
      <c r="T114" s="39"/>
      <c r="U114" s="39"/>
      <c r="V114" s="40"/>
      <c r="W114" s="40"/>
      <c r="X114" s="41"/>
      <c r="Y114" s="41"/>
      <c r="Z114" s="40"/>
      <c r="AA114" s="40"/>
      <c r="AB114" s="41"/>
      <c r="AC114" s="41"/>
      <c r="AD114" s="40"/>
      <c r="AE114" s="40"/>
      <c r="AF114" s="42"/>
      <c r="AG114" s="42"/>
      <c r="AH114" s="40"/>
      <c r="AI114" s="40"/>
      <c r="AJ114" s="42"/>
      <c r="AK114" s="42"/>
      <c r="AL114" s="40"/>
      <c r="AM114" s="40"/>
      <c r="AN114" s="40"/>
      <c r="AO114" s="40"/>
      <c r="AP114" s="40"/>
      <c r="AQ114" s="40"/>
      <c r="AR114" s="39"/>
      <c r="AS114" s="39"/>
      <c r="AT114" s="40"/>
      <c r="AU114" s="40"/>
      <c r="AV114" s="23"/>
    </row>
    <row r="115" spans="1:48" ht="15.75" x14ac:dyDescent="0.25">
      <c r="A115" s="44"/>
      <c r="B115" s="23"/>
      <c r="C115" s="23"/>
      <c r="D115" s="39"/>
      <c r="E115" s="39"/>
      <c r="F115" s="40"/>
      <c r="G115" s="40"/>
      <c r="H115" s="41"/>
      <c r="I115" s="39"/>
      <c r="J115" s="40"/>
      <c r="K115" s="40"/>
      <c r="L115" s="41"/>
      <c r="M115" s="39"/>
      <c r="N115" s="40"/>
      <c r="O115" s="40"/>
      <c r="P115" s="39"/>
      <c r="Q115" s="39"/>
      <c r="R115" s="40"/>
      <c r="S115" s="40"/>
      <c r="T115" s="39"/>
      <c r="U115" s="39"/>
      <c r="V115" s="40"/>
      <c r="W115" s="40"/>
      <c r="X115" s="41"/>
      <c r="Y115" s="41"/>
      <c r="Z115" s="40"/>
      <c r="AA115" s="40"/>
      <c r="AB115" s="41"/>
      <c r="AC115" s="41"/>
      <c r="AD115" s="40"/>
      <c r="AE115" s="40"/>
      <c r="AF115" s="42"/>
      <c r="AG115" s="42"/>
      <c r="AH115" s="40"/>
      <c r="AI115" s="40"/>
      <c r="AJ115" s="42"/>
      <c r="AK115" s="42"/>
      <c r="AL115" s="40"/>
      <c r="AM115" s="40"/>
      <c r="AN115" s="40"/>
      <c r="AO115" s="40"/>
      <c r="AP115" s="40"/>
      <c r="AQ115" s="40"/>
      <c r="AR115" s="39"/>
      <c r="AS115" s="39"/>
      <c r="AT115" s="40"/>
      <c r="AU115" s="40"/>
      <c r="AV115" s="23"/>
    </row>
    <row r="116" spans="1:48" ht="15.75" x14ac:dyDescent="0.25">
      <c r="A116" s="44"/>
      <c r="B116" s="23"/>
      <c r="C116" s="23"/>
      <c r="D116" s="39"/>
      <c r="E116" s="39"/>
      <c r="F116" s="40"/>
      <c r="G116" s="40"/>
      <c r="H116" s="41"/>
      <c r="I116" s="39"/>
      <c r="J116" s="40"/>
      <c r="K116" s="40"/>
      <c r="L116" s="41"/>
      <c r="M116" s="39"/>
      <c r="N116" s="40"/>
      <c r="O116" s="40"/>
      <c r="P116" s="39"/>
      <c r="Q116" s="39"/>
      <c r="R116" s="40"/>
      <c r="S116" s="40"/>
      <c r="T116" s="39"/>
      <c r="U116" s="39"/>
      <c r="V116" s="40"/>
      <c r="W116" s="40"/>
      <c r="X116" s="41"/>
      <c r="Y116" s="41"/>
      <c r="Z116" s="40"/>
      <c r="AA116" s="40"/>
      <c r="AB116" s="41"/>
      <c r="AC116" s="41"/>
      <c r="AD116" s="40"/>
      <c r="AE116" s="40"/>
      <c r="AF116" s="42"/>
      <c r="AG116" s="42"/>
      <c r="AH116" s="40"/>
      <c r="AI116" s="40"/>
      <c r="AJ116" s="42"/>
      <c r="AK116" s="42"/>
      <c r="AL116" s="40"/>
      <c r="AM116" s="40"/>
      <c r="AN116" s="40"/>
      <c r="AO116" s="40"/>
      <c r="AP116" s="40"/>
      <c r="AQ116" s="40"/>
      <c r="AR116" s="39"/>
      <c r="AS116" s="39"/>
      <c r="AT116" s="40"/>
      <c r="AU116" s="40"/>
      <c r="AV116" s="23"/>
    </row>
    <row r="117" spans="1:48" ht="15.75" x14ac:dyDescent="0.25">
      <c r="A117" s="44"/>
      <c r="B117" s="23"/>
      <c r="C117" s="23"/>
      <c r="D117" s="39"/>
      <c r="E117" s="39"/>
      <c r="F117" s="40"/>
      <c r="G117" s="40"/>
      <c r="H117" s="41"/>
      <c r="I117" s="39"/>
      <c r="J117" s="40"/>
      <c r="K117" s="40"/>
      <c r="L117" s="41"/>
      <c r="M117" s="39"/>
      <c r="N117" s="40"/>
      <c r="O117" s="40"/>
      <c r="P117" s="39"/>
      <c r="Q117" s="39"/>
      <c r="R117" s="40"/>
      <c r="S117" s="40"/>
      <c r="T117" s="39"/>
      <c r="U117" s="39"/>
      <c r="V117" s="40"/>
      <c r="W117" s="40"/>
      <c r="X117" s="41"/>
      <c r="Y117" s="41"/>
      <c r="Z117" s="40"/>
      <c r="AA117" s="40"/>
      <c r="AB117" s="41"/>
      <c r="AC117" s="41"/>
      <c r="AD117" s="40"/>
      <c r="AE117" s="40"/>
      <c r="AF117" s="42"/>
      <c r="AG117" s="42"/>
      <c r="AH117" s="40"/>
      <c r="AI117" s="40"/>
      <c r="AJ117" s="42"/>
      <c r="AK117" s="42"/>
      <c r="AL117" s="40"/>
      <c r="AM117" s="40"/>
      <c r="AN117" s="40"/>
      <c r="AO117" s="40"/>
      <c r="AP117" s="40"/>
      <c r="AQ117" s="40"/>
      <c r="AR117" s="39"/>
      <c r="AS117" s="39"/>
      <c r="AT117" s="40"/>
      <c r="AU117" s="40"/>
      <c r="AV117" s="23"/>
    </row>
    <row r="118" spans="1:48" ht="15.75" x14ac:dyDescent="0.25">
      <c r="A118" s="44"/>
      <c r="B118" s="23"/>
      <c r="C118" s="23"/>
      <c r="D118" s="39"/>
      <c r="E118" s="39"/>
      <c r="F118" s="40"/>
      <c r="G118" s="40"/>
      <c r="H118" s="41"/>
      <c r="I118" s="39"/>
      <c r="J118" s="40"/>
      <c r="K118" s="40"/>
      <c r="L118" s="41"/>
      <c r="M118" s="39"/>
      <c r="N118" s="40"/>
      <c r="O118" s="40"/>
      <c r="P118" s="39"/>
      <c r="Q118" s="39"/>
      <c r="R118" s="40"/>
      <c r="S118" s="40"/>
      <c r="T118" s="39"/>
      <c r="U118" s="39"/>
      <c r="V118" s="40"/>
      <c r="W118" s="40"/>
      <c r="X118" s="41"/>
      <c r="Y118" s="41"/>
      <c r="Z118" s="40"/>
      <c r="AA118" s="40"/>
      <c r="AB118" s="41"/>
      <c r="AC118" s="41"/>
      <c r="AD118" s="40"/>
      <c r="AE118" s="40"/>
      <c r="AF118" s="42"/>
      <c r="AG118" s="42"/>
      <c r="AH118" s="40"/>
      <c r="AI118" s="40"/>
      <c r="AJ118" s="42"/>
      <c r="AK118" s="42"/>
      <c r="AL118" s="40"/>
      <c r="AM118" s="40"/>
      <c r="AN118" s="40"/>
      <c r="AO118" s="40"/>
      <c r="AP118" s="40"/>
      <c r="AQ118" s="40"/>
      <c r="AR118" s="39"/>
      <c r="AS118" s="39"/>
      <c r="AT118" s="40"/>
      <c r="AU118" s="40"/>
      <c r="AV118" s="23"/>
    </row>
    <row r="119" spans="1:48" ht="15.75" x14ac:dyDescent="0.25">
      <c r="A119" s="44"/>
      <c r="B119" s="23"/>
      <c r="C119" s="23"/>
      <c r="D119" s="39"/>
      <c r="E119" s="39"/>
      <c r="F119" s="40"/>
      <c r="G119" s="40"/>
      <c r="H119" s="41"/>
      <c r="I119" s="39"/>
      <c r="J119" s="40"/>
      <c r="K119" s="40"/>
      <c r="L119" s="41"/>
      <c r="M119" s="39"/>
      <c r="N119" s="40"/>
      <c r="O119" s="40"/>
      <c r="P119" s="39"/>
      <c r="Q119" s="39"/>
      <c r="R119" s="40"/>
      <c r="S119" s="40"/>
      <c r="T119" s="39"/>
      <c r="U119" s="39"/>
      <c r="V119" s="40"/>
      <c r="W119" s="40"/>
      <c r="X119" s="41"/>
      <c r="Y119" s="41"/>
      <c r="Z119" s="40"/>
      <c r="AA119" s="40"/>
      <c r="AB119" s="41"/>
      <c r="AC119" s="41"/>
      <c r="AD119" s="40"/>
      <c r="AE119" s="40"/>
      <c r="AF119" s="42"/>
      <c r="AG119" s="42"/>
      <c r="AH119" s="40"/>
      <c r="AI119" s="40"/>
      <c r="AJ119" s="42"/>
      <c r="AK119" s="42"/>
      <c r="AL119" s="40"/>
      <c r="AM119" s="40"/>
      <c r="AN119" s="40"/>
      <c r="AO119" s="40"/>
      <c r="AP119" s="40"/>
      <c r="AQ119" s="40"/>
      <c r="AR119" s="39"/>
      <c r="AS119" s="39"/>
      <c r="AT119" s="40"/>
      <c r="AU119" s="40"/>
      <c r="AV119" s="23"/>
    </row>
    <row r="120" spans="1:48" ht="15.75" x14ac:dyDescent="0.25">
      <c r="A120" s="44"/>
      <c r="B120" s="23"/>
      <c r="C120" s="23"/>
      <c r="D120" s="39"/>
      <c r="E120" s="39"/>
      <c r="F120" s="40"/>
      <c r="G120" s="40"/>
      <c r="H120" s="41"/>
      <c r="I120" s="39"/>
      <c r="J120" s="40"/>
      <c r="K120" s="40"/>
      <c r="L120" s="41"/>
      <c r="M120" s="39"/>
      <c r="N120" s="40"/>
      <c r="O120" s="40"/>
      <c r="P120" s="39"/>
      <c r="Q120" s="39"/>
      <c r="R120" s="40"/>
      <c r="S120" s="40"/>
      <c r="T120" s="39"/>
      <c r="U120" s="39"/>
      <c r="V120" s="40"/>
      <c r="W120" s="40"/>
      <c r="X120" s="41"/>
      <c r="Y120" s="41"/>
      <c r="Z120" s="40"/>
      <c r="AA120" s="40"/>
      <c r="AB120" s="41"/>
      <c r="AC120" s="41"/>
      <c r="AD120" s="40"/>
      <c r="AE120" s="40"/>
      <c r="AF120" s="42"/>
      <c r="AG120" s="42"/>
      <c r="AH120" s="40"/>
      <c r="AI120" s="40"/>
      <c r="AJ120" s="42"/>
      <c r="AK120" s="42"/>
      <c r="AL120" s="40"/>
      <c r="AM120" s="40"/>
      <c r="AN120" s="40"/>
      <c r="AO120" s="40"/>
      <c r="AP120" s="40"/>
      <c r="AQ120" s="40"/>
      <c r="AR120" s="39"/>
      <c r="AS120" s="39"/>
      <c r="AT120" s="40"/>
      <c r="AU120" s="40"/>
      <c r="AV120" s="23"/>
    </row>
    <row r="121" spans="1:48" ht="15.75" x14ac:dyDescent="0.25">
      <c r="A121" s="44"/>
      <c r="B121" s="23"/>
      <c r="C121" s="23"/>
      <c r="D121" s="39"/>
      <c r="E121" s="39"/>
      <c r="F121" s="40"/>
      <c r="G121" s="40"/>
      <c r="H121" s="41"/>
      <c r="I121" s="39"/>
      <c r="J121" s="40"/>
      <c r="K121" s="40"/>
      <c r="L121" s="41"/>
      <c r="M121" s="39"/>
      <c r="N121" s="40"/>
      <c r="O121" s="40"/>
      <c r="P121" s="39"/>
      <c r="Q121" s="39"/>
      <c r="R121" s="40"/>
      <c r="S121" s="40"/>
      <c r="T121" s="39"/>
      <c r="U121" s="39"/>
      <c r="V121" s="40"/>
      <c r="W121" s="40"/>
      <c r="X121" s="41"/>
      <c r="Y121" s="41"/>
      <c r="Z121" s="40"/>
      <c r="AA121" s="40"/>
      <c r="AB121" s="41"/>
      <c r="AC121" s="41"/>
      <c r="AD121" s="40"/>
      <c r="AE121" s="40"/>
      <c r="AF121" s="42"/>
      <c r="AG121" s="42"/>
      <c r="AH121" s="40"/>
      <c r="AI121" s="40"/>
      <c r="AJ121" s="42"/>
      <c r="AK121" s="42"/>
      <c r="AL121" s="40"/>
      <c r="AM121" s="40"/>
      <c r="AN121" s="40"/>
      <c r="AO121" s="40"/>
      <c r="AP121" s="40"/>
      <c r="AQ121" s="40"/>
      <c r="AR121" s="39"/>
      <c r="AS121" s="39"/>
      <c r="AT121" s="40"/>
      <c r="AU121" s="40"/>
      <c r="AV121" s="23"/>
    </row>
    <row r="122" spans="1:48" ht="15.75" x14ac:dyDescent="0.25">
      <c r="A122" s="44"/>
      <c r="B122" s="23"/>
      <c r="C122" s="23"/>
      <c r="D122" s="39"/>
      <c r="E122" s="39"/>
      <c r="F122" s="40"/>
      <c r="G122" s="40"/>
      <c r="H122" s="41"/>
      <c r="I122" s="39"/>
      <c r="J122" s="40"/>
      <c r="K122" s="40"/>
      <c r="L122" s="41"/>
      <c r="M122" s="39"/>
      <c r="N122" s="40"/>
      <c r="O122" s="40"/>
      <c r="P122" s="39"/>
      <c r="Q122" s="39"/>
      <c r="R122" s="40"/>
      <c r="S122" s="40"/>
      <c r="T122" s="39"/>
      <c r="U122" s="39"/>
      <c r="V122" s="40"/>
      <c r="W122" s="40"/>
      <c r="X122" s="41"/>
      <c r="Y122" s="41"/>
      <c r="Z122" s="40"/>
      <c r="AA122" s="40"/>
      <c r="AB122" s="41"/>
      <c r="AC122" s="41"/>
      <c r="AD122" s="40"/>
      <c r="AE122" s="40"/>
      <c r="AF122" s="42"/>
      <c r="AG122" s="42"/>
      <c r="AH122" s="40"/>
      <c r="AI122" s="40"/>
      <c r="AJ122" s="42"/>
      <c r="AK122" s="42"/>
      <c r="AL122" s="40"/>
      <c r="AM122" s="40"/>
      <c r="AN122" s="40"/>
      <c r="AO122" s="40"/>
      <c r="AP122" s="40"/>
      <c r="AQ122" s="40"/>
      <c r="AR122" s="39"/>
      <c r="AS122" s="39"/>
      <c r="AT122" s="40"/>
      <c r="AU122" s="40"/>
      <c r="AV122" s="23"/>
    </row>
    <row r="123" spans="1:48" ht="15.75" x14ac:dyDescent="0.25">
      <c r="A123" s="44"/>
      <c r="B123" s="23"/>
      <c r="C123" s="23"/>
      <c r="D123" s="39"/>
      <c r="E123" s="39"/>
      <c r="F123" s="40"/>
      <c r="G123" s="40"/>
      <c r="H123" s="41"/>
      <c r="I123" s="39"/>
      <c r="J123" s="40"/>
      <c r="K123" s="40"/>
      <c r="L123" s="41"/>
      <c r="M123" s="39"/>
      <c r="N123" s="40"/>
      <c r="O123" s="40"/>
      <c r="P123" s="39"/>
      <c r="Q123" s="39"/>
      <c r="R123" s="40"/>
      <c r="S123" s="40"/>
      <c r="T123" s="39"/>
      <c r="U123" s="39"/>
      <c r="V123" s="40"/>
      <c r="W123" s="40"/>
      <c r="X123" s="41"/>
      <c r="Y123" s="41"/>
      <c r="Z123" s="40"/>
      <c r="AA123" s="40"/>
      <c r="AB123" s="41"/>
      <c r="AC123" s="41"/>
      <c r="AD123" s="40"/>
      <c r="AE123" s="40"/>
      <c r="AF123" s="42"/>
      <c r="AG123" s="42"/>
      <c r="AH123" s="40"/>
      <c r="AI123" s="40"/>
      <c r="AJ123" s="42"/>
      <c r="AK123" s="42"/>
      <c r="AL123" s="40"/>
      <c r="AM123" s="40"/>
      <c r="AN123" s="40"/>
      <c r="AO123" s="40"/>
      <c r="AP123" s="40"/>
      <c r="AQ123" s="40"/>
      <c r="AR123" s="39"/>
      <c r="AS123" s="39"/>
      <c r="AT123" s="40"/>
      <c r="AU123" s="40"/>
      <c r="AV123" s="23"/>
    </row>
    <row r="124" spans="1:48" ht="15.75" x14ac:dyDescent="0.25">
      <c r="A124" s="44"/>
      <c r="B124" s="23"/>
      <c r="C124" s="23"/>
      <c r="D124" s="39"/>
      <c r="E124" s="39"/>
      <c r="F124" s="40"/>
      <c r="G124" s="40"/>
      <c r="H124" s="41"/>
      <c r="I124" s="39"/>
      <c r="J124" s="40"/>
      <c r="K124" s="40"/>
      <c r="L124" s="41"/>
      <c r="M124" s="39"/>
      <c r="N124" s="40"/>
      <c r="O124" s="40"/>
      <c r="P124" s="39"/>
      <c r="Q124" s="39"/>
      <c r="R124" s="40"/>
      <c r="S124" s="40"/>
      <c r="T124" s="39"/>
      <c r="U124" s="39"/>
      <c r="V124" s="40"/>
      <c r="W124" s="40"/>
      <c r="X124" s="41"/>
      <c r="Y124" s="41"/>
      <c r="Z124" s="40"/>
      <c r="AA124" s="40"/>
      <c r="AB124" s="41"/>
      <c r="AC124" s="41"/>
      <c r="AD124" s="40"/>
      <c r="AE124" s="40"/>
      <c r="AF124" s="42"/>
      <c r="AG124" s="42"/>
      <c r="AH124" s="40"/>
      <c r="AI124" s="40"/>
      <c r="AJ124" s="42"/>
      <c r="AK124" s="42"/>
      <c r="AL124" s="40"/>
      <c r="AM124" s="40"/>
      <c r="AN124" s="40"/>
      <c r="AO124" s="40"/>
      <c r="AP124" s="40"/>
      <c r="AQ124" s="40"/>
      <c r="AR124" s="39"/>
      <c r="AS124" s="39"/>
      <c r="AT124" s="40"/>
      <c r="AU124" s="40"/>
      <c r="AV124" s="23"/>
    </row>
    <row r="125" spans="1:48" ht="15.75" x14ac:dyDescent="0.25">
      <c r="A125" s="44"/>
      <c r="B125" s="23"/>
      <c r="C125" s="23"/>
      <c r="D125" s="39"/>
      <c r="E125" s="39"/>
      <c r="F125" s="40"/>
      <c r="G125" s="40"/>
      <c r="H125" s="41"/>
      <c r="I125" s="39"/>
      <c r="J125" s="40"/>
      <c r="K125" s="40"/>
      <c r="L125" s="41"/>
      <c r="M125" s="39"/>
      <c r="N125" s="40"/>
      <c r="O125" s="40"/>
      <c r="P125" s="39"/>
      <c r="Q125" s="39"/>
      <c r="R125" s="40"/>
      <c r="S125" s="40"/>
      <c r="T125" s="39"/>
      <c r="U125" s="39"/>
      <c r="V125" s="40"/>
      <c r="W125" s="40"/>
      <c r="X125" s="41"/>
      <c r="Y125" s="41"/>
      <c r="Z125" s="40"/>
      <c r="AA125" s="40"/>
      <c r="AB125" s="41"/>
      <c r="AC125" s="41"/>
      <c r="AD125" s="40"/>
      <c r="AE125" s="40"/>
      <c r="AF125" s="42"/>
      <c r="AG125" s="42"/>
      <c r="AH125" s="40"/>
      <c r="AI125" s="40"/>
      <c r="AJ125" s="42"/>
      <c r="AK125" s="42"/>
      <c r="AL125" s="40"/>
      <c r="AM125" s="40"/>
      <c r="AN125" s="40"/>
      <c r="AO125" s="40"/>
      <c r="AP125" s="40"/>
      <c r="AQ125" s="40"/>
      <c r="AR125" s="39"/>
      <c r="AS125" s="39"/>
      <c r="AT125" s="40"/>
      <c r="AU125" s="40"/>
      <c r="AV125" s="23"/>
    </row>
    <row r="126" spans="1:48" ht="15.75" x14ac:dyDescent="0.25">
      <c r="A126" s="44"/>
      <c r="B126" s="23"/>
      <c r="C126" s="23"/>
      <c r="D126" s="39"/>
      <c r="E126" s="39"/>
      <c r="F126" s="40"/>
      <c r="G126" s="40"/>
      <c r="H126" s="41"/>
      <c r="I126" s="39"/>
      <c r="J126" s="40"/>
      <c r="K126" s="40"/>
      <c r="L126" s="41"/>
      <c r="M126" s="39"/>
      <c r="N126" s="40"/>
      <c r="O126" s="40"/>
      <c r="P126" s="39"/>
      <c r="Q126" s="39"/>
      <c r="R126" s="40"/>
      <c r="S126" s="40"/>
      <c r="T126" s="39"/>
      <c r="U126" s="39"/>
      <c r="V126" s="40"/>
      <c r="W126" s="40"/>
      <c r="X126" s="41"/>
      <c r="Y126" s="41"/>
      <c r="Z126" s="40"/>
      <c r="AA126" s="40"/>
      <c r="AB126" s="41"/>
      <c r="AC126" s="41"/>
      <c r="AD126" s="40"/>
      <c r="AE126" s="40"/>
      <c r="AF126" s="42"/>
      <c r="AG126" s="42"/>
      <c r="AH126" s="40"/>
      <c r="AI126" s="40"/>
      <c r="AJ126" s="42"/>
      <c r="AK126" s="42"/>
      <c r="AL126" s="40"/>
      <c r="AM126" s="40"/>
      <c r="AN126" s="40"/>
      <c r="AO126" s="40"/>
      <c r="AP126" s="40"/>
      <c r="AQ126" s="40"/>
      <c r="AR126" s="39"/>
      <c r="AS126" s="39"/>
      <c r="AT126" s="40"/>
      <c r="AU126" s="40"/>
      <c r="AV126" s="23"/>
    </row>
    <row r="127" spans="1:48" ht="15.75" x14ac:dyDescent="0.25">
      <c r="A127" s="44"/>
      <c r="B127" s="23"/>
      <c r="C127" s="23"/>
      <c r="D127" s="39"/>
      <c r="E127" s="39"/>
      <c r="F127" s="40"/>
      <c r="G127" s="40"/>
      <c r="H127" s="41"/>
      <c r="I127" s="39"/>
      <c r="J127" s="40"/>
      <c r="K127" s="40"/>
      <c r="L127" s="41"/>
      <c r="M127" s="39"/>
      <c r="N127" s="40"/>
      <c r="O127" s="40"/>
      <c r="P127" s="39"/>
      <c r="Q127" s="39"/>
      <c r="R127" s="40"/>
      <c r="S127" s="40"/>
      <c r="T127" s="39"/>
      <c r="U127" s="39"/>
      <c r="V127" s="40"/>
      <c r="W127" s="40"/>
      <c r="X127" s="41"/>
      <c r="Y127" s="41"/>
      <c r="Z127" s="40"/>
      <c r="AA127" s="40"/>
      <c r="AB127" s="41"/>
      <c r="AC127" s="41"/>
      <c r="AD127" s="40"/>
      <c r="AE127" s="40"/>
      <c r="AF127" s="42"/>
      <c r="AG127" s="42"/>
      <c r="AH127" s="40"/>
      <c r="AI127" s="40"/>
      <c r="AJ127" s="42"/>
      <c r="AK127" s="42"/>
      <c r="AL127" s="40"/>
      <c r="AM127" s="40"/>
      <c r="AN127" s="40"/>
      <c r="AO127" s="40"/>
      <c r="AP127" s="40"/>
      <c r="AQ127" s="40"/>
      <c r="AR127" s="39"/>
      <c r="AS127" s="39"/>
      <c r="AT127" s="40"/>
      <c r="AU127" s="40"/>
      <c r="AV127" s="23"/>
    </row>
    <row r="128" spans="1:48" ht="15.75" x14ac:dyDescent="0.25">
      <c r="A128" s="44"/>
      <c r="B128" s="23"/>
      <c r="C128" s="23"/>
      <c r="D128" s="39"/>
      <c r="E128" s="39"/>
      <c r="F128" s="40"/>
      <c r="G128" s="40"/>
      <c r="H128" s="41"/>
      <c r="I128" s="39"/>
      <c r="J128" s="40"/>
      <c r="K128" s="40"/>
      <c r="L128" s="41"/>
      <c r="M128" s="39"/>
      <c r="N128" s="40"/>
      <c r="O128" s="40"/>
      <c r="P128" s="39"/>
      <c r="Q128" s="39"/>
      <c r="R128" s="40"/>
      <c r="S128" s="40"/>
      <c r="T128" s="39"/>
      <c r="U128" s="39"/>
      <c r="V128" s="40"/>
      <c r="W128" s="40"/>
      <c r="X128" s="41"/>
      <c r="Y128" s="41"/>
      <c r="Z128" s="40"/>
      <c r="AA128" s="40"/>
      <c r="AB128" s="41"/>
      <c r="AC128" s="41"/>
      <c r="AD128" s="40"/>
      <c r="AE128" s="40"/>
      <c r="AF128" s="42"/>
      <c r="AG128" s="42"/>
      <c r="AH128" s="40"/>
      <c r="AI128" s="40"/>
      <c r="AJ128" s="42"/>
      <c r="AK128" s="42"/>
      <c r="AL128" s="40"/>
      <c r="AM128" s="40"/>
      <c r="AN128" s="40"/>
      <c r="AO128" s="40"/>
      <c r="AP128" s="40"/>
      <c r="AQ128" s="40"/>
      <c r="AR128" s="39"/>
      <c r="AS128" s="39"/>
      <c r="AT128" s="40"/>
      <c r="AU128" s="40"/>
      <c r="AV128" s="23"/>
    </row>
    <row r="129" spans="1:48" ht="15.75" x14ac:dyDescent="0.25">
      <c r="A129" s="44"/>
      <c r="B129" s="23"/>
      <c r="C129" s="23"/>
      <c r="D129" s="39"/>
      <c r="E129" s="39"/>
      <c r="F129" s="40"/>
      <c r="G129" s="40"/>
      <c r="H129" s="41"/>
      <c r="I129" s="39"/>
      <c r="J129" s="40"/>
      <c r="K129" s="40"/>
      <c r="L129" s="41"/>
      <c r="M129" s="39"/>
      <c r="N129" s="40"/>
      <c r="O129" s="40"/>
      <c r="P129" s="39"/>
      <c r="Q129" s="39"/>
      <c r="R129" s="40"/>
      <c r="S129" s="40"/>
      <c r="T129" s="39"/>
      <c r="U129" s="39"/>
      <c r="V129" s="40"/>
      <c r="W129" s="40"/>
      <c r="X129" s="41"/>
      <c r="Y129" s="41"/>
      <c r="Z129" s="40"/>
      <c r="AA129" s="40"/>
      <c r="AB129" s="41"/>
      <c r="AC129" s="41"/>
      <c r="AD129" s="40"/>
      <c r="AE129" s="40"/>
      <c r="AF129" s="42"/>
      <c r="AG129" s="42"/>
      <c r="AH129" s="40"/>
      <c r="AI129" s="40"/>
      <c r="AJ129" s="42"/>
      <c r="AK129" s="42"/>
      <c r="AL129" s="40"/>
      <c r="AM129" s="40"/>
      <c r="AN129" s="40"/>
      <c r="AO129" s="40"/>
      <c r="AP129" s="40"/>
      <c r="AQ129" s="40"/>
      <c r="AR129" s="39"/>
      <c r="AS129" s="39"/>
      <c r="AT129" s="40"/>
      <c r="AU129" s="40"/>
      <c r="AV129" s="23"/>
    </row>
    <row r="130" spans="1:48" ht="15.75" x14ac:dyDescent="0.25">
      <c r="A130" s="44"/>
      <c r="B130" s="23"/>
      <c r="C130" s="23"/>
      <c r="D130" s="39"/>
      <c r="E130" s="39"/>
      <c r="F130" s="40"/>
      <c r="G130" s="40"/>
      <c r="H130" s="41"/>
      <c r="I130" s="39"/>
      <c r="J130" s="40"/>
      <c r="K130" s="40"/>
      <c r="L130" s="41"/>
      <c r="M130" s="39"/>
      <c r="N130" s="40"/>
      <c r="O130" s="40"/>
      <c r="P130" s="39"/>
      <c r="Q130" s="39"/>
      <c r="R130" s="40"/>
      <c r="S130" s="40"/>
      <c r="T130" s="39"/>
      <c r="U130" s="39"/>
      <c r="V130" s="40"/>
      <c r="W130" s="40"/>
      <c r="X130" s="41"/>
      <c r="Y130" s="41"/>
      <c r="Z130" s="40"/>
      <c r="AA130" s="40"/>
      <c r="AB130" s="41"/>
      <c r="AC130" s="41"/>
      <c r="AD130" s="40"/>
      <c r="AE130" s="40"/>
      <c r="AF130" s="42"/>
      <c r="AG130" s="42"/>
      <c r="AH130" s="40"/>
      <c r="AI130" s="40"/>
      <c r="AJ130" s="42"/>
      <c r="AK130" s="42"/>
      <c r="AL130" s="40"/>
      <c r="AM130" s="40"/>
      <c r="AN130" s="40"/>
      <c r="AO130" s="40"/>
      <c r="AP130" s="40"/>
      <c r="AQ130" s="40"/>
      <c r="AR130" s="39"/>
      <c r="AS130" s="39"/>
      <c r="AT130" s="40"/>
      <c r="AU130" s="40"/>
      <c r="AV130" s="23"/>
    </row>
    <row r="131" spans="1:48" ht="15.75" x14ac:dyDescent="0.25">
      <c r="A131" s="44"/>
      <c r="B131" s="23"/>
      <c r="C131" s="23"/>
      <c r="D131" s="39"/>
      <c r="E131" s="39"/>
      <c r="F131" s="40"/>
      <c r="G131" s="40"/>
      <c r="H131" s="41"/>
      <c r="I131" s="39"/>
      <c r="J131" s="40"/>
      <c r="K131" s="40"/>
      <c r="L131" s="41"/>
      <c r="M131" s="39"/>
      <c r="N131" s="40"/>
      <c r="O131" s="40"/>
      <c r="P131" s="39"/>
      <c r="Q131" s="39"/>
      <c r="R131" s="40"/>
      <c r="S131" s="40"/>
      <c r="T131" s="39"/>
      <c r="U131" s="39"/>
      <c r="V131" s="40"/>
      <c r="W131" s="40"/>
      <c r="X131" s="41"/>
      <c r="Y131" s="41"/>
      <c r="Z131" s="40"/>
      <c r="AA131" s="40"/>
      <c r="AB131" s="41"/>
      <c r="AC131" s="41"/>
      <c r="AD131" s="40"/>
      <c r="AE131" s="40"/>
      <c r="AF131" s="42"/>
      <c r="AG131" s="42"/>
      <c r="AH131" s="40"/>
      <c r="AI131" s="40"/>
      <c r="AJ131" s="42"/>
      <c r="AK131" s="42"/>
      <c r="AL131" s="40"/>
      <c r="AM131" s="40"/>
      <c r="AN131" s="40"/>
      <c r="AO131" s="40"/>
      <c r="AP131" s="40"/>
      <c r="AQ131" s="40"/>
      <c r="AR131" s="39"/>
      <c r="AS131" s="39"/>
      <c r="AT131" s="40"/>
      <c r="AU131" s="40"/>
      <c r="AV131" s="23"/>
    </row>
    <row r="132" spans="1:48" ht="15.75" x14ac:dyDescent="0.25">
      <c r="A132" s="44"/>
      <c r="B132" s="23"/>
      <c r="C132" s="23"/>
      <c r="D132" s="39"/>
      <c r="E132" s="39"/>
      <c r="F132" s="40"/>
      <c r="G132" s="40"/>
      <c r="H132" s="41"/>
      <c r="I132" s="39"/>
      <c r="J132" s="40"/>
      <c r="K132" s="40"/>
      <c r="L132" s="41"/>
      <c r="M132" s="39"/>
      <c r="N132" s="40"/>
      <c r="O132" s="40"/>
      <c r="P132" s="39"/>
      <c r="Q132" s="39"/>
      <c r="R132" s="40"/>
      <c r="S132" s="40"/>
      <c r="T132" s="39"/>
      <c r="U132" s="39"/>
      <c r="V132" s="40"/>
      <c r="W132" s="40"/>
      <c r="X132" s="41"/>
      <c r="Y132" s="41"/>
      <c r="Z132" s="40"/>
      <c r="AA132" s="40"/>
      <c r="AB132" s="41"/>
      <c r="AC132" s="41"/>
      <c r="AD132" s="40"/>
      <c r="AE132" s="40"/>
      <c r="AF132" s="42"/>
      <c r="AG132" s="42"/>
      <c r="AH132" s="40"/>
      <c r="AI132" s="40"/>
      <c r="AJ132" s="42"/>
      <c r="AK132" s="42"/>
      <c r="AL132" s="40"/>
      <c r="AM132" s="40"/>
      <c r="AN132" s="40"/>
      <c r="AO132" s="40"/>
      <c r="AP132" s="40"/>
      <c r="AQ132" s="40"/>
      <c r="AR132" s="39"/>
      <c r="AS132" s="39"/>
      <c r="AT132" s="40"/>
      <c r="AU132" s="40"/>
      <c r="AV132" s="23"/>
    </row>
    <row r="133" spans="1:48" ht="15.75" x14ac:dyDescent="0.25">
      <c r="A133" s="44"/>
      <c r="B133" s="23"/>
      <c r="C133" s="23"/>
      <c r="D133" s="39"/>
      <c r="E133" s="39"/>
      <c r="F133" s="40"/>
      <c r="G133" s="40"/>
      <c r="H133" s="41"/>
      <c r="I133" s="39"/>
      <c r="J133" s="40"/>
      <c r="K133" s="40"/>
      <c r="L133" s="41"/>
      <c r="M133" s="39"/>
      <c r="N133" s="40"/>
      <c r="O133" s="40"/>
      <c r="P133" s="39"/>
      <c r="Q133" s="39"/>
      <c r="R133" s="40"/>
      <c r="S133" s="40"/>
      <c r="T133" s="39"/>
      <c r="U133" s="39"/>
      <c r="V133" s="40"/>
      <c r="W133" s="40"/>
      <c r="X133" s="41"/>
      <c r="Y133" s="41"/>
      <c r="Z133" s="40"/>
      <c r="AA133" s="40"/>
      <c r="AB133" s="41"/>
      <c r="AC133" s="41"/>
      <c r="AD133" s="40"/>
      <c r="AE133" s="40"/>
      <c r="AF133" s="42"/>
      <c r="AG133" s="42"/>
      <c r="AH133" s="40"/>
      <c r="AI133" s="40"/>
      <c r="AJ133" s="42"/>
      <c r="AK133" s="42"/>
      <c r="AL133" s="40"/>
      <c r="AM133" s="40"/>
      <c r="AN133" s="40"/>
      <c r="AO133" s="40"/>
      <c r="AP133" s="40"/>
      <c r="AQ133" s="40"/>
      <c r="AR133" s="39"/>
      <c r="AS133" s="39"/>
      <c r="AT133" s="40"/>
      <c r="AU133" s="40"/>
      <c r="AV133" s="23"/>
    </row>
    <row r="134" spans="1:48" ht="15.75" x14ac:dyDescent="0.25">
      <c r="A134" s="44"/>
      <c r="B134" s="23"/>
      <c r="C134" s="23"/>
      <c r="D134" s="39"/>
      <c r="E134" s="39"/>
      <c r="F134" s="40"/>
      <c r="G134" s="40"/>
      <c r="H134" s="41"/>
      <c r="I134" s="39"/>
      <c r="J134" s="40"/>
      <c r="K134" s="40"/>
      <c r="L134" s="41"/>
      <c r="M134" s="39"/>
      <c r="N134" s="40"/>
      <c r="O134" s="40"/>
      <c r="P134" s="39"/>
      <c r="Q134" s="39"/>
      <c r="R134" s="40"/>
      <c r="S134" s="40"/>
      <c r="T134" s="39"/>
      <c r="U134" s="39"/>
      <c r="V134" s="40"/>
      <c r="W134" s="40"/>
      <c r="X134" s="41"/>
      <c r="Y134" s="41"/>
      <c r="Z134" s="40"/>
      <c r="AA134" s="40"/>
      <c r="AB134" s="41"/>
      <c r="AC134" s="41"/>
      <c r="AD134" s="40"/>
      <c r="AE134" s="40"/>
      <c r="AF134" s="42"/>
      <c r="AG134" s="42"/>
      <c r="AH134" s="40"/>
      <c r="AI134" s="40"/>
      <c r="AJ134" s="42"/>
      <c r="AK134" s="42"/>
      <c r="AL134" s="40"/>
      <c r="AM134" s="40"/>
      <c r="AN134" s="40"/>
      <c r="AO134" s="40"/>
      <c r="AP134" s="40"/>
      <c r="AQ134" s="40"/>
      <c r="AR134" s="39"/>
      <c r="AS134" s="39"/>
      <c r="AT134" s="40"/>
      <c r="AU134" s="40"/>
      <c r="AV134" s="23"/>
    </row>
    <row r="135" spans="1:48" ht="15.75" x14ac:dyDescent="0.25">
      <c r="A135" s="44"/>
      <c r="B135" s="23"/>
      <c r="C135" s="23"/>
      <c r="D135" s="39"/>
      <c r="E135" s="39"/>
      <c r="F135" s="40"/>
      <c r="G135" s="40"/>
      <c r="H135" s="41"/>
      <c r="I135" s="39"/>
      <c r="J135" s="40"/>
      <c r="K135" s="40"/>
      <c r="L135" s="41"/>
      <c r="M135" s="39"/>
      <c r="N135" s="40"/>
      <c r="O135" s="40"/>
      <c r="P135" s="39"/>
      <c r="Q135" s="39"/>
      <c r="R135" s="40"/>
      <c r="S135" s="40"/>
      <c r="T135" s="39"/>
      <c r="U135" s="39"/>
      <c r="V135" s="40"/>
      <c r="W135" s="40"/>
      <c r="X135" s="41"/>
      <c r="Y135" s="41"/>
      <c r="Z135" s="40"/>
      <c r="AA135" s="40"/>
      <c r="AB135" s="41"/>
      <c r="AC135" s="41"/>
      <c r="AD135" s="40"/>
      <c r="AE135" s="40"/>
      <c r="AF135" s="42"/>
      <c r="AG135" s="42"/>
      <c r="AH135" s="40"/>
      <c r="AI135" s="40"/>
      <c r="AJ135" s="42"/>
      <c r="AK135" s="42"/>
      <c r="AL135" s="40"/>
      <c r="AM135" s="40"/>
      <c r="AN135" s="40"/>
      <c r="AO135" s="40"/>
      <c r="AP135" s="40"/>
      <c r="AQ135" s="40"/>
      <c r="AR135" s="39"/>
      <c r="AS135" s="39"/>
      <c r="AT135" s="40"/>
      <c r="AU135" s="40"/>
      <c r="AV135" s="23"/>
    </row>
    <row r="136" spans="1:48" ht="15.75" x14ac:dyDescent="0.25">
      <c r="A136" s="44"/>
      <c r="B136" s="23"/>
      <c r="C136" s="23"/>
      <c r="D136" s="39"/>
      <c r="E136" s="39"/>
      <c r="F136" s="40"/>
      <c r="G136" s="40"/>
      <c r="H136" s="41"/>
      <c r="I136" s="39"/>
      <c r="J136" s="40"/>
      <c r="K136" s="40"/>
      <c r="L136" s="41"/>
      <c r="M136" s="39"/>
      <c r="N136" s="40"/>
      <c r="O136" s="40"/>
      <c r="P136" s="39"/>
      <c r="Q136" s="39"/>
      <c r="R136" s="40"/>
      <c r="S136" s="40"/>
      <c r="T136" s="39"/>
      <c r="U136" s="39"/>
      <c r="V136" s="40"/>
      <c r="W136" s="40"/>
      <c r="X136" s="41"/>
      <c r="Y136" s="41"/>
      <c r="Z136" s="40"/>
      <c r="AA136" s="40"/>
      <c r="AB136" s="41"/>
      <c r="AC136" s="41"/>
      <c r="AD136" s="40"/>
      <c r="AE136" s="40"/>
      <c r="AF136" s="42"/>
      <c r="AG136" s="42"/>
      <c r="AH136" s="40"/>
      <c r="AI136" s="40"/>
      <c r="AJ136" s="42"/>
      <c r="AK136" s="42"/>
      <c r="AL136" s="40"/>
      <c r="AM136" s="40"/>
      <c r="AN136" s="40"/>
      <c r="AO136" s="40"/>
      <c r="AP136" s="40"/>
      <c r="AQ136" s="40"/>
      <c r="AR136" s="39"/>
      <c r="AS136" s="39"/>
      <c r="AT136" s="40"/>
      <c r="AU136" s="40"/>
      <c r="AV136" s="23"/>
    </row>
    <row r="137" spans="1:48" ht="15.75" x14ac:dyDescent="0.25">
      <c r="A137" s="44"/>
      <c r="B137" s="23"/>
      <c r="C137" s="23"/>
      <c r="D137" s="39"/>
      <c r="E137" s="39"/>
      <c r="F137" s="40"/>
      <c r="G137" s="40"/>
      <c r="H137" s="41"/>
      <c r="I137" s="39"/>
      <c r="J137" s="40"/>
      <c r="K137" s="40"/>
      <c r="L137" s="41"/>
      <c r="M137" s="39"/>
      <c r="N137" s="40"/>
      <c r="O137" s="40"/>
      <c r="P137" s="39"/>
      <c r="Q137" s="39"/>
      <c r="R137" s="40"/>
      <c r="S137" s="40"/>
      <c r="T137" s="39"/>
      <c r="U137" s="39"/>
      <c r="V137" s="40"/>
      <c r="W137" s="40"/>
      <c r="X137" s="41"/>
      <c r="Y137" s="41"/>
      <c r="Z137" s="40"/>
      <c r="AA137" s="40"/>
      <c r="AB137" s="41"/>
      <c r="AC137" s="41"/>
      <c r="AD137" s="40"/>
      <c r="AE137" s="40"/>
      <c r="AF137" s="42"/>
      <c r="AG137" s="42"/>
      <c r="AH137" s="40"/>
      <c r="AI137" s="40"/>
      <c r="AJ137" s="42"/>
      <c r="AK137" s="42"/>
      <c r="AL137" s="40"/>
      <c r="AM137" s="40"/>
      <c r="AN137" s="40"/>
      <c r="AO137" s="40"/>
      <c r="AP137" s="40"/>
      <c r="AQ137" s="40"/>
      <c r="AR137" s="39"/>
      <c r="AS137" s="39"/>
      <c r="AT137" s="40"/>
      <c r="AU137" s="40"/>
      <c r="AV137" s="23"/>
    </row>
    <row r="138" spans="1:48" ht="15.75" x14ac:dyDescent="0.25">
      <c r="A138" s="44"/>
      <c r="B138" s="23"/>
      <c r="C138" s="23"/>
      <c r="D138" s="39"/>
      <c r="E138" s="39"/>
      <c r="F138" s="40"/>
      <c r="G138" s="40"/>
      <c r="H138" s="41"/>
      <c r="I138" s="39"/>
      <c r="J138" s="40"/>
      <c r="K138" s="40"/>
      <c r="L138" s="41"/>
      <c r="M138" s="39"/>
      <c r="N138" s="40"/>
      <c r="O138" s="40"/>
      <c r="P138" s="39"/>
      <c r="Q138" s="39"/>
      <c r="R138" s="40"/>
      <c r="S138" s="40"/>
      <c r="T138" s="39"/>
      <c r="U138" s="39"/>
      <c r="V138" s="40"/>
      <c r="W138" s="40"/>
      <c r="X138" s="41"/>
      <c r="Y138" s="41"/>
      <c r="Z138" s="40"/>
      <c r="AA138" s="40"/>
      <c r="AB138" s="41"/>
      <c r="AC138" s="41"/>
      <c r="AD138" s="40"/>
      <c r="AE138" s="40"/>
      <c r="AF138" s="42"/>
      <c r="AG138" s="42"/>
      <c r="AH138" s="40"/>
      <c r="AI138" s="40"/>
      <c r="AJ138" s="42"/>
      <c r="AK138" s="42"/>
      <c r="AL138" s="40"/>
      <c r="AM138" s="40"/>
      <c r="AN138" s="40"/>
      <c r="AO138" s="40"/>
      <c r="AP138" s="40"/>
      <c r="AQ138" s="40"/>
      <c r="AR138" s="39"/>
      <c r="AS138" s="39"/>
      <c r="AT138" s="40"/>
      <c r="AU138" s="40"/>
      <c r="AV138" s="23"/>
    </row>
    <row r="139" spans="1:48" ht="15.75" x14ac:dyDescent="0.25">
      <c r="A139" s="44"/>
      <c r="B139" s="23"/>
      <c r="C139" s="23"/>
      <c r="D139" s="39"/>
      <c r="E139" s="39"/>
      <c r="F139" s="40"/>
      <c r="G139" s="40"/>
      <c r="H139" s="41"/>
      <c r="I139" s="39"/>
      <c r="J139" s="40"/>
      <c r="K139" s="40"/>
      <c r="L139" s="41"/>
      <c r="M139" s="39"/>
      <c r="N139" s="40"/>
      <c r="O139" s="40"/>
      <c r="P139" s="39"/>
      <c r="Q139" s="39"/>
      <c r="R139" s="40"/>
      <c r="S139" s="40"/>
      <c r="T139" s="39"/>
      <c r="U139" s="39"/>
      <c r="V139" s="40"/>
      <c r="W139" s="40"/>
      <c r="X139" s="41"/>
      <c r="Y139" s="41"/>
      <c r="Z139" s="40"/>
      <c r="AA139" s="40"/>
      <c r="AB139" s="41"/>
      <c r="AC139" s="41"/>
      <c r="AD139" s="40"/>
      <c r="AE139" s="40"/>
      <c r="AF139" s="42"/>
      <c r="AG139" s="42"/>
      <c r="AH139" s="40"/>
      <c r="AI139" s="40"/>
      <c r="AJ139" s="42"/>
      <c r="AK139" s="42"/>
      <c r="AL139" s="40"/>
      <c r="AM139" s="40"/>
      <c r="AN139" s="40"/>
      <c r="AO139" s="40"/>
      <c r="AP139" s="40"/>
      <c r="AQ139" s="40"/>
      <c r="AR139" s="39"/>
      <c r="AS139" s="39"/>
      <c r="AT139" s="40"/>
      <c r="AU139" s="40"/>
      <c r="AV139" s="23"/>
    </row>
    <row r="140" spans="1:48" ht="15.75" x14ac:dyDescent="0.25">
      <c r="A140" s="44"/>
      <c r="B140" s="23"/>
      <c r="C140" s="23"/>
      <c r="D140" s="39"/>
      <c r="E140" s="39"/>
      <c r="F140" s="40"/>
      <c r="G140" s="40"/>
      <c r="H140" s="41"/>
      <c r="I140" s="39"/>
      <c r="J140" s="40"/>
      <c r="K140" s="40"/>
      <c r="L140" s="41"/>
      <c r="M140" s="39"/>
      <c r="N140" s="40"/>
      <c r="O140" s="40"/>
      <c r="P140" s="39"/>
      <c r="Q140" s="39"/>
      <c r="R140" s="40"/>
      <c r="S140" s="40"/>
      <c r="T140" s="39"/>
      <c r="U140" s="39"/>
      <c r="V140" s="40"/>
      <c r="W140" s="40"/>
      <c r="X140" s="41"/>
      <c r="Y140" s="41"/>
      <c r="Z140" s="40"/>
      <c r="AA140" s="40"/>
      <c r="AB140" s="41"/>
      <c r="AC140" s="41"/>
      <c r="AD140" s="40"/>
      <c r="AE140" s="40"/>
      <c r="AF140" s="42"/>
      <c r="AG140" s="42"/>
      <c r="AH140" s="40"/>
      <c r="AI140" s="40"/>
      <c r="AJ140" s="42"/>
      <c r="AK140" s="42"/>
      <c r="AL140" s="40"/>
      <c r="AM140" s="40"/>
      <c r="AN140" s="40"/>
      <c r="AO140" s="40"/>
      <c r="AP140" s="40"/>
      <c r="AQ140" s="40"/>
      <c r="AR140" s="39"/>
      <c r="AS140" s="39"/>
      <c r="AT140" s="40"/>
      <c r="AU140" s="40"/>
      <c r="AV140" s="23"/>
    </row>
    <row r="141" spans="1:48" ht="15.75" x14ac:dyDescent="0.25">
      <c r="A141" s="44"/>
      <c r="B141" s="23"/>
      <c r="C141" s="23"/>
      <c r="D141" s="39"/>
      <c r="E141" s="39"/>
      <c r="F141" s="40"/>
      <c r="G141" s="40"/>
      <c r="H141" s="41"/>
      <c r="I141" s="39"/>
      <c r="J141" s="40"/>
      <c r="K141" s="40"/>
      <c r="L141" s="41"/>
      <c r="M141" s="39"/>
      <c r="N141" s="40"/>
      <c r="O141" s="40"/>
      <c r="P141" s="39"/>
      <c r="Q141" s="39"/>
      <c r="R141" s="40"/>
      <c r="S141" s="40"/>
      <c r="T141" s="39"/>
      <c r="U141" s="39"/>
      <c r="V141" s="40"/>
      <c r="W141" s="40"/>
      <c r="X141" s="41"/>
      <c r="Y141" s="41"/>
      <c r="Z141" s="40"/>
      <c r="AA141" s="40"/>
      <c r="AB141" s="41"/>
      <c r="AC141" s="41"/>
      <c r="AD141" s="40"/>
      <c r="AE141" s="40"/>
      <c r="AF141" s="42"/>
      <c r="AG141" s="42"/>
      <c r="AH141" s="40"/>
      <c r="AI141" s="40"/>
      <c r="AJ141" s="42"/>
      <c r="AK141" s="42"/>
      <c r="AL141" s="40"/>
      <c r="AM141" s="40"/>
      <c r="AN141" s="40"/>
      <c r="AO141" s="40"/>
      <c r="AP141" s="40"/>
      <c r="AQ141" s="40"/>
      <c r="AR141" s="39"/>
      <c r="AS141" s="39"/>
      <c r="AT141" s="40"/>
      <c r="AU141" s="40"/>
      <c r="AV141" s="23"/>
    </row>
    <row r="142" spans="1:48" ht="15.75" x14ac:dyDescent="0.25">
      <c r="A142" s="44"/>
      <c r="B142" s="23"/>
      <c r="C142" s="23"/>
      <c r="D142" s="39"/>
      <c r="E142" s="39"/>
      <c r="F142" s="40"/>
      <c r="G142" s="40"/>
      <c r="H142" s="41"/>
      <c r="I142" s="39"/>
      <c r="J142" s="40"/>
      <c r="K142" s="40"/>
      <c r="L142" s="41"/>
      <c r="M142" s="39"/>
      <c r="N142" s="40"/>
      <c r="O142" s="40"/>
      <c r="P142" s="39"/>
      <c r="Q142" s="39"/>
      <c r="R142" s="40"/>
      <c r="S142" s="40"/>
      <c r="T142" s="39"/>
      <c r="U142" s="39"/>
      <c r="V142" s="40"/>
      <c r="W142" s="40"/>
      <c r="X142" s="41"/>
      <c r="Y142" s="41"/>
      <c r="Z142" s="40"/>
      <c r="AA142" s="40"/>
      <c r="AB142" s="41"/>
      <c r="AC142" s="41"/>
      <c r="AD142" s="40"/>
      <c r="AE142" s="40"/>
      <c r="AF142" s="42"/>
      <c r="AG142" s="42"/>
      <c r="AH142" s="40"/>
      <c r="AI142" s="40"/>
      <c r="AJ142" s="42"/>
      <c r="AK142" s="42"/>
      <c r="AL142" s="40"/>
      <c r="AM142" s="40"/>
      <c r="AN142" s="40"/>
      <c r="AO142" s="40"/>
      <c r="AP142" s="40"/>
      <c r="AQ142" s="40"/>
      <c r="AR142" s="39"/>
      <c r="AS142" s="39"/>
      <c r="AT142" s="40"/>
      <c r="AU142" s="40"/>
      <c r="AV142" s="23"/>
    </row>
    <row r="143" spans="1:48" ht="15.75" x14ac:dyDescent="0.25">
      <c r="A143" s="44"/>
      <c r="B143" s="23"/>
      <c r="C143" s="23"/>
      <c r="D143" s="39"/>
      <c r="E143" s="39"/>
      <c r="F143" s="40"/>
      <c r="G143" s="40"/>
      <c r="H143" s="41"/>
      <c r="I143" s="39"/>
      <c r="J143" s="40"/>
      <c r="K143" s="40"/>
      <c r="L143" s="41"/>
      <c r="M143" s="39"/>
      <c r="N143" s="40"/>
      <c r="O143" s="40"/>
      <c r="P143" s="39"/>
      <c r="Q143" s="39"/>
      <c r="R143" s="40"/>
      <c r="S143" s="40"/>
      <c r="T143" s="39"/>
      <c r="U143" s="39"/>
      <c r="V143" s="40"/>
      <c r="W143" s="40"/>
      <c r="X143" s="41"/>
      <c r="Y143" s="41"/>
      <c r="Z143" s="40"/>
      <c r="AA143" s="40"/>
      <c r="AB143" s="41"/>
      <c r="AC143" s="41"/>
      <c r="AD143" s="40"/>
      <c r="AE143" s="40"/>
      <c r="AF143" s="42"/>
      <c r="AG143" s="42"/>
      <c r="AH143" s="40"/>
      <c r="AI143" s="40"/>
      <c r="AJ143" s="42"/>
      <c r="AK143" s="42"/>
      <c r="AL143" s="40"/>
      <c r="AM143" s="40"/>
      <c r="AN143" s="40"/>
      <c r="AO143" s="40"/>
      <c r="AP143" s="40"/>
      <c r="AQ143" s="40"/>
      <c r="AR143" s="39"/>
      <c r="AS143" s="39"/>
      <c r="AT143" s="40"/>
      <c r="AU143" s="40"/>
      <c r="AV143" s="23"/>
    </row>
    <row r="144" spans="1:48" ht="15.75" x14ac:dyDescent="0.25">
      <c r="A144" s="44"/>
      <c r="B144" s="23"/>
      <c r="C144" s="23"/>
      <c r="D144" s="39"/>
      <c r="E144" s="39"/>
      <c r="F144" s="40"/>
      <c r="G144" s="40"/>
      <c r="H144" s="41"/>
      <c r="I144" s="39"/>
      <c r="J144" s="40"/>
      <c r="K144" s="40"/>
      <c r="L144" s="41"/>
      <c r="M144" s="39"/>
      <c r="N144" s="40"/>
      <c r="O144" s="40"/>
      <c r="P144" s="39"/>
      <c r="Q144" s="39"/>
      <c r="R144" s="40"/>
      <c r="S144" s="40"/>
      <c r="T144" s="39"/>
      <c r="U144" s="39"/>
      <c r="V144" s="40"/>
      <c r="W144" s="40"/>
      <c r="X144" s="41"/>
      <c r="Y144" s="41"/>
      <c r="Z144" s="40"/>
      <c r="AA144" s="40"/>
      <c r="AB144" s="41"/>
      <c r="AC144" s="41"/>
      <c r="AD144" s="40"/>
      <c r="AE144" s="40"/>
      <c r="AF144" s="42"/>
      <c r="AG144" s="42"/>
      <c r="AH144" s="40"/>
      <c r="AI144" s="40"/>
      <c r="AJ144" s="42"/>
      <c r="AK144" s="42"/>
      <c r="AL144" s="40"/>
      <c r="AM144" s="40"/>
      <c r="AN144" s="40"/>
      <c r="AO144" s="40"/>
      <c r="AP144" s="40"/>
      <c r="AQ144" s="40"/>
      <c r="AR144" s="39"/>
      <c r="AS144" s="39"/>
      <c r="AT144" s="40"/>
      <c r="AU144" s="40"/>
      <c r="AV144" s="23"/>
    </row>
    <row r="145" spans="1:48" ht="15.75" x14ac:dyDescent="0.25">
      <c r="A145" s="44"/>
      <c r="B145" s="23"/>
      <c r="C145" s="23"/>
      <c r="D145" s="39"/>
      <c r="E145" s="39"/>
      <c r="F145" s="40"/>
      <c r="G145" s="40"/>
      <c r="H145" s="41"/>
      <c r="I145" s="39"/>
      <c r="J145" s="40"/>
      <c r="K145" s="40"/>
      <c r="L145" s="41"/>
      <c r="M145" s="39"/>
      <c r="N145" s="40"/>
      <c r="O145" s="40"/>
      <c r="P145" s="39"/>
      <c r="Q145" s="39"/>
      <c r="R145" s="40"/>
      <c r="S145" s="40"/>
      <c r="T145" s="39"/>
      <c r="U145" s="39"/>
      <c r="V145" s="40"/>
      <c r="W145" s="40"/>
      <c r="X145" s="41"/>
      <c r="Y145" s="41"/>
      <c r="Z145" s="40"/>
      <c r="AA145" s="40"/>
      <c r="AB145" s="41"/>
      <c r="AC145" s="41"/>
      <c r="AD145" s="40"/>
      <c r="AE145" s="40"/>
      <c r="AF145" s="42"/>
      <c r="AG145" s="42"/>
      <c r="AH145" s="40"/>
      <c r="AI145" s="40"/>
      <c r="AJ145" s="42"/>
      <c r="AK145" s="42"/>
      <c r="AL145" s="40"/>
      <c r="AM145" s="40"/>
      <c r="AN145" s="40"/>
      <c r="AO145" s="40"/>
      <c r="AP145" s="40"/>
      <c r="AQ145" s="40"/>
      <c r="AR145" s="39"/>
      <c r="AS145" s="39"/>
      <c r="AT145" s="40"/>
      <c r="AU145" s="40"/>
      <c r="AV145" s="23"/>
    </row>
    <row r="146" spans="1:48" ht="15.75" x14ac:dyDescent="0.25">
      <c r="A146" s="44"/>
      <c r="B146" s="23"/>
      <c r="C146" s="23"/>
      <c r="D146" s="39"/>
      <c r="E146" s="39"/>
      <c r="F146" s="40"/>
      <c r="G146" s="40"/>
      <c r="H146" s="41"/>
      <c r="I146" s="39"/>
      <c r="J146" s="40"/>
      <c r="K146" s="40"/>
      <c r="L146" s="41"/>
      <c r="M146" s="39"/>
      <c r="N146" s="40"/>
      <c r="O146" s="40"/>
      <c r="P146" s="39"/>
      <c r="Q146" s="39"/>
      <c r="R146" s="40"/>
      <c r="S146" s="40"/>
      <c r="T146" s="39"/>
      <c r="U146" s="39"/>
      <c r="V146" s="40"/>
      <c r="W146" s="40"/>
      <c r="X146" s="41"/>
      <c r="Y146" s="41"/>
      <c r="Z146" s="40"/>
      <c r="AA146" s="40"/>
      <c r="AB146" s="41"/>
      <c r="AC146" s="41"/>
      <c r="AD146" s="40"/>
      <c r="AE146" s="40"/>
      <c r="AF146" s="42"/>
      <c r="AG146" s="42"/>
      <c r="AH146" s="40"/>
      <c r="AI146" s="40"/>
      <c r="AJ146" s="42"/>
      <c r="AK146" s="42"/>
      <c r="AL146" s="40"/>
      <c r="AM146" s="40"/>
      <c r="AN146" s="40"/>
      <c r="AO146" s="40"/>
      <c r="AP146" s="40"/>
      <c r="AQ146" s="40"/>
      <c r="AR146" s="39"/>
      <c r="AS146" s="39"/>
      <c r="AT146" s="40"/>
      <c r="AU146" s="40"/>
      <c r="AV146" s="23"/>
    </row>
    <row r="147" spans="1:48" ht="15.75" x14ac:dyDescent="0.25">
      <c r="A147" s="44"/>
      <c r="B147" s="23"/>
      <c r="C147" s="23"/>
      <c r="D147" s="39"/>
      <c r="E147" s="39"/>
      <c r="F147" s="40"/>
      <c r="G147" s="40"/>
      <c r="H147" s="41"/>
      <c r="I147" s="39"/>
      <c r="J147" s="40"/>
      <c r="K147" s="40"/>
      <c r="L147" s="41"/>
      <c r="M147" s="39"/>
      <c r="N147" s="40"/>
      <c r="O147" s="40"/>
      <c r="P147" s="39"/>
      <c r="Q147" s="39"/>
      <c r="R147" s="40"/>
      <c r="S147" s="40"/>
      <c r="T147" s="39"/>
      <c r="U147" s="39"/>
      <c r="V147" s="40"/>
      <c r="W147" s="40"/>
      <c r="X147" s="41"/>
      <c r="Y147" s="41"/>
      <c r="Z147" s="40"/>
      <c r="AA147" s="40"/>
      <c r="AB147" s="41"/>
      <c r="AC147" s="41"/>
      <c r="AD147" s="40"/>
      <c r="AE147" s="40"/>
      <c r="AF147" s="42"/>
      <c r="AG147" s="42"/>
      <c r="AH147" s="40"/>
      <c r="AI147" s="40"/>
      <c r="AJ147" s="42"/>
      <c r="AK147" s="42"/>
      <c r="AL147" s="40"/>
      <c r="AM147" s="40"/>
      <c r="AN147" s="40"/>
      <c r="AO147" s="40"/>
      <c r="AP147" s="40"/>
      <c r="AQ147" s="40"/>
      <c r="AR147" s="39"/>
      <c r="AS147" s="39"/>
      <c r="AT147" s="40"/>
      <c r="AU147" s="40"/>
      <c r="AV147" s="23"/>
    </row>
    <row r="148" spans="1:48" ht="15.75" x14ac:dyDescent="0.25">
      <c r="A148" s="44"/>
      <c r="B148" s="23"/>
      <c r="C148" s="23"/>
      <c r="D148" s="39"/>
      <c r="E148" s="39"/>
      <c r="F148" s="40"/>
      <c r="G148" s="40"/>
      <c r="H148" s="41"/>
      <c r="I148" s="39"/>
      <c r="J148" s="40"/>
      <c r="K148" s="40"/>
      <c r="L148" s="41"/>
      <c r="M148" s="39"/>
      <c r="N148" s="40"/>
      <c r="O148" s="40"/>
      <c r="P148" s="39"/>
      <c r="Q148" s="39"/>
      <c r="R148" s="40"/>
      <c r="S148" s="40"/>
      <c r="T148" s="39"/>
      <c r="U148" s="39"/>
      <c r="V148" s="40"/>
      <c r="W148" s="40"/>
      <c r="X148" s="41"/>
      <c r="Y148" s="41"/>
      <c r="Z148" s="40"/>
      <c r="AA148" s="40"/>
      <c r="AB148" s="41"/>
      <c r="AC148" s="41"/>
      <c r="AD148" s="40"/>
      <c r="AE148" s="40"/>
      <c r="AF148" s="42"/>
      <c r="AG148" s="42"/>
      <c r="AH148" s="40"/>
      <c r="AI148" s="40"/>
      <c r="AJ148" s="42"/>
      <c r="AK148" s="42"/>
      <c r="AL148" s="40"/>
      <c r="AM148" s="40"/>
      <c r="AN148" s="40"/>
      <c r="AO148" s="40"/>
      <c r="AP148" s="40"/>
      <c r="AQ148" s="40"/>
      <c r="AR148" s="39"/>
      <c r="AS148" s="39"/>
      <c r="AT148" s="40"/>
      <c r="AU148" s="40"/>
      <c r="AV148" s="23"/>
    </row>
    <row r="149" spans="1:48" ht="15.75" x14ac:dyDescent="0.25">
      <c r="A149" s="44"/>
      <c r="B149" s="23"/>
      <c r="C149" s="23"/>
      <c r="D149" s="39"/>
      <c r="E149" s="39"/>
      <c r="F149" s="40"/>
      <c r="G149" s="40"/>
      <c r="H149" s="41"/>
      <c r="I149" s="39"/>
      <c r="J149" s="40"/>
      <c r="K149" s="40"/>
      <c r="L149" s="41"/>
      <c r="M149" s="39"/>
      <c r="N149" s="40"/>
      <c r="O149" s="40"/>
      <c r="P149" s="39"/>
      <c r="Q149" s="39"/>
      <c r="R149" s="40"/>
      <c r="S149" s="40"/>
      <c r="T149" s="39"/>
      <c r="U149" s="39"/>
      <c r="V149" s="40"/>
      <c r="W149" s="40"/>
      <c r="X149" s="41"/>
      <c r="Y149" s="41"/>
      <c r="Z149" s="40"/>
      <c r="AA149" s="40"/>
      <c r="AB149" s="41"/>
      <c r="AC149" s="41"/>
      <c r="AD149" s="40"/>
      <c r="AE149" s="40"/>
      <c r="AF149" s="42"/>
      <c r="AG149" s="42"/>
      <c r="AH149" s="40"/>
      <c r="AI149" s="40"/>
      <c r="AJ149" s="42"/>
      <c r="AK149" s="42"/>
      <c r="AL149" s="40"/>
      <c r="AM149" s="40"/>
      <c r="AN149" s="40"/>
      <c r="AO149" s="40"/>
      <c r="AP149" s="40"/>
      <c r="AQ149" s="40"/>
      <c r="AR149" s="39"/>
      <c r="AS149" s="39"/>
      <c r="AT149" s="40"/>
      <c r="AU149" s="40"/>
      <c r="AV149" s="23"/>
    </row>
    <row r="150" spans="1:48" ht="15.75" x14ac:dyDescent="0.25">
      <c r="A150" s="44"/>
      <c r="B150" s="23"/>
      <c r="C150" s="23"/>
      <c r="D150" s="39"/>
      <c r="E150" s="39"/>
      <c r="F150" s="40"/>
      <c r="G150" s="40"/>
      <c r="H150" s="41"/>
      <c r="I150" s="39"/>
      <c r="J150" s="40"/>
      <c r="K150" s="40"/>
      <c r="L150" s="41"/>
      <c r="M150" s="39"/>
      <c r="N150" s="40"/>
      <c r="O150" s="40"/>
      <c r="P150" s="39"/>
      <c r="Q150" s="39"/>
      <c r="R150" s="40"/>
      <c r="S150" s="40"/>
      <c r="T150" s="39"/>
      <c r="U150" s="39"/>
      <c r="V150" s="40"/>
      <c r="W150" s="40"/>
      <c r="X150" s="41"/>
      <c r="Y150" s="41"/>
      <c r="Z150" s="40"/>
      <c r="AA150" s="40"/>
      <c r="AB150" s="41"/>
      <c r="AC150" s="41"/>
      <c r="AD150" s="40"/>
      <c r="AE150" s="40"/>
      <c r="AF150" s="42"/>
      <c r="AG150" s="42"/>
      <c r="AH150" s="40"/>
      <c r="AI150" s="40"/>
      <c r="AJ150" s="42"/>
      <c r="AK150" s="42"/>
      <c r="AL150" s="40"/>
      <c r="AM150" s="40"/>
      <c r="AN150" s="40"/>
      <c r="AO150" s="40"/>
      <c r="AP150" s="40"/>
      <c r="AQ150" s="40"/>
      <c r="AR150" s="39"/>
      <c r="AS150" s="39"/>
      <c r="AT150" s="40"/>
      <c r="AU150" s="40"/>
      <c r="AV150" s="23"/>
    </row>
    <row r="151" spans="1:48" ht="15.75" x14ac:dyDescent="0.25">
      <c r="A151" s="44"/>
      <c r="B151" s="23"/>
      <c r="C151" s="23"/>
      <c r="D151" s="39"/>
      <c r="E151" s="39"/>
      <c r="F151" s="40"/>
      <c r="G151" s="40"/>
      <c r="H151" s="41"/>
      <c r="I151" s="39"/>
      <c r="J151" s="40"/>
      <c r="K151" s="40"/>
      <c r="L151" s="41"/>
      <c r="M151" s="39"/>
      <c r="N151" s="40"/>
      <c r="O151" s="40"/>
      <c r="P151" s="39"/>
      <c r="Q151" s="39"/>
      <c r="R151" s="40"/>
      <c r="S151" s="40"/>
      <c r="T151" s="39"/>
      <c r="U151" s="39"/>
      <c r="V151" s="40"/>
      <c r="W151" s="40"/>
      <c r="X151" s="41"/>
      <c r="Y151" s="41"/>
      <c r="Z151" s="40"/>
      <c r="AA151" s="40"/>
      <c r="AB151" s="41"/>
      <c r="AC151" s="41"/>
      <c r="AD151" s="40"/>
      <c r="AE151" s="40"/>
      <c r="AF151" s="42"/>
      <c r="AG151" s="42"/>
      <c r="AH151" s="40"/>
      <c r="AI151" s="40"/>
      <c r="AJ151" s="42"/>
      <c r="AK151" s="42"/>
      <c r="AL151" s="40"/>
      <c r="AM151" s="40"/>
      <c r="AN151" s="40"/>
      <c r="AO151" s="40"/>
      <c r="AP151" s="40"/>
      <c r="AQ151" s="40"/>
      <c r="AR151" s="39"/>
      <c r="AS151" s="39"/>
      <c r="AT151" s="40"/>
      <c r="AU151" s="40"/>
      <c r="AV151" s="23"/>
    </row>
    <row r="152" spans="1:48" ht="15.75" x14ac:dyDescent="0.25">
      <c r="A152" s="44"/>
      <c r="B152" s="23"/>
      <c r="C152" s="23"/>
      <c r="D152" s="39"/>
      <c r="E152" s="39"/>
      <c r="F152" s="40"/>
      <c r="G152" s="40"/>
      <c r="H152" s="41"/>
      <c r="I152" s="39"/>
      <c r="J152" s="40"/>
      <c r="K152" s="40"/>
      <c r="L152" s="41"/>
      <c r="M152" s="39"/>
      <c r="N152" s="40"/>
      <c r="O152" s="40"/>
      <c r="P152" s="39"/>
      <c r="Q152" s="39"/>
      <c r="R152" s="40"/>
      <c r="S152" s="40"/>
      <c r="T152" s="39"/>
      <c r="U152" s="39"/>
      <c r="V152" s="40"/>
      <c r="W152" s="40"/>
      <c r="X152" s="41"/>
      <c r="Y152" s="41"/>
      <c r="Z152" s="40"/>
      <c r="AA152" s="40"/>
      <c r="AB152" s="41"/>
      <c r="AC152" s="41"/>
      <c r="AD152" s="40"/>
      <c r="AE152" s="40"/>
      <c r="AF152" s="42"/>
      <c r="AG152" s="42"/>
      <c r="AH152" s="40"/>
      <c r="AI152" s="40"/>
      <c r="AJ152" s="42"/>
      <c r="AK152" s="42"/>
      <c r="AL152" s="40"/>
      <c r="AM152" s="40"/>
      <c r="AN152" s="40"/>
      <c r="AO152" s="40"/>
      <c r="AP152" s="40"/>
      <c r="AQ152" s="40"/>
      <c r="AR152" s="39"/>
      <c r="AS152" s="39"/>
      <c r="AT152" s="40"/>
      <c r="AU152" s="40"/>
      <c r="AV152" s="23"/>
    </row>
    <row r="153" spans="1:48" ht="15.75" x14ac:dyDescent="0.25">
      <c r="A153" s="44"/>
      <c r="B153" s="23"/>
      <c r="C153" s="23"/>
      <c r="D153" s="39"/>
      <c r="E153" s="39"/>
      <c r="F153" s="40"/>
      <c r="G153" s="40"/>
      <c r="H153" s="41"/>
      <c r="I153" s="39"/>
      <c r="J153" s="40"/>
      <c r="K153" s="40"/>
      <c r="L153" s="41"/>
      <c r="M153" s="39"/>
      <c r="N153" s="40"/>
      <c r="O153" s="40"/>
      <c r="P153" s="39"/>
      <c r="Q153" s="39"/>
      <c r="R153" s="40"/>
      <c r="S153" s="40"/>
      <c r="T153" s="39"/>
      <c r="U153" s="39"/>
      <c r="V153" s="40"/>
      <c r="W153" s="40"/>
      <c r="X153" s="41"/>
      <c r="Y153" s="41"/>
      <c r="Z153" s="40"/>
      <c r="AA153" s="40"/>
      <c r="AB153" s="41"/>
      <c r="AC153" s="41"/>
      <c r="AD153" s="40"/>
      <c r="AE153" s="40"/>
      <c r="AF153" s="42"/>
      <c r="AG153" s="42"/>
      <c r="AH153" s="40"/>
      <c r="AI153" s="40"/>
      <c r="AJ153" s="42"/>
      <c r="AK153" s="42"/>
      <c r="AL153" s="40"/>
      <c r="AM153" s="40"/>
      <c r="AN153" s="40"/>
      <c r="AO153" s="40"/>
      <c r="AP153" s="40"/>
      <c r="AQ153" s="40"/>
      <c r="AR153" s="39"/>
      <c r="AS153" s="39"/>
      <c r="AT153" s="40"/>
      <c r="AU153" s="40"/>
      <c r="AV153" s="23"/>
    </row>
    <row r="154" spans="1:48" ht="15.75" x14ac:dyDescent="0.25">
      <c r="A154" s="44"/>
      <c r="B154" s="23"/>
      <c r="C154" s="23"/>
      <c r="D154" s="39"/>
      <c r="E154" s="39"/>
      <c r="F154" s="40"/>
      <c r="G154" s="40"/>
      <c r="H154" s="41"/>
      <c r="I154" s="39"/>
      <c r="J154" s="40"/>
      <c r="K154" s="40"/>
      <c r="L154" s="41"/>
      <c r="M154" s="39"/>
      <c r="N154" s="40"/>
      <c r="O154" s="40"/>
      <c r="P154" s="39"/>
      <c r="Q154" s="39"/>
      <c r="R154" s="40"/>
      <c r="S154" s="40"/>
      <c r="T154" s="39"/>
      <c r="U154" s="39"/>
      <c r="V154" s="40"/>
      <c r="W154" s="40"/>
      <c r="X154" s="41"/>
      <c r="Y154" s="41"/>
      <c r="Z154" s="40"/>
      <c r="AA154" s="40"/>
      <c r="AB154" s="41"/>
      <c r="AC154" s="41"/>
      <c r="AD154" s="40"/>
      <c r="AE154" s="40"/>
      <c r="AF154" s="42"/>
      <c r="AG154" s="42"/>
      <c r="AH154" s="40"/>
      <c r="AI154" s="40"/>
      <c r="AJ154" s="42"/>
      <c r="AK154" s="42"/>
      <c r="AL154" s="40"/>
      <c r="AM154" s="40"/>
      <c r="AN154" s="40"/>
      <c r="AO154" s="40"/>
      <c r="AP154" s="40"/>
      <c r="AQ154" s="40"/>
      <c r="AR154" s="39"/>
      <c r="AS154" s="39"/>
      <c r="AT154" s="40"/>
      <c r="AU154" s="40"/>
      <c r="AV154" s="23"/>
    </row>
    <row r="155" spans="1:48" ht="15.75" x14ac:dyDescent="0.25">
      <c r="A155" s="44"/>
      <c r="B155" s="23"/>
      <c r="C155" s="23"/>
      <c r="D155" s="39"/>
      <c r="E155" s="39"/>
      <c r="F155" s="40"/>
      <c r="G155" s="40"/>
      <c r="H155" s="41"/>
      <c r="I155" s="39"/>
      <c r="J155" s="40"/>
      <c r="K155" s="40"/>
      <c r="L155" s="41"/>
      <c r="M155" s="39"/>
      <c r="N155" s="40"/>
      <c r="O155" s="40"/>
      <c r="P155" s="39"/>
      <c r="Q155" s="39"/>
      <c r="R155" s="40"/>
      <c r="S155" s="40"/>
      <c r="T155" s="39"/>
      <c r="U155" s="39"/>
      <c r="V155" s="40"/>
      <c r="W155" s="40"/>
      <c r="X155" s="41"/>
      <c r="Y155" s="41"/>
      <c r="Z155" s="40"/>
      <c r="AA155" s="40"/>
      <c r="AB155" s="41"/>
      <c r="AC155" s="41"/>
      <c r="AD155" s="40"/>
      <c r="AE155" s="40"/>
      <c r="AF155" s="42"/>
      <c r="AG155" s="42"/>
      <c r="AH155" s="40"/>
      <c r="AI155" s="40"/>
      <c r="AJ155" s="42"/>
      <c r="AK155" s="42"/>
      <c r="AL155" s="40"/>
      <c r="AM155" s="40"/>
      <c r="AN155" s="40"/>
      <c r="AO155" s="40"/>
      <c r="AP155" s="40"/>
      <c r="AQ155" s="40"/>
      <c r="AR155" s="39"/>
      <c r="AS155" s="39"/>
      <c r="AT155" s="40"/>
      <c r="AU155" s="40"/>
      <c r="AV155" s="23"/>
    </row>
    <row r="156" spans="1:48" ht="15.75" x14ac:dyDescent="0.25">
      <c r="A156" s="44"/>
      <c r="B156" s="23"/>
      <c r="C156" s="23"/>
      <c r="D156" s="39"/>
      <c r="E156" s="39"/>
      <c r="F156" s="40"/>
      <c r="G156" s="40"/>
      <c r="H156" s="41"/>
      <c r="I156" s="39"/>
      <c r="J156" s="40"/>
      <c r="K156" s="40"/>
      <c r="L156" s="41"/>
      <c r="M156" s="39"/>
      <c r="N156" s="40"/>
      <c r="O156" s="40"/>
      <c r="P156" s="39"/>
      <c r="Q156" s="39"/>
      <c r="R156" s="40"/>
      <c r="S156" s="40"/>
      <c r="T156" s="39"/>
      <c r="U156" s="39"/>
      <c r="V156" s="40"/>
      <c r="W156" s="40"/>
      <c r="X156" s="41"/>
      <c r="Y156" s="41"/>
      <c r="Z156" s="40"/>
      <c r="AA156" s="40"/>
      <c r="AB156" s="41"/>
      <c r="AC156" s="41"/>
      <c r="AD156" s="40"/>
      <c r="AE156" s="40"/>
      <c r="AF156" s="42"/>
      <c r="AG156" s="42"/>
      <c r="AH156" s="40"/>
      <c r="AI156" s="40"/>
      <c r="AJ156" s="42"/>
      <c r="AK156" s="42"/>
      <c r="AL156" s="40"/>
      <c r="AM156" s="40"/>
      <c r="AN156" s="40"/>
      <c r="AO156" s="40"/>
      <c r="AP156" s="40"/>
      <c r="AQ156" s="40"/>
      <c r="AR156" s="39"/>
      <c r="AS156" s="39"/>
      <c r="AT156" s="40"/>
      <c r="AU156" s="40"/>
      <c r="AV156" s="23"/>
    </row>
    <row r="157" spans="1:48" ht="15.75" x14ac:dyDescent="0.25">
      <c r="A157" s="44"/>
      <c r="B157" s="23"/>
      <c r="C157" s="23"/>
      <c r="D157" s="39"/>
      <c r="E157" s="39"/>
      <c r="F157" s="40"/>
      <c r="G157" s="40"/>
      <c r="H157" s="41"/>
      <c r="I157" s="39"/>
      <c r="J157" s="40"/>
      <c r="K157" s="40"/>
      <c r="L157" s="41"/>
      <c r="M157" s="39"/>
      <c r="N157" s="40"/>
      <c r="O157" s="40"/>
      <c r="P157" s="39"/>
      <c r="Q157" s="39"/>
      <c r="R157" s="40"/>
      <c r="S157" s="40"/>
      <c r="T157" s="39"/>
      <c r="U157" s="39"/>
      <c r="V157" s="40"/>
      <c r="W157" s="40"/>
      <c r="X157" s="41"/>
      <c r="Y157" s="41"/>
      <c r="Z157" s="40"/>
      <c r="AA157" s="40"/>
      <c r="AB157" s="41"/>
      <c r="AC157" s="41"/>
      <c r="AD157" s="40"/>
      <c r="AE157" s="40"/>
      <c r="AF157" s="42"/>
      <c r="AG157" s="42"/>
      <c r="AH157" s="40"/>
      <c r="AI157" s="40"/>
      <c r="AJ157" s="42"/>
      <c r="AK157" s="42"/>
      <c r="AL157" s="40"/>
      <c r="AM157" s="40"/>
      <c r="AN157" s="40"/>
      <c r="AO157" s="40"/>
      <c r="AP157" s="40"/>
      <c r="AQ157" s="40"/>
      <c r="AR157" s="39"/>
      <c r="AS157" s="39"/>
      <c r="AT157" s="40"/>
      <c r="AU157" s="40"/>
      <c r="AV157" s="23"/>
    </row>
    <row r="158" spans="1:48" ht="15.75" x14ac:dyDescent="0.25">
      <c r="A158" s="44"/>
      <c r="B158" s="23"/>
      <c r="C158" s="23"/>
      <c r="D158" s="39"/>
      <c r="E158" s="39"/>
      <c r="F158" s="40"/>
      <c r="G158" s="40"/>
      <c r="H158" s="41"/>
      <c r="I158" s="39"/>
      <c r="J158" s="40"/>
      <c r="K158" s="40"/>
      <c r="L158" s="41"/>
      <c r="M158" s="39"/>
      <c r="N158" s="40"/>
      <c r="O158" s="40"/>
      <c r="P158" s="39"/>
      <c r="Q158" s="39"/>
      <c r="R158" s="40"/>
      <c r="S158" s="40"/>
      <c r="T158" s="39"/>
      <c r="U158" s="39"/>
      <c r="V158" s="40"/>
      <c r="W158" s="40"/>
      <c r="X158" s="41"/>
      <c r="Y158" s="41"/>
      <c r="Z158" s="40"/>
      <c r="AA158" s="40"/>
      <c r="AB158" s="41"/>
      <c r="AC158" s="41"/>
      <c r="AD158" s="40"/>
      <c r="AE158" s="40"/>
      <c r="AF158" s="42"/>
      <c r="AG158" s="42"/>
      <c r="AH158" s="40"/>
      <c r="AI158" s="40"/>
      <c r="AJ158" s="42"/>
      <c r="AK158" s="42"/>
      <c r="AL158" s="40"/>
      <c r="AM158" s="40"/>
      <c r="AN158" s="40"/>
      <c r="AO158" s="40"/>
      <c r="AP158" s="40"/>
      <c r="AQ158" s="40"/>
      <c r="AR158" s="39"/>
      <c r="AS158" s="39"/>
      <c r="AT158" s="40"/>
      <c r="AU158" s="40"/>
      <c r="AV158" s="23"/>
    </row>
    <row r="159" spans="1:48" ht="15.75" x14ac:dyDescent="0.25">
      <c r="A159" s="44"/>
      <c r="B159" s="23"/>
      <c r="C159" s="23"/>
      <c r="D159" s="39"/>
      <c r="E159" s="39"/>
      <c r="F159" s="40"/>
      <c r="G159" s="40"/>
      <c r="H159" s="41"/>
      <c r="I159" s="39"/>
      <c r="J159" s="40"/>
      <c r="K159" s="40"/>
      <c r="L159" s="41"/>
      <c r="M159" s="39"/>
      <c r="N159" s="40"/>
      <c r="O159" s="40"/>
      <c r="P159" s="39"/>
      <c r="Q159" s="39"/>
      <c r="R159" s="40"/>
      <c r="S159" s="40"/>
      <c r="T159" s="39"/>
      <c r="U159" s="39"/>
      <c r="V159" s="40"/>
      <c r="W159" s="40"/>
      <c r="X159" s="41"/>
      <c r="Y159" s="41"/>
      <c r="Z159" s="40"/>
      <c r="AA159" s="40"/>
      <c r="AB159" s="41"/>
      <c r="AC159" s="41"/>
      <c r="AD159" s="40"/>
      <c r="AE159" s="40"/>
      <c r="AF159" s="42"/>
      <c r="AG159" s="42"/>
      <c r="AH159" s="40"/>
      <c r="AI159" s="40"/>
      <c r="AJ159" s="42"/>
      <c r="AK159" s="42"/>
      <c r="AL159" s="40"/>
      <c r="AM159" s="40"/>
      <c r="AN159" s="40"/>
      <c r="AO159" s="40"/>
      <c r="AP159" s="40"/>
      <c r="AQ159" s="40"/>
      <c r="AR159" s="39"/>
      <c r="AS159" s="39"/>
      <c r="AT159" s="40"/>
      <c r="AU159" s="40"/>
      <c r="AV159" s="23"/>
    </row>
    <row r="160" spans="1:48" ht="15.75" x14ac:dyDescent="0.25">
      <c r="A160" s="44"/>
      <c r="B160" s="23"/>
      <c r="C160" s="23"/>
      <c r="D160" s="39"/>
      <c r="E160" s="39"/>
      <c r="F160" s="40"/>
      <c r="G160" s="40"/>
      <c r="H160" s="41"/>
      <c r="I160" s="39"/>
      <c r="J160" s="40"/>
      <c r="K160" s="40"/>
      <c r="L160" s="41"/>
      <c r="M160" s="39"/>
      <c r="N160" s="40"/>
      <c r="O160" s="40"/>
      <c r="P160" s="39"/>
      <c r="Q160" s="39"/>
      <c r="R160" s="40"/>
      <c r="S160" s="40"/>
      <c r="T160" s="39"/>
      <c r="U160" s="39"/>
      <c r="V160" s="40"/>
      <c r="W160" s="40"/>
      <c r="X160" s="41"/>
      <c r="Y160" s="41"/>
      <c r="Z160" s="40"/>
      <c r="AA160" s="40"/>
      <c r="AB160" s="41"/>
      <c r="AC160" s="41"/>
      <c r="AD160" s="40"/>
      <c r="AE160" s="40"/>
      <c r="AF160" s="42"/>
      <c r="AG160" s="42"/>
      <c r="AH160" s="40"/>
      <c r="AI160" s="40"/>
      <c r="AJ160" s="42"/>
      <c r="AK160" s="42"/>
      <c r="AL160" s="40"/>
      <c r="AM160" s="40"/>
      <c r="AN160" s="40"/>
      <c r="AO160" s="40"/>
      <c r="AP160" s="40"/>
      <c r="AQ160" s="40"/>
      <c r="AR160" s="39"/>
      <c r="AS160" s="39"/>
      <c r="AT160" s="40"/>
      <c r="AU160" s="40"/>
      <c r="AV160" s="23"/>
    </row>
    <row r="161" spans="1:48" ht="15.75" x14ac:dyDescent="0.25">
      <c r="A161" s="44"/>
      <c r="B161" s="23"/>
      <c r="C161" s="23"/>
      <c r="D161" s="39"/>
      <c r="E161" s="39"/>
      <c r="F161" s="40"/>
      <c r="G161" s="40"/>
      <c r="H161" s="41"/>
      <c r="I161" s="39"/>
      <c r="J161" s="40"/>
      <c r="K161" s="40"/>
      <c r="L161" s="41"/>
      <c r="M161" s="39"/>
      <c r="N161" s="40"/>
      <c r="O161" s="40"/>
      <c r="P161" s="39"/>
      <c r="Q161" s="39"/>
      <c r="R161" s="40"/>
      <c r="S161" s="40"/>
      <c r="T161" s="39"/>
      <c r="U161" s="39"/>
      <c r="V161" s="40"/>
      <c r="W161" s="40"/>
      <c r="X161" s="41"/>
      <c r="Y161" s="41"/>
      <c r="Z161" s="40"/>
      <c r="AA161" s="40"/>
      <c r="AB161" s="41"/>
      <c r="AC161" s="41"/>
      <c r="AD161" s="40"/>
      <c r="AE161" s="40"/>
      <c r="AF161" s="42"/>
      <c r="AG161" s="42"/>
      <c r="AH161" s="40"/>
      <c r="AI161" s="40"/>
      <c r="AJ161" s="42"/>
      <c r="AK161" s="42"/>
      <c r="AL161" s="40"/>
      <c r="AM161" s="40"/>
      <c r="AN161" s="40"/>
      <c r="AO161" s="40"/>
      <c r="AP161" s="40"/>
      <c r="AQ161" s="40"/>
      <c r="AR161" s="39"/>
      <c r="AS161" s="39"/>
      <c r="AT161" s="40"/>
      <c r="AU161" s="40"/>
      <c r="AV161" s="23"/>
    </row>
    <row r="162" spans="1:48" ht="15.75" x14ac:dyDescent="0.25">
      <c r="A162" s="44"/>
      <c r="B162" s="23"/>
      <c r="C162" s="23"/>
      <c r="D162" s="39"/>
      <c r="E162" s="39"/>
      <c r="F162" s="40"/>
      <c r="G162" s="40"/>
      <c r="H162" s="41"/>
      <c r="I162" s="39"/>
      <c r="J162" s="40"/>
      <c r="K162" s="40"/>
      <c r="L162" s="41"/>
      <c r="M162" s="39"/>
      <c r="N162" s="40"/>
      <c r="O162" s="40"/>
      <c r="P162" s="39"/>
      <c r="Q162" s="39"/>
      <c r="R162" s="40"/>
      <c r="S162" s="40"/>
      <c r="T162" s="39"/>
      <c r="U162" s="39"/>
      <c r="V162" s="40"/>
      <c r="W162" s="40"/>
      <c r="X162" s="41"/>
      <c r="Y162" s="41"/>
      <c r="Z162" s="40"/>
      <c r="AA162" s="40"/>
      <c r="AB162" s="41"/>
      <c r="AC162" s="41"/>
      <c r="AD162" s="40"/>
      <c r="AE162" s="40"/>
      <c r="AF162" s="42"/>
      <c r="AG162" s="42"/>
      <c r="AH162" s="40"/>
      <c r="AI162" s="40"/>
      <c r="AJ162" s="42"/>
      <c r="AK162" s="42"/>
      <c r="AL162" s="40"/>
      <c r="AM162" s="40"/>
      <c r="AN162" s="40"/>
      <c r="AO162" s="40"/>
      <c r="AP162" s="40"/>
      <c r="AQ162" s="40"/>
      <c r="AR162" s="39"/>
      <c r="AS162" s="39"/>
      <c r="AT162" s="40"/>
      <c r="AU162" s="40"/>
      <c r="AV162" s="23"/>
    </row>
    <row r="163" spans="1:48" ht="15.75" x14ac:dyDescent="0.25">
      <c r="A163" s="44"/>
      <c r="B163" s="23"/>
      <c r="C163" s="23"/>
      <c r="D163" s="39"/>
      <c r="E163" s="39"/>
      <c r="F163" s="40"/>
      <c r="G163" s="40"/>
      <c r="H163" s="41"/>
      <c r="I163" s="39"/>
      <c r="J163" s="40"/>
      <c r="K163" s="40"/>
      <c r="L163" s="41"/>
      <c r="M163" s="39"/>
      <c r="N163" s="40"/>
      <c r="O163" s="40"/>
      <c r="P163" s="39"/>
      <c r="Q163" s="39"/>
      <c r="R163" s="40"/>
      <c r="S163" s="40"/>
      <c r="T163" s="39"/>
      <c r="U163" s="39"/>
      <c r="V163" s="40"/>
      <c r="W163" s="40"/>
      <c r="X163" s="41"/>
      <c r="Y163" s="41"/>
      <c r="Z163" s="40"/>
      <c r="AA163" s="40"/>
      <c r="AB163" s="41"/>
      <c r="AC163" s="41"/>
      <c r="AD163" s="40"/>
      <c r="AE163" s="40"/>
      <c r="AF163" s="42"/>
      <c r="AG163" s="42"/>
      <c r="AH163" s="40"/>
      <c r="AI163" s="40"/>
      <c r="AJ163" s="42"/>
      <c r="AK163" s="42"/>
      <c r="AL163" s="40"/>
      <c r="AM163" s="40"/>
      <c r="AN163" s="40"/>
      <c r="AO163" s="40"/>
      <c r="AP163" s="40"/>
      <c r="AQ163" s="40"/>
      <c r="AR163" s="39"/>
      <c r="AS163" s="39"/>
      <c r="AT163" s="40"/>
      <c r="AU163" s="40"/>
      <c r="AV163" s="23"/>
    </row>
    <row r="164" spans="1:48" ht="15.75" x14ac:dyDescent="0.25">
      <c r="A164" s="44"/>
      <c r="B164" s="23"/>
      <c r="C164" s="23"/>
      <c r="D164" s="39"/>
      <c r="E164" s="39"/>
      <c r="F164" s="40"/>
      <c r="G164" s="40"/>
      <c r="H164" s="41"/>
      <c r="I164" s="39"/>
      <c r="J164" s="40"/>
      <c r="K164" s="40"/>
      <c r="L164" s="41"/>
      <c r="M164" s="39"/>
      <c r="N164" s="40"/>
      <c r="O164" s="40"/>
      <c r="P164" s="39"/>
      <c r="Q164" s="39"/>
      <c r="R164" s="40"/>
      <c r="S164" s="40"/>
      <c r="T164" s="39"/>
      <c r="U164" s="39"/>
      <c r="V164" s="40"/>
      <c r="W164" s="40"/>
      <c r="X164" s="41"/>
      <c r="Y164" s="41"/>
      <c r="Z164" s="40"/>
      <c r="AA164" s="40"/>
      <c r="AB164" s="41"/>
      <c r="AC164" s="41"/>
      <c r="AD164" s="40"/>
      <c r="AE164" s="40"/>
      <c r="AF164" s="42"/>
      <c r="AG164" s="42"/>
      <c r="AH164" s="40"/>
      <c r="AI164" s="40"/>
      <c r="AJ164" s="42"/>
      <c r="AK164" s="42"/>
      <c r="AL164" s="40"/>
      <c r="AM164" s="40"/>
      <c r="AN164" s="40"/>
      <c r="AO164" s="40"/>
      <c r="AP164" s="40"/>
      <c r="AQ164" s="40"/>
      <c r="AR164" s="39"/>
      <c r="AS164" s="39"/>
      <c r="AT164" s="40"/>
      <c r="AU164" s="40"/>
      <c r="AV164" s="23"/>
    </row>
    <row r="165" spans="1:48" ht="15.75" x14ac:dyDescent="0.25">
      <c r="A165" s="44"/>
      <c r="B165" s="23"/>
      <c r="C165" s="23"/>
      <c r="D165" s="39"/>
      <c r="E165" s="39"/>
      <c r="F165" s="40"/>
      <c r="G165" s="40"/>
      <c r="H165" s="41"/>
      <c r="I165" s="39"/>
      <c r="J165" s="40"/>
      <c r="K165" s="40"/>
      <c r="L165" s="41"/>
      <c r="M165" s="39"/>
      <c r="N165" s="40"/>
      <c r="O165" s="40"/>
      <c r="P165" s="39"/>
      <c r="Q165" s="39"/>
      <c r="R165" s="40"/>
      <c r="S165" s="40"/>
      <c r="T165" s="39"/>
      <c r="U165" s="39"/>
      <c r="V165" s="40"/>
      <c r="W165" s="40"/>
      <c r="X165" s="41"/>
      <c r="Y165" s="41"/>
      <c r="Z165" s="40"/>
      <c r="AA165" s="40"/>
      <c r="AB165" s="41"/>
      <c r="AC165" s="41"/>
      <c r="AD165" s="40"/>
      <c r="AE165" s="40"/>
      <c r="AF165" s="42"/>
      <c r="AG165" s="42"/>
      <c r="AH165" s="40"/>
      <c r="AI165" s="40"/>
      <c r="AJ165" s="42"/>
      <c r="AK165" s="42"/>
      <c r="AL165" s="40"/>
      <c r="AM165" s="40"/>
      <c r="AN165" s="40"/>
      <c r="AO165" s="40"/>
      <c r="AP165" s="40"/>
      <c r="AQ165" s="40"/>
      <c r="AR165" s="39"/>
      <c r="AS165" s="39"/>
      <c r="AT165" s="40"/>
      <c r="AU165" s="40"/>
      <c r="AV165" s="23"/>
    </row>
    <row r="166" spans="1:48" ht="15.75" x14ac:dyDescent="0.25">
      <c r="A166" s="44"/>
      <c r="B166" s="23"/>
      <c r="C166" s="23"/>
      <c r="D166" s="39"/>
      <c r="E166" s="39"/>
      <c r="F166" s="40"/>
      <c r="G166" s="40"/>
      <c r="H166" s="41"/>
      <c r="I166" s="39"/>
      <c r="J166" s="40"/>
      <c r="K166" s="40"/>
      <c r="L166" s="41"/>
      <c r="M166" s="39"/>
      <c r="N166" s="40"/>
      <c r="O166" s="40"/>
      <c r="P166" s="39"/>
      <c r="Q166" s="39"/>
      <c r="R166" s="40"/>
      <c r="S166" s="40"/>
      <c r="T166" s="39"/>
      <c r="U166" s="39"/>
      <c r="V166" s="40"/>
      <c r="W166" s="40"/>
      <c r="X166" s="41"/>
      <c r="Y166" s="41"/>
      <c r="Z166" s="40"/>
      <c r="AA166" s="40"/>
      <c r="AB166" s="41"/>
      <c r="AC166" s="41"/>
      <c r="AD166" s="40"/>
      <c r="AE166" s="40"/>
      <c r="AF166" s="42"/>
      <c r="AG166" s="42"/>
      <c r="AH166" s="40"/>
      <c r="AI166" s="40"/>
      <c r="AJ166" s="42"/>
      <c r="AK166" s="42"/>
      <c r="AL166" s="40"/>
      <c r="AM166" s="40"/>
      <c r="AN166" s="40"/>
      <c r="AO166" s="40"/>
      <c r="AP166" s="40"/>
      <c r="AQ166" s="40"/>
      <c r="AR166" s="39"/>
      <c r="AS166" s="39"/>
      <c r="AT166" s="40"/>
      <c r="AU166" s="40"/>
      <c r="AV166" s="23"/>
    </row>
    <row r="167" spans="1:48" ht="15.75" x14ac:dyDescent="0.25">
      <c r="A167" s="44"/>
      <c r="B167" s="23"/>
      <c r="C167" s="23"/>
      <c r="D167" s="39"/>
      <c r="E167" s="39"/>
      <c r="F167" s="40"/>
      <c r="G167" s="40"/>
      <c r="H167" s="41"/>
      <c r="I167" s="39"/>
      <c r="J167" s="40"/>
      <c r="K167" s="40"/>
      <c r="L167" s="41"/>
      <c r="M167" s="39"/>
      <c r="N167" s="40"/>
      <c r="O167" s="40"/>
      <c r="P167" s="39"/>
      <c r="Q167" s="39"/>
      <c r="R167" s="40"/>
      <c r="S167" s="40"/>
      <c r="T167" s="39"/>
      <c r="U167" s="39"/>
      <c r="V167" s="40"/>
      <c r="W167" s="40"/>
      <c r="X167" s="41"/>
      <c r="Y167" s="41"/>
      <c r="Z167" s="40"/>
      <c r="AA167" s="40"/>
      <c r="AB167" s="41"/>
      <c r="AC167" s="41"/>
      <c r="AD167" s="40"/>
      <c r="AE167" s="40"/>
      <c r="AF167" s="42"/>
      <c r="AG167" s="42"/>
      <c r="AH167" s="40"/>
      <c r="AI167" s="40"/>
      <c r="AJ167" s="42"/>
      <c r="AK167" s="42"/>
      <c r="AL167" s="40"/>
      <c r="AM167" s="40"/>
      <c r="AN167" s="40"/>
      <c r="AO167" s="40"/>
      <c r="AP167" s="40"/>
      <c r="AQ167" s="40"/>
      <c r="AR167" s="39"/>
      <c r="AS167" s="39"/>
      <c r="AT167" s="40"/>
      <c r="AU167" s="40"/>
      <c r="AV167" s="23"/>
    </row>
    <row r="168" spans="1:48" ht="15.75" x14ac:dyDescent="0.25">
      <c r="A168" s="44"/>
      <c r="B168" s="23"/>
      <c r="C168" s="23"/>
      <c r="D168" s="39"/>
      <c r="E168" s="39"/>
      <c r="F168" s="40"/>
      <c r="G168" s="40"/>
      <c r="H168" s="41"/>
      <c r="I168" s="39"/>
      <c r="J168" s="40"/>
      <c r="K168" s="40"/>
      <c r="L168" s="41"/>
      <c r="M168" s="39"/>
      <c r="N168" s="40"/>
      <c r="O168" s="40"/>
      <c r="P168" s="39"/>
      <c r="Q168" s="39"/>
      <c r="R168" s="40"/>
      <c r="S168" s="40"/>
      <c r="T168" s="39"/>
      <c r="U168" s="39"/>
      <c r="V168" s="40"/>
      <c r="W168" s="40"/>
      <c r="X168" s="41"/>
      <c r="Y168" s="41"/>
      <c r="Z168" s="40"/>
      <c r="AA168" s="40"/>
      <c r="AB168" s="41"/>
      <c r="AC168" s="41"/>
      <c r="AD168" s="40"/>
      <c r="AE168" s="40"/>
      <c r="AF168" s="42"/>
      <c r="AG168" s="42"/>
      <c r="AH168" s="40"/>
      <c r="AI168" s="40"/>
      <c r="AJ168" s="42"/>
      <c r="AK168" s="42"/>
      <c r="AL168" s="40"/>
      <c r="AM168" s="40"/>
      <c r="AN168" s="40"/>
      <c r="AO168" s="40"/>
      <c r="AP168" s="40"/>
      <c r="AQ168" s="40"/>
      <c r="AR168" s="39"/>
      <c r="AS168" s="39"/>
      <c r="AT168" s="40"/>
      <c r="AU168" s="40"/>
      <c r="AV168" s="23"/>
    </row>
    <row r="169" spans="1:48" ht="15.75" x14ac:dyDescent="0.25">
      <c r="A169" s="44"/>
      <c r="B169" s="23"/>
      <c r="C169" s="23"/>
      <c r="D169" s="39"/>
      <c r="E169" s="39"/>
      <c r="F169" s="40"/>
      <c r="G169" s="40"/>
      <c r="H169" s="41"/>
      <c r="I169" s="39"/>
      <c r="J169" s="40"/>
      <c r="K169" s="40"/>
      <c r="L169" s="41"/>
      <c r="M169" s="39"/>
      <c r="N169" s="40"/>
      <c r="O169" s="40"/>
      <c r="P169" s="39"/>
      <c r="Q169" s="39"/>
      <c r="R169" s="40"/>
      <c r="S169" s="40"/>
      <c r="T169" s="39"/>
      <c r="U169" s="39"/>
      <c r="V169" s="40"/>
      <c r="W169" s="40"/>
      <c r="X169" s="41"/>
      <c r="Y169" s="41"/>
      <c r="Z169" s="40"/>
      <c r="AA169" s="40"/>
      <c r="AB169" s="41"/>
      <c r="AC169" s="41"/>
      <c r="AD169" s="40"/>
      <c r="AE169" s="40"/>
      <c r="AF169" s="42"/>
      <c r="AG169" s="42"/>
      <c r="AH169" s="40"/>
      <c r="AI169" s="40"/>
      <c r="AJ169" s="42"/>
      <c r="AK169" s="42"/>
      <c r="AL169" s="40"/>
      <c r="AM169" s="40"/>
      <c r="AN169" s="40"/>
      <c r="AO169" s="40"/>
      <c r="AP169" s="40"/>
      <c r="AQ169" s="40"/>
      <c r="AR169" s="39"/>
      <c r="AS169" s="39"/>
      <c r="AT169" s="40"/>
      <c r="AU169" s="40"/>
      <c r="AV169" s="23"/>
    </row>
    <row r="170" spans="1:48" ht="15.75" x14ac:dyDescent="0.25">
      <c r="A170" s="44"/>
      <c r="B170" s="23"/>
      <c r="C170" s="23"/>
      <c r="D170" s="39"/>
      <c r="E170" s="39"/>
      <c r="F170" s="40"/>
      <c r="G170" s="40"/>
      <c r="H170" s="41"/>
      <c r="I170" s="39"/>
      <c r="J170" s="40"/>
      <c r="K170" s="40"/>
      <c r="L170" s="41"/>
      <c r="M170" s="39"/>
      <c r="N170" s="40"/>
      <c r="O170" s="40"/>
      <c r="P170" s="39"/>
      <c r="Q170" s="39"/>
      <c r="R170" s="40"/>
      <c r="S170" s="40"/>
      <c r="T170" s="39"/>
      <c r="U170" s="39"/>
      <c r="V170" s="40"/>
      <c r="W170" s="40"/>
      <c r="X170" s="41"/>
      <c r="Y170" s="41"/>
      <c r="Z170" s="40"/>
      <c r="AA170" s="40"/>
      <c r="AB170" s="41"/>
      <c r="AC170" s="41"/>
      <c r="AD170" s="40"/>
      <c r="AE170" s="40"/>
      <c r="AF170" s="42"/>
      <c r="AG170" s="42"/>
      <c r="AH170" s="40"/>
      <c r="AI170" s="40"/>
      <c r="AJ170" s="42"/>
      <c r="AK170" s="42"/>
      <c r="AL170" s="40"/>
      <c r="AM170" s="40"/>
      <c r="AN170" s="40"/>
      <c r="AO170" s="40"/>
      <c r="AP170" s="40"/>
      <c r="AQ170" s="40"/>
      <c r="AR170" s="39"/>
      <c r="AS170" s="39"/>
      <c r="AT170" s="40"/>
      <c r="AU170" s="40"/>
      <c r="AV170" s="23"/>
    </row>
    <row r="171" spans="1:48" ht="15.75" x14ac:dyDescent="0.25">
      <c r="A171" s="44"/>
      <c r="B171" s="23"/>
      <c r="C171" s="23"/>
      <c r="D171" s="39"/>
      <c r="E171" s="39"/>
      <c r="F171" s="40"/>
      <c r="G171" s="40"/>
      <c r="H171" s="41"/>
      <c r="I171" s="39"/>
      <c r="J171" s="40"/>
      <c r="K171" s="40"/>
      <c r="L171" s="41"/>
      <c r="M171" s="39"/>
      <c r="N171" s="40"/>
      <c r="O171" s="40"/>
      <c r="P171" s="39"/>
      <c r="Q171" s="39"/>
      <c r="R171" s="40"/>
      <c r="S171" s="40"/>
      <c r="T171" s="39"/>
      <c r="U171" s="39"/>
      <c r="V171" s="40"/>
      <c r="W171" s="40"/>
      <c r="X171" s="41"/>
      <c r="Y171" s="41"/>
      <c r="Z171" s="40"/>
      <c r="AA171" s="40"/>
      <c r="AB171" s="41"/>
      <c r="AC171" s="41"/>
      <c r="AD171" s="40"/>
      <c r="AE171" s="40"/>
      <c r="AF171" s="42"/>
      <c r="AG171" s="42"/>
      <c r="AH171" s="40"/>
      <c r="AI171" s="40"/>
      <c r="AJ171" s="42"/>
      <c r="AK171" s="42"/>
      <c r="AL171" s="40"/>
      <c r="AM171" s="40"/>
      <c r="AN171" s="40"/>
      <c r="AO171" s="40"/>
      <c r="AP171" s="40"/>
      <c r="AQ171" s="40"/>
      <c r="AR171" s="39"/>
      <c r="AS171" s="39"/>
      <c r="AT171" s="40"/>
      <c r="AU171" s="40"/>
      <c r="AV171" s="23"/>
    </row>
    <row r="172" spans="1:48" ht="15.75" x14ac:dyDescent="0.25">
      <c r="A172" s="44"/>
      <c r="B172" s="23"/>
      <c r="C172" s="23"/>
      <c r="D172" s="39"/>
      <c r="E172" s="39"/>
      <c r="F172" s="40"/>
      <c r="G172" s="40"/>
      <c r="H172" s="41"/>
      <c r="I172" s="39"/>
      <c r="J172" s="40"/>
      <c r="K172" s="40"/>
      <c r="L172" s="41"/>
      <c r="M172" s="39"/>
      <c r="N172" s="40"/>
      <c r="O172" s="40"/>
      <c r="P172" s="39"/>
      <c r="Q172" s="39"/>
      <c r="R172" s="40"/>
      <c r="S172" s="40"/>
      <c r="T172" s="39"/>
      <c r="U172" s="39"/>
      <c r="V172" s="40"/>
      <c r="W172" s="40"/>
      <c r="X172" s="41"/>
      <c r="Y172" s="41"/>
      <c r="Z172" s="40"/>
      <c r="AA172" s="40"/>
      <c r="AB172" s="41"/>
      <c r="AC172" s="41"/>
      <c r="AD172" s="40"/>
      <c r="AE172" s="40"/>
      <c r="AF172" s="42"/>
      <c r="AG172" s="42"/>
      <c r="AH172" s="40"/>
      <c r="AI172" s="40"/>
      <c r="AJ172" s="42"/>
      <c r="AK172" s="42"/>
      <c r="AL172" s="40"/>
      <c r="AM172" s="40"/>
      <c r="AN172" s="40"/>
      <c r="AO172" s="40"/>
      <c r="AP172" s="40"/>
      <c r="AQ172" s="40"/>
      <c r="AR172" s="39"/>
      <c r="AS172" s="39"/>
      <c r="AT172" s="40"/>
      <c r="AU172" s="40"/>
      <c r="AV172" s="23"/>
    </row>
    <row r="173" spans="1:48" ht="15.75" x14ac:dyDescent="0.25">
      <c r="A173" s="44"/>
      <c r="B173" s="23"/>
      <c r="C173" s="23"/>
      <c r="D173" s="39"/>
      <c r="E173" s="39"/>
      <c r="F173" s="40"/>
      <c r="G173" s="40"/>
      <c r="H173" s="41"/>
      <c r="I173" s="39"/>
      <c r="J173" s="40"/>
      <c r="K173" s="40"/>
      <c r="L173" s="41"/>
      <c r="M173" s="39"/>
      <c r="N173" s="40"/>
      <c r="O173" s="40"/>
      <c r="P173" s="39"/>
      <c r="Q173" s="39"/>
      <c r="R173" s="40"/>
      <c r="S173" s="40"/>
      <c r="T173" s="39"/>
      <c r="U173" s="39"/>
      <c r="V173" s="40"/>
      <c r="W173" s="40"/>
      <c r="X173" s="41"/>
      <c r="Y173" s="41"/>
      <c r="Z173" s="40"/>
      <c r="AA173" s="40"/>
      <c r="AB173" s="41"/>
      <c r="AC173" s="41"/>
      <c r="AD173" s="40"/>
      <c r="AE173" s="40"/>
      <c r="AF173" s="42"/>
      <c r="AG173" s="42"/>
      <c r="AH173" s="40"/>
      <c r="AI173" s="40"/>
      <c r="AJ173" s="42"/>
      <c r="AK173" s="42"/>
      <c r="AL173" s="40"/>
      <c r="AM173" s="40"/>
      <c r="AN173" s="40"/>
      <c r="AO173" s="40"/>
      <c r="AP173" s="40"/>
      <c r="AQ173" s="40"/>
      <c r="AR173" s="39"/>
      <c r="AS173" s="39"/>
      <c r="AT173" s="40"/>
      <c r="AU173" s="40"/>
      <c r="AV173" s="23"/>
    </row>
    <row r="174" spans="1:48" ht="15.75" x14ac:dyDescent="0.25">
      <c r="A174" s="44"/>
      <c r="B174" s="23"/>
      <c r="C174" s="23"/>
      <c r="D174" s="39"/>
      <c r="E174" s="39"/>
      <c r="F174" s="40"/>
      <c r="G174" s="40"/>
      <c r="H174" s="41"/>
      <c r="I174" s="39"/>
      <c r="J174" s="40"/>
      <c r="K174" s="40"/>
      <c r="L174" s="41"/>
      <c r="M174" s="39"/>
      <c r="N174" s="40"/>
      <c r="O174" s="40"/>
      <c r="P174" s="39"/>
      <c r="Q174" s="39"/>
      <c r="R174" s="40"/>
      <c r="S174" s="40"/>
      <c r="T174" s="39"/>
      <c r="U174" s="39"/>
      <c r="V174" s="40"/>
      <c r="W174" s="40"/>
      <c r="X174" s="41"/>
      <c r="Y174" s="41"/>
      <c r="Z174" s="40"/>
      <c r="AA174" s="40"/>
      <c r="AB174" s="41"/>
      <c r="AC174" s="41"/>
      <c r="AD174" s="40"/>
      <c r="AE174" s="40"/>
      <c r="AF174" s="42"/>
      <c r="AG174" s="42"/>
      <c r="AH174" s="40"/>
      <c r="AI174" s="40"/>
      <c r="AJ174" s="42"/>
      <c r="AK174" s="42"/>
      <c r="AL174" s="40"/>
      <c r="AM174" s="40"/>
      <c r="AN174" s="40"/>
      <c r="AO174" s="40"/>
      <c r="AP174" s="40"/>
      <c r="AQ174" s="40"/>
      <c r="AR174" s="39"/>
      <c r="AS174" s="39"/>
      <c r="AT174" s="40"/>
      <c r="AU174" s="40"/>
      <c r="AV174" s="23"/>
    </row>
    <row r="175" spans="1:48" ht="15.75" x14ac:dyDescent="0.25">
      <c r="A175" s="44"/>
      <c r="B175" s="23"/>
      <c r="C175" s="23"/>
      <c r="D175" s="39"/>
      <c r="E175" s="39"/>
      <c r="F175" s="40"/>
      <c r="G175" s="40"/>
      <c r="H175" s="41"/>
      <c r="I175" s="39"/>
      <c r="J175" s="40"/>
      <c r="K175" s="40"/>
      <c r="L175" s="41"/>
      <c r="M175" s="39"/>
      <c r="N175" s="40"/>
      <c r="O175" s="40"/>
      <c r="P175" s="39"/>
      <c r="Q175" s="39"/>
      <c r="R175" s="40"/>
      <c r="S175" s="40"/>
      <c r="T175" s="39"/>
      <c r="U175" s="39"/>
      <c r="V175" s="40"/>
      <c r="W175" s="40"/>
      <c r="X175" s="41"/>
      <c r="Y175" s="41"/>
      <c r="Z175" s="40"/>
      <c r="AA175" s="40"/>
      <c r="AB175" s="41"/>
      <c r="AC175" s="41"/>
      <c r="AD175" s="40"/>
      <c r="AE175" s="40"/>
      <c r="AF175" s="42"/>
      <c r="AG175" s="42"/>
      <c r="AH175" s="40"/>
      <c r="AI175" s="40"/>
      <c r="AJ175" s="42"/>
      <c r="AK175" s="42"/>
      <c r="AL175" s="40"/>
      <c r="AM175" s="40"/>
      <c r="AN175" s="40"/>
      <c r="AO175" s="40"/>
      <c r="AP175" s="40"/>
      <c r="AQ175" s="40"/>
      <c r="AR175" s="39"/>
      <c r="AS175" s="39"/>
      <c r="AT175" s="40"/>
      <c r="AU175" s="40"/>
      <c r="AV175" s="23"/>
    </row>
    <row r="176" spans="1:48" ht="15.75" x14ac:dyDescent="0.25">
      <c r="A176" s="44"/>
      <c r="B176" s="23"/>
      <c r="C176" s="23"/>
      <c r="D176" s="39"/>
      <c r="E176" s="39"/>
      <c r="F176" s="40"/>
      <c r="G176" s="40"/>
      <c r="H176" s="41"/>
      <c r="I176" s="39"/>
      <c r="J176" s="40"/>
      <c r="K176" s="40"/>
      <c r="L176" s="41"/>
      <c r="M176" s="39"/>
      <c r="N176" s="40"/>
      <c r="O176" s="40"/>
      <c r="P176" s="39"/>
      <c r="Q176" s="39"/>
      <c r="R176" s="40"/>
      <c r="S176" s="40"/>
      <c r="T176" s="39"/>
      <c r="U176" s="39"/>
      <c r="V176" s="40"/>
      <c r="W176" s="40"/>
      <c r="X176" s="41"/>
      <c r="Y176" s="41"/>
      <c r="Z176" s="40"/>
      <c r="AA176" s="40"/>
      <c r="AB176" s="41"/>
      <c r="AC176" s="41"/>
      <c r="AD176" s="40"/>
      <c r="AE176" s="40"/>
      <c r="AF176" s="42"/>
      <c r="AG176" s="42"/>
      <c r="AH176" s="40"/>
      <c r="AI176" s="40"/>
      <c r="AJ176" s="42"/>
      <c r="AK176" s="42"/>
      <c r="AL176" s="40"/>
      <c r="AM176" s="40"/>
      <c r="AN176" s="40"/>
      <c r="AO176" s="40"/>
      <c r="AP176" s="40"/>
      <c r="AQ176" s="40"/>
      <c r="AR176" s="39"/>
      <c r="AS176" s="39"/>
      <c r="AT176" s="40"/>
      <c r="AU176" s="40"/>
      <c r="AV176" s="23"/>
    </row>
    <row r="177" spans="1:48" ht="15.75" x14ac:dyDescent="0.25">
      <c r="A177" s="44"/>
      <c r="B177" s="23"/>
      <c r="C177" s="23"/>
      <c r="D177" s="39"/>
      <c r="E177" s="39"/>
      <c r="F177" s="40"/>
      <c r="G177" s="40"/>
      <c r="H177" s="41"/>
      <c r="I177" s="39"/>
      <c r="J177" s="40"/>
      <c r="K177" s="40"/>
      <c r="L177" s="41"/>
      <c r="M177" s="39"/>
      <c r="N177" s="40"/>
      <c r="O177" s="40"/>
      <c r="P177" s="39"/>
      <c r="Q177" s="39"/>
      <c r="R177" s="40"/>
      <c r="S177" s="40"/>
      <c r="T177" s="39"/>
      <c r="U177" s="39"/>
      <c r="V177" s="40"/>
      <c r="W177" s="40"/>
      <c r="X177" s="41"/>
      <c r="Y177" s="41"/>
      <c r="Z177" s="40"/>
      <c r="AA177" s="40"/>
      <c r="AB177" s="41"/>
      <c r="AC177" s="41"/>
      <c r="AD177" s="40"/>
      <c r="AE177" s="40"/>
      <c r="AF177" s="42"/>
      <c r="AG177" s="42"/>
      <c r="AH177" s="40"/>
      <c r="AI177" s="40"/>
      <c r="AJ177" s="42"/>
      <c r="AK177" s="42"/>
      <c r="AL177" s="40"/>
      <c r="AM177" s="40"/>
      <c r="AN177" s="40"/>
      <c r="AO177" s="40"/>
      <c r="AP177" s="40"/>
      <c r="AQ177" s="40"/>
      <c r="AR177" s="39"/>
      <c r="AS177" s="39"/>
      <c r="AT177" s="40"/>
      <c r="AU177" s="40"/>
      <c r="AV177" s="23"/>
    </row>
    <row r="178" spans="1:48" ht="15.75" x14ac:dyDescent="0.25">
      <c r="A178" s="44"/>
      <c r="B178" s="23"/>
      <c r="C178" s="23"/>
      <c r="D178" s="39"/>
      <c r="E178" s="39"/>
      <c r="F178" s="40"/>
      <c r="G178" s="40"/>
      <c r="H178" s="41"/>
      <c r="I178" s="39"/>
      <c r="J178" s="40"/>
      <c r="K178" s="40"/>
      <c r="L178" s="41"/>
      <c r="M178" s="39"/>
      <c r="N178" s="40"/>
      <c r="O178" s="40"/>
      <c r="P178" s="39"/>
      <c r="Q178" s="39"/>
      <c r="R178" s="40"/>
      <c r="S178" s="40"/>
      <c r="T178" s="39"/>
      <c r="U178" s="39"/>
      <c r="V178" s="40"/>
      <c r="W178" s="40"/>
      <c r="X178" s="41"/>
      <c r="Y178" s="41"/>
      <c r="Z178" s="40"/>
      <c r="AA178" s="40"/>
      <c r="AB178" s="41"/>
      <c r="AC178" s="41"/>
      <c r="AD178" s="40"/>
      <c r="AE178" s="40"/>
      <c r="AF178" s="42"/>
      <c r="AG178" s="42"/>
      <c r="AH178" s="40"/>
      <c r="AI178" s="40"/>
      <c r="AJ178" s="42"/>
      <c r="AK178" s="42"/>
      <c r="AL178" s="40"/>
      <c r="AM178" s="40"/>
      <c r="AN178" s="40"/>
      <c r="AO178" s="40"/>
      <c r="AP178" s="40"/>
      <c r="AQ178" s="40"/>
      <c r="AR178" s="39"/>
      <c r="AS178" s="39"/>
      <c r="AT178" s="40"/>
      <c r="AU178" s="40"/>
      <c r="AV178" s="23"/>
    </row>
    <row r="179" spans="1:48" ht="15.75" x14ac:dyDescent="0.25">
      <c r="A179" s="44"/>
      <c r="B179" s="23"/>
      <c r="C179" s="23"/>
      <c r="D179" s="39"/>
      <c r="E179" s="39"/>
      <c r="F179" s="40"/>
      <c r="G179" s="40"/>
      <c r="H179" s="41"/>
      <c r="I179" s="39"/>
      <c r="J179" s="40"/>
      <c r="K179" s="40"/>
      <c r="L179" s="41"/>
      <c r="M179" s="39"/>
      <c r="N179" s="40"/>
      <c r="O179" s="40"/>
      <c r="P179" s="39"/>
      <c r="Q179" s="39"/>
      <c r="R179" s="40"/>
      <c r="S179" s="40"/>
      <c r="T179" s="39"/>
      <c r="U179" s="39"/>
      <c r="V179" s="40"/>
      <c r="W179" s="40"/>
      <c r="X179" s="41"/>
      <c r="Y179" s="41"/>
      <c r="Z179" s="40"/>
      <c r="AA179" s="40"/>
      <c r="AB179" s="41"/>
      <c r="AC179" s="41"/>
      <c r="AD179" s="40"/>
      <c r="AE179" s="40"/>
      <c r="AF179" s="42"/>
      <c r="AG179" s="42"/>
      <c r="AH179" s="40"/>
      <c r="AI179" s="40"/>
      <c r="AJ179" s="42"/>
      <c r="AK179" s="42"/>
      <c r="AL179" s="40"/>
      <c r="AM179" s="40"/>
      <c r="AN179" s="40"/>
      <c r="AO179" s="40"/>
      <c r="AP179" s="40"/>
      <c r="AQ179" s="40"/>
      <c r="AR179" s="39"/>
      <c r="AS179" s="39"/>
      <c r="AT179" s="40"/>
      <c r="AU179" s="40"/>
      <c r="AV179" s="23"/>
    </row>
    <row r="180" spans="1:48" ht="15.75" x14ac:dyDescent="0.25">
      <c r="A180" s="44"/>
      <c r="B180" s="23"/>
      <c r="C180" s="23"/>
      <c r="D180" s="39"/>
      <c r="E180" s="39"/>
      <c r="F180" s="40"/>
      <c r="G180" s="40"/>
      <c r="H180" s="41"/>
      <c r="I180" s="39"/>
      <c r="J180" s="40"/>
      <c r="K180" s="40"/>
      <c r="L180" s="41"/>
      <c r="M180" s="39"/>
      <c r="N180" s="40"/>
      <c r="O180" s="40"/>
      <c r="P180" s="39"/>
      <c r="Q180" s="39"/>
      <c r="R180" s="40"/>
      <c r="S180" s="40"/>
      <c r="T180" s="39"/>
      <c r="U180" s="39"/>
      <c r="V180" s="40"/>
      <c r="W180" s="40"/>
      <c r="X180" s="41"/>
      <c r="Y180" s="41"/>
      <c r="Z180" s="40"/>
      <c r="AA180" s="40"/>
      <c r="AB180" s="41"/>
      <c r="AC180" s="41"/>
      <c r="AD180" s="40"/>
      <c r="AE180" s="40"/>
      <c r="AF180" s="42"/>
      <c r="AG180" s="42"/>
      <c r="AH180" s="40"/>
      <c r="AI180" s="40"/>
      <c r="AJ180" s="42"/>
      <c r="AK180" s="42"/>
      <c r="AL180" s="40"/>
      <c r="AM180" s="40"/>
      <c r="AN180" s="40"/>
      <c r="AO180" s="40"/>
      <c r="AP180" s="40"/>
      <c r="AQ180" s="40"/>
      <c r="AR180" s="39"/>
      <c r="AS180" s="39"/>
      <c r="AT180" s="40"/>
      <c r="AU180" s="40"/>
      <c r="AV180" s="23"/>
    </row>
    <row r="181" spans="1:48" ht="15.75" x14ac:dyDescent="0.25">
      <c r="A181" s="44"/>
      <c r="B181" s="23"/>
      <c r="C181" s="23"/>
      <c r="D181" s="39"/>
      <c r="E181" s="39"/>
      <c r="F181" s="40"/>
      <c r="G181" s="40"/>
      <c r="H181" s="41"/>
      <c r="I181" s="39"/>
      <c r="J181" s="40"/>
      <c r="K181" s="40"/>
      <c r="L181" s="41"/>
      <c r="M181" s="39"/>
      <c r="N181" s="40"/>
      <c r="O181" s="40"/>
      <c r="P181" s="39"/>
      <c r="Q181" s="39"/>
      <c r="R181" s="40"/>
      <c r="S181" s="40"/>
      <c r="T181" s="39"/>
      <c r="U181" s="39"/>
      <c r="V181" s="40"/>
      <c r="W181" s="40"/>
      <c r="X181" s="41"/>
      <c r="Y181" s="41"/>
      <c r="Z181" s="40"/>
      <c r="AA181" s="40"/>
      <c r="AB181" s="41"/>
      <c r="AC181" s="41"/>
      <c r="AD181" s="40"/>
      <c r="AE181" s="40"/>
      <c r="AF181" s="42"/>
      <c r="AG181" s="42"/>
      <c r="AH181" s="40"/>
      <c r="AI181" s="40"/>
      <c r="AJ181" s="42"/>
      <c r="AK181" s="42"/>
      <c r="AL181" s="40"/>
      <c r="AM181" s="40"/>
      <c r="AN181" s="40"/>
      <c r="AO181" s="40"/>
      <c r="AP181" s="40"/>
      <c r="AQ181" s="40"/>
      <c r="AR181" s="39"/>
      <c r="AS181" s="39"/>
      <c r="AT181" s="40"/>
      <c r="AU181" s="40"/>
      <c r="AV181" s="23"/>
    </row>
    <row r="182" spans="1:48" ht="15.75" x14ac:dyDescent="0.25">
      <c r="A182" s="44"/>
      <c r="B182" s="23"/>
      <c r="C182" s="23"/>
      <c r="D182" s="39"/>
      <c r="E182" s="39"/>
      <c r="F182" s="40"/>
      <c r="G182" s="40"/>
      <c r="H182" s="41"/>
      <c r="I182" s="39"/>
      <c r="J182" s="40"/>
      <c r="K182" s="40"/>
      <c r="L182" s="41"/>
      <c r="M182" s="39"/>
      <c r="N182" s="40"/>
      <c r="O182" s="40"/>
      <c r="P182" s="39"/>
      <c r="Q182" s="39"/>
      <c r="R182" s="40"/>
      <c r="S182" s="40"/>
      <c r="T182" s="39"/>
      <c r="U182" s="39"/>
      <c r="V182" s="40"/>
      <c r="W182" s="40"/>
      <c r="X182" s="41"/>
      <c r="Y182" s="41"/>
      <c r="Z182" s="40"/>
      <c r="AA182" s="40"/>
      <c r="AB182" s="41"/>
      <c r="AC182" s="41"/>
      <c r="AD182" s="40"/>
      <c r="AE182" s="40"/>
      <c r="AF182" s="42"/>
      <c r="AG182" s="42"/>
      <c r="AH182" s="40"/>
      <c r="AI182" s="40"/>
      <c r="AJ182" s="42"/>
      <c r="AK182" s="42"/>
      <c r="AL182" s="40"/>
      <c r="AM182" s="40"/>
      <c r="AN182" s="40"/>
      <c r="AO182" s="40"/>
      <c r="AP182" s="40"/>
      <c r="AQ182" s="40"/>
      <c r="AR182" s="39"/>
      <c r="AS182" s="39"/>
      <c r="AT182" s="40"/>
      <c r="AU182" s="40"/>
      <c r="AV182" s="23"/>
    </row>
    <row r="183" spans="1:48" ht="15.75" x14ac:dyDescent="0.25">
      <c r="A183" s="44"/>
      <c r="B183" s="23"/>
      <c r="C183" s="23"/>
      <c r="D183" s="39"/>
      <c r="E183" s="39"/>
      <c r="F183" s="40"/>
      <c r="G183" s="40"/>
      <c r="H183" s="41"/>
      <c r="I183" s="39"/>
      <c r="J183" s="40"/>
      <c r="K183" s="40"/>
      <c r="L183" s="41"/>
      <c r="M183" s="39"/>
      <c r="N183" s="40"/>
      <c r="O183" s="40"/>
      <c r="P183" s="39"/>
      <c r="Q183" s="39"/>
      <c r="R183" s="40"/>
      <c r="S183" s="40"/>
      <c r="T183" s="39"/>
      <c r="U183" s="39"/>
      <c r="V183" s="40"/>
      <c r="W183" s="40"/>
      <c r="X183" s="41"/>
      <c r="Y183" s="41"/>
      <c r="Z183" s="40"/>
      <c r="AA183" s="40"/>
      <c r="AB183" s="41"/>
      <c r="AC183" s="41"/>
      <c r="AD183" s="40"/>
      <c r="AE183" s="40"/>
      <c r="AF183" s="42"/>
      <c r="AG183" s="42"/>
      <c r="AH183" s="40"/>
      <c r="AI183" s="40"/>
      <c r="AJ183" s="42"/>
      <c r="AK183" s="42"/>
      <c r="AL183" s="40"/>
      <c r="AM183" s="40"/>
      <c r="AN183" s="40"/>
      <c r="AO183" s="40"/>
      <c r="AP183" s="40"/>
      <c r="AQ183" s="40"/>
      <c r="AR183" s="39"/>
      <c r="AS183" s="39"/>
      <c r="AT183" s="40"/>
      <c r="AU183" s="40"/>
      <c r="AV183" s="23"/>
    </row>
    <row r="184" spans="1:48" ht="15.75" x14ac:dyDescent="0.25">
      <c r="A184" s="44"/>
      <c r="B184" s="23"/>
      <c r="C184" s="23"/>
      <c r="D184" s="39"/>
      <c r="E184" s="39"/>
      <c r="F184" s="40"/>
      <c r="G184" s="40"/>
      <c r="H184" s="41"/>
      <c r="I184" s="39"/>
      <c r="J184" s="40"/>
      <c r="K184" s="40"/>
      <c r="L184" s="41"/>
      <c r="M184" s="39"/>
      <c r="N184" s="40"/>
      <c r="O184" s="40"/>
      <c r="P184" s="39"/>
      <c r="Q184" s="39"/>
      <c r="R184" s="40"/>
      <c r="S184" s="40"/>
      <c r="T184" s="39"/>
      <c r="U184" s="39"/>
      <c r="V184" s="40"/>
      <c r="W184" s="40"/>
      <c r="X184" s="41"/>
      <c r="Y184" s="41"/>
      <c r="Z184" s="40"/>
      <c r="AA184" s="40"/>
      <c r="AB184" s="41"/>
      <c r="AC184" s="41"/>
      <c r="AD184" s="40"/>
      <c r="AE184" s="40"/>
      <c r="AF184" s="42"/>
      <c r="AG184" s="42"/>
      <c r="AH184" s="40"/>
      <c r="AI184" s="40"/>
      <c r="AJ184" s="42"/>
      <c r="AK184" s="42"/>
      <c r="AL184" s="40"/>
      <c r="AM184" s="40"/>
      <c r="AN184" s="40"/>
      <c r="AO184" s="40"/>
      <c r="AP184" s="40"/>
      <c r="AQ184" s="40"/>
      <c r="AR184" s="39"/>
      <c r="AS184" s="39"/>
      <c r="AT184" s="40"/>
      <c r="AU184" s="40"/>
      <c r="AV184" s="23"/>
    </row>
    <row r="185" spans="1:48" ht="15.75" x14ac:dyDescent="0.25">
      <c r="A185" s="44"/>
      <c r="B185" s="23"/>
      <c r="C185" s="23"/>
      <c r="D185" s="39"/>
      <c r="E185" s="39"/>
      <c r="F185" s="40"/>
      <c r="G185" s="40"/>
      <c r="H185" s="41"/>
      <c r="I185" s="39"/>
      <c r="J185" s="40"/>
      <c r="K185" s="40"/>
      <c r="L185" s="41"/>
      <c r="M185" s="39"/>
      <c r="N185" s="40"/>
      <c r="O185" s="40"/>
      <c r="P185" s="39"/>
      <c r="Q185" s="39"/>
      <c r="R185" s="40"/>
      <c r="S185" s="40"/>
      <c r="T185" s="39"/>
      <c r="U185" s="39"/>
      <c r="V185" s="40"/>
      <c r="W185" s="40"/>
      <c r="X185" s="41"/>
      <c r="Y185" s="41"/>
      <c r="Z185" s="40"/>
      <c r="AA185" s="40"/>
      <c r="AB185" s="41"/>
      <c r="AC185" s="41"/>
      <c r="AD185" s="40"/>
      <c r="AE185" s="40"/>
      <c r="AF185" s="42"/>
      <c r="AG185" s="42"/>
      <c r="AH185" s="40"/>
      <c r="AI185" s="40"/>
      <c r="AJ185" s="42"/>
      <c r="AK185" s="42"/>
      <c r="AL185" s="40"/>
      <c r="AM185" s="40"/>
      <c r="AN185" s="40"/>
      <c r="AO185" s="40"/>
      <c r="AP185" s="40"/>
      <c r="AQ185" s="40"/>
      <c r="AR185" s="39"/>
      <c r="AS185" s="39"/>
      <c r="AT185" s="40"/>
      <c r="AU185" s="40"/>
      <c r="AV185" s="23"/>
    </row>
    <row r="186" spans="1:48" ht="15.75" x14ac:dyDescent="0.25">
      <c r="A186" s="44"/>
      <c r="B186" s="23"/>
      <c r="C186" s="23"/>
      <c r="D186" s="39"/>
      <c r="E186" s="39"/>
      <c r="F186" s="40"/>
      <c r="G186" s="40"/>
      <c r="H186" s="41"/>
      <c r="I186" s="39"/>
      <c r="J186" s="40"/>
      <c r="K186" s="40"/>
      <c r="L186" s="41"/>
      <c r="M186" s="39"/>
      <c r="N186" s="40"/>
      <c r="O186" s="40"/>
      <c r="P186" s="39"/>
      <c r="Q186" s="39"/>
      <c r="R186" s="40"/>
      <c r="S186" s="40"/>
      <c r="T186" s="39"/>
      <c r="U186" s="39"/>
      <c r="V186" s="40"/>
      <c r="W186" s="40"/>
      <c r="X186" s="41"/>
      <c r="Y186" s="41"/>
      <c r="Z186" s="40"/>
      <c r="AA186" s="40"/>
      <c r="AB186" s="41"/>
      <c r="AC186" s="41"/>
      <c r="AD186" s="40"/>
      <c r="AE186" s="40"/>
      <c r="AF186" s="42"/>
      <c r="AG186" s="42"/>
      <c r="AH186" s="40"/>
      <c r="AI186" s="40"/>
      <c r="AJ186" s="42"/>
      <c r="AK186" s="42"/>
      <c r="AL186" s="40"/>
      <c r="AM186" s="40"/>
      <c r="AN186" s="40"/>
      <c r="AO186" s="40"/>
      <c r="AP186" s="40"/>
      <c r="AQ186" s="40"/>
      <c r="AR186" s="39"/>
      <c r="AS186" s="39"/>
      <c r="AT186" s="40"/>
      <c r="AU186" s="40"/>
      <c r="AV186" s="23"/>
    </row>
    <row r="187" spans="1:48" ht="15.75" x14ac:dyDescent="0.25">
      <c r="A187" s="44"/>
      <c r="B187" s="23"/>
      <c r="C187" s="23"/>
      <c r="D187" s="39"/>
      <c r="E187" s="39"/>
      <c r="F187" s="40"/>
      <c r="G187" s="40"/>
      <c r="H187" s="41"/>
      <c r="I187" s="39"/>
      <c r="J187" s="40"/>
      <c r="K187" s="40"/>
      <c r="L187" s="41"/>
      <c r="M187" s="39"/>
      <c r="N187" s="40"/>
      <c r="O187" s="40"/>
      <c r="P187" s="39"/>
      <c r="Q187" s="39"/>
      <c r="R187" s="40"/>
      <c r="S187" s="40"/>
      <c r="T187" s="39"/>
      <c r="U187" s="39"/>
      <c r="V187" s="40"/>
      <c r="W187" s="40"/>
      <c r="X187" s="41"/>
      <c r="Y187" s="41"/>
      <c r="Z187" s="40"/>
      <c r="AA187" s="40"/>
      <c r="AB187" s="41"/>
      <c r="AC187" s="41"/>
      <c r="AD187" s="40"/>
      <c r="AE187" s="40"/>
      <c r="AF187" s="42"/>
      <c r="AG187" s="42"/>
      <c r="AH187" s="40"/>
      <c r="AI187" s="40"/>
      <c r="AJ187" s="42"/>
      <c r="AK187" s="42"/>
      <c r="AL187" s="40"/>
      <c r="AM187" s="40"/>
      <c r="AN187" s="40"/>
      <c r="AO187" s="40"/>
      <c r="AP187" s="40"/>
      <c r="AQ187" s="40"/>
      <c r="AR187" s="39"/>
      <c r="AS187" s="39"/>
      <c r="AT187" s="40"/>
      <c r="AU187" s="40"/>
      <c r="AV187" s="23"/>
    </row>
    <row r="188" spans="1:48" ht="15.75" x14ac:dyDescent="0.25">
      <c r="A188" s="44"/>
      <c r="B188" s="23"/>
      <c r="C188" s="23"/>
      <c r="D188" s="39"/>
      <c r="E188" s="39"/>
      <c r="F188" s="40"/>
      <c r="G188" s="40"/>
      <c r="H188" s="41"/>
      <c r="I188" s="39"/>
      <c r="J188" s="40"/>
      <c r="K188" s="40"/>
      <c r="L188" s="41"/>
      <c r="M188" s="39"/>
      <c r="N188" s="40"/>
      <c r="O188" s="40"/>
      <c r="P188" s="39"/>
      <c r="Q188" s="39"/>
      <c r="R188" s="40"/>
      <c r="S188" s="40"/>
      <c r="T188" s="39"/>
      <c r="U188" s="39"/>
      <c r="V188" s="40"/>
      <c r="W188" s="40"/>
      <c r="X188" s="41"/>
      <c r="Y188" s="41"/>
      <c r="Z188" s="40"/>
      <c r="AA188" s="40"/>
      <c r="AB188" s="41"/>
      <c r="AC188" s="41"/>
      <c r="AD188" s="40"/>
      <c r="AE188" s="40"/>
      <c r="AF188" s="42"/>
      <c r="AG188" s="42"/>
      <c r="AH188" s="40"/>
      <c r="AI188" s="40"/>
      <c r="AJ188" s="42"/>
      <c r="AK188" s="42"/>
      <c r="AL188" s="40"/>
      <c r="AM188" s="40"/>
      <c r="AN188" s="40"/>
      <c r="AO188" s="40"/>
      <c r="AP188" s="40"/>
      <c r="AQ188" s="40"/>
      <c r="AR188" s="39"/>
      <c r="AS188" s="39"/>
      <c r="AT188" s="40"/>
      <c r="AU188" s="40"/>
      <c r="AV188" s="23"/>
    </row>
    <row r="189" spans="1:48" ht="15.75" x14ac:dyDescent="0.25">
      <c r="A189" s="44"/>
      <c r="B189" s="23"/>
      <c r="C189" s="23"/>
      <c r="D189" s="39"/>
      <c r="E189" s="39"/>
      <c r="F189" s="40"/>
      <c r="G189" s="40"/>
      <c r="H189" s="41"/>
      <c r="I189" s="39"/>
      <c r="J189" s="40"/>
      <c r="K189" s="40"/>
      <c r="L189" s="41"/>
      <c r="M189" s="39"/>
      <c r="N189" s="40"/>
      <c r="O189" s="40"/>
      <c r="P189" s="39"/>
      <c r="Q189" s="39"/>
      <c r="R189" s="40"/>
      <c r="S189" s="40"/>
      <c r="T189" s="39"/>
      <c r="U189" s="39"/>
      <c r="V189" s="40"/>
      <c r="W189" s="40"/>
      <c r="X189" s="41"/>
      <c r="Y189" s="41"/>
      <c r="Z189" s="40"/>
      <c r="AA189" s="40"/>
      <c r="AB189" s="41"/>
      <c r="AC189" s="41"/>
      <c r="AD189" s="40"/>
      <c r="AE189" s="40"/>
      <c r="AF189" s="42"/>
      <c r="AG189" s="42"/>
      <c r="AH189" s="40"/>
      <c r="AI189" s="40"/>
      <c r="AJ189" s="42"/>
      <c r="AK189" s="42"/>
      <c r="AL189" s="40"/>
      <c r="AM189" s="40"/>
      <c r="AN189" s="40"/>
      <c r="AO189" s="40"/>
      <c r="AP189" s="40"/>
      <c r="AQ189" s="40"/>
      <c r="AR189" s="39"/>
      <c r="AS189" s="39"/>
      <c r="AT189" s="40"/>
      <c r="AU189" s="40"/>
      <c r="AV189" s="23"/>
    </row>
    <row r="190" spans="1:48" ht="15.75" x14ac:dyDescent="0.25">
      <c r="A190" s="44"/>
      <c r="B190" s="23"/>
      <c r="C190" s="23"/>
      <c r="D190" s="39"/>
      <c r="E190" s="39"/>
      <c r="F190" s="40"/>
      <c r="G190" s="40"/>
      <c r="H190" s="41"/>
      <c r="I190" s="39"/>
      <c r="J190" s="40"/>
      <c r="K190" s="40"/>
      <c r="L190" s="41"/>
      <c r="M190" s="39"/>
      <c r="N190" s="40"/>
      <c r="O190" s="40"/>
      <c r="P190" s="39"/>
      <c r="Q190" s="39"/>
      <c r="R190" s="40"/>
      <c r="S190" s="40"/>
      <c r="T190" s="39"/>
      <c r="U190" s="39"/>
      <c r="V190" s="40"/>
      <c r="W190" s="40"/>
      <c r="X190" s="41"/>
      <c r="Y190" s="41"/>
      <c r="Z190" s="40"/>
      <c r="AA190" s="40"/>
      <c r="AB190" s="41"/>
      <c r="AC190" s="41"/>
      <c r="AD190" s="40"/>
      <c r="AE190" s="40"/>
      <c r="AF190" s="42"/>
      <c r="AG190" s="42"/>
      <c r="AH190" s="40"/>
      <c r="AI190" s="40"/>
      <c r="AJ190" s="42"/>
      <c r="AK190" s="42"/>
      <c r="AL190" s="40"/>
      <c r="AM190" s="40"/>
      <c r="AN190" s="40"/>
      <c r="AO190" s="40"/>
      <c r="AP190" s="40"/>
      <c r="AQ190" s="40"/>
      <c r="AR190" s="39"/>
      <c r="AS190" s="39"/>
      <c r="AT190" s="40"/>
      <c r="AU190" s="40"/>
      <c r="AV190" s="23"/>
    </row>
    <row r="191" spans="1:48" ht="15.75" x14ac:dyDescent="0.25">
      <c r="A191" s="44"/>
      <c r="B191" s="23"/>
      <c r="C191" s="23"/>
      <c r="D191" s="39"/>
      <c r="E191" s="39"/>
      <c r="F191" s="40"/>
      <c r="G191" s="40"/>
      <c r="H191" s="41"/>
      <c r="I191" s="39"/>
      <c r="J191" s="40"/>
      <c r="K191" s="40"/>
      <c r="L191" s="41"/>
      <c r="M191" s="39"/>
      <c r="N191" s="40"/>
      <c r="O191" s="40"/>
      <c r="P191" s="39"/>
      <c r="Q191" s="39"/>
      <c r="R191" s="40"/>
      <c r="S191" s="40"/>
      <c r="T191" s="39"/>
      <c r="U191" s="39"/>
      <c r="V191" s="40"/>
      <c r="W191" s="40"/>
      <c r="X191" s="41"/>
      <c r="Y191" s="41"/>
      <c r="Z191" s="40"/>
      <c r="AA191" s="40"/>
      <c r="AB191" s="41"/>
      <c r="AC191" s="41"/>
      <c r="AD191" s="40"/>
      <c r="AE191" s="40"/>
      <c r="AF191" s="42"/>
      <c r="AG191" s="42"/>
      <c r="AH191" s="40"/>
      <c r="AI191" s="40"/>
      <c r="AJ191" s="42"/>
      <c r="AK191" s="42"/>
      <c r="AL191" s="40"/>
      <c r="AM191" s="40"/>
      <c r="AN191" s="40"/>
      <c r="AO191" s="40"/>
      <c r="AP191" s="40"/>
      <c r="AQ191" s="40"/>
      <c r="AR191" s="39"/>
      <c r="AS191" s="39"/>
      <c r="AT191" s="40"/>
      <c r="AU191" s="40"/>
      <c r="AV191" s="23"/>
    </row>
    <row r="192" spans="1:48" ht="15.75" x14ac:dyDescent="0.25">
      <c r="A192" s="44"/>
      <c r="B192" s="23"/>
      <c r="C192" s="23"/>
      <c r="D192" s="39"/>
      <c r="E192" s="39"/>
      <c r="F192" s="40"/>
      <c r="G192" s="40"/>
      <c r="H192" s="41"/>
      <c r="I192" s="39"/>
      <c r="J192" s="40"/>
      <c r="K192" s="40"/>
      <c r="L192" s="41"/>
      <c r="M192" s="39"/>
      <c r="N192" s="40"/>
      <c r="O192" s="40"/>
      <c r="P192" s="39"/>
      <c r="Q192" s="39"/>
      <c r="R192" s="40"/>
      <c r="S192" s="40"/>
      <c r="T192" s="39"/>
      <c r="U192" s="39"/>
      <c r="V192" s="40"/>
      <c r="W192" s="40"/>
      <c r="X192" s="41"/>
      <c r="Y192" s="41"/>
      <c r="Z192" s="40"/>
      <c r="AA192" s="40"/>
      <c r="AB192" s="41"/>
      <c r="AC192" s="41"/>
      <c r="AD192" s="40"/>
      <c r="AE192" s="40"/>
      <c r="AF192" s="42"/>
      <c r="AG192" s="42"/>
      <c r="AH192" s="40"/>
      <c r="AI192" s="40"/>
      <c r="AJ192" s="42"/>
      <c r="AK192" s="42"/>
      <c r="AL192" s="40"/>
      <c r="AM192" s="40"/>
      <c r="AN192" s="40"/>
      <c r="AO192" s="40"/>
      <c r="AP192" s="40"/>
      <c r="AQ192" s="40"/>
      <c r="AR192" s="39"/>
      <c r="AS192" s="39"/>
      <c r="AT192" s="40"/>
      <c r="AU192" s="40"/>
      <c r="AV192" s="23"/>
    </row>
    <row r="193" spans="1:48" ht="15.75" x14ac:dyDescent="0.25">
      <c r="A193" s="44"/>
      <c r="B193" s="23"/>
      <c r="C193" s="23"/>
      <c r="D193" s="39"/>
      <c r="E193" s="39"/>
      <c r="F193" s="40"/>
      <c r="G193" s="40"/>
      <c r="H193" s="41"/>
      <c r="I193" s="39"/>
      <c r="J193" s="40"/>
      <c r="K193" s="40"/>
      <c r="L193" s="41"/>
      <c r="M193" s="39"/>
      <c r="N193" s="40"/>
      <c r="O193" s="40"/>
      <c r="P193" s="39"/>
      <c r="Q193" s="39"/>
      <c r="R193" s="40"/>
      <c r="S193" s="40"/>
      <c r="T193" s="39"/>
      <c r="U193" s="39"/>
      <c r="V193" s="40"/>
      <c r="W193" s="40"/>
      <c r="X193" s="41"/>
      <c r="Y193" s="41"/>
      <c r="Z193" s="40"/>
      <c r="AA193" s="40"/>
      <c r="AB193" s="41"/>
      <c r="AC193" s="41"/>
      <c r="AD193" s="40"/>
      <c r="AE193" s="40"/>
      <c r="AF193" s="42"/>
      <c r="AG193" s="42"/>
      <c r="AH193" s="40"/>
      <c r="AI193" s="40"/>
      <c r="AJ193" s="42"/>
      <c r="AK193" s="42"/>
      <c r="AL193" s="40"/>
      <c r="AM193" s="40"/>
      <c r="AN193" s="40"/>
      <c r="AO193" s="40"/>
      <c r="AP193" s="40"/>
      <c r="AQ193" s="40"/>
      <c r="AR193" s="39"/>
      <c r="AS193" s="39"/>
      <c r="AT193" s="40"/>
      <c r="AU193" s="40"/>
      <c r="AV193" s="23"/>
    </row>
    <row r="194" spans="1:48" ht="15.75" x14ac:dyDescent="0.25">
      <c r="A194" s="44"/>
      <c r="B194" s="23"/>
      <c r="C194" s="23"/>
      <c r="D194" s="39"/>
      <c r="E194" s="39"/>
      <c r="F194" s="40"/>
      <c r="G194" s="40"/>
      <c r="H194" s="41"/>
      <c r="I194" s="39"/>
      <c r="J194" s="40"/>
      <c r="K194" s="40"/>
      <c r="L194" s="41"/>
      <c r="M194" s="39"/>
      <c r="N194" s="40"/>
      <c r="O194" s="40"/>
      <c r="P194" s="39"/>
      <c r="Q194" s="39"/>
      <c r="R194" s="40"/>
      <c r="S194" s="40"/>
      <c r="T194" s="39"/>
      <c r="U194" s="39"/>
      <c r="V194" s="40"/>
      <c r="W194" s="40"/>
      <c r="X194" s="41"/>
      <c r="Y194" s="41"/>
      <c r="Z194" s="40"/>
      <c r="AA194" s="40"/>
      <c r="AB194" s="41"/>
      <c r="AC194" s="41"/>
      <c r="AD194" s="40"/>
      <c r="AE194" s="40"/>
      <c r="AF194" s="42"/>
      <c r="AG194" s="42"/>
      <c r="AH194" s="40"/>
      <c r="AI194" s="40"/>
      <c r="AJ194" s="42"/>
      <c r="AK194" s="42"/>
      <c r="AL194" s="40"/>
      <c r="AM194" s="40"/>
      <c r="AN194" s="40"/>
      <c r="AO194" s="40"/>
      <c r="AP194" s="40"/>
      <c r="AQ194" s="40"/>
      <c r="AR194" s="39"/>
      <c r="AS194" s="39"/>
      <c r="AT194" s="40"/>
      <c r="AU194" s="40"/>
      <c r="AV194" s="23"/>
    </row>
    <row r="195" spans="1:48" ht="15.75" x14ac:dyDescent="0.25">
      <c r="A195" s="44"/>
      <c r="B195" s="23"/>
      <c r="C195" s="23"/>
      <c r="D195" s="39"/>
      <c r="E195" s="39"/>
      <c r="F195" s="40"/>
      <c r="G195" s="40"/>
      <c r="H195" s="41"/>
      <c r="I195" s="39"/>
      <c r="J195" s="40"/>
      <c r="K195" s="40"/>
      <c r="L195" s="41"/>
      <c r="M195" s="39"/>
      <c r="N195" s="40"/>
      <c r="O195" s="40"/>
      <c r="P195" s="39"/>
      <c r="Q195" s="39"/>
      <c r="R195" s="40"/>
      <c r="S195" s="40"/>
      <c r="T195" s="39"/>
      <c r="U195" s="39"/>
      <c r="V195" s="40"/>
      <c r="W195" s="40"/>
      <c r="X195" s="41"/>
      <c r="Y195" s="41"/>
      <c r="Z195" s="40"/>
      <c r="AA195" s="40"/>
      <c r="AB195" s="41"/>
      <c r="AC195" s="41"/>
      <c r="AD195" s="40"/>
      <c r="AE195" s="40"/>
      <c r="AF195" s="42"/>
      <c r="AG195" s="42"/>
      <c r="AH195" s="40"/>
      <c r="AI195" s="40"/>
      <c r="AJ195" s="42"/>
      <c r="AK195" s="42"/>
      <c r="AL195" s="40"/>
      <c r="AM195" s="40"/>
      <c r="AN195" s="40"/>
      <c r="AO195" s="40"/>
      <c r="AP195" s="40"/>
      <c r="AQ195" s="40"/>
      <c r="AR195" s="39"/>
      <c r="AS195" s="39"/>
      <c r="AT195" s="40"/>
      <c r="AU195" s="40"/>
      <c r="AV195" s="23"/>
    </row>
    <row r="196" spans="1:48" ht="15.75" x14ac:dyDescent="0.25">
      <c r="A196" s="44"/>
      <c r="B196" s="23"/>
      <c r="C196" s="23"/>
      <c r="D196" s="39"/>
      <c r="E196" s="39"/>
      <c r="F196" s="40"/>
      <c r="G196" s="40"/>
      <c r="H196" s="41"/>
      <c r="I196" s="39"/>
      <c r="J196" s="40"/>
      <c r="K196" s="40"/>
      <c r="L196" s="41"/>
      <c r="M196" s="39"/>
      <c r="N196" s="40"/>
      <c r="O196" s="40"/>
      <c r="P196" s="39"/>
      <c r="Q196" s="39"/>
      <c r="R196" s="40"/>
      <c r="S196" s="40"/>
      <c r="T196" s="39"/>
      <c r="U196" s="39"/>
      <c r="V196" s="40"/>
      <c r="W196" s="40"/>
      <c r="X196" s="41"/>
      <c r="Y196" s="41"/>
      <c r="Z196" s="40"/>
      <c r="AA196" s="40"/>
      <c r="AB196" s="41"/>
      <c r="AC196" s="41"/>
      <c r="AD196" s="40"/>
      <c r="AE196" s="40"/>
      <c r="AF196" s="42"/>
      <c r="AG196" s="42"/>
      <c r="AH196" s="40"/>
      <c r="AI196" s="40"/>
      <c r="AJ196" s="42"/>
      <c r="AK196" s="42"/>
      <c r="AL196" s="40"/>
      <c r="AM196" s="40"/>
      <c r="AN196" s="40"/>
      <c r="AO196" s="40"/>
      <c r="AP196" s="40"/>
      <c r="AQ196" s="40"/>
      <c r="AR196" s="39"/>
      <c r="AS196" s="39"/>
      <c r="AT196" s="40"/>
      <c r="AU196" s="40"/>
      <c r="AV196" s="23"/>
    </row>
    <row r="197" spans="1:48" ht="15.75" x14ac:dyDescent="0.25">
      <c r="A197" s="44"/>
      <c r="B197" s="23"/>
      <c r="C197" s="23"/>
      <c r="D197" s="39"/>
      <c r="E197" s="39"/>
      <c r="F197" s="40"/>
      <c r="G197" s="40"/>
      <c r="H197" s="41"/>
      <c r="I197" s="39"/>
      <c r="J197" s="40"/>
      <c r="K197" s="40"/>
      <c r="L197" s="41"/>
      <c r="M197" s="39"/>
      <c r="N197" s="40"/>
      <c r="O197" s="40"/>
      <c r="P197" s="39"/>
      <c r="Q197" s="39"/>
      <c r="R197" s="40"/>
      <c r="S197" s="40"/>
      <c r="T197" s="39"/>
      <c r="U197" s="39"/>
      <c r="V197" s="40"/>
      <c r="W197" s="40"/>
      <c r="X197" s="41"/>
      <c r="Y197" s="41"/>
      <c r="Z197" s="40"/>
      <c r="AA197" s="40"/>
      <c r="AB197" s="41"/>
      <c r="AC197" s="41"/>
      <c r="AD197" s="40"/>
      <c r="AE197" s="40"/>
      <c r="AF197" s="42"/>
      <c r="AG197" s="42"/>
      <c r="AH197" s="40"/>
      <c r="AI197" s="40"/>
      <c r="AJ197" s="42"/>
      <c r="AK197" s="42"/>
      <c r="AL197" s="40"/>
      <c r="AM197" s="40"/>
      <c r="AN197" s="40"/>
      <c r="AO197" s="40"/>
      <c r="AP197" s="40"/>
      <c r="AQ197" s="40"/>
      <c r="AR197" s="39"/>
      <c r="AS197" s="39"/>
      <c r="AT197" s="40"/>
      <c r="AU197" s="40"/>
      <c r="AV197" s="23"/>
    </row>
    <row r="198" spans="1:48" ht="15.75" x14ac:dyDescent="0.25">
      <c r="A198" s="44"/>
      <c r="B198" s="23"/>
      <c r="C198" s="23"/>
      <c r="D198" s="39"/>
      <c r="E198" s="39"/>
      <c r="F198" s="40"/>
      <c r="G198" s="40"/>
      <c r="H198" s="41"/>
      <c r="I198" s="39"/>
      <c r="J198" s="40"/>
      <c r="K198" s="40"/>
      <c r="L198" s="41"/>
      <c r="M198" s="39"/>
      <c r="N198" s="40"/>
      <c r="O198" s="40"/>
      <c r="P198" s="39"/>
      <c r="Q198" s="39"/>
      <c r="R198" s="40"/>
      <c r="S198" s="40"/>
      <c r="T198" s="39"/>
      <c r="U198" s="39"/>
      <c r="V198" s="40"/>
      <c r="W198" s="40"/>
      <c r="X198" s="41"/>
      <c r="Y198" s="41"/>
      <c r="Z198" s="40"/>
      <c r="AA198" s="40"/>
      <c r="AB198" s="41"/>
      <c r="AC198" s="41"/>
      <c r="AD198" s="40"/>
      <c r="AE198" s="40"/>
      <c r="AF198" s="42"/>
      <c r="AG198" s="42"/>
      <c r="AH198" s="40"/>
      <c r="AI198" s="40"/>
      <c r="AJ198" s="42"/>
      <c r="AK198" s="42"/>
      <c r="AL198" s="40"/>
      <c r="AM198" s="40"/>
      <c r="AN198" s="40"/>
      <c r="AO198" s="40"/>
      <c r="AP198" s="40"/>
      <c r="AQ198" s="40"/>
      <c r="AR198" s="39"/>
      <c r="AS198" s="39"/>
      <c r="AT198" s="40"/>
      <c r="AU198" s="40"/>
      <c r="AV198" s="23"/>
    </row>
    <row r="199" spans="1:48" ht="15.75" x14ac:dyDescent="0.25">
      <c r="A199" s="44"/>
      <c r="B199" s="23"/>
      <c r="C199" s="23"/>
      <c r="D199" s="39"/>
      <c r="E199" s="39"/>
      <c r="F199" s="40"/>
      <c r="G199" s="40"/>
      <c r="H199" s="41"/>
      <c r="I199" s="39"/>
      <c r="J199" s="40"/>
      <c r="K199" s="40"/>
      <c r="L199" s="41"/>
      <c r="M199" s="39"/>
      <c r="N199" s="40"/>
      <c r="O199" s="40"/>
      <c r="P199" s="39"/>
      <c r="Q199" s="39"/>
      <c r="R199" s="40"/>
      <c r="S199" s="40"/>
      <c r="T199" s="39"/>
      <c r="U199" s="39"/>
      <c r="V199" s="40"/>
      <c r="W199" s="40"/>
      <c r="X199" s="41"/>
      <c r="Y199" s="41"/>
      <c r="Z199" s="40"/>
      <c r="AA199" s="40"/>
      <c r="AB199" s="41"/>
      <c r="AC199" s="41"/>
      <c r="AD199" s="40"/>
      <c r="AE199" s="40"/>
      <c r="AF199" s="42"/>
      <c r="AG199" s="42"/>
      <c r="AH199" s="40"/>
      <c r="AI199" s="40"/>
      <c r="AJ199" s="42"/>
      <c r="AK199" s="42"/>
      <c r="AL199" s="40"/>
      <c r="AM199" s="40"/>
      <c r="AN199" s="40"/>
      <c r="AO199" s="40"/>
      <c r="AP199" s="40"/>
      <c r="AQ199" s="40"/>
      <c r="AR199" s="39"/>
      <c r="AS199" s="39"/>
      <c r="AT199" s="40"/>
      <c r="AU199" s="40"/>
      <c r="AV199" s="23"/>
    </row>
    <row r="200" spans="1:48" ht="15.75" x14ac:dyDescent="0.25">
      <c r="A200" s="44"/>
      <c r="B200" s="23"/>
      <c r="C200" s="23"/>
      <c r="D200" s="39"/>
      <c r="E200" s="39"/>
      <c r="F200" s="40"/>
      <c r="G200" s="40"/>
      <c r="H200" s="41"/>
      <c r="I200" s="39"/>
      <c r="J200" s="40"/>
      <c r="K200" s="40"/>
      <c r="L200" s="41"/>
      <c r="M200" s="39"/>
      <c r="N200" s="40"/>
      <c r="O200" s="40"/>
      <c r="P200" s="39"/>
      <c r="Q200" s="39"/>
      <c r="R200" s="40"/>
      <c r="S200" s="40"/>
      <c r="T200" s="39"/>
      <c r="U200" s="39"/>
      <c r="V200" s="40"/>
      <c r="W200" s="40"/>
      <c r="X200" s="41"/>
      <c r="Y200" s="41"/>
      <c r="Z200" s="40"/>
      <c r="AA200" s="40"/>
      <c r="AB200" s="41"/>
      <c r="AC200" s="41"/>
      <c r="AD200" s="40"/>
      <c r="AE200" s="40"/>
      <c r="AF200" s="42"/>
      <c r="AG200" s="42"/>
      <c r="AH200" s="40"/>
      <c r="AI200" s="40"/>
      <c r="AJ200" s="42"/>
      <c r="AK200" s="42"/>
      <c r="AL200" s="40"/>
      <c r="AM200" s="40"/>
      <c r="AN200" s="40"/>
      <c r="AO200" s="40"/>
      <c r="AP200" s="40"/>
      <c r="AQ200" s="40"/>
      <c r="AR200" s="39"/>
      <c r="AS200" s="39"/>
      <c r="AT200" s="40"/>
      <c r="AU200" s="40"/>
      <c r="AV200" s="23"/>
    </row>
    <row r="201" spans="1:48" ht="15.75" x14ac:dyDescent="0.25">
      <c r="A201" s="44"/>
      <c r="B201" s="23"/>
      <c r="C201" s="23"/>
      <c r="D201" s="39"/>
      <c r="E201" s="39"/>
      <c r="F201" s="40"/>
      <c r="G201" s="40"/>
      <c r="H201" s="41"/>
      <c r="I201" s="39"/>
      <c r="J201" s="40"/>
      <c r="K201" s="40"/>
      <c r="L201" s="41"/>
      <c r="M201" s="39"/>
      <c r="N201" s="40"/>
      <c r="O201" s="40"/>
      <c r="P201" s="39"/>
      <c r="Q201" s="39"/>
      <c r="R201" s="40"/>
      <c r="S201" s="40"/>
      <c r="T201" s="39"/>
      <c r="U201" s="39"/>
      <c r="V201" s="40"/>
      <c r="W201" s="40"/>
      <c r="X201" s="41"/>
      <c r="Y201" s="41"/>
      <c r="Z201" s="40"/>
      <c r="AA201" s="40"/>
      <c r="AB201" s="41"/>
      <c r="AC201" s="41"/>
      <c r="AD201" s="40"/>
      <c r="AE201" s="40"/>
      <c r="AF201" s="42"/>
      <c r="AG201" s="42"/>
      <c r="AH201" s="40"/>
      <c r="AI201" s="40"/>
      <c r="AJ201" s="42"/>
      <c r="AK201" s="42"/>
      <c r="AL201" s="40"/>
      <c r="AM201" s="40"/>
      <c r="AN201" s="40"/>
      <c r="AO201" s="40"/>
      <c r="AP201" s="40"/>
      <c r="AQ201" s="40"/>
      <c r="AR201" s="39"/>
      <c r="AS201" s="39"/>
      <c r="AT201" s="40"/>
      <c r="AU201" s="40"/>
      <c r="AV201" s="23"/>
    </row>
    <row r="202" spans="1:48" ht="15.75" x14ac:dyDescent="0.25">
      <c r="A202" s="44"/>
      <c r="B202" s="23"/>
      <c r="C202" s="23"/>
      <c r="D202" s="39"/>
      <c r="E202" s="39"/>
      <c r="F202" s="40"/>
      <c r="G202" s="40"/>
      <c r="H202" s="41"/>
      <c r="I202" s="39"/>
      <c r="J202" s="40"/>
      <c r="K202" s="40"/>
      <c r="L202" s="41"/>
      <c r="M202" s="39"/>
      <c r="N202" s="40"/>
      <c r="O202" s="40"/>
      <c r="P202" s="39"/>
      <c r="Q202" s="39"/>
      <c r="R202" s="40"/>
      <c r="S202" s="40"/>
      <c r="T202" s="39"/>
      <c r="U202" s="39"/>
      <c r="V202" s="40"/>
      <c r="W202" s="40"/>
      <c r="X202" s="41"/>
      <c r="Y202" s="41"/>
      <c r="Z202" s="40"/>
      <c r="AA202" s="40"/>
      <c r="AB202" s="41"/>
      <c r="AC202" s="41"/>
      <c r="AD202" s="40"/>
      <c r="AE202" s="40"/>
      <c r="AF202" s="42"/>
      <c r="AG202" s="42"/>
      <c r="AH202" s="40"/>
      <c r="AI202" s="40"/>
      <c r="AJ202" s="42"/>
      <c r="AK202" s="42"/>
      <c r="AL202" s="40"/>
      <c r="AM202" s="40"/>
      <c r="AN202" s="40"/>
      <c r="AO202" s="40"/>
      <c r="AP202" s="40"/>
      <c r="AQ202" s="40"/>
      <c r="AR202" s="39"/>
      <c r="AS202" s="39"/>
      <c r="AT202" s="40"/>
      <c r="AU202" s="40"/>
      <c r="AV202" s="23"/>
    </row>
    <row r="203" spans="1:48" ht="15.75" x14ac:dyDescent="0.25">
      <c r="A203" s="44"/>
      <c r="B203" s="23"/>
      <c r="C203" s="23"/>
      <c r="D203" s="39"/>
      <c r="E203" s="39"/>
      <c r="F203" s="40"/>
      <c r="G203" s="40"/>
      <c r="H203" s="41"/>
      <c r="I203" s="39"/>
      <c r="J203" s="40"/>
      <c r="K203" s="40"/>
      <c r="L203" s="41"/>
      <c r="M203" s="39"/>
      <c r="N203" s="40"/>
      <c r="O203" s="40"/>
      <c r="P203" s="39"/>
      <c r="Q203" s="39"/>
      <c r="R203" s="40"/>
      <c r="S203" s="40"/>
      <c r="T203" s="39"/>
      <c r="U203" s="39"/>
      <c r="V203" s="40"/>
      <c r="W203" s="40"/>
      <c r="X203" s="41"/>
      <c r="Y203" s="41"/>
      <c r="Z203" s="40"/>
      <c r="AA203" s="40"/>
      <c r="AB203" s="41"/>
      <c r="AC203" s="41"/>
      <c r="AD203" s="40"/>
      <c r="AE203" s="40"/>
      <c r="AF203" s="42"/>
      <c r="AG203" s="42"/>
      <c r="AH203" s="40"/>
      <c r="AI203" s="40"/>
      <c r="AJ203" s="42"/>
      <c r="AK203" s="42"/>
      <c r="AL203" s="40"/>
      <c r="AM203" s="40"/>
      <c r="AN203" s="40"/>
      <c r="AO203" s="40"/>
      <c r="AP203" s="40"/>
      <c r="AQ203" s="40"/>
      <c r="AR203" s="39"/>
      <c r="AS203" s="39"/>
      <c r="AT203" s="40"/>
      <c r="AU203" s="40"/>
      <c r="AV203" s="23"/>
    </row>
    <row r="204" spans="1:48" ht="15.75" x14ac:dyDescent="0.25">
      <c r="A204" s="44"/>
      <c r="B204" s="23"/>
      <c r="C204" s="23"/>
      <c r="D204" s="39"/>
      <c r="E204" s="39"/>
      <c r="F204" s="40"/>
      <c r="G204" s="40"/>
      <c r="H204" s="41"/>
      <c r="I204" s="39"/>
      <c r="J204" s="40"/>
      <c r="K204" s="40"/>
      <c r="L204" s="41"/>
      <c r="M204" s="39"/>
      <c r="N204" s="40"/>
      <c r="O204" s="40"/>
      <c r="P204" s="39"/>
      <c r="Q204" s="39"/>
      <c r="R204" s="40"/>
      <c r="S204" s="40"/>
      <c r="T204" s="39"/>
      <c r="U204" s="39"/>
      <c r="V204" s="40"/>
      <c r="W204" s="40"/>
      <c r="X204" s="41"/>
      <c r="Y204" s="41"/>
      <c r="Z204" s="40"/>
      <c r="AA204" s="40"/>
      <c r="AB204" s="41"/>
      <c r="AC204" s="41"/>
      <c r="AD204" s="40"/>
      <c r="AE204" s="40"/>
      <c r="AF204" s="42"/>
      <c r="AG204" s="42"/>
      <c r="AH204" s="40"/>
      <c r="AI204" s="40"/>
      <c r="AJ204" s="42"/>
      <c r="AK204" s="42"/>
      <c r="AL204" s="40"/>
      <c r="AM204" s="40"/>
      <c r="AN204" s="40"/>
      <c r="AO204" s="40"/>
      <c r="AP204" s="40"/>
      <c r="AQ204" s="40"/>
      <c r="AR204" s="39"/>
      <c r="AS204" s="39"/>
      <c r="AT204" s="40"/>
      <c r="AU204" s="40"/>
      <c r="AV204" s="23"/>
    </row>
    <row r="205" spans="1:48" ht="15.75" x14ac:dyDescent="0.25">
      <c r="A205" s="44"/>
      <c r="B205" s="23"/>
      <c r="C205" s="23"/>
      <c r="D205" s="39"/>
      <c r="E205" s="39"/>
      <c r="F205" s="40"/>
      <c r="G205" s="40"/>
      <c r="H205" s="41"/>
      <c r="I205" s="39"/>
      <c r="J205" s="40"/>
      <c r="K205" s="40"/>
      <c r="L205" s="41"/>
      <c r="M205" s="39"/>
      <c r="N205" s="40"/>
      <c r="O205" s="40"/>
      <c r="P205" s="39"/>
      <c r="Q205" s="39"/>
      <c r="R205" s="40"/>
      <c r="S205" s="40"/>
      <c r="T205" s="39"/>
      <c r="U205" s="39"/>
      <c r="V205" s="40"/>
      <c r="W205" s="40"/>
      <c r="X205" s="41"/>
      <c r="Y205" s="41"/>
      <c r="Z205" s="40"/>
      <c r="AA205" s="40"/>
      <c r="AB205" s="41"/>
      <c r="AC205" s="41"/>
      <c r="AD205" s="40"/>
      <c r="AE205" s="40"/>
      <c r="AF205" s="42"/>
      <c r="AG205" s="42"/>
      <c r="AH205" s="40"/>
      <c r="AI205" s="40"/>
      <c r="AJ205" s="42"/>
      <c r="AK205" s="42"/>
      <c r="AL205" s="40"/>
      <c r="AM205" s="40"/>
      <c r="AN205" s="40"/>
      <c r="AO205" s="40"/>
      <c r="AP205" s="40"/>
      <c r="AQ205" s="40"/>
      <c r="AR205" s="39"/>
      <c r="AS205" s="39"/>
      <c r="AT205" s="40"/>
      <c r="AU205" s="40"/>
      <c r="AV205" s="23"/>
    </row>
    <row r="206" spans="1:48" ht="15.75" x14ac:dyDescent="0.25">
      <c r="A206" s="44"/>
      <c r="B206" s="23"/>
      <c r="C206" s="23"/>
      <c r="D206" s="39"/>
      <c r="E206" s="39"/>
      <c r="F206" s="40"/>
      <c r="G206" s="40"/>
      <c r="H206" s="41"/>
      <c r="I206" s="39"/>
      <c r="J206" s="40"/>
      <c r="K206" s="40"/>
      <c r="L206" s="41"/>
      <c r="M206" s="39"/>
      <c r="N206" s="40"/>
      <c r="O206" s="40"/>
      <c r="P206" s="39"/>
      <c r="Q206" s="39"/>
      <c r="R206" s="40"/>
      <c r="S206" s="40"/>
      <c r="T206" s="39"/>
      <c r="U206" s="39"/>
      <c r="V206" s="40"/>
      <c r="W206" s="40"/>
      <c r="X206" s="41"/>
      <c r="Y206" s="41"/>
      <c r="Z206" s="40"/>
      <c r="AA206" s="40"/>
      <c r="AB206" s="41"/>
      <c r="AC206" s="41"/>
      <c r="AD206" s="40"/>
      <c r="AE206" s="40"/>
      <c r="AF206" s="42"/>
      <c r="AG206" s="42"/>
      <c r="AH206" s="40"/>
      <c r="AI206" s="40"/>
      <c r="AJ206" s="42"/>
      <c r="AK206" s="42"/>
      <c r="AL206" s="40"/>
      <c r="AM206" s="40"/>
      <c r="AN206" s="40"/>
      <c r="AO206" s="40"/>
      <c r="AP206" s="40"/>
      <c r="AQ206" s="40"/>
      <c r="AR206" s="39"/>
      <c r="AS206" s="39"/>
      <c r="AT206" s="40"/>
      <c r="AU206" s="40"/>
      <c r="AV206" s="23"/>
    </row>
    <row r="207" spans="1:48" ht="15.75" x14ac:dyDescent="0.25">
      <c r="A207" s="44"/>
      <c r="B207" s="23"/>
      <c r="C207" s="23"/>
      <c r="D207" s="39"/>
      <c r="E207" s="39"/>
      <c r="F207" s="40"/>
      <c r="G207" s="40"/>
      <c r="H207" s="41"/>
      <c r="I207" s="39"/>
      <c r="J207" s="40"/>
      <c r="K207" s="40"/>
      <c r="L207" s="41"/>
      <c r="M207" s="39"/>
      <c r="N207" s="40"/>
      <c r="O207" s="40"/>
      <c r="P207" s="39"/>
      <c r="Q207" s="39"/>
      <c r="R207" s="40"/>
      <c r="S207" s="40"/>
      <c r="T207" s="39"/>
      <c r="U207" s="39"/>
      <c r="V207" s="40"/>
      <c r="W207" s="40"/>
      <c r="X207" s="41"/>
      <c r="Y207" s="41"/>
      <c r="Z207" s="40"/>
      <c r="AA207" s="40"/>
      <c r="AB207" s="41"/>
      <c r="AC207" s="41"/>
      <c r="AD207" s="40"/>
      <c r="AE207" s="40"/>
      <c r="AF207" s="42"/>
      <c r="AG207" s="42"/>
      <c r="AH207" s="40"/>
      <c r="AI207" s="40"/>
      <c r="AJ207" s="42"/>
      <c r="AK207" s="42"/>
      <c r="AL207" s="40"/>
      <c r="AM207" s="40"/>
      <c r="AN207" s="40"/>
      <c r="AO207" s="40"/>
      <c r="AP207" s="40"/>
      <c r="AQ207" s="40"/>
      <c r="AR207" s="39"/>
      <c r="AS207" s="39"/>
      <c r="AT207" s="40"/>
      <c r="AU207" s="40"/>
      <c r="AV207" s="23"/>
    </row>
    <row r="208" spans="1:48" ht="15.75" x14ac:dyDescent="0.25">
      <c r="A208" s="44"/>
      <c r="B208" s="23"/>
      <c r="C208" s="23"/>
      <c r="D208" s="39"/>
      <c r="E208" s="39"/>
      <c r="F208" s="40"/>
      <c r="G208" s="40"/>
      <c r="H208" s="41"/>
      <c r="I208" s="39"/>
      <c r="J208" s="40"/>
      <c r="K208" s="40"/>
      <c r="L208" s="41"/>
      <c r="M208" s="39"/>
      <c r="N208" s="40"/>
      <c r="O208" s="40"/>
      <c r="P208" s="39"/>
      <c r="Q208" s="39"/>
      <c r="R208" s="40"/>
      <c r="S208" s="40"/>
      <c r="T208" s="39"/>
      <c r="U208" s="39"/>
      <c r="V208" s="40"/>
      <c r="W208" s="40"/>
      <c r="X208" s="41"/>
      <c r="Y208" s="41"/>
      <c r="Z208" s="40"/>
      <c r="AA208" s="40"/>
      <c r="AB208" s="41"/>
      <c r="AC208" s="41"/>
      <c r="AD208" s="40"/>
      <c r="AE208" s="40"/>
      <c r="AF208" s="42"/>
      <c r="AG208" s="42"/>
      <c r="AH208" s="40"/>
      <c r="AI208" s="40"/>
      <c r="AJ208" s="42"/>
      <c r="AK208" s="42"/>
      <c r="AL208" s="40"/>
      <c r="AM208" s="40"/>
      <c r="AN208" s="40"/>
      <c r="AO208" s="40"/>
      <c r="AP208" s="40"/>
      <c r="AQ208" s="40"/>
      <c r="AR208" s="39"/>
      <c r="AS208" s="39"/>
      <c r="AT208" s="40"/>
      <c r="AU208" s="40"/>
      <c r="AV208" s="23"/>
    </row>
    <row r="209" spans="1:48" ht="15.75" x14ac:dyDescent="0.25">
      <c r="A209" s="44"/>
      <c r="B209" s="23"/>
      <c r="C209" s="23"/>
      <c r="D209" s="39"/>
      <c r="E209" s="39"/>
      <c r="F209" s="40"/>
      <c r="G209" s="40"/>
      <c r="H209" s="41"/>
      <c r="I209" s="39"/>
      <c r="J209" s="40"/>
      <c r="K209" s="40"/>
      <c r="L209" s="41"/>
      <c r="M209" s="39"/>
      <c r="N209" s="40"/>
      <c r="O209" s="40"/>
      <c r="P209" s="39"/>
      <c r="Q209" s="39"/>
      <c r="R209" s="40"/>
      <c r="S209" s="40"/>
      <c r="T209" s="39"/>
      <c r="U209" s="39"/>
      <c r="V209" s="40"/>
      <c r="W209" s="40"/>
      <c r="X209" s="41"/>
      <c r="Y209" s="41"/>
      <c r="Z209" s="40"/>
      <c r="AA209" s="40"/>
      <c r="AB209" s="41"/>
      <c r="AC209" s="41"/>
      <c r="AD209" s="40"/>
      <c r="AE209" s="40"/>
      <c r="AF209" s="42"/>
      <c r="AG209" s="42"/>
      <c r="AH209" s="40"/>
      <c r="AI209" s="40"/>
      <c r="AJ209" s="42"/>
      <c r="AK209" s="42"/>
      <c r="AL209" s="40"/>
      <c r="AM209" s="40"/>
      <c r="AN209" s="40"/>
      <c r="AO209" s="40"/>
      <c r="AP209" s="40"/>
      <c r="AQ209" s="40"/>
      <c r="AR209" s="39"/>
      <c r="AS209" s="39"/>
      <c r="AT209" s="40"/>
      <c r="AU209" s="40"/>
      <c r="AV209" s="23"/>
    </row>
    <row r="210" spans="1:48" ht="15.75" x14ac:dyDescent="0.25">
      <c r="A210" s="44"/>
      <c r="B210" s="23"/>
      <c r="C210" s="23"/>
      <c r="D210" s="39"/>
      <c r="E210" s="39"/>
      <c r="F210" s="40"/>
      <c r="G210" s="40"/>
      <c r="H210" s="41"/>
      <c r="I210" s="39"/>
      <c r="J210" s="40"/>
      <c r="K210" s="40"/>
      <c r="L210" s="41"/>
      <c r="M210" s="39"/>
      <c r="N210" s="40"/>
      <c r="O210" s="40"/>
      <c r="P210" s="39"/>
      <c r="Q210" s="39"/>
      <c r="R210" s="40"/>
      <c r="S210" s="40"/>
      <c r="T210" s="39"/>
      <c r="U210" s="39"/>
      <c r="V210" s="40"/>
      <c r="W210" s="40"/>
      <c r="X210" s="41"/>
      <c r="Y210" s="41"/>
      <c r="Z210" s="40"/>
      <c r="AA210" s="40"/>
      <c r="AB210" s="41"/>
      <c r="AC210" s="41"/>
      <c r="AD210" s="40"/>
      <c r="AE210" s="40"/>
      <c r="AF210" s="42"/>
      <c r="AG210" s="42"/>
      <c r="AH210" s="40"/>
      <c r="AI210" s="40"/>
      <c r="AJ210" s="42"/>
      <c r="AK210" s="42"/>
      <c r="AL210" s="40"/>
      <c r="AM210" s="40"/>
      <c r="AN210" s="40"/>
      <c r="AO210" s="40"/>
      <c r="AP210" s="40"/>
      <c r="AQ210" s="40"/>
      <c r="AR210" s="39"/>
      <c r="AS210" s="39"/>
      <c r="AT210" s="40"/>
      <c r="AU210" s="40"/>
      <c r="AV210" s="23"/>
    </row>
    <row r="211" spans="1:48" ht="15.75" x14ac:dyDescent="0.25">
      <c r="A211" s="44"/>
      <c r="B211" s="23"/>
      <c r="C211" s="23"/>
      <c r="D211" s="39"/>
      <c r="E211" s="39"/>
      <c r="F211" s="40"/>
      <c r="G211" s="40"/>
      <c r="H211" s="41"/>
      <c r="I211" s="39"/>
      <c r="J211" s="40"/>
      <c r="K211" s="40"/>
      <c r="L211" s="41"/>
      <c r="M211" s="39"/>
      <c r="N211" s="40"/>
      <c r="O211" s="40"/>
      <c r="P211" s="39"/>
      <c r="Q211" s="39"/>
      <c r="R211" s="40"/>
      <c r="S211" s="40"/>
      <c r="T211" s="39"/>
      <c r="U211" s="39"/>
      <c r="V211" s="40"/>
      <c r="W211" s="40"/>
      <c r="X211" s="41"/>
      <c r="Y211" s="41"/>
      <c r="Z211" s="40"/>
      <c r="AA211" s="40"/>
      <c r="AB211" s="41"/>
      <c r="AC211" s="41"/>
      <c r="AD211" s="40"/>
      <c r="AE211" s="40"/>
      <c r="AF211" s="42"/>
      <c r="AG211" s="42"/>
      <c r="AH211" s="40"/>
      <c r="AI211" s="40"/>
      <c r="AJ211" s="42"/>
      <c r="AK211" s="42"/>
      <c r="AL211" s="40"/>
      <c r="AM211" s="40"/>
      <c r="AN211" s="40"/>
      <c r="AO211" s="40"/>
      <c r="AP211" s="40"/>
      <c r="AQ211" s="40"/>
      <c r="AR211" s="39"/>
      <c r="AS211" s="39"/>
      <c r="AT211" s="40"/>
      <c r="AU211" s="40"/>
      <c r="AV211" s="23"/>
    </row>
    <row r="212" spans="1:48" ht="15.75" x14ac:dyDescent="0.25">
      <c r="A212" s="44"/>
      <c r="B212" s="23"/>
      <c r="C212" s="23"/>
      <c r="D212" s="39"/>
      <c r="E212" s="39"/>
      <c r="F212" s="40"/>
      <c r="G212" s="40"/>
      <c r="H212" s="41"/>
      <c r="I212" s="39"/>
      <c r="J212" s="40"/>
      <c r="K212" s="40"/>
      <c r="L212" s="41"/>
      <c r="M212" s="39"/>
      <c r="N212" s="40"/>
      <c r="O212" s="40"/>
      <c r="P212" s="39"/>
      <c r="Q212" s="39"/>
      <c r="R212" s="40"/>
      <c r="S212" s="40"/>
      <c r="T212" s="39"/>
      <c r="U212" s="39"/>
      <c r="V212" s="40"/>
      <c r="W212" s="40"/>
      <c r="X212" s="41"/>
      <c r="Y212" s="41"/>
      <c r="Z212" s="40"/>
      <c r="AA212" s="40"/>
      <c r="AB212" s="41"/>
      <c r="AC212" s="41"/>
      <c r="AD212" s="40"/>
      <c r="AE212" s="40"/>
      <c r="AF212" s="42"/>
      <c r="AG212" s="42"/>
      <c r="AH212" s="40"/>
      <c r="AI212" s="40"/>
      <c r="AJ212" s="42"/>
      <c r="AK212" s="42"/>
      <c r="AL212" s="40"/>
      <c r="AM212" s="40"/>
      <c r="AN212" s="40"/>
      <c r="AO212" s="40"/>
      <c r="AP212" s="40"/>
      <c r="AQ212" s="40"/>
      <c r="AR212" s="39"/>
      <c r="AS212" s="39"/>
      <c r="AT212" s="40"/>
      <c r="AU212" s="40"/>
      <c r="AV212" s="23"/>
    </row>
    <row r="213" spans="1:48" ht="15.75" x14ac:dyDescent="0.25">
      <c r="A213" s="44"/>
      <c r="B213" s="23"/>
      <c r="C213" s="23"/>
      <c r="D213" s="39"/>
      <c r="E213" s="39"/>
      <c r="F213" s="40"/>
      <c r="G213" s="40"/>
      <c r="H213" s="41"/>
      <c r="I213" s="39"/>
      <c r="J213" s="40"/>
      <c r="K213" s="40"/>
      <c r="L213" s="41"/>
      <c r="M213" s="39"/>
      <c r="N213" s="40"/>
      <c r="O213" s="40"/>
      <c r="P213" s="39"/>
      <c r="Q213" s="39"/>
      <c r="R213" s="40"/>
      <c r="S213" s="40"/>
      <c r="T213" s="39"/>
      <c r="U213" s="39"/>
      <c r="V213" s="40"/>
      <c r="W213" s="40"/>
      <c r="X213" s="41"/>
      <c r="Y213" s="41"/>
      <c r="Z213" s="40"/>
      <c r="AA213" s="40"/>
      <c r="AB213" s="41"/>
      <c r="AC213" s="41"/>
      <c r="AD213" s="40"/>
      <c r="AE213" s="40"/>
      <c r="AF213" s="42"/>
      <c r="AG213" s="42"/>
      <c r="AH213" s="40"/>
      <c r="AI213" s="40"/>
      <c r="AJ213" s="42"/>
      <c r="AK213" s="42"/>
      <c r="AL213" s="40"/>
      <c r="AM213" s="40"/>
      <c r="AN213" s="40"/>
      <c r="AO213" s="40"/>
      <c r="AP213" s="40"/>
      <c r="AQ213" s="40"/>
      <c r="AR213" s="39"/>
      <c r="AS213" s="39"/>
      <c r="AT213" s="40"/>
      <c r="AU213" s="40"/>
      <c r="AV213" s="23"/>
    </row>
    <row r="214" spans="1:48" ht="15.75" x14ac:dyDescent="0.25">
      <c r="A214" s="44"/>
      <c r="B214" s="23"/>
      <c r="C214" s="23"/>
      <c r="D214" s="39"/>
      <c r="E214" s="39"/>
      <c r="F214" s="40"/>
      <c r="G214" s="40"/>
      <c r="H214" s="41"/>
      <c r="I214" s="39"/>
      <c r="J214" s="40"/>
      <c r="K214" s="40"/>
      <c r="L214" s="41"/>
      <c r="M214" s="39"/>
      <c r="N214" s="40"/>
      <c r="O214" s="40"/>
      <c r="P214" s="39"/>
      <c r="Q214" s="39"/>
      <c r="R214" s="40"/>
      <c r="S214" s="40"/>
      <c r="T214" s="39"/>
      <c r="U214" s="39"/>
      <c r="V214" s="40"/>
      <c r="W214" s="40"/>
      <c r="X214" s="41"/>
      <c r="Y214" s="41"/>
      <c r="Z214" s="40"/>
      <c r="AA214" s="40"/>
      <c r="AB214" s="41"/>
      <c r="AC214" s="41"/>
      <c r="AD214" s="40"/>
      <c r="AE214" s="40"/>
      <c r="AF214" s="42"/>
      <c r="AG214" s="42"/>
      <c r="AH214" s="40"/>
      <c r="AI214" s="40"/>
      <c r="AJ214" s="42"/>
      <c r="AK214" s="42"/>
      <c r="AL214" s="40"/>
      <c r="AM214" s="40"/>
      <c r="AN214" s="40"/>
      <c r="AO214" s="40"/>
      <c r="AP214" s="40"/>
      <c r="AQ214" s="40"/>
      <c r="AR214" s="39"/>
      <c r="AS214" s="39"/>
      <c r="AT214" s="40"/>
      <c r="AU214" s="40"/>
      <c r="AV214" s="23"/>
    </row>
    <row r="215" spans="1:48" ht="15.75" x14ac:dyDescent="0.25">
      <c r="A215" s="44"/>
      <c r="B215" s="23"/>
      <c r="C215" s="23"/>
      <c r="D215" s="39"/>
      <c r="E215" s="39"/>
      <c r="F215" s="40"/>
      <c r="G215" s="40"/>
      <c r="H215" s="41"/>
      <c r="I215" s="39"/>
      <c r="J215" s="40"/>
      <c r="K215" s="40"/>
      <c r="L215" s="41"/>
      <c r="M215" s="39"/>
      <c r="N215" s="40"/>
      <c r="O215" s="40"/>
      <c r="P215" s="39"/>
      <c r="Q215" s="39"/>
      <c r="R215" s="40"/>
      <c r="S215" s="40"/>
      <c r="T215" s="39"/>
      <c r="U215" s="39"/>
      <c r="V215" s="40"/>
      <c r="W215" s="40"/>
      <c r="X215" s="41"/>
      <c r="Y215" s="41"/>
      <c r="Z215" s="40"/>
      <c r="AA215" s="40"/>
      <c r="AB215" s="41"/>
      <c r="AC215" s="41"/>
      <c r="AD215" s="40"/>
      <c r="AE215" s="40"/>
      <c r="AF215" s="42"/>
      <c r="AG215" s="42"/>
      <c r="AH215" s="40"/>
      <c r="AI215" s="40"/>
      <c r="AJ215" s="42"/>
      <c r="AK215" s="42"/>
      <c r="AL215" s="40"/>
      <c r="AM215" s="40"/>
      <c r="AN215" s="40"/>
      <c r="AO215" s="40"/>
      <c r="AP215" s="40"/>
      <c r="AQ215" s="40"/>
      <c r="AR215" s="39"/>
      <c r="AS215" s="39"/>
      <c r="AT215" s="40"/>
      <c r="AU215" s="40"/>
      <c r="AV215" s="23"/>
    </row>
    <row r="216" spans="1:48" ht="15.75" x14ac:dyDescent="0.25">
      <c r="A216" s="44"/>
      <c r="B216" s="23"/>
      <c r="C216" s="23"/>
      <c r="D216" s="39"/>
      <c r="E216" s="39"/>
      <c r="F216" s="40"/>
      <c r="G216" s="40"/>
      <c r="H216" s="41"/>
      <c r="I216" s="39"/>
      <c r="J216" s="40"/>
      <c r="K216" s="40"/>
      <c r="L216" s="41"/>
      <c r="M216" s="39"/>
      <c r="N216" s="40"/>
      <c r="O216" s="40"/>
      <c r="P216" s="39"/>
      <c r="Q216" s="39"/>
      <c r="R216" s="40"/>
      <c r="S216" s="40"/>
      <c r="T216" s="39"/>
      <c r="U216" s="39"/>
      <c r="V216" s="40"/>
      <c r="W216" s="40"/>
      <c r="X216" s="41"/>
      <c r="Y216" s="41"/>
      <c r="Z216" s="40"/>
      <c r="AA216" s="40"/>
      <c r="AB216" s="41"/>
      <c r="AC216" s="41"/>
      <c r="AD216" s="40"/>
      <c r="AE216" s="40"/>
      <c r="AF216" s="42"/>
      <c r="AG216" s="42"/>
      <c r="AH216" s="40"/>
      <c r="AI216" s="40"/>
      <c r="AJ216" s="42"/>
      <c r="AK216" s="42"/>
      <c r="AL216" s="40"/>
      <c r="AM216" s="40"/>
      <c r="AN216" s="40"/>
      <c r="AO216" s="40"/>
      <c r="AP216" s="40"/>
      <c r="AQ216" s="40"/>
      <c r="AR216" s="39"/>
      <c r="AS216" s="39"/>
      <c r="AT216" s="40"/>
      <c r="AU216" s="40"/>
      <c r="AV216" s="23"/>
    </row>
    <row r="217" spans="1:48" ht="15.75" x14ac:dyDescent="0.25">
      <c r="A217" s="44"/>
      <c r="B217" s="23"/>
      <c r="C217" s="23"/>
      <c r="D217" s="39"/>
      <c r="E217" s="39"/>
      <c r="F217" s="40"/>
      <c r="G217" s="40"/>
      <c r="H217" s="41"/>
      <c r="I217" s="39"/>
      <c r="J217" s="40"/>
      <c r="K217" s="40"/>
      <c r="L217" s="41"/>
      <c r="M217" s="39"/>
      <c r="N217" s="40"/>
      <c r="O217" s="40"/>
      <c r="P217" s="39"/>
      <c r="Q217" s="39"/>
      <c r="R217" s="40"/>
      <c r="S217" s="40"/>
      <c r="T217" s="39"/>
      <c r="U217" s="39"/>
      <c r="V217" s="40"/>
      <c r="W217" s="40"/>
      <c r="X217" s="41"/>
      <c r="Y217" s="41"/>
      <c r="Z217" s="40"/>
      <c r="AA217" s="40"/>
      <c r="AB217" s="41"/>
      <c r="AC217" s="41"/>
      <c r="AD217" s="40"/>
      <c r="AE217" s="40"/>
      <c r="AF217" s="42"/>
      <c r="AG217" s="42"/>
      <c r="AH217" s="40"/>
      <c r="AI217" s="40"/>
      <c r="AJ217" s="42"/>
      <c r="AK217" s="42"/>
      <c r="AL217" s="40"/>
      <c r="AM217" s="40"/>
      <c r="AN217" s="40"/>
      <c r="AO217" s="40"/>
      <c r="AP217" s="40"/>
      <c r="AQ217" s="40"/>
      <c r="AR217" s="39"/>
      <c r="AS217" s="39"/>
      <c r="AT217" s="40"/>
      <c r="AU217" s="40"/>
      <c r="AV217" s="23"/>
    </row>
    <row r="218" spans="1:48" ht="15.75" x14ac:dyDescent="0.25">
      <c r="A218" s="44"/>
      <c r="B218" s="23"/>
      <c r="C218" s="23"/>
      <c r="D218" s="39"/>
      <c r="E218" s="39"/>
      <c r="F218" s="40"/>
      <c r="G218" s="40"/>
      <c r="H218" s="41"/>
      <c r="I218" s="39"/>
      <c r="J218" s="40"/>
      <c r="K218" s="40"/>
      <c r="L218" s="41"/>
      <c r="M218" s="39"/>
      <c r="N218" s="40"/>
      <c r="O218" s="40"/>
      <c r="P218" s="39"/>
      <c r="Q218" s="39"/>
      <c r="R218" s="40"/>
      <c r="S218" s="40"/>
      <c r="T218" s="39"/>
      <c r="U218" s="39"/>
      <c r="V218" s="40"/>
      <c r="W218" s="40"/>
      <c r="X218" s="41"/>
      <c r="Y218" s="41"/>
      <c r="Z218" s="40"/>
      <c r="AA218" s="40"/>
      <c r="AB218" s="41"/>
      <c r="AC218" s="41"/>
      <c r="AD218" s="40"/>
      <c r="AE218" s="40"/>
      <c r="AF218" s="42"/>
      <c r="AG218" s="42"/>
      <c r="AH218" s="40"/>
      <c r="AI218" s="40"/>
      <c r="AJ218" s="42"/>
      <c r="AK218" s="42"/>
      <c r="AL218" s="40"/>
      <c r="AM218" s="40"/>
      <c r="AN218" s="40"/>
      <c r="AO218" s="40"/>
      <c r="AP218" s="40"/>
      <c r="AQ218" s="40"/>
      <c r="AR218" s="39"/>
      <c r="AS218" s="39"/>
      <c r="AT218" s="40"/>
      <c r="AU218" s="40"/>
      <c r="AV218" s="23"/>
    </row>
    <row r="219" spans="1:48" ht="15.75" x14ac:dyDescent="0.25">
      <c r="A219" s="44"/>
      <c r="B219" s="23"/>
      <c r="C219" s="23"/>
      <c r="D219" s="39"/>
      <c r="E219" s="39"/>
      <c r="F219" s="40"/>
      <c r="G219" s="40"/>
      <c r="H219" s="41"/>
      <c r="I219" s="39"/>
      <c r="J219" s="40"/>
      <c r="K219" s="40"/>
      <c r="L219" s="41"/>
      <c r="M219" s="39"/>
      <c r="N219" s="40"/>
      <c r="O219" s="40"/>
      <c r="P219" s="39"/>
      <c r="Q219" s="39"/>
      <c r="R219" s="40"/>
      <c r="S219" s="40"/>
      <c r="T219" s="39"/>
      <c r="U219" s="39"/>
      <c r="V219" s="40"/>
      <c r="W219" s="40"/>
      <c r="X219" s="41"/>
      <c r="Y219" s="41"/>
      <c r="Z219" s="40"/>
      <c r="AA219" s="40"/>
      <c r="AB219" s="41"/>
      <c r="AC219" s="41"/>
      <c r="AD219" s="40"/>
      <c r="AE219" s="40"/>
      <c r="AF219" s="42"/>
      <c r="AG219" s="42"/>
      <c r="AH219" s="40"/>
      <c r="AI219" s="40"/>
      <c r="AJ219" s="42"/>
      <c r="AK219" s="42"/>
      <c r="AL219" s="40"/>
      <c r="AM219" s="40"/>
      <c r="AN219" s="40"/>
      <c r="AO219" s="40"/>
      <c r="AP219" s="40"/>
      <c r="AQ219" s="40"/>
      <c r="AR219" s="39"/>
      <c r="AS219" s="39"/>
      <c r="AT219" s="40"/>
      <c r="AU219" s="40"/>
      <c r="AV219" s="23"/>
    </row>
    <row r="220" spans="1:48" ht="15.75" x14ac:dyDescent="0.25">
      <c r="A220" s="44"/>
      <c r="B220" s="23"/>
      <c r="C220" s="23"/>
      <c r="D220" s="39"/>
      <c r="E220" s="39"/>
      <c r="F220" s="40"/>
      <c r="G220" s="40"/>
      <c r="H220" s="41"/>
      <c r="I220" s="39"/>
      <c r="J220" s="40"/>
      <c r="K220" s="40"/>
      <c r="L220" s="41"/>
      <c r="M220" s="39"/>
      <c r="N220" s="40"/>
      <c r="O220" s="40"/>
      <c r="P220" s="39"/>
      <c r="Q220" s="39"/>
      <c r="R220" s="40"/>
      <c r="S220" s="40"/>
      <c r="T220" s="39"/>
      <c r="U220" s="39"/>
      <c r="V220" s="40"/>
      <c r="W220" s="40"/>
      <c r="X220" s="41"/>
      <c r="Y220" s="41"/>
      <c r="Z220" s="40"/>
      <c r="AA220" s="40"/>
      <c r="AB220" s="41"/>
      <c r="AC220" s="41"/>
      <c r="AD220" s="40"/>
      <c r="AE220" s="40"/>
      <c r="AF220" s="42"/>
      <c r="AG220" s="42"/>
      <c r="AH220" s="40"/>
      <c r="AI220" s="40"/>
      <c r="AJ220" s="42"/>
      <c r="AK220" s="42"/>
      <c r="AL220" s="40"/>
      <c r="AM220" s="40"/>
      <c r="AN220" s="40"/>
      <c r="AO220" s="40"/>
      <c r="AP220" s="40"/>
      <c r="AQ220" s="40"/>
      <c r="AR220" s="39"/>
      <c r="AS220" s="39"/>
      <c r="AT220" s="40"/>
      <c r="AU220" s="40"/>
      <c r="AV220" s="23"/>
    </row>
    <row r="221" spans="1:48" ht="15.75" x14ac:dyDescent="0.25">
      <c r="A221" s="44"/>
      <c r="B221" s="23"/>
      <c r="C221" s="23"/>
      <c r="D221" s="39"/>
      <c r="E221" s="39"/>
      <c r="F221" s="40"/>
      <c r="G221" s="40"/>
      <c r="H221" s="41"/>
      <c r="I221" s="39"/>
      <c r="J221" s="40"/>
      <c r="K221" s="40"/>
      <c r="L221" s="41"/>
      <c r="M221" s="39"/>
      <c r="N221" s="40"/>
      <c r="O221" s="40"/>
      <c r="P221" s="39"/>
      <c r="Q221" s="39"/>
      <c r="R221" s="40"/>
      <c r="S221" s="40"/>
      <c r="T221" s="39"/>
      <c r="U221" s="39"/>
      <c r="V221" s="40"/>
      <c r="W221" s="40"/>
      <c r="X221" s="41"/>
      <c r="Y221" s="41"/>
      <c r="Z221" s="40"/>
      <c r="AA221" s="40"/>
      <c r="AB221" s="41"/>
      <c r="AC221" s="41"/>
      <c r="AD221" s="40"/>
      <c r="AE221" s="40"/>
      <c r="AF221" s="42"/>
      <c r="AG221" s="42"/>
      <c r="AH221" s="40"/>
      <c r="AI221" s="40"/>
      <c r="AJ221" s="42"/>
      <c r="AK221" s="42"/>
      <c r="AL221" s="40"/>
      <c r="AM221" s="40"/>
      <c r="AN221" s="40"/>
      <c r="AO221" s="40"/>
      <c r="AP221" s="40"/>
      <c r="AQ221" s="40"/>
      <c r="AR221" s="39"/>
      <c r="AS221" s="39"/>
      <c r="AT221" s="40"/>
      <c r="AU221" s="40"/>
      <c r="AV221" s="23"/>
    </row>
    <row r="222" spans="1:48" ht="15.75" x14ac:dyDescent="0.25">
      <c r="A222" s="44"/>
      <c r="B222" s="23"/>
      <c r="C222" s="23"/>
      <c r="D222" s="39"/>
      <c r="E222" s="39"/>
      <c r="F222" s="40"/>
      <c r="G222" s="40"/>
      <c r="H222" s="41"/>
      <c r="I222" s="39"/>
      <c r="J222" s="40"/>
      <c r="K222" s="40"/>
      <c r="L222" s="41"/>
      <c r="M222" s="39"/>
      <c r="N222" s="40"/>
      <c r="O222" s="40"/>
      <c r="P222" s="39"/>
      <c r="Q222" s="39"/>
      <c r="R222" s="40"/>
      <c r="S222" s="40"/>
      <c r="T222" s="39"/>
      <c r="U222" s="39"/>
      <c r="V222" s="40"/>
      <c r="W222" s="40"/>
      <c r="X222" s="41"/>
      <c r="Y222" s="41"/>
      <c r="Z222" s="40"/>
      <c r="AA222" s="40"/>
      <c r="AB222" s="41"/>
      <c r="AC222" s="41"/>
      <c r="AD222" s="40"/>
      <c r="AE222" s="40"/>
      <c r="AF222" s="42"/>
      <c r="AG222" s="42"/>
      <c r="AH222" s="40"/>
      <c r="AI222" s="40"/>
      <c r="AJ222" s="42"/>
      <c r="AK222" s="42"/>
      <c r="AL222" s="40"/>
      <c r="AM222" s="40"/>
      <c r="AN222" s="40"/>
      <c r="AO222" s="40"/>
      <c r="AP222" s="40"/>
      <c r="AQ222" s="40"/>
      <c r="AR222" s="39"/>
      <c r="AS222" s="39"/>
      <c r="AT222" s="40"/>
      <c r="AU222" s="40"/>
      <c r="AV222" s="23"/>
    </row>
    <row r="223" spans="1:48" ht="15.75" x14ac:dyDescent="0.25">
      <c r="A223" s="44"/>
      <c r="B223" s="23"/>
      <c r="C223" s="23"/>
      <c r="D223" s="39"/>
      <c r="E223" s="39"/>
      <c r="F223" s="40"/>
      <c r="G223" s="40"/>
      <c r="H223" s="41"/>
      <c r="I223" s="39"/>
      <c r="J223" s="40"/>
      <c r="K223" s="40"/>
      <c r="L223" s="41"/>
      <c r="M223" s="39"/>
      <c r="N223" s="40"/>
      <c r="O223" s="40"/>
      <c r="P223" s="39"/>
      <c r="Q223" s="39"/>
      <c r="R223" s="40"/>
      <c r="S223" s="40"/>
      <c r="T223" s="39"/>
      <c r="U223" s="39"/>
      <c r="V223" s="40"/>
      <c r="W223" s="40"/>
      <c r="X223" s="41"/>
      <c r="Y223" s="41"/>
      <c r="Z223" s="40"/>
      <c r="AA223" s="40"/>
      <c r="AB223" s="41"/>
      <c r="AC223" s="41"/>
      <c r="AD223" s="40"/>
      <c r="AE223" s="40"/>
      <c r="AF223" s="42"/>
      <c r="AG223" s="42"/>
      <c r="AH223" s="40"/>
      <c r="AI223" s="40"/>
      <c r="AJ223" s="42"/>
      <c r="AK223" s="42"/>
      <c r="AL223" s="40"/>
      <c r="AM223" s="40"/>
      <c r="AN223" s="40"/>
      <c r="AO223" s="40"/>
      <c r="AP223" s="40"/>
      <c r="AQ223" s="40"/>
      <c r="AR223" s="39"/>
      <c r="AS223" s="39"/>
      <c r="AT223" s="40"/>
      <c r="AU223" s="40"/>
      <c r="AV223" s="23"/>
    </row>
    <row r="224" spans="1:48" ht="15.75" x14ac:dyDescent="0.25">
      <c r="A224" s="44"/>
      <c r="B224" s="23"/>
      <c r="C224" s="23"/>
      <c r="D224" s="39"/>
      <c r="E224" s="39"/>
      <c r="F224" s="40"/>
      <c r="G224" s="40"/>
      <c r="H224" s="41"/>
      <c r="I224" s="39"/>
      <c r="J224" s="40"/>
      <c r="K224" s="40"/>
      <c r="L224" s="41"/>
      <c r="M224" s="39"/>
      <c r="N224" s="40"/>
      <c r="O224" s="40"/>
      <c r="P224" s="39"/>
      <c r="Q224" s="39"/>
      <c r="R224" s="40"/>
      <c r="S224" s="40"/>
      <c r="T224" s="39"/>
      <c r="U224" s="39"/>
      <c r="V224" s="40"/>
      <c r="W224" s="40"/>
      <c r="X224" s="41"/>
      <c r="Y224" s="41"/>
      <c r="Z224" s="40"/>
      <c r="AA224" s="40"/>
      <c r="AB224" s="41"/>
      <c r="AC224" s="41"/>
      <c r="AD224" s="40"/>
      <c r="AE224" s="40"/>
      <c r="AF224" s="42"/>
      <c r="AG224" s="42"/>
      <c r="AH224" s="40"/>
      <c r="AI224" s="40"/>
      <c r="AJ224" s="42"/>
      <c r="AK224" s="42"/>
      <c r="AL224" s="40"/>
      <c r="AM224" s="40"/>
      <c r="AN224" s="40"/>
      <c r="AO224" s="40"/>
      <c r="AP224" s="40"/>
      <c r="AQ224" s="40"/>
      <c r="AR224" s="39"/>
      <c r="AS224" s="39"/>
      <c r="AT224" s="40"/>
      <c r="AU224" s="40"/>
      <c r="AV224" s="23"/>
    </row>
    <row r="225" spans="1:48" ht="15.75" x14ac:dyDescent="0.25">
      <c r="A225" s="44"/>
      <c r="B225" s="23"/>
      <c r="C225" s="23"/>
      <c r="D225" s="39"/>
      <c r="E225" s="39"/>
      <c r="F225" s="40"/>
      <c r="G225" s="40"/>
      <c r="H225" s="41"/>
      <c r="I225" s="39"/>
      <c r="J225" s="40"/>
      <c r="K225" s="40"/>
      <c r="L225" s="41"/>
      <c r="M225" s="39"/>
      <c r="N225" s="40"/>
      <c r="O225" s="40"/>
      <c r="P225" s="39"/>
      <c r="Q225" s="39"/>
      <c r="R225" s="40"/>
      <c r="S225" s="40"/>
      <c r="T225" s="39"/>
      <c r="U225" s="39"/>
      <c r="V225" s="40"/>
      <c r="W225" s="40"/>
      <c r="X225" s="41"/>
      <c r="Y225" s="41"/>
      <c r="Z225" s="40"/>
      <c r="AA225" s="40"/>
      <c r="AB225" s="41"/>
      <c r="AC225" s="41"/>
      <c r="AD225" s="40"/>
      <c r="AE225" s="40"/>
      <c r="AF225" s="42"/>
      <c r="AG225" s="42"/>
      <c r="AH225" s="40"/>
      <c r="AI225" s="40"/>
      <c r="AJ225" s="42"/>
      <c r="AK225" s="42"/>
      <c r="AL225" s="40"/>
      <c r="AM225" s="40"/>
      <c r="AN225" s="40"/>
      <c r="AO225" s="40"/>
      <c r="AP225" s="40"/>
      <c r="AQ225" s="40"/>
      <c r="AR225" s="39"/>
      <c r="AS225" s="39"/>
      <c r="AT225" s="40"/>
      <c r="AU225" s="40"/>
      <c r="AV225" s="23"/>
    </row>
    <row r="226" spans="1:48" ht="15.75" x14ac:dyDescent="0.25">
      <c r="A226" s="44"/>
      <c r="B226" s="23"/>
      <c r="C226" s="23"/>
      <c r="D226" s="39"/>
      <c r="E226" s="39"/>
      <c r="F226" s="40"/>
      <c r="G226" s="40"/>
      <c r="H226" s="41"/>
      <c r="I226" s="39"/>
      <c r="J226" s="40"/>
      <c r="K226" s="40"/>
      <c r="L226" s="41"/>
      <c r="M226" s="39"/>
      <c r="N226" s="40"/>
      <c r="O226" s="40"/>
      <c r="P226" s="39"/>
      <c r="Q226" s="39"/>
      <c r="R226" s="40"/>
      <c r="S226" s="40"/>
      <c r="T226" s="39"/>
      <c r="U226" s="39"/>
      <c r="V226" s="40"/>
      <c r="W226" s="40"/>
      <c r="X226" s="41"/>
      <c r="Y226" s="41"/>
      <c r="Z226" s="40"/>
      <c r="AA226" s="40"/>
      <c r="AB226" s="41"/>
      <c r="AC226" s="41"/>
      <c r="AD226" s="40"/>
      <c r="AE226" s="40"/>
      <c r="AF226" s="42"/>
      <c r="AG226" s="42"/>
      <c r="AH226" s="40"/>
      <c r="AI226" s="40"/>
      <c r="AJ226" s="42"/>
      <c r="AK226" s="42"/>
      <c r="AL226" s="40"/>
      <c r="AM226" s="40"/>
      <c r="AN226" s="40"/>
      <c r="AO226" s="40"/>
      <c r="AP226" s="40"/>
      <c r="AQ226" s="40"/>
      <c r="AR226" s="39"/>
      <c r="AS226" s="39"/>
      <c r="AT226" s="40"/>
      <c r="AU226" s="40"/>
      <c r="AV226" s="23"/>
    </row>
    <row r="227" spans="1:48" ht="15.75" x14ac:dyDescent="0.25">
      <c r="A227" s="44"/>
      <c r="B227" s="23"/>
      <c r="C227" s="23"/>
      <c r="D227" s="39"/>
      <c r="E227" s="39"/>
      <c r="F227" s="40"/>
      <c r="G227" s="40"/>
      <c r="H227" s="41"/>
      <c r="I227" s="39"/>
      <c r="J227" s="40"/>
      <c r="K227" s="40"/>
      <c r="L227" s="41"/>
      <c r="M227" s="39"/>
      <c r="N227" s="40"/>
      <c r="O227" s="40"/>
      <c r="P227" s="39"/>
      <c r="Q227" s="39"/>
      <c r="R227" s="40"/>
      <c r="S227" s="40"/>
      <c r="T227" s="39"/>
      <c r="U227" s="39"/>
      <c r="V227" s="40"/>
      <c r="W227" s="40"/>
      <c r="X227" s="41"/>
      <c r="Y227" s="41"/>
      <c r="Z227" s="40"/>
      <c r="AA227" s="40"/>
      <c r="AB227" s="41"/>
      <c r="AC227" s="41"/>
      <c r="AD227" s="40"/>
      <c r="AE227" s="40"/>
      <c r="AF227" s="42"/>
      <c r="AG227" s="42"/>
      <c r="AH227" s="40"/>
      <c r="AI227" s="40"/>
      <c r="AJ227" s="42"/>
      <c r="AK227" s="42"/>
      <c r="AL227" s="40"/>
      <c r="AM227" s="40"/>
      <c r="AN227" s="40"/>
      <c r="AO227" s="40"/>
      <c r="AP227" s="40"/>
      <c r="AQ227" s="40"/>
      <c r="AR227" s="39"/>
      <c r="AS227" s="39"/>
      <c r="AT227" s="40"/>
      <c r="AU227" s="40"/>
      <c r="AV227" s="23"/>
    </row>
    <row r="228" spans="1:48" ht="15.75" x14ac:dyDescent="0.25">
      <c r="A228" s="44"/>
      <c r="B228" s="23"/>
      <c r="C228" s="23"/>
      <c r="D228" s="39"/>
      <c r="E228" s="39"/>
      <c r="F228" s="40"/>
      <c r="G228" s="40"/>
      <c r="H228" s="41"/>
      <c r="I228" s="39"/>
      <c r="J228" s="40"/>
      <c r="K228" s="40"/>
      <c r="L228" s="41"/>
      <c r="M228" s="39"/>
      <c r="N228" s="40"/>
      <c r="O228" s="40"/>
      <c r="P228" s="39"/>
      <c r="Q228" s="39"/>
      <c r="R228" s="40"/>
      <c r="S228" s="40"/>
      <c r="T228" s="39"/>
      <c r="U228" s="39"/>
      <c r="V228" s="40"/>
      <c r="W228" s="40"/>
      <c r="X228" s="41"/>
      <c r="Y228" s="41"/>
      <c r="Z228" s="40"/>
      <c r="AA228" s="40"/>
      <c r="AB228" s="41"/>
      <c r="AC228" s="41"/>
      <c r="AD228" s="40"/>
      <c r="AE228" s="40"/>
      <c r="AF228" s="42"/>
      <c r="AG228" s="42"/>
      <c r="AH228" s="40"/>
      <c r="AI228" s="40"/>
      <c r="AJ228" s="42"/>
      <c r="AK228" s="42"/>
      <c r="AL228" s="40"/>
      <c r="AM228" s="40"/>
      <c r="AN228" s="40"/>
      <c r="AO228" s="40"/>
      <c r="AP228" s="40"/>
      <c r="AQ228" s="40"/>
      <c r="AR228" s="39"/>
      <c r="AS228" s="39"/>
      <c r="AT228" s="40"/>
      <c r="AU228" s="40"/>
      <c r="AV228" s="23"/>
    </row>
    <row r="229" spans="1:48" ht="15.75" x14ac:dyDescent="0.25">
      <c r="A229" s="44"/>
      <c r="B229" s="23"/>
      <c r="C229" s="23"/>
      <c r="D229" s="39"/>
      <c r="E229" s="39"/>
      <c r="F229" s="40"/>
      <c r="G229" s="40"/>
      <c r="H229" s="41"/>
      <c r="I229" s="39"/>
      <c r="J229" s="40"/>
      <c r="K229" s="40"/>
      <c r="L229" s="41"/>
      <c r="M229" s="39"/>
      <c r="N229" s="40"/>
      <c r="O229" s="40"/>
      <c r="P229" s="39"/>
      <c r="Q229" s="39"/>
      <c r="R229" s="40"/>
      <c r="S229" s="40"/>
      <c r="T229" s="39"/>
      <c r="U229" s="39"/>
      <c r="V229" s="40"/>
      <c r="W229" s="40"/>
      <c r="X229" s="41"/>
      <c r="Y229" s="41"/>
      <c r="Z229" s="40"/>
      <c r="AA229" s="40"/>
      <c r="AB229" s="41"/>
      <c r="AC229" s="41"/>
      <c r="AD229" s="40"/>
      <c r="AE229" s="40"/>
      <c r="AF229" s="42"/>
      <c r="AG229" s="42"/>
      <c r="AH229" s="40"/>
      <c r="AI229" s="40"/>
      <c r="AJ229" s="42"/>
      <c r="AK229" s="42"/>
      <c r="AL229" s="40"/>
      <c r="AM229" s="40"/>
      <c r="AN229" s="40"/>
      <c r="AO229" s="40"/>
      <c r="AP229" s="40"/>
      <c r="AQ229" s="40"/>
      <c r="AR229" s="39"/>
      <c r="AS229" s="39"/>
      <c r="AT229" s="40"/>
      <c r="AU229" s="40"/>
      <c r="AV229" s="23"/>
    </row>
    <row r="230" spans="1:48" ht="15.75" x14ac:dyDescent="0.25">
      <c r="A230" s="44"/>
      <c r="B230" s="23"/>
      <c r="C230" s="23"/>
      <c r="D230" s="39"/>
      <c r="E230" s="39"/>
      <c r="F230" s="40"/>
      <c r="G230" s="40"/>
      <c r="H230" s="41"/>
      <c r="I230" s="39"/>
      <c r="J230" s="40"/>
      <c r="K230" s="40"/>
      <c r="L230" s="41"/>
      <c r="M230" s="39"/>
      <c r="N230" s="40"/>
      <c r="O230" s="40"/>
      <c r="P230" s="39"/>
      <c r="Q230" s="39"/>
      <c r="R230" s="40"/>
      <c r="S230" s="40"/>
      <c r="T230" s="39"/>
      <c r="U230" s="39"/>
      <c r="V230" s="40"/>
      <c r="W230" s="40"/>
      <c r="X230" s="41"/>
      <c r="Y230" s="41"/>
      <c r="Z230" s="40"/>
      <c r="AA230" s="40"/>
      <c r="AB230" s="41"/>
      <c r="AC230" s="41"/>
      <c r="AD230" s="40"/>
      <c r="AE230" s="40"/>
      <c r="AF230" s="42"/>
      <c r="AG230" s="42"/>
      <c r="AH230" s="40"/>
      <c r="AI230" s="40"/>
      <c r="AJ230" s="42"/>
      <c r="AK230" s="42"/>
      <c r="AL230" s="40"/>
      <c r="AM230" s="40"/>
      <c r="AN230" s="40"/>
      <c r="AO230" s="40"/>
      <c r="AP230" s="40"/>
      <c r="AQ230" s="40"/>
      <c r="AR230" s="39"/>
      <c r="AS230" s="39"/>
      <c r="AT230" s="40"/>
      <c r="AU230" s="40"/>
      <c r="AV230" s="23"/>
    </row>
    <row r="231" spans="1:48" ht="15.75" x14ac:dyDescent="0.25">
      <c r="A231" s="44"/>
      <c r="B231" s="23"/>
      <c r="C231" s="23"/>
      <c r="D231" s="39"/>
      <c r="E231" s="39"/>
      <c r="F231" s="40"/>
      <c r="G231" s="40"/>
      <c r="H231" s="41"/>
      <c r="I231" s="39"/>
      <c r="J231" s="40"/>
      <c r="K231" s="40"/>
      <c r="L231" s="41"/>
      <c r="M231" s="39"/>
      <c r="N231" s="40"/>
      <c r="O231" s="40"/>
      <c r="P231" s="39"/>
      <c r="Q231" s="39"/>
      <c r="R231" s="40"/>
      <c r="S231" s="40"/>
      <c r="T231" s="39"/>
      <c r="U231" s="39"/>
      <c r="V231" s="40"/>
      <c r="W231" s="40"/>
      <c r="X231" s="41"/>
      <c r="Y231" s="41"/>
      <c r="Z231" s="40"/>
      <c r="AA231" s="40"/>
      <c r="AB231" s="41"/>
      <c r="AC231" s="41"/>
      <c r="AD231" s="40"/>
      <c r="AE231" s="40"/>
      <c r="AF231" s="42"/>
      <c r="AG231" s="42"/>
      <c r="AH231" s="40"/>
      <c r="AI231" s="40"/>
      <c r="AJ231" s="42"/>
      <c r="AK231" s="42"/>
      <c r="AL231" s="40"/>
      <c r="AM231" s="40"/>
      <c r="AN231" s="40"/>
      <c r="AO231" s="40"/>
      <c r="AP231" s="40"/>
      <c r="AQ231" s="40"/>
      <c r="AR231" s="39"/>
      <c r="AS231" s="39"/>
      <c r="AT231" s="40"/>
      <c r="AU231" s="40"/>
      <c r="AV231" s="23"/>
    </row>
    <row r="232" spans="1:48" ht="15.75" x14ac:dyDescent="0.25">
      <c r="A232" s="44"/>
      <c r="B232" s="23"/>
      <c r="C232" s="23"/>
      <c r="D232" s="39"/>
      <c r="E232" s="39"/>
      <c r="F232" s="40"/>
      <c r="G232" s="40"/>
      <c r="H232" s="41"/>
      <c r="I232" s="39"/>
      <c r="J232" s="40"/>
      <c r="K232" s="40"/>
      <c r="L232" s="41"/>
      <c r="M232" s="39"/>
      <c r="N232" s="40"/>
      <c r="O232" s="40"/>
      <c r="P232" s="39"/>
      <c r="Q232" s="39"/>
      <c r="R232" s="40"/>
      <c r="S232" s="40"/>
      <c r="T232" s="39"/>
      <c r="U232" s="39"/>
      <c r="V232" s="40"/>
      <c r="W232" s="40"/>
      <c r="X232" s="41"/>
      <c r="Y232" s="41"/>
      <c r="Z232" s="40"/>
      <c r="AA232" s="40"/>
      <c r="AB232" s="41"/>
      <c r="AC232" s="41"/>
      <c r="AD232" s="40"/>
      <c r="AE232" s="40"/>
      <c r="AF232" s="42"/>
      <c r="AG232" s="42"/>
      <c r="AH232" s="40"/>
      <c r="AI232" s="40"/>
      <c r="AJ232" s="42"/>
      <c r="AK232" s="42"/>
      <c r="AL232" s="40"/>
      <c r="AM232" s="40"/>
      <c r="AN232" s="40"/>
      <c r="AO232" s="40"/>
      <c r="AP232" s="40"/>
      <c r="AQ232" s="40"/>
      <c r="AR232" s="39"/>
      <c r="AS232" s="39"/>
      <c r="AT232" s="40"/>
      <c r="AU232" s="40"/>
      <c r="AV232" s="23"/>
    </row>
    <row r="233" spans="1:48" ht="15.75" x14ac:dyDescent="0.25">
      <c r="A233" s="44"/>
      <c r="B233" s="23"/>
      <c r="C233" s="23"/>
      <c r="D233" s="39"/>
      <c r="E233" s="39"/>
      <c r="F233" s="40"/>
      <c r="G233" s="40"/>
      <c r="H233" s="41"/>
      <c r="I233" s="39"/>
      <c r="J233" s="40"/>
      <c r="K233" s="40"/>
      <c r="L233" s="41"/>
      <c r="M233" s="39"/>
      <c r="N233" s="40"/>
      <c r="O233" s="40"/>
      <c r="P233" s="39"/>
      <c r="Q233" s="39"/>
      <c r="R233" s="40"/>
      <c r="S233" s="40"/>
      <c r="T233" s="39"/>
      <c r="U233" s="39"/>
      <c r="V233" s="40"/>
      <c r="W233" s="40"/>
      <c r="X233" s="41"/>
      <c r="Y233" s="41"/>
      <c r="Z233" s="40"/>
      <c r="AA233" s="40"/>
      <c r="AB233" s="41"/>
      <c r="AC233" s="41"/>
      <c r="AD233" s="40"/>
      <c r="AE233" s="40"/>
      <c r="AF233" s="42"/>
      <c r="AG233" s="42"/>
      <c r="AH233" s="40"/>
      <c r="AI233" s="40"/>
      <c r="AJ233" s="42"/>
      <c r="AK233" s="42"/>
      <c r="AL233" s="40"/>
      <c r="AM233" s="40"/>
      <c r="AN233" s="40"/>
      <c r="AO233" s="40"/>
      <c r="AP233" s="40"/>
      <c r="AQ233" s="40"/>
      <c r="AR233" s="39"/>
      <c r="AS233" s="39"/>
      <c r="AT233" s="40"/>
      <c r="AU233" s="40"/>
      <c r="AV233" s="23"/>
    </row>
    <row r="234" spans="1:48" ht="15.75" x14ac:dyDescent="0.25">
      <c r="A234" s="44"/>
      <c r="B234" s="23"/>
      <c r="C234" s="23"/>
      <c r="D234" s="39"/>
      <c r="E234" s="39"/>
      <c r="F234" s="40"/>
      <c r="G234" s="40"/>
      <c r="H234" s="41"/>
      <c r="I234" s="39"/>
      <c r="J234" s="40"/>
      <c r="K234" s="40"/>
      <c r="L234" s="41"/>
      <c r="M234" s="39"/>
      <c r="N234" s="40"/>
      <c r="O234" s="40"/>
      <c r="P234" s="39"/>
      <c r="Q234" s="39"/>
      <c r="R234" s="40"/>
      <c r="S234" s="40"/>
      <c r="T234" s="39"/>
      <c r="U234" s="39"/>
      <c r="V234" s="40"/>
      <c r="W234" s="40"/>
      <c r="X234" s="41"/>
      <c r="Y234" s="41"/>
      <c r="Z234" s="40"/>
      <c r="AA234" s="40"/>
      <c r="AB234" s="41"/>
      <c r="AC234" s="41"/>
      <c r="AD234" s="40"/>
      <c r="AE234" s="40"/>
      <c r="AF234" s="42"/>
      <c r="AG234" s="42"/>
      <c r="AH234" s="40"/>
      <c r="AI234" s="40"/>
      <c r="AJ234" s="42"/>
      <c r="AK234" s="42"/>
      <c r="AL234" s="40"/>
      <c r="AM234" s="40"/>
      <c r="AN234" s="40"/>
      <c r="AO234" s="40"/>
      <c r="AP234" s="40"/>
      <c r="AQ234" s="40"/>
      <c r="AR234" s="39"/>
      <c r="AS234" s="39"/>
      <c r="AT234" s="40"/>
      <c r="AU234" s="40"/>
      <c r="AV234" s="23"/>
    </row>
    <row r="235" spans="1:48" ht="15.75" x14ac:dyDescent="0.25">
      <c r="A235" s="44"/>
      <c r="B235" s="23"/>
      <c r="C235" s="23"/>
      <c r="D235" s="39"/>
      <c r="E235" s="39"/>
      <c r="F235" s="40"/>
      <c r="G235" s="40"/>
      <c r="H235" s="41"/>
      <c r="I235" s="39"/>
      <c r="J235" s="40"/>
      <c r="K235" s="40"/>
      <c r="L235" s="41"/>
      <c r="M235" s="39"/>
      <c r="N235" s="40"/>
      <c r="O235" s="40"/>
      <c r="P235" s="39"/>
      <c r="Q235" s="39"/>
      <c r="R235" s="40"/>
      <c r="S235" s="40"/>
      <c r="T235" s="39"/>
      <c r="U235" s="39"/>
      <c r="V235" s="40"/>
      <c r="W235" s="40"/>
      <c r="X235" s="41"/>
      <c r="Y235" s="41"/>
      <c r="Z235" s="40"/>
      <c r="AA235" s="40"/>
      <c r="AB235" s="41"/>
      <c r="AC235" s="41"/>
      <c r="AD235" s="40"/>
      <c r="AE235" s="40"/>
      <c r="AF235" s="42"/>
      <c r="AG235" s="42"/>
      <c r="AH235" s="40"/>
      <c r="AI235" s="40"/>
      <c r="AJ235" s="42"/>
      <c r="AK235" s="42"/>
      <c r="AL235" s="40"/>
      <c r="AM235" s="40"/>
      <c r="AN235" s="40"/>
      <c r="AO235" s="40"/>
      <c r="AP235" s="40"/>
      <c r="AQ235" s="40"/>
      <c r="AR235" s="39"/>
      <c r="AS235" s="39"/>
      <c r="AT235" s="40"/>
      <c r="AU235" s="40"/>
      <c r="AV235" s="23"/>
    </row>
    <row r="236" spans="1:48" ht="15.75" x14ac:dyDescent="0.25">
      <c r="A236" s="44"/>
      <c r="B236" s="23"/>
      <c r="C236" s="23"/>
      <c r="D236" s="39"/>
      <c r="E236" s="39"/>
      <c r="F236" s="40"/>
      <c r="G236" s="40"/>
      <c r="H236" s="41"/>
      <c r="I236" s="39"/>
      <c r="J236" s="40"/>
      <c r="K236" s="40"/>
      <c r="L236" s="41"/>
      <c r="M236" s="39"/>
      <c r="N236" s="40"/>
      <c r="O236" s="40"/>
      <c r="P236" s="39"/>
      <c r="Q236" s="39"/>
      <c r="R236" s="40"/>
      <c r="S236" s="40"/>
      <c r="T236" s="39"/>
      <c r="U236" s="39"/>
      <c r="V236" s="40"/>
      <c r="W236" s="40"/>
      <c r="X236" s="41"/>
      <c r="Y236" s="41"/>
      <c r="Z236" s="40"/>
      <c r="AA236" s="40"/>
      <c r="AB236" s="41"/>
      <c r="AC236" s="41"/>
      <c r="AD236" s="40"/>
      <c r="AE236" s="40"/>
      <c r="AF236" s="42"/>
      <c r="AG236" s="42"/>
      <c r="AH236" s="40"/>
      <c r="AI236" s="40"/>
      <c r="AJ236" s="42"/>
      <c r="AK236" s="42"/>
      <c r="AL236" s="40"/>
      <c r="AM236" s="40"/>
      <c r="AN236" s="40"/>
      <c r="AO236" s="40"/>
      <c r="AP236" s="40"/>
      <c r="AQ236" s="40"/>
      <c r="AR236" s="39"/>
      <c r="AS236" s="39"/>
      <c r="AT236" s="40"/>
      <c r="AU236" s="40"/>
      <c r="AV236" s="23"/>
    </row>
    <row r="237" spans="1:48" ht="15.75" x14ac:dyDescent="0.25">
      <c r="A237" s="44"/>
      <c r="B237" s="23"/>
      <c r="C237" s="23"/>
      <c r="D237" s="39"/>
      <c r="E237" s="39"/>
      <c r="F237" s="40"/>
      <c r="G237" s="40"/>
      <c r="H237" s="41"/>
      <c r="I237" s="39"/>
      <c r="J237" s="40"/>
      <c r="K237" s="40"/>
      <c r="L237" s="41"/>
      <c r="M237" s="39"/>
      <c r="N237" s="40"/>
      <c r="O237" s="40"/>
      <c r="P237" s="39"/>
      <c r="Q237" s="39"/>
      <c r="R237" s="40"/>
      <c r="S237" s="40"/>
      <c r="T237" s="39"/>
      <c r="U237" s="39"/>
      <c r="V237" s="40"/>
      <c r="W237" s="40"/>
      <c r="X237" s="41"/>
      <c r="Y237" s="41"/>
      <c r="Z237" s="40"/>
      <c r="AA237" s="40"/>
      <c r="AB237" s="41"/>
      <c r="AC237" s="41"/>
      <c r="AD237" s="40"/>
      <c r="AE237" s="40"/>
      <c r="AF237" s="42"/>
      <c r="AG237" s="42"/>
      <c r="AH237" s="40"/>
      <c r="AI237" s="40"/>
      <c r="AJ237" s="42"/>
      <c r="AK237" s="42"/>
      <c r="AL237" s="40"/>
      <c r="AM237" s="40"/>
      <c r="AN237" s="40"/>
      <c r="AO237" s="40"/>
      <c r="AP237" s="40"/>
      <c r="AQ237" s="40"/>
      <c r="AR237" s="39"/>
      <c r="AS237" s="39"/>
      <c r="AT237" s="40"/>
      <c r="AU237" s="40"/>
      <c r="AV237" s="23"/>
    </row>
    <row r="238" spans="1:48" ht="15.75" x14ac:dyDescent="0.25">
      <c r="A238" s="44"/>
      <c r="B238" s="23"/>
      <c r="C238" s="23"/>
      <c r="D238" s="39"/>
      <c r="E238" s="39"/>
      <c r="F238" s="40"/>
      <c r="G238" s="40"/>
      <c r="H238" s="41"/>
      <c r="I238" s="39"/>
      <c r="J238" s="40"/>
      <c r="K238" s="40"/>
      <c r="L238" s="41"/>
      <c r="M238" s="39"/>
      <c r="N238" s="40"/>
      <c r="O238" s="40"/>
      <c r="P238" s="39"/>
      <c r="Q238" s="39"/>
      <c r="R238" s="40"/>
      <c r="S238" s="40"/>
      <c r="T238" s="39"/>
      <c r="U238" s="39"/>
      <c r="V238" s="40"/>
      <c r="W238" s="40"/>
      <c r="X238" s="41"/>
      <c r="Y238" s="41"/>
      <c r="Z238" s="40"/>
      <c r="AA238" s="40"/>
      <c r="AB238" s="41"/>
      <c r="AC238" s="41"/>
      <c r="AD238" s="40"/>
      <c r="AE238" s="40"/>
      <c r="AF238" s="42"/>
      <c r="AG238" s="42"/>
      <c r="AH238" s="40"/>
      <c r="AI238" s="40"/>
      <c r="AJ238" s="42"/>
      <c r="AK238" s="42"/>
      <c r="AL238" s="40"/>
      <c r="AM238" s="40"/>
      <c r="AN238" s="40"/>
      <c r="AO238" s="40"/>
      <c r="AP238" s="40"/>
      <c r="AQ238" s="40"/>
      <c r="AR238" s="39"/>
      <c r="AS238" s="39"/>
      <c r="AT238" s="40"/>
      <c r="AU238" s="40"/>
      <c r="AV238" s="23"/>
    </row>
    <row r="239" spans="1:48" ht="15.75" x14ac:dyDescent="0.25">
      <c r="A239" s="44"/>
      <c r="B239" s="23"/>
      <c r="C239" s="23"/>
      <c r="D239" s="39"/>
      <c r="E239" s="39"/>
      <c r="F239" s="40"/>
      <c r="G239" s="40"/>
      <c r="H239" s="41"/>
      <c r="I239" s="39"/>
      <c r="J239" s="40"/>
      <c r="K239" s="40"/>
      <c r="L239" s="41"/>
      <c r="M239" s="39"/>
      <c r="N239" s="40"/>
      <c r="O239" s="40"/>
      <c r="P239" s="39"/>
      <c r="Q239" s="39"/>
      <c r="R239" s="40"/>
      <c r="S239" s="40"/>
      <c r="T239" s="39"/>
      <c r="U239" s="39"/>
      <c r="V239" s="40"/>
      <c r="W239" s="40"/>
      <c r="X239" s="41"/>
      <c r="Y239" s="41"/>
      <c r="Z239" s="40"/>
      <c r="AA239" s="40"/>
      <c r="AB239" s="41"/>
      <c r="AC239" s="41"/>
      <c r="AD239" s="40"/>
      <c r="AE239" s="40"/>
      <c r="AF239" s="42"/>
      <c r="AG239" s="42"/>
      <c r="AH239" s="40"/>
      <c r="AI239" s="40"/>
      <c r="AJ239" s="42"/>
      <c r="AK239" s="42"/>
      <c r="AL239" s="40"/>
      <c r="AM239" s="40"/>
      <c r="AN239" s="40"/>
      <c r="AO239" s="40"/>
      <c r="AP239" s="40"/>
      <c r="AQ239" s="40"/>
      <c r="AR239" s="39"/>
      <c r="AS239" s="39"/>
      <c r="AT239" s="40"/>
      <c r="AU239" s="40"/>
      <c r="AV239" s="23"/>
    </row>
    <row r="240" spans="1:48" ht="15.75" x14ac:dyDescent="0.25">
      <c r="A240" s="44"/>
      <c r="B240" s="23"/>
      <c r="C240" s="23"/>
      <c r="D240" s="39"/>
      <c r="E240" s="39"/>
      <c r="F240" s="40"/>
      <c r="G240" s="40"/>
      <c r="H240" s="41"/>
      <c r="I240" s="39"/>
      <c r="J240" s="40"/>
      <c r="K240" s="40"/>
      <c r="L240" s="41"/>
      <c r="M240" s="39"/>
      <c r="N240" s="40"/>
      <c r="O240" s="40"/>
      <c r="P240" s="39"/>
      <c r="Q240" s="39"/>
      <c r="R240" s="40"/>
      <c r="S240" s="40"/>
      <c r="T240" s="39"/>
      <c r="U240" s="39"/>
      <c r="V240" s="40"/>
      <c r="W240" s="40"/>
      <c r="X240" s="41"/>
      <c r="Y240" s="41"/>
      <c r="Z240" s="40"/>
      <c r="AA240" s="40"/>
      <c r="AB240" s="41"/>
      <c r="AC240" s="41"/>
      <c r="AD240" s="40"/>
      <c r="AE240" s="40"/>
      <c r="AF240" s="42"/>
      <c r="AG240" s="42"/>
      <c r="AH240" s="40"/>
      <c r="AI240" s="40"/>
      <c r="AJ240" s="42"/>
      <c r="AK240" s="42"/>
      <c r="AL240" s="40"/>
      <c r="AM240" s="40"/>
      <c r="AN240" s="40"/>
      <c r="AO240" s="40"/>
      <c r="AP240" s="40"/>
      <c r="AQ240" s="40"/>
      <c r="AR240" s="39"/>
      <c r="AS240" s="39"/>
      <c r="AT240" s="40"/>
      <c r="AU240" s="40"/>
      <c r="AV240" s="23"/>
    </row>
    <row r="241" spans="1:48" ht="15.75" x14ac:dyDescent="0.25">
      <c r="A241" s="44"/>
      <c r="B241" s="23"/>
      <c r="C241" s="23"/>
      <c r="D241" s="39"/>
      <c r="E241" s="39"/>
      <c r="F241" s="40"/>
      <c r="G241" s="40"/>
      <c r="H241" s="41"/>
      <c r="I241" s="39"/>
      <c r="J241" s="40"/>
      <c r="K241" s="40"/>
      <c r="L241" s="41"/>
      <c r="M241" s="39"/>
      <c r="N241" s="40"/>
      <c r="O241" s="40"/>
      <c r="P241" s="39"/>
      <c r="Q241" s="39"/>
      <c r="R241" s="40"/>
      <c r="S241" s="40"/>
      <c r="T241" s="39"/>
      <c r="U241" s="39"/>
      <c r="V241" s="40"/>
      <c r="W241" s="40"/>
      <c r="X241" s="41"/>
      <c r="Y241" s="41"/>
      <c r="Z241" s="40"/>
      <c r="AA241" s="40"/>
      <c r="AB241" s="41"/>
      <c r="AC241" s="41"/>
      <c r="AD241" s="40"/>
      <c r="AE241" s="40"/>
      <c r="AF241" s="42"/>
      <c r="AG241" s="42"/>
      <c r="AH241" s="40"/>
      <c r="AI241" s="40"/>
      <c r="AJ241" s="42"/>
      <c r="AK241" s="42"/>
      <c r="AL241" s="40"/>
      <c r="AM241" s="40"/>
      <c r="AN241" s="40"/>
      <c r="AO241" s="40"/>
      <c r="AP241" s="40"/>
      <c r="AQ241" s="40"/>
      <c r="AR241" s="39"/>
      <c r="AS241" s="39"/>
      <c r="AT241" s="40"/>
      <c r="AU241" s="40"/>
      <c r="AV241" s="23"/>
    </row>
    <row r="242" spans="1:48" ht="15.75" x14ac:dyDescent="0.25">
      <c r="A242" s="44"/>
      <c r="B242" s="23"/>
      <c r="C242" s="23"/>
      <c r="D242" s="39"/>
      <c r="E242" s="39"/>
      <c r="F242" s="40"/>
      <c r="G242" s="40"/>
      <c r="H242" s="41"/>
      <c r="I242" s="39"/>
      <c r="J242" s="40"/>
      <c r="K242" s="40"/>
      <c r="L242" s="41"/>
      <c r="M242" s="39"/>
      <c r="N242" s="40"/>
      <c r="O242" s="40"/>
      <c r="P242" s="39"/>
      <c r="Q242" s="39"/>
      <c r="R242" s="40"/>
      <c r="S242" s="40"/>
      <c r="T242" s="39"/>
      <c r="U242" s="39"/>
      <c r="V242" s="40"/>
      <c r="W242" s="40"/>
      <c r="X242" s="41"/>
      <c r="Y242" s="41"/>
      <c r="Z242" s="40"/>
      <c r="AA242" s="40"/>
      <c r="AB242" s="41"/>
      <c r="AC242" s="41"/>
      <c r="AD242" s="40"/>
      <c r="AE242" s="40"/>
      <c r="AF242" s="42"/>
      <c r="AG242" s="42"/>
      <c r="AH242" s="40"/>
      <c r="AI242" s="40"/>
      <c r="AJ242" s="42"/>
      <c r="AK242" s="42"/>
      <c r="AL242" s="40"/>
      <c r="AM242" s="40"/>
      <c r="AN242" s="40"/>
      <c r="AO242" s="40"/>
      <c r="AP242" s="40"/>
      <c r="AQ242" s="40"/>
      <c r="AR242" s="39"/>
      <c r="AS242" s="39"/>
      <c r="AT242" s="40"/>
      <c r="AU242" s="40"/>
      <c r="AV242" s="23"/>
    </row>
    <row r="243" spans="1:48" ht="15.75" x14ac:dyDescent="0.25">
      <c r="A243" s="44"/>
      <c r="B243" s="23"/>
      <c r="C243" s="23"/>
      <c r="D243" s="39"/>
      <c r="E243" s="39"/>
      <c r="F243" s="40"/>
      <c r="G243" s="40"/>
      <c r="H243" s="41"/>
      <c r="I243" s="39"/>
      <c r="J243" s="40"/>
      <c r="K243" s="40"/>
      <c r="L243" s="41"/>
      <c r="M243" s="39"/>
      <c r="N243" s="40"/>
      <c r="O243" s="40"/>
      <c r="P243" s="39"/>
      <c r="Q243" s="39"/>
      <c r="R243" s="40"/>
      <c r="S243" s="40"/>
      <c r="T243" s="39"/>
      <c r="U243" s="39"/>
      <c r="V243" s="40"/>
      <c r="W243" s="40"/>
      <c r="X243" s="41"/>
      <c r="Y243" s="41"/>
      <c r="Z243" s="40"/>
      <c r="AA243" s="40"/>
      <c r="AB243" s="41"/>
      <c r="AC243" s="41"/>
      <c r="AD243" s="40"/>
      <c r="AE243" s="40"/>
      <c r="AF243" s="42"/>
      <c r="AG243" s="42"/>
      <c r="AH243" s="40"/>
      <c r="AI243" s="40"/>
      <c r="AJ243" s="42"/>
      <c r="AK243" s="42"/>
      <c r="AL243" s="40"/>
      <c r="AM243" s="40"/>
      <c r="AN243" s="40"/>
      <c r="AO243" s="40"/>
      <c r="AP243" s="40"/>
      <c r="AQ243" s="40"/>
      <c r="AR243" s="39"/>
      <c r="AS243" s="39"/>
      <c r="AT243" s="40"/>
      <c r="AU243" s="40"/>
      <c r="AV243" s="23"/>
    </row>
    <row r="244" spans="1:48" ht="15.75" x14ac:dyDescent="0.25">
      <c r="A244" s="44"/>
      <c r="B244" s="23"/>
      <c r="C244" s="23"/>
      <c r="D244" s="39"/>
      <c r="E244" s="39"/>
      <c r="F244" s="40"/>
      <c r="G244" s="40"/>
      <c r="H244" s="41"/>
      <c r="I244" s="39"/>
      <c r="J244" s="40"/>
      <c r="K244" s="40"/>
      <c r="L244" s="41"/>
      <c r="M244" s="39"/>
      <c r="N244" s="40"/>
      <c r="O244" s="40"/>
      <c r="P244" s="39"/>
      <c r="Q244" s="39"/>
      <c r="R244" s="40"/>
      <c r="S244" s="40"/>
      <c r="T244" s="39"/>
      <c r="U244" s="39"/>
      <c r="V244" s="40"/>
      <c r="W244" s="40"/>
      <c r="X244" s="41"/>
      <c r="Y244" s="41"/>
      <c r="Z244" s="40"/>
      <c r="AA244" s="40"/>
      <c r="AB244" s="41"/>
      <c r="AC244" s="41"/>
      <c r="AD244" s="40"/>
      <c r="AE244" s="40"/>
      <c r="AF244" s="42"/>
      <c r="AG244" s="42"/>
      <c r="AH244" s="40"/>
      <c r="AI244" s="40"/>
      <c r="AJ244" s="42"/>
      <c r="AK244" s="42"/>
      <c r="AL244" s="40"/>
      <c r="AM244" s="40"/>
      <c r="AN244" s="40"/>
      <c r="AO244" s="40"/>
      <c r="AP244" s="40"/>
      <c r="AQ244" s="40"/>
      <c r="AR244" s="39"/>
      <c r="AS244" s="39"/>
      <c r="AT244" s="40"/>
      <c r="AU244" s="40"/>
      <c r="AV244" s="23"/>
    </row>
    <row r="245" spans="1:48" ht="15.75" x14ac:dyDescent="0.25">
      <c r="A245" s="44"/>
      <c r="B245" s="23"/>
      <c r="C245" s="23"/>
      <c r="D245" s="39"/>
      <c r="E245" s="39"/>
      <c r="F245" s="40"/>
      <c r="G245" s="40"/>
      <c r="H245" s="41"/>
      <c r="I245" s="39"/>
      <c r="J245" s="40"/>
      <c r="K245" s="40"/>
      <c r="L245" s="41"/>
      <c r="M245" s="39"/>
      <c r="N245" s="40"/>
      <c r="O245" s="40"/>
      <c r="P245" s="39"/>
      <c r="Q245" s="39"/>
      <c r="R245" s="40"/>
      <c r="S245" s="40"/>
      <c r="T245" s="39"/>
      <c r="U245" s="39"/>
      <c r="V245" s="40"/>
      <c r="W245" s="40"/>
      <c r="X245" s="41"/>
      <c r="Y245" s="41"/>
      <c r="Z245" s="40"/>
      <c r="AA245" s="40"/>
      <c r="AB245" s="41"/>
      <c r="AC245" s="41"/>
      <c r="AD245" s="40"/>
      <c r="AE245" s="40"/>
      <c r="AF245" s="42"/>
      <c r="AG245" s="42"/>
      <c r="AH245" s="40"/>
      <c r="AI245" s="40"/>
      <c r="AJ245" s="42"/>
      <c r="AK245" s="42"/>
      <c r="AL245" s="40"/>
      <c r="AM245" s="40"/>
      <c r="AN245" s="40"/>
      <c r="AO245" s="40"/>
      <c r="AP245" s="40"/>
      <c r="AQ245" s="40"/>
      <c r="AR245" s="39"/>
      <c r="AS245" s="39"/>
      <c r="AT245" s="40"/>
      <c r="AU245" s="40"/>
      <c r="AV245" s="23"/>
    </row>
    <row r="246" spans="1:48" ht="15.75" x14ac:dyDescent="0.25">
      <c r="A246" s="44"/>
      <c r="B246" s="23"/>
      <c r="C246" s="23"/>
      <c r="D246" s="39"/>
      <c r="E246" s="39"/>
      <c r="F246" s="40"/>
      <c r="G246" s="40"/>
      <c r="H246" s="41"/>
      <c r="I246" s="39"/>
      <c r="J246" s="40"/>
      <c r="K246" s="40"/>
      <c r="L246" s="41"/>
      <c r="M246" s="39"/>
      <c r="N246" s="40"/>
      <c r="O246" s="40"/>
      <c r="P246" s="39"/>
      <c r="Q246" s="39"/>
      <c r="R246" s="40"/>
      <c r="S246" s="40"/>
      <c r="T246" s="39"/>
      <c r="U246" s="39"/>
      <c r="V246" s="40"/>
      <c r="W246" s="40"/>
      <c r="X246" s="41"/>
      <c r="Y246" s="41"/>
      <c r="Z246" s="40"/>
      <c r="AA246" s="40"/>
      <c r="AB246" s="41"/>
      <c r="AC246" s="41"/>
      <c r="AD246" s="40"/>
      <c r="AE246" s="40"/>
      <c r="AF246" s="42"/>
      <c r="AG246" s="42"/>
      <c r="AH246" s="40"/>
      <c r="AI246" s="40"/>
      <c r="AJ246" s="42"/>
      <c r="AK246" s="42"/>
      <c r="AL246" s="40"/>
      <c r="AM246" s="40"/>
      <c r="AN246" s="40"/>
      <c r="AO246" s="40"/>
      <c r="AP246" s="40"/>
      <c r="AQ246" s="40"/>
      <c r="AR246" s="39"/>
      <c r="AS246" s="39"/>
      <c r="AT246" s="40"/>
      <c r="AU246" s="40"/>
      <c r="AV246" s="23"/>
    </row>
    <row r="247" spans="1:48" ht="15.75" x14ac:dyDescent="0.25">
      <c r="A247" s="44"/>
      <c r="B247" s="23"/>
      <c r="C247" s="23"/>
      <c r="D247" s="39"/>
      <c r="E247" s="39"/>
      <c r="F247" s="40"/>
      <c r="G247" s="40"/>
      <c r="H247" s="41"/>
      <c r="I247" s="39"/>
      <c r="J247" s="40"/>
      <c r="K247" s="40"/>
      <c r="L247" s="41"/>
      <c r="M247" s="39"/>
      <c r="N247" s="40"/>
      <c r="O247" s="40"/>
      <c r="P247" s="39"/>
      <c r="Q247" s="39"/>
      <c r="R247" s="40"/>
      <c r="S247" s="40"/>
      <c r="T247" s="39"/>
      <c r="U247" s="39"/>
      <c r="V247" s="40"/>
      <c r="W247" s="40"/>
      <c r="X247" s="41"/>
      <c r="Y247" s="41"/>
      <c r="Z247" s="40"/>
      <c r="AA247" s="40"/>
      <c r="AB247" s="41"/>
      <c r="AC247" s="41"/>
      <c r="AD247" s="40"/>
      <c r="AE247" s="40"/>
      <c r="AF247" s="42"/>
      <c r="AG247" s="42"/>
      <c r="AH247" s="40"/>
      <c r="AI247" s="40"/>
      <c r="AJ247" s="42"/>
      <c r="AK247" s="42"/>
      <c r="AL247" s="40"/>
      <c r="AM247" s="40"/>
      <c r="AN247" s="40"/>
      <c r="AO247" s="40"/>
      <c r="AP247" s="40"/>
      <c r="AQ247" s="40"/>
      <c r="AR247" s="39"/>
      <c r="AS247" s="39"/>
      <c r="AT247" s="40"/>
      <c r="AU247" s="40"/>
      <c r="AV247" s="23"/>
    </row>
    <row r="248" spans="1:48" ht="15.75" x14ac:dyDescent="0.25">
      <c r="A248" s="44"/>
      <c r="B248" s="23"/>
      <c r="C248" s="23"/>
      <c r="D248" s="39"/>
      <c r="E248" s="39"/>
      <c r="F248" s="40"/>
      <c r="G248" s="40"/>
      <c r="H248" s="41"/>
      <c r="I248" s="39"/>
      <c r="J248" s="40"/>
      <c r="K248" s="40"/>
      <c r="L248" s="41"/>
      <c r="M248" s="39"/>
      <c r="N248" s="40"/>
      <c r="O248" s="40"/>
      <c r="P248" s="39"/>
      <c r="Q248" s="39"/>
      <c r="R248" s="40"/>
      <c r="S248" s="40"/>
      <c r="T248" s="39"/>
      <c r="U248" s="39"/>
      <c r="V248" s="40"/>
      <c r="W248" s="40"/>
      <c r="X248" s="41"/>
      <c r="Y248" s="41"/>
      <c r="Z248" s="40"/>
      <c r="AA248" s="40"/>
      <c r="AB248" s="41"/>
      <c r="AC248" s="41"/>
      <c r="AD248" s="40"/>
      <c r="AE248" s="40"/>
      <c r="AF248" s="42"/>
      <c r="AG248" s="42"/>
      <c r="AH248" s="40"/>
      <c r="AI248" s="40"/>
      <c r="AJ248" s="42"/>
      <c r="AK248" s="42"/>
      <c r="AL248" s="40"/>
      <c r="AM248" s="40"/>
      <c r="AN248" s="40"/>
      <c r="AO248" s="40"/>
      <c r="AP248" s="40"/>
      <c r="AQ248" s="40"/>
      <c r="AR248" s="39"/>
      <c r="AS248" s="39"/>
      <c r="AT248" s="40"/>
      <c r="AU248" s="40"/>
      <c r="AV248" s="23"/>
    </row>
    <row r="249" spans="1:48" ht="15.75" x14ac:dyDescent="0.25">
      <c r="A249" s="44"/>
      <c r="B249" s="23"/>
      <c r="C249" s="23"/>
      <c r="D249" s="39"/>
      <c r="E249" s="39"/>
      <c r="F249" s="40"/>
      <c r="G249" s="40"/>
      <c r="H249" s="41"/>
      <c r="I249" s="39"/>
      <c r="J249" s="40"/>
      <c r="K249" s="40"/>
      <c r="L249" s="41"/>
      <c r="M249" s="39"/>
      <c r="N249" s="40"/>
      <c r="O249" s="40"/>
      <c r="P249" s="39"/>
      <c r="Q249" s="39"/>
      <c r="R249" s="40"/>
      <c r="S249" s="40"/>
      <c r="T249" s="39"/>
      <c r="U249" s="39"/>
      <c r="V249" s="40"/>
      <c r="W249" s="40"/>
      <c r="X249" s="41"/>
      <c r="Y249" s="41"/>
      <c r="Z249" s="40"/>
      <c r="AA249" s="40"/>
      <c r="AB249" s="41"/>
      <c r="AC249" s="41"/>
      <c r="AD249" s="40"/>
      <c r="AE249" s="40"/>
      <c r="AF249" s="42"/>
      <c r="AG249" s="42"/>
      <c r="AH249" s="40"/>
      <c r="AI249" s="40"/>
      <c r="AJ249" s="42"/>
      <c r="AK249" s="42"/>
      <c r="AL249" s="40"/>
      <c r="AM249" s="40"/>
      <c r="AN249" s="40"/>
      <c r="AO249" s="40"/>
      <c r="AP249" s="40"/>
      <c r="AQ249" s="40"/>
      <c r="AR249" s="39"/>
      <c r="AS249" s="39"/>
      <c r="AT249" s="40"/>
      <c r="AU249" s="40"/>
      <c r="AV249" s="23"/>
    </row>
    <row r="250" spans="1:48" ht="15.75" x14ac:dyDescent="0.25">
      <c r="A250" s="44"/>
      <c r="B250" s="23"/>
      <c r="C250" s="23"/>
      <c r="D250" s="39"/>
      <c r="E250" s="39"/>
      <c r="F250" s="40"/>
      <c r="G250" s="40"/>
      <c r="H250" s="41"/>
      <c r="I250" s="39"/>
      <c r="J250" s="40"/>
      <c r="K250" s="40"/>
      <c r="L250" s="41"/>
      <c r="M250" s="39"/>
      <c r="N250" s="40"/>
      <c r="O250" s="40"/>
      <c r="P250" s="39"/>
      <c r="Q250" s="39"/>
      <c r="R250" s="40"/>
      <c r="S250" s="40"/>
      <c r="T250" s="39"/>
      <c r="U250" s="39"/>
      <c r="V250" s="40"/>
      <c r="W250" s="40"/>
      <c r="X250" s="41"/>
      <c r="Y250" s="41"/>
      <c r="Z250" s="40"/>
      <c r="AA250" s="40"/>
      <c r="AB250" s="41"/>
      <c r="AC250" s="41"/>
      <c r="AD250" s="40"/>
      <c r="AE250" s="40"/>
      <c r="AF250" s="42"/>
      <c r="AG250" s="42"/>
      <c r="AH250" s="40"/>
      <c r="AI250" s="40"/>
      <c r="AJ250" s="42"/>
      <c r="AK250" s="42"/>
      <c r="AL250" s="40"/>
      <c r="AM250" s="40"/>
      <c r="AN250" s="40"/>
      <c r="AO250" s="40"/>
      <c r="AP250" s="40"/>
      <c r="AQ250" s="40"/>
      <c r="AR250" s="39"/>
      <c r="AS250" s="39"/>
      <c r="AT250" s="40"/>
      <c r="AU250" s="40"/>
      <c r="AV250" s="23"/>
    </row>
    <row r="251" spans="1:48" ht="15.75" x14ac:dyDescent="0.25">
      <c r="A251" s="44"/>
      <c r="B251" s="23"/>
      <c r="C251" s="23"/>
      <c r="D251" s="39"/>
      <c r="E251" s="39"/>
      <c r="F251" s="40"/>
      <c r="G251" s="40"/>
      <c r="H251" s="41"/>
      <c r="I251" s="39"/>
      <c r="J251" s="40"/>
      <c r="K251" s="40"/>
      <c r="L251" s="41"/>
      <c r="M251" s="39"/>
      <c r="N251" s="40"/>
      <c r="O251" s="40"/>
      <c r="P251" s="39"/>
      <c r="Q251" s="39"/>
      <c r="R251" s="40"/>
      <c r="S251" s="40"/>
      <c r="T251" s="39"/>
      <c r="U251" s="39"/>
      <c r="V251" s="40"/>
      <c r="W251" s="40"/>
      <c r="X251" s="41"/>
      <c r="Y251" s="41"/>
      <c r="Z251" s="40"/>
      <c r="AA251" s="40"/>
      <c r="AB251" s="41"/>
      <c r="AC251" s="41"/>
      <c r="AD251" s="40"/>
      <c r="AE251" s="40"/>
      <c r="AF251" s="42"/>
      <c r="AG251" s="42"/>
      <c r="AH251" s="40"/>
      <c r="AI251" s="40"/>
      <c r="AJ251" s="42"/>
      <c r="AK251" s="42"/>
      <c r="AL251" s="40"/>
      <c r="AM251" s="40"/>
      <c r="AN251" s="40"/>
      <c r="AO251" s="40"/>
      <c r="AP251" s="40"/>
      <c r="AQ251" s="40"/>
      <c r="AR251" s="39"/>
      <c r="AS251" s="39"/>
      <c r="AT251" s="40"/>
      <c r="AU251" s="40"/>
      <c r="AV251" s="23"/>
    </row>
    <row r="252" spans="1:48" ht="15.75" x14ac:dyDescent="0.25">
      <c r="A252" s="44"/>
      <c r="B252" s="23"/>
      <c r="C252" s="23"/>
      <c r="D252" s="39"/>
      <c r="E252" s="39"/>
      <c r="F252" s="40"/>
      <c r="G252" s="40"/>
      <c r="H252" s="41"/>
      <c r="I252" s="39"/>
      <c r="J252" s="40"/>
      <c r="K252" s="40"/>
      <c r="L252" s="41"/>
      <c r="M252" s="39"/>
      <c r="N252" s="40"/>
      <c r="O252" s="40"/>
      <c r="P252" s="39"/>
      <c r="Q252" s="39"/>
      <c r="R252" s="40"/>
      <c r="S252" s="40"/>
      <c r="T252" s="39"/>
      <c r="U252" s="39"/>
      <c r="V252" s="40"/>
      <c r="W252" s="40"/>
      <c r="X252" s="41"/>
      <c r="Y252" s="41"/>
      <c r="Z252" s="40"/>
      <c r="AA252" s="40"/>
      <c r="AB252" s="41"/>
      <c r="AC252" s="41"/>
      <c r="AD252" s="40"/>
      <c r="AE252" s="40"/>
      <c r="AF252" s="42"/>
      <c r="AG252" s="42"/>
      <c r="AH252" s="40"/>
      <c r="AI252" s="40"/>
      <c r="AJ252" s="42"/>
      <c r="AK252" s="42"/>
      <c r="AL252" s="40"/>
      <c r="AM252" s="40"/>
      <c r="AN252" s="40"/>
      <c r="AO252" s="40"/>
      <c r="AP252" s="40"/>
      <c r="AQ252" s="40"/>
      <c r="AR252" s="39"/>
      <c r="AS252" s="39"/>
      <c r="AT252" s="40"/>
      <c r="AU252" s="40"/>
      <c r="AV252" s="23"/>
    </row>
    <row r="253" spans="1:48" ht="15.75" x14ac:dyDescent="0.25">
      <c r="A253" s="44"/>
      <c r="B253" s="23"/>
      <c r="C253" s="23"/>
      <c r="D253" s="39"/>
      <c r="E253" s="39"/>
      <c r="F253" s="40"/>
      <c r="G253" s="40"/>
      <c r="H253" s="41"/>
      <c r="I253" s="39"/>
      <c r="J253" s="40"/>
      <c r="K253" s="40"/>
      <c r="L253" s="41"/>
      <c r="M253" s="39"/>
      <c r="N253" s="40"/>
      <c r="O253" s="40"/>
      <c r="P253" s="39"/>
      <c r="Q253" s="39"/>
      <c r="R253" s="40"/>
      <c r="S253" s="40"/>
      <c r="T253" s="39"/>
      <c r="U253" s="39"/>
      <c r="V253" s="40"/>
      <c r="W253" s="40"/>
      <c r="X253" s="41"/>
      <c r="Y253" s="41"/>
      <c r="Z253" s="40"/>
      <c r="AA253" s="40"/>
      <c r="AB253" s="41"/>
      <c r="AC253" s="41"/>
      <c r="AD253" s="40"/>
      <c r="AE253" s="40"/>
      <c r="AF253" s="42"/>
      <c r="AG253" s="42"/>
      <c r="AH253" s="40"/>
      <c r="AI253" s="40"/>
      <c r="AJ253" s="42"/>
      <c r="AK253" s="42"/>
      <c r="AL253" s="40"/>
      <c r="AM253" s="40"/>
      <c r="AN253" s="40"/>
      <c r="AO253" s="40"/>
      <c r="AP253" s="40"/>
      <c r="AQ253" s="40"/>
      <c r="AR253" s="39"/>
      <c r="AS253" s="39"/>
      <c r="AT253" s="40"/>
      <c r="AU253" s="40"/>
      <c r="AV253" s="23"/>
    </row>
    <row r="254" spans="1:48" ht="15.75" x14ac:dyDescent="0.25">
      <c r="A254" s="44"/>
      <c r="B254" s="23"/>
      <c r="C254" s="23"/>
      <c r="D254" s="39"/>
      <c r="E254" s="39"/>
      <c r="F254" s="40"/>
      <c r="G254" s="40"/>
      <c r="H254" s="41"/>
      <c r="I254" s="39"/>
      <c r="J254" s="40"/>
      <c r="K254" s="40"/>
      <c r="L254" s="41"/>
      <c r="M254" s="39"/>
      <c r="N254" s="40"/>
      <c r="O254" s="40"/>
      <c r="P254" s="39"/>
      <c r="Q254" s="39"/>
      <c r="R254" s="40"/>
      <c r="S254" s="40"/>
      <c r="T254" s="39"/>
      <c r="U254" s="39"/>
      <c r="V254" s="40"/>
      <c r="W254" s="40"/>
      <c r="X254" s="41"/>
      <c r="Y254" s="41"/>
      <c r="Z254" s="40"/>
      <c r="AA254" s="40"/>
      <c r="AB254" s="41"/>
      <c r="AC254" s="41"/>
      <c r="AD254" s="40"/>
      <c r="AE254" s="40"/>
      <c r="AF254" s="42"/>
      <c r="AG254" s="42"/>
      <c r="AH254" s="40"/>
      <c r="AI254" s="40"/>
      <c r="AJ254" s="42"/>
      <c r="AK254" s="42"/>
      <c r="AL254" s="40"/>
      <c r="AM254" s="40"/>
      <c r="AN254" s="40"/>
      <c r="AO254" s="40"/>
      <c r="AP254" s="40"/>
      <c r="AQ254" s="40"/>
      <c r="AR254" s="39"/>
      <c r="AS254" s="39"/>
      <c r="AT254" s="40"/>
      <c r="AU254" s="40"/>
      <c r="AV254" s="23"/>
    </row>
    <row r="255" spans="1:48" ht="15.75" x14ac:dyDescent="0.25">
      <c r="A255" s="44"/>
      <c r="B255" s="23"/>
      <c r="C255" s="23"/>
      <c r="D255" s="39"/>
      <c r="E255" s="39"/>
      <c r="F255" s="40"/>
      <c r="G255" s="40"/>
      <c r="H255" s="41"/>
      <c r="I255" s="39"/>
      <c r="J255" s="40"/>
      <c r="K255" s="40"/>
      <c r="L255" s="41"/>
      <c r="M255" s="39"/>
      <c r="N255" s="40"/>
      <c r="O255" s="40"/>
      <c r="P255" s="39"/>
      <c r="Q255" s="39"/>
      <c r="R255" s="40"/>
      <c r="S255" s="40"/>
      <c r="T255" s="39"/>
      <c r="U255" s="39"/>
      <c r="V255" s="40"/>
      <c r="W255" s="40"/>
      <c r="X255" s="41"/>
      <c r="Y255" s="41"/>
      <c r="Z255" s="40"/>
      <c r="AA255" s="40"/>
      <c r="AB255" s="41"/>
      <c r="AC255" s="41"/>
      <c r="AD255" s="40"/>
      <c r="AE255" s="40"/>
      <c r="AF255" s="42"/>
      <c r="AG255" s="42"/>
      <c r="AH255" s="40"/>
      <c r="AI255" s="40"/>
      <c r="AJ255" s="42"/>
      <c r="AK255" s="42"/>
      <c r="AL255" s="40"/>
      <c r="AM255" s="40"/>
      <c r="AN255" s="40"/>
      <c r="AO255" s="40"/>
      <c r="AP255" s="40"/>
      <c r="AQ255" s="40"/>
      <c r="AR255" s="39"/>
      <c r="AS255" s="39"/>
      <c r="AT255" s="40"/>
      <c r="AU255" s="40"/>
      <c r="AV255" s="23"/>
    </row>
    <row r="256" spans="1:48" ht="15.75" x14ac:dyDescent="0.25">
      <c r="A256" s="44"/>
      <c r="B256" s="23"/>
      <c r="C256" s="23"/>
      <c r="D256" s="39"/>
      <c r="E256" s="39"/>
      <c r="F256" s="40"/>
      <c r="G256" s="40"/>
      <c r="H256" s="41"/>
      <c r="I256" s="39"/>
      <c r="J256" s="40"/>
      <c r="K256" s="40"/>
      <c r="L256" s="41"/>
      <c r="M256" s="39"/>
      <c r="N256" s="40"/>
      <c r="O256" s="40"/>
      <c r="P256" s="39"/>
      <c r="Q256" s="39"/>
      <c r="R256" s="40"/>
      <c r="S256" s="40"/>
      <c r="T256" s="39"/>
      <c r="U256" s="39"/>
      <c r="V256" s="40"/>
      <c r="W256" s="40"/>
      <c r="X256" s="41"/>
      <c r="Y256" s="41"/>
      <c r="Z256" s="40"/>
      <c r="AA256" s="40"/>
      <c r="AB256" s="41"/>
      <c r="AC256" s="41"/>
      <c r="AD256" s="40"/>
      <c r="AE256" s="40"/>
      <c r="AF256" s="42"/>
      <c r="AG256" s="42"/>
      <c r="AH256" s="40"/>
      <c r="AI256" s="40"/>
      <c r="AJ256" s="42"/>
      <c r="AK256" s="42"/>
      <c r="AL256" s="40"/>
      <c r="AM256" s="40"/>
      <c r="AN256" s="40"/>
      <c r="AO256" s="40"/>
      <c r="AP256" s="40"/>
      <c r="AQ256" s="40"/>
      <c r="AR256" s="39"/>
      <c r="AS256" s="39"/>
      <c r="AT256" s="40"/>
      <c r="AU256" s="40"/>
      <c r="AV256" s="23"/>
    </row>
    <row r="257" spans="1:48" ht="15.75" x14ac:dyDescent="0.25">
      <c r="A257" s="44"/>
      <c r="B257" s="23"/>
      <c r="C257" s="23"/>
      <c r="D257" s="39"/>
      <c r="E257" s="39"/>
      <c r="F257" s="40"/>
      <c r="G257" s="40"/>
      <c r="H257" s="41"/>
      <c r="I257" s="39"/>
      <c r="J257" s="40"/>
      <c r="K257" s="40"/>
      <c r="L257" s="41"/>
      <c r="M257" s="39"/>
      <c r="N257" s="40"/>
      <c r="O257" s="40"/>
      <c r="P257" s="39"/>
      <c r="Q257" s="39"/>
      <c r="R257" s="40"/>
      <c r="S257" s="40"/>
      <c r="T257" s="39"/>
      <c r="U257" s="39"/>
      <c r="V257" s="40"/>
      <c r="W257" s="40"/>
      <c r="X257" s="41"/>
      <c r="Y257" s="41"/>
      <c r="Z257" s="40"/>
      <c r="AA257" s="40"/>
      <c r="AB257" s="41"/>
      <c r="AC257" s="41"/>
      <c r="AD257" s="40"/>
      <c r="AE257" s="40"/>
      <c r="AF257" s="42"/>
      <c r="AG257" s="42"/>
      <c r="AH257" s="40"/>
      <c r="AI257" s="40"/>
      <c r="AJ257" s="42"/>
      <c r="AK257" s="42"/>
      <c r="AL257" s="40"/>
      <c r="AM257" s="40"/>
      <c r="AN257" s="40"/>
      <c r="AO257" s="40"/>
      <c r="AP257" s="40"/>
      <c r="AQ257" s="40"/>
      <c r="AR257" s="39"/>
      <c r="AS257" s="39"/>
      <c r="AT257" s="40"/>
      <c r="AU257" s="40"/>
      <c r="AV257" s="23"/>
    </row>
    <row r="258" spans="1:48" ht="15.75" x14ac:dyDescent="0.25">
      <c r="A258" s="44"/>
      <c r="B258" s="23"/>
      <c r="C258" s="23"/>
      <c r="D258" s="39"/>
      <c r="E258" s="39"/>
      <c r="F258" s="40"/>
      <c r="G258" s="40"/>
      <c r="H258" s="41"/>
      <c r="I258" s="39"/>
      <c r="J258" s="40"/>
      <c r="K258" s="40"/>
      <c r="L258" s="41"/>
      <c r="M258" s="39"/>
      <c r="N258" s="40"/>
      <c r="O258" s="40"/>
      <c r="P258" s="39"/>
      <c r="Q258" s="39"/>
      <c r="R258" s="40"/>
      <c r="S258" s="40"/>
      <c r="T258" s="39"/>
      <c r="U258" s="39"/>
      <c r="V258" s="40"/>
      <c r="W258" s="40"/>
      <c r="X258" s="41"/>
      <c r="Y258" s="41"/>
      <c r="Z258" s="40"/>
      <c r="AA258" s="40"/>
      <c r="AB258" s="41"/>
      <c r="AC258" s="41"/>
      <c r="AD258" s="40"/>
      <c r="AE258" s="40"/>
      <c r="AF258" s="42"/>
      <c r="AG258" s="42"/>
      <c r="AH258" s="40"/>
      <c r="AI258" s="40"/>
      <c r="AJ258" s="42"/>
      <c r="AK258" s="42"/>
      <c r="AL258" s="40"/>
      <c r="AM258" s="40"/>
      <c r="AN258" s="40"/>
      <c r="AO258" s="40"/>
      <c r="AP258" s="40"/>
      <c r="AQ258" s="40"/>
      <c r="AR258" s="39"/>
      <c r="AS258" s="39"/>
      <c r="AT258" s="40"/>
      <c r="AU258" s="40"/>
      <c r="AV258" s="23"/>
    </row>
    <row r="259" spans="1:48" ht="15.75" x14ac:dyDescent="0.25">
      <c r="A259" s="44"/>
      <c r="B259" s="23"/>
      <c r="C259" s="23"/>
      <c r="D259" s="39"/>
      <c r="E259" s="39"/>
      <c r="F259" s="40"/>
      <c r="G259" s="40"/>
      <c r="H259" s="41"/>
      <c r="I259" s="39"/>
      <c r="J259" s="40"/>
      <c r="K259" s="40"/>
      <c r="L259" s="41"/>
      <c r="M259" s="39"/>
      <c r="N259" s="40"/>
      <c r="O259" s="40"/>
      <c r="P259" s="39"/>
      <c r="Q259" s="39"/>
      <c r="R259" s="40"/>
      <c r="S259" s="40"/>
      <c r="T259" s="39"/>
      <c r="U259" s="39"/>
      <c r="V259" s="40"/>
      <c r="W259" s="40"/>
      <c r="X259" s="41"/>
      <c r="Y259" s="41"/>
      <c r="Z259" s="40"/>
      <c r="AA259" s="40"/>
      <c r="AB259" s="41"/>
      <c r="AC259" s="41"/>
      <c r="AD259" s="40"/>
      <c r="AE259" s="40"/>
      <c r="AF259" s="42"/>
      <c r="AG259" s="42"/>
      <c r="AH259" s="40"/>
      <c r="AI259" s="40"/>
      <c r="AJ259" s="42"/>
      <c r="AK259" s="42"/>
      <c r="AL259" s="40"/>
      <c r="AM259" s="40"/>
      <c r="AN259" s="40"/>
      <c r="AO259" s="40"/>
      <c r="AP259" s="40"/>
      <c r="AQ259" s="40"/>
      <c r="AR259" s="39"/>
      <c r="AS259" s="39"/>
      <c r="AT259" s="40"/>
      <c r="AU259" s="40"/>
      <c r="AV259" s="23"/>
    </row>
    <row r="260" spans="1:48" ht="15.75" x14ac:dyDescent="0.25">
      <c r="A260" s="44"/>
      <c r="B260" s="23"/>
      <c r="C260" s="23"/>
      <c r="D260" s="39"/>
      <c r="E260" s="39"/>
      <c r="F260" s="40"/>
      <c r="G260" s="40"/>
      <c r="H260" s="41"/>
      <c r="I260" s="39"/>
      <c r="J260" s="40"/>
      <c r="K260" s="40"/>
      <c r="L260" s="41"/>
      <c r="M260" s="39"/>
      <c r="N260" s="40"/>
      <c r="O260" s="40"/>
      <c r="P260" s="39"/>
      <c r="Q260" s="39"/>
      <c r="R260" s="40"/>
      <c r="S260" s="40"/>
      <c r="T260" s="39"/>
      <c r="U260" s="39"/>
      <c r="V260" s="40"/>
      <c r="W260" s="40"/>
      <c r="X260" s="41"/>
      <c r="Y260" s="41"/>
      <c r="Z260" s="40"/>
      <c r="AA260" s="40"/>
      <c r="AB260" s="41"/>
      <c r="AC260" s="41"/>
      <c r="AD260" s="40"/>
      <c r="AE260" s="40"/>
      <c r="AF260" s="42"/>
      <c r="AG260" s="42"/>
      <c r="AH260" s="40"/>
      <c r="AI260" s="40"/>
      <c r="AJ260" s="42"/>
      <c r="AK260" s="42"/>
      <c r="AL260" s="40"/>
      <c r="AM260" s="40"/>
      <c r="AN260" s="40"/>
      <c r="AO260" s="40"/>
      <c r="AP260" s="40"/>
      <c r="AQ260" s="40"/>
      <c r="AR260" s="39"/>
      <c r="AS260" s="39"/>
      <c r="AT260" s="40"/>
      <c r="AU260" s="40"/>
      <c r="AV260" s="23"/>
    </row>
    <row r="261" spans="1:48" ht="15.75" x14ac:dyDescent="0.25">
      <c r="A261" s="44"/>
      <c r="B261" s="23"/>
      <c r="C261" s="23"/>
      <c r="D261" s="39"/>
      <c r="E261" s="39"/>
      <c r="F261" s="40"/>
      <c r="G261" s="40"/>
      <c r="H261" s="41"/>
      <c r="I261" s="39"/>
      <c r="J261" s="40"/>
      <c r="K261" s="40"/>
      <c r="L261" s="41"/>
      <c r="M261" s="39"/>
      <c r="N261" s="40"/>
      <c r="O261" s="40"/>
      <c r="P261" s="39"/>
      <c r="Q261" s="39"/>
      <c r="R261" s="40"/>
      <c r="S261" s="40"/>
      <c r="T261" s="39"/>
      <c r="U261" s="39"/>
      <c r="V261" s="40"/>
      <c r="W261" s="40"/>
      <c r="X261" s="41"/>
      <c r="Y261" s="41"/>
      <c r="Z261" s="40"/>
      <c r="AA261" s="40"/>
      <c r="AB261" s="41"/>
      <c r="AC261" s="41"/>
      <c r="AD261" s="40"/>
      <c r="AE261" s="40"/>
      <c r="AF261" s="42"/>
      <c r="AG261" s="42"/>
      <c r="AH261" s="40"/>
      <c r="AI261" s="40"/>
      <c r="AJ261" s="42"/>
      <c r="AK261" s="42"/>
      <c r="AL261" s="40"/>
      <c r="AM261" s="40"/>
      <c r="AN261" s="40"/>
      <c r="AO261" s="40"/>
      <c r="AP261" s="40"/>
      <c r="AQ261" s="40"/>
      <c r="AR261" s="39"/>
      <c r="AS261" s="39"/>
      <c r="AT261" s="40"/>
      <c r="AU261" s="40"/>
      <c r="AV261" s="23"/>
    </row>
    <row r="262" spans="1:48" ht="15.75" x14ac:dyDescent="0.25">
      <c r="A262" s="44"/>
      <c r="B262" s="23"/>
      <c r="C262" s="23"/>
      <c r="D262" s="39"/>
      <c r="E262" s="39"/>
      <c r="F262" s="40"/>
      <c r="G262" s="40"/>
      <c r="H262" s="41"/>
      <c r="I262" s="39"/>
      <c r="J262" s="40"/>
      <c r="K262" s="40"/>
      <c r="L262" s="41"/>
      <c r="M262" s="39"/>
      <c r="N262" s="40"/>
      <c r="O262" s="40"/>
      <c r="P262" s="39"/>
      <c r="Q262" s="39"/>
      <c r="R262" s="40"/>
      <c r="S262" s="40"/>
      <c r="T262" s="39"/>
      <c r="U262" s="39"/>
      <c r="V262" s="40"/>
      <c r="W262" s="40"/>
      <c r="X262" s="41"/>
      <c r="Y262" s="41"/>
      <c r="Z262" s="40"/>
      <c r="AA262" s="40"/>
      <c r="AB262" s="41"/>
      <c r="AC262" s="41"/>
      <c r="AD262" s="40"/>
      <c r="AE262" s="40"/>
      <c r="AF262" s="42"/>
      <c r="AG262" s="42"/>
      <c r="AH262" s="40"/>
      <c r="AI262" s="40"/>
      <c r="AJ262" s="42"/>
      <c r="AK262" s="42"/>
      <c r="AL262" s="40"/>
      <c r="AM262" s="40"/>
      <c r="AN262" s="40"/>
      <c r="AO262" s="40"/>
      <c r="AP262" s="40"/>
      <c r="AQ262" s="40"/>
      <c r="AR262" s="39"/>
      <c r="AS262" s="39"/>
      <c r="AT262" s="40"/>
      <c r="AU262" s="40"/>
      <c r="AV262" s="23"/>
    </row>
    <row r="263" spans="1:48" ht="15.75" x14ac:dyDescent="0.25">
      <c r="A263" s="44"/>
      <c r="B263" s="23"/>
      <c r="C263" s="23"/>
      <c r="D263" s="39"/>
      <c r="E263" s="39"/>
      <c r="F263" s="40"/>
      <c r="G263" s="40"/>
      <c r="H263" s="41"/>
      <c r="I263" s="39"/>
      <c r="J263" s="40"/>
      <c r="K263" s="40"/>
      <c r="L263" s="41"/>
      <c r="M263" s="39"/>
      <c r="N263" s="40"/>
      <c r="O263" s="40"/>
      <c r="P263" s="39"/>
      <c r="Q263" s="39"/>
      <c r="R263" s="40"/>
      <c r="S263" s="40"/>
      <c r="T263" s="39"/>
      <c r="U263" s="39"/>
      <c r="V263" s="40"/>
      <c r="W263" s="40"/>
      <c r="X263" s="41"/>
      <c r="Y263" s="41"/>
      <c r="Z263" s="40"/>
      <c r="AA263" s="40"/>
      <c r="AB263" s="41"/>
      <c r="AC263" s="41"/>
      <c r="AD263" s="40"/>
      <c r="AE263" s="40"/>
      <c r="AF263" s="42"/>
      <c r="AG263" s="42"/>
      <c r="AH263" s="40"/>
      <c r="AI263" s="40"/>
      <c r="AJ263" s="42"/>
      <c r="AK263" s="42"/>
      <c r="AL263" s="40"/>
      <c r="AM263" s="40"/>
      <c r="AN263" s="40"/>
      <c r="AO263" s="40"/>
      <c r="AP263" s="40"/>
      <c r="AQ263" s="40"/>
      <c r="AR263" s="39"/>
      <c r="AS263" s="39"/>
      <c r="AT263" s="40"/>
      <c r="AU263" s="40"/>
      <c r="AV263" s="23"/>
    </row>
    <row r="264" spans="1:48" ht="15.75" x14ac:dyDescent="0.25">
      <c r="A264" s="44"/>
      <c r="B264" s="23"/>
      <c r="C264" s="23"/>
      <c r="D264" s="39"/>
      <c r="E264" s="39"/>
      <c r="F264" s="40"/>
      <c r="G264" s="40"/>
      <c r="H264" s="41"/>
      <c r="I264" s="39"/>
      <c r="J264" s="40"/>
      <c r="K264" s="40"/>
      <c r="L264" s="41"/>
      <c r="M264" s="39"/>
      <c r="N264" s="40"/>
      <c r="O264" s="40"/>
      <c r="P264" s="39"/>
      <c r="Q264" s="39"/>
      <c r="R264" s="40"/>
      <c r="S264" s="40"/>
      <c r="T264" s="39"/>
      <c r="U264" s="39"/>
      <c r="V264" s="40"/>
      <c r="W264" s="40"/>
      <c r="X264" s="41"/>
      <c r="Y264" s="41"/>
      <c r="Z264" s="40"/>
      <c r="AA264" s="40"/>
      <c r="AB264" s="41"/>
      <c r="AC264" s="41"/>
      <c r="AD264" s="40"/>
      <c r="AE264" s="40"/>
      <c r="AF264" s="42"/>
      <c r="AG264" s="42"/>
      <c r="AH264" s="40"/>
      <c r="AI264" s="40"/>
      <c r="AJ264" s="42"/>
      <c r="AK264" s="42"/>
      <c r="AL264" s="40"/>
      <c r="AM264" s="40"/>
      <c r="AN264" s="40"/>
      <c r="AO264" s="40"/>
      <c r="AP264" s="40"/>
      <c r="AQ264" s="40"/>
      <c r="AR264" s="39"/>
      <c r="AS264" s="39"/>
      <c r="AT264" s="40"/>
      <c r="AU264" s="40"/>
      <c r="AV264" s="23"/>
    </row>
    <row r="265" spans="1:48" ht="15.75" x14ac:dyDescent="0.25">
      <c r="A265" s="44"/>
      <c r="B265" s="23"/>
      <c r="C265" s="23"/>
      <c r="D265" s="39"/>
      <c r="E265" s="39"/>
      <c r="F265" s="40"/>
      <c r="G265" s="40"/>
      <c r="H265" s="41"/>
      <c r="I265" s="39"/>
      <c r="J265" s="40"/>
      <c r="K265" s="40"/>
      <c r="L265" s="41"/>
      <c r="M265" s="39"/>
      <c r="N265" s="40"/>
      <c r="O265" s="40"/>
      <c r="P265" s="39"/>
      <c r="Q265" s="39"/>
      <c r="R265" s="40"/>
      <c r="S265" s="40"/>
      <c r="T265" s="39"/>
      <c r="U265" s="39"/>
      <c r="V265" s="40"/>
      <c r="W265" s="40"/>
      <c r="X265" s="41"/>
      <c r="Y265" s="41"/>
      <c r="Z265" s="40"/>
      <c r="AA265" s="40"/>
      <c r="AB265" s="41"/>
      <c r="AC265" s="41"/>
      <c r="AD265" s="40"/>
      <c r="AE265" s="40"/>
      <c r="AF265" s="42"/>
      <c r="AG265" s="42"/>
      <c r="AH265" s="40"/>
      <c r="AI265" s="40"/>
      <c r="AJ265" s="42"/>
      <c r="AK265" s="42"/>
      <c r="AL265" s="40"/>
      <c r="AM265" s="40"/>
      <c r="AN265" s="40"/>
      <c r="AO265" s="40"/>
      <c r="AP265" s="40"/>
      <c r="AQ265" s="40"/>
      <c r="AR265" s="39"/>
      <c r="AS265" s="39"/>
      <c r="AT265" s="40"/>
      <c r="AU265" s="40"/>
      <c r="AV265" s="23"/>
    </row>
    <row r="266" spans="1:48" ht="15.75" x14ac:dyDescent="0.25">
      <c r="A266" s="44"/>
      <c r="B266" s="23"/>
      <c r="C266" s="23"/>
      <c r="D266" s="39"/>
      <c r="E266" s="39"/>
      <c r="F266" s="40"/>
      <c r="G266" s="40"/>
      <c r="H266" s="41"/>
      <c r="I266" s="39"/>
      <c r="J266" s="40"/>
      <c r="K266" s="40"/>
      <c r="L266" s="41"/>
      <c r="M266" s="39"/>
      <c r="N266" s="40"/>
      <c r="O266" s="40"/>
      <c r="P266" s="39"/>
      <c r="Q266" s="39"/>
      <c r="R266" s="40"/>
      <c r="S266" s="40"/>
      <c r="T266" s="39"/>
      <c r="U266" s="39"/>
      <c r="V266" s="40"/>
      <c r="W266" s="40"/>
      <c r="X266" s="41"/>
      <c r="Y266" s="41"/>
      <c r="Z266" s="40"/>
      <c r="AA266" s="40"/>
      <c r="AB266" s="41"/>
      <c r="AC266" s="41"/>
      <c r="AD266" s="40"/>
      <c r="AE266" s="40"/>
      <c r="AF266" s="42"/>
      <c r="AG266" s="42"/>
      <c r="AH266" s="40"/>
      <c r="AI266" s="40"/>
      <c r="AJ266" s="42"/>
      <c r="AK266" s="42"/>
      <c r="AL266" s="40"/>
      <c r="AM266" s="40"/>
      <c r="AN266" s="40"/>
      <c r="AO266" s="40"/>
      <c r="AP266" s="40"/>
      <c r="AQ266" s="40"/>
      <c r="AR266" s="39"/>
      <c r="AS266" s="39"/>
      <c r="AT266" s="40"/>
      <c r="AU266" s="40"/>
      <c r="AV266" s="23"/>
    </row>
    <row r="267" spans="1:48" ht="15.75" x14ac:dyDescent="0.25">
      <c r="A267" s="44"/>
      <c r="B267" s="23"/>
      <c r="C267" s="23"/>
      <c r="D267" s="39"/>
      <c r="E267" s="39"/>
      <c r="F267" s="40"/>
      <c r="G267" s="40"/>
      <c r="H267" s="41"/>
      <c r="I267" s="39"/>
      <c r="J267" s="40"/>
      <c r="K267" s="40"/>
      <c r="L267" s="41"/>
      <c r="M267" s="39"/>
      <c r="N267" s="40"/>
      <c r="O267" s="40"/>
      <c r="P267" s="39"/>
      <c r="Q267" s="39"/>
      <c r="R267" s="40"/>
      <c r="S267" s="40"/>
      <c r="T267" s="39"/>
      <c r="U267" s="39"/>
      <c r="V267" s="40"/>
      <c r="W267" s="40"/>
      <c r="X267" s="41"/>
      <c r="Y267" s="41"/>
      <c r="Z267" s="40"/>
      <c r="AA267" s="40"/>
      <c r="AB267" s="41"/>
      <c r="AC267" s="41"/>
      <c r="AD267" s="40"/>
      <c r="AE267" s="40"/>
      <c r="AF267" s="42"/>
      <c r="AG267" s="42"/>
      <c r="AH267" s="40"/>
      <c r="AI267" s="40"/>
      <c r="AJ267" s="42"/>
      <c r="AK267" s="42"/>
      <c r="AL267" s="40"/>
      <c r="AM267" s="40"/>
      <c r="AN267" s="40"/>
      <c r="AO267" s="40"/>
      <c r="AP267" s="40"/>
      <c r="AQ267" s="40"/>
      <c r="AR267" s="39"/>
      <c r="AS267" s="39"/>
      <c r="AT267" s="40"/>
      <c r="AU267" s="40"/>
      <c r="AV267" s="23"/>
    </row>
    <row r="268" spans="1:48" ht="15.75" x14ac:dyDescent="0.25">
      <c r="A268" s="44"/>
      <c r="B268" s="23"/>
      <c r="C268" s="23"/>
      <c r="D268" s="39"/>
      <c r="E268" s="39"/>
      <c r="F268" s="40"/>
      <c r="G268" s="40"/>
      <c r="H268" s="41"/>
      <c r="I268" s="39"/>
      <c r="J268" s="40"/>
      <c r="K268" s="40"/>
      <c r="L268" s="41"/>
      <c r="M268" s="39"/>
      <c r="N268" s="40"/>
      <c r="O268" s="40"/>
      <c r="P268" s="39"/>
      <c r="Q268" s="39"/>
      <c r="R268" s="40"/>
      <c r="S268" s="40"/>
      <c r="T268" s="39"/>
      <c r="U268" s="39"/>
      <c r="V268" s="40"/>
      <c r="W268" s="40"/>
      <c r="X268" s="41"/>
      <c r="Y268" s="41"/>
      <c r="Z268" s="40"/>
      <c r="AA268" s="40"/>
      <c r="AB268" s="41"/>
      <c r="AC268" s="41"/>
      <c r="AD268" s="40"/>
      <c r="AE268" s="40"/>
      <c r="AF268" s="42"/>
      <c r="AG268" s="42"/>
      <c r="AH268" s="40"/>
      <c r="AI268" s="40"/>
      <c r="AJ268" s="42"/>
      <c r="AK268" s="42"/>
      <c r="AL268" s="40"/>
      <c r="AM268" s="40"/>
      <c r="AN268" s="40"/>
      <c r="AO268" s="40"/>
      <c r="AP268" s="40"/>
      <c r="AQ268" s="40"/>
      <c r="AR268" s="39"/>
      <c r="AS268" s="39"/>
      <c r="AT268" s="40"/>
      <c r="AU268" s="40"/>
      <c r="AV268" s="23"/>
    </row>
    <row r="269" spans="1:48" ht="15.75" x14ac:dyDescent="0.25">
      <c r="A269" s="44"/>
      <c r="B269" s="23"/>
      <c r="C269" s="23"/>
      <c r="D269" s="39"/>
      <c r="E269" s="39"/>
      <c r="F269" s="40"/>
      <c r="G269" s="40"/>
      <c r="H269" s="41"/>
      <c r="I269" s="39"/>
      <c r="J269" s="40"/>
      <c r="K269" s="40"/>
      <c r="L269" s="41"/>
      <c r="M269" s="39"/>
      <c r="N269" s="40"/>
      <c r="O269" s="40"/>
      <c r="P269" s="39"/>
      <c r="Q269" s="39"/>
      <c r="R269" s="40"/>
      <c r="S269" s="40"/>
      <c r="T269" s="39"/>
      <c r="U269" s="39"/>
      <c r="V269" s="40"/>
      <c r="W269" s="40"/>
      <c r="X269" s="41"/>
      <c r="Y269" s="41"/>
      <c r="Z269" s="40"/>
      <c r="AA269" s="40"/>
      <c r="AB269" s="41"/>
      <c r="AC269" s="41"/>
      <c r="AD269" s="40"/>
      <c r="AE269" s="40"/>
      <c r="AF269" s="42"/>
      <c r="AG269" s="42"/>
      <c r="AH269" s="40"/>
      <c r="AI269" s="40"/>
      <c r="AJ269" s="42"/>
      <c r="AK269" s="42"/>
      <c r="AL269" s="40"/>
      <c r="AM269" s="40"/>
      <c r="AN269" s="40"/>
      <c r="AO269" s="40"/>
      <c r="AP269" s="40"/>
      <c r="AQ269" s="40"/>
      <c r="AR269" s="39"/>
      <c r="AS269" s="39"/>
      <c r="AT269" s="40"/>
      <c r="AU269" s="40"/>
      <c r="AV269" s="23"/>
    </row>
    <row r="270" spans="1:48" ht="15.75" x14ac:dyDescent="0.25">
      <c r="A270" s="44"/>
      <c r="B270" s="23"/>
      <c r="C270" s="23"/>
      <c r="D270" s="39"/>
      <c r="E270" s="39"/>
      <c r="F270" s="40"/>
      <c r="G270" s="40"/>
      <c r="H270" s="41"/>
      <c r="I270" s="39"/>
      <c r="J270" s="40"/>
      <c r="K270" s="40"/>
      <c r="L270" s="41"/>
      <c r="M270" s="39"/>
      <c r="N270" s="40"/>
      <c r="O270" s="40"/>
      <c r="P270" s="39"/>
      <c r="Q270" s="39"/>
      <c r="R270" s="40"/>
      <c r="S270" s="40"/>
      <c r="T270" s="39"/>
      <c r="U270" s="39"/>
      <c r="V270" s="40"/>
      <c r="W270" s="40"/>
      <c r="X270" s="41"/>
      <c r="Y270" s="41"/>
      <c r="Z270" s="40"/>
      <c r="AA270" s="40"/>
      <c r="AB270" s="41"/>
      <c r="AC270" s="41"/>
      <c r="AD270" s="40"/>
      <c r="AE270" s="40"/>
      <c r="AF270" s="42"/>
      <c r="AG270" s="42"/>
      <c r="AH270" s="40"/>
      <c r="AI270" s="40"/>
      <c r="AJ270" s="42"/>
      <c r="AK270" s="42"/>
      <c r="AL270" s="40"/>
      <c r="AM270" s="40"/>
      <c r="AN270" s="40"/>
      <c r="AO270" s="40"/>
      <c r="AP270" s="40"/>
      <c r="AQ270" s="40"/>
      <c r="AR270" s="39"/>
      <c r="AS270" s="39"/>
      <c r="AT270" s="40"/>
      <c r="AU270" s="40"/>
      <c r="AV270" s="23"/>
    </row>
    <row r="271" spans="1:48" ht="15.75" x14ac:dyDescent="0.25">
      <c r="A271" s="44"/>
      <c r="B271" s="23"/>
      <c r="C271" s="23"/>
      <c r="D271" s="39"/>
      <c r="E271" s="39"/>
      <c r="F271" s="40"/>
      <c r="G271" s="40"/>
      <c r="H271" s="41"/>
      <c r="I271" s="39"/>
      <c r="J271" s="40"/>
      <c r="K271" s="40"/>
      <c r="L271" s="41"/>
      <c r="M271" s="39"/>
      <c r="N271" s="40"/>
      <c r="O271" s="40"/>
      <c r="P271" s="39"/>
      <c r="Q271" s="39"/>
      <c r="R271" s="40"/>
      <c r="S271" s="40"/>
      <c r="T271" s="39"/>
      <c r="U271" s="39"/>
      <c r="V271" s="40"/>
      <c r="W271" s="40"/>
      <c r="X271" s="41"/>
      <c r="Y271" s="41"/>
      <c r="Z271" s="40"/>
      <c r="AA271" s="40"/>
      <c r="AB271" s="41"/>
      <c r="AC271" s="41"/>
      <c r="AD271" s="40"/>
      <c r="AE271" s="40"/>
      <c r="AF271" s="42"/>
      <c r="AG271" s="42"/>
      <c r="AH271" s="40"/>
      <c r="AI271" s="40"/>
      <c r="AJ271" s="42"/>
      <c r="AK271" s="42"/>
      <c r="AL271" s="40"/>
      <c r="AM271" s="40"/>
      <c r="AN271" s="40"/>
      <c r="AO271" s="40"/>
      <c r="AP271" s="40"/>
      <c r="AQ271" s="40"/>
      <c r="AR271" s="39"/>
      <c r="AS271" s="39"/>
      <c r="AT271" s="40"/>
      <c r="AU271" s="40"/>
      <c r="AV271" s="23"/>
    </row>
    <row r="272" spans="1:48" ht="15.75" x14ac:dyDescent="0.25">
      <c r="A272" s="44"/>
      <c r="B272" s="23"/>
      <c r="C272" s="23"/>
      <c r="D272" s="39"/>
      <c r="E272" s="39"/>
      <c r="F272" s="40"/>
      <c r="G272" s="40"/>
      <c r="H272" s="41"/>
      <c r="I272" s="39"/>
      <c r="J272" s="40"/>
      <c r="K272" s="40"/>
      <c r="L272" s="41"/>
      <c r="M272" s="39"/>
      <c r="N272" s="40"/>
      <c r="O272" s="40"/>
      <c r="P272" s="39"/>
      <c r="Q272" s="39"/>
      <c r="R272" s="40"/>
      <c r="S272" s="40"/>
      <c r="T272" s="39"/>
      <c r="U272" s="39"/>
      <c r="V272" s="40"/>
      <c r="W272" s="40"/>
      <c r="X272" s="41"/>
      <c r="Y272" s="41"/>
      <c r="Z272" s="40"/>
      <c r="AA272" s="40"/>
      <c r="AB272" s="41"/>
      <c r="AC272" s="41"/>
      <c r="AD272" s="40"/>
      <c r="AE272" s="40"/>
      <c r="AF272" s="42"/>
      <c r="AG272" s="42"/>
      <c r="AH272" s="40"/>
      <c r="AI272" s="40"/>
      <c r="AJ272" s="42"/>
      <c r="AK272" s="42"/>
      <c r="AL272" s="40"/>
      <c r="AM272" s="40"/>
      <c r="AN272" s="40"/>
      <c r="AO272" s="40"/>
      <c r="AP272" s="40"/>
      <c r="AQ272" s="40"/>
      <c r="AR272" s="39"/>
      <c r="AS272" s="39"/>
      <c r="AT272" s="40"/>
      <c r="AU272" s="40"/>
      <c r="AV272" s="23"/>
    </row>
    <row r="273" spans="1:48" ht="15.75" x14ac:dyDescent="0.25">
      <c r="A273" s="44"/>
      <c r="B273" s="23"/>
      <c r="C273" s="23"/>
      <c r="D273" s="39"/>
      <c r="E273" s="39"/>
      <c r="F273" s="40"/>
      <c r="G273" s="40"/>
      <c r="H273" s="41"/>
      <c r="I273" s="39"/>
      <c r="J273" s="40"/>
      <c r="K273" s="40"/>
      <c r="L273" s="41"/>
      <c r="M273" s="39"/>
      <c r="N273" s="40"/>
      <c r="O273" s="40"/>
      <c r="P273" s="39"/>
      <c r="Q273" s="39"/>
      <c r="R273" s="40"/>
      <c r="S273" s="40"/>
      <c r="T273" s="39"/>
      <c r="U273" s="39"/>
      <c r="V273" s="40"/>
      <c r="W273" s="40"/>
      <c r="X273" s="41"/>
      <c r="Y273" s="41"/>
      <c r="Z273" s="40"/>
      <c r="AA273" s="40"/>
      <c r="AB273" s="41"/>
      <c r="AC273" s="41"/>
      <c r="AD273" s="40"/>
      <c r="AE273" s="40"/>
      <c r="AF273" s="42"/>
      <c r="AG273" s="42"/>
      <c r="AH273" s="40"/>
      <c r="AI273" s="40"/>
      <c r="AJ273" s="42"/>
      <c r="AK273" s="42"/>
      <c r="AL273" s="40"/>
      <c r="AM273" s="40"/>
      <c r="AN273" s="40"/>
      <c r="AO273" s="40"/>
      <c r="AP273" s="40"/>
      <c r="AQ273" s="40"/>
      <c r="AR273" s="39"/>
      <c r="AS273" s="39"/>
      <c r="AT273" s="40"/>
      <c r="AU273" s="40"/>
      <c r="AV273" s="23"/>
    </row>
    <row r="274" spans="1:48" ht="15.75" x14ac:dyDescent="0.25">
      <c r="A274" s="44"/>
      <c r="B274" s="23"/>
      <c r="C274" s="23"/>
      <c r="D274" s="39"/>
      <c r="E274" s="39"/>
      <c r="F274" s="40"/>
      <c r="G274" s="40"/>
      <c r="H274" s="41"/>
      <c r="I274" s="39"/>
      <c r="J274" s="40"/>
      <c r="K274" s="40"/>
      <c r="L274" s="41"/>
      <c r="M274" s="39"/>
      <c r="N274" s="40"/>
      <c r="O274" s="40"/>
      <c r="P274" s="39"/>
      <c r="Q274" s="39"/>
      <c r="R274" s="40"/>
      <c r="S274" s="40"/>
      <c r="T274" s="39"/>
      <c r="U274" s="39"/>
      <c r="V274" s="40"/>
      <c r="W274" s="40"/>
      <c r="X274" s="41"/>
      <c r="Y274" s="41"/>
      <c r="Z274" s="40"/>
      <c r="AA274" s="40"/>
      <c r="AB274" s="41"/>
      <c r="AC274" s="41"/>
      <c r="AD274" s="40"/>
      <c r="AE274" s="40"/>
      <c r="AF274" s="42"/>
      <c r="AG274" s="42"/>
      <c r="AH274" s="40"/>
      <c r="AI274" s="40"/>
      <c r="AJ274" s="42"/>
      <c r="AK274" s="42"/>
      <c r="AL274" s="40"/>
      <c r="AM274" s="40"/>
      <c r="AN274" s="40"/>
      <c r="AO274" s="40"/>
      <c r="AP274" s="40"/>
      <c r="AQ274" s="40"/>
      <c r="AR274" s="39"/>
      <c r="AS274" s="39"/>
      <c r="AT274" s="40"/>
      <c r="AU274" s="40"/>
      <c r="AV274" s="23"/>
    </row>
    <row r="275" spans="1:48" ht="15.75" x14ac:dyDescent="0.25">
      <c r="A275" s="44"/>
      <c r="B275" s="23"/>
      <c r="C275" s="23"/>
      <c r="D275" s="39"/>
      <c r="E275" s="39"/>
      <c r="F275" s="40"/>
      <c r="G275" s="40"/>
      <c r="H275" s="41"/>
      <c r="I275" s="39"/>
      <c r="J275" s="40"/>
      <c r="K275" s="40"/>
      <c r="L275" s="41"/>
      <c r="M275" s="39"/>
      <c r="N275" s="40"/>
      <c r="O275" s="40"/>
      <c r="P275" s="39"/>
      <c r="Q275" s="39"/>
      <c r="R275" s="40"/>
      <c r="S275" s="40"/>
      <c r="T275" s="39"/>
      <c r="U275" s="39"/>
      <c r="V275" s="40"/>
      <c r="W275" s="40"/>
      <c r="X275" s="41"/>
      <c r="Y275" s="41"/>
      <c r="Z275" s="40"/>
      <c r="AA275" s="40"/>
      <c r="AB275" s="41"/>
      <c r="AC275" s="41"/>
      <c r="AD275" s="40"/>
      <c r="AE275" s="40"/>
      <c r="AF275" s="42"/>
      <c r="AG275" s="42"/>
      <c r="AH275" s="40"/>
      <c r="AI275" s="40"/>
      <c r="AJ275" s="42"/>
      <c r="AK275" s="42"/>
      <c r="AL275" s="40"/>
      <c r="AM275" s="40"/>
      <c r="AN275" s="40"/>
      <c r="AO275" s="40"/>
      <c r="AP275" s="40"/>
      <c r="AQ275" s="40"/>
      <c r="AR275" s="39"/>
      <c r="AS275" s="39"/>
      <c r="AT275" s="40"/>
      <c r="AU275" s="40"/>
      <c r="AV275" s="23"/>
    </row>
    <row r="276" spans="1:48" ht="15.75" x14ac:dyDescent="0.25">
      <c r="A276" s="44"/>
      <c r="B276" s="23"/>
      <c r="C276" s="23"/>
      <c r="D276" s="39"/>
      <c r="E276" s="39"/>
      <c r="F276" s="40"/>
      <c r="G276" s="40"/>
      <c r="H276" s="41"/>
      <c r="I276" s="39"/>
      <c r="J276" s="40"/>
      <c r="K276" s="40"/>
      <c r="L276" s="41"/>
      <c r="M276" s="39"/>
      <c r="N276" s="40"/>
      <c r="O276" s="40"/>
      <c r="P276" s="39"/>
      <c r="Q276" s="39"/>
      <c r="R276" s="40"/>
      <c r="S276" s="40"/>
      <c r="T276" s="39"/>
      <c r="U276" s="39"/>
      <c r="V276" s="40"/>
      <c r="W276" s="40"/>
      <c r="X276" s="41"/>
      <c r="Y276" s="41"/>
      <c r="Z276" s="40"/>
      <c r="AA276" s="40"/>
      <c r="AB276" s="41"/>
      <c r="AC276" s="41"/>
      <c r="AD276" s="40"/>
      <c r="AE276" s="40"/>
      <c r="AF276" s="42"/>
      <c r="AG276" s="42"/>
      <c r="AH276" s="40"/>
      <c r="AI276" s="40"/>
      <c r="AJ276" s="42"/>
      <c r="AK276" s="42"/>
      <c r="AL276" s="40"/>
      <c r="AM276" s="40"/>
      <c r="AN276" s="40"/>
      <c r="AO276" s="40"/>
      <c r="AP276" s="40"/>
      <c r="AQ276" s="40"/>
      <c r="AR276" s="39"/>
      <c r="AS276" s="39"/>
      <c r="AT276" s="40"/>
      <c r="AU276" s="40"/>
      <c r="AV276" s="23"/>
    </row>
    <row r="277" spans="1:48" ht="15.75" x14ac:dyDescent="0.25">
      <c r="A277" s="44"/>
      <c r="B277" s="23"/>
      <c r="C277" s="23"/>
      <c r="D277" s="39"/>
      <c r="E277" s="39"/>
      <c r="F277" s="40"/>
      <c r="G277" s="40"/>
      <c r="H277" s="41"/>
      <c r="I277" s="39"/>
      <c r="J277" s="40"/>
      <c r="K277" s="40"/>
      <c r="L277" s="41"/>
      <c r="M277" s="39"/>
      <c r="N277" s="40"/>
      <c r="O277" s="40"/>
      <c r="P277" s="39"/>
      <c r="Q277" s="39"/>
      <c r="R277" s="40"/>
      <c r="S277" s="40"/>
      <c r="T277" s="39"/>
      <c r="U277" s="39"/>
      <c r="V277" s="40"/>
      <c r="W277" s="40"/>
      <c r="X277" s="41"/>
      <c r="Y277" s="41"/>
      <c r="Z277" s="40"/>
      <c r="AA277" s="40"/>
      <c r="AB277" s="41"/>
      <c r="AC277" s="41"/>
      <c r="AD277" s="40"/>
      <c r="AE277" s="40"/>
      <c r="AF277" s="42"/>
      <c r="AG277" s="42"/>
      <c r="AH277" s="40"/>
      <c r="AI277" s="40"/>
      <c r="AJ277" s="42"/>
      <c r="AK277" s="42"/>
      <c r="AL277" s="40"/>
      <c r="AM277" s="40"/>
      <c r="AN277" s="40"/>
      <c r="AO277" s="40"/>
      <c r="AP277" s="40"/>
      <c r="AQ277" s="40"/>
      <c r="AR277" s="39"/>
      <c r="AS277" s="39"/>
      <c r="AT277" s="40"/>
      <c r="AU277" s="40"/>
      <c r="AV277" s="23"/>
    </row>
    <row r="278" spans="1:48" ht="15.75" x14ac:dyDescent="0.25">
      <c r="A278" s="44"/>
      <c r="B278" s="23"/>
      <c r="C278" s="23"/>
      <c r="D278" s="39"/>
      <c r="E278" s="39"/>
      <c r="F278" s="40"/>
      <c r="G278" s="40"/>
      <c r="H278" s="41"/>
      <c r="I278" s="39"/>
      <c r="J278" s="40"/>
      <c r="K278" s="40"/>
      <c r="L278" s="41"/>
      <c r="M278" s="39"/>
      <c r="N278" s="40"/>
      <c r="O278" s="40"/>
      <c r="P278" s="39"/>
      <c r="Q278" s="39"/>
      <c r="R278" s="40"/>
      <c r="S278" s="40"/>
      <c r="T278" s="39"/>
      <c r="U278" s="39"/>
      <c r="V278" s="40"/>
      <c r="W278" s="40"/>
      <c r="X278" s="41"/>
      <c r="Y278" s="41"/>
      <c r="Z278" s="40"/>
      <c r="AA278" s="40"/>
      <c r="AB278" s="41"/>
      <c r="AC278" s="41"/>
      <c r="AD278" s="40"/>
      <c r="AE278" s="40"/>
      <c r="AF278" s="42"/>
      <c r="AG278" s="42"/>
      <c r="AH278" s="40"/>
      <c r="AI278" s="40"/>
      <c r="AJ278" s="42"/>
      <c r="AK278" s="42"/>
      <c r="AL278" s="40"/>
      <c r="AM278" s="40"/>
      <c r="AN278" s="40"/>
      <c r="AO278" s="40"/>
      <c r="AP278" s="40"/>
      <c r="AQ278" s="40"/>
      <c r="AR278" s="39"/>
      <c r="AS278" s="39"/>
      <c r="AT278" s="40"/>
      <c r="AU278" s="40"/>
      <c r="AV278" s="23"/>
    </row>
    <row r="279" spans="1:48" ht="15.75" x14ac:dyDescent="0.25">
      <c r="A279" s="44"/>
      <c r="B279" s="23"/>
      <c r="C279" s="23"/>
      <c r="D279" s="39"/>
      <c r="E279" s="39"/>
      <c r="F279" s="40"/>
      <c r="G279" s="40"/>
      <c r="H279" s="41"/>
      <c r="I279" s="39"/>
      <c r="J279" s="40"/>
      <c r="K279" s="40"/>
      <c r="L279" s="41"/>
      <c r="M279" s="39"/>
      <c r="N279" s="40"/>
      <c r="O279" s="40"/>
      <c r="P279" s="39"/>
      <c r="Q279" s="39"/>
      <c r="R279" s="40"/>
      <c r="S279" s="40"/>
      <c r="T279" s="39"/>
      <c r="U279" s="39"/>
      <c r="V279" s="40"/>
      <c r="W279" s="40"/>
      <c r="X279" s="41"/>
      <c r="Y279" s="41"/>
      <c r="Z279" s="40"/>
      <c r="AA279" s="40"/>
      <c r="AB279" s="41"/>
      <c r="AC279" s="41"/>
      <c r="AD279" s="40"/>
      <c r="AE279" s="40"/>
      <c r="AF279" s="42"/>
      <c r="AG279" s="42"/>
      <c r="AH279" s="40"/>
      <c r="AI279" s="40"/>
      <c r="AJ279" s="42"/>
      <c r="AK279" s="42"/>
      <c r="AL279" s="40"/>
      <c r="AM279" s="40"/>
      <c r="AN279" s="40"/>
      <c r="AO279" s="40"/>
      <c r="AP279" s="40"/>
      <c r="AQ279" s="40"/>
      <c r="AR279" s="39"/>
      <c r="AS279" s="39"/>
      <c r="AT279" s="40"/>
      <c r="AU279" s="40"/>
      <c r="AV279" s="23"/>
    </row>
    <row r="280" spans="1:48" ht="15.75" x14ac:dyDescent="0.25">
      <c r="A280" s="44"/>
      <c r="B280" s="23"/>
      <c r="C280" s="23"/>
      <c r="D280" s="39"/>
      <c r="E280" s="39"/>
      <c r="F280" s="40"/>
      <c r="G280" s="40"/>
      <c r="H280" s="41"/>
      <c r="I280" s="39"/>
      <c r="J280" s="40"/>
      <c r="K280" s="40"/>
      <c r="L280" s="41"/>
      <c r="M280" s="39"/>
      <c r="N280" s="40"/>
      <c r="O280" s="40"/>
      <c r="P280" s="39"/>
      <c r="Q280" s="39"/>
      <c r="R280" s="40"/>
      <c r="S280" s="40"/>
      <c r="T280" s="39"/>
      <c r="U280" s="39"/>
      <c r="V280" s="40"/>
      <c r="W280" s="40"/>
      <c r="X280" s="41"/>
      <c r="Y280" s="41"/>
      <c r="Z280" s="40"/>
      <c r="AA280" s="40"/>
      <c r="AB280" s="41"/>
      <c r="AC280" s="41"/>
      <c r="AD280" s="40"/>
      <c r="AE280" s="40"/>
      <c r="AF280" s="42"/>
      <c r="AG280" s="42"/>
      <c r="AH280" s="40"/>
      <c r="AI280" s="40"/>
      <c r="AJ280" s="42"/>
      <c r="AK280" s="42"/>
      <c r="AL280" s="40"/>
      <c r="AM280" s="40"/>
      <c r="AN280" s="40"/>
      <c r="AO280" s="40"/>
      <c r="AP280" s="40"/>
      <c r="AQ280" s="40"/>
      <c r="AR280" s="39"/>
      <c r="AS280" s="39"/>
      <c r="AT280" s="40"/>
      <c r="AU280" s="40"/>
      <c r="AV280" s="23"/>
    </row>
    <row r="281" spans="1:48" ht="15.75" x14ac:dyDescent="0.25">
      <c r="A281" s="44"/>
      <c r="B281" s="23"/>
      <c r="C281" s="23"/>
      <c r="D281" s="39"/>
      <c r="E281" s="39"/>
      <c r="F281" s="40"/>
      <c r="G281" s="40"/>
      <c r="H281" s="41"/>
      <c r="I281" s="39"/>
      <c r="J281" s="40"/>
      <c r="K281" s="40"/>
      <c r="L281" s="41"/>
      <c r="M281" s="39"/>
      <c r="N281" s="40"/>
      <c r="O281" s="40"/>
      <c r="P281" s="39"/>
      <c r="Q281" s="39"/>
      <c r="R281" s="40"/>
      <c r="S281" s="40"/>
      <c r="T281" s="39"/>
      <c r="U281" s="39"/>
      <c r="V281" s="40"/>
      <c r="W281" s="40"/>
      <c r="X281" s="41"/>
      <c r="Y281" s="41"/>
      <c r="Z281" s="40"/>
      <c r="AA281" s="40"/>
      <c r="AB281" s="41"/>
      <c r="AC281" s="41"/>
      <c r="AD281" s="40"/>
      <c r="AE281" s="40"/>
      <c r="AF281" s="42"/>
      <c r="AG281" s="42"/>
      <c r="AH281" s="40"/>
      <c r="AI281" s="40"/>
      <c r="AJ281" s="42"/>
      <c r="AK281" s="42"/>
      <c r="AL281" s="40"/>
      <c r="AM281" s="40"/>
      <c r="AN281" s="40"/>
      <c r="AO281" s="40"/>
      <c r="AP281" s="40"/>
      <c r="AQ281" s="40"/>
      <c r="AR281" s="39"/>
      <c r="AS281" s="39"/>
      <c r="AT281" s="40"/>
      <c r="AU281" s="40"/>
      <c r="AV281" s="23"/>
    </row>
    <row r="282" spans="1:48" ht="15.75" x14ac:dyDescent="0.25">
      <c r="A282" s="44"/>
      <c r="B282" s="23"/>
      <c r="C282" s="23"/>
      <c r="D282" s="39"/>
      <c r="E282" s="39"/>
      <c r="F282" s="40"/>
      <c r="G282" s="40"/>
      <c r="H282" s="41"/>
      <c r="I282" s="39"/>
      <c r="J282" s="40"/>
      <c r="K282" s="40"/>
      <c r="L282" s="41"/>
      <c r="M282" s="39"/>
      <c r="N282" s="40"/>
      <c r="O282" s="40"/>
      <c r="P282" s="39"/>
      <c r="Q282" s="39"/>
      <c r="R282" s="40"/>
      <c r="S282" s="40"/>
      <c r="T282" s="39"/>
      <c r="U282" s="39"/>
      <c r="V282" s="40"/>
      <c r="W282" s="40"/>
      <c r="X282" s="41"/>
      <c r="Y282" s="41"/>
      <c r="Z282" s="40"/>
      <c r="AA282" s="40"/>
      <c r="AB282" s="41"/>
      <c r="AC282" s="41"/>
      <c r="AD282" s="40"/>
      <c r="AE282" s="40"/>
      <c r="AF282" s="42"/>
      <c r="AG282" s="42"/>
      <c r="AH282" s="40"/>
      <c r="AI282" s="40"/>
      <c r="AJ282" s="42"/>
      <c r="AK282" s="42"/>
      <c r="AL282" s="40"/>
      <c r="AM282" s="40"/>
      <c r="AN282" s="40"/>
      <c r="AO282" s="40"/>
      <c r="AP282" s="40"/>
      <c r="AQ282" s="40"/>
      <c r="AR282" s="39"/>
      <c r="AS282" s="39"/>
      <c r="AT282" s="40"/>
      <c r="AU282" s="40"/>
      <c r="AV282" s="23"/>
    </row>
    <row r="283" spans="1:48" ht="15.75" x14ac:dyDescent="0.25">
      <c r="A283" s="44"/>
      <c r="B283" s="23"/>
      <c r="C283" s="23"/>
      <c r="D283" s="39"/>
      <c r="E283" s="39"/>
      <c r="F283" s="40"/>
      <c r="G283" s="40"/>
      <c r="H283" s="41"/>
      <c r="I283" s="39"/>
      <c r="J283" s="40"/>
      <c r="K283" s="40"/>
      <c r="L283" s="41"/>
      <c r="M283" s="39"/>
      <c r="N283" s="40"/>
      <c r="O283" s="40"/>
      <c r="P283" s="39"/>
      <c r="Q283" s="39"/>
      <c r="R283" s="40"/>
      <c r="S283" s="40"/>
      <c r="T283" s="39"/>
      <c r="U283" s="39"/>
      <c r="V283" s="40"/>
      <c r="W283" s="40"/>
      <c r="X283" s="41"/>
      <c r="Y283" s="41"/>
      <c r="Z283" s="40"/>
      <c r="AA283" s="40"/>
      <c r="AB283" s="41"/>
      <c r="AC283" s="41"/>
      <c r="AD283" s="40"/>
      <c r="AE283" s="40"/>
      <c r="AF283" s="42"/>
      <c r="AG283" s="42"/>
      <c r="AH283" s="40"/>
      <c r="AI283" s="40"/>
      <c r="AJ283" s="42"/>
      <c r="AK283" s="42"/>
      <c r="AL283" s="40"/>
      <c r="AM283" s="40"/>
      <c r="AN283" s="40"/>
      <c r="AO283" s="40"/>
      <c r="AP283" s="40"/>
      <c r="AQ283" s="40"/>
      <c r="AR283" s="39"/>
      <c r="AS283" s="39"/>
      <c r="AT283" s="40"/>
      <c r="AU283" s="40"/>
      <c r="AV283" s="23"/>
    </row>
    <row r="284" spans="1:48" ht="15.75" x14ac:dyDescent="0.25">
      <c r="A284" s="44"/>
      <c r="B284" s="23"/>
      <c r="C284" s="23"/>
      <c r="D284" s="39"/>
      <c r="E284" s="39"/>
      <c r="F284" s="40"/>
      <c r="G284" s="40"/>
      <c r="H284" s="41"/>
      <c r="I284" s="39"/>
      <c r="J284" s="40"/>
      <c r="K284" s="40"/>
      <c r="L284" s="41"/>
      <c r="M284" s="39"/>
      <c r="N284" s="40"/>
      <c r="O284" s="40"/>
      <c r="P284" s="39"/>
      <c r="Q284" s="39"/>
      <c r="R284" s="40"/>
      <c r="S284" s="40"/>
      <c r="T284" s="39"/>
      <c r="U284" s="39"/>
      <c r="V284" s="40"/>
      <c r="W284" s="40"/>
      <c r="X284" s="41"/>
      <c r="Y284" s="41"/>
      <c r="Z284" s="40"/>
      <c r="AA284" s="40"/>
      <c r="AB284" s="41"/>
      <c r="AC284" s="41"/>
      <c r="AD284" s="40"/>
      <c r="AE284" s="40"/>
      <c r="AF284" s="42"/>
      <c r="AG284" s="42"/>
      <c r="AH284" s="40"/>
      <c r="AI284" s="40"/>
      <c r="AJ284" s="42"/>
      <c r="AK284" s="42"/>
      <c r="AL284" s="40"/>
      <c r="AM284" s="40"/>
      <c r="AN284" s="40"/>
      <c r="AO284" s="40"/>
      <c r="AP284" s="40"/>
      <c r="AQ284" s="40"/>
      <c r="AR284" s="39"/>
      <c r="AS284" s="39"/>
      <c r="AT284" s="40"/>
      <c r="AU284" s="40"/>
      <c r="AV284" s="23"/>
    </row>
    <row r="285" spans="1:48" ht="15.75" x14ac:dyDescent="0.25">
      <c r="A285" s="44"/>
      <c r="B285" s="23"/>
      <c r="C285" s="23"/>
      <c r="D285" s="39"/>
      <c r="E285" s="39"/>
      <c r="F285" s="40"/>
      <c r="G285" s="40"/>
      <c r="H285" s="41"/>
      <c r="I285" s="39"/>
      <c r="J285" s="40"/>
      <c r="K285" s="40"/>
      <c r="L285" s="41"/>
      <c r="M285" s="39"/>
      <c r="N285" s="40"/>
      <c r="O285" s="40"/>
      <c r="P285" s="39"/>
      <c r="Q285" s="39"/>
      <c r="R285" s="40"/>
      <c r="S285" s="40"/>
      <c r="T285" s="39"/>
      <c r="U285" s="39"/>
      <c r="V285" s="40"/>
      <c r="W285" s="40"/>
      <c r="X285" s="41"/>
      <c r="Y285" s="41"/>
      <c r="Z285" s="40"/>
      <c r="AA285" s="40"/>
      <c r="AB285" s="41"/>
      <c r="AC285" s="41"/>
      <c r="AD285" s="40"/>
      <c r="AE285" s="40"/>
      <c r="AF285" s="42"/>
      <c r="AG285" s="42"/>
      <c r="AH285" s="40"/>
      <c r="AI285" s="40"/>
      <c r="AJ285" s="42"/>
      <c r="AK285" s="42"/>
      <c r="AL285" s="40"/>
      <c r="AM285" s="40"/>
      <c r="AN285" s="40"/>
      <c r="AO285" s="40"/>
      <c r="AP285" s="40"/>
      <c r="AQ285" s="40"/>
      <c r="AR285" s="39"/>
      <c r="AS285" s="39"/>
      <c r="AT285" s="40"/>
      <c r="AU285" s="40"/>
      <c r="AV285" s="23"/>
    </row>
    <row r="286" spans="1:48" ht="15.75" x14ac:dyDescent="0.25">
      <c r="A286" s="44"/>
      <c r="B286" s="23"/>
      <c r="C286" s="23"/>
      <c r="D286" s="39"/>
      <c r="E286" s="39"/>
      <c r="F286" s="40"/>
      <c r="G286" s="40"/>
      <c r="H286" s="41"/>
      <c r="I286" s="39"/>
      <c r="J286" s="40"/>
      <c r="K286" s="40"/>
      <c r="L286" s="41"/>
      <c r="M286" s="39"/>
      <c r="N286" s="40"/>
      <c r="O286" s="40"/>
      <c r="P286" s="39"/>
      <c r="Q286" s="39"/>
      <c r="R286" s="40"/>
      <c r="S286" s="40"/>
      <c r="T286" s="39"/>
      <c r="U286" s="39"/>
      <c r="V286" s="40"/>
      <c r="W286" s="40"/>
      <c r="X286" s="41"/>
      <c r="Y286" s="41"/>
      <c r="Z286" s="40"/>
      <c r="AA286" s="40"/>
      <c r="AB286" s="41"/>
      <c r="AC286" s="41"/>
      <c r="AD286" s="40"/>
      <c r="AE286" s="40"/>
      <c r="AF286" s="42"/>
      <c r="AG286" s="42"/>
      <c r="AH286" s="40"/>
      <c r="AI286" s="40"/>
      <c r="AJ286" s="42"/>
      <c r="AK286" s="42"/>
      <c r="AL286" s="40"/>
      <c r="AM286" s="40"/>
      <c r="AN286" s="40"/>
      <c r="AO286" s="40"/>
      <c r="AP286" s="40"/>
      <c r="AQ286" s="40"/>
      <c r="AR286" s="39"/>
      <c r="AS286" s="39"/>
      <c r="AT286" s="40"/>
      <c r="AU286" s="40"/>
      <c r="AV286" s="23"/>
    </row>
    <row r="287" spans="1:48" ht="15.75" x14ac:dyDescent="0.25">
      <c r="A287" s="44"/>
      <c r="B287" s="23"/>
      <c r="C287" s="23"/>
      <c r="D287" s="39"/>
      <c r="E287" s="39"/>
      <c r="F287" s="40"/>
      <c r="G287" s="40"/>
      <c r="H287" s="41"/>
      <c r="I287" s="39"/>
      <c r="J287" s="40"/>
      <c r="K287" s="40"/>
      <c r="L287" s="41"/>
      <c r="M287" s="39"/>
      <c r="N287" s="40"/>
      <c r="O287" s="40"/>
      <c r="P287" s="39"/>
      <c r="Q287" s="39"/>
      <c r="R287" s="40"/>
      <c r="S287" s="40"/>
      <c r="T287" s="39"/>
      <c r="U287" s="39"/>
      <c r="V287" s="40"/>
      <c r="W287" s="40"/>
      <c r="X287" s="41"/>
      <c r="Y287" s="41"/>
      <c r="Z287" s="40"/>
      <c r="AA287" s="40"/>
      <c r="AB287" s="41"/>
      <c r="AC287" s="41"/>
      <c r="AD287" s="40"/>
      <c r="AE287" s="40"/>
      <c r="AF287" s="42"/>
      <c r="AG287" s="42"/>
      <c r="AH287" s="40"/>
      <c r="AI287" s="40"/>
      <c r="AJ287" s="42"/>
      <c r="AK287" s="42"/>
      <c r="AL287" s="40"/>
      <c r="AM287" s="40"/>
      <c r="AN287" s="40"/>
      <c r="AO287" s="40"/>
      <c r="AP287" s="40"/>
      <c r="AQ287" s="40"/>
      <c r="AR287" s="39"/>
      <c r="AS287" s="39"/>
      <c r="AT287" s="40"/>
      <c r="AU287" s="40"/>
      <c r="AV287" s="23"/>
    </row>
    <row r="288" spans="1:48" ht="15.75" x14ac:dyDescent="0.25">
      <c r="A288" s="44"/>
      <c r="B288" s="23"/>
      <c r="C288" s="23"/>
      <c r="D288" s="39"/>
      <c r="E288" s="39"/>
      <c r="F288" s="40"/>
      <c r="G288" s="40"/>
      <c r="H288" s="41"/>
      <c r="I288" s="39"/>
      <c r="J288" s="40"/>
      <c r="K288" s="40"/>
      <c r="L288" s="41"/>
      <c r="M288" s="39"/>
      <c r="N288" s="40"/>
      <c r="O288" s="40"/>
      <c r="P288" s="39"/>
      <c r="Q288" s="39"/>
      <c r="R288" s="40"/>
      <c r="S288" s="40"/>
      <c r="T288" s="39"/>
      <c r="U288" s="39"/>
      <c r="V288" s="40"/>
      <c r="W288" s="40"/>
      <c r="X288" s="41"/>
      <c r="Y288" s="41"/>
      <c r="Z288" s="40"/>
      <c r="AA288" s="40"/>
      <c r="AB288" s="41"/>
      <c r="AC288" s="41"/>
      <c r="AD288" s="40"/>
      <c r="AE288" s="40"/>
      <c r="AF288" s="42"/>
      <c r="AG288" s="42"/>
      <c r="AH288" s="40"/>
      <c r="AI288" s="40"/>
      <c r="AJ288" s="42"/>
      <c r="AK288" s="42"/>
      <c r="AL288" s="40"/>
      <c r="AM288" s="40"/>
      <c r="AN288" s="40"/>
      <c r="AO288" s="40"/>
      <c r="AP288" s="40"/>
      <c r="AQ288" s="40"/>
      <c r="AR288" s="39"/>
      <c r="AS288" s="39"/>
      <c r="AT288" s="40"/>
      <c r="AU288" s="40"/>
      <c r="AV288" s="23"/>
    </row>
    <row r="289" spans="1:48" ht="15.75" x14ac:dyDescent="0.25">
      <c r="A289" s="44"/>
      <c r="B289" s="23"/>
      <c r="C289" s="23"/>
      <c r="D289" s="39"/>
      <c r="E289" s="39"/>
      <c r="F289" s="40"/>
      <c r="G289" s="40"/>
      <c r="H289" s="41"/>
      <c r="I289" s="39"/>
      <c r="J289" s="40"/>
      <c r="K289" s="40"/>
      <c r="L289" s="41"/>
      <c r="M289" s="39"/>
      <c r="N289" s="40"/>
      <c r="O289" s="40"/>
      <c r="P289" s="39"/>
      <c r="Q289" s="39"/>
      <c r="R289" s="40"/>
      <c r="S289" s="40"/>
      <c r="T289" s="39"/>
      <c r="U289" s="39"/>
      <c r="V289" s="40"/>
      <c r="W289" s="40"/>
      <c r="X289" s="41"/>
      <c r="Y289" s="41"/>
      <c r="Z289" s="40"/>
      <c r="AA289" s="40"/>
      <c r="AB289" s="41"/>
      <c r="AC289" s="41"/>
      <c r="AD289" s="40"/>
      <c r="AE289" s="40"/>
      <c r="AF289" s="42"/>
      <c r="AG289" s="42"/>
      <c r="AH289" s="40"/>
      <c r="AI289" s="40"/>
      <c r="AJ289" s="42"/>
      <c r="AK289" s="42"/>
      <c r="AL289" s="40"/>
      <c r="AM289" s="40"/>
      <c r="AN289" s="40"/>
      <c r="AO289" s="40"/>
      <c r="AP289" s="40"/>
      <c r="AQ289" s="40"/>
      <c r="AR289" s="39"/>
      <c r="AS289" s="39"/>
      <c r="AT289" s="40"/>
      <c r="AU289" s="40"/>
      <c r="AV289" s="23"/>
    </row>
    <row r="290" spans="1:48" ht="15.75" x14ac:dyDescent="0.25">
      <c r="A290" s="44"/>
      <c r="B290" s="23"/>
      <c r="C290" s="23"/>
      <c r="D290" s="39"/>
      <c r="E290" s="39"/>
      <c r="F290" s="40"/>
      <c r="G290" s="40"/>
      <c r="H290" s="41"/>
      <c r="I290" s="39"/>
      <c r="J290" s="40"/>
      <c r="K290" s="40"/>
      <c r="L290" s="41"/>
      <c r="M290" s="39"/>
      <c r="N290" s="40"/>
      <c r="O290" s="40"/>
      <c r="P290" s="39"/>
      <c r="Q290" s="39"/>
      <c r="R290" s="40"/>
      <c r="S290" s="40"/>
      <c r="T290" s="39"/>
      <c r="U290" s="39"/>
      <c r="V290" s="40"/>
      <c r="W290" s="40"/>
      <c r="X290" s="41"/>
      <c r="Y290" s="41"/>
      <c r="Z290" s="40"/>
      <c r="AA290" s="40"/>
      <c r="AB290" s="41"/>
      <c r="AC290" s="41"/>
      <c r="AD290" s="40"/>
      <c r="AE290" s="40"/>
      <c r="AF290" s="42"/>
      <c r="AG290" s="42"/>
      <c r="AH290" s="40"/>
      <c r="AI290" s="40"/>
      <c r="AJ290" s="42"/>
      <c r="AK290" s="42"/>
      <c r="AL290" s="40"/>
      <c r="AM290" s="40"/>
      <c r="AN290" s="40"/>
      <c r="AO290" s="40"/>
      <c r="AP290" s="40"/>
      <c r="AQ290" s="40"/>
      <c r="AR290" s="39"/>
      <c r="AS290" s="39"/>
      <c r="AT290" s="40"/>
      <c r="AU290" s="40"/>
      <c r="AV290" s="23"/>
    </row>
    <row r="291" spans="1:48" ht="15.75" x14ac:dyDescent="0.25">
      <c r="A291" s="44"/>
      <c r="B291" s="23"/>
      <c r="C291" s="23"/>
      <c r="D291" s="39"/>
      <c r="E291" s="39"/>
      <c r="F291" s="40"/>
      <c r="G291" s="40"/>
      <c r="H291" s="41"/>
      <c r="I291" s="39"/>
      <c r="J291" s="40"/>
      <c r="K291" s="40"/>
      <c r="L291" s="41"/>
      <c r="M291" s="39"/>
      <c r="N291" s="40"/>
      <c r="O291" s="40"/>
      <c r="P291" s="39"/>
      <c r="Q291" s="39"/>
      <c r="R291" s="40"/>
      <c r="S291" s="40"/>
      <c r="T291" s="39"/>
      <c r="U291" s="39"/>
      <c r="V291" s="40"/>
      <c r="W291" s="40"/>
      <c r="X291" s="41"/>
      <c r="Y291" s="41"/>
      <c r="Z291" s="40"/>
      <c r="AA291" s="40"/>
      <c r="AB291" s="41"/>
      <c r="AC291" s="41"/>
      <c r="AD291" s="40"/>
      <c r="AE291" s="40"/>
      <c r="AF291" s="42"/>
      <c r="AG291" s="42"/>
      <c r="AH291" s="40"/>
      <c r="AI291" s="40"/>
      <c r="AJ291" s="42"/>
      <c r="AK291" s="42"/>
      <c r="AL291" s="40"/>
      <c r="AM291" s="40"/>
      <c r="AN291" s="40"/>
      <c r="AO291" s="40"/>
      <c r="AP291" s="40"/>
      <c r="AQ291" s="40"/>
      <c r="AR291" s="39"/>
      <c r="AS291" s="39"/>
      <c r="AT291" s="40"/>
      <c r="AU291" s="40"/>
      <c r="AV291" s="23"/>
    </row>
    <row r="292" spans="1:48" ht="15.75" x14ac:dyDescent="0.25">
      <c r="A292" s="44"/>
      <c r="B292" s="23"/>
      <c r="C292" s="23"/>
      <c r="D292" s="39"/>
      <c r="E292" s="39"/>
      <c r="F292" s="40"/>
      <c r="G292" s="40"/>
      <c r="H292" s="41"/>
      <c r="I292" s="39"/>
      <c r="J292" s="40"/>
      <c r="K292" s="40"/>
      <c r="L292" s="41"/>
      <c r="M292" s="39"/>
      <c r="N292" s="40"/>
      <c r="O292" s="40"/>
      <c r="P292" s="39"/>
      <c r="Q292" s="39"/>
      <c r="R292" s="40"/>
      <c r="S292" s="40"/>
      <c r="T292" s="39"/>
      <c r="U292" s="39"/>
      <c r="V292" s="40"/>
      <c r="W292" s="40"/>
      <c r="X292" s="41"/>
      <c r="Y292" s="41"/>
      <c r="Z292" s="40"/>
      <c r="AA292" s="40"/>
      <c r="AB292" s="41"/>
      <c r="AC292" s="41"/>
      <c r="AD292" s="40"/>
      <c r="AE292" s="40"/>
      <c r="AF292" s="42"/>
      <c r="AG292" s="42"/>
      <c r="AH292" s="40"/>
      <c r="AI292" s="40"/>
      <c r="AJ292" s="42"/>
      <c r="AK292" s="42"/>
      <c r="AL292" s="40"/>
      <c r="AM292" s="40"/>
      <c r="AN292" s="40"/>
      <c r="AO292" s="40"/>
      <c r="AP292" s="40"/>
      <c r="AQ292" s="40"/>
      <c r="AR292" s="39"/>
      <c r="AS292" s="39"/>
      <c r="AT292" s="40"/>
      <c r="AU292" s="40"/>
      <c r="AV292" s="23"/>
    </row>
    <row r="293" spans="1:48" ht="15.75" x14ac:dyDescent="0.25">
      <c r="A293" s="44"/>
      <c r="B293" s="23"/>
      <c r="C293" s="23"/>
      <c r="D293" s="39"/>
      <c r="E293" s="39"/>
      <c r="F293" s="40"/>
      <c r="G293" s="40"/>
      <c r="H293" s="41"/>
      <c r="I293" s="39"/>
      <c r="J293" s="40"/>
      <c r="K293" s="40"/>
      <c r="L293" s="41"/>
      <c r="M293" s="39"/>
      <c r="N293" s="40"/>
      <c r="O293" s="40"/>
      <c r="P293" s="39"/>
      <c r="Q293" s="39"/>
      <c r="R293" s="40"/>
      <c r="S293" s="40"/>
      <c r="T293" s="39"/>
      <c r="U293" s="39"/>
      <c r="V293" s="40"/>
      <c r="W293" s="40"/>
      <c r="X293" s="41"/>
      <c r="Y293" s="41"/>
      <c r="Z293" s="40"/>
      <c r="AA293" s="40"/>
      <c r="AB293" s="41"/>
      <c r="AC293" s="41"/>
      <c r="AD293" s="40"/>
      <c r="AE293" s="40"/>
      <c r="AF293" s="42"/>
      <c r="AG293" s="42"/>
      <c r="AH293" s="40"/>
      <c r="AI293" s="40"/>
      <c r="AJ293" s="42"/>
      <c r="AK293" s="42"/>
      <c r="AL293" s="40"/>
      <c r="AM293" s="40"/>
      <c r="AN293" s="40"/>
      <c r="AO293" s="40"/>
      <c r="AP293" s="40"/>
      <c r="AQ293" s="40"/>
      <c r="AR293" s="39"/>
      <c r="AS293" s="39"/>
      <c r="AT293" s="40"/>
      <c r="AU293" s="40"/>
      <c r="AV293" s="23"/>
    </row>
    <row r="294" spans="1:48" ht="15.75" x14ac:dyDescent="0.25">
      <c r="A294" s="44"/>
      <c r="B294" s="23"/>
      <c r="C294" s="23"/>
      <c r="D294" s="39"/>
      <c r="E294" s="39"/>
      <c r="F294" s="40"/>
      <c r="G294" s="40"/>
      <c r="H294" s="41"/>
      <c r="I294" s="39"/>
      <c r="J294" s="40"/>
      <c r="K294" s="40"/>
      <c r="L294" s="41"/>
      <c r="M294" s="39"/>
      <c r="N294" s="40"/>
      <c r="O294" s="40"/>
      <c r="P294" s="39"/>
      <c r="Q294" s="39"/>
      <c r="R294" s="40"/>
      <c r="S294" s="40"/>
      <c r="T294" s="39"/>
      <c r="U294" s="39"/>
      <c r="V294" s="40"/>
      <c r="W294" s="40"/>
      <c r="X294" s="41"/>
      <c r="Y294" s="41"/>
      <c r="Z294" s="40"/>
      <c r="AA294" s="40"/>
      <c r="AB294" s="41"/>
      <c r="AC294" s="41"/>
      <c r="AD294" s="40"/>
      <c r="AE294" s="40"/>
      <c r="AF294" s="42"/>
      <c r="AG294" s="42"/>
      <c r="AH294" s="40"/>
      <c r="AI294" s="40"/>
      <c r="AJ294" s="42"/>
      <c r="AK294" s="42"/>
      <c r="AL294" s="40"/>
      <c r="AM294" s="40"/>
      <c r="AN294" s="40"/>
      <c r="AO294" s="40"/>
      <c r="AP294" s="40"/>
      <c r="AQ294" s="40"/>
      <c r="AR294" s="39"/>
      <c r="AS294" s="39"/>
      <c r="AT294" s="40"/>
      <c r="AU294" s="40"/>
      <c r="AV294" s="23"/>
    </row>
    <row r="295" spans="1:48" ht="15.75" x14ac:dyDescent="0.25">
      <c r="A295" s="44"/>
      <c r="B295" s="23"/>
      <c r="C295" s="23"/>
      <c r="D295" s="39"/>
      <c r="E295" s="39"/>
      <c r="F295" s="40"/>
      <c r="G295" s="40"/>
      <c r="H295" s="41"/>
      <c r="I295" s="39"/>
      <c r="J295" s="40"/>
      <c r="K295" s="40"/>
      <c r="L295" s="41"/>
      <c r="M295" s="39"/>
      <c r="N295" s="40"/>
      <c r="O295" s="40"/>
      <c r="P295" s="39"/>
      <c r="Q295" s="39"/>
      <c r="R295" s="40"/>
      <c r="S295" s="40"/>
      <c r="T295" s="39"/>
      <c r="U295" s="39"/>
      <c r="V295" s="40"/>
      <c r="W295" s="40"/>
      <c r="X295" s="41"/>
      <c r="Y295" s="41"/>
      <c r="Z295" s="40"/>
      <c r="AA295" s="40"/>
      <c r="AB295" s="41"/>
      <c r="AC295" s="41"/>
      <c r="AD295" s="40"/>
      <c r="AE295" s="40"/>
      <c r="AF295" s="42"/>
      <c r="AG295" s="42"/>
      <c r="AH295" s="40"/>
      <c r="AI295" s="40"/>
      <c r="AJ295" s="42"/>
      <c r="AK295" s="42"/>
      <c r="AL295" s="40"/>
      <c r="AM295" s="40"/>
      <c r="AN295" s="40"/>
      <c r="AO295" s="40"/>
      <c r="AP295" s="40"/>
      <c r="AQ295" s="40"/>
      <c r="AR295" s="39"/>
      <c r="AS295" s="39"/>
      <c r="AT295" s="40"/>
      <c r="AU295" s="40"/>
      <c r="AV295" s="23"/>
    </row>
    <row r="296" spans="1:48" ht="15.75" x14ac:dyDescent="0.25">
      <c r="A296" s="44"/>
      <c r="B296" s="23"/>
      <c r="C296" s="23"/>
      <c r="D296" s="39"/>
      <c r="E296" s="39"/>
      <c r="F296" s="40"/>
      <c r="G296" s="40"/>
      <c r="H296" s="41"/>
      <c r="I296" s="39"/>
      <c r="J296" s="40"/>
      <c r="K296" s="40"/>
      <c r="L296" s="41"/>
      <c r="M296" s="39"/>
      <c r="N296" s="40"/>
      <c r="O296" s="40"/>
      <c r="P296" s="39"/>
      <c r="Q296" s="39"/>
      <c r="R296" s="40"/>
      <c r="S296" s="40"/>
      <c r="T296" s="39"/>
      <c r="U296" s="39"/>
      <c r="V296" s="40"/>
      <c r="W296" s="40"/>
      <c r="X296" s="41"/>
      <c r="Y296" s="41"/>
      <c r="Z296" s="40"/>
      <c r="AA296" s="40"/>
      <c r="AB296" s="41"/>
      <c r="AC296" s="41"/>
      <c r="AD296" s="40"/>
      <c r="AE296" s="40"/>
      <c r="AF296" s="42"/>
      <c r="AG296" s="42"/>
      <c r="AH296" s="40"/>
      <c r="AI296" s="40"/>
      <c r="AJ296" s="42"/>
      <c r="AK296" s="42"/>
      <c r="AL296" s="40"/>
      <c r="AM296" s="40"/>
      <c r="AN296" s="40"/>
      <c r="AO296" s="40"/>
      <c r="AP296" s="40"/>
      <c r="AQ296" s="40"/>
      <c r="AR296" s="39"/>
      <c r="AS296" s="39"/>
      <c r="AT296" s="40"/>
      <c r="AU296" s="40"/>
      <c r="AV296" s="23"/>
    </row>
    <row r="297" spans="1:48" ht="15.75" x14ac:dyDescent="0.25">
      <c r="A297" s="44"/>
      <c r="B297" s="23"/>
      <c r="C297" s="23"/>
      <c r="D297" s="39"/>
      <c r="E297" s="39"/>
      <c r="F297" s="40"/>
      <c r="G297" s="40"/>
      <c r="H297" s="41"/>
      <c r="I297" s="39"/>
      <c r="J297" s="40"/>
      <c r="K297" s="40"/>
      <c r="L297" s="41"/>
      <c r="M297" s="39"/>
      <c r="N297" s="40"/>
      <c r="O297" s="40"/>
      <c r="P297" s="39"/>
      <c r="Q297" s="39"/>
      <c r="R297" s="40"/>
      <c r="S297" s="40"/>
      <c r="T297" s="39"/>
      <c r="U297" s="39"/>
      <c r="V297" s="40"/>
      <c r="W297" s="40"/>
      <c r="X297" s="41"/>
      <c r="Y297" s="41"/>
      <c r="Z297" s="40"/>
      <c r="AA297" s="40"/>
      <c r="AB297" s="41"/>
      <c r="AC297" s="41"/>
      <c r="AD297" s="40"/>
      <c r="AE297" s="40"/>
      <c r="AF297" s="42"/>
      <c r="AG297" s="42"/>
      <c r="AH297" s="40"/>
      <c r="AI297" s="40"/>
      <c r="AJ297" s="42"/>
      <c r="AK297" s="42"/>
      <c r="AL297" s="40"/>
      <c r="AM297" s="40"/>
      <c r="AN297" s="40"/>
      <c r="AO297" s="40"/>
      <c r="AP297" s="40"/>
      <c r="AQ297" s="40"/>
      <c r="AR297" s="39"/>
      <c r="AS297" s="39"/>
      <c r="AT297" s="40"/>
      <c r="AU297" s="40"/>
      <c r="AV297" s="23"/>
    </row>
    <row r="298" spans="1:48" ht="15.75" x14ac:dyDescent="0.25">
      <c r="A298" s="44"/>
      <c r="B298" s="23"/>
      <c r="C298" s="23"/>
      <c r="D298" s="39"/>
      <c r="E298" s="39"/>
      <c r="F298" s="40"/>
      <c r="G298" s="40"/>
      <c r="H298" s="41"/>
      <c r="I298" s="39"/>
      <c r="J298" s="40"/>
      <c r="K298" s="40"/>
      <c r="L298" s="41"/>
      <c r="M298" s="39"/>
      <c r="N298" s="40"/>
      <c r="O298" s="40"/>
      <c r="P298" s="39"/>
      <c r="Q298" s="39"/>
      <c r="R298" s="40"/>
      <c r="S298" s="40"/>
      <c r="T298" s="39"/>
      <c r="U298" s="39"/>
      <c r="V298" s="40"/>
      <c r="W298" s="40"/>
      <c r="X298" s="41"/>
      <c r="Y298" s="41"/>
      <c r="Z298" s="40"/>
      <c r="AA298" s="40"/>
      <c r="AB298" s="41"/>
      <c r="AC298" s="41"/>
      <c r="AD298" s="40"/>
      <c r="AE298" s="40"/>
      <c r="AF298" s="42"/>
      <c r="AG298" s="42"/>
      <c r="AH298" s="40"/>
      <c r="AI298" s="40"/>
      <c r="AJ298" s="42"/>
      <c r="AK298" s="42"/>
      <c r="AL298" s="40"/>
      <c r="AM298" s="40"/>
      <c r="AN298" s="40"/>
      <c r="AO298" s="40"/>
      <c r="AP298" s="40"/>
      <c r="AQ298" s="40"/>
      <c r="AR298" s="39"/>
      <c r="AS298" s="39"/>
      <c r="AT298" s="40"/>
      <c r="AU298" s="40"/>
      <c r="AV298" s="23"/>
    </row>
    <row r="299" spans="1:48" ht="15.75" x14ac:dyDescent="0.25">
      <c r="A299" s="44"/>
      <c r="B299" s="23"/>
      <c r="C299" s="23"/>
      <c r="D299" s="39"/>
      <c r="E299" s="39"/>
      <c r="F299" s="40"/>
      <c r="G299" s="40"/>
      <c r="H299" s="41"/>
      <c r="I299" s="39"/>
      <c r="J299" s="40"/>
      <c r="K299" s="40"/>
      <c r="L299" s="41"/>
      <c r="M299" s="39"/>
      <c r="N299" s="40"/>
      <c r="O299" s="40"/>
      <c r="P299" s="39"/>
      <c r="Q299" s="39"/>
      <c r="R299" s="40"/>
      <c r="S299" s="40"/>
      <c r="T299" s="39"/>
      <c r="U299" s="39"/>
      <c r="V299" s="40"/>
      <c r="W299" s="40"/>
      <c r="X299" s="41"/>
      <c r="Y299" s="41"/>
      <c r="Z299" s="40"/>
      <c r="AA299" s="40"/>
      <c r="AB299" s="41"/>
      <c r="AC299" s="41"/>
      <c r="AD299" s="40"/>
      <c r="AE299" s="40"/>
      <c r="AF299" s="42"/>
      <c r="AG299" s="42"/>
      <c r="AH299" s="40"/>
      <c r="AI299" s="40"/>
      <c r="AJ299" s="42"/>
      <c r="AK299" s="42"/>
      <c r="AL299" s="40"/>
      <c r="AM299" s="40"/>
      <c r="AN299" s="40"/>
      <c r="AO299" s="40"/>
      <c r="AP299" s="40"/>
      <c r="AQ299" s="40"/>
      <c r="AR299" s="39"/>
      <c r="AS299" s="39"/>
      <c r="AT299" s="40"/>
      <c r="AU299" s="40"/>
      <c r="AV299" s="23"/>
    </row>
    <row r="300" spans="1:48" ht="15.75" x14ac:dyDescent="0.25">
      <c r="A300" s="44"/>
      <c r="B300" s="23"/>
      <c r="C300" s="23"/>
      <c r="D300" s="39"/>
      <c r="E300" s="39"/>
      <c r="F300" s="40"/>
      <c r="G300" s="40"/>
      <c r="H300" s="41"/>
      <c r="I300" s="39"/>
      <c r="J300" s="40"/>
      <c r="K300" s="40"/>
      <c r="L300" s="41"/>
      <c r="M300" s="39"/>
      <c r="N300" s="40"/>
      <c r="O300" s="40"/>
      <c r="P300" s="39"/>
      <c r="Q300" s="39"/>
      <c r="R300" s="40"/>
      <c r="S300" s="40"/>
      <c r="T300" s="39"/>
      <c r="U300" s="39"/>
      <c r="V300" s="40"/>
      <c r="W300" s="40"/>
      <c r="X300" s="41"/>
      <c r="Y300" s="41"/>
      <c r="Z300" s="40"/>
      <c r="AA300" s="40"/>
      <c r="AB300" s="41"/>
      <c r="AC300" s="41"/>
      <c r="AD300" s="40"/>
      <c r="AE300" s="40"/>
      <c r="AF300" s="42"/>
      <c r="AG300" s="42"/>
      <c r="AH300" s="40"/>
      <c r="AI300" s="40"/>
      <c r="AJ300" s="42"/>
      <c r="AK300" s="42"/>
      <c r="AL300" s="40"/>
      <c r="AM300" s="40"/>
      <c r="AN300" s="40"/>
      <c r="AO300" s="40"/>
      <c r="AP300" s="40"/>
      <c r="AQ300" s="40"/>
      <c r="AR300" s="39"/>
      <c r="AS300" s="39"/>
      <c r="AT300" s="40"/>
      <c r="AU300" s="40"/>
      <c r="AV300" s="23"/>
    </row>
    <row r="301" spans="1:48" ht="15.75" x14ac:dyDescent="0.25">
      <c r="A301" s="44"/>
      <c r="B301" s="23"/>
      <c r="C301" s="23"/>
      <c r="D301" s="39"/>
      <c r="E301" s="39"/>
      <c r="F301" s="40"/>
      <c r="G301" s="40"/>
      <c r="H301" s="41"/>
      <c r="I301" s="39"/>
      <c r="J301" s="40"/>
      <c r="K301" s="40"/>
      <c r="L301" s="41"/>
      <c r="M301" s="39"/>
      <c r="N301" s="40"/>
      <c r="O301" s="40"/>
      <c r="P301" s="39"/>
      <c r="Q301" s="39"/>
      <c r="R301" s="40"/>
      <c r="S301" s="40"/>
      <c r="T301" s="39"/>
      <c r="U301" s="39"/>
      <c r="V301" s="40"/>
      <c r="W301" s="40"/>
      <c r="X301" s="41"/>
      <c r="Y301" s="41"/>
      <c r="Z301" s="40"/>
      <c r="AA301" s="40"/>
      <c r="AB301" s="41"/>
      <c r="AC301" s="41"/>
      <c r="AD301" s="40"/>
      <c r="AE301" s="40"/>
      <c r="AF301" s="42"/>
      <c r="AG301" s="42"/>
      <c r="AH301" s="40"/>
      <c r="AI301" s="40"/>
      <c r="AJ301" s="42"/>
      <c r="AK301" s="42"/>
      <c r="AL301" s="40"/>
      <c r="AM301" s="40"/>
      <c r="AN301" s="40"/>
      <c r="AO301" s="40"/>
      <c r="AP301" s="40"/>
      <c r="AQ301" s="40"/>
      <c r="AR301" s="39"/>
      <c r="AS301" s="39"/>
      <c r="AT301" s="40"/>
      <c r="AU301" s="40"/>
      <c r="AV301" s="23"/>
    </row>
    <row r="302" spans="1:48" ht="15.75" x14ac:dyDescent="0.25">
      <c r="A302" s="44"/>
      <c r="B302" s="23"/>
      <c r="C302" s="23"/>
      <c r="D302" s="39"/>
      <c r="E302" s="39"/>
      <c r="F302" s="40"/>
      <c r="G302" s="40"/>
      <c r="H302" s="41"/>
      <c r="I302" s="39"/>
      <c r="J302" s="40"/>
      <c r="K302" s="40"/>
      <c r="L302" s="41"/>
      <c r="M302" s="39"/>
      <c r="N302" s="40"/>
      <c r="O302" s="40"/>
      <c r="P302" s="39"/>
      <c r="Q302" s="39"/>
      <c r="R302" s="40"/>
      <c r="S302" s="40"/>
      <c r="T302" s="39"/>
      <c r="U302" s="39"/>
      <c r="V302" s="40"/>
      <c r="W302" s="40"/>
      <c r="X302" s="41"/>
      <c r="Y302" s="41"/>
      <c r="Z302" s="40"/>
      <c r="AA302" s="40"/>
      <c r="AB302" s="41"/>
      <c r="AC302" s="41"/>
      <c r="AD302" s="40"/>
      <c r="AE302" s="40"/>
      <c r="AF302" s="42"/>
      <c r="AG302" s="42"/>
      <c r="AH302" s="40"/>
      <c r="AI302" s="40"/>
      <c r="AJ302" s="42"/>
      <c r="AK302" s="42"/>
      <c r="AL302" s="40"/>
      <c r="AM302" s="40"/>
      <c r="AN302" s="40"/>
      <c r="AO302" s="40"/>
      <c r="AP302" s="40"/>
      <c r="AQ302" s="40"/>
      <c r="AR302" s="39"/>
      <c r="AS302" s="39"/>
      <c r="AT302" s="40"/>
      <c r="AU302" s="40"/>
      <c r="AV302" s="23"/>
    </row>
    <row r="303" spans="1:48" ht="15.75" x14ac:dyDescent="0.25">
      <c r="A303" s="44"/>
      <c r="B303" s="23"/>
      <c r="C303" s="23"/>
      <c r="D303" s="39"/>
      <c r="E303" s="39"/>
      <c r="F303" s="40"/>
      <c r="G303" s="40"/>
      <c r="H303" s="41"/>
      <c r="I303" s="39"/>
      <c r="J303" s="40"/>
      <c r="K303" s="40"/>
      <c r="L303" s="41"/>
      <c r="M303" s="39"/>
      <c r="N303" s="40"/>
      <c r="O303" s="40"/>
      <c r="P303" s="39"/>
      <c r="Q303" s="39"/>
      <c r="R303" s="40"/>
      <c r="S303" s="40"/>
      <c r="T303" s="39"/>
      <c r="U303" s="39"/>
      <c r="V303" s="40"/>
      <c r="W303" s="40"/>
      <c r="X303" s="41"/>
      <c r="Y303" s="41"/>
      <c r="Z303" s="40"/>
      <c r="AA303" s="40"/>
      <c r="AB303" s="41"/>
      <c r="AC303" s="41"/>
      <c r="AD303" s="40"/>
      <c r="AE303" s="40"/>
      <c r="AF303" s="42"/>
      <c r="AG303" s="42"/>
      <c r="AH303" s="40"/>
      <c r="AI303" s="40"/>
      <c r="AJ303" s="42"/>
      <c r="AK303" s="42"/>
      <c r="AL303" s="40"/>
      <c r="AM303" s="40"/>
      <c r="AN303" s="40"/>
      <c r="AO303" s="40"/>
      <c r="AP303" s="40"/>
      <c r="AQ303" s="40"/>
      <c r="AR303" s="39"/>
      <c r="AS303" s="39"/>
      <c r="AT303" s="40"/>
      <c r="AU303" s="40"/>
      <c r="AV303" s="23"/>
    </row>
    <row r="304" spans="1:48" ht="15.75" x14ac:dyDescent="0.25">
      <c r="A304" s="44"/>
      <c r="B304" s="23"/>
      <c r="C304" s="23"/>
      <c r="D304" s="39"/>
      <c r="E304" s="39"/>
      <c r="F304" s="40"/>
      <c r="G304" s="40"/>
      <c r="H304" s="41"/>
      <c r="I304" s="39"/>
      <c r="J304" s="40"/>
      <c r="K304" s="40"/>
      <c r="L304" s="41"/>
      <c r="M304" s="39"/>
      <c r="N304" s="40"/>
      <c r="O304" s="40"/>
      <c r="P304" s="39"/>
      <c r="Q304" s="39"/>
      <c r="R304" s="40"/>
      <c r="S304" s="40"/>
      <c r="T304" s="39"/>
      <c r="U304" s="39"/>
      <c r="V304" s="40"/>
      <c r="W304" s="40"/>
      <c r="X304" s="41"/>
      <c r="Y304" s="41"/>
      <c r="Z304" s="40"/>
      <c r="AA304" s="40"/>
      <c r="AB304" s="41"/>
      <c r="AC304" s="41"/>
      <c r="AD304" s="40"/>
      <c r="AE304" s="40"/>
      <c r="AF304" s="42"/>
      <c r="AG304" s="42"/>
      <c r="AH304" s="40"/>
      <c r="AI304" s="40"/>
      <c r="AJ304" s="42"/>
      <c r="AK304" s="42"/>
      <c r="AL304" s="40"/>
      <c r="AM304" s="40"/>
      <c r="AN304" s="40"/>
      <c r="AO304" s="40"/>
      <c r="AP304" s="40"/>
      <c r="AQ304" s="40"/>
      <c r="AR304" s="39"/>
      <c r="AS304" s="39"/>
      <c r="AT304" s="40"/>
      <c r="AU304" s="40"/>
      <c r="AV304" s="23"/>
    </row>
    <row r="305" spans="1:48" ht="15.75" x14ac:dyDescent="0.25">
      <c r="A305" s="44"/>
      <c r="B305" s="23"/>
      <c r="C305" s="23"/>
      <c r="D305" s="39"/>
      <c r="E305" s="39"/>
      <c r="F305" s="40"/>
      <c r="G305" s="40"/>
      <c r="H305" s="41"/>
      <c r="I305" s="39"/>
      <c r="J305" s="40"/>
      <c r="K305" s="40"/>
      <c r="L305" s="41"/>
      <c r="M305" s="39"/>
      <c r="N305" s="40"/>
      <c r="O305" s="40"/>
      <c r="P305" s="39"/>
      <c r="Q305" s="39"/>
      <c r="R305" s="40"/>
      <c r="S305" s="40"/>
      <c r="T305" s="39"/>
      <c r="U305" s="39"/>
      <c r="V305" s="40"/>
      <c r="W305" s="40"/>
      <c r="X305" s="41"/>
      <c r="Y305" s="41"/>
      <c r="Z305" s="40"/>
      <c r="AA305" s="40"/>
      <c r="AB305" s="41"/>
      <c r="AC305" s="41"/>
      <c r="AD305" s="40"/>
      <c r="AE305" s="40"/>
      <c r="AF305" s="42"/>
      <c r="AG305" s="42"/>
      <c r="AH305" s="40"/>
      <c r="AI305" s="40"/>
      <c r="AJ305" s="42"/>
      <c r="AK305" s="42"/>
      <c r="AL305" s="40"/>
      <c r="AM305" s="40"/>
      <c r="AN305" s="40"/>
      <c r="AO305" s="40"/>
      <c r="AP305" s="40"/>
      <c r="AQ305" s="40"/>
      <c r="AR305" s="39"/>
      <c r="AS305" s="39"/>
      <c r="AT305" s="40"/>
      <c r="AU305" s="40"/>
      <c r="AV305" s="23"/>
    </row>
    <row r="306" spans="1:48" ht="15.75" x14ac:dyDescent="0.25">
      <c r="A306" s="44"/>
      <c r="B306" s="23"/>
      <c r="C306" s="23"/>
      <c r="D306" s="39"/>
      <c r="E306" s="39"/>
      <c r="F306" s="40"/>
      <c r="G306" s="40"/>
      <c r="H306" s="41"/>
      <c r="I306" s="39"/>
      <c r="J306" s="40"/>
      <c r="K306" s="40"/>
      <c r="L306" s="41"/>
      <c r="M306" s="39"/>
      <c r="N306" s="40"/>
      <c r="O306" s="40"/>
      <c r="P306" s="39"/>
      <c r="Q306" s="39"/>
      <c r="R306" s="40"/>
      <c r="S306" s="40"/>
      <c r="T306" s="39"/>
      <c r="U306" s="39"/>
      <c r="V306" s="40"/>
      <c r="W306" s="40"/>
      <c r="X306" s="41"/>
      <c r="Y306" s="41"/>
      <c r="Z306" s="40"/>
      <c r="AA306" s="40"/>
      <c r="AB306" s="41"/>
      <c r="AC306" s="41"/>
      <c r="AD306" s="40"/>
      <c r="AE306" s="40"/>
      <c r="AF306" s="42"/>
      <c r="AG306" s="42"/>
      <c r="AH306" s="40"/>
      <c r="AI306" s="40"/>
      <c r="AJ306" s="42"/>
      <c r="AK306" s="42"/>
      <c r="AL306" s="40"/>
      <c r="AM306" s="40"/>
      <c r="AN306" s="40"/>
      <c r="AO306" s="40"/>
      <c r="AP306" s="40"/>
      <c r="AQ306" s="40"/>
      <c r="AR306" s="39"/>
      <c r="AS306" s="39"/>
      <c r="AT306" s="40"/>
      <c r="AU306" s="40"/>
      <c r="AV306" s="23"/>
    </row>
    <row r="307" spans="1:48" ht="15.75" x14ac:dyDescent="0.25">
      <c r="A307" s="44"/>
      <c r="B307" s="23"/>
      <c r="C307" s="23"/>
      <c r="D307" s="39"/>
      <c r="E307" s="39"/>
      <c r="F307" s="40"/>
      <c r="G307" s="40"/>
      <c r="H307" s="41"/>
      <c r="I307" s="39"/>
      <c r="J307" s="40"/>
      <c r="K307" s="40"/>
      <c r="L307" s="41"/>
      <c r="M307" s="39"/>
      <c r="N307" s="40"/>
      <c r="O307" s="40"/>
      <c r="P307" s="39"/>
      <c r="Q307" s="39"/>
      <c r="R307" s="40"/>
      <c r="S307" s="40"/>
      <c r="T307" s="39"/>
      <c r="U307" s="39"/>
      <c r="V307" s="40"/>
      <c r="W307" s="40"/>
      <c r="X307" s="41"/>
      <c r="Y307" s="41"/>
      <c r="Z307" s="40"/>
      <c r="AA307" s="40"/>
      <c r="AB307" s="41"/>
      <c r="AC307" s="41"/>
      <c r="AD307" s="40"/>
      <c r="AE307" s="40"/>
      <c r="AF307" s="42"/>
      <c r="AG307" s="42"/>
      <c r="AH307" s="40"/>
      <c r="AI307" s="40"/>
      <c r="AJ307" s="42"/>
      <c r="AK307" s="42"/>
      <c r="AL307" s="40"/>
      <c r="AM307" s="40"/>
      <c r="AN307" s="40"/>
      <c r="AO307" s="40"/>
      <c r="AP307" s="40"/>
      <c r="AQ307" s="40"/>
      <c r="AR307" s="39"/>
      <c r="AS307" s="39"/>
      <c r="AT307" s="40"/>
      <c r="AU307" s="40"/>
      <c r="AV307" s="23"/>
    </row>
    <row r="308" spans="1:48" ht="15.75" x14ac:dyDescent="0.25">
      <c r="A308" s="44"/>
      <c r="B308" s="23"/>
      <c r="C308" s="23"/>
      <c r="D308" s="39"/>
      <c r="E308" s="39"/>
      <c r="F308" s="40"/>
      <c r="G308" s="40"/>
      <c r="H308" s="41"/>
      <c r="I308" s="39"/>
      <c r="J308" s="40"/>
      <c r="K308" s="40"/>
      <c r="L308" s="41"/>
      <c r="M308" s="39"/>
      <c r="N308" s="40"/>
      <c r="O308" s="40"/>
      <c r="P308" s="39"/>
      <c r="Q308" s="39"/>
      <c r="R308" s="40"/>
      <c r="S308" s="40"/>
      <c r="T308" s="39"/>
      <c r="U308" s="39"/>
      <c r="V308" s="40"/>
      <c r="W308" s="40"/>
      <c r="X308" s="41"/>
      <c r="Y308" s="41"/>
      <c r="Z308" s="40"/>
      <c r="AA308" s="40"/>
      <c r="AB308" s="41"/>
      <c r="AC308" s="41"/>
      <c r="AD308" s="40"/>
      <c r="AE308" s="40"/>
      <c r="AF308" s="42"/>
      <c r="AG308" s="42"/>
      <c r="AH308" s="40"/>
      <c r="AI308" s="40"/>
      <c r="AJ308" s="42"/>
      <c r="AK308" s="42"/>
      <c r="AL308" s="40"/>
      <c r="AM308" s="40"/>
      <c r="AN308" s="40"/>
      <c r="AO308" s="40"/>
      <c r="AP308" s="40"/>
      <c r="AQ308" s="40"/>
      <c r="AR308" s="39"/>
      <c r="AS308" s="39"/>
      <c r="AT308" s="40"/>
      <c r="AU308" s="40"/>
      <c r="AV308" s="23"/>
    </row>
    <row r="309" spans="1:48" ht="15.75" x14ac:dyDescent="0.25">
      <c r="A309" s="44"/>
      <c r="B309" s="23"/>
      <c r="C309" s="23"/>
      <c r="D309" s="39"/>
      <c r="E309" s="39"/>
      <c r="F309" s="40"/>
      <c r="G309" s="40"/>
      <c r="H309" s="41"/>
      <c r="I309" s="39"/>
      <c r="J309" s="40"/>
      <c r="K309" s="40"/>
      <c r="L309" s="41"/>
      <c r="M309" s="39"/>
      <c r="N309" s="40"/>
      <c r="O309" s="40"/>
      <c r="P309" s="39"/>
      <c r="Q309" s="39"/>
      <c r="R309" s="40"/>
      <c r="S309" s="40"/>
      <c r="T309" s="39"/>
      <c r="U309" s="39"/>
      <c r="V309" s="40"/>
      <c r="W309" s="40"/>
      <c r="X309" s="41"/>
      <c r="Y309" s="41"/>
      <c r="Z309" s="40"/>
      <c r="AA309" s="40"/>
      <c r="AB309" s="41"/>
      <c r="AC309" s="41"/>
      <c r="AD309" s="40"/>
      <c r="AE309" s="40"/>
      <c r="AF309" s="42"/>
      <c r="AG309" s="42"/>
      <c r="AH309" s="40"/>
      <c r="AI309" s="40"/>
      <c r="AJ309" s="42"/>
      <c r="AK309" s="42"/>
      <c r="AL309" s="40"/>
      <c r="AM309" s="40"/>
      <c r="AN309" s="40"/>
      <c r="AO309" s="40"/>
      <c r="AP309" s="40"/>
      <c r="AQ309" s="40"/>
      <c r="AR309" s="39"/>
      <c r="AS309" s="39"/>
      <c r="AT309" s="40"/>
      <c r="AU309" s="40"/>
      <c r="AV309" s="23"/>
    </row>
    <row r="310" spans="1:48" ht="15.75" x14ac:dyDescent="0.25">
      <c r="A310" s="44"/>
      <c r="B310" s="23"/>
      <c r="C310" s="23"/>
      <c r="D310" s="39"/>
      <c r="E310" s="39"/>
      <c r="F310" s="40"/>
      <c r="G310" s="40"/>
      <c r="H310" s="41"/>
      <c r="I310" s="39"/>
      <c r="J310" s="40"/>
      <c r="K310" s="40"/>
      <c r="L310" s="41"/>
      <c r="M310" s="39"/>
      <c r="N310" s="40"/>
      <c r="O310" s="40"/>
      <c r="P310" s="39"/>
      <c r="Q310" s="39"/>
      <c r="R310" s="40"/>
      <c r="S310" s="40"/>
      <c r="T310" s="39"/>
      <c r="U310" s="39"/>
      <c r="V310" s="40"/>
      <c r="W310" s="40"/>
      <c r="X310" s="41"/>
      <c r="Y310" s="41"/>
      <c r="Z310" s="40"/>
      <c r="AA310" s="40"/>
      <c r="AB310" s="41"/>
      <c r="AC310" s="41"/>
      <c r="AD310" s="40"/>
      <c r="AE310" s="40"/>
      <c r="AF310" s="42"/>
      <c r="AG310" s="42"/>
      <c r="AH310" s="40"/>
      <c r="AI310" s="40"/>
      <c r="AJ310" s="42"/>
      <c r="AK310" s="42"/>
      <c r="AL310" s="40"/>
      <c r="AM310" s="40"/>
      <c r="AN310" s="40"/>
      <c r="AO310" s="40"/>
      <c r="AP310" s="40"/>
      <c r="AQ310" s="40"/>
      <c r="AR310" s="39"/>
      <c r="AS310" s="39"/>
      <c r="AT310" s="40"/>
      <c r="AU310" s="40"/>
      <c r="AV310" s="23"/>
    </row>
    <row r="311" spans="1:48" ht="15.75" x14ac:dyDescent="0.25">
      <c r="A311" s="44"/>
      <c r="B311" s="23"/>
      <c r="C311" s="23"/>
      <c r="D311" s="39"/>
      <c r="E311" s="39"/>
      <c r="F311" s="40"/>
      <c r="G311" s="40"/>
      <c r="H311" s="41"/>
      <c r="I311" s="39"/>
      <c r="J311" s="40"/>
      <c r="K311" s="40"/>
      <c r="L311" s="41"/>
      <c r="M311" s="39"/>
      <c r="N311" s="40"/>
      <c r="O311" s="40"/>
      <c r="P311" s="39"/>
      <c r="Q311" s="39"/>
      <c r="R311" s="40"/>
      <c r="S311" s="40"/>
      <c r="T311" s="39"/>
      <c r="U311" s="39"/>
      <c r="V311" s="40"/>
      <c r="W311" s="40"/>
      <c r="X311" s="41"/>
      <c r="Y311" s="41"/>
      <c r="Z311" s="40"/>
      <c r="AA311" s="40"/>
      <c r="AB311" s="41"/>
      <c r="AC311" s="41"/>
      <c r="AD311" s="40"/>
      <c r="AE311" s="40"/>
      <c r="AF311" s="42"/>
      <c r="AG311" s="42"/>
      <c r="AH311" s="40"/>
      <c r="AI311" s="40"/>
      <c r="AJ311" s="42"/>
      <c r="AK311" s="42"/>
      <c r="AL311" s="40"/>
      <c r="AM311" s="40"/>
      <c r="AN311" s="40"/>
      <c r="AO311" s="40"/>
      <c r="AP311" s="40"/>
      <c r="AQ311" s="40"/>
      <c r="AR311" s="39"/>
      <c r="AS311" s="39"/>
      <c r="AT311" s="40"/>
      <c r="AU311" s="40"/>
      <c r="AV311" s="23"/>
    </row>
    <row r="312" spans="1:48" ht="15.75" x14ac:dyDescent="0.25">
      <c r="A312" s="44"/>
      <c r="B312" s="23"/>
      <c r="C312" s="23"/>
      <c r="D312" s="39"/>
      <c r="E312" s="39"/>
      <c r="F312" s="40"/>
      <c r="G312" s="40"/>
      <c r="H312" s="41"/>
      <c r="I312" s="39"/>
      <c r="J312" s="40"/>
      <c r="K312" s="40"/>
      <c r="L312" s="41"/>
      <c r="M312" s="39"/>
      <c r="N312" s="40"/>
      <c r="O312" s="40"/>
      <c r="P312" s="39"/>
      <c r="Q312" s="39"/>
      <c r="R312" s="40"/>
      <c r="S312" s="40"/>
      <c r="T312" s="39"/>
      <c r="U312" s="39"/>
      <c r="V312" s="40"/>
      <c r="W312" s="40"/>
      <c r="X312" s="41"/>
      <c r="Y312" s="41"/>
      <c r="Z312" s="40"/>
      <c r="AA312" s="40"/>
      <c r="AB312" s="41"/>
      <c r="AC312" s="41"/>
      <c r="AD312" s="40"/>
      <c r="AE312" s="40"/>
      <c r="AF312" s="42"/>
      <c r="AG312" s="42"/>
      <c r="AH312" s="40"/>
      <c r="AI312" s="40"/>
      <c r="AJ312" s="42"/>
      <c r="AK312" s="42"/>
      <c r="AL312" s="40"/>
      <c r="AM312" s="40"/>
      <c r="AN312" s="40"/>
      <c r="AO312" s="40"/>
      <c r="AP312" s="40"/>
      <c r="AQ312" s="40"/>
      <c r="AR312" s="39"/>
      <c r="AS312" s="39"/>
      <c r="AT312" s="40"/>
      <c r="AU312" s="40"/>
      <c r="AV312" s="23"/>
    </row>
    <row r="313" spans="1:48" ht="15.75" x14ac:dyDescent="0.25">
      <c r="A313" s="44"/>
      <c r="B313" s="23"/>
      <c r="C313" s="23"/>
      <c r="D313" s="39"/>
      <c r="E313" s="39"/>
      <c r="F313" s="40"/>
      <c r="G313" s="40"/>
      <c r="H313" s="41"/>
      <c r="I313" s="39"/>
      <c r="J313" s="40"/>
      <c r="K313" s="40"/>
      <c r="L313" s="41"/>
      <c r="M313" s="39"/>
      <c r="N313" s="40"/>
      <c r="O313" s="40"/>
      <c r="P313" s="39"/>
      <c r="Q313" s="39"/>
      <c r="R313" s="40"/>
      <c r="S313" s="40"/>
      <c r="T313" s="39"/>
      <c r="U313" s="39"/>
      <c r="V313" s="40"/>
      <c r="W313" s="40"/>
      <c r="X313" s="41"/>
      <c r="Y313" s="41"/>
      <c r="Z313" s="40"/>
      <c r="AA313" s="40"/>
      <c r="AB313" s="41"/>
      <c r="AC313" s="41"/>
      <c r="AD313" s="40"/>
      <c r="AE313" s="40"/>
      <c r="AF313" s="42"/>
      <c r="AG313" s="42"/>
      <c r="AH313" s="40"/>
      <c r="AI313" s="40"/>
      <c r="AJ313" s="42"/>
      <c r="AK313" s="42"/>
      <c r="AL313" s="40"/>
      <c r="AM313" s="40"/>
      <c r="AN313" s="40"/>
      <c r="AO313" s="40"/>
      <c r="AP313" s="40"/>
      <c r="AQ313" s="40"/>
      <c r="AR313" s="39"/>
      <c r="AS313" s="39"/>
      <c r="AT313" s="40"/>
      <c r="AU313" s="40"/>
      <c r="AV313" s="23"/>
    </row>
    <row r="314" spans="1:48" ht="15.75" x14ac:dyDescent="0.25">
      <c r="A314" s="44"/>
      <c r="B314" s="23"/>
      <c r="C314" s="23"/>
      <c r="D314" s="39"/>
      <c r="E314" s="39"/>
      <c r="F314" s="40"/>
      <c r="G314" s="40"/>
      <c r="H314" s="41"/>
      <c r="I314" s="39"/>
      <c r="J314" s="40"/>
      <c r="K314" s="40"/>
      <c r="L314" s="41"/>
      <c r="M314" s="39"/>
      <c r="N314" s="40"/>
      <c r="O314" s="40"/>
      <c r="P314" s="39"/>
      <c r="Q314" s="39"/>
      <c r="R314" s="40"/>
      <c r="S314" s="40"/>
      <c r="T314" s="39"/>
      <c r="U314" s="39"/>
      <c r="V314" s="40"/>
      <c r="W314" s="40"/>
      <c r="X314" s="41"/>
      <c r="Y314" s="41"/>
      <c r="Z314" s="40"/>
      <c r="AA314" s="40"/>
      <c r="AB314" s="41"/>
      <c r="AC314" s="41"/>
      <c r="AD314" s="40"/>
      <c r="AE314" s="40"/>
      <c r="AF314" s="42"/>
      <c r="AG314" s="42"/>
      <c r="AH314" s="40"/>
      <c r="AI314" s="40"/>
      <c r="AJ314" s="42"/>
      <c r="AK314" s="42"/>
      <c r="AL314" s="40"/>
      <c r="AM314" s="40"/>
      <c r="AN314" s="40"/>
      <c r="AO314" s="40"/>
      <c r="AP314" s="40"/>
      <c r="AQ314" s="40"/>
      <c r="AR314" s="39"/>
      <c r="AS314" s="39"/>
      <c r="AT314" s="40"/>
      <c r="AU314" s="40"/>
      <c r="AV314" s="23"/>
    </row>
    <row r="315" spans="1:48" ht="15.75" x14ac:dyDescent="0.25">
      <c r="A315" s="44"/>
      <c r="B315" s="23"/>
      <c r="C315" s="23"/>
      <c r="D315" s="39"/>
      <c r="E315" s="39"/>
      <c r="F315" s="40"/>
      <c r="G315" s="40"/>
      <c r="H315" s="41"/>
      <c r="I315" s="39"/>
      <c r="J315" s="40"/>
      <c r="K315" s="40"/>
      <c r="L315" s="41"/>
      <c r="M315" s="39"/>
      <c r="N315" s="40"/>
      <c r="O315" s="40"/>
      <c r="P315" s="39"/>
      <c r="Q315" s="39"/>
      <c r="R315" s="40"/>
      <c r="S315" s="40"/>
      <c r="T315" s="39"/>
      <c r="U315" s="39"/>
      <c r="V315" s="40"/>
      <c r="W315" s="40"/>
      <c r="X315" s="41"/>
      <c r="Y315" s="41"/>
      <c r="Z315" s="40"/>
      <c r="AA315" s="40"/>
      <c r="AB315" s="41"/>
      <c r="AC315" s="41"/>
      <c r="AD315" s="40"/>
      <c r="AE315" s="40"/>
      <c r="AF315" s="42"/>
      <c r="AG315" s="42"/>
      <c r="AH315" s="40"/>
      <c r="AI315" s="40"/>
      <c r="AJ315" s="42"/>
      <c r="AK315" s="42"/>
      <c r="AL315" s="40"/>
      <c r="AM315" s="40"/>
      <c r="AN315" s="40"/>
      <c r="AO315" s="40"/>
      <c r="AP315" s="40"/>
      <c r="AQ315" s="40"/>
      <c r="AR315" s="39"/>
      <c r="AS315" s="39"/>
      <c r="AT315" s="40"/>
      <c r="AU315" s="40"/>
      <c r="AV315" s="23"/>
    </row>
    <row r="316" spans="1:48" ht="15.75" x14ac:dyDescent="0.25">
      <c r="A316" s="44"/>
      <c r="B316" s="23"/>
      <c r="C316" s="23"/>
      <c r="D316" s="39"/>
      <c r="E316" s="39"/>
      <c r="F316" s="40"/>
      <c r="G316" s="40"/>
      <c r="H316" s="41"/>
      <c r="I316" s="39"/>
      <c r="J316" s="40"/>
      <c r="K316" s="40"/>
      <c r="L316" s="41"/>
      <c r="M316" s="39"/>
      <c r="N316" s="40"/>
      <c r="O316" s="40"/>
      <c r="P316" s="39"/>
      <c r="Q316" s="39"/>
      <c r="R316" s="40"/>
      <c r="S316" s="40"/>
      <c r="T316" s="39"/>
      <c r="U316" s="39"/>
      <c r="V316" s="40"/>
      <c r="W316" s="40"/>
      <c r="X316" s="41"/>
      <c r="Y316" s="41"/>
      <c r="Z316" s="40"/>
      <c r="AA316" s="40"/>
      <c r="AB316" s="41"/>
      <c r="AC316" s="41"/>
      <c r="AD316" s="40"/>
      <c r="AE316" s="40"/>
      <c r="AF316" s="42"/>
      <c r="AG316" s="42"/>
      <c r="AH316" s="40"/>
      <c r="AI316" s="40"/>
      <c r="AJ316" s="42"/>
      <c r="AK316" s="42"/>
      <c r="AL316" s="40"/>
      <c r="AM316" s="40"/>
      <c r="AN316" s="40"/>
      <c r="AO316" s="40"/>
      <c r="AP316" s="40"/>
      <c r="AQ316" s="40"/>
      <c r="AR316" s="39"/>
      <c r="AS316" s="39"/>
      <c r="AT316" s="40"/>
      <c r="AU316" s="40"/>
      <c r="AV316" s="23"/>
    </row>
    <row r="317" spans="1:48" ht="15.75" x14ac:dyDescent="0.25">
      <c r="A317" s="44"/>
      <c r="B317" s="23"/>
      <c r="C317" s="23"/>
      <c r="D317" s="39"/>
      <c r="E317" s="39"/>
      <c r="F317" s="40"/>
      <c r="G317" s="40"/>
      <c r="H317" s="41"/>
      <c r="I317" s="39"/>
      <c r="J317" s="40"/>
      <c r="K317" s="40"/>
      <c r="L317" s="41"/>
      <c r="M317" s="39"/>
      <c r="N317" s="40"/>
      <c r="O317" s="40"/>
      <c r="P317" s="39"/>
      <c r="Q317" s="39"/>
      <c r="R317" s="40"/>
      <c r="S317" s="40"/>
      <c r="T317" s="39"/>
      <c r="U317" s="39"/>
      <c r="V317" s="40"/>
      <c r="W317" s="40"/>
      <c r="X317" s="41"/>
      <c r="Y317" s="41"/>
      <c r="Z317" s="40"/>
      <c r="AA317" s="40"/>
      <c r="AB317" s="41"/>
      <c r="AC317" s="41"/>
      <c r="AD317" s="40"/>
      <c r="AE317" s="40"/>
      <c r="AF317" s="42"/>
      <c r="AG317" s="42"/>
      <c r="AH317" s="40"/>
      <c r="AI317" s="40"/>
      <c r="AJ317" s="42"/>
      <c r="AK317" s="42"/>
      <c r="AL317" s="40"/>
      <c r="AM317" s="40"/>
      <c r="AN317" s="40"/>
      <c r="AO317" s="40"/>
      <c r="AP317" s="40"/>
      <c r="AQ317" s="40"/>
      <c r="AR317" s="39"/>
      <c r="AS317" s="39"/>
      <c r="AT317" s="40"/>
      <c r="AU317" s="40"/>
      <c r="AV317" s="23"/>
    </row>
    <row r="318" spans="1:48" ht="15.75" x14ac:dyDescent="0.25">
      <c r="A318" s="44"/>
      <c r="B318" s="23"/>
      <c r="C318" s="23"/>
      <c r="D318" s="39"/>
      <c r="E318" s="39"/>
      <c r="F318" s="40"/>
      <c r="G318" s="40"/>
      <c r="H318" s="41"/>
      <c r="I318" s="39"/>
      <c r="J318" s="40"/>
      <c r="K318" s="40"/>
      <c r="L318" s="41"/>
      <c r="M318" s="39"/>
      <c r="N318" s="40"/>
      <c r="O318" s="40"/>
      <c r="P318" s="39"/>
      <c r="Q318" s="39"/>
      <c r="R318" s="40"/>
      <c r="S318" s="40"/>
      <c r="T318" s="39"/>
      <c r="U318" s="39"/>
      <c r="V318" s="40"/>
      <c r="W318" s="40"/>
      <c r="X318" s="41"/>
      <c r="Y318" s="41"/>
      <c r="Z318" s="40"/>
      <c r="AA318" s="40"/>
      <c r="AB318" s="41"/>
      <c r="AC318" s="41"/>
      <c r="AD318" s="40"/>
      <c r="AE318" s="40"/>
      <c r="AF318" s="42"/>
      <c r="AG318" s="42"/>
      <c r="AH318" s="40"/>
      <c r="AI318" s="40"/>
      <c r="AJ318" s="42"/>
      <c r="AK318" s="42"/>
      <c r="AL318" s="40"/>
      <c r="AM318" s="40"/>
      <c r="AN318" s="40"/>
      <c r="AO318" s="40"/>
      <c r="AP318" s="40"/>
      <c r="AQ318" s="40"/>
      <c r="AR318" s="39"/>
      <c r="AS318" s="39"/>
      <c r="AT318" s="40"/>
      <c r="AU318" s="40"/>
      <c r="AV318" s="23"/>
    </row>
    <row r="319" spans="1:48" ht="15.75" x14ac:dyDescent="0.25">
      <c r="A319" s="44"/>
      <c r="B319" s="23"/>
      <c r="C319" s="23"/>
      <c r="D319" s="39"/>
      <c r="E319" s="39"/>
      <c r="F319" s="40"/>
      <c r="G319" s="40"/>
      <c r="H319" s="41"/>
      <c r="I319" s="39"/>
      <c r="J319" s="40"/>
      <c r="K319" s="40"/>
      <c r="L319" s="41"/>
      <c r="M319" s="39"/>
      <c r="N319" s="40"/>
      <c r="O319" s="40"/>
      <c r="P319" s="39"/>
      <c r="Q319" s="39"/>
      <c r="R319" s="40"/>
      <c r="S319" s="40"/>
      <c r="T319" s="39"/>
      <c r="U319" s="39"/>
      <c r="V319" s="40"/>
      <c r="W319" s="40"/>
      <c r="X319" s="41"/>
      <c r="Y319" s="41"/>
      <c r="Z319" s="40"/>
      <c r="AA319" s="40"/>
      <c r="AB319" s="41"/>
      <c r="AC319" s="41"/>
      <c r="AD319" s="40"/>
      <c r="AE319" s="40"/>
      <c r="AF319" s="42"/>
      <c r="AG319" s="42"/>
      <c r="AH319" s="40"/>
      <c r="AI319" s="40"/>
      <c r="AJ319" s="42"/>
      <c r="AK319" s="42"/>
      <c r="AL319" s="40"/>
      <c r="AM319" s="40"/>
      <c r="AN319" s="40"/>
      <c r="AO319" s="40"/>
      <c r="AP319" s="40"/>
      <c r="AQ319" s="40"/>
      <c r="AR319" s="39"/>
      <c r="AS319" s="39"/>
      <c r="AT319" s="40"/>
      <c r="AU319" s="40"/>
      <c r="AV319" s="23"/>
    </row>
    <row r="320" spans="1:48" ht="15.75" x14ac:dyDescent="0.25">
      <c r="A320" s="44"/>
      <c r="B320" s="23"/>
      <c r="C320" s="23"/>
      <c r="D320" s="39"/>
      <c r="E320" s="39"/>
      <c r="F320" s="40"/>
      <c r="G320" s="40"/>
      <c r="H320" s="41"/>
      <c r="I320" s="39"/>
      <c r="J320" s="40"/>
      <c r="K320" s="40"/>
      <c r="L320" s="41"/>
      <c r="M320" s="39"/>
      <c r="N320" s="40"/>
      <c r="O320" s="40"/>
      <c r="P320" s="39"/>
      <c r="Q320" s="39"/>
      <c r="R320" s="40"/>
      <c r="S320" s="40"/>
      <c r="T320" s="39"/>
      <c r="U320" s="39"/>
      <c r="V320" s="40"/>
      <c r="W320" s="40"/>
      <c r="X320" s="41"/>
      <c r="Y320" s="41"/>
      <c r="Z320" s="40"/>
      <c r="AA320" s="40"/>
      <c r="AB320" s="41"/>
      <c r="AC320" s="41"/>
      <c r="AD320" s="40"/>
      <c r="AE320" s="40"/>
      <c r="AF320" s="42"/>
      <c r="AG320" s="42"/>
      <c r="AH320" s="40"/>
      <c r="AI320" s="40"/>
      <c r="AJ320" s="42"/>
      <c r="AK320" s="42"/>
      <c r="AL320" s="40"/>
      <c r="AM320" s="40"/>
      <c r="AN320" s="40"/>
      <c r="AO320" s="40"/>
      <c r="AP320" s="40"/>
      <c r="AQ320" s="40"/>
      <c r="AR320" s="39"/>
      <c r="AS320" s="39"/>
      <c r="AT320" s="40"/>
      <c r="AU320" s="40"/>
      <c r="AV320" s="23"/>
    </row>
    <row r="321" spans="1:48" ht="15.75" x14ac:dyDescent="0.25">
      <c r="A321" s="44"/>
      <c r="B321" s="23"/>
      <c r="C321" s="23"/>
      <c r="D321" s="39"/>
      <c r="E321" s="39"/>
      <c r="F321" s="40"/>
      <c r="G321" s="40"/>
      <c r="H321" s="41"/>
      <c r="I321" s="39"/>
      <c r="J321" s="40"/>
      <c r="K321" s="40"/>
      <c r="L321" s="41"/>
      <c r="M321" s="39"/>
      <c r="N321" s="40"/>
      <c r="O321" s="40"/>
      <c r="P321" s="39"/>
      <c r="Q321" s="39"/>
      <c r="R321" s="40"/>
      <c r="S321" s="40"/>
      <c r="T321" s="39"/>
      <c r="U321" s="39"/>
      <c r="V321" s="40"/>
      <c r="W321" s="40"/>
      <c r="X321" s="41"/>
      <c r="Y321" s="41"/>
      <c r="Z321" s="40"/>
      <c r="AA321" s="40"/>
      <c r="AB321" s="41"/>
      <c r="AC321" s="41"/>
      <c r="AD321" s="40"/>
      <c r="AE321" s="40"/>
      <c r="AF321" s="42"/>
      <c r="AG321" s="42"/>
      <c r="AH321" s="40"/>
      <c r="AI321" s="40"/>
      <c r="AJ321" s="42"/>
      <c r="AK321" s="42"/>
      <c r="AL321" s="40"/>
      <c r="AM321" s="40"/>
      <c r="AN321" s="40"/>
      <c r="AO321" s="40"/>
      <c r="AP321" s="40"/>
      <c r="AQ321" s="40"/>
      <c r="AR321" s="39"/>
      <c r="AS321" s="39"/>
      <c r="AT321" s="40"/>
      <c r="AU321" s="40"/>
      <c r="AV321" s="23"/>
    </row>
    <row r="322" spans="1:48" ht="15.75" x14ac:dyDescent="0.25">
      <c r="A322" s="44"/>
      <c r="B322" s="23"/>
      <c r="C322" s="23"/>
      <c r="D322" s="39"/>
      <c r="E322" s="39"/>
      <c r="F322" s="40"/>
      <c r="G322" s="40"/>
      <c r="H322" s="41"/>
      <c r="I322" s="39"/>
      <c r="J322" s="40"/>
      <c r="K322" s="40"/>
      <c r="L322" s="41"/>
      <c r="M322" s="39"/>
      <c r="N322" s="40"/>
      <c r="O322" s="40"/>
      <c r="P322" s="39"/>
      <c r="Q322" s="39"/>
      <c r="R322" s="40"/>
      <c r="S322" s="40"/>
      <c r="T322" s="39"/>
      <c r="U322" s="39"/>
      <c r="V322" s="40"/>
      <c r="W322" s="40"/>
      <c r="X322" s="41"/>
      <c r="Y322" s="41"/>
      <c r="Z322" s="40"/>
      <c r="AA322" s="40"/>
      <c r="AB322" s="41"/>
      <c r="AC322" s="41"/>
      <c r="AD322" s="40"/>
      <c r="AE322" s="40"/>
      <c r="AF322" s="42"/>
      <c r="AG322" s="42"/>
      <c r="AH322" s="40"/>
      <c r="AI322" s="40"/>
      <c r="AJ322" s="42"/>
      <c r="AK322" s="42"/>
      <c r="AL322" s="40"/>
      <c r="AM322" s="40"/>
      <c r="AN322" s="40"/>
      <c r="AO322" s="40"/>
      <c r="AP322" s="40"/>
      <c r="AQ322" s="40"/>
      <c r="AR322" s="39"/>
      <c r="AS322" s="39"/>
      <c r="AT322" s="40"/>
      <c r="AU322" s="40"/>
      <c r="AV322" s="23"/>
    </row>
    <row r="323" spans="1:48" ht="15.75" x14ac:dyDescent="0.25">
      <c r="A323" s="44"/>
      <c r="B323" s="23"/>
      <c r="C323" s="23"/>
      <c r="D323" s="39"/>
      <c r="E323" s="39"/>
      <c r="F323" s="40"/>
      <c r="G323" s="40"/>
      <c r="H323" s="41"/>
      <c r="I323" s="39"/>
      <c r="J323" s="40"/>
      <c r="K323" s="40"/>
      <c r="L323" s="41"/>
      <c r="M323" s="39"/>
      <c r="N323" s="40"/>
      <c r="O323" s="40"/>
      <c r="P323" s="39"/>
      <c r="Q323" s="39"/>
      <c r="R323" s="40"/>
      <c r="S323" s="40"/>
      <c r="T323" s="39"/>
      <c r="U323" s="39"/>
      <c r="V323" s="40"/>
      <c r="W323" s="40"/>
      <c r="X323" s="41"/>
      <c r="Y323" s="41"/>
      <c r="Z323" s="40"/>
      <c r="AA323" s="40"/>
      <c r="AB323" s="41"/>
      <c r="AC323" s="41"/>
      <c r="AD323" s="40"/>
      <c r="AE323" s="40"/>
      <c r="AF323" s="42"/>
      <c r="AG323" s="42"/>
      <c r="AH323" s="40"/>
      <c r="AI323" s="40"/>
      <c r="AJ323" s="42"/>
      <c r="AK323" s="42"/>
      <c r="AL323" s="40"/>
      <c r="AM323" s="40"/>
      <c r="AN323" s="40"/>
      <c r="AO323" s="40"/>
      <c r="AP323" s="40"/>
      <c r="AQ323" s="40"/>
      <c r="AR323" s="39"/>
      <c r="AS323" s="39"/>
      <c r="AT323" s="40"/>
      <c r="AU323" s="40"/>
      <c r="AV323" s="23"/>
    </row>
    <row r="324" spans="1:48" ht="15.75" x14ac:dyDescent="0.25">
      <c r="A324" s="44"/>
      <c r="B324" s="23"/>
      <c r="C324" s="23"/>
      <c r="D324" s="39"/>
      <c r="E324" s="39"/>
      <c r="F324" s="40"/>
      <c r="G324" s="40"/>
      <c r="H324" s="41"/>
      <c r="I324" s="39"/>
      <c r="J324" s="40"/>
      <c r="K324" s="40"/>
      <c r="L324" s="41"/>
      <c r="M324" s="39"/>
      <c r="N324" s="40"/>
      <c r="O324" s="40"/>
      <c r="P324" s="39"/>
      <c r="Q324" s="39"/>
      <c r="R324" s="40"/>
      <c r="S324" s="40"/>
      <c r="T324" s="39"/>
      <c r="U324" s="39"/>
      <c r="V324" s="40"/>
      <c r="W324" s="40"/>
      <c r="X324" s="41"/>
      <c r="Y324" s="41"/>
      <c r="Z324" s="40"/>
      <c r="AA324" s="40"/>
      <c r="AB324" s="41"/>
      <c r="AC324" s="41"/>
      <c r="AD324" s="40"/>
      <c r="AE324" s="40"/>
      <c r="AF324" s="42"/>
      <c r="AG324" s="42"/>
      <c r="AH324" s="40"/>
      <c r="AI324" s="40"/>
      <c r="AJ324" s="42"/>
      <c r="AK324" s="42"/>
      <c r="AL324" s="40"/>
      <c r="AM324" s="40"/>
      <c r="AN324" s="40"/>
      <c r="AO324" s="40"/>
      <c r="AP324" s="40"/>
      <c r="AQ324" s="40"/>
      <c r="AR324" s="39"/>
      <c r="AS324" s="39"/>
      <c r="AT324" s="40"/>
      <c r="AU324" s="40"/>
      <c r="AV324" s="23"/>
    </row>
    <row r="325" spans="1:48" ht="15.75" x14ac:dyDescent="0.25">
      <c r="A325" s="44"/>
      <c r="B325" s="23"/>
      <c r="C325" s="23"/>
      <c r="D325" s="39"/>
      <c r="E325" s="39"/>
      <c r="F325" s="40"/>
      <c r="G325" s="40"/>
      <c r="H325" s="41"/>
      <c r="I325" s="39"/>
      <c r="J325" s="40"/>
      <c r="K325" s="40"/>
      <c r="L325" s="41"/>
      <c r="M325" s="39"/>
      <c r="N325" s="40"/>
      <c r="O325" s="40"/>
      <c r="P325" s="39"/>
      <c r="Q325" s="39"/>
      <c r="R325" s="40"/>
      <c r="S325" s="40"/>
      <c r="T325" s="39"/>
      <c r="U325" s="39"/>
      <c r="V325" s="40"/>
      <c r="W325" s="40"/>
      <c r="X325" s="41"/>
      <c r="Y325" s="41"/>
      <c r="Z325" s="40"/>
      <c r="AA325" s="40"/>
      <c r="AB325" s="41"/>
      <c r="AC325" s="41"/>
      <c r="AD325" s="40"/>
      <c r="AE325" s="40"/>
      <c r="AF325" s="42"/>
      <c r="AG325" s="42"/>
      <c r="AH325" s="40"/>
      <c r="AI325" s="40"/>
      <c r="AJ325" s="42"/>
      <c r="AK325" s="42"/>
      <c r="AL325" s="40"/>
      <c r="AM325" s="40"/>
      <c r="AN325" s="40"/>
      <c r="AO325" s="40"/>
      <c r="AP325" s="40"/>
      <c r="AQ325" s="40"/>
      <c r="AR325" s="39"/>
      <c r="AS325" s="39"/>
      <c r="AT325" s="40"/>
      <c r="AU325" s="40"/>
      <c r="AV325" s="23"/>
    </row>
    <row r="326" spans="1:48" ht="15.75" x14ac:dyDescent="0.25">
      <c r="A326" s="44"/>
      <c r="B326" s="23"/>
      <c r="C326" s="23"/>
      <c r="D326" s="39"/>
      <c r="E326" s="39"/>
      <c r="F326" s="40"/>
      <c r="G326" s="40"/>
      <c r="H326" s="41"/>
      <c r="I326" s="39"/>
      <c r="J326" s="40"/>
      <c r="K326" s="40"/>
      <c r="L326" s="41"/>
      <c r="M326" s="39"/>
      <c r="N326" s="40"/>
      <c r="O326" s="40"/>
      <c r="P326" s="39"/>
      <c r="Q326" s="39"/>
      <c r="R326" s="40"/>
      <c r="S326" s="40"/>
      <c r="T326" s="39"/>
      <c r="U326" s="39"/>
      <c r="V326" s="40"/>
      <c r="W326" s="40"/>
      <c r="X326" s="41"/>
      <c r="Y326" s="41"/>
      <c r="Z326" s="40"/>
      <c r="AA326" s="40"/>
      <c r="AB326" s="41"/>
      <c r="AC326" s="41"/>
      <c r="AD326" s="40"/>
      <c r="AE326" s="40"/>
      <c r="AF326" s="42"/>
      <c r="AG326" s="42"/>
      <c r="AH326" s="40"/>
      <c r="AI326" s="40"/>
      <c r="AJ326" s="42"/>
      <c r="AK326" s="42"/>
      <c r="AL326" s="40"/>
      <c r="AM326" s="40"/>
      <c r="AN326" s="40"/>
      <c r="AO326" s="40"/>
      <c r="AP326" s="40"/>
      <c r="AQ326" s="40"/>
      <c r="AR326" s="39"/>
      <c r="AS326" s="39"/>
      <c r="AT326" s="40"/>
      <c r="AU326" s="40"/>
      <c r="AV326" s="23"/>
    </row>
    <row r="327" spans="1:48" ht="15.75" x14ac:dyDescent="0.25">
      <c r="A327" s="44"/>
      <c r="B327" s="23"/>
      <c r="C327" s="23"/>
      <c r="D327" s="39"/>
      <c r="E327" s="39"/>
      <c r="F327" s="40"/>
      <c r="G327" s="40"/>
      <c r="H327" s="41"/>
      <c r="I327" s="39"/>
      <c r="J327" s="40"/>
      <c r="K327" s="40"/>
      <c r="L327" s="41"/>
      <c r="M327" s="39"/>
      <c r="N327" s="40"/>
      <c r="O327" s="40"/>
      <c r="P327" s="39"/>
      <c r="Q327" s="39"/>
      <c r="R327" s="40"/>
      <c r="S327" s="40"/>
      <c r="T327" s="39"/>
      <c r="U327" s="39"/>
      <c r="V327" s="40"/>
      <c r="W327" s="40"/>
      <c r="X327" s="41"/>
      <c r="Y327" s="41"/>
      <c r="Z327" s="40"/>
      <c r="AA327" s="40"/>
      <c r="AB327" s="41"/>
      <c r="AC327" s="41"/>
      <c r="AD327" s="40"/>
      <c r="AE327" s="40"/>
      <c r="AF327" s="42"/>
      <c r="AG327" s="42"/>
      <c r="AH327" s="40"/>
      <c r="AI327" s="40"/>
      <c r="AJ327" s="42"/>
      <c r="AK327" s="42"/>
      <c r="AL327" s="40"/>
      <c r="AM327" s="40"/>
      <c r="AN327" s="40"/>
      <c r="AO327" s="40"/>
      <c r="AP327" s="40"/>
      <c r="AQ327" s="40"/>
      <c r="AR327" s="39"/>
      <c r="AS327" s="39"/>
      <c r="AT327" s="40"/>
      <c r="AU327" s="40"/>
      <c r="AV327" s="23"/>
    </row>
    <row r="328" spans="1:48" ht="15.75" x14ac:dyDescent="0.25">
      <c r="A328" s="44"/>
      <c r="B328" s="23"/>
      <c r="C328" s="23"/>
      <c r="D328" s="39"/>
      <c r="E328" s="39"/>
      <c r="F328" s="40"/>
      <c r="G328" s="40"/>
      <c r="H328" s="41"/>
      <c r="I328" s="39"/>
      <c r="J328" s="40"/>
      <c r="K328" s="40"/>
      <c r="L328" s="41"/>
      <c r="M328" s="39"/>
      <c r="N328" s="40"/>
      <c r="O328" s="40"/>
      <c r="P328" s="39"/>
      <c r="Q328" s="39"/>
      <c r="R328" s="40"/>
      <c r="S328" s="40"/>
      <c r="T328" s="39"/>
      <c r="U328" s="39"/>
      <c r="V328" s="40"/>
      <c r="W328" s="40"/>
      <c r="X328" s="41"/>
      <c r="Y328" s="41"/>
      <c r="Z328" s="40"/>
      <c r="AA328" s="40"/>
      <c r="AB328" s="41"/>
      <c r="AC328" s="41"/>
      <c r="AD328" s="40"/>
      <c r="AE328" s="40"/>
      <c r="AF328" s="42"/>
      <c r="AG328" s="42"/>
      <c r="AH328" s="40"/>
      <c r="AI328" s="40"/>
      <c r="AJ328" s="42"/>
      <c r="AK328" s="42"/>
      <c r="AL328" s="40"/>
      <c r="AM328" s="40"/>
      <c r="AN328" s="40"/>
      <c r="AO328" s="40"/>
      <c r="AP328" s="40"/>
      <c r="AQ328" s="40"/>
      <c r="AR328" s="39"/>
      <c r="AS328" s="39"/>
      <c r="AT328" s="40"/>
      <c r="AU328" s="40"/>
      <c r="AV328" s="23"/>
    </row>
    <row r="329" spans="1:48" ht="15.75" x14ac:dyDescent="0.25">
      <c r="A329" s="44"/>
      <c r="B329" s="23"/>
      <c r="C329" s="23"/>
      <c r="D329" s="39"/>
      <c r="E329" s="39"/>
      <c r="F329" s="40"/>
      <c r="G329" s="40"/>
      <c r="H329" s="41"/>
      <c r="I329" s="39"/>
      <c r="J329" s="40"/>
      <c r="K329" s="40"/>
      <c r="L329" s="41"/>
      <c r="M329" s="39"/>
      <c r="N329" s="40"/>
      <c r="O329" s="40"/>
      <c r="P329" s="39"/>
      <c r="Q329" s="39"/>
      <c r="R329" s="40"/>
      <c r="S329" s="40"/>
      <c r="T329" s="39"/>
      <c r="U329" s="39"/>
      <c r="V329" s="40"/>
      <c r="W329" s="40"/>
      <c r="X329" s="41"/>
      <c r="Y329" s="41"/>
      <c r="Z329" s="40"/>
      <c r="AA329" s="40"/>
      <c r="AB329" s="41"/>
      <c r="AC329" s="41"/>
      <c r="AD329" s="40"/>
      <c r="AE329" s="40"/>
      <c r="AF329" s="42"/>
      <c r="AG329" s="42"/>
      <c r="AH329" s="40"/>
      <c r="AI329" s="40"/>
      <c r="AJ329" s="42"/>
      <c r="AK329" s="42"/>
      <c r="AL329" s="40"/>
      <c r="AM329" s="40"/>
      <c r="AN329" s="40"/>
      <c r="AO329" s="40"/>
      <c r="AP329" s="40"/>
      <c r="AQ329" s="40"/>
      <c r="AR329" s="39"/>
      <c r="AS329" s="39"/>
      <c r="AT329" s="40"/>
      <c r="AU329" s="40"/>
      <c r="AV329" s="23"/>
    </row>
    <row r="330" spans="1:48" ht="15.75" x14ac:dyDescent="0.25">
      <c r="A330" s="44"/>
      <c r="B330" s="23"/>
      <c r="C330" s="23"/>
      <c r="D330" s="39"/>
      <c r="E330" s="39"/>
      <c r="F330" s="40"/>
      <c r="G330" s="40"/>
      <c r="H330" s="41"/>
      <c r="I330" s="39"/>
      <c r="J330" s="40"/>
      <c r="K330" s="40"/>
      <c r="L330" s="41"/>
      <c r="M330" s="39"/>
      <c r="N330" s="40"/>
      <c r="O330" s="40"/>
      <c r="P330" s="39"/>
      <c r="Q330" s="39"/>
      <c r="R330" s="40"/>
      <c r="S330" s="40"/>
      <c r="T330" s="39"/>
      <c r="U330" s="39"/>
      <c r="V330" s="40"/>
      <c r="W330" s="40"/>
      <c r="X330" s="41"/>
      <c r="Y330" s="41"/>
      <c r="Z330" s="40"/>
      <c r="AA330" s="40"/>
      <c r="AB330" s="41"/>
      <c r="AC330" s="41"/>
      <c r="AD330" s="40"/>
      <c r="AE330" s="40"/>
      <c r="AF330" s="42"/>
      <c r="AG330" s="42"/>
      <c r="AH330" s="40"/>
      <c r="AI330" s="40"/>
      <c r="AJ330" s="42"/>
      <c r="AK330" s="42"/>
      <c r="AL330" s="40"/>
      <c r="AM330" s="40"/>
      <c r="AN330" s="40"/>
      <c r="AO330" s="40"/>
      <c r="AP330" s="40"/>
      <c r="AQ330" s="40"/>
      <c r="AR330" s="39"/>
      <c r="AS330" s="39"/>
      <c r="AT330" s="40"/>
      <c r="AU330" s="40"/>
      <c r="AV330" s="23"/>
    </row>
    <row r="331" spans="1:48" ht="15.75" x14ac:dyDescent="0.25">
      <c r="A331" s="44"/>
      <c r="B331" s="23"/>
      <c r="C331" s="23"/>
      <c r="D331" s="39"/>
      <c r="E331" s="39"/>
      <c r="F331" s="40"/>
      <c r="G331" s="40"/>
      <c r="H331" s="41"/>
      <c r="I331" s="39"/>
      <c r="J331" s="40"/>
      <c r="K331" s="40"/>
      <c r="L331" s="41"/>
      <c r="M331" s="39"/>
      <c r="N331" s="40"/>
      <c r="O331" s="40"/>
      <c r="P331" s="39"/>
      <c r="Q331" s="39"/>
      <c r="R331" s="40"/>
      <c r="S331" s="40"/>
      <c r="T331" s="39"/>
      <c r="U331" s="39"/>
      <c r="V331" s="40"/>
      <c r="W331" s="40"/>
      <c r="X331" s="41"/>
      <c r="Y331" s="41"/>
      <c r="Z331" s="40"/>
      <c r="AA331" s="40"/>
      <c r="AB331" s="41"/>
      <c r="AC331" s="41"/>
      <c r="AD331" s="40"/>
      <c r="AE331" s="40"/>
      <c r="AF331" s="42"/>
      <c r="AG331" s="42"/>
      <c r="AH331" s="40"/>
      <c r="AI331" s="40"/>
      <c r="AJ331" s="42"/>
      <c r="AK331" s="42"/>
      <c r="AL331" s="40"/>
      <c r="AM331" s="40"/>
      <c r="AN331" s="40"/>
      <c r="AO331" s="40"/>
      <c r="AP331" s="40"/>
      <c r="AQ331" s="40"/>
      <c r="AR331" s="39"/>
      <c r="AS331" s="39"/>
      <c r="AT331" s="40"/>
      <c r="AU331" s="40"/>
      <c r="AV331" s="23"/>
    </row>
    <row r="332" spans="1:48" ht="15.75" x14ac:dyDescent="0.25">
      <c r="A332" s="44"/>
      <c r="B332" s="23"/>
      <c r="C332" s="23"/>
      <c r="D332" s="39"/>
      <c r="E332" s="39"/>
      <c r="F332" s="40"/>
      <c r="G332" s="40"/>
      <c r="H332" s="41"/>
      <c r="I332" s="39"/>
      <c r="J332" s="40"/>
      <c r="K332" s="40"/>
      <c r="L332" s="41"/>
      <c r="M332" s="39"/>
      <c r="N332" s="40"/>
      <c r="O332" s="40"/>
      <c r="P332" s="39"/>
      <c r="Q332" s="39"/>
      <c r="R332" s="40"/>
      <c r="S332" s="40"/>
      <c r="T332" s="39"/>
      <c r="U332" s="39"/>
      <c r="V332" s="40"/>
      <c r="W332" s="40"/>
      <c r="X332" s="41"/>
      <c r="Y332" s="41"/>
      <c r="Z332" s="40"/>
      <c r="AA332" s="40"/>
      <c r="AB332" s="41"/>
      <c r="AC332" s="41"/>
      <c r="AD332" s="40"/>
      <c r="AE332" s="40"/>
      <c r="AF332" s="42"/>
      <c r="AG332" s="42"/>
      <c r="AH332" s="40"/>
      <c r="AI332" s="40"/>
      <c r="AJ332" s="42"/>
      <c r="AK332" s="42"/>
      <c r="AL332" s="40"/>
      <c r="AM332" s="40"/>
      <c r="AN332" s="40"/>
      <c r="AO332" s="40"/>
      <c r="AP332" s="40"/>
      <c r="AQ332" s="40"/>
      <c r="AR332" s="39"/>
      <c r="AS332" s="39"/>
      <c r="AT332" s="40"/>
      <c r="AU332" s="40"/>
      <c r="AV332" s="23"/>
    </row>
    <row r="333" spans="1:48" ht="15.75" x14ac:dyDescent="0.25">
      <c r="A333" s="44"/>
      <c r="B333" s="23"/>
      <c r="C333" s="23"/>
      <c r="D333" s="39"/>
      <c r="E333" s="39"/>
      <c r="F333" s="40"/>
      <c r="G333" s="40"/>
      <c r="H333" s="41"/>
      <c r="I333" s="39"/>
      <c r="J333" s="40"/>
      <c r="K333" s="40"/>
      <c r="L333" s="41"/>
      <c r="M333" s="39"/>
      <c r="N333" s="40"/>
      <c r="O333" s="40"/>
      <c r="P333" s="39"/>
      <c r="Q333" s="39"/>
      <c r="R333" s="40"/>
      <c r="S333" s="40"/>
      <c r="T333" s="39"/>
      <c r="U333" s="39"/>
      <c r="V333" s="40"/>
      <c r="W333" s="40"/>
      <c r="X333" s="41"/>
      <c r="Y333" s="41"/>
      <c r="Z333" s="40"/>
      <c r="AA333" s="40"/>
      <c r="AB333" s="41"/>
      <c r="AC333" s="41"/>
      <c r="AD333" s="40"/>
      <c r="AE333" s="40"/>
      <c r="AF333" s="42"/>
      <c r="AG333" s="42"/>
      <c r="AH333" s="40"/>
      <c r="AI333" s="40"/>
      <c r="AJ333" s="42"/>
      <c r="AK333" s="42"/>
      <c r="AL333" s="40"/>
      <c r="AM333" s="40"/>
      <c r="AN333" s="40"/>
      <c r="AO333" s="40"/>
      <c r="AP333" s="40"/>
      <c r="AQ333" s="40"/>
      <c r="AR333" s="39"/>
      <c r="AS333" s="39"/>
      <c r="AT333" s="40"/>
      <c r="AU333" s="40"/>
      <c r="AV333" s="23"/>
    </row>
    <row r="334" spans="1:48" ht="15.75" x14ac:dyDescent="0.25">
      <c r="A334" s="44"/>
      <c r="B334" s="23"/>
      <c r="C334" s="23"/>
      <c r="D334" s="39"/>
      <c r="E334" s="39"/>
      <c r="F334" s="40"/>
      <c r="G334" s="40"/>
      <c r="H334" s="41"/>
      <c r="I334" s="39"/>
      <c r="J334" s="40"/>
      <c r="K334" s="40"/>
      <c r="L334" s="41"/>
      <c r="M334" s="39"/>
      <c r="N334" s="40"/>
      <c r="O334" s="40"/>
      <c r="P334" s="39"/>
      <c r="Q334" s="39"/>
      <c r="R334" s="40"/>
      <c r="S334" s="40"/>
      <c r="T334" s="39"/>
      <c r="U334" s="39"/>
      <c r="V334" s="40"/>
      <c r="W334" s="40"/>
      <c r="X334" s="41"/>
      <c r="Y334" s="41"/>
      <c r="Z334" s="40"/>
      <c r="AA334" s="40"/>
      <c r="AB334" s="41"/>
      <c r="AC334" s="41"/>
      <c r="AD334" s="40"/>
      <c r="AE334" s="40"/>
      <c r="AF334" s="42"/>
      <c r="AG334" s="42"/>
      <c r="AH334" s="40"/>
      <c r="AI334" s="40"/>
      <c r="AJ334" s="42"/>
      <c r="AK334" s="42"/>
      <c r="AL334" s="40"/>
      <c r="AM334" s="40"/>
      <c r="AN334" s="40"/>
      <c r="AO334" s="40"/>
      <c r="AP334" s="40"/>
      <c r="AQ334" s="40"/>
      <c r="AR334" s="39"/>
      <c r="AS334" s="39"/>
      <c r="AT334" s="40"/>
      <c r="AU334" s="40"/>
      <c r="AV334" s="23"/>
    </row>
    <row r="335" spans="1:48" ht="15.75" x14ac:dyDescent="0.25">
      <c r="A335" s="44"/>
      <c r="B335" s="23"/>
      <c r="C335" s="23"/>
      <c r="D335" s="39"/>
      <c r="E335" s="39"/>
      <c r="F335" s="40"/>
      <c r="G335" s="40"/>
      <c r="H335" s="41"/>
      <c r="I335" s="39"/>
      <c r="J335" s="40"/>
      <c r="K335" s="40"/>
      <c r="L335" s="41"/>
      <c r="M335" s="39"/>
      <c r="N335" s="40"/>
      <c r="O335" s="40"/>
      <c r="P335" s="39"/>
      <c r="Q335" s="39"/>
      <c r="R335" s="40"/>
      <c r="S335" s="40"/>
      <c r="T335" s="39"/>
      <c r="U335" s="39"/>
      <c r="V335" s="40"/>
      <c r="W335" s="40"/>
      <c r="X335" s="41"/>
      <c r="Y335" s="41"/>
      <c r="Z335" s="40"/>
      <c r="AA335" s="40"/>
      <c r="AB335" s="41"/>
      <c r="AC335" s="41"/>
      <c r="AD335" s="40"/>
      <c r="AE335" s="40"/>
      <c r="AF335" s="42"/>
      <c r="AG335" s="42"/>
      <c r="AH335" s="40"/>
      <c r="AI335" s="40"/>
      <c r="AJ335" s="42"/>
      <c r="AK335" s="42"/>
      <c r="AL335" s="40"/>
      <c r="AM335" s="40"/>
      <c r="AN335" s="40"/>
      <c r="AO335" s="40"/>
      <c r="AP335" s="40"/>
      <c r="AQ335" s="40"/>
      <c r="AR335" s="39"/>
      <c r="AS335" s="39"/>
      <c r="AT335" s="40"/>
      <c r="AU335" s="40"/>
      <c r="AV335" s="23"/>
    </row>
    <row r="336" spans="1:48" ht="15.75" x14ac:dyDescent="0.25">
      <c r="A336" s="44"/>
      <c r="B336" s="23"/>
      <c r="C336" s="23"/>
      <c r="D336" s="39"/>
      <c r="E336" s="39"/>
      <c r="F336" s="40"/>
      <c r="G336" s="40"/>
      <c r="H336" s="41"/>
      <c r="I336" s="39"/>
      <c r="J336" s="40"/>
      <c r="K336" s="40"/>
      <c r="L336" s="41"/>
      <c r="M336" s="39"/>
      <c r="N336" s="40"/>
      <c r="O336" s="40"/>
      <c r="P336" s="39"/>
      <c r="Q336" s="39"/>
      <c r="R336" s="40"/>
      <c r="S336" s="40"/>
      <c r="T336" s="39"/>
      <c r="U336" s="39"/>
      <c r="V336" s="40"/>
      <c r="W336" s="40"/>
      <c r="X336" s="41"/>
      <c r="Y336" s="41"/>
      <c r="Z336" s="40"/>
      <c r="AA336" s="40"/>
      <c r="AB336" s="41"/>
      <c r="AC336" s="41"/>
      <c r="AD336" s="40"/>
      <c r="AE336" s="40"/>
      <c r="AF336" s="42"/>
      <c r="AG336" s="42"/>
      <c r="AH336" s="40"/>
      <c r="AI336" s="40"/>
      <c r="AJ336" s="42"/>
      <c r="AK336" s="42"/>
      <c r="AL336" s="40"/>
      <c r="AM336" s="40"/>
      <c r="AN336" s="40"/>
      <c r="AO336" s="40"/>
      <c r="AP336" s="40"/>
      <c r="AQ336" s="40"/>
      <c r="AR336" s="39"/>
      <c r="AS336" s="39"/>
      <c r="AT336" s="40"/>
      <c r="AU336" s="40"/>
      <c r="AV336" s="23"/>
    </row>
    <row r="337" spans="1:48" ht="15.75" x14ac:dyDescent="0.25">
      <c r="A337" s="44"/>
      <c r="B337" s="23"/>
      <c r="C337" s="23"/>
      <c r="D337" s="39"/>
      <c r="E337" s="39"/>
      <c r="F337" s="40"/>
      <c r="G337" s="40"/>
      <c r="H337" s="41"/>
      <c r="I337" s="39"/>
      <c r="J337" s="40"/>
      <c r="K337" s="40"/>
      <c r="L337" s="41"/>
      <c r="M337" s="39"/>
      <c r="N337" s="40"/>
      <c r="O337" s="40"/>
      <c r="P337" s="39"/>
      <c r="Q337" s="39"/>
      <c r="R337" s="40"/>
      <c r="S337" s="40"/>
      <c r="T337" s="39"/>
      <c r="U337" s="39"/>
      <c r="V337" s="40"/>
      <c r="W337" s="40"/>
      <c r="X337" s="41"/>
      <c r="Y337" s="41"/>
      <c r="Z337" s="40"/>
      <c r="AA337" s="40"/>
      <c r="AB337" s="41"/>
      <c r="AC337" s="41"/>
      <c r="AD337" s="40"/>
      <c r="AE337" s="40"/>
      <c r="AF337" s="42"/>
      <c r="AG337" s="42"/>
      <c r="AH337" s="40"/>
      <c r="AI337" s="40"/>
      <c r="AJ337" s="42"/>
      <c r="AK337" s="42"/>
      <c r="AL337" s="40"/>
      <c r="AM337" s="40"/>
      <c r="AN337" s="40"/>
      <c r="AO337" s="40"/>
      <c r="AP337" s="40"/>
      <c r="AQ337" s="40"/>
      <c r="AR337" s="39"/>
      <c r="AS337" s="39"/>
      <c r="AT337" s="40"/>
      <c r="AU337" s="40"/>
      <c r="AV337" s="23"/>
    </row>
    <row r="338" spans="1:48" ht="15.75" x14ac:dyDescent="0.25">
      <c r="A338" s="44"/>
      <c r="B338" s="23"/>
      <c r="C338" s="23"/>
      <c r="D338" s="39"/>
      <c r="E338" s="39"/>
      <c r="F338" s="40"/>
      <c r="G338" s="40"/>
      <c r="H338" s="41"/>
      <c r="I338" s="39"/>
      <c r="J338" s="40"/>
      <c r="K338" s="40"/>
      <c r="L338" s="41"/>
      <c r="M338" s="39"/>
      <c r="N338" s="40"/>
      <c r="O338" s="40"/>
      <c r="P338" s="39"/>
      <c r="Q338" s="39"/>
      <c r="R338" s="40"/>
      <c r="S338" s="40"/>
      <c r="T338" s="39"/>
      <c r="U338" s="39"/>
      <c r="V338" s="40"/>
      <c r="W338" s="40"/>
      <c r="X338" s="41"/>
      <c r="Y338" s="41"/>
      <c r="Z338" s="40"/>
      <c r="AA338" s="40"/>
      <c r="AB338" s="41"/>
      <c r="AC338" s="41"/>
      <c r="AD338" s="40"/>
      <c r="AE338" s="40"/>
      <c r="AF338" s="42"/>
      <c r="AG338" s="42"/>
      <c r="AH338" s="40"/>
      <c r="AI338" s="40"/>
      <c r="AJ338" s="42"/>
      <c r="AK338" s="42"/>
      <c r="AL338" s="40"/>
      <c r="AM338" s="40"/>
      <c r="AN338" s="40"/>
      <c r="AO338" s="40"/>
      <c r="AP338" s="40"/>
      <c r="AQ338" s="40"/>
      <c r="AR338" s="39"/>
      <c r="AS338" s="39"/>
      <c r="AT338" s="40"/>
      <c r="AU338" s="40"/>
      <c r="AV338" s="23"/>
    </row>
    <row r="339" spans="1:48" ht="15.75" x14ac:dyDescent="0.25">
      <c r="A339" s="44"/>
      <c r="B339" s="23"/>
      <c r="C339" s="23"/>
      <c r="D339" s="39"/>
      <c r="E339" s="39"/>
      <c r="F339" s="40"/>
      <c r="G339" s="40"/>
      <c r="H339" s="41"/>
      <c r="I339" s="39"/>
      <c r="J339" s="40"/>
      <c r="K339" s="40"/>
      <c r="L339" s="41"/>
      <c r="M339" s="39"/>
      <c r="N339" s="40"/>
      <c r="O339" s="40"/>
      <c r="P339" s="39"/>
      <c r="Q339" s="39"/>
      <c r="R339" s="40"/>
      <c r="S339" s="40"/>
      <c r="T339" s="39"/>
      <c r="U339" s="39"/>
      <c r="V339" s="40"/>
      <c r="W339" s="40"/>
      <c r="X339" s="41"/>
      <c r="Y339" s="41"/>
      <c r="Z339" s="40"/>
      <c r="AA339" s="40"/>
      <c r="AB339" s="41"/>
      <c r="AC339" s="41"/>
      <c r="AD339" s="40"/>
      <c r="AE339" s="40"/>
      <c r="AF339" s="42"/>
      <c r="AG339" s="42"/>
      <c r="AH339" s="40"/>
      <c r="AI339" s="40"/>
      <c r="AJ339" s="42"/>
      <c r="AK339" s="42"/>
      <c r="AL339" s="40"/>
      <c r="AM339" s="40"/>
      <c r="AN339" s="40"/>
      <c r="AO339" s="40"/>
      <c r="AP339" s="40"/>
      <c r="AQ339" s="40"/>
      <c r="AR339" s="39"/>
      <c r="AS339" s="39"/>
      <c r="AT339" s="40"/>
      <c r="AU339" s="40"/>
      <c r="AV339" s="23"/>
    </row>
    <row r="340" spans="1:48" ht="15.75" x14ac:dyDescent="0.25">
      <c r="A340" s="44"/>
      <c r="B340" s="23"/>
      <c r="C340" s="23"/>
      <c r="D340" s="39"/>
      <c r="E340" s="39"/>
      <c r="F340" s="40"/>
      <c r="G340" s="40"/>
      <c r="H340" s="41"/>
      <c r="I340" s="39"/>
      <c r="J340" s="40"/>
      <c r="K340" s="40"/>
      <c r="L340" s="41"/>
      <c r="M340" s="39"/>
      <c r="N340" s="40"/>
      <c r="O340" s="40"/>
      <c r="P340" s="39"/>
      <c r="Q340" s="39"/>
      <c r="R340" s="40"/>
      <c r="S340" s="40"/>
      <c r="T340" s="39"/>
      <c r="U340" s="39"/>
      <c r="V340" s="40"/>
      <c r="W340" s="40"/>
      <c r="X340" s="41"/>
      <c r="Y340" s="41"/>
      <c r="Z340" s="40"/>
      <c r="AA340" s="40"/>
      <c r="AB340" s="41"/>
      <c r="AC340" s="41"/>
      <c r="AD340" s="40"/>
      <c r="AE340" s="40"/>
      <c r="AF340" s="42"/>
      <c r="AG340" s="42"/>
      <c r="AH340" s="40"/>
      <c r="AI340" s="40"/>
      <c r="AJ340" s="42"/>
      <c r="AK340" s="42"/>
      <c r="AL340" s="40"/>
      <c r="AM340" s="40"/>
      <c r="AN340" s="40"/>
      <c r="AO340" s="40"/>
      <c r="AP340" s="40"/>
      <c r="AQ340" s="40"/>
      <c r="AR340" s="39"/>
      <c r="AS340" s="39"/>
      <c r="AT340" s="40"/>
      <c r="AU340" s="40"/>
      <c r="AV340" s="23"/>
    </row>
    <row r="341" spans="1:48" ht="15.75" x14ac:dyDescent="0.25">
      <c r="A341" s="44"/>
      <c r="B341" s="23"/>
      <c r="C341" s="23"/>
      <c r="D341" s="39"/>
      <c r="E341" s="39"/>
      <c r="F341" s="40"/>
      <c r="G341" s="40"/>
      <c r="H341" s="41"/>
      <c r="I341" s="39"/>
      <c r="J341" s="40"/>
      <c r="K341" s="40"/>
      <c r="L341" s="41"/>
      <c r="M341" s="39"/>
      <c r="N341" s="40"/>
      <c r="O341" s="40"/>
      <c r="P341" s="39"/>
      <c r="Q341" s="39"/>
      <c r="R341" s="40"/>
      <c r="S341" s="40"/>
      <c r="T341" s="39"/>
      <c r="U341" s="39"/>
      <c r="V341" s="40"/>
      <c r="W341" s="40"/>
      <c r="X341" s="41"/>
      <c r="Y341" s="41"/>
      <c r="Z341" s="40"/>
      <c r="AA341" s="40"/>
      <c r="AB341" s="41"/>
      <c r="AC341" s="41"/>
      <c r="AD341" s="40"/>
      <c r="AE341" s="40"/>
      <c r="AF341" s="42"/>
      <c r="AG341" s="42"/>
      <c r="AH341" s="40"/>
      <c r="AI341" s="40"/>
      <c r="AJ341" s="42"/>
      <c r="AK341" s="42"/>
      <c r="AL341" s="40"/>
      <c r="AM341" s="40"/>
      <c r="AN341" s="40"/>
      <c r="AO341" s="40"/>
      <c r="AP341" s="40"/>
      <c r="AQ341" s="40"/>
      <c r="AR341" s="39"/>
      <c r="AS341" s="39"/>
      <c r="AT341" s="40"/>
      <c r="AU341" s="40"/>
      <c r="AV341" s="23"/>
    </row>
    <row r="342" spans="1:48" ht="15.75" x14ac:dyDescent="0.25">
      <c r="A342" s="44"/>
      <c r="B342" s="23"/>
      <c r="C342" s="23"/>
      <c r="D342" s="39"/>
      <c r="E342" s="39"/>
      <c r="F342" s="40"/>
      <c r="G342" s="40"/>
      <c r="H342" s="41"/>
      <c r="I342" s="39"/>
      <c r="J342" s="40"/>
      <c r="K342" s="40"/>
      <c r="L342" s="41"/>
      <c r="M342" s="39"/>
      <c r="N342" s="40"/>
      <c r="O342" s="40"/>
      <c r="P342" s="39"/>
      <c r="Q342" s="39"/>
      <c r="R342" s="40"/>
      <c r="S342" s="40"/>
      <c r="T342" s="39"/>
      <c r="U342" s="39"/>
      <c r="V342" s="40"/>
      <c r="W342" s="40"/>
      <c r="X342" s="41"/>
      <c r="Y342" s="41"/>
      <c r="Z342" s="40"/>
      <c r="AA342" s="40"/>
      <c r="AB342" s="41"/>
      <c r="AC342" s="41"/>
      <c r="AD342" s="40"/>
      <c r="AE342" s="40"/>
      <c r="AF342" s="42"/>
      <c r="AG342" s="42"/>
      <c r="AH342" s="40"/>
      <c r="AI342" s="40"/>
      <c r="AJ342" s="42"/>
      <c r="AK342" s="42"/>
      <c r="AL342" s="40"/>
      <c r="AM342" s="40"/>
      <c r="AN342" s="40"/>
      <c r="AO342" s="40"/>
      <c r="AP342" s="40"/>
      <c r="AQ342" s="40"/>
      <c r="AR342" s="39"/>
      <c r="AS342" s="39"/>
      <c r="AT342" s="40"/>
      <c r="AU342" s="40"/>
      <c r="AV342" s="23"/>
    </row>
    <row r="343" spans="1:48" ht="15.75" x14ac:dyDescent="0.25">
      <c r="A343" s="44"/>
      <c r="B343" s="23"/>
      <c r="C343" s="23"/>
      <c r="D343" s="39"/>
      <c r="E343" s="39"/>
      <c r="F343" s="40"/>
      <c r="G343" s="40"/>
      <c r="H343" s="41"/>
      <c r="I343" s="39"/>
      <c r="J343" s="40"/>
      <c r="K343" s="40"/>
      <c r="L343" s="41"/>
      <c r="M343" s="39"/>
      <c r="N343" s="40"/>
      <c r="O343" s="40"/>
      <c r="P343" s="39"/>
      <c r="Q343" s="39"/>
      <c r="R343" s="40"/>
      <c r="S343" s="40"/>
      <c r="T343" s="39"/>
      <c r="U343" s="39"/>
      <c r="V343" s="40"/>
      <c r="W343" s="40"/>
      <c r="X343" s="41"/>
      <c r="Y343" s="41"/>
      <c r="Z343" s="40"/>
      <c r="AA343" s="40"/>
      <c r="AB343" s="41"/>
      <c r="AC343" s="41"/>
      <c r="AD343" s="40"/>
      <c r="AE343" s="40"/>
      <c r="AF343" s="42"/>
      <c r="AG343" s="42"/>
      <c r="AH343" s="40"/>
      <c r="AI343" s="40"/>
      <c r="AJ343" s="42"/>
      <c r="AK343" s="42"/>
      <c r="AL343" s="40"/>
      <c r="AM343" s="40"/>
      <c r="AN343" s="40"/>
      <c r="AO343" s="40"/>
      <c r="AP343" s="40"/>
      <c r="AQ343" s="40"/>
      <c r="AR343" s="39"/>
      <c r="AS343" s="39"/>
      <c r="AT343" s="40"/>
      <c r="AU343" s="40"/>
      <c r="AV343" s="23"/>
    </row>
    <row r="344" spans="1:48" ht="15.75" x14ac:dyDescent="0.25">
      <c r="A344" s="44"/>
      <c r="B344" s="23"/>
      <c r="C344" s="23"/>
      <c r="D344" s="39"/>
      <c r="E344" s="39"/>
      <c r="F344" s="40"/>
      <c r="G344" s="40"/>
      <c r="H344" s="41"/>
      <c r="I344" s="39"/>
      <c r="J344" s="40"/>
      <c r="K344" s="40"/>
      <c r="L344" s="41"/>
      <c r="M344" s="39"/>
      <c r="N344" s="40"/>
      <c r="O344" s="40"/>
      <c r="P344" s="39"/>
      <c r="Q344" s="39"/>
      <c r="R344" s="40"/>
      <c r="S344" s="40"/>
      <c r="T344" s="39"/>
      <c r="U344" s="39"/>
      <c r="V344" s="40"/>
      <c r="W344" s="40"/>
      <c r="X344" s="41"/>
      <c r="Y344" s="41"/>
      <c r="Z344" s="40"/>
      <c r="AA344" s="40"/>
      <c r="AB344" s="41"/>
      <c r="AC344" s="41"/>
      <c r="AD344" s="40"/>
      <c r="AE344" s="40"/>
      <c r="AF344" s="42"/>
      <c r="AG344" s="42"/>
      <c r="AH344" s="40"/>
      <c r="AI344" s="40"/>
      <c r="AJ344" s="42"/>
      <c r="AK344" s="42"/>
      <c r="AL344" s="40"/>
      <c r="AM344" s="40"/>
      <c r="AN344" s="40"/>
      <c r="AO344" s="40"/>
      <c r="AP344" s="40"/>
      <c r="AQ344" s="40"/>
      <c r="AR344" s="39"/>
      <c r="AS344" s="39"/>
      <c r="AT344" s="40"/>
      <c r="AU344" s="40"/>
      <c r="AV344" s="23"/>
    </row>
    <row r="345" spans="1:48" ht="15.75" x14ac:dyDescent="0.25">
      <c r="A345" s="44"/>
      <c r="B345" s="23"/>
      <c r="C345" s="23"/>
      <c r="D345" s="39"/>
      <c r="E345" s="39"/>
      <c r="F345" s="40"/>
      <c r="G345" s="40"/>
      <c r="H345" s="41"/>
      <c r="I345" s="39"/>
      <c r="J345" s="40"/>
      <c r="K345" s="40"/>
      <c r="L345" s="41"/>
      <c r="M345" s="39"/>
      <c r="N345" s="40"/>
      <c r="O345" s="40"/>
      <c r="P345" s="39"/>
      <c r="Q345" s="39"/>
      <c r="R345" s="40"/>
      <c r="S345" s="40"/>
      <c r="T345" s="39"/>
      <c r="U345" s="39"/>
      <c r="V345" s="40"/>
      <c r="W345" s="40"/>
      <c r="X345" s="41"/>
      <c r="Y345" s="41"/>
      <c r="Z345" s="40"/>
      <c r="AA345" s="40"/>
      <c r="AB345" s="41"/>
      <c r="AC345" s="41"/>
      <c r="AD345" s="40"/>
      <c r="AE345" s="40"/>
      <c r="AF345" s="42"/>
      <c r="AG345" s="42"/>
      <c r="AH345" s="40"/>
      <c r="AI345" s="40"/>
      <c r="AJ345" s="42"/>
      <c r="AK345" s="42"/>
      <c r="AL345" s="40"/>
      <c r="AM345" s="40"/>
      <c r="AN345" s="40"/>
      <c r="AO345" s="40"/>
      <c r="AP345" s="40"/>
      <c r="AQ345" s="40"/>
      <c r="AR345" s="39"/>
      <c r="AS345" s="39"/>
      <c r="AT345" s="40"/>
      <c r="AU345" s="40"/>
      <c r="AV345" s="23"/>
    </row>
    <row r="346" spans="1:48" ht="15.75" x14ac:dyDescent="0.25">
      <c r="A346" s="44"/>
      <c r="B346" s="23"/>
      <c r="C346" s="23"/>
      <c r="D346" s="39"/>
      <c r="E346" s="39"/>
      <c r="F346" s="40"/>
      <c r="G346" s="40"/>
      <c r="H346" s="41"/>
      <c r="I346" s="39"/>
      <c r="J346" s="40"/>
      <c r="K346" s="40"/>
      <c r="L346" s="41"/>
      <c r="M346" s="39"/>
      <c r="N346" s="40"/>
      <c r="O346" s="40"/>
      <c r="P346" s="39"/>
      <c r="Q346" s="39"/>
      <c r="R346" s="40"/>
      <c r="S346" s="40"/>
      <c r="T346" s="39"/>
      <c r="U346" s="39"/>
      <c r="V346" s="40"/>
      <c r="W346" s="40"/>
      <c r="X346" s="41"/>
      <c r="Y346" s="41"/>
      <c r="Z346" s="40"/>
      <c r="AA346" s="40"/>
      <c r="AB346" s="41"/>
      <c r="AC346" s="41"/>
      <c r="AD346" s="40"/>
      <c r="AE346" s="40"/>
      <c r="AF346" s="42"/>
      <c r="AG346" s="42"/>
      <c r="AH346" s="40"/>
      <c r="AI346" s="40"/>
      <c r="AJ346" s="42"/>
      <c r="AK346" s="42"/>
      <c r="AL346" s="40"/>
      <c r="AM346" s="40"/>
      <c r="AN346" s="40"/>
      <c r="AO346" s="40"/>
      <c r="AP346" s="40"/>
      <c r="AQ346" s="40"/>
      <c r="AR346" s="39"/>
      <c r="AS346" s="39"/>
      <c r="AT346" s="40"/>
      <c r="AU346" s="40"/>
      <c r="AV346" s="23"/>
    </row>
    <row r="347" spans="1:48" ht="15.75" x14ac:dyDescent="0.25">
      <c r="A347" s="44"/>
      <c r="B347" s="23"/>
      <c r="C347" s="23"/>
      <c r="D347" s="39"/>
      <c r="E347" s="39"/>
      <c r="F347" s="40"/>
      <c r="G347" s="40"/>
      <c r="H347" s="41"/>
      <c r="I347" s="39"/>
      <c r="J347" s="40"/>
      <c r="K347" s="40"/>
      <c r="L347" s="41"/>
      <c r="M347" s="39"/>
      <c r="N347" s="40"/>
      <c r="O347" s="40"/>
      <c r="P347" s="39"/>
      <c r="Q347" s="39"/>
      <c r="R347" s="40"/>
      <c r="S347" s="40"/>
      <c r="T347" s="39"/>
      <c r="U347" s="39"/>
      <c r="V347" s="40"/>
      <c r="W347" s="40"/>
      <c r="X347" s="41"/>
      <c r="Y347" s="41"/>
      <c r="Z347" s="40"/>
      <c r="AA347" s="40"/>
      <c r="AB347" s="41"/>
      <c r="AC347" s="41"/>
      <c r="AD347" s="40"/>
      <c r="AE347" s="40"/>
      <c r="AF347" s="42"/>
      <c r="AG347" s="42"/>
      <c r="AH347" s="40"/>
      <c r="AI347" s="40"/>
      <c r="AJ347" s="42"/>
      <c r="AK347" s="42"/>
      <c r="AL347" s="40"/>
      <c r="AM347" s="40"/>
      <c r="AN347" s="40"/>
      <c r="AO347" s="40"/>
      <c r="AP347" s="40"/>
      <c r="AQ347" s="40"/>
      <c r="AR347" s="39"/>
      <c r="AS347" s="39"/>
      <c r="AT347" s="40"/>
      <c r="AU347" s="40"/>
      <c r="AV347" s="23"/>
    </row>
    <row r="348" spans="1:48" ht="15.75" x14ac:dyDescent="0.25">
      <c r="A348" s="44"/>
      <c r="B348" s="23"/>
      <c r="C348" s="23"/>
      <c r="D348" s="39"/>
      <c r="E348" s="39"/>
      <c r="F348" s="40"/>
      <c r="G348" s="40"/>
      <c r="H348" s="41"/>
      <c r="I348" s="39"/>
      <c r="J348" s="40"/>
      <c r="K348" s="40"/>
      <c r="L348" s="41"/>
      <c r="M348" s="39"/>
      <c r="N348" s="40"/>
      <c r="O348" s="40"/>
      <c r="P348" s="39"/>
      <c r="Q348" s="39"/>
      <c r="R348" s="40"/>
      <c r="S348" s="40"/>
      <c r="T348" s="39"/>
      <c r="U348" s="39"/>
      <c r="V348" s="40"/>
      <c r="W348" s="40"/>
      <c r="X348" s="41"/>
      <c r="Y348" s="41"/>
      <c r="Z348" s="40"/>
      <c r="AA348" s="40"/>
      <c r="AB348" s="41"/>
      <c r="AC348" s="41"/>
      <c r="AD348" s="40"/>
      <c r="AE348" s="40"/>
      <c r="AF348" s="42"/>
      <c r="AG348" s="42"/>
      <c r="AH348" s="40"/>
      <c r="AI348" s="40"/>
      <c r="AJ348" s="42"/>
      <c r="AK348" s="42"/>
      <c r="AL348" s="40"/>
      <c r="AM348" s="40"/>
      <c r="AN348" s="40"/>
      <c r="AO348" s="40"/>
      <c r="AP348" s="40"/>
      <c r="AQ348" s="40"/>
      <c r="AR348" s="39"/>
      <c r="AS348" s="39"/>
      <c r="AT348" s="40"/>
      <c r="AU348" s="40"/>
      <c r="AV348" s="23"/>
    </row>
    <row r="349" spans="1:48" ht="15.75" x14ac:dyDescent="0.25">
      <c r="A349" s="44"/>
      <c r="B349" s="23"/>
      <c r="C349" s="23"/>
      <c r="D349" s="39"/>
      <c r="E349" s="39"/>
      <c r="F349" s="40"/>
      <c r="G349" s="40"/>
      <c r="H349" s="41"/>
      <c r="I349" s="39"/>
      <c r="J349" s="40"/>
      <c r="K349" s="40"/>
      <c r="L349" s="41"/>
      <c r="M349" s="39"/>
      <c r="N349" s="40"/>
      <c r="O349" s="40"/>
      <c r="P349" s="39"/>
      <c r="Q349" s="39"/>
      <c r="R349" s="40"/>
      <c r="S349" s="40"/>
      <c r="T349" s="39"/>
      <c r="U349" s="39"/>
      <c r="V349" s="40"/>
      <c r="W349" s="40"/>
      <c r="X349" s="41"/>
      <c r="Y349" s="41"/>
      <c r="Z349" s="40"/>
      <c r="AA349" s="40"/>
      <c r="AB349" s="41"/>
      <c r="AC349" s="41"/>
      <c r="AD349" s="40"/>
      <c r="AE349" s="40"/>
      <c r="AF349" s="42"/>
      <c r="AG349" s="42"/>
      <c r="AH349" s="40"/>
      <c r="AI349" s="40"/>
      <c r="AJ349" s="42"/>
      <c r="AK349" s="42"/>
      <c r="AL349" s="40"/>
      <c r="AM349" s="40"/>
      <c r="AN349" s="40"/>
      <c r="AO349" s="40"/>
      <c r="AP349" s="40"/>
      <c r="AQ349" s="40"/>
      <c r="AR349" s="39"/>
      <c r="AS349" s="39"/>
      <c r="AT349" s="40"/>
      <c r="AU349" s="40"/>
      <c r="AV349" s="23"/>
    </row>
    <row r="350" spans="1:48" ht="15.75" x14ac:dyDescent="0.25">
      <c r="A350" s="44"/>
      <c r="B350" s="23"/>
      <c r="C350" s="23"/>
      <c r="D350" s="39"/>
      <c r="E350" s="39"/>
      <c r="F350" s="40"/>
      <c r="G350" s="40"/>
      <c r="H350" s="41"/>
      <c r="I350" s="39"/>
      <c r="J350" s="40"/>
      <c r="K350" s="40"/>
      <c r="L350" s="41"/>
      <c r="M350" s="39"/>
      <c r="N350" s="40"/>
      <c r="O350" s="40"/>
      <c r="P350" s="39"/>
      <c r="Q350" s="39"/>
      <c r="R350" s="40"/>
      <c r="S350" s="40"/>
      <c r="T350" s="39"/>
      <c r="U350" s="39"/>
      <c r="V350" s="40"/>
      <c r="W350" s="40"/>
      <c r="X350" s="41"/>
      <c r="Y350" s="41"/>
      <c r="Z350" s="40"/>
      <c r="AA350" s="40"/>
      <c r="AB350" s="41"/>
      <c r="AC350" s="41"/>
      <c r="AD350" s="40"/>
      <c r="AE350" s="40"/>
      <c r="AF350" s="42"/>
      <c r="AG350" s="42"/>
      <c r="AH350" s="40"/>
      <c r="AI350" s="40"/>
      <c r="AJ350" s="42"/>
      <c r="AK350" s="42"/>
      <c r="AL350" s="40"/>
      <c r="AM350" s="40"/>
      <c r="AN350" s="40"/>
      <c r="AO350" s="40"/>
      <c r="AP350" s="40"/>
      <c r="AQ350" s="40"/>
      <c r="AR350" s="39"/>
      <c r="AS350" s="39"/>
      <c r="AT350" s="40"/>
      <c r="AU350" s="40"/>
      <c r="AV350" s="23"/>
    </row>
    <row r="351" spans="1:48" ht="15.75" x14ac:dyDescent="0.25">
      <c r="A351" s="44"/>
      <c r="B351" s="23"/>
      <c r="C351" s="23"/>
      <c r="D351" s="39"/>
      <c r="E351" s="39"/>
      <c r="F351" s="40"/>
      <c r="G351" s="40"/>
      <c r="H351" s="41"/>
      <c r="I351" s="39"/>
      <c r="J351" s="40"/>
      <c r="K351" s="40"/>
      <c r="L351" s="41"/>
      <c r="M351" s="39"/>
      <c r="N351" s="40"/>
      <c r="O351" s="40"/>
      <c r="P351" s="39"/>
      <c r="Q351" s="39"/>
      <c r="R351" s="40"/>
      <c r="S351" s="40"/>
      <c r="T351" s="39"/>
      <c r="U351" s="39"/>
      <c r="V351" s="40"/>
      <c r="W351" s="40"/>
      <c r="X351" s="41"/>
      <c r="Y351" s="41"/>
      <c r="Z351" s="40"/>
      <c r="AA351" s="40"/>
      <c r="AB351" s="41"/>
      <c r="AC351" s="41"/>
      <c r="AD351" s="40"/>
      <c r="AE351" s="40"/>
      <c r="AF351" s="42"/>
      <c r="AG351" s="42"/>
      <c r="AH351" s="40"/>
      <c r="AI351" s="40"/>
      <c r="AJ351" s="42"/>
      <c r="AK351" s="42"/>
      <c r="AL351" s="40"/>
      <c r="AM351" s="40"/>
      <c r="AN351" s="40"/>
      <c r="AO351" s="40"/>
      <c r="AP351" s="40"/>
      <c r="AQ351" s="40"/>
      <c r="AR351" s="39"/>
      <c r="AS351" s="39"/>
      <c r="AT351" s="40"/>
      <c r="AU351" s="40"/>
      <c r="AV351" s="23"/>
    </row>
    <row r="352" spans="1:48" ht="15.75" x14ac:dyDescent="0.25">
      <c r="A352" s="44"/>
      <c r="B352" s="23"/>
      <c r="C352" s="23"/>
      <c r="D352" s="39"/>
      <c r="E352" s="39"/>
      <c r="F352" s="40"/>
      <c r="G352" s="40"/>
      <c r="H352" s="41"/>
      <c r="I352" s="39"/>
      <c r="J352" s="40"/>
      <c r="K352" s="40"/>
      <c r="L352" s="41"/>
      <c r="M352" s="39"/>
      <c r="N352" s="40"/>
      <c r="O352" s="40"/>
      <c r="P352" s="39"/>
      <c r="Q352" s="39"/>
      <c r="R352" s="40"/>
      <c r="S352" s="40"/>
      <c r="T352" s="39"/>
      <c r="U352" s="39"/>
      <c r="V352" s="40"/>
      <c r="W352" s="40"/>
      <c r="X352" s="41"/>
      <c r="Y352" s="41"/>
      <c r="Z352" s="40"/>
      <c r="AA352" s="40"/>
      <c r="AB352" s="41"/>
      <c r="AC352" s="41"/>
      <c r="AD352" s="40"/>
      <c r="AE352" s="40"/>
      <c r="AF352" s="42"/>
      <c r="AG352" s="42"/>
      <c r="AH352" s="40"/>
      <c r="AI352" s="40"/>
      <c r="AJ352" s="42"/>
      <c r="AK352" s="42"/>
      <c r="AL352" s="40"/>
      <c r="AM352" s="40"/>
      <c r="AN352" s="40"/>
      <c r="AO352" s="40"/>
      <c r="AP352" s="40"/>
      <c r="AQ352" s="40"/>
      <c r="AR352" s="39"/>
      <c r="AS352" s="39"/>
      <c r="AT352" s="40"/>
      <c r="AU352" s="40"/>
      <c r="AV352" s="23"/>
    </row>
    <row r="353" spans="1:48" ht="15.75" x14ac:dyDescent="0.25">
      <c r="A353" s="44"/>
      <c r="B353" s="23"/>
      <c r="C353" s="23"/>
      <c r="D353" s="39"/>
      <c r="E353" s="39"/>
      <c r="F353" s="40"/>
      <c r="G353" s="40"/>
      <c r="H353" s="41"/>
      <c r="I353" s="39"/>
      <c r="J353" s="40"/>
      <c r="K353" s="40"/>
      <c r="L353" s="41"/>
      <c r="M353" s="39"/>
      <c r="N353" s="40"/>
      <c r="O353" s="40"/>
      <c r="P353" s="39"/>
      <c r="Q353" s="39"/>
      <c r="R353" s="40"/>
      <c r="S353" s="40"/>
      <c r="T353" s="39"/>
      <c r="U353" s="39"/>
      <c r="V353" s="40"/>
      <c r="W353" s="40"/>
      <c r="X353" s="41"/>
      <c r="Y353" s="41"/>
      <c r="Z353" s="40"/>
      <c r="AA353" s="40"/>
      <c r="AB353" s="41"/>
      <c r="AC353" s="41"/>
      <c r="AD353" s="40"/>
      <c r="AE353" s="40"/>
      <c r="AF353" s="42"/>
      <c r="AG353" s="42"/>
      <c r="AH353" s="40"/>
      <c r="AI353" s="40"/>
      <c r="AJ353" s="42"/>
      <c r="AK353" s="42"/>
      <c r="AL353" s="40"/>
      <c r="AM353" s="40"/>
      <c r="AN353" s="40"/>
      <c r="AO353" s="40"/>
      <c r="AP353" s="40"/>
      <c r="AQ353" s="40"/>
      <c r="AR353" s="39"/>
      <c r="AS353" s="39"/>
      <c r="AT353" s="40"/>
      <c r="AU353" s="40"/>
      <c r="AV353" s="23"/>
    </row>
    <row r="354" spans="1:48" ht="15.75" x14ac:dyDescent="0.25">
      <c r="A354" s="44"/>
      <c r="B354" s="23"/>
      <c r="C354" s="23"/>
      <c r="D354" s="39"/>
      <c r="E354" s="39"/>
      <c r="F354" s="40"/>
      <c r="G354" s="40"/>
      <c r="H354" s="41"/>
      <c r="I354" s="39"/>
      <c r="J354" s="40"/>
      <c r="K354" s="40"/>
      <c r="L354" s="41"/>
      <c r="M354" s="39"/>
      <c r="N354" s="40"/>
      <c r="O354" s="40"/>
      <c r="P354" s="39"/>
      <c r="Q354" s="39"/>
      <c r="R354" s="40"/>
      <c r="S354" s="40"/>
      <c r="T354" s="39"/>
      <c r="U354" s="39"/>
      <c r="V354" s="40"/>
      <c r="W354" s="40"/>
      <c r="X354" s="41"/>
      <c r="Y354" s="41"/>
      <c r="Z354" s="40"/>
      <c r="AA354" s="40"/>
      <c r="AB354" s="41"/>
      <c r="AC354" s="41"/>
      <c r="AD354" s="40"/>
      <c r="AE354" s="40"/>
      <c r="AF354" s="42"/>
      <c r="AG354" s="42"/>
      <c r="AH354" s="40"/>
      <c r="AI354" s="40"/>
      <c r="AJ354" s="42"/>
      <c r="AK354" s="42"/>
      <c r="AL354" s="40"/>
      <c r="AM354" s="40"/>
      <c r="AN354" s="40"/>
      <c r="AO354" s="40"/>
      <c r="AP354" s="40"/>
      <c r="AQ354" s="40"/>
      <c r="AR354" s="39"/>
      <c r="AS354" s="39"/>
      <c r="AT354" s="40"/>
      <c r="AU354" s="40"/>
      <c r="AV354" s="23"/>
    </row>
    <row r="355" spans="1:48" ht="15.75" x14ac:dyDescent="0.25">
      <c r="A355" s="44"/>
      <c r="B355" s="23"/>
      <c r="C355" s="23"/>
      <c r="D355" s="39"/>
      <c r="E355" s="39"/>
      <c r="F355" s="40"/>
      <c r="G355" s="40"/>
      <c r="H355" s="41"/>
      <c r="I355" s="39"/>
      <c r="J355" s="40"/>
      <c r="K355" s="40"/>
      <c r="L355" s="41"/>
      <c r="M355" s="39"/>
      <c r="N355" s="40"/>
      <c r="O355" s="40"/>
      <c r="P355" s="39"/>
      <c r="Q355" s="39"/>
      <c r="R355" s="40"/>
      <c r="S355" s="40"/>
      <c r="T355" s="39"/>
      <c r="U355" s="39"/>
      <c r="V355" s="40"/>
      <c r="W355" s="40"/>
      <c r="X355" s="41"/>
      <c r="Y355" s="41"/>
      <c r="Z355" s="40"/>
      <c r="AA355" s="40"/>
      <c r="AB355" s="41"/>
      <c r="AC355" s="41"/>
      <c r="AD355" s="40"/>
      <c r="AE355" s="40"/>
      <c r="AF355" s="42"/>
      <c r="AG355" s="42"/>
      <c r="AH355" s="40"/>
      <c r="AI355" s="40"/>
      <c r="AJ355" s="42"/>
      <c r="AK355" s="42"/>
      <c r="AL355" s="40"/>
      <c r="AM355" s="40"/>
      <c r="AN355" s="40"/>
      <c r="AO355" s="40"/>
      <c r="AP355" s="40"/>
      <c r="AQ355" s="40"/>
      <c r="AR355" s="39"/>
      <c r="AS355" s="39"/>
      <c r="AT355" s="40"/>
      <c r="AU355" s="40"/>
      <c r="AV355" s="23"/>
    </row>
    <row r="356" spans="1:48" ht="15.75" x14ac:dyDescent="0.25">
      <c r="A356" s="44"/>
      <c r="B356" s="23"/>
      <c r="C356" s="23"/>
      <c r="D356" s="39"/>
      <c r="E356" s="39"/>
      <c r="F356" s="40"/>
      <c r="G356" s="40"/>
      <c r="H356" s="41"/>
      <c r="I356" s="39"/>
      <c r="J356" s="40"/>
      <c r="K356" s="40"/>
      <c r="L356" s="41"/>
      <c r="M356" s="39"/>
      <c r="N356" s="40"/>
      <c r="O356" s="40"/>
      <c r="P356" s="39"/>
      <c r="Q356" s="39"/>
      <c r="R356" s="40"/>
      <c r="S356" s="40"/>
      <c r="T356" s="39"/>
      <c r="U356" s="39"/>
      <c r="V356" s="40"/>
      <c r="W356" s="40"/>
      <c r="X356" s="41"/>
      <c r="Y356" s="41"/>
      <c r="Z356" s="40"/>
      <c r="AA356" s="40"/>
      <c r="AB356" s="41"/>
      <c r="AC356" s="41"/>
      <c r="AD356" s="40"/>
      <c r="AE356" s="40"/>
      <c r="AF356" s="42"/>
      <c r="AG356" s="42"/>
      <c r="AH356" s="40"/>
      <c r="AI356" s="40"/>
      <c r="AJ356" s="42"/>
      <c r="AK356" s="42"/>
      <c r="AL356" s="40"/>
      <c r="AM356" s="40"/>
      <c r="AN356" s="40"/>
      <c r="AO356" s="40"/>
      <c r="AP356" s="40"/>
      <c r="AQ356" s="40"/>
      <c r="AR356" s="39"/>
      <c r="AS356" s="39"/>
      <c r="AT356" s="40"/>
      <c r="AU356" s="40"/>
      <c r="AV356" s="23"/>
    </row>
    <row r="357" spans="1:48" ht="15.75" x14ac:dyDescent="0.25">
      <c r="A357" s="44"/>
      <c r="B357" s="23"/>
      <c r="C357" s="23"/>
      <c r="D357" s="39"/>
      <c r="E357" s="39"/>
      <c r="F357" s="40"/>
      <c r="G357" s="40"/>
      <c r="H357" s="41"/>
      <c r="I357" s="39"/>
      <c r="J357" s="40"/>
      <c r="K357" s="40"/>
      <c r="L357" s="41"/>
      <c r="M357" s="39"/>
      <c r="N357" s="40"/>
      <c r="O357" s="40"/>
      <c r="P357" s="39"/>
      <c r="Q357" s="39"/>
      <c r="R357" s="40"/>
      <c r="S357" s="40"/>
      <c r="T357" s="39"/>
      <c r="U357" s="39"/>
      <c r="V357" s="40"/>
      <c r="W357" s="40"/>
      <c r="X357" s="41"/>
      <c r="Y357" s="41"/>
      <c r="Z357" s="40"/>
      <c r="AA357" s="40"/>
      <c r="AB357" s="41"/>
      <c r="AC357" s="41"/>
      <c r="AD357" s="40"/>
      <c r="AE357" s="40"/>
      <c r="AF357" s="42"/>
      <c r="AG357" s="42"/>
      <c r="AH357" s="40"/>
      <c r="AI357" s="40"/>
      <c r="AJ357" s="42"/>
      <c r="AK357" s="42"/>
      <c r="AL357" s="40"/>
      <c r="AM357" s="40"/>
      <c r="AN357" s="40"/>
      <c r="AO357" s="40"/>
      <c r="AP357" s="40"/>
      <c r="AQ357" s="40"/>
      <c r="AR357" s="39"/>
      <c r="AS357" s="39"/>
      <c r="AT357" s="40"/>
      <c r="AU357" s="40"/>
      <c r="AV357" s="23"/>
    </row>
    <row r="358" spans="1:48" ht="15.75" x14ac:dyDescent="0.25">
      <c r="A358" s="44"/>
      <c r="B358" s="23"/>
      <c r="C358" s="23"/>
      <c r="D358" s="39"/>
      <c r="E358" s="39"/>
      <c r="F358" s="40"/>
      <c r="G358" s="40"/>
      <c r="H358" s="41"/>
      <c r="I358" s="39"/>
      <c r="J358" s="40"/>
      <c r="K358" s="40"/>
      <c r="L358" s="41"/>
      <c r="M358" s="39"/>
      <c r="N358" s="40"/>
      <c r="O358" s="40"/>
      <c r="P358" s="39"/>
      <c r="Q358" s="39"/>
      <c r="R358" s="40"/>
      <c r="S358" s="40"/>
      <c r="T358" s="39"/>
      <c r="U358" s="39"/>
      <c r="V358" s="40"/>
      <c r="W358" s="40"/>
      <c r="X358" s="41"/>
      <c r="Y358" s="41"/>
      <c r="Z358" s="40"/>
      <c r="AA358" s="40"/>
      <c r="AB358" s="41"/>
      <c r="AC358" s="41"/>
      <c r="AD358" s="40"/>
      <c r="AE358" s="40"/>
      <c r="AF358" s="42"/>
      <c r="AG358" s="42"/>
      <c r="AH358" s="40"/>
      <c r="AI358" s="40"/>
      <c r="AJ358" s="42"/>
      <c r="AK358" s="42"/>
      <c r="AL358" s="40"/>
      <c r="AM358" s="40"/>
      <c r="AN358" s="40"/>
      <c r="AO358" s="40"/>
      <c r="AP358" s="40"/>
      <c r="AQ358" s="40"/>
      <c r="AR358" s="39"/>
      <c r="AS358" s="39"/>
      <c r="AT358" s="40"/>
      <c r="AU358" s="40"/>
      <c r="AV358" s="23"/>
    </row>
    <row r="359" spans="1:48" ht="15.75" x14ac:dyDescent="0.25">
      <c r="A359" s="44"/>
      <c r="B359" s="23"/>
      <c r="C359" s="23"/>
      <c r="D359" s="39"/>
      <c r="E359" s="39"/>
      <c r="F359" s="40"/>
      <c r="G359" s="40"/>
      <c r="H359" s="41"/>
      <c r="I359" s="39"/>
      <c r="J359" s="40"/>
      <c r="K359" s="40"/>
      <c r="L359" s="41"/>
      <c r="M359" s="39"/>
      <c r="N359" s="40"/>
      <c r="O359" s="40"/>
      <c r="P359" s="39"/>
      <c r="Q359" s="39"/>
      <c r="R359" s="40"/>
      <c r="S359" s="40"/>
      <c r="T359" s="39"/>
      <c r="U359" s="39"/>
      <c r="V359" s="40"/>
      <c r="W359" s="40"/>
      <c r="X359" s="41"/>
      <c r="Y359" s="41"/>
      <c r="Z359" s="40"/>
      <c r="AA359" s="40"/>
      <c r="AB359" s="41"/>
      <c r="AC359" s="41"/>
      <c r="AD359" s="40"/>
      <c r="AE359" s="40"/>
      <c r="AF359" s="42"/>
      <c r="AG359" s="42"/>
      <c r="AH359" s="40"/>
      <c r="AI359" s="40"/>
      <c r="AJ359" s="42"/>
      <c r="AK359" s="42"/>
      <c r="AL359" s="40"/>
      <c r="AM359" s="40"/>
      <c r="AN359" s="40"/>
      <c r="AO359" s="40"/>
      <c r="AP359" s="40"/>
      <c r="AQ359" s="40"/>
      <c r="AR359" s="39"/>
      <c r="AS359" s="39"/>
      <c r="AT359" s="40"/>
      <c r="AU359" s="40"/>
      <c r="AV359" s="23"/>
    </row>
    <row r="360" spans="1:48" ht="15.75" x14ac:dyDescent="0.25">
      <c r="A360" s="44"/>
      <c r="B360" s="23"/>
      <c r="C360" s="23"/>
      <c r="D360" s="39"/>
      <c r="E360" s="39"/>
      <c r="F360" s="40"/>
      <c r="G360" s="40"/>
      <c r="H360" s="41"/>
      <c r="I360" s="39"/>
      <c r="J360" s="40"/>
      <c r="K360" s="40"/>
      <c r="L360" s="41"/>
      <c r="M360" s="39"/>
      <c r="N360" s="40"/>
      <c r="O360" s="40"/>
      <c r="P360" s="39"/>
      <c r="Q360" s="39"/>
      <c r="R360" s="40"/>
      <c r="S360" s="40"/>
      <c r="T360" s="39"/>
      <c r="U360" s="39"/>
      <c r="V360" s="40"/>
      <c r="W360" s="40"/>
      <c r="X360" s="41"/>
      <c r="Y360" s="41"/>
      <c r="Z360" s="40"/>
      <c r="AA360" s="40"/>
      <c r="AB360" s="41"/>
      <c r="AC360" s="41"/>
      <c r="AD360" s="40"/>
      <c r="AE360" s="40"/>
      <c r="AF360" s="42"/>
      <c r="AG360" s="42"/>
      <c r="AH360" s="40"/>
      <c r="AI360" s="40"/>
      <c r="AJ360" s="42"/>
      <c r="AK360" s="42"/>
      <c r="AL360" s="40"/>
      <c r="AM360" s="40"/>
      <c r="AN360" s="40"/>
      <c r="AO360" s="40"/>
      <c r="AP360" s="40"/>
      <c r="AQ360" s="40"/>
      <c r="AR360" s="39"/>
      <c r="AS360" s="39"/>
      <c r="AT360" s="40"/>
      <c r="AU360" s="40"/>
      <c r="AV360" s="23"/>
    </row>
    <row r="361" spans="1:48" ht="15.75" x14ac:dyDescent="0.25">
      <c r="A361" s="44"/>
      <c r="B361" s="23"/>
      <c r="C361" s="23"/>
      <c r="D361" s="39"/>
      <c r="E361" s="39"/>
      <c r="F361" s="40"/>
      <c r="G361" s="40"/>
      <c r="H361" s="41"/>
      <c r="I361" s="39"/>
      <c r="J361" s="40"/>
      <c r="K361" s="40"/>
      <c r="L361" s="41"/>
      <c r="M361" s="39"/>
      <c r="N361" s="40"/>
      <c r="O361" s="40"/>
      <c r="P361" s="39"/>
      <c r="Q361" s="39"/>
      <c r="R361" s="40"/>
      <c r="S361" s="40"/>
      <c r="T361" s="39"/>
      <c r="U361" s="39"/>
      <c r="V361" s="40"/>
      <c r="W361" s="40"/>
      <c r="X361" s="41"/>
      <c r="Y361" s="41"/>
      <c r="Z361" s="40"/>
      <c r="AA361" s="40"/>
      <c r="AB361" s="41"/>
      <c r="AC361" s="41"/>
      <c r="AD361" s="40"/>
      <c r="AE361" s="40"/>
      <c r="AF361" s="42"/>
      <c r="AG361" s="42"/>
      <c r="AH361" s="40"/>
      <c r="AI361" s="40"/>
      <c r="AJ361" s="42"/>
      <c r="AK361" s="42"/>
      <c r="AL361" s="40"/>
      <c r="AM361" s="40"/>
      <c r="AN361" s="40"/>
      <c r="AO361" s="40"/>
      <c r="AP361" s="40"/>
      <c r="AQ361" s="40"/>
      <c r="AR361" s="39"/>
      <c r="AS361" s="39"/>
      <c r="AT361" s="40"/>
      <c r="AU361" s="40"/>
      <c r="AV361" s="23"/>
    </row>
    <row r="362" spans="1:48" ht="15.75" x14ac:dyDescent="0.25">
      <c r="A362" s="44"/>
      <c r="B362" s="23"/>
      <c r="C362" s="23"/>
      <c r="D362" s="39"/>
      <c r="E362" s="39"/>
      <c r="F362" s="40"/>
      <c r="G362" s="40"/>
      <c r="H362" s="41"/>
      <c r="I362" s="39"/>
      <c r="J362" s="40"/>
      <c r="K362" s="40"/>
      <c r="L362" s="41"/>
      <c r="M362" s="39"/>
      <c r="N362" s="40"/>
      <c r="O362" s="40"/>
      <c r="P362" s="39"/>
      <c r="Q362" s="39"/>
      <c r="R362" s="40"/>
      <c r="S362" s="40"/>
      <c r="T362" s="39"/>
      <c r="U362" s="39"/>
      <c r="V362" s="40"/>
      <c r="W362" s="40"/>
      <c r="X362" s="41"/>
      <c r="Y362" s="41"/>
      <c r="Z362" s="40"/>
      <c r="AA362" s="40"/>
      <c r="AB362" s="41"/>
      <c r="AC362" s="41"/>
      <c r="AD362" s="40"/>
      <c r="AE362" s="40"/>
      <c r="AF362" s="42"/>
      <c r="AG362" s="42"/>
      <c r="AH362" s="40"/>
      <c r="AI362" s="40"/>
      <c r="AJ362" s="42"/>
      <c r="AK362" s="42"/>
      <c r="AL362" s="40"/>
      <c r="AM362" s="40"/>
      <c r="AN362" s="40"/>
      <c r="AO362" s="40"/>
      <c r="AP362" s="40"/>
      <c r="AQ362" s="40"/>
      <c r="AR362" s="39"/>
      <c r="AS362" s="39"/>
      <c r="AT362" s="40"/>
      <c r="AU362" s="40"/>
      <c r="AV362" s="23"/>
    </row>
    <row r="363" spans="1:48" ht="15.75" x14ac:dyDescent="0.25">
      <c r="A363" s="44"/>
      <c r="B363" s="23"/>
      <c r="C363" s="23"/>
      <c r="D363" s="39"/>
      <c r="E363" s="39"/>
      <c r="F363" s="40"/>
      <c r="G363" s="40"/>
      <c r="H363" s="41"/>
      <c r="I363" s="39"/>
      <c r="J363" s="40"/>
      <c r="K363" s="40"/>
      <c r="L363" s="41"/>
      <c r="M363" s="39"/>
      <c r="N363" s="40"/>
      <c r="O363" s="40"/>
      <c r="P363" s="39"/>
      <c r="Q363" s="39"/>
      <c r="R363" s="40"/>
      <c r="S363" s="40"/>
      <c r="T363" s="39"/>
      <c r="U363" s="39"/>
      <c r="V363" s="40"/>
      <c r="W363" s="40"/>
      <c r="X363" s="41"/>
      <c r="Y363" s="41"/>
      <c r="Z363" s="40"/>
      <c r="AA363" s="40"/>
      <c r="AB363" s="41"/>
      <c r="AC363" s="41"/>
      <c r="AD363" s="40"/>
      <c r="AE363" s="40"/>
      <c r="AF363" s="42"/>
      <c r="AG363" s="42"/>
      <c r="AH363" s="40"/>
      <c r="AI363" s="40"/>
      <c r="AJ363" s="42"/>
      <c r="AK363" s="42"/>
      <c r="AL363" s="40"/>
      <c r="AM363" s="40"/>
      <c r="AN363" s="40"/>
      <c r="AO363" s="40"/>
      <c r="AP363" s="40"/>
      <c r="AQ363" s="40"/>
      <c r="AR363" s="39"/>
      <c r="AS363" s="39"/>
      <c r="AT363" s="40"/>
      <c r="AU363" s="40"/>
      <c r="AV363" s="23"/>
    </row>
    <row r="364" spans="1:48" ht="15.75" x14ac:dyDescent="0.25">
      <c r="A364" s="44"/>
      <c r="B364" s="23"/>
      <c r="C364" s="23"/>
      <c r="D364" s="39"/>
      <c r="E364" s="39"/>
      <c r="F364" s="40"/>
      <c r="G364" s="40"/>
      <c r="H364" s="41"/>
      <c r="I364" s="39"/>
      <c r="J364" s="40"/>
      <c r="K364" s="40"/>
      <c r="L364" s="41"/>
      <c r="M364" s="39"/>
      <c r="N364" s="40"/>
      <c r="O364" s="40"/>
      <c r="P364" s="39"/>
      <c r="Q364" s="39"/>
      <c r="R364" s="40"/>
      <c r="S364" s="40"/>
      <c r="T364" s="39"/>
      <c r="U364" s="39"/>
      <c r="V364" s="40"/>
      <c r="W364" s="40"/>
      <c r="X364" s="41"/>
      <c r="Y364" s="41"/>
      <c r="Z364" s="40"/>
      <c r="AA364" s="40"/>
      <c r="AB364" s="41"/>
      <c r="AC364" s="41"/>
      <c r="AD364" s="40"/>
      <c r="AE364" s="40"/>
      <c r="AF364" s="42"/>
      <c r="AG364" s="42"/>
      <c r="AH364" s="40"/>
      <c r="AI364" s="40"/>
      <c r="AJ364" s="42"/>
      <c r="AK364" s="42"/>
      <c r="AL364" s="40"/>
      <c r="AM364" s="40"/>
      <c r="AN364" s="40"/>
      <c r="AO364" s="40"/>
      <c r="AP364" s="40"/>
      <c r="AQ364" s="40"/>
      <c r="AR364" s="39"/>
      <c r="AS364" s="39"/>
      <c r="AT364" s="40"/>
      <c r="AU364" s="40"/>
      <c r="AV364" s="23"/>
    </row>
    <row r="365" spans="1:48" ht="15.75" x14ac:dyDescent="0.25">
      <c r="A365" s="44"/>
      <c r="B365" s="23"/>
      <c r="C365" s="23"/>
      <c r="D365" s="39"/>
      <c r="E365" s="39"/>
      <c r="F365" s="40"/>
      <c r="G365" s="40"/>
      <c r="H365" s="41"/>
      <c r="I365" s="39"/>
      <c r="J365" s="40"/>
      <c r="K365" s="40"/>
      <c r="L365" s="41"/>
      <c r="M365" s="39"/>
      <c r="N365" s="40"/>
      <c r="O365" s="40"/>
      <c r="P365" s="39"/>
      <c r="Q365" s="39"/>
      <c r="R365" s="40"/>
      <c r="S365" s="40"/>
      <c r="T365" s="39"/>
      <c r="U365" s="39"/>
      <c r="V365" s="40"/>
      <c r="W365" s="40"/>
      <c r="X365" s="41"/>
      <c r="Y365" s="41"/>
      <c r="Z365" s="40"/>
      <c r="AA365" s="40"/>
      <c r="AB365" s="41"/>
      <c r="AC365" s="41"/>
      <c r="AD365" s="40"/>
      <c r="AE365" s="40"/>
      <c r="AF365" s="42"/>
      <c r="AG365" s="42"/>
      <c r="AH365" s="40"/>
      <c r="AI365" s="40"/>
      <c r="AJ365" s="42"/>
      <c r="AK365" s="42"/>
      <c r="AL365" s="40"/>
      <c r="AM365" s="40"/>
      <c r="AN365" s="40"/>
      <c r="AO365" s="40"/>
      <c r="AP365" s="40"/>
      <c r="AQ365" s="40"/>
      <c r="AR365" s="39"/>
      <c r="AS365" s="39"/>
      <c r="AT365" s="40"/>
      <c r="AU365" s="40"/>
      <c r="AV365" s="23"/>
    </row>
    <row r="366" spans="1:48" ht="15.75" x14ac:dyDescent="0.25">
      <c r="A366" s="44"/>
      <c r="B366" s="23"/>
      <c r="C366" s="23"/>
      <c r="D366" s="39"/>
      <c r="E366" s="39"/>
      <c r="F366" s="40"/>
      <c r="G366" s="40"/>
      <c r="H366" s="41"/>
      <c r="I366" s="39"/>
      <c r="J366" s="40"/>
      <c r="K366" s="40"/>
      <c r="L366" s="41"/>
      <c r="M366" s="39"/>
      <c r="N366" s="40"/>
      <c r="O366" s="40"/>
      <c r="P366" s="39"/>
      <c r="Q366" s="39"/>
      <c r="R366" s="40"/>
      <c r="S366" s="40"/>
      <c r="T366" s="39"/>
      <c r="U366" s="39"/>
      <c r="V366" s="40"/>
      <c r="W366" s="40"/>
      <c r="X366" s="41"/>
      <c r="Y366" s="41"/>
      <c r="Z366" s="40"/>
      <c r="AA366" s="40"/>
      <c r="AB366" s="41"/>
      <c r="AC366" s="41"/>
      <c r="AD366" s="40"/>
      <c r="AE366" s="40"/>
      <c r="AF366" s="42"/>
      <c r="AG366" s="42"/>
      <c r="AH366" s="40"/>
      <c r="AI366" s="40"/>
      <c r="AJ366" s="42"/>
      <c r="AK366" s="42"/>
      <c r="AL366" s="40"/>
      <c r="AM366" s="40"/>
      <c r="AN366" s="40"/>
      <c r="AO366" s="40"/>
      <c r="AP366" s="40"/>
      <c r="AQ366" s="40"/>
      <c r="AR366" s="39"/>
      <c r="AS366" s="39"/>
      <c r="AT366" s="40"/>
      <c r="AU366" s="40"/>
      <c r="AV366" s="23"/>
    </row>
    <row r="367" spans="1:48" ht="15.75" x14ac:dyDescent="0.25">
      <c r="A367" s="44"/>
      <c r="B367" s="23"/>
      <c r="C367" s="23"/>
      <c r="D367" s="39"/>
      <c r="E367" s="39"/>
      <c r="F367" s="40"/>
      <c r="G367" s="40"/>
      <c r="H367" s="41"/>
      <c r="I367" s="39"/>
      <c r="J367" s="40"/>
      <c r="K367" s="40"/>
      <c r="L367" s="41"/>
      <c r="M367" s="39"/>
      <c r="N367" s="40"/>
      <c r="O367" s="40"/>
      <c r="P367" s="39"/>
      <c r="Q367" s="39"/>
      <c r="R367" s="40"/>
      <c r="S367" s="40"/>
      <c r="T367" s="39"/>
      <c r="U367" s="39"/>
      <c r="V367" s="40"/>
      <c r="W367" s="40"/>
      <c r="X367" s="41"/>
      <c r="Y367" s="41"/>
      <c r="Z367" s="40"/>
      <c r="AA367" s="40"/>
      <c r="AB367" s="41"/>
      <c r="AC367" s="41"/>
      <c r="AD367" s="40"/>
      <c r="AE367" s="40"/>
      <c r="AF367" s="42"/>
      <c r="AG367" s="42"/>
      <c r="AH367" s="40"/>
      <c r="AI367" s="40"/>
      <c r="AJ367" s="42"/>
      <c r="AK367" s="42"/>
      <c r="AL367" s="40"/>
      <c r="AM367" s="40"/>
      <c r="AN367" s="40"/>
      <c r="AO367" s="40"/>
      <c r="AP367" s="40"/>
      <c r="AQ367" s="40"/>
      <c r="AR367" s="39"/>
      <c r="AS367" s="39"/>
      <c r="AT367" s="40"/>
      <c r="AU367" s="40"/>
      <c r="AV367" s="23"/>
    </row>
    <row r="368" spans="1:48" ht="15.75" x14ac:dyDescent="0.25">
      <c r="A368" s="44"/>
      <c r="B368" s="23"/>
      <c r="C368" s="23"/>
      <c r="D368" s="39"/>
      <c r="E368" s="39"/>
      <c r="F368" s="40"/>
      <c r="G368" s="40"/>
      <c r="H368" s="41"/>
      <c r="I368" s="39"/>
      <c r="J368" s="40"/>
      <c r="K368" s="40"/>
      <c r="L368" s="41"/>
      <c r="M368" s="39"/>
      <c r="N368" s="40"/>
      <c r="O368" s="40"/>
      <c r="P368" s="39"/>
      <c r="Q368" s="39"/>
      <c r="R368" s="40"/>
      <c r="S368" s="40"/>
      <c r="T368" s="39"/>
      <c r="U368" s="39"/>
      <c r="V368" s="40"/>
      <c r="W368" s="40"/>
      <c r="X368" s="41"/>
      <c r="Y368" s="41"/>
      <c r="Z368" s="40"/>
      <c r="AA368" s="40"/>
      <c r="AB368" s="41"/>
      <c r="AC368" s="41"/>
      <c r="AD368" s="40"/>
      <c r="AE368" s="40"/>
      <c r="AF368" s="42"/>
      <c r="AG368" s="42"/>
      <c r="AH368" s="40"/>
      <c r="AI368" s="40"/>
      <c r="AJ368" s="42"/>
      <c r="AK368" s="42"/>
      <c r="AL368" s="40"/>
      <c r="AM368" s="40"/>
      <c r="AN368" s="40"/>
      <c r="AO368" s="40"/>
      <c r="AP368" s="40"/>
      <c r="AQ368" s="40"/>
      <c r="AR368" s="39"/>
      <c r="AS368" s="39"/>
      <c r="AT368" s="40"/>
      <c r="AU368" s="40"/>
      <c r="AV368" s="23"/>
    </row>
    <row r="369" spans="1:48" ht="15.75" x14ac:dyDescent="0.25">
      <c r="A369" s="44"/>
      <c r="B369" s="23"/>
      <c r="C369" s="23"/>
      <c r="D369" s="39"/>
      <c r="E369" s="39"/>
      <c r="F369" s="40"/>
      <c r="G369" s="40"/>
      <c r="H369" s="41"/>
      <c r="I369" s="39"/>
      <c r="J369" s="40"/>
      <c r="K369" s="40"/>
      <c r="L369" s="41"/>
      <c r="M369" s="39"/>
      <c r="N369" s="40"/>
      <c r="O369" s="40"/>
      <c r="P369" s="39"/>
      <c r="Q369" s="39"/>
      <c r="R369" s="40"/>
      <c r="S369" s="40"/>
      <c r="T369" s="39"/>
      <c r="U369" s="39"/>
      <c r="V369" s="40"/>
      <c r="W369" s="40"/>
      <c r="X369" s="41"/>
      <c r="Y369" s="41"/>
      <c r="Z369" s="40"/>
      <c r="AA369" s="40"/>
      <c r="AB369" s="41"/>
      <c r="AC369" s="41"/>
      <c r="AD369" s="40"/>
      <c r="AE369" s="40"/>
      <c r="AF369" s="42"/>
      <c r="AG369" s="42"/>
      <c r="AH369" s="40"/>
      <c r="AI369" s="40"/>
      <c r="AJ369" s="42"/>
      <c r="AK369" s="42"/>
      <c r="AL369" s="40"/>
      <c r="AM369" s="40"/>
      <c r="AN369" s="40"/>
      <c r="AO369" s="40"/>
      <c r="AP369" s="40"/>
      <c r="AQ369" s="40"/>
      <c r="AR369" s="39"/>
      <c r="AS369" s="39"/>
      <c r="AT369" s="40"/>
      <c r="AU369" s="40"/>
      <c r="AV369" s="23"/>
    </row>
    <row r="370" spans="1:48" ht="15.75" x14ac:dyDescent="0.25">
      <c r="A370" s="44"/>
      <c r="B370" s="23"/>
      <c r="C370" s="23"/>
      <c r="D370" s="39"/>
      <c r="E370" s="39"/>
      <c r="F370" s="40"/>
      <c r="G370" s="40"/>
      <c r="H370" s="41"/>
      <c r="I370" s="39"/>
      <c r="J370" s="40"/>
      <c r="K370" s="40"/>
      <c r="L370" s="41"/>
      <c r="M370" s="39"/>
      <c r="N370" s="40"/>
      <c r="O370" s="40"/>
      <c r="P370" s="39"/>
      <c r="Q370" s="39"/>
      <c r="R370" s="40"/>
      <c r="S370" s="40"/>
      <c r="T370" s="39"/>
      <c r="U370" s="39"/>
      <c r="V370" s="40"/>
      <c r="W370" s="40"/>
      <c r="X370" s="41"/>
      <c r="Y370" s="41"/>
      <c r="Z370" s="40"/>
      <c r="AA370" s="40"/>
      <c r="AB370" s="41"/>
      <c r="AC370" s="41"/>
      <c r="AD370" s="40"/>
      <c r="AE370" s="40"/>
      <c r="AF370" s="42"/>
      <c r="AG370" s="42"/>
      <c r="AH370" s="40"/>
      <c r="AI370" s="40"/>
      <c r="AJ370" s="42"/>
      <c r="AK370" s="42"/>
      <c r="AL370" s="40"/>
      <c r="AM370" s="40"/>
      <c r="AN370" s="40"/>
      <c r="AO370" s="40"/>
      <c r="AP370" s="40"/>
      <c r="AQ370" s="40"/>
      <c r="AR370" s="39"/>
      <c r="AS370" s="39"/>
      <c r="AT370" s="40"/>
      <c r="AU370" s="40"/>
      <c r="AV370" s="23"/>
    </row>
    <row r="371" spans="1:48" ht="15.75" x14ac:dyDescent="0.25">
      <c r="A371" s="44"/>
      <c r="B371" s="23"/>
      <c r="C371" s="23"/>
      <c r="D371" s="39"/>
      <c r="E371" s="39"/>
      <c r="F371" s="40"/>
      <c r="G371" s="40"/>
      <c r="H371" s="41"/>
      <c r="I371" s="39"/>
      <c r="J371" s="40"/>
      <c r="K371" s="40"/>
      <c r="L371" s="41"/>
      <c r="M371" s="39"/>
      <c r="N371" s="40"/>
      <c r="O371" s="40"/>
      <c r="P371" s="39"/>
      <c r="Q371" s="39"/>
      <c r="R371" s="40"/>
      <c r="S371" s="40"/>
      <c r="T371" s="39"/>
      <c r="U371" s="39"/>
      <c r="V371" s="40"/>
      <c r="W371" s="40"/>
      <c r="X371" s="41"/>
      <c r="Y371" s="41"/>
      <c r="Z371" s="40"/>
      <c r="AA371" s="40"/>
      <c r="AB371" s="41"/>
      <c r="AC371" s="41"/>
      <c r="AD371" s="40"/>
      <c r="AE371" s="40"/>
      <c r="AF371" s="42"/>
      <c r="AG371" s="42"/>
      <c r="AH371" s="40"/>
      <c r="AI371" s="40"/>
      <c r="AJ371" s="42"/>
      <c r="AK371" s="42"/>
      <c r="AL371" s="40"/>
      <c r="AM371" s="40"/>
      <c r="AN371" s="40"/>
      <c r="AO371" s="40"/>
      <c r="AP371" s="40"/>
      <c r="AQ371" s="40"/>
      <c r="AR371" s="39"/>
      <c r="AS371" s="39"/>
      <c r="AT371" s="40"/>
      <c r="AU371" s="40"/>
      <c r="AV371" s="23"/>
    </row>
    <row r="372" spans="1:48" ht="15.75" x14ac:dyDescent="0.25">
      <c r="A372" s="44"/>
      <c r="B372" s="23"/>
      <c r="C372" s="23"/>
      <c r="D372" s="39"/>
      <c r="E372" s="39"/>
      <c r="F372" s="40"/>
      <c r="G372" s="40"/>
      <c r="H372" s="41"/>
      <c r="I372" s="39"/>
      <c r="J372" s="40"/>
      <c r="K372" s="40"/>
      <c r="L372" s="41"/>
      <c r="M372" s="39"/>
      <c r="N372" s="40"/>
      <c r="O372" s="40"/>
      <c r="P372" s="39"/>
      <c r="Q372" s="39"/>
      <c r="R372" s="40"/>
      <c r="S372" s="40"/>
      <c r="T372" s="39"/>
      <c r="U372" s="39"/>
      <c r="V372" s="40"/>
      <c r="W372" s="40"/>
      <c r="X372" s="41"/>
      <c r="Y372" s="41"/>
      <c r="Z372" s="40"/>
      <c r="AA372" s="40"/>
      <c r="AB372" s="41"/>
      <c r="AC372" s="41"/>
      <c r="AD372" s="40"/>
      <c r="AE372" s="40"/>
      <c r="AF372" s="42"/>
      <c r="AG372" s="42"/>
      <c r="AH372" s="40"/>
      <c r="AI372" s="40"/>
      <c r="AJ372" s="42"/>
      <c r="AK372" s="42"/>
      <c r="AL372" s="40"/>
      <c r="AM372" s="40"/>
      <c r="AN372" s="40"/>
      <c r="AO372" s="40"/>
      <c r="AP372" s="40"/>
      <c r="AQ372" s="40"/>
      <c r="AR372" s="39"/>
      <c r="AS372" s="39"/>
      <c r="AT372" s="40"/>
      <c r="AU372" s="40"/>
      <c r="AV372" s="23"/>
    </row>
    <row r="373" spans="1:48" ht="15.75" x14ac:dyDescent="0.25">
      <c r="A373" s="44"/>
      <c r="B373" s="23"/>
      <c r="C373" s="23"/>
      <c r="D373" s="39"/>
      <c r="E373" s="39"/>
      <c r="F373" s="40"/>
      <c r="G373" s="40"/>
      <c r="H373" s="41"/>
      <c r="I373" s="39"/>
      <c r="J373" s="40"/>
      <c r="K373" s="40"/>
      <c r="L373" s="41"/>
      <c r="M373" s="39"/>
      <c r="N373" s="40"/>
      <c r="O373" s="40"/>
      <c r="P373" s="39"/>
      <c r="Q373" s="39"/>
      <c r="R373" s="40"/>
      <c r="S373" s="40"/>
      <c r="T373" s="39"/>
      <c r="U373" s="39"/>
      <c r="V373" s="40"/>
      <c r="W373" s="40"/>
      <c r="X373" s="41"/>
      <c r="Y373" s="41"/>
      <c r="Z373" s="40"/>
      <c r="AA373" s="40"/>
      <c r="AB373" s="41"/>
      <c r="AC373" s="41"/>
      <c r="AD373" s="40"/>
      <c r="AE373" s="40"/>
      <c r="AF373" s="42"/>
      <c r="AG373" s="42"/>
      <c r="AH373" s="40"/>
      <c r="AI373" s="40"/>
      <c r="AJ373" s="42"/>
      <c r="AK373" s="42"/>
      <c r="AL373" s="40"/>
      <c r="AM373" s="40"/>
      <c r="AN373" s="40"/>
      <c r="AO373" s="40"/>
      <c r="AP373" s="40"/>
      <c r="AQ373" s="40"/>
      <c r="AR373" s="39"/>
      <c r="AS373" s="39"/>
      <c r="AT373" s="40"/>
      <c r="AU373" s="40"/>
      <c r="AV373" s="23"/>
    </row>
    <row r="374" spans="1:48" ht="15.75" x14ac:dyDescent="0.25">
      <c r="A374" s="44"/>
      <c r="B374" s="23"/>
      <c r="C374" s="23"/>
      <c r="D374" s="39"/>
      <c r="E374" s="39"/>
      <c r="F374" s="40"/>
      <c r="G374" s="40"/>
      <c r="H374" s="41"/>
      <c r="I374" s="39"/>
      <c r="J374" s="40"/>
      <c r="K374" s="40"/>
      <c r="L374" s="41"/>
      <c r="M374" s="39"/>
      <c r="N374" s="40"/>
      <c r="O374" s="40"/>
      <c r="P374" s="39"/>
      <c r="Q374" s="39"/>
      <c r="R374" s="40"/>
      <c r="S374" s="40"/>
      <c r="T374" s="39"/>
      <c r="U374" s="39"/>
      <c r="V374" s="40"/>
      <c r="W374" s="40"/>
      <c r="X374" s="41"/>
      <c r="Y374" s="41"/>
      <c r="Z374" s="40"/>
      <c r="AA374" s="40"/>
      <c r="AB374" s="41"/>
      <c r="AC374" s="41"/>
      <c r="AD374" s="40"/>
      <c r="AE374" s="40"/>
      <c r="AF374" s="42"/>
      <c r="AG374" s="42"/>
      <c r="AH374" s="40"/>
      <c r="AI374" s="40"/>
      <c r="AJ374" s="42"/>
      <c r="AK374" s="42"/>
      <c r="AL374" s="40"/>
      <c r="AM374" s="40"/>
      <c r="AN374" s="40"/>
      <c r="AO374" s="40"/>
      <c r="AP374" s="40"/>
      <c r="AQ374" s="40"/>
      <c r="AR374" s="39"/>
      <c r="AS374" s="39"/>
      <c r="AT374" s="40"/>
      <c r="AU374" s="40"/>
      <c r="AV374" s="23"/>
    </row>
    <row r="375" spans="1:48" ht="15.75" x14ac:dyDescent="0.25">
      <c r="A375" s="44"/>
      <c r="B375" s="23"/>
      <c r="C375" s="23"/>
      <c r="D375" s="39"/>
      <c r="E375" s="39"/>
      <c r="F375" s="40"/>
      <c r="G375" s="40"/>
      <c r="H375" s="41"/>
      <c r="I375" s="39"/>
      <c r="J375" s="40"/>
      <c r="K375" s="40"/>
      <c r="L375" s="41"/>
      <c r="M375" s="39"/>
      <c r="N375" s="40"/>
      <c r="O375" s="40"/>
      <c r="P375" s="39"/>
      <c r="Q375" s="39"/>
      <c r="R375" s="40"/>
      <c r="S375" s="40"/>
      <c r="T375" s="39"/>
      <c r="U375" s="39"/>
      <c r="V375" s="40"/>
      <c r="W375" s="40"/>
      <c r="X375" s="41"/>
      <c r="Y375" s="41"/>
      <c r="Z375" s="40"/>
      <c r="AA375" s="40"/>
      <c r="AB375" s="41"/>
      <c r="AC375" s="41"/>
      <c r="AD375" s="40"/>
      <c r="AE375" s="40"/>
      <c r="AF375" s="42"/>
      <c r="AG375" s="42"/>
      <c r="AH375" s="40"/>
      <c r="AI375" s="40"/>
      <c r="AJ375" s="42"/>
      <c r="AK375" s="42"/>
      <c r="AL375" s="40"/>
      <c r="AM375" s="40"/>
      <c r="AN375" s="40"/>
      <c r="AO375" s="40"/>
      <c r="AP375" s="40"/>
      <c r="AQ375" s="40"/>
      <c r="AR375" s="39"/>
      <c r="AS375" s="39"/>
      <c r="AT375" s="40"/>
      <c r="AU375" s="40"/>
      <c r="AV375" s="23"/>
    </row>
    <row r="376" spans="1:48" ht="15.75" x14ac:dyDescent="0.25">
      <c r="A376" s="44"/>
      <c r="B376" s="23"/>
      <c r="C376" s="23"/>
      <c r="D376" s="39"/>
      <c r="E376" s="39"/>
      <c r="F376" s="40"/>
      <c r="G376" s="40"/>
      <c r="H376" s="41"/>
      <c r="I376" s="39"/>
      <c r="J376" s="40"/>
      <c r="K376" s="40"/>
      <c r="L376" s="41"/>
      <c r="M376" s="39"/>
      <c r="N376" s="40"/>
      <c r="O376" s="40"/>
      <c r="P376" s="39"/>
      <c r="Q376" s="39"/>
      <c r="R376" s="40"/>
      <c r="S376" s="40"/>
      <c r="T376" s="39"/>
      <c r="U376" s="39"/>
      <c r="V376" s="40"/>
      <c r="W376" s="40"/>
      <c r="X376" s="41"/>
      <c r="Y376" s="41"/>
      <c r="Z376" s="40"/>
      <c r="AA376" s="40"/>
      <c r="AB376" s="41"/>
      <c r="AC376" s="41"/>
      <c r="AD376" s="40"/>
      <c r="AE376" s="40"/>
      <c r="AF376" s="42"/>
      <c r="AG376" s="42"/>
      <c r="AH376" s="40"/>
      <c r="AI376" s="40"/>
      <c r="AJ376" s="42"/>
      <c r="AK376" s="42"/>
      <c r="AL376" s="40"/>
      <c r="AM376" s="40"/>
      <c r="AN376" s="40"/>
      <c r="AO376" s="40"/>
      <c r="AP376" s="40"/>
      <c r="AQ376" s="40"/>
      <c r="AR376" s="39"/>
      <c r="AS376" s="39"/>
      <c r="AT376" s="40"/>
      <c r="AU376" s="40"/>
      <c r="AV376" s="23"/>
    </row>
    <row r="377" spans="1:48" ht="15.75" x14ac:dyDescent="0.25">
      <c r="A377" s="44"/>
      <c r="B377" s="23"/>
      <c r="C377" s="23"/>
      <c r="D377" s="39"/>
      <c r="E377" s="39"/>
      <c r="F377" s="40"/>
      <c r="G377" s="40"/>
      <c r="H377" s="41"/>
      <c r="I377" s="39"/>
      <c r="J377" s="40"/>
      <c r="K377" s="40"/>
      <c r="L377" s="41"/>
      <c r="M377" s="39"/>
      <c r="N377" s="40"/>
      <c r="O377" s="40"/>
      <c r="P377" s="39"/>
      <c r="Q377" s="39"/>
      <c r="R377" s="40"/>
      <c r="S377" s="40"/>
      <c r="T377" s="39"/>
      <c r="U377" s="39"/>
      <c r="V377" s="40"/>
      <c r="W377" s="40"/>
      <c r="X377" s="41"/>
      <c r="Y377" s="41"/>
      <c r="Z377" s="40"/>
      <c r="AA377" s="40"/>
      <c r="AB377" s="41"/>
      <c r="AC377" s="41"/>
      <c r="AD377" s="40"/>
      <c r="AE377" s="40"/>
      <c r="AF377" s="42"/>
      <c r="AG377" s="42"/>
      <c r="AH377" s="40"/>
      <c r="AI377" s="40"/>
      <c r="AJ377" s="42"/>
      <c r="AK377" s="42"/>
      <c r="AL377" s="40"/>
      <c r="AM377" s="40"/>
      <c r="AN377" s="40"/>
      <c r="AO377" s="40"/>
      <c r="AP377" s="40"/>
      <c r="AQ377" s="40"/>
      <c r="AR377" s="39"/>
      <c r="AS377" s="39"/>
      <c r="AT377" s="40"/>
      <c r="AU377" s="40"/>
      <c r="AV377" s="23"/>
    </row>
    <row r="378" spans="1:48" ht="15.75" x14ac:dyDescent="0.25">
      <c r="A378" s="44"/>
      <c r="B378" s="23"/>
      <c r="C378" s="23"/>
      <c r="D378" s="39"/>
      <c r="E378" s="39"/>
      <c r="F378" s="40"/>
      <c r="G378" s="40"/>
      <c r="H378" s="41"/>
      <c r="I378" s="39"/>
      <c r="J378" s="40"/>
      <c r="K378" s="40"/>
      <c r="L378" s="41"/>
      <c r="M378" s="39"/>
      <c r="N378" s="40"/>
      <c r="O378" s="40"/>
      <c r="P378" s="39"/>
      <c r="Q378" s="39"/>
      <c r="R378" s="40"/>
      <c r="S378" s="40"/>
      <c r="T378" s="39"/>
      <c r="U378" s="39"/>
      <c r="V378" s="40"/>
      <c r="W378" s="40"/>
      <c r="X378" s="41"/>
      <c r="Y378" s="41"/>
      <c r="Z378" s="40"/>
      <c r="AA378" s="40"/>
      <c r="AB378" s="41"/>
      <c r="AC378" s="41"/>
      <c r="AD378" s="40"/>
      <c r="AE378" s="40"/>
      <c r="AF378" s="42"/>
      <c r="AG378" s="42"/>
      <c r="AH378" s="40"/>
      <c r="AI378" s="40"/>
      <c r="AJ378" s="42"/>
      <c r="AK378" s="42"/>
      <c r="AL378" s="40"/>
      <c r="AM378" s="40"/>
      <c r="AN378" s="40"/>
      <c r="AO378" s="40"/>
      <c r="AP378" s="40"/>
      <c r="AQ378" s="40"/>
      <c r="AR378" s="39"/>
      <c r="AS378" s="39"/>
      <c r="AT378" s="40"/>
      <c r="AU378" s="40"/>
      <c r="AV378" s="23"/>
    </row>
    <row r="379" spans="1:48" ht="15.75" x14ac:dyDescent="0.25">
      <c r="A379" s="44"/>
      <c r="B379" s="23"/>
      <c r="C379" s="23"/>
      <c r="D379" s="39"/>
      <c r="E379" s="39"/>
      <c r="F379" s="40"/>
      <c r="G379" s="40"/>
      <c r="H379" s="41"/>
      <c r="I379" s="39"/>
      <c r="J379" s="40"/>
      <c r="K379" s="40"/>
      <c r="L379" s="41"/>
      <c r="M379" s="39"/>
      <c r="N379" s="40"/>
      <c r="O379" s="40"/>
      <c r="P379" s="39"/>
      <c r="Q379" s="39"/>
      <c r="R379" s="40"/>
      <c r="S379" s="40"/>
      <c r="T379" s="39"/>
      <c r="U379" s="39"/>
      <c r="V379" s="40"/>
      <c r="W379" s="40"/>
      <c r="X379" s="41"/>
      <c r="Y379" s="41"/>
      <c r="Z379" s="40"/>
      <c r="AA379" s="40"/>
      <c r="AB379" s="41"/>
      <c r="AC379" s="41"/>
      <c r="AD379" s="40"/>
      <c r="AE379" s="40"/>
      <c r="AF379" s="42"/>
      <c r="AG379" s="42"/>
      <c r="AH379" s="40"/>
      <c r="AI379" s="40"/>
      <c r="AJ379" s="42"/>
      <c r="AK379" s="42"/>
      <c r="AL379" s="40"/>
      <c r="AM379" s="40"/>
      <c r="AN379" s="40"/>
      <c r="AO379" s="40"/>
      <c r="AP379" s="40"/>
      <c r="AQ379" s="40"/>
      <c r="AR379" s="39"/>
      <c r="AS379" s="39"/>
      <c r="AT379" s="40"/>
      <c r="AU379" s="40"/>
      <c r="AV379" s="23"/>
    </row>
    <row r="380" spans="1:48" ht="15.75" x14ac:dyDescent="0.25">
      <c r="A380" s="44"/>
      <c r="B380" s="23"/>
      <c r="C380" s="23"/>
      <c r="D380" s="39"/>
      <c r="E380" s="39"/>
      <c r="F380" s="40"/>
      <c r="G380" s="40"/>
      <c r="H380" s="41"/>
      <c r="I380" s="39"/>
      <c r="J380" s="40"/>
      <c r="K380" s="40"/>
      <c r="L380" s="41"/>
      <c r="M380" s="39"/>
      <c r="N380" s="40"/>
      <c r="O380" s="40"/>
      <c r="P380" s="39"/>
      <c r="Q380" s="39"/>
      <c r="R380" s="40"/>
      <c r="S380" s="40"/>
      <c r="T380" s="39"/>
      <c r="U380" s="39"/>
      <c r="V380" s="40"/>
      <c r="W380" s="40"/>
      <c r="X380" s="41"/>
      <c r="Y380" s="41"/>
      <c r="Z380" s="40"/>
      <c r="AA380" s="40"/>
      <c r="AB380" s="41"/>
      <c r="AC380" s="41"/>
      <c r="AD380" s="40"/>
      <c r="AE380" s="40"/>
      <c r="AF380" s="42"/>
      <c r="AG380" s="42"/>
      <c r="AH380" s="40"/>
      <c r="AI380" s="40"/>
      <c r="AJ380" s="42"/>
      <c r="AK380" s="42"/>
      <c r="AL380" s="40"/>
      <c r="AM380" s="40"/>
      <c r="AN380" s="40"/>
      <c r="AO380" s="40"/>
      <c r="AP380" s="40"/>
      <c r="AQ380" s="40"/>
      <c r="AR380" s="39"/>
      <c r="AS380" s="39"/>
      <c r="AT380" s="40"/>
      <c r="AU380" s="40"/>
      <c r="AV380" s="23"/>
    </row>
    <row r="381" spans="1:48" ht="15.75" x14ac:dyDescent="0.25">
      <c r="A381" s="44"/>
      <c r="B381" s="23"/>
      <c r="C381" s="23"/>
      <c r="D381" s="39"/>
      <c r="E381" s="39"/>
      <c r="F381" s="40"/>
      <c r="G381" s="40"/>
      <c r="H381" s="41"/>
      <c r="I381" s="39"/>
      <c r="J381" s="40"/>
      <c r="K381" s="40"/>
      <c r="L381" s="41"/>
      <c r="M381" s="39"/>
      <c r="N381" s="40"/>
      <c r="O381" s="40"/>
      <c r="P381" s="39"/>
      <c r="Q381" s="39"/>
      <c r="R381" s="40"/>
      <c r="S381" s="40"/>
      <c r="T381" s="39"/>
      <c r="U381" s="39"/>
      <c r="V381" s="40"/>
      <c r="W381" s="40"/>
      <c r="X381" s="41"/>
      <c r="Y381" s="41"/>
      <c r="Z381" s="40"/>
      <c r="AA381" s="40"/>
      <c r="AB381" s="41"/>
      <c r="AC381" s="41"/>
      <c r="AD381" s="40"/>
      <c r="AE381" s="40"/>
      <c r="AF381" s="42"/>
      <c r="AG381" s="42"/>
      <c r="AH381" s="40"/>
      <c r="AI381" s="40"/>
      <c r="AJ381" s="42"/>
      <c r="AK381" s="42"/>
      <c r="AL381" s="40"/>
      <c r="AM381" s="40"/>
      <c r="AN381" s="40"/>
      <c r="AO381" s="40"/>
      <c r="AP381" s="40"/>
      <c r="AQ381" s="40"/>
      <c r="AR381" s="39"/>
      <c r="AS381" s="39"/>
      <c r="AT381" s="40"/>
      <c r="AU381" s="40"/>
      <c r="AV381" s="23"/>
    </row>
    <row r="382" spans="1:48" ht="15.75" x14ac:dyDescent="0.25">
      <c r="A382" s="44"/>
      <c r="B382" s="23"/>
      <c r="C382" s="23"/>
      <c r="D382" s="39"/>
      <c r="E382" s="39"/>
      <c r="F382" s="40"/>
      <c r="G382" s="40"/>
      <c r="H382" s="41"/>
      <c r="I382" s="39"/>
      <c r="J382" s="40"/>
      <c r="K382" s="40"/>
      <c r="L382" s="41"/>
      <c r="M382" s="39"/>
      <c r="N382" s="40"/>
      <c r="O382" s="40"/>
      <c r="P382" s="39"/>
      <c r="Q382" s="39"/>
      <c r="R382" s="40"/>
      <c r="S382" s="40"/>
      <c r="T382" s="39"/>
      <c r="U382" s="39"/>
      <c r="V382" s="40"/>
      <c r="W382" s="40"/>
      <c r="X382" s="41"/>
      <c r="Y382" s="41"/>
      <c r="Z382" s="40"/>
      <c r="AA382" s="40"/>
      <c r="AB382" s="41"/>
      <c r="AC382" s="41"/>
      <c r="AD382" s="40"/>
      <c r="AE382" s="40"/>
      <c r="AF382" s="42"/>
      <c r="AG382" s="42"/>
      <c r="AH382" s="40"/>
      <c r="AI382" s="40"/>
      <c r="AJ382" s="42"/>
      <c r="AK382" s="42"/>
      <c r="AL382" s="40"/>
      <c r="AM382" s="40"/>
      <c r="AN382" s="40"/>
      <c r="AO382" s="40"/>
      <c r="AP382" s="40"/>
      <c r="AQ382" s="40"/>
      <c r="AR382" s="39"/>
      <c r="AS382" s="39"/>
      <c r="AT382" s="40"/>
      <c r="AU382" s="40"/>
      <c r="AV382" s="23"/>
    </row>
    <row r="383" spans="1:48" ht="15.75" x14ac:dyDescent="0.25">
      <c r="A383" s="44"/>
      <c r="B383" s="23"/>
      <c r="C383" s="23"/>
      <c r="D383" s="39"/>
      <c r="E383" s="39"/>
      <c r="F383" s="40"/>
      <c r="G383" s="40"/>
      <c r="H383" s="41"/>
      <c r="I383" s="39"/>
      <c r="J383" s="40"/>
      <c r="K383" s="40"/>
      <c r="L383" s="41"/>
      <c r="M383" s="39"/>
      <c r="N383" s="40"/>
      <c r="O383" s="40"/>
      <c r="P383" s="39"/>
      <c r="Q383" s="39"/>
      <c r="R383" s="40"/>
      <c r="S383" s="40"/>
      <c r="T383" s="39"/>
      <c r="U383" s="39"/>
      <c r="V383" s="40"/>
      <c r="W383" s="40"/>
      <c r="X383" s="41"/>
      <c r="Y383" s="41"/>
      <c r="Z383" s="40"/>
      <c r="AA383" s="40"/>
      <c r="AB383" s="41"/>
      <c r="AC383" s="41"/>
      <c r="AD383" s="40"/>
      <c r="AE383" s="40"/>
      <c r="AF383" s="42"/>
      <c r="AG383" s="42"/>
      <c r="AH383" s="40"/>
      <c r="AI383" s="40"/>
      <c r="AJ383" s="42"/>
      <c r="AK383" s="42"/>
      <c r="AL383" s="40"/>
      <c r="AM383" s="40"/>
      <c r="AN383" s="40"/>
      <c r="AO383" s="40"/>
      <c r="AP383" s="40"/>
      <c r="AQ383" s="40"/>
      <c r="AR383" s="39"/>
      <c r="AS383" s="39"/>
      <c r="AT383" s="40"/>
      <c r="AU383" s="40"/>
      <c r="AV383" s="23"/>
    </row>
    <row r="384" spans="1:48" ht="15.75" x14ac:dyDescent="0.25">
      <c r="A384" s="44"/>
      <c r="B384" s="23"/>
      <c r="C384" s="23"/>
      <c r="D384" s="39"/>
      <c r="E384" s="39"/>
      <c r="F384" s="40"/>
      <c r="G384" s="40"/>
      <c r="H384" s="41"/>
      <c r="I384" s="39"/>
      <c r="J384" s="40"/>
      <c r="K384" s="40"/>
      <c r="L384" s="41"/>
      <c r="M384" s="39"/>
      <c r="N384" s="40"/>
      <c r="O384" s="40"/>
      <c r="P384" s="39"/>
      <c r="Q384" s="39"/>
      <c r="R384" s="40"/>
      <c r="S384" s="40"/>
      <c r="T384" s="39"/>
      <c r="U384" s="39"/>
      <c r="V384" s="40"/>
      <c r="W384" s="40"/>
      <c r="X384" s="41"/>
      <c r="Y384" s="41"/>
      <c r="Z384" s="40"/>
      <c r="AA384" s="40"/>
      <c r="AB384" s="41"/>
      <c r="AC384" s="41"/>
      <c r="AD384" s="40"/>
      <c r="AE384" s="40"/>
      <c r="AF384" s="42"/>
      <c r="AG384" s="42"/>
      <c r="AH384" s="40"/>
      <c r="AI384" s="40"/>
      <c r="AJ384" s="42"/>
      <c r="AK384" s="42"/>
      <c r="AL384" s="40"/>
      <c r="AM384" s="40"/>
      <c r="AN384" s="40"/>
      <c r="AO384" s="40"/>
      <c r="AP384" s="40"/>
      <c r="AQ384" s="40"/>
      <c r="AR384" s="39"/>
      <c r="AS384" s="39"/>
      <c r="AT384" s="40"/>
      <c r="AU384" s="40"/>
      <c r="AV384" s="23"/>
    </row>
    <row r="385" spans="1:48" ht="15.75" x14ac:dyDescent="0.25">
      <c r="A385" s="44"/>
      <c r="B385" s="23"/>
      <c r="C385" s="23"/>
      <c r="D385" s="39"/>
      <c r="E385" s="39"/>
      <c r="F385" s="40"/>
      <c r="G385" s="40"/>
      <c r="H385" s="41"/>
      <c r="I385" s="39"/>
      <c r="J385" s="40"/>
      <c r="K385" s="40"/>
      <c r="L385" s="41"/>
      <c r="M385" s="39"/>
      <c r="N385" s="40"/>
      <c r="O385" s="40"/>
      <c r="P385" s="39"/>
      <c r="Q385" s="39"/>
      <c r="R385" s="40"/>
      <c r="S385" s="40"/>
      <c r="T385" s="39"/>
      <c r="U385" s="39"/>
      <c r="V385" s="40"/>
      <c r="W385" s="40"/>
      <c r="X385" s="41"/>
      <c r="Y385" s="41"/>
      <c r="Z385" s="40"/>
      <c r="AA385" s="40"/>
      <c r="AB385" s="41"/>
      <c r="AC385" s="41"/>
      <c r="AD385" s="40"/>
      <c r="AE385" s="40"/>
      <c r="AF385" s="42"/>
      <c r="AG385" s="42"/>
      <c r="AH385" s="40"/>
      <c r="AI385" s="40"/>
      <c r="AJ385" s="42"/>
      <c r="AK385" s="42"/>
      <c r="AL385" s="40"/>
      <c r="AM385" s="40"/>
      <c r="AN385" s="40"/>
      <c r="AO385" s="40"/>
      <c r="AP385" s="40"/>
      <c r="AQ385" s="40"/>
      <c r="AR385" s="39"/>
      <c r="AS385" s="39"/>
      <c r="AT385" s="40"/>
      <c r="AU385" s="40"/>
      <c r="AV385" s="23"/>
    </row>
    <row r="386" spans="1:48" ht="15.75" x14ac:dyDescent="0.25">
      <c r="A386" s="44"/>
      <c r="B386" s="23"/>
      <c r="C386" s="23"/>
      <c r="D386" s="39"/>
      <c r="E386" s="39"/>
      <c r="F386" s="40"/>
      <c r="G386" s="40"/>
      <c r="H386" s="41"/>
      <c r="I386" s="39"/>
      <c r="J386" s="40"/>
      <c r="K386" s="40"/>
      <c r="L386" s="41"/>
      <c r="M386" s="39"/>
      <c r="N386" s="40"/>
      <c r="O386" s="40"/>
      <c r="P386" s="39"/>
      <c r="Q386" s="39"/>
      <c r="R386" s="40"/>
      <c r="S386" s="40"/>
      <c r="T386" s="39"/>
      <c r="U386" s="39"/>
      <c r="V386" s="40"/>
      <c r="W386" s="40"/>
      <c r="X386" s="41"/>
      <c r="Y386" s="41"/>
      <c r="Z386" s="40"/>
      <c r="AA386" s="40"/>
      <c r="AB386" s="41"/>
      <c r="AC386" s="41"/>
      <c r="AD386" s="40"/>
      <c r="AE386" s="40"/>
      <c r="AF386" s="42"/>
      <c r="AG386" s="42"/>
      <c r="AH386" s="40"/>
      <c r="AI386" s="40"/>
      <c r="AJ386" s="42"/>
      <c r="AK386" s="42"/>
      <c r="AL386" s="40"/>
      <c r="AM386" s="40"/>
      <c r="AN386" s="40"/>
      <c r="AO386" s="40"/>
      <c r="AP386" s="40"/>
      <c r="AQ386" s="40"/>
      <c r="AR386" s="39"/>
      <c r="AS386" s="39"/>
      <c r="AT386" s="40"/>
      <c r="AU386" s="40"/>
      <c r="AV386" s="23"/>
    </row>
    <row r="387" spans="1:48" ht="15.75" x14ac:dyDescent="0.25">
      <c r="A387" s="44"/>
      <c r="B387" s="23"/>
      <c r="C387" s="23"/>
      <c r="D387" s="39"/>
      <c r="E387" s="39"/>
      <c r="F387" s="40"/>
      <c r="G387" s="40"/>
      <c r="H387" s="41"/>
      <c r="I387" s="39"/>
      <c r="J387" s="40"/>
      <c r="K387" s="40"/>
      <c r="L387" s="41"/>
      <c r="M387" s="39"/>
      <c r="N387" s="40"/>
      <c r="O387" s="40"/>
      <c r="P387" s="39"/>
      <c r="Q387" s="39"/>
      <c r="R387" s="40"/>
      <c r="S387" s="40"/>
      <c r="T387" s="39"/>
      <c r="U387" s="39"/>
      <c r="V387" s="40"/>
      <c r="W387" s="40"/>
      <c r="X387" s="41"/>
      <c r="Y387" s="41"/>
      <c r="Z387" s="40"/>
      <c r="AA387" s="40"/>
      <c r="AB387" s="41"/>
      <c r="AC387" s="41"/>
      <c r="AD387" s="40"/>
      <c r="AE387" s="40"/>
      <c r="AF387" s="42"/>
      <c r="AG387" s="42"/>
      <c r="AH387" s="40"/>
      <c r="AI387" s="40"/>
      <c r="AJ387" s="42"/>
      <c r="AK387" s="42"/>
      <c r="AL387" s="40"/>
      <c r="AM387" s="40"/>
      <c r="AN387" s="40"/>
      <c r="AO387" s="40"/>
      <c r="AP387" s="40"/>
      <c r="AQ387" s="40"/>
      <c r="AR387" s="39"/>
      <c r="AS387" s="39"/>
      <c r="AT387" s="40"/>
      <c r="AU387" s="40"/>
      <c r="AV387" s="23"/>
    </row>
    <row r="388" spans="1:48" ht="15.75" x14ac:dyDescent="0.25">
      <c r="A388" s="44"/>
      <c r="B388" s="23"/>
      <c r="C388" s="23"/>
      <c r="D388" s="39"/>
      <c r="E388" s="39"/>
      <c r="F388" s="40"/>
      <c r="G388" s="40"/>
      <c r="H388" s="41"/>
      <c r="I388" s="39"/>
      <c r="J388" s="40"/>
      <c r="K388" s="40"/>
      <c r="L388" s="41"/>
      <c r="M388" s="39"/>
      <c r="N388" s="40"/>
      <c r="O388" s="40"/>
      <c r="P388" s="39"/>
      <c r="Q388" s="39"/>
      <c r="R388" s="40"/>
      <c r="S388" s="40"/>
      <c r="T388" s="39"/>
      <c r="U388" s="39"/>
      <c r="V388" s="40"/>
      <c r="W388" s="40"/>
      <c r="X388" s="41"/>
      <c r="Y388" s="41"/>
      <c r="Z388" s="40"/>
      <c r="AA388" s="40"/>
      <c r="AB388" s="41"/>
      <c r="AC388" s="41"/>
      <c r="AD388" s="40"/>
      <c r="AE388" s="40"/>
      <c r="AF388" s="42"/>
      <c r="AG388" s="42"/>
      <c r="AH388" s="40"/>
      <c r="AI388" s="40"/>
      <c r="AJ388" s="42"/>
      <c r="AK388" s="42"/>
      <c r="AL388" s="40"/>
      <c r="AM388" s="40"/>
      <c r="AN388" s="40"/>
      <c r="AO388" s="40"/>
      <c r="AP388" s="40"/>
      <c r="AQ388" s="40"/>
      <c r="AR388" s="39"/>
      <c r="AS388" s="39"/>
      <c r="AT388" s="40"/>
      <c r="AU388" s="40"/>
      <c r="AV388" s="23"/>
    </row>
    <row r="389" spans="1:48" ht="15.75" x14ac:dyDescent="0.25">
      <c r="A389" s="44"/>
      <c r="B389" s="23"/>
      <c r="C389" s="23"/>
      <c r="D389" s="39"/>
      <c r="E389" s="39"/>
      <c r="F389" s="40"/>
      <c r="G389" s="40"/>
      <c r="H389" s="41"/>
      <c r="I389" s="39"/>
      <c r="J389" s="40"/>
      <c r="K389" s="40"/>
      <c r="L389" s="41"/>
      <c r="M389" s="39"/>
      <c r="N389" s="40"/>
      <c r="O389" s="40"/>
      <c r="P389" s="39"/>
      <c r="Q389" s="39"/>
      <c r="R389" s="40"/>
      <c r="S389" s="40"/>
      <c r="T389" s="39"/>
      <c r="U389" s="39"/>
      <c r="V389" s="40"/>
      <c r="W389" s="40"/>
      <c r="X389" s="41"/>
      <c r="Y389" s="41"/>
      <c r="Z389" s="40"/>
      <c r="AA389" s="40"/>
      <c r="AB389" s="41"/>
      <c r="AC389" s="41"/>
      <c r="AD389" s="40"/>
      <c r="AE389" s="40"/>
      <c r="AF389" s="42"/>
      <c r="AG389" s="42"/>
      <c r="AH389" s="40"/>
      <c r="AI389" s="40"/>
      <c r="AJ389" s="42"/>
      <c r="AK389" s="42"/>
      <c r="AL389" s="40"/>
      <c r="AM389" s="40"/>
      <c r="AN389" s="40"/>
      <c r="AO389" s="40"/>
      <c r="AP389" s="40"/>
      <c r="AQ389" s="40"/>
      <c r="AR389" s="39"/>
      <c r="AS389" s="39"/>
      <c r="AT389" s="40"/>
      <c r="AU389" s="40"/>
      <c r="AV389" s="23"/>
    </row>
    <row r="390" spans="1:48" ht="15.75" x14ac:dyDescent="0.25">
      <c r="A390" s="44"/>
      <c r="B390" s="23"/>
      <c r="C390" s="23"/>
      <c r="D390" s="39"/>
      <c r="E390" s="39"/>
      <c r="F390" s="40"/>
      <c r="G390" s="40"/>
      <c r="H390" s="41"/>
      <c r="I390" s="39"/>
      <c r="J390" s="40"/>
      <c r="K390" s="40"/>
      <c r="L390" s="41"/>
      <c r="M390" s="39"/>
      <c r="N390" s="40"/>
      <c r="O390" s="40"/>
      <c r="P390" s="39"/>
      <c r="Q390" s="39"/>
      <c r="R390" s="40"/>
      <c r="S390" s="40"/>
      <c r="T390" s="39"/>
      <c r="U390" s="39"/>
      <c r="V390" s="40"/>
      <c r="W390" s="40"/>
      <c r="X390" s="41"/>
      <c r="Y390" s="41"/>
      <c r="Z390" s="40"/>
      <c r="AA390" s="40"/>
      <c r="AB390" s="41"/>
      <c r="AC390" s="41"/>
      <c r="AD390" s="40"/>
      <c r="AE390" s="40"/>
      <c r="AF390" s="42"/>
      <c r="AG390" s="42"/>
      <c r="AH390" s="40"/>
      <c r="AI390" s="40"/>
      <c r="AJ390" s="42"/>
      <c r="AK390" s="42"/>
      <c r="AL390" s="40"/>
      <c r="AM390" s="40"/>
      <c r="AN390" s="40"/>
      <c r="AO390" s="40"/>
      <c r="AP390" s="40"/>
      <c r="AQ390" s="40"/>
      <c r="AR390" s="39"/>
      <c r="AS390" s="39"/>
      <c r="AT390" s="40"/>
      <c r="AU390" s="40"/>
      <c r="AV390" s="23"/>
    </row>
    <row r="391" spans="1:48" ht="15.75" x14ac:dyDescent="0.25">
      <c r="A391" s="44"/>
      <c r="B391" s="23"/>
      <c r="C391" s="23"/>
      <c r="D391" s="39"/>
      <c r="E391" s="39"/>
      <c r="F391" s="40"/>
      <c r="G391" s="40"/>
      <c r="H391" s="41"/>
      <c r="I391" s="39"/>
      <c r="J391" s="40"/>
      <c r="K391" s="40"/>
      <c r="L391" s="41"/>
      <c r="M391" s="39"/>
      <c r="N391" s="40"/>
      <c r="O391" s="40"/>
      <c r="P391" s="39"/>
      <c r="Q391" s="39"/>
      <c r="R391" s="40"/>
      <c r="S391" s="40"/>
      <c r="T391" s="39"/>
      <c r="U391" s="39"/>
      <c r="V391" s="40"/>
      <c r="W391" s="40"/>
      <c r="X391" s="41"/>
      <c r="Y391" s="41"/>
      <c r="Z391" s="40"/>
      <c r="AA391" s="40"/>
      <c r="AB391" s="41"/>
      <c r="AC391" s="41"/>
      <c r="AD391" s="40"/>
      <c r="AE391" s="40"/>
      <c r="AF391" s="42"/>
      <c r="AG391" s="42"/>
      <c r="AH391" s="40"/>
      <c r="AI391" s="40"/>
      <c r="AJ391" s="42"/>
      <c r="AK391" s="42"/>
      <c r="AL391" s="40"/>
      <c r="AM391" s="40"/>
      <c r="AN391" s="40"/>
      <c r="AO391" s="40"/>
      <c r="AP391" s="40"/>
      <c r="AQ391" s="40"/>
      <c r="AR391" s="39"/>
      <c r="AS391" s="39"/>
      <c r="AT391" s="40"/>
      <c r="AU391" s="40"/>
      <c r="AV391" s="23"/>
    </row>
    <row r="392" spans="1:48" ht="15.75" x14ac:dyDescent="0.25">
      <c r="A392" s="44"/>
      <c r="B392" s="23"/>
      <c r="C392" s="23"/>
      <c r="D392" s="39"/>
      <c r="E392" s="39"/>
      <c r="F392" s="40"/>
      <c r="G392" s="40"/>
      <c r="H392" s="41"/>
      <c r="I392" s="39"/>
      <c r="J392" s="40"/>
      <c r="K392" s="40"/>
      <c r="L392" s="41"/>
      <c r="M392" s="39"/>
      <c r="N392" s="40"/>
      <c r="O392" s="40"/>
      <c r="P392" s="39"/>
      <c r="Q392" s="39"/>
      <c r="R392" s="40"/>
      <c r="S392" s="40"/>
      <c r="T392" s="39"/>
      <c r="U392" s="39"/>
      <c r="V392" s="40"/>
      <c r="W392" s="40"/>
      <c r="X392" s="41"/>
      <c r="Y392" s="41"/>
      <c r="Z392" s="40"/>
      <c r="AA392" s="40"/>
      <c r="AB392" s="41"/>
      <c r="AC392" s="41"/>
      <c r="AD392" s="40"/>
      <c r="AE392" s="40"/>
      <c r="AF392" s="42"/>
      <c r="AG392" s="42"/>
      <c r="AH392" s="40"/>
      <c r="AI392" s="40"/>
      <c r="AJ392" s="42"/>
      <c r="AK392" s="42"/>
      <c r="AL392" s="40"/>
      <c r="AM392" s="40"/>
      <c r="AN392" s="40"/>
      <c r="AO392" s="40"/>
      <c r="AP392" s="40"/>
      <c r="AQ392" s="40"/>
      <c r="AR392" s="39"/>
      <c r="AS392" s="39"/>
      <c r="AT392" s="40"/>
      <c r="AU392" s="40"/>
      <c r="AV392" s="23"/>
    </row>
    <row r="393" spans="1:48" ht="15.75" x14ac:dyDescent="0.25">
      <c r="A393" s="44"/>
      <c r="B393" s="23"/>
      <c r="C393" s="23"/>
      <c r="D393" s="39"/>
      <c r="E393" s="39"/>
      <c r="F393" s="40"/>
      <c r="G393" s="40"/>
      <c r="H393" s="41"/>
      <c r="I393" s="39"/>
      <c r="J393" s="40"/>
      <c r="K393" s="40"/>
      <c r="L393" s="41"/>
      <c r="M393" s="39"/>
      <c r="N393" s="40"/>
      <c r="O393" s="40"/>
      <c r="P393" s="39"/>
      <c r="Q393" s="39"/>
      <c r="R393" s="40"/>
      <c r="S393" s="40"/>
      <c r="T393" s="39"/>
      <c r="U393" s="39"/>
      <c r="V393" s="40"/>
      <c r="W393" s="40"/>
      <c r="X393" s="41"/>
      <c r="Y393" s="41"/>
      <c r="Z393" s="40"/>
      <c r="AA393" s="40"/>
      <c r="AB393" s="41"/>
      <c r="AC393" s="41"/>
      <c r="AD393" s="40"/>
      <c r="AE393" s="40"/>
      <c r="AF393" s="42"/>
      <c r="AG393" s="42"/>
      <c r="AH393" s="40"/>
      <c r="AI393" s="40"/>
      <c r="AJ393" s="42"/>
      <c r="AK393" s="42"/>
      <c r="AL393" s="40"/>
      <c r="AM393" s="40"/>
      <c r="AN393" s="40"/>
      <c r="AO393" s="40"/>
      <c r="AP393" s="40"/>
      <c r="AQ393" s="40"/>
      <c r="AR393" s="39"/>
      <c r="AS393" s="39"/>
      <c r="AT393" s="40"/>
      <c r="AU393" s="40"/>
      <c r="AV393" s="23"/>
    </row>
    <row r="394" spans="1:48" ht="15.75" x14ac:dyDescent="0.25">
      <c r="A394" s="44"/>
      <c r="B394" s="23"/>
      <c r="C394" s="23"/>
      <c r="D394" s="39"/>
      <c r="E394" s="39"/>
      <c r="F394" s="40"/>
      <c r="G394" s="40"/>
      <c r="H394" s="41"/>
      <c r="I394" s="39"/>
      <c r="J394" s="40"/>
      <c r="K394" s="40"/>
      <c r="L394" s="41"/>
      <c r="M394" s="39"/>
      <c r="N394" s="40"/>
      <c r="O394" s="40"/>
      <c r="P394" s="39"/>
      <c r="Q394" s="39"/>
      <c r="R394" s="40"/>
      <c r="S394" s="40"/>
      <c r="T394" s="39"/>
      <c r="U394" s="39"/>
      <c r="V394" s="40"/>
      <c r="W394" s="40"/>
      <c r="X394" s="41"/>
      <c r="Y394" s="41"/>
      <c r="Z394" s="40"/>
      <c r="AA394" s="40"/>
      <c r="AB394" s="41"/>
      <c r="AC394" s="41"/>
      <c r="AD394" s="40"/>
      <c r="AE394" s="40"/>
      <c r="AF394" s="42"/>
      <c r="AG394" s="42"/>
      <c r="AH394" s="40"/>
      <c r="AI394" s="40"/>
      <c r="AJ394" s="42"/>
      <c r="AK394" s="42"/>
      <c r="AL394" s="40"/>
      <c r="AM394" s="40"/>
      <c r="AN394" s="40"/>
      <c r="AO394" s="40"/>
      <c r="AP394" s="40"/>
      <c r="AQ394" s="40"/>
      <c r="AR394" s="39"/>
      <c r="AS394" s="39"/>
      <c r="AT394" s="40"/>
      <c r="AU394" s="40"/>
      <c r="AV394" s="23"/>
    </row>
    <row r="395" spans="1:48" ht="15.75" x14ac:dyDescent="0.25">
      <c r="A395" s="44"/>
      <c r="B395" s="23"/>
      <c r="C395" s="23"/>
      <c r="D395" s="39"/>
      <c r="E395" s="39"/>
      <c r="F395" s="40"/>
      <c r="G395" s="40"/>
      <c r="H395" s="41"/>
      <c r="I395" s="39"/>
      <c r="J395" s="40"/>
      <c r="K395" s="40"/>
      <c r="L395" s="41"/>
      <c r="M395" s="39"/>
      <c r="N395" s="40"/>
      <c r="O395" s="40"/>
      <c r="P395" s="39"/>
      <c r="Q395" s="39"/>
      <c r="R395" s="40"/>
      <c r="S395" s="40"/>
      <c r="T395" s="39"/>
      <c r="U395" s="39"/>
      <c r="V395" s="40"/>
      <c r="W395" s="40"/>
      <c r="X395" s="41"/>
      <c r="Y395" s="41"/>
      <c r="Z395" s="40"/>
      <c r="AA395" s="40"/>
      <c r="AB395" s="41"/>
      <c r="AC395" s="41"/>
      <c r="AD395" s="40"/>
      <c r="AE395" s="40"/>
      <c r="AF395" s="42"/>
      <c r="AG395" s="42"/>
      <c r="AH395" s="40"/>
      <c r="AI395" s="40"/>
      <c r="AJ395" s="42"/>
      <c r="AK395" s="42"/>
      <c r="AL395" s="40"/>
      <c r="AM395" s="40"/>
      <c r="AN395" s="40"/>
      <c r="AO395" s="40"/>
      <c r="AP395" s="40"/>
      <c r="AQ395" s="40"/>
      <c r="AR395" s="39"/>
      <c r="AS395" s="39"/>
      <c r="AT395" s="40"/>
      <c r="AU395" s="40"/>
      <c r="AV395" s="23"/>
    </row>
    <row r="396" spans="1:48" ht="15.75" x14ac:dyDescent="0.25">
      <c r="A396" s="44"/>
      <c r="B396" s="23"/>
      <c r="C396" s="23"/>
      <c r="D396" s="39"/>
      <c r="E396" s="39"/>
      <c r="F396" s="40"/>
      <c r="G396" s="40"/>
      <c r="H396" s="41"/>
      <c r="I396" s="39"/>
      <c r="J396" s="40"/>
      <c r="K396" s="40"/>
      <c r="L396" s="41"/>
      <c r="M396" s="39"/>
      <c r="N396" s="40"/>
      <c r="O396" s="40"/>
      <c r="P396" s="39"/>
      <c r="Q396" s="39"/>
      <c r="R396" s="40"/>
      <c r="S396" s="40"/>
      <c r="T396" s="39"/>
      <c r="U396" s="39"/>
      <c r="V396" s="40"/>
      <c r="W396" s="40"/>
      <c r="X396" s="41"/>
      <c r="Y396" s="41"/>
      <c r="Z396" s="40"/>
      <c r="AA396" s="40"/>
      <c r="AB396" s="41"/>
      <c r="AC396" s="41"/>
      <c r="AD396" s="40"/>
      <c r="AE396" s="40"/>
      <c r="AF396" s="42"/>
      <c r="AG396" s="42"/>
      <c r="AH396" s="40"/>
      <c r="AI396" s="40"/>
      <c r="AJ396" s="42"/>
      <c r="AK396" s="42"/>
      <c r="AL396" s="40"/>
      <c r="AM396" s="40"/>
      <c r="AN396" s="40"/>
      <c r="AO396" s="40"/>
      <c r="AP396" s="40"/>
      <c r="AQ396" s="40"/>
      <c r="AR396" s="39"/>
      <c r="AS396" s="39"/>
      <c r="AT396" s="40"/>
      <c r="AU396" s="40"/>
      <c r="AV396" s="23"/>
    </row>
    <row r="397" spans="1:48" ht="15.75" x14ac:dyDescent="0.25">
      <c r="A397" s="44"/>
      <c r="B397" s="23"/>
      <c r="C397" s="23"/>
      <c r="D397" s="39"/>
      <c r="E397" s="39"/>
      <c r="F397" s="40"/>
      <c r="G397" s="40"/>
      <c r="H397" s="41"/>
      <c r="I397" s="39"/>
      <c r="J397" s="40"/>
      <c r="K397" s="40"/>
      <c r="L397" s="41"/>
      <c r="M397" s="39"/>
      <c r="N397" s="40"/>
      <c r="O397" s="40"/>
      <c r="P397" s="39"/>
      <c r="Q397" s="39"/>
      <c r="R397" s="40"/>
      <c r="S397" s="40"/>
      <c r="T397" s="39"/>
      <c r="U397" s="39"/>
      <c r="V397" s="40"/>
      <c r="W397" s="40"/>
      <c r="X397" s="41"/>
      <c r="Y397" s="41"/>
      <c r="Z397" s="40"/>
      <c r="AA397" s="40"/>
      <c r="AB397" s="41"/>
      <c r="AC397" s="41"/>
      <c r="AD397" s="40"/>
      <c r="AE397" s="40"/>
      <c r="AF397" s="42"/>
      <c r="AG397" s="42"/>
      <c r="AH397" s="40"/>
      <c r="AI397" s="40"/>
      <c r="AJ397" s="42"/>
      <c r="AK397" s="42"/>
      <c r="AL397" s="40"/>
      <c r="AM397" s="40"/>
      <c r="AN397" s="40"/>
      <c r="AO397" s="40"/>
      <c r="AP397" s="40"/>
      <c r="AQ397" s="40"/>
      <c r="AR397" s="39"/>
      <c r="AS397" s="39"/>
      <c r="AT397" s="40"/>
      <c r="AU397" s="40"/>
      <c r="AV397" s="23"/>
    </row>
    <row r="398" spans="1:48" ht="15.75" x14ac:dyDescent="0.25">
      <c r="A398" s="44"/>
      <c r="B398" s="23"/>
      <c r="C398" s="23"/>
      <c r="D398" s="39"/>
      <c r="E398" s="39"/>
      <c r="F398" s="40"/>
      <c r="G398" s="40"/>
      <c r="H398" s="41"/>
      <c r="I398" s="39"/>
      <c r="J398" s="40"/>
      <c r="K398" s="40"/>
      <c r="L398" s="41"/>
      <c r="M398" s="39"/>
      <c r="N398" s="40"/>
      <c r="O398" s="40"/>
      <c r="P398" s="39"/>
      <c r="Q398" s="39"/>
      <c r="R398" s="40"/>
      <c r="S398" s="40"/>
      <c r="T398" s="39"/>
      <c r="U398" s="39"/>
      <c r="V398" s="40"/>
      <c r="W398" s="40"/>
      <c r="X398" s="41"/>
      <c r="Y398" s="41"/>
      <c r="Z398" s="40"/>
      <c r="AA398" s="40"/>
      <c r="AB398" s="41"/>
      <c r="AC398" s="41"/>
      <c r="AD398" s="40"/>
      <c r="AE398" s="40"/>
      <c r="AF398" s="42"/>
      <c r="AG398" s="42"/>
      <c r="AH398" s="40"/>
      <c r="AI398" s="40"/>
      <c r="AJ398" s="42"/>
      <c r="AK398" s="42"/>
      <c r="AL398" s="40"/>
      <c r="AM398" s="40"/>
      <c r="AN398" s="40"/>
      <c r="AO398" s="40"/>
      <c r="AP398" s="40"/>
      <c r="AQ398" s="40"/>
      <c r="AR398" s="39"/>
      <c r="AS398" s="39"/>
      <c r="AT398" s="40"/>
      <c r="AU398" s="40"/>
      <c r="AV398" s="23"/>
    </row>
    <row r="399" spans="1:48" ht="15.75" x14ac:dyDescent="0.25">
      <c r="A399" s="44"/>
      <c r="B399" s="23"/>
      <c r="C399" s="23"/>
      <c r="D399" s="39"/>
      <c r="E399" s="39"/>
      <c r="F399" s="40"/>
      <c r="G399" s="40"/>
      <c r="H399" s="41"/>
      <c r="I399" s="39"/>
      <c r="J399" s="40"/>
      <c r="K399" s="40"/>
      <c r="L399" s="41"/>
      <c r="M399" s="39"/>
      <c r="N399" s="40"/>
      <c r="O399" s="40"/>
      <c r="P399" s="39"/>
      <c r="Q399" s="39"/>
      <c r="R399" s="40"/>
      <c r="S399" s="40"/>
      <c r="T399" s="39"/>
      <c r="U399" s="39"/>
      <c r="V399" s="40"/>
      <c r="W399" s="40"/>
      <c r="X399" s="41"/>
      <c r="Y399" s="41"/>
      <c r="Z399" s="40"/>
      <c r="AA399" s="40"/>
      <c r="AB399" s="41"/>
      <c r="AC399" s="41"/>
      <c r="AD399" s="40"/>
      <c r="AE399" s="40"/>
      <c r="AF399" s="42"/>
      <c r="AG399" s="42"/>
      <c r="AH399" s="40"/>
      <c r="AI399" s="40"/>
      <c r="AJ399" s="42"/>
      <c r="AK399" s="42"/>
      <c r="AL399" s="40"/>
      <c r="AM399" s="40"/>
      <c r="AN399" s="40"/>
      <c r="AO399" s="40"/>
      <c r="AP399" s="40"/>
      <c r="AQ399" s="40"/>
      <c r="AR399" s="39"/>
      <c r="AS399" s="39"/>
      <c r="AT399" s="40"/>
      <c r="AU399" s="40"/>
      <c r="AV399" s="23"/>
    </row>
    <row r="400" spans="1:48" ht="15.75" x14ac:dyDescent="0.25">
      <c r="A400" s="44"/>
      <c r="B400" s="23"/>
      <c r="C400" s="23"/>
      <c r="D400" s="39"/>
      <c r="E400" s="39"/>
      <c r="F400" s="40"/>
      <c r="G400" s="40"/>
      <c r="H400" s="41"/>
      <c r="I400" s="39"/>
      <c r="J400" s="40"/>
      <c r="K400" s="40"/>
      <c r="L400" s="41"/>
      <c r="M400" s="39"/>
      <c r="N400" s="40"/>
      <c r="O400" s="40"/>
      <c r="P400" s="39"/>
      <c r="Q400" s="39"/>
      <c r="R400" s="40"/>
      <c r="S400" s="40"/>
      <c r="T400" s="39"/>
      <c r="U400" s="39"/>
      <c r="V400" s="40"/>
      <c r="W400" s="40"/>
      <c r="X400" s="41"/>
      <c r="Y400" s="41"/>
      <c r="Z400" s="40"/>
      <c r="AA400" s="40"/>
      <c r="AB400" s="41"/>
      <c r="AC400" s="41"/>
      <c r="AD400" s="40"/>
      <c r="AE400" s="40"/>
      <c r="AF400" s="42"/>
      <c r="AG400" s="42"/>
      <c r="AH400" s="40"/>
      <c r="AI400" s="40"/>
      <c r="AJ400" s="42"/>
      <c r="AK400" s="42"/>
      <c r="AL400" s="40"/>
      <c r="AM400" s="40"/>
      <c r="AN400" s="40"/>
      <c r="AO400" s="40"/>
      <c r="AP400" s="40"/>
      <c r="AQ400" s="40"/>
      <c r="AR400" s="39"/>
      <c r="AS400" s="39"/>
      <c r="AT400" s="40"/>
      <c r="AU400" s="40"/>
      <c r="AV400" s="23"/>
    </row>
    <row r="401" spans="1:48" ht="15.75" x14ac:dyDescent="0.25">
      <c r="A401" s="44"/>
      <c r="B401" s="23"/>
      <c r="C401" s="23"/>
      <c r="D401" s="39"/>
      <c r="E401" s="39"/>
      <c r="F401" s="40"/>
      <c r="G401" s="40"/>
      <c r="H401" s="41"/>
      <c r="I401" s="39"/>
      <c r="J401" s="40"/>
      <c r="K401" s="40"/>
      <c r="L401" s="41"/>
      <c r="M401" s="39"/>
      <c r="N401" s="40"/>
      <c r="O401" s="40"/>
      <c r="P401" s="39"/>
      <c r="Q401" s="39"/>
      <c r="R401" s="40"/>
      <c r="S401" s="40"/>
      <c r="T401" s="39"/>
      <c r="U401" s="39"/>
      <c r="V401" s="40"/>
      <c r="W401" s="40"/>
      <c r="X401" s="41"/>
      <c r="Y401" s="41"/>
      <c r="Z401" s="40"/>
      <c r="AA401" s="40"/>
      <c r="AB401" s="41"/>
      <c r="AC401" s="41"/>
      <c r="AD401" s="40"/>
      <c r="AE401" s="40"/>
      <c r="AF401" s="42"/>
      <c r="AG401" s="42"/>
      <c r="AH401" s="40"/>
      <c r="AI401" s="40"/>
      <c r="AJ401" s="42"/>
      <c r="AK401" s="42"/>
      <c r="AL401" s="40"/>
      <c r="AM401" s="40"/>
      <c r="AN401" s="40"/>
      <c r="AO401" s="40"/>
      <c r="AP401" s="40"/>
      <c r="AQ401" s="40"/>
      <c r="AR401" s="39"/>
      <c r="AS401" s="39"/>
      <c r="AT401" s="40"/>
      <c r="AU401" s="40"/>
      <c r="AV401" s="23"/>
    </row>
    <row r="402" spans="1:48" ht="15.75" x14ac:dyDescent="0.25">
      <c r="A402" s="44"/>
      <c r="B402" s="23"/>
      <c r="C402" s="23"/>
      <c r="D402" s="39"/>
      <c r="E402" s="39"/>
      <c r="F402" s="40"/>
      <c r="G402" s="40"/>
      <c r="H402" s="41"/>
      <c r="I402" s="39"/>
      <c r="J402" s="40"/>
      <c r="K402" s="40"/>
      <c r="L402" s="41"/>
      <c r="M402" s="39"/>
      <c r="N402" s="40"/>
      <c r="O402" s="40"/>
      <c r="P402" s="39"/>
      <c r="Q402" s="39"/>
      <c r="R402" s="40"/>
      <c r="S402" s="40"/>
      <c r="T402" s="39"/>
      <c r="U402" s="39"/>
      <c r="V402" s="40"/>
      <c r="W402" s="40"/>
      <c r="X402" s="41"/>
      <c r="Y402" s="41"/>
      <c r="Z402" s="40"/>
      <c r="AA402" s="40"/>
      <c r="AB402" s="41"/>
      <c r="AC402" s="41"/>
      <c r="AD402" s="40"/>
      <c r="AE402" s="40"/>
      <c r="AF402" s="42"/>
      <c r="AG402" s="42"/>
      <c r="AH402" s="40"/>
      <c r="AI402" s="40"/>
      <c r="AJ402" s="42"/>
      <c r="AK402" s="42"/>
      <c r="AL402" s="40"/>
      <c r="AM402" s="40"/>
      <c r="AN402" s="40"/>
      <c r="AO402" s="40"/>
      <c r="AP402" s="40"/>
      <c r="AQ402" s="40"/>
      <c r="AR402" s="39"/>
      <c r="AS402" s="39"/>
      <c r="AT402" s="40"/>
      <c r="AU402" s="40"/>
      <c r="AV402" s="23"/>
    </row>
    <row r="403" spans="1:48" ht="15.75" x14ac:dyDescent="0.25">
      <c r="A403" s="44"/>
      <c r="B403" s="23"/>
      <c r="C403" s="23"/>
      <c r="D403" s="39"/>
      <c r="E403" s="39"/>
      <c r="F403" s="40"/>
      <c r="G403" s="40"/>
      <c r="H403" s="41"/>
      <c r="I403" s="39"/>
      <c r="J403" s="40"/>
      <c r="K403" s="40"/>
      <c r="L403" s="41"/>
      <c r="M403" s="39"/>
      <c r="N403" s="40"/>
      <c r="O403" s="40"/>
      <c r="P403" s="39"/>
      <c r="Q403" s="39"/>
      <c r="R403" s="40"/>
      <c r="S403" s="40"/>
      <c r="T403" s="39"/>
      <c r="U403" s="39"/>
      <c r="V403" s="40"/>
      <c r="W403" s="40"/>
      <c r="X403" s="41"/>
      <c r="Y403" s="41"/>
      <c r="Z403" s="40"/>
      <c r="AA403" s="40"/>
      <c r="AB403" s="41"/>
      <c r="AC403" s="41"/>
      <c r="AD403" s="40"/>
      <c r="AE403" s="40"/>
      <c r="AF403" s="42"/>
      <c r="AG403" s="42"/>
      <c r="AH403" s="40"/>
      <c r="AI403" s="40"/>
      <c r="AJ403" s="42"/>
      <c r="AK403" s="42"/>
      <c r="AL403" s="40"/>
      <c r="AM403" s="40"/>
      <c r="AN403" s="40"/>
      <c r="AO403" s="40"/>
      <c r="AP403" s="40"/>
      <c r="AQ403" s="40"/>
      <c r="AR403" s="39"/>
      <c r="AS403" s="39"/>
      <c r="AT403" s="40"/>
      <c r="AU403" s="40"/>
      <c r="AV403" s="23"/>
    </row>
    <row r="404" spans="1:48" ht="15.75" x14ac:dyDescent="0.25">
      <c r="A404" s="44"/>
      <c r="B404" s="23"/>
      <c r="C404" s="23"/>
      <c r="D404" s="39"/>
      <c r="E404" s="39"/>
      <c r="F404" s="40"/>
      <c r="G404" s="40"/>
      <c r="H404" s="41"/>
      <c r="I404" s="39"/>
      <c r="J404" s="40"/>
      <c r="K404" s="40"/>
      <c r="L404" s="41"/>
      <c r="M404" s="39"/>
      <c r="N404" s="40"/>
      <c r="O404" s="40"/>
      <c r="P404" s="39"/>
      <c r="Q404" s="39"/>
      <c r="R404" s="40"/>
      <c r="S404" s="40"/>
      <c r="T404" s="39"/>
      <c r="U404" s="39"/>
      <c r="V404" s="40"/>
      <c r="W404" s="40"/>
      <c r="X404" s="41"/>
      <c r="Y404" s="41"/>
      <c r="Z404" s="40"/>
      <c r="AA404" s="40"/>
      <c r="AB404" s="41"/>
      <c r="AC404" s="41"/>
      <c r="AD404" s="40"/>
      <c r="AE404" s="40"/>
      <c r="AF404" s="42"/>
      <c r="AG404" s="42"/>
      <c r="AH404" s="40"/>
      <c r="AI404" s="40"/>
      <c r="AJ404" s="42"/>
      <c r="AK404" s="42"/>
      <c r="AL404" s="40"/>
      <c r="AM404" s="40"/>
      <c r="AN404" s="40"/>
      <c r="AO404" s="40"/>
      <c r="AP404" s="40"/>
      <c r="AQ404" s="40"/>
      <c r="AR404" s="39"/>
      <c r="AS404" s="39"/>
      <c r="AT404" s="40"/>
      <c r="AU404" s="40"/>
      <c r="AV404" s="23"/>
    </row>
    <row r="405" spans="1:48" ht="15.75" x14ac:dyDescent="0.25">
      <c r="A405" s="44"/>
      <c r="B405" s="23"/>
      <c r="C405" s="23"/>
      <c r="D405" s="39"/>
      <c r="E405" s="39"/>
      <c r="F405" s="40"/>
      <c r="G405" s="40"/>
      <c r="H405" s="41"/>
      <c r="I405" s="39"/>
      <c r="J405" s="40"/>
      <c r="K405" s="40"/>
      <c r="L405" s="41"/>
      <c r="M405" s="39"/>
      <c r="N405" s="40"/>
      <c r="O405" s="40"/>
      <c r="P405" s="39"/>
      <c r="Q405" s="39"/>
      <c r="R405" s="40"/>
      <c r="S405" s="40"/>
      <c r="T405" s="39"/>
      <c r="U405" s="39"/>
      <c r="V405" s="40"/>
      <c r="W405" s="40"/>
      <c r="X405" s="41"/>
      <c r="Y405" s="41"/>
      <c r="Z405" s="40"/>
      <c r="AA405" s="40"/>
      <c r="AB405" s="41"/>
      <c r="AC405" s="41"/>
      <c r="AD405" s="40"/>
      <c r="AE405" s="40"/>
      <c r="AF405" s="42"/>
      <c r="AG405" s="42"/>
      <c r="AH405" s="40"/>
      <c r="AI405" s="40"/>
      <c r="AJ405" s="42"/>
      <c r="AK405" s="42"/>
      <c r="AL405" s="40"/>
      <c r="AM405" s="40"/>
      <c r="AN405" s="40"/>
      <c r="AO405" s="40"/>
      <c r="AP405" s="40"/>
      <c r="AQ405" s="40"/>
      <c r="AR405" s="39"/>
      <c r="AS405" s="39"/>
      <c r="AT405" s="40"/>
      <c r="AU405" s="40"/>
      <c r="AV405" s="23"/>
    </row>
    <row r="406" spans="1:48" ht="15.75" x14ac:dyDescent="0.25">
      <c r="A406" s="44"/>
      <c r="B406" s="23"/>
      <c r="C406" s="23"/>
      <c r="D406" s="39"/>
      <c r="E406" s="39"/>
      <c r="F406" s="40"/>
      <c r="G406" s="40"/>
      <c r="H406" s="41"/>
      <c r="I406" s="39"/>
      <c r="J406" s="40"/>
      <c r="K406" s="40"/>
      <c r="L406" s="41"/>
      <c r="M406" s="39"/>
      <c r="N406" s="40"/>
      <c r="O406" s="40"/>
      <c r="P406" s="39"/>
      <c r="Q406" s="39"/>
      <c r="R406" s="40"/>
      <c r="S406" s="40"/>
      <c r="T406" s="39"/>
      <c r="U406" s="39"/>
      <c r="V406" s="40"/>
      <c r="W406" s="40"/>
      <c r="X406" s="41"/>
      <c r="Y406" s="41"/>
      <c r="Z406" s="40"/>
      <c r="AA406" s="40"/>
      <c r="AB406" s="41"/>
      <c r="AC406" s="41"/>
      <c r="AD406" s="40"/>
      <c r="AE406" s="40"/>
      <c r="AF406" s="42"/>
      <c r="AG406" s="42"/>
      <c r="AH406" s="40"/>
      <c r="AI406" s="40"/>
      <c r="AJ406" s="42"/>
      <c r="AK406" s="42"/>
      <c r="AL406" s="40"/>
      <c r="AM406" s="40"/>
      <c r="AN406" s="40"/>
      <c r="AO406" s="40"/>
      <c r="AP406" s="40"/>
      <c r="AQ406" s="40"/>
      <c r="AR406" s="39"/>
      <c r="AS406" s="39"/>
      <c r="AT406" s="40"/>
      <c r="AU406" s="40"/>
      <c r="AV406" s="23"/>
    </row>
    <row r="407" spans="1:48" ht="15.75" x14ac:dyDescent="0.25">
      <c r="A407" s="44"/>
      <c r="B407" s="23"/>
      <c r="C407" s="23"/>
      <c r="D407" s="39"/>
      <c r="E407" s="39"/>
      <c r="F407" s="40"/>
      <c r="G407" s="40"/>
      <c r="H407" s="41"/>
      <c r="I407" s="39"/>
      <c r="J407" s="40"/>
      <c r="K407" s="40"/>
      <c r="L407" s="41"/>
      <c r="M407" s="39"/>
      <c r="N407" s="40"/>
      <c r="O407" s="40"/>
      <c r="P407" s="39"/>
      <c r="Q407" s="39"/>
      <c r="R407" s="40"/>
      <c r="S407" s="40"/>
      <c r="T407" s="39"/>
      <c r="U407" s="39"/>
      <c r="V407" s="40"/>
      <c r="W407" s="40"/>
      <c r="X407" s="41"/>
      <c r="Y407" s="41"/>
      <c r="Z407" s="40"/>
      <c r="AA407" s="40"/>
      <c r="AB407" s="41"/>
      <c r="AC407" s="41"/>
      <c r="AD407" s="40"/>
      <c r="AE407" s="40"/>
      <c r="AF407" s="42"/>
      <c r="AG407" s="42"/>
      <c r="AH407" s="40"/>
      <c r="AI407" s="40"/>
      <c r="AJ407" s="42"/>
      <c r="AK407" s="42"/>
      <c r="AL407" s="40"/>
      <c r="AM407" s="40"/>
      <c r="AN407" s="40"/>
      <c r="AO407" s="40"/>
      <c r="AP407" s="40"/>
      <c r="AQ407" s="40"/>
      <c r="AR407" s="39"/>
      <c r="AS407" s="39"/>
      <c r="AT407" s="40"/>
      <c r="AU407" s="40"/>
      <c r="AV407" s="23"/>
    </row>
    <row r="408" spans="1:48" ht="15.75" x14ac:dyDescent="0.25">
      <c r="A408" s="44"/>
      <c r="B408" s="23"/>
      <c r="C408" s="23"/>
      <c r="D408" s="39"/>
      <c r="E408" s="39"/>
      <c r="F408" s="40"/>
      <c r="G408" s="40"/>
      <c r="H408" s="41"/>
      <c r="I408" s="39"/>
      <c r="J408" s="40"/>
      <c r="K408" s="40"/>
      <c r="L408" s="41"/>
      <c r="M408" s="39"/>
      <c r="N408" s="40"/>
      <c r="O408" s="40"/>
      <c r="P408" s="39"/>
      <c r="Q408" s="39"/>
      <c r="R408" s="40"/>
      <c r="S408" s="40"/>
      <c r="T408" s="39"/>
      <c r="U408" s="39"/>
      <c r="V408" s="40"/>
      <c r="W408" s="40"/>
      <c r="X408" s="41"/>
      <c r="Y408" s="41"/>
      <c r="Z408" s="40"/>
      <c r="AA408" s="40"/>
      <c r="AB408" s="41"/>
      <c r="AC408" s="41"/>
      <c r="AD408" s="40"/>
      <c r="AE408" s="40"/>
      <c r="AF408" s="42"/>
      <c r="AG408" s="42"/>
      <c r="AH408" s="40"/>
      <c r="AI408" s="40"/>
      <c r="AJ408" s="42"/>
      <c r="AK408" s="42"/>
      <c r="AL408" s="40"/>
      <c r="AM408" s="40"/>
      <c r="AN408" s="40"/>
      <c r="AO408" s="40"/>
      <c r="AP408" s="40"/>
      <c r="AQ408" s="40"/>
      <c r="AR408" s="39"/>
      <c r="AS408" s="39"/>
      <c r="AT408" s="40"/>
      <c r="AU408" s="40"/>
      <c r="AV408" s="23"/>
    </row>
    <row r="409" spans="1:48" ht="15.75" x14ac:dyDescent="0.25">
      <c r="A409" s="44"/>
      <c r="B409" s="23"/>
      <c r="C409" s="23"/>
      <c r="D409" s="39"/>
      <c r="E409" s="39"/>
      <c r="F409" s="40"/>
      <c r="G409" s="40"/>
      <c r="H409" s="41"/>
      <c r="I409" s="39"/>
      <c r="J409" s="40"/>
      <c r="K409" s="40"/>
      <c r="L409" s="41"/>
      <c r="M409" s="39"/>
      <c r="N409" s="40"/>
      <c r="O409" s="40"/>
      <c r="P409" s="39"/>
      <c r="Q409" s="39"/>
      <c r="R409" s="40"/>
      <c r="S409" s="40"/>
      <c r="T409" s="39"/>
      <c r="U409" s="39"/>
      <c r="V409" s="40"/>
      <c r="W409" s="40"/>
      <c r="X409" s="41"/>
      <c r="Y409" s="41"/>
      <c r="Z409" s="40"/>
      <c r="AA409" s="40"/>
      <c r="AB409" s="41"/>
      <c r="AC409" s="41"/>
      <c r="AD409" s="40"/>
      <c r="AE409" s="40"/>
      <c r="AF409" s="42"/>
      <c r="AG409" s="42"/>
      <c r="AH409" s="40"/>
      <c r="AI409" s="40"/>
      <c r="AJ409" s="42"/>
      <c r="AK409" s="42"/>
      <c r="AL409" s="40"/>
      <c r="AM409" s="40"/>
      <c r="AN409" s="40"/>
      <c r="AO409" s="40"/>
      <c r="AP409" s="40"/>
      <c r="AQ409" s="40"/>
      <c r="AR409" s="39"/>
      <c r="AS409" s="39"/>
      <c r="AT409" s="40"/>
      <c r="AU409" s="40"/>
      <c r="AV409" s="23"/>
    </row>
    <row r="410" spans="1:48" ht="15.75" x14ac:dyDescent="0.25">
      <c r="A410" s="44"/>
      <c r="B410" s="23"/>
      <c r="C410" s="23"/>
      <c r="D410" s="39"/>
      <c r="E410" s="39"/>
      <c r="F410" s="40"/>
      <c r="G410" s="40"/>
      <c r="H410" s="41"/>
      <c r="I410" s="39"/>
      <c r="J410" s="40"/>
      <c r="K410" s="40"/>
      <c r="L410" s="41"/>
      <c r="M410" s="39"/>
      <c r="N410" s="40"/>
      <c r="O410" s="40"/>
      <c r="P410" s="39"/>
      <c r="Q410" s="39"/>
      <c r="R410" s="40"/>
      <c r="S410" s="40"/>
      <c r="T410" s="39"/>
      <c r="U410" s="39"/>
      <c r="V410" s="40"/>
      <c r="W410" s="40"/>
      <c r="X410" s="41"/>
      <c r="Y410" s="41"/>
      <c r="Z410" s="40"/>
      <c r="AA410" s="40"/>
      <c r="AB410" s="41"/>
      <c r="AC410" s="41"/>
      <c r="AD410" s="40"/>
      <c r="AE410" s="40"/>
      <c r="AF410" s="42"/>
      <c r="AG410" s="42"/>
      <c r="AH410" s="40"/>
      <c r="AI410" s="40"/>
      <c r="AJ410" s="42"/>
      <c r="AK410" s="42"/>
      <c r="AL410" s="40"/>
      <c r="AM410" s="40"/>
      <c r="AN410" s="40"/>
      <c r="AO410" s="40"/>
      <c r="AP410" s="40"/>
      <c r="AQ410" s="40"/>
      <c r="AR410" s="39"/>
      <c r="AS410" s="39"/>
      <c r="AT410" s="40"/>
      <c r="AU410" s="40"/>
      <c r="AV410" s="23"/>
    </row>
    <row r="411" spans="1:48" ht="15.75" x14ac:dyDescent="0.25">
      <c r="A411" s="44"/>
      <c r="B411" s="23"/>
      <c r="C411" s="23"/>
      <c r="D411" s="39"/>
      <c r="E411" s="39"/>
      <c r="F411" s="40"/>
      <c r="G411" s="40"/>
      <c r="H411" s="41"/>
      <c r="I411" s="39"/>
      <c r="J411" s="40"/>
      <c r="K411" s="40"/>
      <c r="L411" s="41"/>
      <c r="M411" s="39"/>
      <c r="N411" s="40"/>
      <c r="O411" s="40"/>
      <c r="P411" s="39"/>
      <c r="Q411" s="39"/>
      <c r="R411" s="40"/>
      <c r="S411" s="40"/>
      <c r="T411" s="39"/>
      <c r="U411" s="39"/>
      <c r="V411" s="40"/>
      <c r="W411" s="40"/>
      <c r="X411" s="41"/>
      <c r="Y411" s="41"/>
      <c r="Z411" s="40"/>
      <c r="AA411" s="40"/>
      <c r="AB411" s="41"/>
      <c r="AC411" s="41"/>
      <c r="AD411" s="40"/>
      <c r="AE411" s="40"/>
      <c r="AF411" s="42"/>
      <c r="AG411" s="42"/>
      <c r="AH411" s="40"/>
      <c r="AI411" s="40"/>
      <c r="AJ411" s="42"/>
      <c r="AK411" s="42"/>
      <c r="AL411" s="40"/>
      <c r="AM411" s="40"/>
      <c r="AN411" s="40"/>
      <c r="AO411" s="40"/>
      <c r="AP411" s="40"/>
      <c r="AQ411" s="40"/>
      <c r="AR411" s="39"/>
      <c r="AS411" s="39"/>
      <c r="AT411" s="40"/>
      <c r="AU411" s="40"/>
      <c r="AV411" s="23"/>
    </row>
    <row r="412" spans="1:48" ht="15.75" x14ac:dyDescent="0.25">
      <c r="A412" s="44"/>
      <c r="B412" s="23"/>
      <c r="C412" s="23"/>
      <c r="D412" s="39"/>
      <c r="E412" s="39"/>
      <c r="F412" s="40"/>
      <c r="G412" s="40"/>
      <c r="H412" s="41"/>
      <c r="I412" s="39"/>
      <c r="J412" s="40"/>
      <c r="K412" s="40"/>
      <c r="L412" s="41"/>
      <c r="M412" s="39"/>
      <c r="N412" s="40"/>
      <c r="O412" s="40"/>
      <c r="P412" s="39"/>
      <c r="Q412" s="39"/>
      <c r="R412" s="40"/>
      <c r="S412" s="40"/>
      <c r="T412" s="39"/>
      <c r="U412" s="39"/>
      <c r="V412" s="40"/>
      <c r="W412" s="40"/>
      <c r="X412" s="41"/>
      <c r="Y412" s="41"/>
      <c r="Z412" s="40"/>
      <c r="AA412" s="40"/>
      <c r="AB412" s="41"/>
      <c r="AC412" s="41"/>
      <c r="AD412" s="40"/>
      <c r="AE412" s="40"/>
      <c r="AF412" s="42"/>
      <c r="AG412" s="42"/>
      <c r="AH412" s="40"/>
      <c r="AI412" s="40"/>
      <c r="AJ412" s="42"/>
      <c r="AK412" s="42"/>
      <c r="AL412" s="40"/>
      <c r="AM412" s="40"/>
      <c r="AN412" s="40"/>
      <c r="AO412" s="40"/>
      <c r="AP412" s="40"/>
      <c r="AQ412" s="40"/>
      <c r="AR412" s="39"/>
      <c r="AS412" s="39"/>
      <c r="AT412" s="40"/>
      <c r="AU412" s="40"/>
      <c r="AV412" s="23"/>
    </row>
    <row r="413" spans="1:48" ht="15.75" x14ac:dyDescent="0.25">
      <c r="A413" s="44"/>
      <c r="B413" s="23"/>
      <c r="C413" s="23"/>
      <c r="D413" s="39"/>
      <c r="E413" s="39"/>
      <c r="F413" s="40"/>
      <c r="G413" s="40"/>
      <c r="H413" s="41"/>
      <c r="I413" s="39"/>
      <c r="J413" s="40"/>
      <c r="K413" s="40"/>
      <c r="L413" s="41"/>
      <c r="M413" s="39"/>
      <c r="N413" s="40"/>
      <c r="O413" s="40"/>
      <c r="P413" s="39"/>
      <c r="Q413" s="39"/>
      <c r="R413" s="40"/>
      <c r="S413" s="40"/>
      <c r="T413" s="39"/>
      <c r="U413" s="39"/>
      <c r="V413" s="40"/>
      <c r="W413" s="40"/>
      <c r="X413" s="41"/>
      <c r="Y413" s="41"/>
      <c r="Z413" s="40"/>
      <c r="AA413" s="40"/>
      <c r="AB413" s="41"/>
      <c r="AC413" s="41"/>
      <c r="AD413" s="40"/>
      <c r="AE413" s="40"/>
      <c r="AF413" s="42"/>
      <c r="AG413" s="42"/>
      <c r="AH413" s="40"/>
      <c r="AI413" s="40"/>
      <c r="AJ413" s="42"/>
      <c r="AK413" s="42"/>
      <c r="AL413" s="40"/>
      <c r="AM413" s="40"/>
      <c r="AN413" s="40"/>
      <c r="AO413" s="40"/>
      <c r="AP413" s="40"/>
      <c r="AQ413" s="40"/>
      <c r="AR413" s="39"/>
      <c r="AS413" s="39"/>
      <c r="AT413" s="40"/>
      <c r="AU413" s="40"/>
      <c r="AV413" s="23"/>
    </row>
    <row r="414" spans="1:48" ht="15.75" x14ac:dyDescent="0.25">
      <c r="A414" s="44"/>
      <c r="B414" s="23"/>
      <c r="C414" s="23"/>
      <c r="D414" s="39"/>
      <c r="E414" s="39"/>
      <c r="F414" s="40"/>
      <c r="G414" s="40"/>
      <c r="H414" s="41"/>
      <c r="I414" s="39"/>
      <c r="J414" s="40"/>
      <c r="K414" s="40"/>
      <c r="L414" s="41"/>
      <c r="M414" s="39"/>
      <c r="N414" s="40"/>
      <c r="O414" s="40"/>
      <c r="P414" s="39"/>
      <c r="Q414" s="39"/>
      <c r="R414" s="40"/>
      <c r="S414" s="40"/>
      <c r="T414" s="39"/>
      <c r="U414" s="39"/>
      <c r="V414" s="40"/>
      <c r="W414" s="40"/>
      <c r="X414" s="41"/>
      <c r="Y414" s="41"/>
      <c r="Z414" s="40"/>
      <c r="AA414" s="40"/>
      <c r="AB414" s="41"/>
      <c r="AC414" s="41"/>
      <c r="AD414" s="40"/>
      <c r="AE414" s="40"/>
      <c r="AF414" s="42"/>
      <c r="AG414" s="42"/>
      <c r="AH414" s="40"/>
      <c r="AI414" s="40"/>
      <c r="AJ414" s="42"/>
      <c r="AK414" s="42"/>
      <c r="AL414" s="40"/>
      <c r="AM414" s="40"/>
      <c r="AN414" s="40"/>
      <c r="AO414" s="40"/>
      <c r="AP414" s="40"/>
      <c r="AQ414" s="40"/>
      <c r="AR414" s="39"/>
      <c r="AS414" s="39"/>
      <c r="AT414" s="40"/>
      <c r="AU414" s="40"/>
      <c r="AV414" s="23"/>
    </row>
    <row r="415" spans="1:48" ht="15.75" x14ac:dyDescent="0.25">
      <c r="A415" s="44"/>
      <c r="B415" s="23"/>
      <c r="C415" s="23"/>
      <c r="D415" s="39"/>
      <c r="E415" s="39"/>
      <c r="F415" s="40"/>
      <c r="G415" s="40"/>
      <c r="H415" s="41"/>
      <c r="I415" s="39"/>
      <c r="J415" s="40"/>
      <c r="K415" s="40"/>
      <c r="L415" s="41"/>
      <c r="M415" s="39"/>
      <c r="N415" s="40"/>
      <c r="O415" s="40"/>
      <c r="P415" s="39"/>
      <c r="Q415" s="39"/>
      <c r="R415" s="40"/>
      <c r="S415" s="40"/>
      <c r="T415" s="39"/>
      <c r="U415" s="39"/>
      <c r="V415" s="40"/>
      <c r="W415" s="40"/>
      <c r="X415" s="41"/>
      <c r="Y415" s="41"/>
      <c r="Z415" s="40"/>
      <c r="AA415" s="40"/>
      <c r="AB415" s="41"/>
      <c r="AC415" s="41"/>
      <c r="AD415" s="40"/>
      <c r="AE415" s="40"/>
      <c r="AF415" s="42"/>
      <c r="AG415" s="42"/>
      <c r="AH415" s="40"/>
      <c r="AI415" s="40"/>
      <c r="AJ415" s="42"/>
      <c r="AK415" s="42"/>
      <c r="AL415" s="40"/>
      <c r="AM415" s="40"/>
      <c r="AN415" s="40"/>
      <c r="AO415" s="40"/>
      <c r="AP415" s="40"/>
      <c r="AQ415" s="40"/>
      <c r="AR415" s="39"/>
      <c r="AS415" s="39"/>
      <c r="AT415" s="40"/>
      <c r="AU415" s="40"/>
      <c r="AV415" s="23"/>
    </row>
    <row r="416" spans="1:48" ht="15.75" x14ac:dyDescent="0.25">
      <c r="A416" s="44"/>
      <c r="B416" s="23"/>
      <c r="C416" s="23"/>
      <c r="D416" s="39"/>
      <c r="E416" s="39"/>
      <c r="F416" s="40"/>
      <c r="G416" s="40"/>
      <c r="H416" s="41"/>
      <c r="I416" s="39"/>
      <c r="J416" s="40"/>
      <c r="K416" s="40"/>
      <c r="L416" s="41"/>
      <c r="M416" s="39"/>
      <c r="N416" s="40"/>
      <c r="O416" s="40"/>
      <c r="P416" s="39"/>
      <c r="Q416" s="39"/>
      <c r="R416" s="40"/>
      <c r="S416" s="40"/>
      <c r="T416" s="39"/>
      <c r="U416" s="39"/>
      <c r="V416" s="40"/>
      <c r="W416" s="40"/>
      <c r="X416" s="41"/>
      <c r="Y416" s="41"/>
      <c r="Z416" s="40"/>
      <c r="AA416" s="40"/>
      <c r="AB416" s="41"/>
      <c r="AC416" s="41"/>
      <c r="AD416" s="40"/>
      <c r="AE416" s="40"/>
      <c r="AF416" s="42"/>
      <c r="AG416" s="42"/>
      <c r="AH416" s="40"/>
      <c r="AI416" s="40"/>
      <c r="AJ416" s="42"/>
      <c r="AK416" s="42"/>
      <c r="AL416" s="40"/>
      <c r="AM416" s="40"/>
      <c r="AN416" s="40"/>
      <c r="AO416" s="40"/>
      <c r="AP416" s="40"/>
      <c r="AQ416" s="40"/>
      <c r="AR416" s="39"/>
      <c r="AS416" s="39"/>
      <c r="AT416" s="40"/>
      <c r="AU416" s="40"/>
      <c r="AV416" s="23"/>
    </row>
    <row r="417" spans="1:48" ht="15.75" x14ac:dyDescent="0.25">
      <c r="A417" s="44"/>
      <c r="B417" s="23"/>
      <c r="C417" s="23"/>
      <c r="D417" s="39"/>
      <c r="E417" s="39"/>
      <c r="F417" s="40"/>
      <c r="G417" s="40"/>
      <c r="H417" s="41"/>
      <c r="I417" s="39"/>
      <c r="J417" s="40"/>
      <c r="K417" s="40"/>
      <c r="L417" s="41"/>
      <c r="M417" s="39"/>
      <c r="N417" s="40"/>
      <c r="O417" s="40"/>
      <c r="P417" s="39"/>
      <c r="Q417" s="39"/>
      <c r="R417" s="40"/>
      <c r="S417" s="40"/>
      <c r="T417" s="39"/>
      <c r="U417" s="39"/>
      <c r="V417" s="40"/>
      <c r="W417" s="40"/>
      <c r="X417" s="41"/>
      <c r="Y417" s="41"/>
      <c r="Z417" s="40"/>
      <c r="AA417" s="40"/>
      <c r="AB417" s="41"/>
      <c r="AC417" s="41"/>
      <c r="AD417" s="40"/>
      <c r="AE417" s="40"/>
      <c r="AF417" s="42"/>
      <c r="AG417" s="42"/>
      <c r="AH417" s="40"/>
      <c r="AI417" s="40"/>
      <c r="AJ417" s="42"/>
      <c r="AK417" s="42"/>
      <c r="AL417" s="40"/>
      <c r="AM417" s="40"/>
      <c r="AN417" s="40"/>
      <c r="AO417" s="40"/>
      <c r="AP417" s="40"/>
      <c r="AQ417" s="40"/>
      <c r="AR417" s="39"/>
      <c r="AS417" s="39"/>
      <c r="AT417" s="40"/>
      <c r="AU417" s="40"/>
      <c r="AV417" s="23"/>
    </row>
    <row r="418" spans="1:48" ht="15.75" x14ac:dyDescent="0.25">
      <c r="A418" s="44"/>
      <c r="B418" s="23"/>
      <c r="C418" s="23"/>
      <c r="D418" s="39"/>
      <c r="E418" s="39"/>
      <c r="F418" s="40"/>
      <c r="G418" s="40"/>
      <c r="H418" s="41"/>
      <c r="I418" s="39"/>
      <c r="J418" s="40"/>
      <c r="K418" s="40"/>
      <c r="L418" s="41"/>
      <c r="M418" s="39"/>
      <c r="N418" s="40"/>
      <c r="O418" s="40"/>
      <c r="P418" s="39"/>
      <c r="Q418" s="39"/>
      <c r="R418" s="40"/>
      <c r="S418" s="40"/>
      <c r="T418" s="39"/>
      <c r="U418" s="39"/>
      <c r="V418" s="40"/>
      <c r="W418" s="40"/>
      <c r="X418" s="41"/>
      <c r="Y418" s="41"/>
      <c r="Z418" s="40"/>
      <c r="AA418" s="40"/>
      <c r="AB418" s="41"/>
      <c r="AC418" s="41"/>
      <c r="AD418" s="40"/>
      <c r="AE418" s="40"/>
      <c r="AF418" s="42"/>
      <c r="AG418" s="42"/>
      <c r="AH418" s="40"/>
      <c r="AI418" s="40"/>
      <c r="AJ418" s="42"/>
      <c r="AK418" s="42"/>
      <c r="AL418" s="40"/>
      <c r="AM418" s="40"/>
      <c r="AN418" s="40"/>
      <c r="AO418" s="40"/>
      <c r="AP418" s="40"/>
      <c r="AQ418" s="40"/>
      <c r="AR418" s="39"/>
      <c r="AS418" s="39"/>
      <c r="AT418" s="40"/>
      <c r="AU418" s="40"/>
      <c r="AV418" s="23"/>
    </row>
    <row r="419" spans="1:48" ht="15.75" x14ac:dyDescent="0.25">
      <c r="A419" s="44"/>
      <c r="B419" s="23"/>
      <c r="C419" s="23"/>
      <c r="D419" s="39"/>
      <c r="E419" s="39"/>
      <c r="F419" s="40"/>
      <c r="G419" s="40"/>
      <c r="H419" s="41"/>
      <c r="I419" s="39"/>
      <c r="J419" s="40"/>
      <c r="K419" s="40"/>
      <c r="L419" s="41"/>
      <c r="M419" s="39"/>
      <c r="N419" s="40"/>
      <c r="O419" s="40"/>
      <c r="P419" s="39"/>
      <c r="Q419" s="39"/>
      <c r="R419" s="40"/>
      <c r="S419" s="40"/>
      <c r="T419" s="39"/>
      <c r="U419" s="39"/>
      <c r="V419" s="40"/>
      <c r="W419" s="40"/>
      <c r="X419" s="41"/>
      <c r="Y419" s="41"/>
      <c r="Z419" s="40"/>
      <c r="AA419" s="40"/>
      <c r="AB419" s="41"/>
      <c r="AC419" s="41"/>
      <c r="AD419" s="40"/>
      <c r="AE419" s="40"/>
      <c r="AF419" s="42"/>
      <c r="AG419" s="42"/>
      <c r="AH419" s="40"/>
      <c r="AI419" s="40"/>
      <c r="AJ419" s="42"/>
      <c r="AK419" s="42"/>
      <c r="AL419" s="40"/>
      <c r="AM419" s="40"/>
      <c r="AN419" s="40"/>
      <c r="AO419" s="40"/>
      <c r="AP419" s="40"/>
      <c r="AQ419" s="40"/>
      <c r="AR419" s="39"/>
      <c r="AS419" s="39"/>
      <c r="AT419" s="40"/>
      <c r="AU419" s="40"/>
      <c r="AV419" s="23"/>
    </row>
    <row r="420" spans="1:48" ht="15.75" x14ac:dyDescent="0.25">
      <c r="A420" s="44"/>
      <c r="B420" s="23"/>
      <c r="C420" s="23"/>
      <c r="D420" s="39"/>
      <c r="E420" s="39"/>
      <c r="F420" s="40"/>
      <c r="G420" s="40"/>
      <c r="H420" s="41"/>
      <c r="I420" s="39"/>
      <c r="J420" s="40"/>
      <c r="K420" s="40"/>
      <c r="L420" s="41"/>
      <c r="M420" s="39"/>
      <c r="N420" s="40"/>
      <c r="O420" s="40"/>
      <c r="P420" s="39"/>
      <c r="Q420" s="39"/>
      <c r="R420" s="40"/>
      <c r="S420" s="40"/>
      <c r="T420" s="39"/>
      <c r="U420" s="39"/>
      <c r="V420" s="40"/>
      <c r="W420" s="40"/>
      <c r="X420" s="41"/>
      <c r="Y420" s="41"/>
      <c r="Z420" s="40"/>
      <c r="AA420" s="40"/>
      <c r="AB420" s="41"/>
      <c r="AC420" s="41"/>
      <c r="AD420" s="40"/>
      <c r="AE420" s="40"/>
      <c r="AF420" s="42"/>
      <c r="AG420" s="42"/>
      <c r="AH420" s="40"/>
      <c r="AI420" s="40"/>
      <c r="AJ420" s="42"/>
      <c r="AK420" s="42"/>
      <c r="AL420" s="40"/>
      <c r="AM420" s="40"/>
      <c r="AN420" s="40"/>
      <c r="AO420" s="40"/>
      <c r="AP420" s="40"/>
      <c r="AQ420" s="40"/>
      <c r="AR420" s="39"/>
      <c r="AS420" s="39"/>
      <c r="AT420" s="40"/>
      <c r="AU420" s="40"/>
      <c r="AV420" s="23"/>
    </row>
    <row r="421" spans="1:48" ht="15.75" x14ac:dyDescent="0.25">
      <c r="A421" s="44"/>
      <c r="B421" s="23"/>
      <c r="C421" s="23"/>
      <c r="D421" s="39"/>
      <c r="E421" s="39"/>
      <c r="F421" s="40"/>
      <c r="G421" s="40"/>
      <c r="H421" s="41"/>
      <c r="I421" s="39"/>
      <c r="J421" s="40"/>
      <c r="K421" s="40"/>
      <c r="L421" s="41"/>
      <c r="M421" s="39"/>
      <c r="N421" s="40"/>
      <c r="O421" s="40"/>
      <c r="P421" s="39"/>
      <c r="Q421" s="39"/>
      <c r="R421" s="40"/>
      <c r="S421" s="40"/>
      <c r="T421" s="39"/>
      <c r="U421" s="39"/>
      <c r="V421" s="40"/>
      <c r="W421" s="40"/>
      <c r="X421" s="41"/>
      <c r="Y421" s="41"/>
      <c r="Z421" s="40"/>
      <c r="AA421" s="40"/>
      <c r="AB421" s="41"/>
      <c r="AC421" s="41"/>
      <c r="AD421" s="40"/>
      <c r="AE421" s="40"/>
      <c r="AF421" s="42"/>
      <c r="AG421" s="42"/>
      <c r="AH421" s="40"/>
      <c r="AI421" s="40"/>
      <c r="AJ421" s="42"/>
      <c r="AK421" s="42"/>
      <c r="AL421" s="40"/>
      <c r="AM421" s="40"/>
      <c r="AN421" s="40"/>
      <c r="AO421" s="40"/>
      <c r="AP421" s="40"/>
      <c r="AQ421" s="40"/>
      <c r="AR421" s="39"/>
      <c r="AS421" s="39"/>
      <c r="AT421" s="40"/>
      <c r="AU421" s="40"/>
      <c r="AV421" s="23"/>
    </row>
    <row r="422" spans="1:48" ht="15.75" x14ac:dyDescent="0.25">
      <c r="A422" s="44"/>
      <c r="B422" s="23"/>
      <c r="C422" s="23"/>
      <c r="D422" s="39"/>
      <c r="E422" s="39"/>
      <c r="F422" s="40"/>
      <c r="G422" s="40"/>
      <c r="H422" s="41"/>
      <c r="I422" s="39"/>
      <c r="J422" s="40"/>
      <c r="K422" s="40"/>
      <c r="L422" s="41"/>
      <c r="M422" s="39"/>
      <c r="N422" s="40"/>
      <c r="O422" s="40"/>
      <c r="P422" s="39"/>
      <c r="Q422" s="39"/>
      <c r="R422" s="40"/>
      <c r="S422" s="40"/>
      <c r="T422" s="39"/>
      <c r="U422" s="39"/>
      <c r="V422" s="40"/>
      <c r="W422" s="40"/>
      <c r="X422" s="41"/>
      <c r="Y422" s="41"/>
      <c r="Z422" s="40"/>
      <c r="AA422" s="40"/>
      <c r="AB422" s="41"/>
      <c r="AC422" s="41"/>
      <c r="AD422" s="40"/>
      <c r="AE422" s="40"/>
      <c r="AF422" s="42"/>
      <c r="AG422" s="42"/>
      <c r="AH422" s="40"/>
      <c r="AI422" s="40"/>
      <c r="AJ422" s="42"/>
      <c r="AK422" s="42"/>
      <c r="AL422" s="40"/>
      <c r="AM422" s="40"/>
      <c r="AN422" s="40"/>
      <c r="AO422" s="40"/>
      <c r="AP422" s="40"/>
      <c r="AQ422" s="40"/>
      <c r="AR422" s="39"/>
      <c r="AS422" s="39"/>
      <c r="AT422" s="40"/>
      <c r="AU422" s="40"/>
      <c r="AV422" s="23"/>
    </row>
    <row r="423" spans="1:48" ht="15.75" x14ac:dyDescent="0.25">
      <c r="A423" s="44"/>
      <c r="B423" s="23"/>
      <c r="C423" s="23"/>
      <c r="D423" s="39"/>
      <c r="E423" s="39"/>
      <c r="F423" s="40"/>
      <c r="G423" s="40"/>
      <c r="H423" s="41"/>
      <c r="I423" s="39"/>
      <c r="J423" s="40"/>
      <c r="K423" s="40"/>
      <c r="L423" s="41"/>
      <c r="M423" s="39"/>
      <c r="N423" s="40"/>
      <c r="O423" s="40"/>
      <c r="P423" s="39"/>
      <c r="Q423" s="39"/>
      <c r="R423" s="40"/>
      <c r="S423" s="40"/>
      <c r="T423" s="39"/>
      <c r="U423" s="39"/>
      <c r="V423" s="40"/>
      <c r="W423" s="40"/>
      <c r="X423" s="41"/>
      <c r="Y423" s="41"/>
      <c r="Z423" s="40"/>
      <c r="AA423" s="40"/>
      <c r="AB423" s="41"/>
      <c r="AC423" s="41"/>
      <c r="AD423" s="40"/>
      <c r="AE423" s="40"/>
      <c r="AF423" s="42"/>
      <c r="AG423" s="42"/>
      <c r="AH423" s="40"/>
      <c r="AI423" s="40"/>
      <c r="AJ423" s="42"/>
      <c r="AK423" s="42"/>
      <c r="AL423" s="40"/>
      <c r="AM423" s="40"/>
      <c r="AN423" s="40"/>
      <c r="AO423" s="40"/>
      <c r="AP423" s="40"/>
      <c r="AQ423" s="40"/>
      <c r="AR423" s="39"/>
      <c r="AS423" s="39"/>
      <c r="AT423" s="40"/>
      <c r="AU423" s="40"/>
      <c r="AV423" s="23"/>
    </row>
    <row r="424" spans="1:48" ht="15.75" x14ac:dyDescent="0.25">
      <c r="A424" s="44"/>
      <c r="B424" s="23"/>
      <c r="C424" s="23"/>
      <c r="D424" s="39"/>
      <c r="E424" s="39"/>
      <c r="F424" s="40"/>
      <c r="G424" s="40"/>
      <c r="H424" s="41"/>
      <c r="I424" s="39"/>
      <c r="J424" s="40"/>
      <c r="K424" s="40"/>
      <c r="L424" s="41"/>
      <c r="M424" s="39"/>
      <c r="N424" s="40"/>
      <c r="O424" s="40"/>
      <c r="P424" s="39"/>
      <c r="Q424" s="39"/>
      <c r="R424" s="40"/>
      <c r="S424" s="40"/>
      <c r="T424" s="39"/>
      <c r="U424" s="39"/>
      <c r="V424" s="40"/>
      <c r="W424" s="40"/>
      <c r="X424" s="41"/>
      <c r="Y424" s="41"/>
      <c r="Z424" s="40"/>
      <c r="AA424" s="40"/>
      <c r="AB424" s="41"/>
      <c r="AC424" s="41"/>
      <c r="AD424" s="40"/>
      <c r="AE424" s="40"/>
      <c r="AF424" s="42"/>
      <c r="AG424" s="42"/>
      <c r="AH424" s="40"/>
      <c r="AI424" s="40"/>
      <c r="AJ424" s="42"/>
      <c r="AK424" s="42"/>
      <c r="AL424" s="40"/>
      <c r="AM424" s="40"/>
      <c r="AN424" s="40"/>
      <c r="AO424" s="40"/>
      <c r="AP424" s="40"/>
      <c r="AQ424" s="40"/>
      <c r="AR424" s="39"/>
      <c r="AS424" s="39"/>
      <c r="AT424" s="40"/>
      <c r="AU424" s="40"/>
      <c r="AV424" s="23"/>
    </row>
    <row r="425" spans="1:48" ht="15.75" x14ac:dyDescent="0.25">
      <c r="A425" s="44"/>
      <c r="B425" s="23"/>
      <c r="C425" s="23"/>
      <c r="D425" s="39"/>
      <c r="E425" s="39"/>
      <c r="F425" s="40"/>
      <c r="G425" s="40"/>
      <c r="H425" s="41"/>
      <c r="I425" s="39"/>
      <c r="J425" s="40"/>
      <c r="K425" s="40"/>
      <c r="L425" s="41"/>
      <c r="M425" s="39"/>
      <c r="N425" s="40"/>
      <c r="O425" s="40"/>
      <c r="P425" s="39"/>
      <c r="Q425" s="39"/>
      <c r="R425" s="40"/>
      <c r="S425" s="40"/>
      <c r="T425" s="39"/>
      <c r="U425" s="39"/>
      <c r="V425" s="40"/>
      <c r="W425" s="40"/>
      <c r="X425" s="41"/>
      <c r="Y425" s="41"/>
      <c r="Z425" s="40"/>
      <c r="AA425" s="40"/>
      <c r="AB425" s="41"/>
      <c r="AC425" s="41"/>
      <c r="AD425" s="40"/>
      <c r="AE425" s="40"/>
      <c r="AF425" s="42"/>
      <c r="AG425" s="42"/>
      <c r="AH425" s="40"/>
      <c r="AI425" s="40"/>
      <c r="AJ425" s="42"/>
      <c r="AK425" s="42"/>
      <c r="AL425" s="40"/>
      <c r="AM425" s="40"/>
      <c r="AN425" s="40"/>
      <c r="AO425" s="40"/>
      <c r="AP425" s="40"/>
      <c r="AQ425" s="40"/>
      <c r="AR425" s="39"/>
      <c r="AS425" s="39"/>
      <c r="AT425" s="40"/>
      <c r="AU425" s="40"/>
      <c r="AV425" s="23"/>
    </row>
    <row r="426" spans="1:48" ht="15.75" x14ac:dyDescent="0.25">
      <c r="A426" s="44"/>
      <c r="B426" s="23"/>
      <c r="C426" s="23"/>
      <c r="D426" s="39"/>
      <c r="E426" s="39"/>
      <c r="F426" s="40"/>
      <c r="G426" s="40"/>
      <c r="H426" s="41"/>
      <c r="I426" s="39"/>
      <c r="J426" s="40"/>
      <c r="K426" s="40"/>
      <c r="L426" s="41"/>
      <c r="M426" s="39"/>
      <c r="N426" s="40"/>
      <c r="O426" s="40"/>
      <c r="P426" s="39"/>
      <c r="Q426" s="39"/>
      <c r="R426" s="40"/>
      <c r="S426" s="40"/>
      <c r="T426" s="39"/>
      <c r="U426" s="39"/>
      <c r="V426" s="40"/>
      <c r="W426" s="40"/>
      <c r="X426" s="41"/>
      <c r="Y426" s="41"/>
      <c r="Z426" s="40"/>
      <c r="AA426" s="40"/>
      <c r="AB426" s="41"/>
      <c r="AC426" s="41"/>
      <c r="AD426" s="40"/>
      <c r="AE426" s="40"/>
      <c r="AF426" s="42"/>
      <c r="AG426" s="42"/>
      <c r="AH426" s="40"/>
      <c r="AI426" s="40"/>
      <c r="AJ426" s="42"/>
      <c r="AK426" s="42"/>
      <c r="AL426" s="40"/>
      <c r="AM426" s="40"/>
      <c r="AN426" s="40"/>
      <c r="AO426" s="40"/>
      <c r="AP426" s="40"/>
      <c r="AQ426" s="40"/>
      <c r="AR426" s="39"/>
      <c r="AS426" s="39"/>
      <c r="AT426" s="40"/>
      <c r="AU426" s="40"/>
      <c r="AV426" s="23"/>
    </row>
    <row r="427" spans="1:48" ht="15.75" x14ac:dyDescent="0.25">
      <c r="A427" s="44"/>
      <c r="B427" s="23"/>
      <c r="C427" s="23"/>
      <c r="D427" s="39"/>
      <c r="E427" s="39"/>
      <c r="F427" s="40"/>
      <c r="G427" s="40"/>
      <c r="H427" s="41"/>
      <c r="I427" s="39"/>
      <c r="J427" s="40"/>
      <c r="K427" s="40"/>
      <c r="L427" s="41"/>
      <c r="M427" s="39"/>
      <c r="N427" s="40"/>
      <c r="O427" s="40"/>
      <c r="P427" s="39"/>
      <c r="Q427" s="39"/>
      <c r="R427" s="40"/>
      <c r="S427" s="40"/>
      <c r="T427" s="39"/>
      <c r="U427" s="39"/>
      <c r="V427" s="40"/>
      <c r="W427" s="40"/>
      <c r="X427" s="41"/>
      <c r="Y427" s="41"/>
      <c r="Z427" s="40"/>
      <c r="AA427" s="40"/>
      <c r="AB427" s="41"/>
      <c r="AC427" s="41"/>
      <c r="AD427" s="40"/>
      <c r="AE427" s="40"/>
      <c r="AF427" s="42"/>
      <c r="AG427" s="42"/>
      <c r="AH427" s="40"/>
      <c r="AI427" s="40"/>
      <c r="AJ427" s="42"/>
      <c r="AK427" s="42"/>
      <c r="AL427" s="40"/>
      <c r="AM427" s="40"/>
      <c r="AN427" s="40"/>
      <c r="AO427" s="40"/>
      <c r="AP427" s="40"/>
      <c r="AQ427" s="40"/>
      <c r="AR427" s="39"/>
      <c r="AS427" s="39"/>
      <c r="AT427" s="40"/>
      <c r="AU427" s="40"/>
      <c r="AV427" s="23"/>
    </row>
    <row r="428" spans="1:48" ht="15.75" x14ac:dyDescent="0.25">
      <c r="A428" s="44"/>
      <c r="B428" s="23"/>
      <c r="C428" s="23"/>
      <c r="D428" s="39"/>
      <c r="E428" s="39"/>
      <c r="F428" s="40"/>
      <c r="G428" s="40"/>
      <c r="H428" s="41"/>
      <c r="I428" s="39"/>
      <c r="J428" s="40"/>
      <c r="K428" s="40"/>
      <c r="L428" s="41"/>
      <c r="M428" s="39"/>
      <c r="N428" s="40"/>
      <c r="O428" s="40"/>
      <c r="P428" s="39"/>
      <c r="Q428" s="39"/>
      <c r="R428" s="40"/>
      <c r="S428" s="40"/>
      <c r="T428" s="39"/>
      <c r="U428" s="39"/>
      <c r="V428" s="40"/>
      <c r="W428" s="40"/>
      <c r="X428" s="41"/>
      <c r="Y428" s="41"/>
      <c r="Z428" s="40"/>
      <c r="AA428" s="40"/>
      <c r="AB428" s="41"/>
      <c r="AC428" s="41"/>
      <c r="AD428" s="40"/>
      <c r="AE428" s="40"/>
      <c r="AF428" s="42"/>
      <c r="AG428" s="42"/>
      <c r="AH428" s="40"/>
      <c r="AI428" s="40"/>
      <c r="AJ428" s="42"/>
      <c r="AK428" s="42"/>
      <c r="AL428" s="40"/>
      <c r="AM428" s="40"/>
      <c r="AN428" s="40"/>
      <c r="AO428" s="40"/>
      <c r="AP428" s="40"/>
      <c r="AQ428" s="40"/>
      <c r="AR428" s="39"/>
      <c r="AS428" s="39"/>
      <c r="AT428" s="40"/>
      <c r="AU428" s="40"/>
      <c r="AV428" s="23"/>
    </row>
    <row r="429" spans="1:48" ht="15.75" x14ac:dyDescent="0.25">
      <c r="A429" s="44"/>
      <c r="B429" s="23"/>
      <c r="C429" s="23"/>
      <c r="D429" s="39"/>
      <c r="E429" s="39"/>
      <c r="F429" s="40"/>
      <c r="G429" s="40"/>
      <c r="H429" s="41"/>
      <c r="I429" s="39"/>
      <c r="J429" s="40"/>
      <c r="K429" s="40"/>
      <c r="L429" s="41"/>
      <c r="M429" s="39"/>
      <c r="N429" s="40"/>
      <c r="O429" s="40"/>
      <c r="P429" s="39"/>
      <c r="Q429" s="39"/>
      <c r="R429" s="40"/>
      <c r="S429" s="40"/>
      <c r="T429" s="39"/>
      <c r="U429" s="39"/>
      <c r="V429" s="40"/>
      <c r="W429" s="40"/>
      <c r="X429" s="41"/>
      <c r="Y429" s="41"/>
      <c r="Z429" s="40"/>
      <c r="AA429" s="40"/>
      <c r="AB429" s="41"/>
      <c r="AC429" s="41"/>
      <c r="AD429" s="40"/>
      <c r="AE429" s="40"/>
      <c r="AF429" s="42"/>
      <c r="AG429" s="42"/>
      <c r="AH429" s="40"/>
      <c r="AI429" s="40"/>
      <c r="AJ429" s="42"/>
      <c r="AK429" s="42"/>
      <c r="AL429" s="40"/>
      <c r="AM429" s="40"/>
      <c r="AN429" s="40"/>
      <c r="AO429" s="40"/>
      <c r="AP429" s="40"/>
      <c r="AQ429" s="40"/>
      <c r="AR429" s="39"/>
      <c r="AS429" s="39"/>
      <c r="AT429" s="40"/>
      <c r="AU429" s="40"/>
      <c r="AV429" s="23"/>
    </row>
    <row r="430" spans="1:48" ht="15.75" x14ac:dyDescent="0.25">
      <c r="A430" s="44"/>
      <c r="B430" s="23"/>
      <c r="C430" s="23"/>
      <c r="D430" s="39"/>
      <c r="E430" s="39"/>
      <c r="F430" s="40"/>
      <c r="G430" s="40"/>
      <c r="H430" s="41"/>
      <c r="I430" s="39"/>
      <c r="J430" s="40"/>
      <c r="K430" s="40"/>
      <c r="L430" s="41"/>
      <c r="M430" s="39"/>
      <c r="N430" s="40"/>
      <c r="O430" s="40"/>
      <c r="P430" s="39"/>
      <c r="Q430" s="39"/>
      <c r="R430" s="40"/>
      <c r="S430" s="40"/>
      <c r="T430" s="39"/>
      <c r="U430" s="39"/>
      <c r="V430" s="40"/>
      <c r="W430" s="40"/>
      <c r="X430" s="41"/>
      <c r="Y430" s="41"/>
      <c r="Z430" s="40"/>
      <c r="AA430" s="40"/>
      <c r="AB430" s="41"/>
      <c r="AC430" s="41"/>
      <c r="AD430" s="40"/>
      <c r="AE430" s="40"/>
      <c r="AF430" s="42"/>
      <c r="AG430" s="42"/>
      <c r="AH430" s="40"/>
      <c r="AI430" s="40"/>
      <c r="AJ430" s="42"/>
      <c r="AK430" s="42"/>
      <c r="AL430" s="40"/>
      <c r="AM430" s="40"/>
      <c r="AN430" s="40"/>
      <c r="AO430" s="40"/>
      <c r="AP430" s="40"/>
      <c r="AQ430" s="40"/>
      <c r="AR430" s="39"/>
      <c r="AS430" s="39"/>
      <c r="AT430" s="40"/>
      <c r="AU430" s="40"/>
      <c r="AV430" s="23"/>
    </row>
    <row r="431" spans="1:48" ht="15.75" x14ac:dyDescent="0.25">
      <c r="A431" s="44"/>
      <c r="B431" s="23"/>
      <c r="C431" s="23"/>
      <c r="D431" s="39"/>
      <c r="E431" s="39"/>
      <c r="F431" s="40"/>
      <c r="G431" s="40"/>
      <c r="H431" s="41"/>
      <c r="I431" s="39"/>
      <c r="J431" s="40"/>
      <c r="K431" s="40"/>
      <c r="L431" s="41"/>
      <c r="M431" s="39"/>
      <c r="N431" s="40"/>
      <c r="O431" s="40"/>
      <c r="P431" s="39"/>
      <c r="Q431" s="39"/>
      <c r="R431" s="40"/>
      <c r="S431" s="40"/>
      <c r="T431" s="39"/>
      <c r="U431" s="39"/>
      <c r="V431" s="40"/>
      <c r="W431" s="40"/>
      <c r="X431" s="41"/>
      <c r="Y431" s="41"/>
      <c r="Z431" s="40"/>
      <c r="AA431" s="40"/>
      <c r="AB431" s="41"/>
      <c r="AC431" s="41"/>
      <c r="AD431" s="40"/>
      <c r="AE431" s="40"/>
      <c r="AF431" s="42"/>
      <c r="AG431" s="42"/>
      <c r="AH431" s="40"/>
      <c r="AI431" s="40"/>
      <c r="AJ431" s="42"/>
      <c r="AK431" s="42"/>
      <c r="AL431" s="40"/>
      <c r="AM431" s="40"/>
      <c r="AN431" s="40"/>
      <c r="AO431" s="40"/>
      <c r="AP431" s="40"/>
      <c r="AQ431" s="40"/>
      <c r="AR431" s="39"/>
      <c r="AS431" s="39"/>
      <c r="AT431" s="40"/>
      <c r="AU431" s="40"/>
      <c r="AV431" s="23"/>
    </row>
    <row r="432" spans="1:48" ht="15.75" x14ac:dyDescent="0.25">
      <c r="A432" s="44"/>
      <c r="B432" s="23"/>
      <c r="C432" s="23"/>
      <c r="D432" s="39"/>
      <c r="E432" s="39"/>
      <c r="F432" s="40"/>
      <c r="G432" s="40"/>
      <c r="H432" s="41"/>
      <c r="I432" s="39"/>
      <c r="J432" s="40"/>
      <c r="K432" s="40"/>
      <c r="L432" s="41"/>
      <c r="M432" s="39"/>
      <c r="N432" s="40"/>
      <c r="O432" s="40"/>
      <c r="P432" s="39"/>
      <c r="Q432" s="39"/>
      <c r="R432" s="40"/>
      <c r="S432" s="40"/>
      <c r="T432" s="39"/>
      <c r="U432" s="39"/>
      <c r="V432" s="40"/>
      <c r="W432" s="40"/>
      <c r="X432" s="41"/>
      <c r="Y432" s="41"/>
      <c r="Z432" s="40"/>
      <c r="AA432" s="40"/>
      <c r="AB432" s="41"/>
      <c r="AC432" s="41"/>
      <c r="AD432" s="40"/>
      <c r="AE432" s="40"/>
      <c r="AF432" s="42"/>
      <c r="AG432" s="42"/>
      <c r="AH432" s="40"/>
      <c r="AI432" s="40"/>
      <c r="AJ432" s="42"/>
      <c r="AK432" s="42"/>
      <c r="AL432" s="40"/>
      <c r="AM432" s="40"/>
      <c r="AN432" s="40"/>
      <c r="AO432" s="40"/>
      <c r="AP432" s="40"/>
      <c r="AQ432" s="40"/>
      <c r="AR432" s="39"/>
      <c r="AS432" s="39"/>
      <c r="AT432" s="40"/>
      <c r="AU432" s="40"/>
      <c r="AV432" s="23"/>
    </row>
    <row r="433" spans="1:48" ht="15.75" x14ac:dyDescent="0.25">
      <c r="A433" s="44"/>
      <c r="B433" s="23"/>
      <c r="C433" s="23"/>
      <c r="D433" s="39"/>
      <c r="E433" s="39"/>
      <c r="F433" s="40"/>
      <c r="G433" s="40"/>
      <c r="H433" s="41"/>
      <c r="I433" s="39"/>
      <c r="J433" s="40"/>
      <c r="K433" s="40"/>
      <c r="L433" s="41"/>
      <c r="M433" s="39"/>
      <c r="N433" s="40"/>
      <c r="O433" s="40"/>
      <c r="P433" s="39"/>
      <c r="Q433" s="39"/>
      <c r="R433" s="40"/>
      <c r="S433" s="40"/>
      <c r="T433" s="39"/>
      <c r="U433" s="39"/>
      <c r="V433" s="40"/>
      <c r="W433" s="40"/>
      <c r="X433" s="41"/>
      <c r="Y433" s="41"/>
      <c r="Z433" s="40"/>
      <c r="AA433" s="40"/>
      <c r="AB433" s="41"/>
      <c r="AC433" s="41"/>
      <c r="AD433" s="40"/>
      <c r="AE433" s="40"/>
      <c r="AF433" s="42"/>
      <c r="AG433" s="42"/>
      <c r="AH433" s="40"/>
      <c r="AI433" s="40"/>
      <c r="AJ433" s="42"/>
      <c r="AK433" s="42"/>
      <c r="AL433" s="40"/>
      <c r="AM433" s="40"/>
      <c r="AN433" s="40"/>
      <c r="AO433" s="40"/>
      <c r="AP433" s="40"/>
      <c r="AQ433" s="40"/>
      <c r="AR433" s="39"/>
      <c r="AS433" s="39"/>
      <c r="AT433" s="40"/>
      <c r="AU433" s="40"/>
      <c r="AV433" s="23"/>
    </row>
    <row r="434" spans="1:48" ht="15.75" x14ac:dyDescent="0.25">
      <c r="A434" s="44"/>
      <c r="B434" s="23"/>
      <c r="C434" s="23"/>
      <c r="D434" s="39"/>
      <c r="E434" s="39"/>
      <c r="F434" s="40"/>
      <c r="G434" s="40"/>
      <c r="H434" s="41"/>
      <c r="I434" s="39"/>
      <c r="J434" s="40"/>
      <c r="K434" s="40"/>
      <c r="L434" s="41"/>
      <c r="M434" s="39"/>
      <c r="N434" s="40"/>
      <c r="O434" s="40"/>
      <c r="P434" s="39"/>
      <c r="Q434" s="39"/>
      <c r="R434" s="40"/>
      <c r="S434" s="40"/>
      <c r="T434" s="39"/>
      <c r="U434" s="39"/>
      <c r="V434" s="40"/>
      <c r="W434" s="40"/>
      <c r="X434" s="41"/>
      <c r="Y434" s="41"/>
      <c r="Z434" s="40"/>
      <c r="AA434" s="40"/>
      <c r="AB434" s="41"/>
      <c r="AC434" s="41"/>
      <c r="AD434" s="40"/>
      <c r="AE434" s="40"/>
      <c r="AF434" s="42"/>
      <c r="AG434" s="42"/>
      <c r="AH434" s="40"/>
      <c r="AI434" s="40"/>
      <c r="AJ434" s="42"/>
      <c r="AK434" s="42"/>
      <c r="AL434" s="40"/>
      <c r="AM434" s="40"/>
      <c r="AN434" s="40"/>
      <c r="AO434" s="40"/>
      <c r="AP434" s="40"/>
      <c r="AQ434" s="40"/>
      <c r="AR434" s="39"/>
      <c r="AS434" s="39"/>
      <c r="AT434" s="40"/>
      <c r="AU434" s="40"/>
      <c r="AV434" s="23"/>
    </row>
    <row r="435" spans="1:48" ht="15.75" x14ac:dyDescent="0.25">
      <c r="A435" s="44"/>
      <c r="B435" s="23"/>
      <c r="C435" s="23"/>
      <c r="D435" s="39"/>
      <c r="E435" s="39"/>
      <c r="F435" s="40"/>
      <c r="G435" s="40"/>
      <c r="H435" s="41"/>
      <c r="I435" s="39"/>
      <c r="J435" s="40"/>
      <c r="K435" s="40"/>
      <c r="L435" s="41"/>
      <c r="M435" s="39"/>
      <c r="N435" s="40"/>
      <c r="O435" s="40"/>
      <c r="P435" s="39"/>
      <c r="Q435" s="39"/>
      <c r="R435" s="40"/>
      <c r="S435" s="40"/>
      <c r="T435" s="39"/>
      <c r="U435" s="39"/>
      <c r="V435" s="40"/>
      <c r="W435" s="40"/>
      <c r="X435" s="41"/>
      <c r="Y435" s="41"/>
      <c r="Z435" s="40"/>
      <c r="AA435" s="40"/>
      <c r="AB435" s="41"/>
      <c r="AC435" s="41"/>
      <c r="AD435" s="40"/>
      <c r="AE435" s="40"/>
      <c r="AF435" s="42"/>
      <c r="AG435" s="42"/>
      <c r="AH435" s="40"/>
      <c r="AI435" s="40"/>
      <c r="AJ435" s="42"/>
      <c r="AK435" s="42"/>
      <c r="AL435" s="40"/>
      <c r="AM435" s="40"/>
      <c r="AN435" s="40"/>
      <c r="AO435" s="40"/>
      <c r="AP435" s="40"/>
      <c r="AQ435" s="40"/>
      <c r="AR435" s="39"/>
      <c r="AS435" s="39"/>
      <c r="AT435" s="40"/>
      <c r="AU435" s="40"/>
      <c r="AV435" s="23"/>
    </row>
    <row r="436" spans="1:48" ht="15.75" x14ac:dyDescent="0.25">
      <c r="A436" s="44"/>
      <c r="B436" s="23"/>
      <c r="C436" s="23"/>
      <c r="D436" s="39"/>
      <c r="E436" s="39"/>
      <c r="F436" s="40"/>
      <c r="G436" s="40"/>
      <c r="H436" s="41"/>
      <c r="I436" s="39"/>
      <c r="J436" s="40"/>
      <c r="K436" s="40"/>
      <c r="L436" s="41"/>
      <c r="M436" s="39"/>
      <c r="N436" s="40"/>
      <c r="O436" s="40"/>
      <c r="P436" s="39"/>
      <c r="Q436" s="39"/>
      <c r="R436" s="40"/>
      <c r="S436" s="40"/>
      <c r="T436" s="39"/>
      <c r="U436" s="39"/>
      <c r="V436" s="40"/>
      <c r="W436" s="40"/>
      <c r="X436" s="41"/>
      <c r="Y436" s="41"/>
      <c r="Z436" s="40"/>
      <c r="AA436" s="40"/>
      <c r="AB436" s="41"/>
      <c r="AC436" s="41"/>
      <c r="AD436" s="40"/>
      <c r="AE436" s="40"/>
      <c r="AF436" s="42"/>
      <c r="AG436" s="42"/>
      <c r="AH436" s="40"/>
      <c r="AI436" s="40"/>
      <c r="AJ436" s="42"/>
      <c r="AK436" s="42"/>
      <c r="AL436" s="40"/>
      <c r="AM436" s="40"/>
      <c r="AN436" s="40"/>
      <c r="AO436" s="40"/>
      <c r="AP436" s="40"/>
      <c r="AQ436" s="40"/>
      <c r="AR436" s="39"/>
      <c r="AS436" s="39"/>
      <c r="AT436" s="40"/>
      <c r="AU436" s="40"/>
      <c r="AV436" s="23"/>
    </row>
    <row r="437" spans="1:48" ht="15.75" x14ac:dyDescent="0.25">
      <c r="A437" s="44"/>
      <c r="B437" s="23"/>
      <c r="C437" s="23"/>
      <c r="D437" s="39"/>
      <c r="E437" s="39"/>
      <c r="F437" s="40"/>
      <c r="G437" s="40"/>
      <c r="H437" s="41"/>
      <c r="I437" s="39"/>
      <c r="J437" s="40"/>
      <c r="K437" s="40"/>
      <c r="L437" s="41"/>
      <c r="M437" s="39"/>
      <c r="N437" s="40"/>
      <c r="O437" s="40"/>
      <c r="P437" s="39"/>
      <c r="Q437" s="39"/>
      <c r="R437" s="40"/>
      <c r="S437" s="40"/>
      <c r="T437" s="39"/>
      <c r="U437" s="39"/>
      <c r="V437" s="40"/>
      <c r="W437" s="40"/>
      <c r="X437" s="41"/>
      <c r="Y437" s="41"/>
      <c r="Z437" s="40"/>
      <c r="AA437" s="40"/>
      <c r="AB437" s="41"/>
      <c r="AC437" s="41"/>
      <c r="AD437" s="40"/>
      <c r="AE437" s="40"/>
      <c r="AF437" s="42"/>
      <c r="AG437" s="42"/>
      <c r="AH437" s="40"/>
      <c r="AI437" s="40"/>
      <c r="AJ437" s="42"/>
      <c r="AK437" s="42"/>
      <c r="AL437" s="40"/>
      <c r="AM437" s="40"/>
      <c r="AN437" s="40"/>
      <c r="AO437" s="40"/>
      <c r="AP437" s="40"/>
      <c r="AQ437" s="40"/>
      <c r="AR437" s="39"/>
      <c r="AS437" s="39"/>
      <c r="AT437" s="40"/>
      <c r="AU437" s="40"/>
      <c r="AV437" s="23"/>
    </row>
    <row r="438" spans="1:48" ht="15.75" x14ac:dyDescent="0.25">
      <c r="A438" s="44"/>
      <c r="B438" s="23"/>
      <c r="C438" s="23"/>
      <c r="D438" s="39"/>
      <c r="E438" s="39"/>
      <c r="F438" s="40"/>
      <c r="G438" s="40"/>
      <c r="H438" s="41"/>
      <c r="I438" s="39"/>
      <c r="J438" s="40"/>
      <c r="K438" s="40"/>
      <c r="L438" s="41"/>
      <c r="M438" s="39"/>
      <c r="N438" s="40"/>
      <c r="O438" s="40"/>
      <c r="P438" s="39"/>
      <c r="Q438" s="39"/>
      <c r="R438" s="40"/>
      <c r="S438" s="40"/>
      <c r="T438" s="39"/>
      <c r="U438" s="39"/>
      <c r="V438" s="40"/>
      <c r="W438" s="40"/>
      <c r="X438" s="41"/>
      <c r="Y438" s="41"/>
      <c r="Z438" s="40"/>
      <c r="AA438" s="40"/>
      <c r="AB438" s="41"/>
      <c r="AC438" s="41"/>
      <c r="AD438" s="40"/>
      <c r="AE438" s="40"/>
      <c r="AF438" s="42"/>
      <c r="AG438" s="42"/>
      <c r="AH438" s="40"/>
      <c r="AI438" s="40"/>
      <c r="AJ438" s="42"/>
      <c r="AK438" s="42"/>
      <c r="AL438" s="40"/>
      <c r="AM438" s="40"/>
      <c r="AN438" s="40"/>
      <c r="AO438" s="40"/>
      <c r="AP438" s="40"/>
      <c r="AQ438" s="40"/>
      <c r="AR438" s="39"/>
      <c r="AS438" s="39"/>
      <c r="AT438" s="40"/>
      <c r="AU438" s="40"/>
      <c r="AV438" s="23"/>
    </row>
    <row r="439" spans="1:48" ht="15.75" x14ac:dyDescent="0.25">
      <c r="A439" s="44"/>
      <c r="B439" s="23"/>
      <c r="C439" s="23"/>
      <c r="D439" s="39"/>
      <c r="E439" s="39"/>
      <c r="F439" s="40"/>
      <c r="G439" s="40"/>
      <c r="H439" s="41"/>
      <c r="I439" s="39"/>
      <c r="J439" s="40"/>
      <c r="K439" s="40"/>
      <c r="L439" s="41"/>
      <c r="M439" s="39"/>
      <c r="N439" s="40"/>
      <c r="O439" s="40"/>
      <c r="P439" s="39"/>
      <c r="Q439" s="39"/>
      <c r="R439" s="40"/>
      <c r="S439" s="40"/>
      <c r="T439" s="39"/>
      <c r="U439" s="39"/>
      <c r="V439" s="40"/>
      <c r="W439" s="40"/>
      <c r="X439" s="41"/>
      <c r="Y439" s="41"/>
      <c r="Z439" s="40"/>
      <c r="AA439" s="40"/>
      <c r="AB439" s="41"/>
      <c r="AC439" s="41"/>
      <c r="AD439" s="40"/>
      <c r="AE439" s="40"/>
      <c r="AF439" s="42"/>
      <c r="AG439" s="42"/>
      <c r="AH439" s="40"/>
      <c r="AI439" s="40"/>
      <c r="AJ439" s="42"/>
      <c r="AK439" s="42"/>
      <c r="AL439" s="40"/>
      <c r="AM439" s="40"/>
      <c r="AN439" s="40"/>
      <c r="AO439" s="40"/>
      <c r="AP439" s="40"/>
      <c r="AQ439" s="40"/>
      <c r="AR439" s="39"/>
      <c r="AS439" s="39"/>
      <c r="AT439" s="40"/>
      <c r="AU439" s="40"/>
      <c r="AV439" s="23"/>
    </row>
    <row r="440" spans="1:48" ht="15.75" x14ac:dyDescent="0.25">
      <c r="A440" s="44"/>
      <c r="B440" s="23"/>
      <c r="C440" s="23"/>
      <c r="D440" s="39"/>
      <c r="E440" s="39"/>
      <c r="F440" s="40"/>
      <c r="G440" s="40"/>
      <c r="H440" s="41"/>
      <c r="I440" s="39"/>
      <c r="J440" s="40"/>
      <c r="K440" s="40"/>
      <c r="L440" s="41"/>
      <c r="M440" s="39"/>
      <c r="N440" s="40"/>
      <c r="O440" s="40"/>
      <c r="P440" s="39"/>
      <c r="Q440" s="39"/>
      <c r="R440" s="40"/>
      <c r="S440" s="40"/>
      <c r="T440" s="39"/>
      <c r="U440" s="39"/>
      <c r="V440" s="40"/>
      <c r="W440" s="40"/>
      <c r="X440" s="41"/>
      <c r="Y440" s="41"/>
      <c r="Z440" s="40"/>
      <c r="AA440" s="40"/>
      <c r="AB440" s="41"/>
      <c r="AC440" s="41"/>
      <c r="AD440" s="40"/>
      <c r="AE440" s="40"/>
      <c r="AF440" s="42"/>
      <c r="AG440" s="42"/>
      <c r="AH440" s="40"/>
      <c r="AI440" s="40"/>
      <c r="AJ440" s="42"/>
      <c r="AK440" s="42"/>
      <c r="AL440" s="40"/>
      <c r="AM440" s="40"/>
      <c r="AN440" s="40"/>
      <c r="AO440" s="40"/>
      <c r="AP440" s="40"/>
      <c r="AQ440" s="40"/>
      <c r="AR440" s="39"/>
      <c r="AS440" s="39"/>
      <c r="AT440" s="40"/>
      <c r="AU440" s="40"/>
      <c r="AV440" s="23"/>
    </row>
    <row r="441" spans="1:48" ht="15.75" x14ac:dyDescent="0.25">
      <c r="A441" s="44"/>
      <c r="B441" s="23"/>
      <c r="C441" s="23"/>
      <c r="D441" s="39"/>
      <c r="E441" s="39"/>
      <c r="F441" s="40"/>
      <c r="G441" s="40"/>
      <c r="H441" s="41"/>
      <c r="I441" s="39"/>
      <c r="J441" s="40"/>
      <c r="K441" s="40"/>
      <c r="L441" s="41"/>
      <c r="M441" s="39"/>
      <c r="N441" s="40"/>
      <c r="O441" s="40"/>
      <c r="P441" s="39"/>
      <c r="Q441" s="39"/>
      <c r="R441" s="40"/>
      <c r="S441" s="40"/>
      <c r="T441" s="39"/>
      <c r="U441" s="39"/>
      <c r="V441" s="40"/>
      <c r="W441" s="40"/>
      <c r="X441" s="41"/>
      <c r="Y441" s="41"/>
      <c r="Z441" s="40"/>
      <c r="AA441" s="40"/>
      <c r="AB441" s="41"/>
      <c r="AC441" s="41"/>
      <c r="AD441" s="40"/>
      <c r="AE441" s="40"/>
      <c r="AF441" s="42"/>
      <c r="AG441" s="42"/>
      <c r="AH441" s="40"/>
      <c r="AI441" s="40"/>
      <c r="AJ441" s="42"/>
      <c r="AK441" s="42"/>
      <c r="AL441" s="40"/>
      <c r="AM441" s="40"/>
      <c r="AN441" s="40"/>
      <c r="AO441" s="40"/>
      <c r="AP441" s="40"/>
      <c r="AQ441" s="40"/>
      <c r="AR441" s="39"/>
      <c r="AS441" s="39"/>
      <c r="AT441" s="40"/>
      <c r="AU441" s="40"/>
      <c r="AV441" s="23"/>
    </row>
    <row r="442" spans="1:48" ht="15.75" x14ac:dyDescent="0.25">
      <c r="A442" s="44"/>
      <c r="B442" s="23"/>
      <c r="C442" s="23"/>
      <c r="D442" s="39"/>
      <c r="E442" s="39"/>
      <c r="F442" s="40"/>
      <c r="G442" s="40"/>
      <c r="H442" s="41"/>
      <c r="I442" s="39"/>
      <c r="J442" s="40"/>
      <c r="K442" s="40"/>
      <c r="L442" s="41"/>
      <c r="M442" s="39"/>
      <c r="N442" s="40"/>
      <c r="O442" s="40"/>
      <c r="P442" s="39"/>
      <c r="Q442" s="39"/>
      <c r="R442" s="40"/>
      <c r="S442" s="40"/>
      <c r="T442" s="39"/>
      <c r="U442" s="39"/>
      <c r="V442" s="40"/>
      <c r="W442" s="40"/>
      <c r="X442" s="41"/>
      <c r="Y442" s="41"/>
      <c r="Z442" s="40"/>
      <c r="AA442" s="40"/>
      <c r="AB442" s="41"/>
      <c r="AC442" s="41"/>
      <c r="AD442" s="40"/>
      <c r="AE442" s="40"/>
      <c r="AF442" s="42"/>
      <c r="AG442" s="42"/>
      <c r="AH442" s="40"/>
      <c r="AI442" s="40"/>
      <c r="AJ442" s="42"/>
      <c r="AK442" s="42"/>
      <c r="AL442" s="40"/>
      <c r="AM442" s="40"/>
      <c r="AN442" s="40"/>
      <c r="AO442" s="40"/>
      <c r="AP442" s="40"/>
      <c r="AQ442" s="40"/>
      <c r="AR442" s="39"/>
      <c r="AS442" s="39"/>
      <c r="AT442" s="40"/>
      <c r="AU442" s="40"/>
      <c r="AV442" s="23"/>
    </row>
    <row r="443" spans="1:48" ht="15.75" x14ac:dyDescent="0.25">
      <c r="A443" s="44"/>
      <c r="B443" s="23"/>
      <c r="C443" s="23"/>
      <c r="D443" s="39"/>
      <c r="E443" s="39"/>
      <c r="F443" s="40"/>
      <c r="G443" s="40"/>
      <c r="H443" s="41"/>
      <c r="I443" s="39"/>
      <c r="J443" s="40"/>
      <c r="K443" s="40"/>
      <c r="L443" s="41"/>
      <c r="M443" s="39"/>
      <c r="N443" s="40"/>
      <c r="O443" s="40"/>
      <c r="P443" s="39"/>
      <c r="Q443" s="39"/>
      <c r="R443" s="40"/>
      <c r="S443" s="40"/>
      <c r="T443" s="39"/>
      <c r="U443" s="39"/>
      <c r="V443" s="40"/>
      <c r="W443" s="40"/>
      <c r="X443" s="41"/>
      <c r="Y443" s="41"/>
      <c r="Z443" s="40"/>
      <c r="AA443" s="40"/>
      <c r="AB443" s="41"/>
      <c r="AC443" s="41"/>
      <c r="AD443" s="40"/>
      <c r="AE443" s="40"/>
      <c r="AF443" s="42"/>
      <c r="AG443" s="42"/>
      <c r="AH443" s="40"/>
      <c r="AI443" s="40"/>
      <c r="AJ443" s="42"/>
      <c r="AK443" s="42"/>
      <c r="AL443" s="40"/>
      <c r="AM443" s="40"/>
      <c r="AN443" s="40"/>
      <c r="AO443" s="40"/>
      <c r="AP443" s="40"/>
      <c r="AQ443" s="40"/>
      <c r="AR443" s="39"/>
      <c r="AS443" s="39"/>
      <c r="AT443" s="40"/>
      <c r="AU443" s="40"/>
      <c r="AV443" s="23"/>
    </row>
    <row r="444" spans="1:48" ht="15.75" x14ac:dyDescent="0.25">
      <c r="A444" s="44"/>
      <c r="B444" s="23"/>
      <c r="C444" s="23"/>
      <c r="D444" s="39"/>
      <c r="E444" s="39"/>
      <c r="F444" s="40"/>
      <c r="G444" s="40"/>
      <c r="H444" s="41"/>
      <c r="I444" s="39"/>
      <c r="J444" s="40"/>
      <c r="K444" s="40"/>
      <c r="L444" s="41"/>
      <c r="M444" s="39"/>
      <c r="N444" s="40"/>
      <c r="O444" s="40"/>
      <c r="P444" s="39"/>
      <c r="Q444" s="39"/>
      <c r="R444" s="40"/>
      <c r="S444" s="40"/>
      <c r="T444" s="39"/>
      <c r="U444" s="39"/>
      <c r="V444" s="40"/>
      <c r="W444" s="40"/>
      <c r="X444" s="41"/>
      <c r="Y444" s="41"/>
      <c r="Z444" s="40"/>
      <c r="AA444" s="40"/>
      <c r="AB444" s="41"/>
      <c r="AC444" s="41"/>
      <c r="AD444" s="40"/>
      <c r="AE444" s="40"/>
      <c r="AF444" s="42"/>
      <c r="AG444" s="42"/>
      <c r="AH444" s="40"/>
      <c r="AI444" s="40"/>
      <c r="AJ444" s="42"/>
      <c r="AK444" s="42"/>
      <c r="AL444" s="40"/>
      <c r="AM444" s="40"/>
      <c r="AN444" s="40"/>
      <c r="AO444" s="40"/>
      <c r="AP444" s="40"/>
      <c r="AQ444" s="40"/>
      <c r="AR444" s="39"/>
      <c r="AS444" s="39"/>
      <c r="AT444" s="40"/>
      <c r="AU444" s="40"/>
      <c r="AV444" s="23"/>
    </row>
    <row r="445" spans="1:48" ht="15.75" x14ac:dyDescent="0.25">
      <c r="A445" s="44"/>
      <c r="B445" s="23"/>
      <c r="C445" s="23"/>
      <c r="D445" s="39"/>
      <c r="E445" s="39"/>
      <c r="F445" s="40"/>
      <c r="G445" s="40"/>
      <c r="H445" s="41"/>
      <c r="I445" s="39"/>
      <c r="J445" s="40"/>
      <c r="K445" s="40"/>
      <c r="L445" s="41"/>
      <c r="M445" s="39"/>
      <c r="N445" s="40"/>
      <c r="O445" s="40"/>
      <c r="P445" s="39"/>
      <c r="Q445" s="39"/>
      <c r="R445" s="40"/>
      <c r="S445" s="40"/>
      <c r="T445" s="39"/>
      <c r="U445" s="39"/>
      <c r="V445" s="40"/>
      <c r="W445" s="40"/>
      <c r="X445" s="41"/>
      <c r="Y445" s="41"/>
      <c r="Z445" s="40"/>
      <c r="AA445" s="40"/>
      <c r="AB445" s="41"/>
      <c r="AC445" s="41"/>
      <c r="AD445" s="40"/>
      <c r="AE445" s="40"/>
      <c r="AF445" s="42"/>
      <c r="AG445" s="42"/>
      <c r="AH445" s="40"/>
      <c r="AI445" s="40"/>
      <c r="AJ445" s="42"/>
      <c r="AK445" s="42"/>
      <c r="AL445" s="40"/>
      <c r="AM445" s="40"/>
      <c r="AN445" s="40"/>
      <c r="AO445" s="40"/>
      <c r="AP445" s="40"/>
      <c r="AQ445" s="40"/>
      <c r="AR445" s="39"/>
      <c r="AS445" s="39"/>
      <c r="AT445" s="40"/>
      <c r="AU445" s="40"/>
      <c r="AV445" s="23"/>
    </row>
    <row r="446" spans="1:48" ht="15.75" x14ac:dyDescent="0.25">
      <c r="A446" s="44"/>
      <c r="B446" s="23"/>
      <c r="C446" s="23"/>
      <c r="D446" s="39"/>
      <c r="E446" s="39"/>
      <c r="F446" s="40"/>
      <c r="G446" s="40"/>
      <c r="H446" s="41"/>
      <c r="I446" s="39"/>
      <c r="J446" s="40"/>
      <c r="K446" s="40"/>
      <c r="L446" s="41"/>
      <c r="M446" s="39"/>
      <c r="N446" s="40"/>
      <c r="O446" s="40"/>
      <c r="P446" s="39"/>
      <c r="Q446" s="39"/>
      <c r="R446" s="40"/>
      <c r="S446" s="40"/>
      <c r="T446" s="39"/>
      <c r="U446" s="39"/>
      <c r="V446" s="40"/>
      <c r="W446" s="40"/>
      <c r="X446" s="41"/>
      <c r="Y446" s="41"/>
      <c r="Z446" s="40"/>
      <c r="AA446" s="40"/>
      <c r="AB446" s="41"/>
      <c r="AC446" s="41"/>
      <c r="AD446" s="40"/>
      <c r="AE446" s="40"/>
      <c r="AF446" s="42"/>
      <c r="AG446" s="42"/>
      <c r="AH446" s="40"/>
      <c r="AI446" s="40"/>
      <c r="AJ446" s="42"/>
      <c r="AK446" s="42"/>
      <c r="AL446" s="40"/>
      <c r="AM446" s="40"/>
      <c r="AN446" s="40"/>
      <c r="AO446" s="40"/>
      <c r="AP446" s="40"/>
      <c r="AQ446" s="40"/>
      <c r="AR446" s="39"/>
      <c r="AS446" s="39"/>
      <c r="AT446" s="40"/>
      <c r="AU446" s="40"/>
      <c r="AV446" s="23"/>
    </row>
    <row r="447" spans="1:48" ht="15.75" x14ac:dyDescent="0.25">
      <c r="A447" s="44"/>
      <c r="B447" s="23"/>
      <c r="C447" s="23"/>
      <c r="D447" s="39"/>
      <c r="E447" s="39"/>
      <c r="F447" s="40"/>
      <c r="G447" s="40"/>
      <c r="H447" s="41"/>
      <c r="I447" s="39"/>
      <c r="J447" s="40"/>
      <c r="K447" s="40"/>
      <c r="L447" s="41"/>
      <c r="M447" s="39"/>
      <c r="N447" s="40"/>
      <c r="O447" s="40"/>
      <c r="P447" s="39"/>
      <c r="Q447" s="39"/>
      <c r="R447" s="40"/>
      <c r="S447" s="40"/>
      <c r="T447" s="39"/>
      <c r="U447" s="39"/>
      <c r="V447" s="40"/>
      <c r="W447" s="40"/>
      <c r="X447" s="41"/>
      <c r="Y447" s="41"/>
      <c r="Z447" s="40"/>
      <c r="AA447" s="40"/>
      <c r="AB447" s="41"/>
      <c r="AC447" s="41"/>
      <c r="AD447" s="40"/>
      <c r="AE447" s="40"/>
      <c r="AF447" s="42"/>
      <c r="AG447" s="42"/>
      <c r="AH447" s="40"/>
      <c r="AI447" s="40"/>
      <c r="AJ447" s="42"/>
      <c r="AK447" s="42"/>
      <c r="AL447" s="40"/>
      <c r="AM447" s="40"/>
      <c r="AN447" s="40"/>
      <c r="AO447" s="40"/>
      <c r="AP447" s="40"/>
      <c r="AQ447" s="40"/>
      <c r="AR447" s="39"/>
      <c r="AS447" s="39"/>
      <c r="AT447" s="40"/>
      <c r="AU447" s="40"/>
      <c r="AV447" s="23"/>
    </row>
    <row r="448" spans="1:48" ht="15.75" x14ac:dyDescent="0.25">
      <c r="A448" s="44"/>
      <c r="B448" s="23"/>
      <c r="C448" s="23"/>
      <c r="D448" s="39"/>
      <c r="E448" s="39"/>
      <c r="F448" s="40"/>
      <c r="G448" s="40"/>
      <c r="H448" s="41"/>
      <c r="I448" s="39"/>
      <c r="J448" s="40"/>
      <c r="K448" s="40"/>
      <c r="L448" s="41"/>
      <c r="M448" s="39"/>
      <c r="N448" s="40"/>
      <c r="O448" s="40"/>
      <c r="P448" s="39"/>
      <c r="Q448" s="39"/>
      <c r="R448" s="40"/>
      <c r="S448" s="40"/>
      <c r="T448" s="39"/>
      <c r="U448" s="39"/>
      <c r="V448" s="40"/>
      <c r="W448" s="40"/>
      <c r="X448" s="41"/>
      <c r="Y448" s="41"/>
      <c r="Z448" s="40"/>
      <c r="AA448" s="40"/>
      <c r="AB448" s="41"/>
      <c r="AC448" s="41"/>
      <c r="AD448" s="40"/>
      <c r="AE448" s="40"/>
      <c r="AF448" s="42"/>
      <c r="AG448" s="42"/>
      <c r="AH448" s="40"/>
      <c r="AI448" s="40"/>
      <c r="AJ448" s="42"/>
      <c r="AK448" s="42"/>
      <c r="AL448" s="40"/>
      <c r="AM448" s="40"/>
      <c r="AN448" s="40"/>
      <c r="AO448" s="40"/>
      <c r="AP448" s="40"/>
      <c r="AQ448" s="40"/>
      <c r="AR448" s="39"/>
      <c r="AS448" s="39"/>
      <c r="AT448" s="40"/>
      <c r="AU448" s="40"/>
      <c r="AV448" s="23"/>
    </row>
    <row r="449" spans="1:48" ht="15.75" x14ac:dyDescent="0.25">
      <c r="A449" s="44"/>
      <c r="B449" s="23"/>
      <c r="C449" s="23"/>
      <c r="D449" s="39"/>
      <c r="E449" s="39"/>
      <c r="F449" s="40"/>
      <c r="G449" s="40"/>
      <c r="H449" s="41"/>
      <c r="I449" s="39"/>
      <c r="J449" s="40"/>
      <c r="K449" s="40"/>
      <c r="L449" s="41"/>
      <c r="M449" s="39"/>
      <c r="N449" s="40"/>
      <c r="O449" s="40"/>
      <c r="P449" s="39"/>
      <c r="Q449" s="39"/>
      <c r="R449" s="40"/>
      <c r="S449" s="40"/>
      <c r="T449" s="39"/>
      <c r="U449" s="39"/>
      <c r="V449" s="40"/>
      <c r="W449" s="40"/>
      <c r="X449" s="41"/>
      <c r="Y449" s="41"/>
      <c r="Z449" s="40"/>
      <c r="AA449" s="40"/>
      <c r="AB449" s="41"/>
      <c r="AC449" s="41"/>
      <c r="AD449" s="40"/>
      <c r="AE449" s="40"/>
      <c r="AF449" s="42"/>
      <c r="AG449" s="42"/>
      <c r="AH449" s="40"/>
      <c r="AI449" s="40"/>
      <c r="AJ449" s="42"/>
      <c r="AK449" s="42"/>
      <c r="AL449" s="40"/>
      <c r="AM449" s="40"/>
      <c r="AN449" s="40"/>
      <c r="AO449" s="40"/>
      <c r="AP449" s="40"/>
      <c r="AQ449" s="40"/>
      <c r="AR449" s="39"/>
      <c r="AS449" s="39"/>
      <c r="AT449" s="40"/>
      <c r="AU449" s="40"/>
      <c r="AV449" s="23"/>
    </row>
    <row r="450" spans="1:48" ht="15.75" x14ac:dyDescent="0.25">
      <c r="A450" s="44"/>
      <c r="B450" s="23"/>
      <c r="C450" s="23"/>
      <c r="D450" s="39"/>
      <c r="E450" s="39"/>
      <c r="F450" s="40"/>
      <c r="G450" s="40"/>
      <c r="H450" s="41"/>
      <c r="I450" s="39"/>
      <c r="J450" s="40"/>
      <c r="K450" s="40"/>
      <c r="L450" s="41"/>
      <c r="M450" s="39"/>
      <c r="N450" s="40"/>
      <c r="O450" s="40"/>
      <c r="P450" s="39"/>
      <c r="Q450" s="39"/>
      <c r="R450" s="40"/>
      <c r="S450" s="40"/>
      <c r="T450" s="39"/>
      <c r="U450" s="39"/>
      <c r="V450" s="40"/>
      <c r="W450" s="40"/>
      <c r="X450" s="41"/>
      <c r="Y450" s="41"/>
      <c r="Z450" s="40"/>
      <c r="AA450" s="40"/>
      <c r="AB450" s="41"/>
      <c r="AC450" s="41"/>
      <c r="AD450" s="40"/>
      <c r="AE450" s="40"/>
      <c r="AF450" s="42"/>
      <c r="AG450" s="42"/>
      <c r="AH450" s="40"/>
      <c r="AI450" s="40"/>
      <c r="AJ450" s="42"/>
      <c r="AK450" s="42"/>
      <c r="AL450" s="40"/>
      <c r="AM450" s="40"/>
      <c r="AN450" s="40"/>
      <c r="AO450" s="40"/>
      <c r="AP450" s="40"/>
      <c r="AQ450" s="40"/>
      <c r="AR450" s="39"/>
      <c r="AS450" s="39"/>
      <c r="AT450" s="40"/>
      <c r="AU450" s="40"/>
      <c r="AV450" s="23"/>
    </row>
    <row r="451" spans="1:48" ht="15.75" x14ac:dyDescent="0.25">
      <c r="A451" s="44"/>
      <c r="B451" s="23"/>
      <c r="C451" s="23"/>
      <c r="D451" s="39"/>
      <c r="E451" s="39"/>
      <c r="F451" s="40"/>
      <c r="G451" s="40"/>
      <c r="H451" s="41"/>
      <c r="I451" s="39"/>
      <c r="J451" s="40"/>
      <c r="K451" s="40"/>
      <c r="L451" s="41"/>
      <c r="M451" s="39"/>
      <c r="N451" s="40"/>
      <c r="O451" s="40"/>
      <c r="P451" s="39"/>
      <c r="Q451" s="39"/>
      <c r="R451" s="40"/>
      <c r="S451" s="40"/>
      <c r="T451" s="39"/>
      <c r="U451" s="39"/>
      <c r="V451" s="40"/>
      <c r="W451" s="40"/>
      <c r="X451" s="41"/>
      <c r="Y451" s="41"/>
      <c r="Z451" s="40"/>
      <c r="AA451" s="40"/>
      <c r="AB451" s="41"/>
      <c r="AC451" s="41"/>
      <c r="AD451" s="40"/>
      <c r="AE451" s="40"/>
      <c r="AF451" s="42"/>
      <c r="AG451" s="42"/>
      <c r="AH451" s="40"/>
      <c r="AI451" s="40"/>
      <c r="AJ451" s="42"/>
      <c r="AK451" s="42"/>
      <c r="AL451" s="40"/>
      <c r="AM451" s="40"/>
      <c r="AN451" s="40"/>
      <c r="AO451" s="40"/>
      <c r="AP451" s="40"/>
      <c r="AQ451" s="40"/>
      <c r="AR451" s="39"/>
      <c r="AS451" s="39"/>
      <c r="AT451" s="40"/>
      <c r="AU451" s="40"/>
      <c r="AV451" s="23"/>
    </row>
    <row r="452" spans="1:48" ht="15.75" x14ac:dyDescent="0.25">
      <c r="A452" s="44"/>
      <c r="B452" s="23"/>
      <c r="C452" s="23"/>
      <c r="D452" s="39"/>
      <c r="E452" s="39"/>
      <c r="F452" s="40"/>
      <c r="G452" s="40"/>
      <c r="H452" s="41"/>
      <c r="I452" s="39"/>
      <c r="J452" s="40"/>
      <c r="K452" s="40"/>
      <c r="L452" s="41"/>
      <c r="M452" s="39"/>
      <c r="N452" s="40"/>
      <c r="O452" s="40"/>
      <c r="P452" s="39"/>
      <c r="Q452" s="39"/>
      <c r="R452" s="40"/>
      <c r="S452" s="40"/>
      <c r="T452" s="39"/>
      <c r="U452" s="39"/>
      <c r="V452" s="40"/>
      <c r="W452" s="40"/>
      <c r="X452" s="41"/>
      <c r="Y452" s="41"/>
      <c r="Z452" s="40"/>
      <c r="AA452" s="40"/>
      <c r="AB452" s="41"/>
      <c r="AC452" s="41"/>
      <c r="AD452" s="40"/>
      <c r="AE452" s="40"/>
      <c r="AF452" s="42"/>
      <c r="AG452" s="42"/>
      <c r="AH452" s="40"/>
      <c r="AI452" s="40"/>
      <c r="AJ452" s="42"/>
      <c r="AK452" s="42"/>
      <c r="AL452" s="40"/>
      <c r="AM452" s="40"/>
      <c r="AN452" s="40"/>
      <c r="AO452" s="40"/>
      <c r="AP452" s="40"/>
      <c r="AQ452" s="40"/>
      <c r="AR452" s="39"/>
      <c r="AS452" s="39"/>
      <c r="AT452" s="40"/>
      <c r="AU452" s="40"/>
      <c r="AV452" s="23"/>
    </row>
    <row r="453" spans="1:48" ht="15.75" x14ac:dyDescent="0.25">
      <c r="A453" s="44"/>
      <c r="B453" s="23"/>
      <c r="C453" s="23"/>
      <c r="D453" s="39"/>
      <c r="E453" s="39"/>
      <c r="F453" s="40"/>
      <c r="G453" s="40"/>
      <c r="H453" s="41"/>
      <c r="I453" s="39"/>
      <c r="J453" s="40"/>
      <c r="K453" s="40"/>
      <c r="L453" s="41"/>
      <c r="M453" s="39"/>
      <c r="N453" s="40"/>
      <c r="O453" s="40"/>
      <c r="P453" s="39"/>
      <c r="Q453" s="39"/>
      <c r="R453" s="40"/>
      <c r="S453" s="40"/>
      <c r="T453" s="39"/>
      <c r="U453" s="39"/>
      <c r="V453" s="40"/>
      <c r="W453" s="40"/>
      <c r="X453" s="41"/>
      <c r="Y453" s="41"/>
      <c r="Z453" s="40"/>
      <c r="AA453" s="40"/>
      <c r="AB453" s="41"/>
      <c r="AC453" s="41"/>
      <c r="AD453" s="40"/>
      <c r="AE453" s="40"/>
      <c r="AF453" s="42"/>
      <c r="AG453" s="42"/>
      <c r="AH453" s="40"/>
      <c r="AI453" s="40"/>
      <c r="AJ453" s="42"/>
      <c r="AK453" s="42"/>
      <c r="AL453" s="40"/>
      <c r="AM453" s="40"/>
      <c r="AN453" s="40"/>
      <c r="AO453" s="40"/>
      <c r="AP453" s="40"/>
      <c r="AQ453" s="40"/>
      <c r="AR453" s="39"/>
      <c r="AS453" s="39"/>
      <c r="AT453" s="40"/>
      <c r="AU453" s="40"/>
      <c r="AV453" s="23"/>
    </row>
    <row r="454" spans="1:48" ht="15.75" x14ac:dyDescent="0.25">
      <c r="A454" s="44"/>
      <c r="B454" s="23"/>
      <c r="C454" s="23"/>
      <c r="D454" s="39"/>
      <c r="E454" s="39"/>
      <c r="F454" s="40"/>
      <c r="G454" s="40"/>
      <c r="H454" s="41"/>
      <c r="I454" s="39"/>
      <c r="J454" s="40"/>
      <c r="K454" s="40"/>
      <c r="L454" s="41"/>
      <c r="M454" s="39"/>
      <c r="N454" s="40"/>
      <c r="O454" s="40"/>
      <c r="P454" s="39"/>
      <c r="Q454" s="39"/>
      <c r="R454" s="40"/>
      <c r="S454" s="40"/>
      <c r="T454" s="39"/>
      <c r="U454" s="39"/>
      <c r="V454" s="40"/>
      <c r="W454" s="40"/>
      <c r="X454" s="41"/>
      <c r="Y454" s="41"/>
      <c r="Z454" s="40"/>
      <c r="AA454" s="40"/>
      <c r="AB454" s="41"/>
      <c r="AC454" s="41"/>
      <c r="AD454" s="40"/>
      <c r="AE454" s="40"/>
      <c r="AF454" s="42"/>
      <c r="AG454" s="42"/>
      <c r="AH454" s="40"/>
      <c r="AI454" s="40"/>
      <c r="AJ454" s="42"/>
      <c r="AK454" s="42"/>
      <c r="AL454" s="40"/>
      <c r="AM454" s="40"/>
      <c r="AN454" s="40"/>
      <c r="AO454" s="40"/>
      <c r="AP454" s="40"/>
      <c r="AQ454" s="40"/>
      <c r="AR454" s="39"/>
      <c r="AS454" s="39"/>
      <c r="AT454" s="40"/>
      <c r="AU454" s="40"/>
      <c r="AV454" s="23"/>
    </row>
    <row r="455" spans="1:48" ht="15.75" x14ac:dyDescent="0.25">
      <c r="A455" s="44"/>
      <c r="B455" s="23"/>
      <c r="C455" s="23"/>
      <c r="D455" s="39"/>
      <c r="E455" s="39"/>
      <c r="F455" s="40"/>
      <c r="G455" s="40"/>
      <c r="H455" s="41"/>
      <c r="I455" s="39"/>
      <c r="J455" s="40"/>
      <c r="K455" s="40"/>
      <c r="L455" s="41"/>
      <c r="M455" s="39"/>
      <c r="N455" s="40"/>
      <c r="O455" s="40"/>
      <c r="P455" s="39"/>
      <c r="Q455" s="39"/>
      <c r="R455" s="40"/>
      <c r="S455" s="40"/>
      <c r="T455" s="39"/>
      <c r="U455" s="39"/>
      <c r="V455" s="40"/>
      <c r="W455" s="40"/>
      <c r="X455" s="41"/>
      <c r="Y455" s="41"/>
      <c r="Z455" s="40"/>
      <c r="AA455" s="40"/>
      <c r="AB455" s="41"/>
      <c r="AC455" s="41"/>
      <c r="AD455" s="40"/>
      <c r="AE455" s="40"/>
      <c r="AF455" s="42"/>
      <c r="AG455" s="42"/>
      <c r="AH455" s="40"/>
      <c r="AI455" s="40"/>
      <c r="AJ455" s="42"/>
      <c r="AK455" s="42"/>
      <c r="AL455" s="40"/>
      <c r="AM455" s="40"/>
      <c r="AN455" s="40"/>
      <c r="AO455" s="40"/>
      <c r="AP455" s="40"/>
      <c r="AQ455" s="40"/>
      <c r="AR455" s="39"/>
      <c r="AS455" s="39"/>
      <c r="AT455" s="40"/>
      <c r="AU455" s="40"/>
      <c r="AV455" s="23"/>
    </row>
    <row r="456" spans="1:48" ht="15.75" x14ac:dyDescent="0.25">
      <c r="A456" s="44"/>
      <c r="B456" s="23"/>
      <c r="C456" s="23"/>
      <c r="D456" s="39"/>
      <c r="E456" s="39"/>
      <c r="F456" s="40"/>
      <c r="G456" s="40"/>
      <c r="H456" s="41"/>
      <c r="I456" s="39"/>
      <c r="J456" s="40"/>
      <c r="K456" s="40"/>
      <c r="L456" s="41"/>
      <c r="M456" s="39"/>
      <c r="N456" s="40"/>
      <c r="O456" s="40"/>
      <c r="P456" s="39"/>
      <c r="Q456" s="39"/>
      <c r="R456" s="40"/>
      <c r="S456" s="40"/>
      <c r="T456" s="39"/>
      <c r="U456" s="39"/>
      <c r="V456" s="40"/>
      <c r="W456" s="40"/>
      <c r="X456" s="41"/>
      <c r="Y456" s="41"/>
      <c r="Z456" s="40"/>
      <c r="AA456" s="40"/>
      <c r="AB456" s="41"/>
      <c r="AC456" s="41"/>
      <c r="AD456" s="40"/>
      <c r="AE456" s="40"/>
      <c r="AF456" s="42"/>
      <c r="AG456" s="42"/>
      <c r="AH456" s="40"/>
      <c r="AI456" s="40"/>
      <c r="AJ456" s="42"/>
      <c r="AK456" s="42"/>
      <c r="AL456" s="40"/>
      <c r="AM456" s="40"/>
      <c r="AN456" s="40"/>
      <c r="AO456" s="40"/>
      <c r="AP456" s="40"/>
      <c r="AQ456" s="40"/>
      <c r="AR456" s="39"/>
      <c r="AS456" s="39"/>
      <c r="AT456" s="40"/>
      <c r="AU456" s="40"/>
      <c r="AV456" s="23"/>
    </row>
    <row r="457" spans="1:48" ht="15.75" x14ac:dyDescent="0.25">
      <c r="A457" s="44"/>
      <c r="B457" s="23"/>
      <c r="C457" s="23"/>
      <c r="D457" s="39"/>
      <c r="E457" s="39"/>
      <c r="F457" s="40"/>
      <c r="G457" s="40"/>
      <c r="H457" s="41"/>
      <c r="I457" s="39"/>
      <c r="J457" s="40"/>
      <c r="K457" s="40"/>
      <c r="L457" s="41"/>
      <c r="M457" s="39"/>
      <c r="N457" s="40"/>
      <c r="O457" s="40"/>
      <c r="P457" s="39"/>
      <c r="Q457" s="39"/>
      <c r="R457" s="40"/>
      <c r="S457" s="40"/>
      <c r="T457" s="39"/>
      <c r="U457" s="39"/>
      <c r="V457" s="40"/>
      <c r="W457" s="40"/>
      <c r="X457" s="41"/>
      <c r="Y457" s="41"/>
      <c r="Z457" s="40"/>
      <c r="AA457" s="40"/>
      <c r="AB457" s="41"/>
      <c r="AC457" s="41"/>
      <c r="AD457" s="40"/>
      <c r="AE457" s="40"/>
      <c r="AF457" s="42"/>
      <c r="AG457" s="42"/>
      <c r="AH457" s="40"/>
      <c r="AI457" s="40"/>
      <c r="AJ457" s="42"/>
      <c r="AK457" s="42"/>
      <c r="AL457" s="40"/>
      <c r="AM457" s="40"/>
      <c r="AN457" s="40"/>
      <c r="AO457" s="40"/>
      <c r="AP457" s="40"/>
      <c r="AQ457" s="40"/>
      <c r="AR457" s="39"/>
      <c r="AS457" s="39"/>
      <c r="AT457" s="40"/>
      <c r="AU457" s="40"/>
      <c r="AV457" s="23"/>
    </row>
    <row r="458" spans="1:48" ht="15.75" x14ac:dyDescent="0.25">
      <c r="A458" s="44"/>
      <c r="B458" s="23"/>
      <c r="C458" s="23"/>
      <c r="D458" s="39"/>
      <c r="E458" s="39"/>
      <c r="F458" s="40"/>
      <c r="G458" s="40"/>
      <c r="H458" s="41"/>
      <c r="I458" s="39"/>
      <c r="J458" s="40"/>
      <c r="K458" s="40"/>
      <c r="L458" s="41"/>
      <c r="M458" s="39"/>
      <c r="N458" s="40"/>
      <c r="O458" s="40"/>
      <c r="P458" s="39"/>
      <c r="Q458" s="39"/>
      <c r="R458" s="40"/>
      <c r="S458" s="40"/>
      <c r="T458" s="39"/>
      <c r="U458" s="39"/>
      <c r="V458" s="40"/>
      <c r="W458" s="40"/>
      <c r="X458" s="41"/>
      <c r="Y458" s="41"/>
      <c r="Z458" s="40"/>
      <c r="AA458" s="40"/>
      <c r="AB458" s="41"/>
      <c r="AC458" s="41"/>
      <c r="AD458" s="40"/>
      <c r="AE458" s="40"/>
      <c r="AF458" s="42"/>
      <c r="AG458" s="42"/>
      <c r="AH458" s="40"/>
      <c r="AI458" s="40"/>
      <c r="AJ458" s="42"/>
      <c r="AK458" s="42"/>
      <c r="AL458" s="40"/>
      <c r="AM458" s="40"/>
      <c r="AN458" s="40"/>
      <c r="AO458" s="40"/>
      <c r="AP458" s="40"/>
      <c r="AQ458" s="40"/>
      <c r="AR458" s="39"/>
      <c r="AS458" s="39"/>
      <c r="AT458" s="40"/>
      <c r="AU458" s="40"/>
      <c r="AV458" s="23"/>
    </row>
    <row r="459" spans="1:48" ht="15.75" x14ac:dyDescent="0.25">
      <c r="A459" s="44"/>
      <c r="B459" s="23"/>
      <c r="C459" s="23"/>
      <c r="D459" s="39"/>
      <c r="E459" s="39"/>
      <c r="F459" s="40"/>
      <c r="G459" s="40"/>
      <c r="H459" s="41"/>
      <c r="I459" s="39"/>
      <c r="J459" s="40"/>
      <c r="K459" s="40"/>
      <c r="L459" s="41"/>
      <c r="M459" s="39"/>
      <c r="N459" s="40"/>
      <c r="O459" s="40"/>
      <c r="P459" s="39"/>
      <c r="Q459" s="39"/>
      <c r="R459" s="40"/>
      <c r="S459" s="40"/>
      <c r="T459" s="39"/>
      <c r="U459" s="39"/>
      <c r="V459" s="40"/>
      <c r="W459" s="40"/>
      <c r="X459" s="41"/>
      <c r="Y459" s="41"/>
      <c r="Z459" s="40"/>
      <c r="AA459" s="40"/>
      <c r="AB459" s="41"/>
      <c r="AC459" s="41"/>
      <c r="AD459" s="40"/>
      <c r="AE459" s="40"/>
      <c r="AF459" s="42"/>
      <c r="AG459" s="42"/>
      <c r="AH459" s="40"/>
      <c r="AI459" s="40"/>
      <c r="AJ459" s="42"/>
      <c r="AK459" s="42"/>
      <c r="AL459" s="40"/>
      <c r="AM459" s="40"/>
      <c r="AN459" s="40"/>
      <c r="AO459" s="40"/>
      <c r="AP459" s="40"/>
      <c r="AQ459" s="40"/>
      <c r="AR459" s="39"/>
      <c r="AS459" s="39"/>
      <c r="AT459" s="40"/>
      <c r="AU459" s="40"/>
      <c r="AV459" s="23"/>
    </row>
    <row r="460" spans="1:48" ht="15.75" x14ac:dyDescent="0.25">
      <c r="A460" s="44"/>
      <c r="B460" s="23"/>
      <c r="C460" s="23"/>
      <c r="D460" s="39"/>
      <c r="E460" s="39"/>
      <c r="F460" s="40"/>
      <c r="G460" s="40"/>
      <c r="H460" s="41"/>
      <c r="I460" s="39"/>
      <c r="J460" s="40"/>
      <c r="K460" s="40"/>
      <c r="L460" s="41"/>
      <c r="M460" s="39"/>
      <c r="N460" s="40"/>
      <c r="O460" s="40"/>
      <c r="P460" s="39"/>
      <c r="Q460" s="39"/>
      <c r="R460" s="40"/>
      <c r="S460" s="40"/>
      <c r="T460" s="39"/>
      <c r="U460" s="39"/>
      <c r="V460" s="40"/>
      <c r="W460" s="40"/>
      <c r="X460" s="41"/>
      <c r="Y460" s="41"/>
      <c r="Z460" s="40"/>
      <c r="AA460" s="40"/>
      <c r="AB460" s="41"/>
      <c r="AC460" s="41"/>
      <c r="AD460" s="40"/>
      <c r="AE460" s="40"/>
      <c r="AF460" s="42"/>
      <c r="AG460" s="42"/>
      <c r="AH460" s="40"/>
      <c r="AI460" s="40"/>
      <c r="AJ460" s="42"/>
      <c r="AK460" s="42"/>
      <c r="AL460" s="40"/>
      <c r="AM460" s="40"/>
      <c r="AN460" s="40"/>
      <c r="AO460" s="40"/>
      <c r="AP460" s="40"/>
      <c r="AQ460" s="40"/>
      <c r="AR460" s="39"/>
      <c r="AS460" s="39"/>
      <c r="AT460" s="40"/>
      <c r="AU460" s="40"/>
      <c r="AV460" s="23"/>
    </row>
    <row r="461" spans="1:48" ht="15.75" x14ac:dyDescent="0.25">
      <c r="A461" s="44"/>
      <c r="B461" s="23"/>
      <c r="C461" s="23"/>
      <c r="D461" s="39"/>
      <c r="E461" s="39"/>
      <c r="F461" s="40"/>
      <c r="G461" s="40"/>
      <c r="H461" s="41"/>
      <c r="I461" s="39"/>
      <c r="J461" s="40"/>
      <c r="K461" s="40"/>
      <c r="L461" s="41"/>
      <c r="M461" s="39"/>
      <c r="N461" s="40"/>
      <c r="O461" s="40"/>
      <c r="P461" s="39"/>
      <c r="Q461" s="39"/>
      <c r="R461" s="40"/>
      <c r="S461" s="40"/>
      <c r="T461" s="39"/>
      <c r="U461" s="39"/>
      <c r="V461" s="40"/>
      <c r="W461" s="40"/>
      <c r="X461" s="41"/>
      <c r="Y461" s="41"/>
      <c r="Z461" s="40"/>
      <c r="AA461" s="40"/>
      <c r="AB461" s="41"/>
      <c r="AC461" s="41"/>
      <c r="AD461" s="40"/>
      <c r="AE461" s="40"/>
      <c r="AF461" s="42"/>
      <c r="AG461" s="42"/>
      <c r="AH461" s="40"/>
      <c r="AI461" s="40"/>
      <c r="AJ461" s="42"/>
      <c r="AK461" s="42"/>
      <c r="AL461" s="40"/>
      <c r="AM461" s="40"/>
      <c r="AN461" s="40"/>
      <c r="AO461" s="40"/>
      <c r="AP461" s="40"/>
      <c r="AQ461" s="40"/>
      <c r="AR461" s="39"/>
      <c r="AS461" s="39"/>
      <c r="AT461" s="40"/>
      <c r="AU461" s="40"/>
      <c r="AV461" s="23"/>
    </row>
    <row r="462" spans="1:48" ht="15.75" x14ac:dyDescent="0.25">
      <c r="A462" s="44"/>
      <c r="B462" s="23"/>
      <c r="C462" s="23"/>
      <c r="D462" s="39"/>
      <c r="E462" s="39"/>
      <c r="F462" s="40"/>
      <c r="G462" s="40"/>
      <c r="H462" s="41"/>
      <c r="I462" s="39"/>
      <c r="J462" s="40"/>
      <c r="K462" s="40"/>
      <c r="L462" s="41"/>
      <c r="M462" s="39"/>
      <c r="N462" s="40"/>
      <c r="O462" s="40"/>
      <c r="P462" s="39"/>
      <c r="Q462" s="39"/>
      <c r="R462" s="40"/>
      <c r="S462" s="40"/>
      <c r="T462" s="39"/>
      <c r="U462" s="39"/>
      <c r="V462" s="40"/>
      <c r="W462" s="40"/>
      <c r="X462" s="41"/>
      <c r="Y462" s="41"/>
      <c r="Z462" s="40"/>
      <c r="AA462" s="40"/>
      <c r="AB462" s="41"/>
      <c r="AC462" s="41"/>
      <c r="AD462" s="40"/>
      <c r="AE462" s="40"/>
      <c r="AF462" s="42"/>
      <c r="AG462" s="42"/>
      <c r="AH462" s="40"/>
      <c r="AI462" s="40"/>
      <c r="AJ462" s="42"/>
      <c r="AK462" s="42"/>
      <c r="AL462" s="40"/>
      <c r="AM462" s="40"/>
      <c r="AN462" s="40"/>
      <c r="AO462" s="40"/>
      <c r="AP462" s="40"/>
      <c r="AQ462" s="40"/>
      <c r="AR462" s="39"/>
      <c r="AS462" s="39"/>
      <c r="AT462" s="40"/>
      <c r="AU462" s="40"/>
      <c r="AV462" s="23"/>
    </row>
    <row r="463" spans="1:48" ht="15.75" x14ac:dyDescent="0.25">
      <c r="A463" s="44"/>
      <c r="B463" s="23"/>
      <c r="C463" s="23"/>
      <c r="D463" s="39"/>
      <c r="E463" s="39"/>
      <c r="F463" s="40"/>
      <c r="G463" s="40"/>
      <c r="H463" s="41"/>
      <c r="I463" s="39"/>
      <c r="J463" s="40"/>
      <c r="K463" s="40"/>
      <c r="L463" s="41"/>
      <c r="M463" s="39"/>
      <c r="N463" s="40"/>
      <c r="O463" s="40"/>
      <c r="P463" s="39"/>
      <c r="Q463" s="39"/>
      <c r="R463" s="40"/>
      <c r="S463" s="40"/>
      <c r="T463" s="39"/>
      <c r="U463" s="39"/>
      <c r="V463" s="40"/>
      <c r="W463" s="40"/>
      <c r="X463" s="41"/>
      <c r="Y463" s="41"/>
      <c r="Z463" s="40"/>
      <c r="AA463" s="40"/>
      <c r="AB463" s="41"/>
      <c r="AC463" s="41"/>
      <c r="AD463" s="40"/>
      <c r="AE463" s="40"/>
      <c r="AF463" s="42"/>
      <c r="AG463" s="42"/>
      <c r="AH463" s="40"/>
      <c r="AI463" s="40"/>
      <c r="AJ463" s="42"/>
      <c r="AK463" s="42"/>
      <c r="AL463" s="40"/>
      <c r="AM463" s="40"/>
      <c r="AN463" s="40"/>
      <c r="AO463" s="40"/>
      <c r="AP463" s="40"/>
      <c r="AQ463" s="40"/>
      <c r="AR463" s="39"/>
      <c r="AS463" s="39"/>
      <c r="AT463" s="40"/>
      <c r="AU463" s="40"/>
      <c r="AV463" s="23"/>
    </row>
    <row r="464" spans="1:48" ht="15.75" x14ac:dyDescent="0.25">
      <c r="A464" s="44"/>
      <c r="B464" s="23"/>
      <c r="C464" s="23"/>
      <c r="D464" s="39"/>
      <c r="E464" s="39"/>
      <c r="F464" s="40"/>
      <c r="G464" s="40"/>
      <c r="H464" s="41"/>
      <c r="I464" s="39"/>
      <c r="J464" s="40"/>
      <c r="K464" s="40"/>
      <c r="L464" s="41"/>
      <c r="M464" s="39"/>
      <c r="N464" s="40"/>
      <c r="O464" s="40"/>
      <c r="P464" s="39"/>
      <c r="Q464" s="39"/>
      <c r="R464" s="40"/>
      <c r="S464" s="40"/>
      <c r="T464" s="39"/>
      <c r="U464" s="39"/>
      <c r="V464" s="40"/>
      <c r="W464" s="40"/>
      <c r="X464" s="41"/>
      <c r="Y464" s="41"/>
      <c r="Z464" s="40"/>
      <c r="AA464" s="40"/>
      <c r="AB464" s="41"/>
      <c r="AC464" s="41"/>
      <c r="AD464" s="40"/>
      <c r="AE464" s="40"/>
      <c r="AF464" s="42"/>
      <c r="AG464" s="42"/>
      <c r="AH464" s="40"/>
      <c r="AI464" s="40"/>
      <c r="AJ464" s="42"/>
      <c r="AK464" s="42"/>
      <c r="AL464" s="40"/>
      <c r="AM464" s="40"/>
      <c r="AN464" s="40"/>
      <c r="AO464" s="40"/>
      <c r="AP464" s="40"/>
      <c r="AQ464" s="40"/>
      <c r="AR464" s="39"/>
      <c r="AS464" s="39"/>
      <c r="AT464" s="40"/>
      <c r="AU464" s="40"/>
      <c r="AV464" s="23"/>
    </row>
    <row r="465" spans="1:48" ht="15.75" x14ac:dyDescent="0.25">
      <c r="A465" s="44"/>
      <c r="B465" s="23"/>
      <c r="C465" s="23"/>
      <c r="D465" s="39"/>
      <c r="E465" s="39"/>
      <c r="F465" s="40"/>
      <c r="G465" s="40"/>
      <c r="H465" s="41"/>
      <c r="I465" s="39"/>
      <c r="J465" s="40"/>
      <c r="K465" s="40"/>
      <c r="L465" s="41"/>
      <c r="M465" s="39"/>
      <c r="N465" s="40"/>
      <c r="O465" s="40"/>
      <c r="P465" s="39"/>
      <c r="Q465" s="39"/>
      <c r="R465" s="40"/>
      <c r="S465" s="40"/>
      <c r="T465" s="39"/>
      <c r="U465" s="39"/>
      <c r="V465" s="40"/>
      <c r="W465" s="40"/>
      <c r="X465" s="41"/>
      <c r="Y465" s="41"/>
      <c r="Z465" s="40"/>
      <c r="AA465" s="40"/>
      <c r="AB465" s="41"/>
      <c r="AC465" s="41"/>
      <c r="AD465" s="40"/>
      <c r="AE465" s="40"/>
      <c r="AF465" s="42"/>
      <c r="AG465" s="42"/>
      <c r="AH465" s="40"/>
      <c r="AI465" s="40"/>
      <c r="AJ465" s="42"/>
      <c r="AK465" s="42"/>
      <c r="AL465" s="40"/>
      <c r="AM465" s="40"/>
      <c r="AN465" s="40"/>
      <c r="AO465" s="40"/>
      <c r="AP465" s="40"/>
      <c r="AQ465" s="40"/>
      <c r="AR465" s="39"/>
      <c r="AS465" s="39"/>
      <c r="AT465" s="40"/>
      <c r="AU465" s="40"/>
      <c r="AV465" s="23"/>
    </row>
    <row r="466" spans="1:48" ht="15.75" x14ac:dyDescent="0.25">
      <c r="A466" s="44"/>
      <c r="B466" s="23"/>
      <c r="C466" s="23"/>
      <c r="D466" s="39"/>
      <c r="E466" s="39"/>
      <c r="F466" s="40"/>
      <c r="G466" s="40"/>
      <c r="H466" s="41"/>
      <c r="I466" s="39"/>
      <c r="J466" s="40"/>
      <c r="K466" s="40"/>
      <c r="L466" s="41"/>
      <c r="M466" s="39"/>
      <c r="N466" s="40"/>
      <c r="O466" s="40"/>
      <c r="P466" s="39"/>
      <c r="Q466" s="39"/>
      <c r="R466" s="40"/>
      <c r="S466" s="40"/>
      <c r="T466" s="39"/>
      <c r="U466" s="39"/>
      <c r="V466" s="40"/>
      <c r="W466" s="40"/>
      <c r="X466" s="41"/>
      <c r="Y466" s="41"/>
      <c r="Z466" s="40"/>
      <c r="AA466" s="40"/>
      <c r="AB466" s="41"/>
      <c r="AC466" s="41"/>
      <c r="AD466" s="40"/>
      <c r="AE466" s="40"/>
      <c r="AF466" s="42"/>
      <c r="AG466" s="42"/>
      <c r="AH466" s="40"/>
      <c r="AI466" s="40"/>
      <c r="AJ466" s="42"/>
      <c r="AK466" s="42"/>
      <c r="AL466" s="40"/>
      <c r="AM466" s="40"/>
      <c r="AN466" s="40"/>
      <c r="AO466" s="40"/>
      <c r="AP466" s="40"/>
      <c r="AQ466" s="40"/>
      <c r="AR466" s="39"/>
      <c r="AS466" s="39"/>
      <c r="AT466" s="40"/>
      <c r="AU466" s="40"/>
      <c r="AV466" s="23"/>
    </row>
    <row r="467" spans="1:48" ht="15.75" x14ac:dyDescent="0.25">
      <c r="A467" s="44"/>
      <c r="B467" s="23"/>
      <c r="C467" s="23"/>
      <c r="D467" s="39"/>
      <c r="E467" s="39"/>
      <c r="F467" s="40"/>
      <c r="G467" s="40"/>
      <c r="H467" s="41"/>
      <c r="I467" s="39"/>
      <c r="J467" s="40"/>
      <c r="K467" s="40"/>
      <c r="L467" s="41"/>
      <c r="M467" s="39"/>
      <c r="N467" s="40"/>
      <c r="O467" s="40"/>
      <c r="P467" s="39"/>
      <c r="Q467" s="39"/>
      <c r="R467" s="40"/>
      <c r="S467" s="40"/>
      <c r="T467" s="39"/>
      <c r="U467" s="39"/>
      <c r="V467" s="40"/>
      <c r="W467" s="40"/>
      <c r="X467" s="41"/>
      <c r="Y467" s="41"/>
      <c r="Z467" s="40"/>
      <c r="AA467" s="40"/>
      <c r="AB467" s="41"/>
      <c r="AC467" s="41"/>
      <c r="AD467" s="40"/>
      <c r="AE467" s="40"/>
      <c r="AF467" s="42"/>
      <c r="AG467" s="42"/>
      <c r="AH467" s="40"/>
      <c r="AI467" s="40"/>
      <c r="AJ467" s="42"/>
      <c r="AK467" s="42"/>
      <c r="AL467" s="40"/>
      <c r="AM467" s="40"/>
      <c r="AN467" s="40"/>
      <c r="AO467" s="40"/>
      <c r="AP467" s="40"/>
      <c r="AQ467" s="40"/>
      <c r="AR467" s="39"/>
      <c r="AS467" s="39"/>
      <c r="AT467" s="40"/>
      <c r="AU467" s="40"/>
      <c r="AV467" s="23"/>
    </row>
    <row r="468" spans="1:48" ht="15.75" x14ac:dyDescent="0.25">
      <c r="A468" s="44"/>
      <c r="B468" s="23"/>
      <c r="C468" s="23"/>
      <c r="D468" s="39"/>
      <c r="E468" s="39"/>
      <c r="F468" s="40"/>
      <c r="G468" s="40"/>
      <c r="H468" s="41"/>
      <c r="I468" s="39"/>
      <c r="J468" s="40"/>
      <c r="K468" s="40"/>
      <c r="L468" s="41"/>
      <c r="M468" s="39"/>
      <c r="N468" s="40"/>
      <c r="O468" s="40"/>
      <c r="P468" s="39"/>
      <c r="Q468" s="39"/>
      <c r="R468" s="40"/>
      <c r="S468" s="40"/>
      <c r="T468" s="39"/>
      <c r="U468" s="39"/>
      <c r="V468" s="40"/>
      <c r="W468" s="40"/>
      <c r="X468" s="41"/>
      <c r="Y468" s="41"/>
      <c r="Z468" s="40"/>
      <c r="AA468" s="40"/>
      <c r="AB468" s="41"/>
      <c r="AC468" s="41"/>
      <c r="AD468" s="40"/>
      <c r="AE468" s="40"/>
      <c r="AF468" s="42"/>
      <c r="AG468" s="42"/>
      <c r="AH468" s="40"/>
      <c r="AI468" s="40"/>
      <c r="AJ468" s="42"/>
      <c r="AK468" s="42"/>
      <c r="AL468" s="40"/>
      <c r="AM468" s="40"/>
      <c r="AN468" s="40"/>
      <c r="AO468" s="40"/>
      <c r="AP468" s="40"/>
      <c r="AQ468" s="40"/>
      <c r="AR468" s="39"/>
      <c r="AS468" s="39"/>
      <c r="AT468" s="40"/>
      <c r="AU468" s="40"/>
      <c r="AV468" s="23"/>
    </row>
    <row r="469" spans="1:48" ht="15.75" x14ac:dyDescent="0.25">
      <c r="A469" s="44"/>
      <c r="B469" s="23"/>
      <c r="C469" s="23"/>
      <c r="D469" s="39"/>
      <c r="E469" s="39"/>
      <c r="F469" s="40"/>
      <c r="G469" s="40"/>
      <c r="H469" s="41"/>
      <c r="I469" s="39"/>
      <c r="J469" s="40"/>
      <c r="K469" s="40"/>
      <c r="L469" s="41"/>
      <c r="M469" s="39"/>
      <c r="N469" s="40"/>
      <c r="O469" s="40"/>
      <c r="P469" s="39"/>
      <c r="Q469" s="39"/>
      <c r="R469" s="40"/>
      <c r="S469" s="40"/>
      <c r="T469" s="39"/>
      <c r="U469" s="39"/>
      <c r="V469" s="40"/>
      <c r="W469" s="40"/>
      <c r="X469" s="41"/>
      <c r="Y469" s="41"/>
      <c r="Z469" s="40"/>
      <c r="AA469" s="40"/>
      <c r="AB469" s="41"/>
      <c r="AC469" s="41"/>
      <c r="AD469" s="40"/>
      <c r="AE469" s="40"/>
      <c r="AF469" s="42"/>
      <c r="AG469" s="42"/>
      <c r="AH469" s="40"/>
      <c r="AI469" s="40"/>
      <c r="AJ469" s="42"/>
      <c r="AK469" s="42"/>
      <c r="AL469" s="40"/>
      <c r="AM469" s="40"/>
      <c r="AN469" s="40"/>
      <c r="AO469" s="40"/>
      <c r="AP469" s="40"/>
      <c r="AQ469" s="40"/>
      <c r="AR469" s="39"/>
      <c r="AS469" s="39"/>
      <c r="AT469" s="40"/>
      <c r="AU469" s="40"/>
      <c r="AV469" s="23"/>
    </row>
    <row r="470" spans="1:48" ht="15.75" x14ac:dyDescent="0.25">
      <c r="A470" s="44"/>
      <c r="B470" s="23"/>
      <c r="C470" s="23"/>
      <c r="D470" s="39"/>
      <c r="E470" s="39"/>
      <c r="F470" s="40"/>
      <c r="G470" s="40"/>
      <c r="H470" s="41"/>
      <c r="I470" s="39"/>
      <c r="J470" s="40"/>
      <c r="K470" s="40"/>
      <c r="L470" s="41"/>
      <c r="M470" s="39"/>
      <c r="N470" s="40"/>
      <c r="O470" s="40"/>
      <c r="P470" s="39"/>
      <c r="Q470" s="39"/>
      <c r="R470" s="40"/>
      <c r="S470" s="40"/>
      <c r="T470" s="39"/>
      <c r="U470" s="39"/>
      <c r="V470" s="40"/>
      <c r="W470" s="40"/>
      <c r="X470" s="41"/>
      <c r="Y470" s="41"/>
      <c r="Z470" s="40"/>
      <c r="AA470" s="40"/>
      <c r="AB470" s="41"/>
      <c r="AC470" s="41"/>
      <c r="AD470" s="40"/>
      <c r="AE470" s="40"/>
      <c r="AF470" s="42"/>
      <c r="AG470" s="42"/>
      <c r="AH470" s="40"/>
      <c r="AI470" s="40"/>
      <c r="AJ470" s="42"/>
      <c r="AK470" s="42"/>
      <c r="AL470" s="40"/>
      <c r="AM470" s="40"/>
      <c r="AN470" s="40"/>
      <c r="AO470" s="40"/>
      <c r="AP470" s="40"/>
      <c r="AQ470" s="40"/>
      <c r="AR470" s="39"/>
      <c r="AS470" s="39"/>
      <c r="AT470" s="40"/>
      <c r="AU470" s="40"/>
      <c r="AV470" s="23"/>
    </row>
    <row r="471" spans="1:48" ht="15.75" x14ac:dyDescent="0.25">
      <c r="A471" s="44"/>
      <c r="B471" s="23"/>
      <c r="C471" s="23"/>
      <c r="D471" s="39"/>
      <c r="E471" s="39"/>
      <c r="F471" s="40"/>
      <c r="G471" s="40"/>
      <c r="H471" s="41"/>
      <c r="I471" s="39"/>
      <c r="J471" s="40"/>
      <c r="K471" s="40"/>
      <c r="L471" s="41"/>
      <c r="M471" s="39"/>
      <c r="N471" s="40"/>
      <c r="O471" s="40"/>
      <c r="P471" s="39"/>
      <c r="Q471" s="39"/>
      <c r="R471" s="40"/>
      <c r="S471" s="40"/>
      <c r="T471" s="39"/>
      <c r="U471" s="39"/>
      <c r="V471" s="40"/>
      <c r="W471" s="40"/>
      <c r="X471" s="41"/>
      <c r="Y471" s="41"/>
      <c r="Z471" s="40"/>
      <c r="AA471" s="40"/>
      <c r="AB471" s="41"/>
      <c r="AC471" s="41"/>
      <c r="AD471" s="40"/>
      <c r="AE471" s="40"/>
      <c r="AF471" s="42"/>
      <c r="AG471" s="42"/>
      <c r="AH471" s="40"/>
      <c r="AI471" s="40"/>
      <c r="AJ471" s="42"/>
      <c r="AK471" s="42"/>
      <c r="AL471" s="40"/>
      <c r="AM471" s="40"/>
      <c r="AN471" s="40"/>
      <c r="AO471" s="40"/>
      <c r="AP471" s="40"/>
      <c r="AQ471" s="40"/>
      <c r="AR471" s="39"/>
      <c r="AS471" s="39"/>
      <c r="AT471" s="40"/>
      <c r="AU471" s="40"/>
      <c r="AV471" s="23"/>
    </row>
    <row r="472" spans="1:48" ht="15.75" x14ac:dyDescent="0.25">
      <c r="A472" s="44"/>
      <c r="B472" s="23"/>
      <c r="C472" s="23"/>
      <c r="D472" s="39"/>
      <c r="E472" s="39"/>
      <c r="F472" s="40"/>
      <c r="G472" s="40"/>
      <c r="H472" s="41"/>
      <c r="I472" s="39"/>
      <c r="J472" s="40"/>
      <c r="K472" s="40"/>
      <c r="L472" s="41"/>
      <c r="M472" s="39"/>
      <c r="N472" s="40"/>
      <c r="O472" s="40"/>
      <c r="P472" s="39"/>
      <c r="Q472" s="39"/>
      <c r="R472" s="40"/>
      <c r="S472" s="40"/>
      <c r="T472" s="39"/>
      <c r="U472" s="39"/>
      <c r="V472" s="40"/>
      <c r="W472" s="40"/>
      <c r="X472" s="41"/>
      <c r="Y472" s="41"/>
      <c r="Z472" s="40"/>
      <c r="AA472" s="40"/>
      <c r="AB472" s="41"/>
      <c r="AC472" s="41"/>
      <c r="AD472" s="40"/>
      <c r="AE472" s="40"/>
      <c r="AF472" s="42"/>
      <c r="AG472" s="42"/>
      <c r="AH472" s="40"/>
      <c r="AI472" s="40"/>
      <c r="AJ472" s="42"/>
      <c r="AK472" s="42"/>
      <c r="AL472" s="40"/>
      <c r="AM472" s="40"/>
      <c r="AN472" s="40"/>
      <c r="AO472" s="40"/>
      <c r="AP472" s="40"/>
      <c r="AQ472" s="40"/>
      <c r="AR472" s="39"/>
      <c r="AS472" s="39"/>
      <c r="AT472" s="40"/>
      <c r="AU472" s="40"/>
      <c r="AV472" s="23"/>
    </row>
    <row r="473" spans="1:48" ht="15.75" x14ac:dyDescent="0.25">
      <c r="A473" s="44"/>
      <c r="B473" s="23"/>
      <c r="C473" s="23"/>
      <c r="D473" s="39"/>
      <c r="E473" s="39"/>
      <c r="F473" s="40"/>
      <c r="G473" s="40"/>
      <c r="H473" s="41"/>
      <c r="I473" s="39"/>
      <c r="J473" s="40"/>
      <c r="K473" s="40"/>
      <c r="L473" s="41"/>
      <c r="M473" s="39"/>
      <c r="N473" s="40"/>
      <c r="O473" s="40"/>
      <c r="P473" s="39"/>
      <c r="Q473" s="39"/>
      <c r="R473" s="40"/>
      <c r="S473" s="40"/>
      <c r="T473" s="39"/>
      <c r="U473" s="39"/>
      <c r="V473" s="40"/>
      <c r="W473" s="40"/>
      <c r="X473" s="41"/>
      <c r="Y473" s="41"/>
      <c r="Z473" s="40"/>
      <c r="AA473" s="40"/>
      <c r="AB473" s="41"/>
      <c r="AC473" s="41"/>
      <c r="AD473" s="40"/>
      <c r="AE473" s="40"/>
      <c r="AF473" s="42"/>
      <c r="AG473" s="42"/>
      <c r="AH473" s="40"/>
      <c r="AI473" s="40"/>
      <c r="AJ473" s="42"/>
      <c r="AK473" s="42"/>
      <c r="AL473" s="40"/>
      <c r="AM473" s="40"/>
      <c r="AN473" s="40"/>
      <c r="AO473" s="40"/>
      <c r="AP473" s="40"/>
      <c r="AQ473" s="40"/>
      <c r="AR473" s="39"/>
      <c r="AS473" s="39"/>
      <c r="AT473" s="40"/>
      <c r="AU473" s="40"/>
      <c r="AV473" s="23"/>
    </row>
    <row r="474" spans="1:48" ht="15.75" x14ac:dyDescent="0.25">
      <c r="A474" s="44"/>
      <c r="B474" s="23"/>
      <c r="C474" s="23"/>
      <c r="D474" s="39"/>
      <c r="E474" s="39"/>
      <c r="F474" s="40"/>
      <c r="G474" s="40"/>
      <c r="H474" s="41"/>
      <c r="I474" s="39"/>
      <c r="J474" s="40"/>
      <c r="K474" s="40"/>
      <c r="L474" s="41"/>
      <c r="M474" s="39"/>
      <c r="N474" s="40"/>
      <c r="O474" s="40"/>
      <c r="P474" s="39"/>
      <c r="Q474" s="39"/>
      <c r="R474" s="40"/>
      <c r="S474" s="40"/>
      <c r="T474" s="39"/>
      <c r="U474" s="39"/>
      <c r="V474" s="40"/>
      <c r="W474" s="40"/>
      <c r="X474" s="41"/>
      <c r="Y474" s="41"/>
      <c r="Z474" s="40"/>
      <c r="AA474" s="40"/>
      <c r="AB474" s="41"/>
      <c r="AC474" s="41"/>
      <c r="AD474" s="40"/>
      <c r="AE474" s="40"/>
      <c r="AF474" s="42"/>
      <c r="AG474" s="42"/>
      <c r="AH474" s="40"/>
      <c r="AI474" s="40"/>
      <c r="AJ474" s="42"/>
      <c r="AK474" s="42"/>
      <c r="AL474" s="40"/>
      <c r="AM474" s="40"/>
      <c r="AN474" s="40"/>
      <c r="AO474" s="40"/>
      <c r="AP474" s="40"/>
      <c r="AQ474" s="40"/>
      <c r="AR474" s="39"/>
      <c r="AS474" s="39"/>
      <c r="AT474" s="40"/>
      <c r="AU474" s="40"/>
      <c r="AV474" s="23"/>
    </row>
    <row r="475" spans="1:48" ht="15.75" x14ac:dyDescent="0.25">
      <c r="A475" s="44"/>
      <c r="B475" s="23"/>
      <c r="C475" s="23"/>
      <c r="D475" s="39"/>
      <c r="E475" s="39"/>
      <c r="F475" s="40"/>
      <c r="G475" s="40"/>
      <c r="H475" s="41"/>
      <c r="I475" s="39"/>
      <c r="J475" s="40"/>
      <c r="K475" s="40"/>
      <c r="L475" s="41"/>
      <c r="M475" s="39"/>
      <c r="N475" s="40"/>
      <c r="O475" s="40"/>
      <c r="P475" s="39"/>
      <c r="Q475" s="39"/>
      <c r="R475" s="40"/>
      <c r="S475" s="40"/>
      <c r="T475" s="39"/>
      <c r="U475" s="39"/>
      <c r="V475" s="40"/>
      <c r="W475" s="40"/>
      <c r="X475" s="41"/>
      <c r="Y475" s="41"/>
      <c r="Z475" s="40"/>
      <c r="AA475" s="40"/>
      <c r="AB475" s="41"/>
      <c r="AC475" s="41"/>
      <c r="AD475" s="40"/>
      <c r="AE475" s="40"/>
      <c r="AF475" s="42"/>
      <c r="AG475" s="42"/>
      <c r="AH475" s="40"/>
      <c r="AI475" s="40"/>
      <c r="AJ475" s="42"/>
      <c r="AK475" s="42"/>
      <c r="AL475" s="40"/>
      <c r="AM475" s="40"/>
      <c r="AN475" s="40"/>
      <c r="AO475" s="40"/>
      <c r="AP475" s="40"/>
      <c r="AQ475" s="40"/>
      <c r="AR475" s="39"/>
      <c r="AS475" s="39"/>
      <c r="AT475" s="40"/>
      <c r="AU475" s="40"/>
      <c r="AV475" s="23"/>
    </row>
    <row r="476" spans="1:48" ht="15.75" x14ac:dyDescent="0.25">
      <c r="A476" s="44"/>
      <c r="B476" s="23"/>
      <c r="C476" s="23"/>
      <c r="D476" s="39"/>
      <c r="E476" s="39"/>
      <c r="F476" s="40"/>
      <c r="G476" s="40"/>
      <c r="H476" s="41"/>
      <c r="I476" s="39"/>
      <c r="J476" s="40"/>
      <c r="K476" s="40"/>
      <c r="L476" s="41"/>
      <c r="M476" s="39"/>
      <c r="N476" s="40"/>
      <c r="O476" s="40"/>
      <c r="P476" s="39"/>
      <c r="Q476" s="39"/>
      <c r="R476" s="40"/>
      <c r="S476" s="40"/>
      <c r="T476" s="39"/>
      <c r="U476" s="39"/>
      <c r="V476" s="40"/>
      <c r="W476" s="40"/>
      <c r="X476" s="41"/>
      <c r="Y476" s="41"/>
      <c r="Z476" s="40"/>
      <c r="AA476" s="40"/>
      <c r="AB476" s="41"/>
      <c r="AC476" s="41"/>
      <c r="AD476" s="40"/>
      <c r="AE476" s="40"/>
      <c r="AF476" s="42"/>
      <c r="AG476" s="42"/>
      <c r="AH476" s="40"/>
      <c r="AI476" s="40"/>
      <c r="AJ476" s="42"/>
      <c r="AK476" s="42"/>
      <c r="AL476" s="40"/>
      <c r="AM476" s="40"/>
      <c r="AN476" s="40"/>
      <c r="AO476" s="40"/>
      <c r="AP476" s="40"/>
      <c r="AQ476" s="40"/>
      <c r="AR476" s="39"/>
      <c r="AS476" s="39"/>
      <c r="AT476" s="40"/>
      <c r="AU476" s="40"/>
      <c r="AV476" s="23"/>
    </row>
    <row r="477" spans="1:48" ht="15.75" x14ac:dyDescent="0.25">
      <c r="A477" s="44"/>
      <c r="B477" s="23"/>
      <c r="C477" s="23"/>
      <c r="D477" s="39"/>
      <c r="E477" s="39"/>
      <c r="F477" s="40"/>
      <c r="G477" s="40"/>
      <c r="H477" s="41"/>
      <c r="I477" s="39"/>
      <c r="J477" s="40"/>
      <c r="K477" s="40"/>
      <c r="L477" s="41"/>
      <c r="M477" s="39"/>
      <c r="N477" s="40"/>
      <c r="O477" s="40"/>
      <c r="P477" s="39"/>
      <c r="Q477" s="39"/>
      <c r="R477" s="40"/>
      <c r="S477" s="40"/>
      <c r="T477" s="39"/>
      <c r="U477" s="39"/>
      <c r="V477" s="40"/>
      <c r="W477" s="40"/>
      <c r="X477" s="41"/>
      <c r="Y477" s="41"/>
      <c r="Z477" s="40"/>
      <c r="AA477" s="40"/>
      <c r="AB477" s="41"/>
      <c r="AC477" s="41"/>
      <c r="AD477" s="40"/>
      <c r="AE477" s="40"/>
      <c r="AF477" s="42"/>
      <c r="AG477" s="42"/>
      <c r="AH477" s="40"/>
      <c r="AI477" s="40"/>
      <c r="AJ477" s="42"/>
      <c r="AK477" s="42"/>
      <c r="AL477" s="40"/>
      <c r="AM477" s="40"/>
      <c r="AN477" s="40"/>
      <c r="AO477" s="40"/>
      <c r="AP477" s="40"/>
      <c r="AQ477" s="40"/>
      <c r="AR477" s="39"/>
      <c r="AS477" s="39"/>
      <c r="AT477" s="40"/>
      <c r="AU477" s="40"/>
      <c r="AV477" s="23"/>
    </row>
    <row r="478" spans="1:48" ht="15.75" x14ac:dyDescent="0.25">
      <c r="A478" s="44"/>
      <c r="B478" s="23"/>
      <c r="C478" s="23"/>
      <c r="D478" s="39"/>
      <c r="E478" s="39"/>
      <c r="F478" s="40"/>
      <c r="G478" s="40"/>
      <c r="H478" s="41"/>
      <c r="I478" s="39"/>
      <c r="J478" s="40"/>
      <c r="K478" s="40"/>
      <c r="L478" s="41"/>
      <c r="M478" s="39"/>
      <c r="N478" s="40"/>
      <c r="O478" s="40"/>
      <c r="P478" s="39"/>
      <c r="Q478" s="39"/>
      <c r="R478" s="40"/>
      <c r="S478" s="40"/>
      <c r="T478" s="39"/>
      <c r="U478" s="39"/>
      <c r="V478" s="40"/>
      <c r="W478" s="40"/>
      <c r="X478" s="41"/>
      <c r="Y478" s="41"/>
      <c r="Z478" s="40"/>
      <c r="AA478" s="40"/>
      <c r="AB478" s="41"/>
      <c r="AC478" s="41"/>
      <c r="AD478" s="40"/>
      <c r="AE478" s="40"/>
      <c r="AF478" s="42"/>
      <c r="AG478" s="42"/>
      <c r="AH478" s="40"/>
      <c r="AI478" s="40"/>
      <c r="AJ478" s="42"/>
      <c r="AK478" s="42"/>
      <c r="AL478" s="40"/>
      <c r="AM478" s="40"/>
      <c r="AN478" s="40"/>
      <c r="AO478" s="40"/>
      <c r="AP478" s="40"/>
      <c r="AQ478" s="40"/>
      <c r="AR478" s="39"/>
      <c r="AS478" s="39"/>
      <c r="AT478" s="40"/>
      <c r="AU478" s="40"/>
      <c r="AV478" s="23"/>
    </row>
    <row r="479" spans="1:48" ht="15.75" x14ac:dyDescent="0.25">
      <c r="A479" s="44"/>
      <c r="B479" s="23"/>
      <c r="C479" s="23"/>
      <c r="D479" s="39"/>
      <c r="E479" s="39"/>
      <c r="F479" s="40"/>
      <c r="G479" s="40"/>
      <c r="H479" s="41"/>
      <c r="I479" s="39"/>
      <c r="J479" s="40"/>
      <c r="K479" s="40"/>
      <c r="L479" s="41"/>
      <c r="M479" s="39"/>
      <c r="N479" s="40"/>
      <c r="O479" s="40"/>
      <c r="P479" s="39"/>
      <c r="Q479" s="39"/>
      <c r="R479" s="40"/>
      <c r="S479" s="40"/>
      <c r="T479" s="39"/>
      <c r="U479" s="39"/>
      <c r="V479" s="40"/>
      <c r="W479" s="40"/>
      <c r="X479" s="41"/>
      <c r="Y479" s="41"/>
      <c r="Z479" s="40"/>
      <c r="AA479" s="40"/>
      <c r="AB479" s="41"/>
      <c r="AC479" s="41"/>
      <c r="AD479" s="40"/>
      <c r="AE479" s="40"/>
      <c r="AF479" s="42"/>
      <c r="AG479" s="42"/>
      <c r="AH479" s="40"/>
      <c r="AI479" s="40"/>
      <c r="AJ479" s="42"/>
      <c r="AK479" s="42"/>
      <c r="AL479" s="40"/>
      <c r="AM479" s="40"/>
      <c r="AN479" s="40"/>
      <c r="AO479" s="40"/>
      <c r="AP479" s="40"/>
      <c r="AQ479" s="40"/>
      <c r="AR479" s="39"/>
      <c r="AS479" s="39"/>
      <c r="AT479" s="40"/>
      <c r="AU479" s="40"/>
      <c r="AV479" s="23"/>
    </row>
    <row r="480" spans="1:48" ht="15.75" x14ac:dyDescent="0.25">
      <c r="A480" s="44"/>
      <c r="B480" s="23"/>
      <c r="C480" s="23"/>
      <c r="D480" s="39"/>
      <c r="E480" s="39"/>
      <c r="F480" s="40"/>
      <c r="G480" s="40"/>
      <c r="H480" s="41"/>
      <c r="I480" s="39"/>
      <c r="J480" s="40"/>
      <c r="K480" s="40"/>
      <c r="L480" s="41"/>
      <c r="M480" s="39"/>
      <c r="N480" s="40"/>
      <c r="O480" s="40"/>
      <c r="P480" s="39"/>
      <c r="Q480" s="39"/>
      <c r="R480" s="40"/>
      <c r="S480" s="40"/>
      <c r="T480" s="39"/>
      <c r="U480" s="39"/>
      <c r="V480" s="40"/>
      <c r="W480" s="40"/>
      <c r="X480" s="41"/>
      <c r="Y480" s="41"/>
      <c r="Z480" s="40"/>
      <c r="AA480" s="40"/>
      <c r="AB480" s="41"/>
      <c r="AC480" s="41"/>
      <c r="AD480" s="40"/>
      <c r="AE480" s="40"/>
      <c r="AF480" s="42"/>
      <c r="AG480" s="42"/>
      <c r="AH480" s="40"/>
      <c r="AI480" s="40"/>
      <c r="AJ480" s="42"/>
      <c r="AK480" s="42"/>
      <c r="AL480" s="40"/>
      <c r="AM480" s="40"/>
      <c r="AN480" s="40"/>
      <c r="AO480" s="40"/>
      <c r="AP480" s="40"/>
      <c r="AQ480" s="40"/>
      <c r="AR480" s="39"/>
      <c r="AS480" s="39"/>
      <c r="AT480" s="40"/>
      <c r="AU480" s="40"/>
      <c r="AV480" s="23"/>
    </row>
    <row r="481" spans="1:48" ht="15.75" x14ac:dyDescent="0.25">
      <c r="A481" s="44"/>
      <c r="B481" s="23"/>
      <c r="C481" s="23"/>
      <c r="D481" s="39"/>
      <c r="E481" s="39"/>
      <c r="F481" s="40"/>
      <c r="G481" s="40"/>
      <c r="H481" s="41"/>
      <c r="I481" s="39"/>
      <c r="J481" s="40"/>
      <c r="K481" s="40"/>
      <c r="L481" s="41"/>
      <c r="M481" s="39"/>
      <c r="N481" s="40"/>
      <c r="O481" s="40"/>
      <c r="P481" s="39"/>
      <c r="Q481" s="39"/>
      <c r="R481" s="40"/>
      <c r="S481" s="40"/>
      <c r="T481" s="39"/>
      <c r="U481" s="39"/>
      <c r="V481" s="40"/>
      <c r="W481" s="40"/>
      <c r="X481" s="41"/>
      <c r="Y481" s="41"/>
      <c r="Z481" s="40"/>
      <c r="AA481" s="40"/>
      <c r="AB481" s="41"/>
      <c r="AC481" s="41"/>
      <c r="AD481" s="40"/>
      <c r="AE481" s="40"/>
      <c r="AF481" s="42"/>
      <c r="AG481" s="42"/>
      <c r="AH481" s="40"/>
      <c r="AI481" s="40"/>
      <c r="AJ481" s="42"/>
      <c r="AK481" s="42"/>
      <c r="AL481" s="40"/>
      <c r="AM481" s="40"/>
      <c r="AN481" s="40"/>
      <c r="AO481" s="40"/>
      <c r="AP481" s="40"/>
      <c r="AQ481" s="40"/>
      <c r="AR481" s="39"/>
      <c r="AS481" s="39"/>
      <c r="AT481" s="40"/>
      <c r="AU481" s="40"/>
      <c r="AV481" s="23"/>
    </row>
    <row r="482" spans="1:48" ht="15.75" x14ac:dyDescent="0.25">
      <c r="A482" s="44"/>
      <c r="B482" s="23"/>
      <c r="C482" s="23"/>
      <c r="D482" s="39"/>
      <c r="E482" s="39"/>
      <c r="F482" s="40"/>
      <c r="G482" s="40"/>
      <c r="H482" s="41"/>
      <c r="I482" s="39"/>
      <c r="J482" s="40"/>
      <c r="K482" s="40"/>
      <c r="L482" s="41"/>
      <c r="M482" s="39"/>
      <c r="N482" s="40"/>
      <c r="O482" s="40"/>
      <c r="P482" s="39"/>
      <c r="Q482" s="39"/>
      <c r="R482" s="40"/>
      <c r="S482" s="40"/>
      <c r="T482" s="39"/>
      <c r="U482" s="39"/>
      <c r="V482" s="40"/>
      <c r="W482" s="40"/>
      <c r="X482" s="41"/>
      <c r="Y482" s="41"/>
      <c r="Z482" s="40"/>
      <c r="AA482" s="40"/>
      <c r="AB482" s="41"/>
      <c r="AC482" s="41"/>
      <c r="AD482" s="40"/>
      <c r="AE482" s="40"/>
      <c r="AF482" s="42"/>
      <c r="AG482" s="42"/>
      <c r="AH482" s="40"/>
      <c r="AI482" s="40"/>
      <c r="AJ482" s="42"/>
      <c r="AK482" s="42"/>
      <c r="AL482" s="40"/>
      <c r="AM482" s="40"/>
      <c r="AN482" s="40"/>
      <c r="AO482" s="40"/>
      <c r="AP482" s="40"/>
      <c r="AQ482" s="40"/>
      <c r="AR482" s="39"/>
      <c r="AS482" s="39"/>
      <c r="AT482" s="40"/>
      <c r="AU482" s="40"/>
      <c r="AV482" s="23"/>
    </row>
    <row r="483" spans="1:48" ht="15.75" x14ac:dyDescent="0.25">
      <c r="A483" s="44"/>
      <c r="B483" s="23"/>
      <c r="C483" s="23"/>
      <c r="D483" s="39"/>
      <c r="E483" s="39"/>
      <c r="F483" s="40"/>
      <c r="G483" s="40"/>
      <c r="H483" s="41"/>
      <c r="I483" s="39"/>
      <c r="J483" s="40"/>
      <c r="K483" s="40"/>
      <c r="L483" s="41"/>
      <c r="M483" s="39"/>
      <c r="N483" s="40"/>
      <c r="O483" s="40"/>
      <c r="P483" s="39"/>
      <c r="Q483" s="39"/>
      <c r="R483" s="40"/>
      <c r="S483" s="40"/>
      <c r="T483" s="39"/>
      <c r="U483" s="39"/>
      <c r="V483" s="40"/>
      <c r="W483" s="40"/>
      <c r="X483" s="41"/>
      <c r="Y483" s="41"/>
      <c r="Z483" s="40"/>
      <c r="AA483" s="40"/>
      <c r="AB483" s="41"/>
      <c r="AC483" s="41"/>
      <c r="AD483" s="40"/>
      <c r="AE483" s="40"/>
      <c r="AF483" s="42"/>
      <c r="AG483" s="42"/>
      <c r="AH483" s="40"/>
      <c r="AI483" s="40"/>
      <c r="AJ483" s="42"/>
      <c r="AK483" s="42"/>
      <c r="AL483" s="40"/>
      <c r="AM483" s="40"/>
      <c r="AN483" s="40"/>
      <c r="AO483" s="40"/>
      <c r="AP483" s="40"/>
      <c r="AQ483" s="40"/>
      <c r="AR483" s="39"/>
      <c r="AS483" s="39"/>
      <c r="AT483" s="40"/>
      <c r="AU483" s="40"/>
      <c r="AV483" s="23"/>
    </row>
    <row r="484" spans="1:48" ht="15.75" x14ac:dyDescent="0.25">
      <c r="A484" s="44"/>
      <c r="B484" s="23"/>
      <c r="C484" s="23"/>
      <c r="D484" s="39"/>
      <c r="E484" s="39"/>
      <c r="F484" s="40"/>
      <c r="G484" s="40"/>
      <c r="H484" s="41"/>
      <c r="I484" s="39"/>
      <c r="J484" s="40"/>
      <c r="K484" s="40"/>
      <c r="L484" s="41"/>
      <c r="M484" s="39"/>
      <c r="N484" s="40"/>
      <c r="O484" s="40"/>
      <c r="P484" s="39"/>
      <c r="Q484" s="39"/>
      <c r="R484" s="40"/>
      <c r="S484" s="40"/>
      <c r="T484" s="39"/>
      <c r="U484" s="39"/>
      <c r="V484" s="40"/>
      <c r="W484" s="40"/>
      <c r="X484" s="41"/>
      <c r="Y484" s="41"/>
      <c r="Z484" s="40"/>
      <c r="AA484" s="40"/>
      <c r="AB484" s="41"/>
      <c r="AC484" s="41"/>
      <c r="AD484" s="40"/>
      <c r="AE484" s="40"/>
      <c r="AF484" s="42"/>
      <c r="AG484" s="42"/>
      <c r="AH484" s="40"/>
      <c r="AI484" s="40"/>
      <c r="AJ484" s="42"/>
      <c r="AK484" s="42"/>
      <c r="AL484" s="40"/>
      <c r="AM484" s="40"/>
      <c r="AN484" s="40"/>
      <c r="AO484" s="40"/>
      <c r="AP484" s="40"/>
      <c r="AQ484" s="40"/>
      <c r="AR484" s="39"/>
      <c r="AS484" s="39"/>
      <c r="AT484" s="40"/>
      <c r="AU484" s="40"/>
      <c r="AV484" s="23"/>
    </row>
    <row r="485" spans="1:48" ht="15.75" x14ac:dyDescent="0.25">
      <c r="A485" s="44"/>
      <c r="B485" s="23"/>
      <c r="C485" s="23"/>
      <c r="D485" s="39"/>
      <c r="E485" s="39"/>
      <c r="F485" s="40"/>
      <c r="G485" s="40"/>
      <c r="H485" s="41"/>
      <c r="I485" s="39"/>
      <c r="J485" s="40"/>
      <c r="K485" s="40"/>
      <c r="L485" s="41"/>
      <c r="M485" s="39"/>
      <c r="N485" s="40"/>
      <c r="O485" s="40"/>
      <c r="P485" s="39"/>
      <c r="Q485" s="39"/>
      <c r="R485" s="40"/>
      <c r="S485" s="40"/>
      <c r="T485" s="39"/>
      <c r="U485" s="39"/>
      <c r="V485" s="40"/>
      <c r="W485" s="40"/>
      <c r="X485" s="41"/>
      <c r="Y485" s="41"/>
      <c r="Z485" s="40"/>
      <c r="AA485" s="40"/>
      <c r="AB485" s="41"/>
      <c r="AC485" s="41"/>
      <c r="AD485" s="40"/>
      <c r="AE485" s="40"/>
      <c r="AF485" s="42"/>
      <c r="AG485" s="42"/>
      <c r="AH485" s="40"/>
      <c r="AI485" s="40"/>
      <c r="AJ485" s="42"/>
      <c r="AK485" s="42"/>
      <c r="AL485" s="40"/>
      <c r="AM485" s="40"/>
      <c r="AN485" s="40"/>
      <c r="AO485" s="40"/>
      <c r="AP485" s="40"/>
      <c r="AQ485" s="40"/>
      <c r="AR485" s="39"/>
      <c r="AS485" s="39"/>
      <c r="AT485" s="40"/>
      <c r="AU485" s="40"/>
      <c r="AV485" s="23"/>
    </row>
    <row r="486" spans="1:48" ht="15.75" x14ac:dyDescent="0.25">
      <c r="A486" s="44"/>
      <c r="B486" s="23"/>
      <c r="C486" s="23"/>
      <c r="D486" s="39"/>
      <c r="E486" s="39"/>
      <c r="F486" s="40"/>
      <c r="G486" s="40"/>
      <c r="H486" s="41"/>
      <c r="I486" s="39"/>
      <c r="J486" s="40"/>
      <c r="K486" s="40"/>
      <c r="L486" s="41"/>
      <c r="M486" s="39"/>
      <c r="N486" s="40"/>
      <c r="O486" s="40"/>
      <c r="P486" s="39"/>
      <c r="Q486" s="39"/>
      <c r="R486" s="40"/>
      <c r="S486" s="40"/>
      <c r="T486" s="39"/>
      <c r="U486" s="39"/>
      <c r="V486" s="40"/>
      <c r="W486" s="40"/>
      <c r="X486" s="41"/>
      <c r="Y486" s="41"/>
      <c r="Z486" s="40"/>
      <c r="AA486" s="40"/>
      <c r="AB486" s="41"/>
      <c r="AC486" s="41"/>
      <c r="AD486" s="40"/>
      <c r="AE486" s="40"/>
      <c r="AF486" s="42"/>
      <c r="AG486" s="42"/>
      <c r="AH486" s="40"/>
      <c r="AI486" s="40"/>
      <c r="AJ486" s="42"/>
      <c r="AK486" s="42"/>
      <c r="AL486" s="40"/>
      <c r="AM486" s="40"/>
      <c r="AN486" s="40"/>
      <c r="AO486" s="40"/>
      <c r="AP486" s="40"/>
      <c r="AQ486" s="40"/>
      <c r="AR486" s="39"/>
      <c r="AS486" s="39"/>
      <c r="AT486" s="40"/>
      <c r="AU486" s="40"/>
      <c r="AV486" s="23"/>
    </row>
    <row r="487" spans="1:48" ht="15.75" x14ac:dyDescent="0.25">
      <c r="A487" s="44"/>
      <c r="B487" s="23"/>
      <c r="C487" s="23"/>
      <c r="D487" s="39"/>
      <c r="E487" s="39"/>
      <c r="F487" s="40"/>
      <c r="G487" s="40"/>
      <c r="H487" s="41"/>
      <c r="I487" s="39"/>
      <c r="J487" s="40"/>
      <c r="K487" s="40"/>
      <c r="L487" s="41"/>
      <c r="M487" s="39"/>
      <c r="N487" s="40"/>
      <c r="O487" s="40"/>
      <c r="P487" s="39"/>
      <c r="Q487" s="39"/>
      <c r="R487" s="40"/>
      <c r="S487" s="40"/>
      <c r="T487" s="39"/>
      <c r="U487" s="39"/>
      <c r="V487" s="40"/>
      <c r="W487" s="40"/>
      <c r="X487" s="41"/>
      <c r="Y487" s="41"/>
      <c r="Z487" s="40"/>
      <c r="AA487" s="40"/>
      <c r="AB487" s="41"/>
      <c r="AC487" s="41"/>
      <c r="AD487" s="40"/>
      <c r="AE487" s="40"/>
      <c r="AF487" s="42"/>
      <c r="AG487" s="42"/>
      <c r="AH487" s="40"/>
      <c r="AI487" s="40"/>
      <c r="AJ487" s="42"/>
      <c r="AK487" s="42"/>
      <c r="AL487" s="40"/>
      <c r="AM487" s="40"/>
      <c r="AN487" s="40"/>
      <c r="AO487" s="40"/>
      <c r="AP487" s="40"/>
      <c r="AQ487" s="40"/>
      <c r="AR487" s="39"/>
      <c r="AS487" s="39"/>
      <c r="AT487" s="40"/>
      <c r="AU487" s="40"/>
      <c r="AV487" s="23"/>
    </row>
    <row r="488" spans="1:48" ht="15.75" x14ac:dyDescent="0.25">
      <c r="A488" s="44"/>
      <c r="B488" s="23"/>
      <c r="C488" s="23"/>
      <c r="D488" s="39"/>
      <c r="E488" s="39"/>
      <c r="F488" s="40"/>
      <c r="G488" s="40"/>
      <c r="H488" s="41"/>
      <c r="I488" s="39"/>
      <c r="J488" s="40"/>
      <c r="K488" s="40"/>
      <c r="L488" s="41"/>
      <c r="M488" s="39"/>
      <c r="N488" s="40"/>
      <c r="O488" s="40"/>
      <c r="P488" s="39"/>
      <c r="Q488" s="39"/>
      <c r="R488" s="40"/>
      <c r="S488" s="40"/>
      <c r="T488" s="39"/>
      <c r="U488" s="39"/>
      <c r="V488" s="40"/>
      <c r="W488" s="40"/>
      <c r="X488" s="41"/>
      <c r="Y488" s="41"/>
      <c r="Z488" s="40"/>
      <c r="AA488" s="40"/>
      <c r="AB488" s="41"/>
      <c r="AC488" s="41"/>
      <c r="AD488" s="40"/>
      <c r="AE488" s="40"/>
      <c r="AF488" s="42"/>
      <c r="AG488" s="42"/>
      <c r="AH488" s="40"/>
      <c r="AI488" s="40"/>
      <c r="AJ488" s="42"/>
      <c r="AK488" s="42"/>
      <c r="AL488" s="40"/>
      <c r="AM488" s="40"/>
      <c r="AN488" s="40"/>
      <c r="AO488" s="40"/>
      <c r="AP488" s="40"/>
      <c r="AQ488" s="40"/>
      <c r="AR488" s="39"/>
      <c r="AS488" s="39"/>
      <c r="AT488" s="40"/>
      <c r="AU488" s="40"/>
      <c r="AV488" s="23"/>
    </row>
    <row r="489" spans="1:48" ht="15.75" x14ac:dyDescent="0.25">
      <c r="A489" s="44"/>
      <c r="B489" s="23"/>
      <c r="C489" s="23"/>
      <c r="D489" s="39"/>
      <c r="E489" s="39"/>
      <c r="F489" s="40"/>
      <c r="G489" s="40"/>
      <c r="H489" s="41"/>
      <c r="I489" s="39"/>
      <c r="J489" s="40"/>
      <c r="K489" s="40"/>
      <c r="L489" s="41"/>
      <c r="M489" s="39"/>
      <c r="N489" s="40"/>
      <c r="O489" s="40"/>
      <c r="P489" s="39"/>
      <c r="Q489" s="39"/>
      <c r="R489" s="40"/>
      <c r="S489" s="40"/>
      <c r="T489" s="39"/>
      <c r="U489" s="39"/>
      <c r="V489" s="40"/>
      <c r="W489" s="40"/>
      <c r="X489" s="41"/>
      <c r="Y489" s="41"/>
      <c r="Z489" s="40"/>
      <c r="AA489" s="40"/>
      <c r="AB489" s="41"/>
      <c r="AC489" s="41"/>
      <c r="AD489" s="40"/>
      <c r="AE489" s="40"/>
      <c r="AF489" s="42"/>
      <c r="AG489" s="42"/>
      <c r="AH489" s="40"/>
      <c r="AI489" s="40"/>
      <c r="AJ489" s="42"/>
      <c r="AK489" s="42"/>
      <c r="AL489" s="40"/>
      <c r="AM489" s="40"/>
      <c r="AN489" s="40"/>
      <c r="AO489" s="40"/>
      <c r="AP489" s="40"/>
      <c r="AQ489" s="40"/>
      <c r="AR489" s="39"/>
      <c r="AS489" s="39"/>
      <c r="AT489" s="40"/>
      <c r="AU489" s="40"/>
      <c r="AV489" s="23"/>
    </row>
    <row r="490" spans="1:48" ht="15.75" x14ac:dyDescent="0.25">
      <c r="A490" s="44"/>
      <c r="B490" s="23"/>
      <c r="C490" s="23"/>
      <c r="D490" s="39"/>
      <c r="E490" s="39"/>
      <c r="F490" s="40"/>
      <c r="G490" s="40"/>
      <c r="H490" s="41"/>
      <c r="I490" s="39"/>
      <c r="J490" s="40"/>
      <c r="K490" s="40"/>
      <c r="L490" s="41"/>
      <c r="M490" s="39"/>
      <c r="N490" s="40"/>
      <c r="O490" s="40"/>
      <c r="P490" s="39"/>
      <c r="Q490" s="39"/>
      <c r="R490" s="40"/>
      <c r="S490" s="40"/>
      <c r="T490" s="39"/>
      <c r="U490" s="39"/>
      <c r="V490" s="40"/>
      <c r="W490" s="40"/>
      <c r="X490" s="41"/>
      <c r="Y490" s="41"/>
      <c r="Z490" s="40"/>
      <c r="AA490" s="40"/>
      <c r="AB490" s="41"/>
      <c r="AC490" s="41"/>
      <c r="AD490" s="40"/>
      <c r="AE490" s="40"/>
      <c r="AF490" s="42"/>
      <c r="AG490" s="42"/>
      <c r="AH490" s="40"/>
      <c r="AI490" s="40"/>
      <c r="AJ490" s="42"/>
      <c r="AK490" s="42"/>
      <c r="AL490" s="40"/>
      <c r="AM490" s="40"/>
      <c r="AN490" s="40"/>
      <c r="AO490" s="40"/>
      <c r="AP490" s="40"/>
      <c r="AQ490" s="40"/>
      <c r="AR490" s="39"/>
      <c r="AS490" s="39"/>
      <c r="AT490" s="40"/>
      <c r="AU490" s="40"/>
      <c r="AV490" s="23"/>
    </row>
    <row r="491" spans="1:48" ht="15.75" x14ac:dyDescent="0.25">
      <c r="A491" s="44"/>
      <c r="B491" s="23"/>
      <c r="C491" s="23"/>
      <c r="D491" s="39"/>
      <c r="E491" s="39"/>
      <c r="F491" s="40"/>
      <c r="G491" s="40"/>
      <c r="H491" s="41"/>
      <c r="I491" s="39"/>
      <c r="J491" s="40"/>
      <c r="K491" s="40"/>
      <c r="L491" s="41"/>
      <c r="M491" s="39"/>
      <c r="N491" s="40"/>
      <c r="O491" s="40"/>
      <c r="P491" s="39"/>
      <c r="Q491" s="39"/>
      <c r="R491" s="40"/>
      <c r="S491" s="40"/>
      <c r="T491" s="39"/>
      <c r="U491" s="39"/>
      <c r="V491" s="40"/>
      <c r="W491" s="40"/>
      <c r="X491" s="41"/>
      <c r="Y491" s="41"/>
      <c r="Z491" s="40"/>
      <c r="AA491" s="40"/>
      <c r="AB491" s="41"/>
      <c r="AC491" s="41"/>
      <c r="AD491" s="40"/>
      <c r="AE491" s="40"/>
      <c r="AF491" s="42"/>
      <c r="AG491" s="42"/>
      <c r="AH491" s="40"/>
      <c r="AI491" s="40"/>
      <c r="AJ491" s="42"/>
      <c r="AK491" s="42"/>
      <c r="AL491" s="40"/>
      <c r="AM491" s="40"/>
      <c r="AN491" s="40"/>
      <c r="AO491" s="40"/>
      <c r="AP491" s="40"/>
      <c r="AQ491" s="40"/>
      <c r="AR491" s="39"/>
      <c r="AS491" s="39"/>
      <c r="AT491" s="40"/>
      <c r="AU491" s="40"/>
      <c r="AV491" s="23"/>
    </row>
    <row r="492" spans="1:48" ht="15.75" x14ac:dyDescent="0.25">
      <c r="A492" s="44"/>
      <c r="B492" s="23"/>
      <c r="C492" s="23"/>
      <c r="D492" s="39"/>
      <c r="E492" s="39"/>
      <c r="F492" s="40"/>
      <c r="G492" s="40"/>
      <c r="H492" s="41"/>
      <c r="I492" s="39"/>
      <c r="J492" s="40"/>
      <c r="K492" s="40"/>
      <c r="L492" s="41"/>
      <c r="M492" s="39"/>
      <c r="N492" s="40"/>
      <c r="O492" s="40"/>
      <c r="P492" s="39"/>
      <c r="Q492" s="39"/>
      <c r="R492" s="40"/>
      <c r="S492" s="40"/>
      <c r="T492" s="39"/>
      <c r="U492" s="39"/>
      <c r="V492" s="40"/>
      <c r="W492" s="40"/>
      <c r="X492" s="41"/>
      <c r="Y492" s="41"/>
      <c r="Z492" s="40"/>
      <c r="AA492" s="40"/>
      <c r="AB492" s="41"/>
      <c r="AC492" s="41"/>
      <c r="AD492" s="40"/>
      <c r="AE492" s="40"/>
      <c r="AF492" s="42"/>
      <c r="AG492" s="42"/>
      <c r="AH492" s="40"/>
      <c r="AI492" s="40"/>
      <c r="AJ492" s="42"/>
      <c r="AK492" s="42"/>
      <c r="AL492" s="40"/>
      <c r="AM492" s="40"/>
      <c r="AN492" s="40"/>
      <c r="AO492" s="40"/>
      <c r="AP492" s="40"/>
      <c r="AQ492" s="40"/>
      <c r="AR492" s="39"/>
      <c r="AS492" s="39"/>
      <c r="AT492" s="40"/>
      <c r="AU492" s="40"/>
      <c r="AV492" s="23"/>
    </row>
    <row r="493" spans="1:48" ht="15.75" x14ac:dyDescent="0.25">
      <c r="A493" s="44"/>
      <c r="B493" s="23"/>
      <c r="C493" s="23"/>
      <c r="D493" s="39"/>
      <c r="E493" s="39"/>
      <c r="F493" s="40"/>
      <c r="G493" s="40"/>
      <c r="H493" s="41"/>
      <c r="I493" s="39"/>
      <c r="J493" s="40"/>
      <c r="K493" s="40"/>
      <c r="L493" s="41"/>
      <c r="M493" s="39"/>
      <c r="N493" s="40"/>
      <c r="O493" s="40"/>
      <c r="P493" s="39"/>
      <c r="Q493" s="39"/>
      <c r="R493" s="40"/>
      <c r="S493" s="40"/>
      <c r="T493" s="39"/>
      <c r="U493" s="39"/>
      <c r="V493" s="40"/>
      <c r="W493" s="40"/>
      <c r="X493" s="41"/>
      <c r="Y493" s="41"/>
      <c r="Z493" s="40"/>
      <c r="AA493" s="40"/>
      <c r="AB493" s="41"/>
      <c r="AC493" s="41"/>
      <c r="AD493" s="40"/>
      <c r="AE493" s="40"/>
      <c r="AF493" s="42"/>
      <c r="AG493" s="42"/>
      <c r="AH493" s="40"/>
      <c r="AI493" s="40"/>
      <c r="AJ493" s="42"/>
      <c r="AK493" s="42"/>
      <c r="AL493" s="40"/>
      <c r="AM493" s="40"/>
      <c r="AN493" s="40"/>
      <c r="AO493" s="40"/>
      <c r="AP493" s="40"/>
      <c r="AQ493" s="40"/>
      <c r="AR493" s="39"/>
      <c r="AS493" s="39"/>
      <c r="AT493" s="40"/>
      <c r="AU493" s="40"/>
      <c r="AV493" s="23"/>
    </row>
    <row r="494" spans="1:48" ht="15.75" x14ac:dyDescent="0.25">
      <c r="A494" s="44"/>
      <c r="B494" s="23"/>
      <c r="C494" s="23"/>
      <c r="D494" s="39"/>
      <c r="E494" s="39"/>
      <c r="F494" s="40"/>
      <c r="G494" s="40"/>
      <c r="H494" s="41"/>
      <c r="I494" s="39"/>
      <c r="J494" s="40"/>
      <c r="K494" s="40"/>
      <c r="L494" s="41"/>
      <c r="M494" s="39"/>
      <c r="N494" s="40"/>
      <c r="O494" s="40"/>
      <c r="P494" s="39"/>
      <c r="Q494" s="39"/>
      <c r="R494" s="40"/>
      <c r="S494" s="40"/>
      <c r="T494" s="39"/>
      <c r="U494" s="39"/>
      <c r="V494" s="40"/>
      <c r="W494" s="40"/>
      <c r="X494" s="41"/>
      <c r="Y494" s="41"/>
      <c r="Z494" s="40"/>
      <c r="AA494" s="40"/>
      <c r="AB494" s="41"/>
      <c r="AC494" s="41"/>
      <c r="AD494" s="40"/>
      <c r="AE494" s="40"/>
      <c r="AF494" s="42"/>
      <c r="AG494" s="42"/>
      <c r="AH494" s="40"/>
      <c r="AI494" s="40"/>
      <c r="AJ494" s="42"/>
      <c r="AK494" s="42"/>
      <c r="AL494" s="40"/>
      <c r="AM494" s="40"/>
      <c r="AN494" s="40"/>
      <c r="AO494" s="40"/>
      <c r="AP494" s="40"/>
      <c r="AQ494" s="40"/>
      <c r="AR494" s="39"/>
      <c r="AS494" s="39"/>
      <c r="AT494" s="40"/>
      <c r="AU494" s="40"/>
      <c r="AV494" s="23"/>
    </row>
    <row r="495" spans="1:48" ht="15.75" x14ac:dyDescent="0.25">
      <c r="A495" s="44"/>
      <c r="B495" s="23"/>
      <c r="C495" s="23"/>
      <c r="D495" s="39"/>
      <c r="E495" s="39"/>
      <c r="F495" s="40"/>
      <c r="G495" s="40"/>
      <c r="H495" s="41"/>
      <c r="I495" s="39"/>
      <c r="J495" s="40"/>
      <c r="K495" s="40"/>
      <c r="L495" s="41"/>
      <c r="M495" s="39"/>
      <c r="N495" s="40"/>
      <c r="O495" s="40"/>
      <c r="P495" s="39"/>
      <c r="Q495" s="39"/>
      <c r="R495" s="40"/>
      <c r="S495" s="40"/>
      <c r="T495" s="39"/>
      <c r="U495" s="39"/>
      <c r="V495" s="40"/>
      <c r="W495" s="40"/>
      <c r="X495" s="41"/>
      <c r="Y495" s="41"/>
      <c r="Z495" s="40"/>
      <c r="AA495" s="40"/>
      <c r="AB495" s="41"/>
      <c r="AC495" s="41"/>
      <c r="AD495" s="40"/>
      <c r="AE495" s="40"/>
      <c r="AF495" s="42"/>
      <c r="AG495" s="42"/>
      <c r="AH495" s="40"/>
      <c r="AI495" s="40"/>
      <c r="AJ495" s="42"/>
      <c r="AK495" s="42"/>
      <c r="AL495" s="40"/>
      <c r="AM495" s="40"/>
      <c r="AN495" s="40"/>
      <c r="AO495" s="40"/>
      <c r="AP495" s="40"/>
      <c r="AQ495" s="40"/>
      <c r="AR495" s="39"/>
      <c r="AS495" s="39"/>
      <c r="AT495" s="40"/>
      <c r="AU495" s="40"/>
      <c r="AV495" s="23"/>
    </row>
    <row r="496" spans="1:48" ht="15.75" x14ac:dyDescent="0.25">
      <c r="A496" s="44"/>
      <c r="B496" s="23"/>
      <c r="C496" s="23"/>
      <c r="D496" s="39"/>
      <c r="E496" s="39"/>
      <c r="F496" s="40"/>
      <c r="G496" s="40"/>
      <c r="H496" s="41"/>
      <c r="I496" s="39"/>
      <c r="J496" s="40"/>
      <c r="K496" s="40"/>
      <c r="L496" s="41"/>
      <c r="M496" s="39"/>
      <c r="N496" s="40"/>
      <c r="O496" s="40"/>
      <c r="P496" s="39"/>
      <c r="Q496" s="39"/>
      <c r="R496" s="40"/>
      <c r="S496" s="40"/>
      <c r="T496" s="39"/>
      <c r="U496" s="39"/>
      <c r="V496" s="40"/>
      <c r="W496" s="40"/>
      <c r="X496" s="41"/>
      <c r="Y496" s="41"/>
      <c r="Z496" s="40"/>
      <c r="AA496" s="40"/>
      <c r="AB496" s="41"/>
      <c r="AC496" s="41"/>
      <c r="AD496" s="40"/>
      <c r="AE496" s="40"/>
      <c r="AF496" s="42"/>
      <c r="AG496" s="42"/>
      <c r="AH496" s="40"/>
      <c r="AI496" s="40"/>
      <c r="AJ496" s="42"/>
      <c r="AK496" s="42"/>
      <c r="AL496" s="40"/>
      <c r="AM496" s="40"/>
      <c r="AN496" s="40"/>
      <c r="AO496" s="40"/>
      <c r="AP496" s="40"/>
      <c r="AQ496" s="40"/>
      <c r="AR496" s="39"/>
      <c r="AS496" s="39"/>
      <c r="AT496" s="40"/>
      <c r="AU496" s="40"/>
      <c r="AV496" s="23"/>
    </row>
    <row r="497" spans="1:48" ht="15.75" x14ac:dyDescent="0.25">
      <c r="A497" s="44"/>
      <c r="B497" s="23"/>
      <c r="C497" s="23"/>
      <c r="D497" s="39"/>
      <c r="E497" s="39"/>
      <c r="F497" s="40"/>
      <c r="G497" s="40"/>
      <c r="H497" s="41"/>
      <c r="I497" s="39"/>
      <c r="J497" s="40"/>
      <c r="K497" s="40"/>
      <c r="L497" s="41"/>
      <c r="M497" s="39"/>
      <c r="N497" s="40"/>
      <c r="O497" s="40"/>
      <c r="P497" s="39"/>
      <c r="Q497" s="39"/>
      <c r="R497" s="40"/>
      <c r="S497" s="40"/>
      <c r="T497" s="39"/>
      <c r="U497" s="39"/>
      <c r="V497" s="40"/>
      <c r="W497" s="40"/>
      <c r="X497" s="41"/>
      <c r="Y497" s="41"/>
      <c r="Z497" s="40"/>
      <c r="AA497" s="40"/>
      <c r="AB497" s="41"/>
      <c r="AC497" s="41"/>
      <c r="AD497" s="40"/>
      <c r="AE497" s="40"/>
      <c r="AF497" s="42"/>
      <c r="AG497" s="42"/>
      <c r="AH497" s="40"/>
      <c r="AI497" s="40"/>
      <c r="AJ497" s="42"/>
      <c r="AK497" s="42"/>
      <c r="AL497" s="40"/>
      <c r="AM497" s="40"/>
      <c r="AN497" s="40"/>
      <c r="AO497" s="40"/>
      <c r="AP497" s="40"/>
      <c r="AQ497" s="40"/>
      <c r="AR497" s="39"/>
      <c r="AS497" s="39"/>
      <c r="AT497" s="40"/>
      <c r="AU497" s="40"/>
      <c r="AV497" s="23"/>
    </row>
    <row r="498" spans="1:48" ht="15.75" x14ac:dyDescent="0.25">
      <c r="A498" s="44"/>
      <c r="B498" s="23"/>
      <c r="C498" s="23"/>
      <c r="D498" s="39"/>
      <c r="E498" s="39"/>
      <c r="F498" s="40"/>
      <c r="G498" s="40"/>
      <c r="H498" s="41"/>
      <c r="I498" s="39"/>
      <c r="J498" s="40"/>
      <c r="K498" s="40"/>
      <c r="L498" s="41"/>
      <c r="M498" s="39"/>
      <c r="N498" s="40"/>
      <c r="O498" s="40"/>
      <c r="P498" s="39"/>
      <c r="Q498" s="39"/>
      <c r="R498" s="40"/>
      <c r="S498" s="40"/>
      <c r="T498" s="39"/>
      <c r="U498" s="39"/>
      <c r="V498" s="40"/>
      <c r="W498" s="40"/>
      <c r="X498" s="41"/>
      <c r="Y498" s="41"/>
      <c r="Z498" s="40"/>
      <c r="AA498" s="40"/>
      <c r="AB498" s="41"/>
      <c r="AC498" s="41"/>
      <c r="AD498" s="40"/>
      <c r="AE498" s="40"/>
      <c r="AF498" s="42"/>
      <c r="AG498" s="42"/>
      <c r="AH498" s="40"/>
      <c r="AI498" s="40"/>
      <c r="AJ498" s="42"/>
      <c r="AK498" s="42"/>
      <c r="AL498" s="40"/>
      <c r="AM498" s="40"/>
      <c r="AN498" s="40"/>
      <c r="AO498" s="40"/>
      <c r="AP498" s="40"/>
      <c r="AQ498" s="40"/>
      <c r="AR498" s="39"/>
      <c r="AS498" s="39"/>
      <c r="AT498" s="40"/>
      <c r="AU498" s="40"/>
      <c r="AV498" s="23"/>
    </row>
    <row r="499" spans="1:48" ht="15.75" x14ac:dyDescent="0.25">
      <c r="A499" s="44"/>
      <c r="B499" s="23"/>
      <c r="C499" s="23"/>
      <c r="D499" s="39"/>
      <c r="E499" s="39"/>
      <c r="F499" s="40"/>
      <c r="G499" s="40"/>
      <c r="H499" s="41"/>
      <c r="I499" s="39"/>
      <c r="J499" s="40"/>
      <c r="K499" s="40"/>
      <c r="L499" s="41"/>
      <c r="M499" s="39"/>
      <c r="N499" s="40"/>
      <c r="O499" s="40"/>
      <c r="P499" s="39"/>
      <c r="Q499" s="39"/>
      <c r="R499" s="40"/>
      <c r="S499" s="40"/>
      <c r="T499" s="39"/>
      <c r="U499" s="39"/>
      <c r="V499" s="40"/>
      <c r="W499" s="40"/>
      <c r="X499" s="41"/>
      <c r="Y499" s="41"/>
      <c r="Z499" s="40"/>
      <c r="AA499" s="40"/>
      <c r="AB499" s="41"/>
      <c r="AC499" s="41"/>
      <c r="AD499" s="40"/>
      <c r="AE499" s="40"/>
      <c r="AF499" s="42"/>
      <c r="AG499" s="42"/>
      <c r="AH499" s="40"/>
      <c r="AI499" s="40"/>
      <c r="AJ499" s="42"/>
      <c r="AK499" s="42"/>
      <c r="AL499" s="40"/>
      <c r="AM499" s="40"/>
      <c r="AN499" s="40"/>
      <c r="AO499" s="40"/>
      <c r="AP499" s="40"/>
      <c r="AQ499" s="40"/>
      <c r="AR499" s="39"/>
      <c r="AS499" s="39"/>
      <c r="AT499" s="40"/>
      <c r="AU499" s="40"/>
      <c r="AV499" s="23"/>
    </row>
    <row r="500" spans="1:48" ht="15.75" x14ac:dyDescent="0.25">
      <c r="A500" s="44"/>
      <c r="B500" s="23"/>
      <c r="C500" s="23"/>
      <c r="D500" s="39"/>
      <c r="E500" s="39"/>
      <c r="F500" s="40"/>
      <c r="G500" s="40"/>
      <c r="H500" s="41"/>
      <c r="I500" s="39"/>
      <c r="J500" s="40"/>
      <c r="K500" s="40"/>
      <c r="L500" s="41"/>
      <c r="M500" s="39"/>
      <c r="N500" s="40"/>
      <c r="O500" s="40"/>
      <c r="P500" s="39"/>
      <c r="Q500" s="39"/>
      <c r="R500" s="40"/>
      <c r="S500" s="40"/>
      <c r="T500" s="39"/>
      <c r="U500" s="39"/>
      <c r="V500" s="40"/>
      <c r="W500" s="40"/>
      <c r="X500" s="41"/>
      <c r="Y500" s="41"/>
      <c r="Z500" s="40"/>
      <c r="AA500" s="40"/>
      <c r="AB500" s="41"/>
      <c r="AC500" s="41"/>
      <c r="AD500" s="40"/>
      <c r="AE500" s="40"/>
      <c r="AF500" s="42"/>
      <c r="AG500" s="42"/>
      <c r="AH500" s="40"/>
      <c r="AI500" s="40"/>
      <c r="AJ500" s="42"/>
      <c r="AK500" s="42"/>
      <c r="AL500" s="40"/>
      <c r="AM500" s="40"/>
      <c r="AN500" s="40"/>
      <c r="AO500" s="40"/>
      <c r="AP500" s="40"/>
      <c r="AQ500" s="40"/>
      <c r="AR500" s="39"/>
      <c r="AS500" s="39"/>
      <c r="AT500" s="40"/>
      <c r="AU500" s="40"/>
      <c r="AV500" s="23"/>
    </row>
    <row r="501" spans="1:48" ht="15.75" x14ac:dyDescent="0.25">
      <c r="A501" s="44"/>
      <c r="B501" s="23"/>
      <c r="C501" s="23"/>
      <c r="D501" s="39"/>
      <c r="E501" s="39"/>
      <c r="F501" s="40"/>
      <c r="G501" s="40"/>
      <c r="H501" s="41"/>
      <c r="I501" s="39"/>
      <c r="J501" s="40"/>
      <c r="K501" s="40"/>
      <c r="L501" s="41"/>
      <c r="M501" s="39"/>
      <c r="N501" s="40"/>
      <c r="O501" s="40"/>
      <c r="P501" s="39"/>
      <c r="Q501" s="39"/>
      <c r="R501" s="40"/>
      <c r="S501" s="40"/>
      <c r="T501" s="39"/>
      <c r="U501" s="39"/>
      <c r="V501" s="40"/>
      <c r="W501" s="40"/>
      <c r="X501" s="41"/>
      <c r="Y501" s="41"/>
      <c r="Z501" s="40"/>
      <c r="AA501" s="40"/>
      <c r="AB501" s="41"/>
      <c r="AC501" s="41"/>
      <c r="AD501" s="40"/>
      <c r="AE501" s="40"/>
      <c r="AF501" s="42"/>
      <c r="AG501" s="42"/>
      <c r="AH501" s="40"/>
      <c r="AI501" s="40"/>
      <c r="AJ501" s="42"/>
      <c r="AK501" s="42"/>
      <c r="AL501" s="40"/>
      <c r="AM501" s="40"/>
      <c r="AN501" s="40"/>
      <c r="AO501" s="40"/>
      <c r="AP501" s="40"/>
      <c r="AQ501" s="40"/>
      <c r="AR501" s="39"/>
      <c r="AS501" s="39"/>
      <c r="AT501" s="40"/>
      <c r="AU501" s="40"/>
      <c r="AV501" s="23"/>
    </row>
    <row r="502" spans="1:48" ht="15.75" x14ac:dyDescent="0.25">
      <c r="A502" s="44"/>
      <c r="B502" s="23"/>
      <c r="C502" s="23"/>
      <c r="D502" s="39"/>
      <c r="E502" s="39"/>
      <c r="F502" s="40"/>
      <c r="G502" s="40"/>
      <c r="H502" s="41"/>
      <c r="I502" s="39"/>
      <c r="J502" s="40"/>
      <c r="K502" s="40"/>
      <c r="L502" s="41"/>
      <c r="M502" s="39"/>
      <c r="N502" s="40"/>
      <c r="O502" s="40"/>
      <c r="P502" s="39"/>
      <c r="Q502" s="39"/>
      <c r="R502" s="40"/>
      <c r="S502" s="40"/>
      <c r="T502" s="39"/>
      <c r="U502" s="39"/>
      <c r="V502" s="40"/>
      <c r="W502" s="40"/>
      <c r="X502" s="41"/>
      <c r="Y502" s="41"/>
      <c r="Z502" s="40"/>
      <c r="AA502" s="40"/>
      <c r="AB502" s="41"/>
      <c r="AC502" s="41"/>
      <c r="AD502" s="40"/>
      <c r="AE502" s="40"/>
      <c r="AF502" s="42"/>
      <c r="AG502" s="42"/>
      <c r="AH502" s="40"/>
      <c r="AI502" s="40"/>
      <c r="AJ502" s="42"/>
      <c r="AK502" s="42"/>
      <c r="AL502" s="40"/>
      <c r="AM502" s="40"/>
      <c r="AN502" s="40"/>
      <c r="AO502" s="40"/>
      <c r="AP502" s="40"/>
      <c r="AQ502" s="40"/>
      <c r="AR502" s="39"/>
      <c r="AS502" s="39"/>
      <c r="AT502" s="40"/>
      <c r="AU502" s="40"/>
      <c r="AV502" s="23"/>
    </row>
    <row r="503" spans="1:48" ht="15.75" x14ac:dyDescent="0.25">
      <c r="A503" s="44"/>
      <c r="B503" s="23"/>
      <c r="C503" s="23"/>
      <c r="D503" s="39"/>
      <c r="E503" s="39"/>
      <c r="F503" s="40"/>
      <c r="G503" s="40"/>
      <c r="H503" s="41"/>
      <c r="I503" s="39"/>
      <c r="J503" s="40"/>
      <c r="K503" s="40"/>
      <c r="L503" s="41"/>
      <c r="M503" s="39"/>
      <c r="N503" s="40"/>
      <c r="O503" s="40"/>
      <c r="P503" s="39"/>
      <c r="Q503" s="39"/>
      <c r="R503" s="40"/>
      <c r="S503" s="40"/>
      <c r="T503" s="39"/>
      <c r="U503" s="39"/>
      <c r="V503" s="40"/>
      <c r="W503" s="40"/>
      <c r="X503" s="41"/>
      <c r="Y503" s="41"/>
      <c r="Z503" s="40"/>
      <c r="AA503" s="40"/>
      <c r="AB503" s="41"/>
      <c r="AC503" s="41"/>
      <c r="AD503" s="40"/>
      <c r="AE503" s="40"/>
      <c r="AF503" s="42"/>
      <c r="AG503" s="42"/>
      <c r="AH503" s="40"/>
      <c r="AI503" s="40"/>
      <c r="AJ503" s="42"/>
      <c r="AK503" s="42"/>
      <c r="AL503" s="40"/>
      <c r="AM503" s="40"/>
      <c r="AN503" s="40"/>
      <c r="AO503" s="40"/>
      <c r="AP503" s="40"/>
      <c r="AQ503" s="40"/>
      <c r="AR503" s="39"/>
      <c r="AS503" s="39"/>
      <c r="AT503" s="40"/>
      <c r="AU503" s="40"/>
      <c r="AV503" s="23"/>
    </row>
    <row r="504" spans="1:48" ht="15.75" x14ac:dyDescent="0.25">
      <c r="A504" s="44"/>
      <c r="B504" s="23"/>
      <c r="C504" s="23"/>
      <c r="D504" s="39"/>
      <c r="E504" s="39"/>
      <c r="F504" s="40"/>
      <c r="G504" s="40"/>
      <c r="H504" s="41"/>
      <c r="I504" s="39"/>
      <c r="J504" s="40"/>
      <c r="K504" s="40"/>
      <c r="L504" s="41"/>
      <c r="M504" s="39"/>
      <c r="N504" s="40"/>
      <c r="O504" s="40"/>
      <c r="P504" s="39"/>
      <c r="Q504" s="39"/>
      <c r="R504" s="40"/>
      <c r="S504" s="40"/>
      <c r="T504" s="39"/>
      <c r="U504" s="39"/>
      <c r="V504" s="40"/>
      <c r="W504" s="40"/>
      <c r="X504" s="41"/>
      <c r="Y504" s="41"/>
      <c r="Z504" s="40"/>
      <c r="AA504" s="40"/>
      <c r="AB504" s="41"/>
      <c r="AC504" s="41"/>
      <c r="AD504" s="40"/>
      <c r="AE504" s="40"/>
      <c r="AF504" s="42"/>
      <c r="AG504" s="42"/>
      <c r="AH504" s="40"/>
      <c r="AI504" s="40"/>
      <c r="AJ504" s="42"/>
      <c r="AK504" s="42"/>
      <c r="AL504" s="40"/>
      <c r="AM504" s="40"/>
      <c r="AN504" s="40"/>
      <c r="AO504" s="40"/>
      <c r="AP504" s="40"/>
      <c r="AQ504" s="40"/>
      <c r="AR504" s="39"/>
      <c r="AS504" s="39"/>
      <c r="AT504" s="40"/>
      <c r="AU504" s="40"/>
      <c r="AV504" s="23"/>
    </row>
    <row r="505" spans="1:48" ht="15.75" x14ac:dyDescent="0.25">
      <c r="A505" s="44"/>
      <c r="B505" s="23"/>
      <c r="C505" s="23"/>
      <c r="D505" s="39"/>
      <c r="E505" s="39"/>
      <c r="F505" s="40"/>
      <c r="G505" s="40"/>
      <c r="H505" s="41"/>
      <c r="I505" s="39"/>
      <c r="J505" s="40"/>
      <c r="K505" s="40"/>
      <c r="L505" s="41"/>
      <c r="M505" s="39"/>
      <c r="N505" s="40"/>
      <c r="O505" s="40"/>
      <c r="P505" s="39"/>
      <c r="Q505" s="39"/>
      <c r="R505" s="40"/>
      <c r="S505" s="40"/>
      <c r="T505" s="39"/>
      <c r="U505" s="39"/>
      <c r="V505" s="40"/>
      <c r="W505" s="40"/>
      <c r="X505" s="41"/>
      <c r="Y505" s="41"/>
      <c r="Z505" s="40"/>
      <c r="AA505" s="40"/>
      <c r="AB505" s="41"/>
      <c r="AC505" s="41"/>
      <c r="AD505" s="40"/>
      <c r="AE505" s="40"/>
      <c r="AF505" s="42"/>
      <c r="AG505" s="42"/>
      <c r="AH505" s="40"/>
      <c r="AI505" s="40"/>
      <c r="AJ505" s="42"/>
      <c r="AK505" s="42"/>
      <c r="AL505" s="40"/>
      <c r="AM505" s="40"/>
      <c r="AN505" s="40"/>
      <c r="AO505" s="40"/>
      <c r="AP505" s="40"/>
      <c r="AQ505" s="40"/>
      <c r="AR505" s="39"/>
      <c r="AS505" s="39"/>
      <c r="AT505" s="40"/>
      <c r="AU505" s="40"/>
      <c r="AV505" s="23"/>
    </row>
    <row r="506" spans="1:48" ht="15.75" x14ac:dyDescent="0.25">
      <c r="A506" s="44"/>
      <c r="B506" s="23"/>
      <c r="C506" s="23"/>
      <c r="D506" s="39"/>
      <c r="E506" s="39"/>
      <c r="F506" s="40"/>
      <c r="G506" s="40"/>
      <c r="H506" s="41"/>
      <c r="I506" s="39"/>
      <c r="J506" s="40"/>
      <c r="K506" s="40"/>
      <c r="L506" s="41"/>
      <c r="M506" s="39"/>
      <c r="N506" s="40"/>
      <c r="O506" s="40"/>
      <c r="P506" s="39"/>
      <c r="Q506" s="39"/>
      <c r="R506" s="40"/>
      <c r="S506" s="40"/>
      <c r="T506" s="39"/>
      <c r="U506" s="39"/>
      <c r="V506" s="40"/>
      <c r="W506" s="40"/>
      <c r="X506" s="41"/>
      <c r="Y506" s="41"/>
      <c r="Z506" s="40"/>
      <c r="AA506" s="40"/>
      <c r="AB506" s="41"/>
      <c r="AC506" s="41"/>
      <c r="AD506" s="40"/>
      <c r="AE506" s="40"/>
      <c r="AF506" s="42"/>
      <c r="AG506" s="42"/>
      <c r="AH506" s="40"/>
      <c r="AI506" s="40"/>
      <c r="AJ506" s="42"/>
      <c r="AK506" s="42"/>
      <c r="AL506" s="40"/>
      <c r="AM506" s="40"/>
      <c r="AN506" s="40"/>
      <c r="AO506" s="40"/>
      <c r="AP506" s="40"/>
      <c r="AQ506" s="40"/>
      <c r="AR506" s="39"/>
      <c r="AS506" s="39"/>
      <c r="AT506" s="40"/>
      <c r="AU506" s="40"/>
      <c r="AV506" s="23"/>
    </row>
    <row r="507" spans="1:48" ht="15.75" x14ac:dyDescent="0.25">
      <c r="A507" s="44"/>
      <c r="B507" s="23"/>
      <c r="C507" s="23"/>
      <c r="D507" s="39"/>
      <c r="E507" s="39"/>
      <c r="F507" s="40"/>
      <c r="G507" s="40"/>
      <c r="H507" s="41"/>
      <c r="I507" s="39"/>
      <c r="J507" s="40"/>
      <c r="K507" s="40"/>
      <c r="L507" s="41"/>
      <c r="M507" s="39"/>
      <c r="N507" s="40"/>
      <c r="O507" s="40"/>
      <c r="P507" s="39"/>
      <c r="Q507" s="39"/>
      <c r="R507" s="40"/>
      <c r="S507" s="40"/>
      <c r="T507" s="39"/>
      <c r="U507" s="39"/>
      <c r="V507" s="40"/>
      <c r="W507" s="40"/>
      <c r="X507" s="41"/>
      <c r="Y507" s="41"/>
      <c r="Z507" s="40"/>
      <c r="AA507" s="40"/>
      <c r="AB507" s="41"/>
      <c r="AC507" s="41"/>
      <c r="AD507" s="40"/>
      <c r="AE507" s="40"/>
      <c r="AF507" s="42"/>
      <c r="AG507" s="42"/>
      <c r="AH507" s="40"/>
      <c r="AI507" s="40"/>
      <c r="AJ507" s="42"/>
      <c r="AK507" s="42"/>
      <c r="AL507" s="40"/>
      <c r="AM507" s="40"/>
      <c r="AN507" s="40"/>
      <c r="AO507" s="40"/>
      <c r="AP507" s="40"/>
      <c r="AQ507" s="40"/>
      <c r="AR507" s="39"/>
      <c r="AS507" s="39"/>
      <c r="AT507" s="40"/>
      <c r="AU507" s="40"/>
      <c r="AV507" s="23"/>
    </row>
    <row r="508" spans="1:48" ht="15.75" x14ac:dyDescent="0.25">
      <c r="A508" s="44"/>
      <c r="B508" s="23"/>
      <c r="C508" s="23"/>
      <c r="D508" s="39"/>
      <c r="E508" s="39"/>
      <c r="F508" s="40"/>
      <c r="G508" s="40"/>
      <c r="H508" s="41"/>
      <c r="I508" s="39"/>
      <c r="J508" s="40"/>
      <c r="K508" s="40"/>
      <c r="L508" s="41"/>
      <c r="M508" s="39"/>
      <c r="N508" s="40"/>
      <c r="O508" s="40"/>
      <c r="P508" s="39"/>
      <c r="Q508" s="39"/>
      <c r="R508" s="40"/>
      <c r="S508" s="40"/>
      <c r="T508" s="39"/>
      <c r="U508" s="39"/>
      <c r="V508" s="40"/>
      <c r="W508" s="40"/>
      <c r="X508" s="41"/>
      <c r="Y508" s="41"/>
      <c r="Z508" s="40"/>
      <c r="AA508" s="40"/>
      <c r="AB508" s="41"/>
      <c r="AC508" s="41"/>
      <c r="AD508" s="40"/>
      <c r="AE508" s="40"/>
      <c r="AF508" s="42"/>
      <c r="AG508" s="42"/>
      <c r="AH508" s="40"/>
      <c r="AI508" s="40"/>
      <c r="AJ508" s="42"/>
      <c r="AK508" s="42"/>
      <c r="AL508" s="40"/>
      <c r="AM508" s="40"/>
      <c r="AN508" s="40"/>
      <c r="AO508" s="40"/>
      <c r="AP508" s="40"/>
      <c r="AQ508" s="40"/>
      <c r="AR508" s="39"/>
      <c r="AS508" s="39"/>
      <c r="AT508" s="40"/>
      <c r="AU508" s="40"/>
      <c r="AV508" s="23"/>
    </row>
    <row r="509" spans="1:48" ht="15.75" x14ac:dyDescent="0.25">
      <c r="A509" s="44"/>
      <c r="B509" s="23"/>
      <c r="C509" s="23"/>
      <c r="D509" s="39"/>
      <c r="E509" s="39"/>
      <c r="F509" s="40"/>
      <c r="G509" s="40"/>
      <c r="H509" s="41"/>
      <c r="I509" s="39"/>
      <c r="J509" s="40"/>
      <c r="K509" s="40"/>
      <c r="L509" s="41"/>
      <c r="M509" s="39"/>
      <c r="N509" s="40"/>
      <c r="O509" s="40"/>
      <c r="P509" s="39"/>
      <c r="Q509" s="39"/>
      <c r="R509" s="40"/>
      <c r="S509" s="40"/>
      <c r="T509" s="39"/>
      <c r="U509" s="39"/>
      <c r="V509" s="40"/>
      <c r="W509" s="40"/>
      <c r="X509" s="41"/>
      <c r="Y509" s="41"/>
      <c r="Z509" s="40"/>
      <c r="AA509" s="40"/>
      <c r="AB509" s="41"/>
      <c r="AC509" s="41"/>
      <c r="AD509" s="40"/>
      <c r="AE509" s="40"/>
      <c r="AF509" s="42"/>
      <c r="AG509" s="42"/>
      <c r="AH509" s="40"/>
      <c r="AI509" s="40"/>
      <c r="AJ509" s="42"/>
      <c r="AK509" s="42"/>
      <c r="AL509" s="40"/>
      <c r="AM509" s="40"/>
      <c r="AN509" s="40"/>
      <c r="AO509" s="40"/>
      <c r="AP509" s="40"/>
      <c r="AQ509" s="40"/>
      <c r="AR509" s="39"/>
      <c r="AS509" s="39"/>
      <c r="AT509" s="40"/>
      <c r="AU509" s="40"/>
      <c r="AV509" s="23"/>
    </row>
    <row r="510" spans="1:48" ht="15.75" x14ac:dyDescent="0.25">
      <c r="A510" s="44"/>
      <c r="B510" s="23"/>
      <c r="C510" s="23"/>
      <c r="D510" s="39"/>
      <c r="E510" s="39"/>
      <c r="F510" s="40"/>
      <c r="G510" s="40"/>
      <c r="H510" s="41"/>
      <c r="I510" s="39"/>
      <c r="J510" s="40"/>
      <c r="K510" s="40"/>
      <c r="L510" s="41"/>
      <c r="M510" s="39"/>
      <c r="N510" s="40"/>
      <c r="O510" s="40"/>
      <c r="P510" s="39"/>
      <c r="Q510" s="39"/>
      <c r="R510" s="40"/>
      <c r="S510" s="40"/>
      <c r="T510" s="39"/>
      <c r="U510" s="39"/>
      <c r="V510" s="40"/>
      <c r="W510" s="40"/>
      <c r="X510" s="41"/>
      <c r="Y510" s="41"/>
      <c r="Z510" s="40"/>
      <c r="AA510" s="40"/>
      <c r="AB510" s="41"/>
      <c r="AC510" s="41"/>
      <c r="AD510" s="40"/>
      <c r="AE510" s="40"/>
      <c r="AF510" s="42"/>
      <c r="AG510" s="42"/>
      <c r="AH510" s="40"/>
      <c r="AI510" s="40"/>
      <c r="AJ510" s="42"/>
      <c r="AK510" s="42"/>
      <c r="AL510" s="40"/>
      <c r="AM510" s="40"/>
      <c r="AN510" s="40"/>
      <c r="AO510" s="40"/>
      <c r="AP510" s="40"/>
      <c r="AQ510" s="40"/>
      <c r="AR510" s="39"/>
      <c r="AS510" s="39"/>
      <c r="AT510" s="40"/>
      <c r="AU510" s="40"/>
      <c r="AV510" s="23"/>
    </row>
    <row r="511" spans="1:48" ht="15.75" x14ac:dyDescent="0.25">
      <c r="A511" s="44"/>
      <c r="B511" s="23"/>
      <c r="C511" s="23"/>
      <c r="D511" s="39"/>
      <c r="E511" s="39"/>
      <c r="F511" s="40"/>
      <c r="G511" s="40"/>
      <c r="H511" s="41"/>
      <c r="I511" s="39"/>
      <c r="J511" s="40"/>
      <c r="K511" s="40"/>
      <c r="L511" s="41"/>
      <c r="M511" s="39"/>
      <c r="N511" s="40"/>
      <c r="O511" s="40"/>
      <c r="P511" s="39"/>
      <c r="Q511" s="39"/>
      <c r="R511" s="40"/>
      <c r="S511" s="40"/>
      <c r="T511" s="39"/>
      <c r="U511" s="39"/>
      <c r="V511" s="40"/>
      <c r="W511" s="40"/>
      <c r="X511" s="41"/>
      <c r="Y511" s="41"/>
      <c r="Z511" s="40"/>
      <c r="AA511" s="40"/>
      <c r="AB511" s="41"/>
      <c r="AC511" s="41"/>
      <c r="AD511" s="40"/>
      <c r="AE511" s="40"/>
      <c r="AF511" s="42"/>
      <c r="AG511" s="42"/>
      <c r="AH511" s="40"/>
      <c r="AI511" s="40"/>
      <c r="AJ511" s="42"/>
      <c r="AK511" s="42"/>
      <c r="AL511" s="40"/>
      <c r="AM511" s="40"/>
      <c r="AN511" s="40"/>
      <c r="AO511" s="40"/>
      <c r="AP511" s="40"/>
      <c r="AQ511" s="40"/>
      <c r="AR511" s="39"/>
      <c r="AS511" s="39"/>
      <c r="AT511" s="40"/>
      <c r="AU511" s="40"/>
      <c r="AV511" s="23"/>
    </row>
    <row r="512" spans="1:48" ht="15.75" x14ac:dyDescent="0.25">
      <c r="A512" s="44"/>
      <c r="B512" s="23"/>
      <c r="C512" s="23"/>
      <c r="D512" s="39"/>
      <c r="E512" s="39"/>
      <c r="F512" s="40"/>
      <c r="G512" s="40"/>
      <c r="H512" s="41"/>
      <c r="I512" s="39"/>
      <c r="J512" s="40"/>
      <c r="K512" s="40"/>
      <c r="L512" s="41"/>
      <c r="M512" s="39"/>
      <c r="N512" s="40"/>
      <c r="O512" s="40"/>
      <c r="P512" s="39"/>
      <c r="Q512" s="39"/>
      <c r="R512" s="40"/>
      <c r="S512" s="40"/>
      <c r="T512" s="39"/>
      <c r="U512" s="39"/>
      <c r="V512" s="40"/>
      <c r="W512" s="40"/>
      <c r="X512" s="41"/>
      <c r="Y512" s="41"/>
      <c r="Z512" s="40"/>
      <c r="AA512" s="40"/>
      <c r="AB512" s="41"/>
      <c r="AC512" s="41"/>
      <c r="AD512" s="40"/>
      <c r="AE512" s="40"/>
      <c r="AF512" s="42"/>
      <c r="AG512" s="42"/>
      <c r="AH512" s="40"/>
      <c r="AI512" s="40"/>
      <c r="AJ512" s="42"/>
      <c r="AK512" s="42"/>
      <c r="AL512" s="40"/>
      <c r="AM512" s="40"/>
      <c r="AN512" s="40"/>
      <c r="AO512" s="40"/>
      <c r="AP512" s="40"/>
      <c r="AQ512" s="40"/>
      <c r="AR512" s="39"/>
      <c r="AS512" s="39"/>
      <c r="AT512" s="40"/>
      <c r="AU512" s="40"/>
      <c r="AV512" s="23"/>
    </row>
    <row r="513" spans="1:48" ht="15.75" x14ac:dyDescent="0.25">
      <c r="A513" s="44"/>
      <c r="B513" s="23"/>
      <c r="C513" s="23"/>
      <c r="D513" s="39"/>
      <c r="E513" s="39"/>
      <c r="F513" s="40"/>
      <c r="G513" s="40"/>
      <c r="H513" s="41"/>
      <c r="I513" s="39"/>
      <c r="J513" s="40"/>
      <c r="K513" s="40"/>
      <c r="L513" s="41"/>
      <c r="M513" s="39"/>
      <c r="N513" s="40"/>
      <c r="O513" s="40"/>
      <c r="P513" s="39"/>
      <c r="Q513" s="39"/>
      <c r="R513" s="40"/>
      <c r="S513" s="40"/>
      <c r="T513" s="39"/>
      <c r="U513" s="39"/>
      <c r="V513" s="40"/>
      <c r="W513" s="40"/>
      <c r="X513" s="41"/>
      <c r="Y513" s="41"/>
      <c r="Z513" s="40"/>
      <c r="AA513" s="40"/>
      <c r="AB513" s="41"/>
      <c r="AC513" s="41"/>
      <c r="AD513" s="40"/>
      <c r="AE513" s="40"/>
      <c r="AF513" s="42"/>
      <c r="AG513" s="42"/>
      <c r="AH513" s="40"/>
      <c r="AI513" s="40"/>
      <c r="AJ513" s="42"/>
      <c r="AK513" s="42"/>
      <c r="AL513" s="40"/>
      <c r="AM513" s="40"/>
      <c r="AN513" s="40"/>
      <c r="AO513" s="40"/>
      <c r="AP513" s="40"/>
      <c r="AQ513" s="40"/>
      <c r="AR513" s="39"/>
      <c r="AS513" s="39"/>
      <c r="AT513" s="40"/>
      <c r="AU513" s="40"/>
      <c r="AV513" s="23"/>
    </row>
    <row r="514" spans="1:48" ht="15.75" x14ac:dyDescent="0.25">
      <c r="A514" s="44"/>
      <c r="B514" s="23"/>
      <c r="C514" s="23"/>
      <c r="D514" s="39"/>
      <c r="E514" s="39"/>
      <c r="F514" s="40"/>
      <c r="G514" s="40"/>
      <c r="H514" s="41"/>
      <c r="I514" s="39"/>
      <c r="J514" s="40"/>
      <c r="K514" s="40"/>
      <c r="L514" s="41"/>
      <c r="M514" s="39"/>
      <c r="N514" s="40"/>
      <c r="O514" s="40"/>
      <c r="P514" s="39"/>
      <c r="Q514" s="39"/>
      <c r="R514" s="40"/>
      <c r="S514" s="40"/>
      <c r="T514" s="39"/>
      <c r="U514" s="39"/>
      <c r="V514" s="40"/>
      <c r="W514" s="40"/>
      <c r="X514" s="41"/>
      <c r="Y514" s="41"/>
      <c r="Z514" s="40"/>
      <c r="AA514" s="40"/>
      <c r="AB514" s="41"/>
      <c r="AC514" s="41"/>
      <c r="AD514" s="40"/>
      <c r="AE514" s="40"/>
      <c r="AF514" s="42"/>
      <c r="AG514" s="42"/>
      <c r="AH514" s="40"/>
      <c r="AI514" s="40"/>
      <c r="AJ514" s="42"/>
      <c r="AK514" s="42"/>
      <c r="AL514" s="40"/>
      <c r="AM514" s="40"/>
      <c r="AN514" s="40"/>
      <c r="AO514" s="40"/>
      <c r="AP514" s="40"/>
      <c r="AQ514" s="40"/>
      <c r="AR514" s="39"/>
      <c r="AS514" s="39"/>
      <c r="AT514" s="40"/>
      <c r="AU514" s="40"/>
      <c r="AV514" s="23"/>
    </row>
    <row r="515" spans="1:48" ht="15.75" x14ac:dyDescent="0.25">
      <c r="A515" s="44"/>
      <c r="B515" s="23"/>
      <c r="C515" s="23"/>
      <c r="D515" s="39"/>
      <c r="E515" s="39"/>
      <c r="F515" s="40"/>
      <c r="G515" s="40"/>
      <c r="H515" s="41"/>
      <c r="I515" s="39"/>
      <c r="J515" s="40"/>
      <c r="K515" s="40"/>
      <c r="L515" s="41"/>
      <c r="M515" s="39"/>
      <c r="N515" s="40"/>
      <c r="O515" s="40"/>
      <c r="P515" s="39"/>
      <c r="Q515" s="39"/>
      <c r="R515" s="40"/>
      <c r="S515" s="40"/>
      <c r="T515" s="39"/>
      <c r="U515" s="39"/>
      <c r="V515" s="40"/>
      <c r="W515" s="40"/>
      <c r="X515" s="41"/>
      <c r="Y515" s="41"/>
      <c r="Z515" s="40"/>
      <c r="AA515" s="40"/>
      <c r="AB515" s="41"/>
      <c r="AC515" s="41"/>
      <c r="AD515" s="40"/>
      <c r="AE515" s="40"/>
      <c r="AF515" s="42"/>
      <c r="AG515" s="42"/>
      <c r="AH515" s="40"/>
      <c r="AI515" s="40"/>
      <c r="AJ515" s="42"/>
      <c r="AK515" s="42"/>
      <c r="AL515" s="40"/>
      <c r="AM515" s="40"/>
      <c r="AN515" s="40"/>
      <c r="AO515" s="40"/>
      <c r="AP515" s="40"/>
      <c r="AQ515" s="40"/>
      <c r="AR515" s="39"/>
      <c r="AS515" s="39"/>
      <c r="AT515" s="40"/>
      <c r="AU515" s="40"/>
      <c r="AV515" s="23"/>
    </row>
    <row r="516" spans="1:48" ht="15.75" x14ac:dyDescent="0.25">
      <c r="A516" s="44"/>
      <c r="B516" s="23"/>
      <c r="C516" s="23"/>
      <c r="D516" s="39"/>
      <c r="E516" s="39"/>
      <c r="F516" s="40"/>
      <c r="G516" s="40"/>
      <c r="H516" s="41"/>
      <c r="I516" s="39"/>
      <c r="J516" s="40"/>
      <c r="K516" s="40"/>
      <c r="L516" s="41"/>
      <c r="M516" s="39"/>
      <c r="N516" s="40"/>
      <c r="O516" s="40"/>
      <c r="P516" s="39"/>
      <c r="Q516" s="39"/>
      <c r="R516" s="40"/>
      <c r="S516" s="40"/>
      <c r="T516" s="39"/>
      <c r="U516" s="39"/>
      <c r="V516" s="40"/>
      <c r="W516" s="40"/>
      <c r="X516" s="41"/>
      <c r="Y516" s="41"/>
      <c r="Z516" s="40"/>
      <c r="AA516" s="40"/>
      <c r="AB516" s="41"/>
      <c r="AC516" s="41"/>
      <c r="AD516" s="40"/>
      <c r="AE516" s="40"/>
      <c r="AF516" s="42"/>
      <c r="AG516" s="42"/>
      <c r="AH516" s="40"/>
      <c r="AI516" s="40"/>
      <c r="AJ516" s="42"/>
      <c r="AK516" s="42"/>
      <c r="AL516" s="40"/>
      <c r="AM516" s="40"/>
      <c r="AN516" s="40"/>
      <c r="AO516" s="40"/>
      <c r="AP516" s="40"/>
      <c r="AQ516" s="40"/>
      <c r="AR516" s="39"/>
      <c r="AS516" s="39"/>
      <c r="AT516" s="40"/>
      <c r="AU516" s="40"/>
      <c r="AV516" s="23"/>
    </row>
    <row r="517" spans="1:48" ht="15.75" x14ac:dyDescent="0.25">
      <c r="A517" s="44"/>
      <c r="B517" s="23"/>
      <c r="C517" s="23"/>
      <c r="D517" s="39"/>
      <c r="E517" s="39"/>
      <c r="F517" s="40"/>
      <c r="G517" s="40"/>
      <c r="H517" s="41"/>
      <c r="I517" s="39"/>
      <c r="J517" s="40"/>
      <c r="K517" s="40"/>
      <c r="L517" s="41"/>
      <c r="M517" s="39"/>
      <c r="N517" s="40"/>
      <c r="O517" s="40"/>
      <c r="P517" s="39"/>
      <c r="Q517" s="39"/>
      <c r="R517" s="40"/>
      <c r="S517" s="40"/>
      <c r="T517" s="39"/>
      <c r="U517" s="39"/>
      <c r="V517" s="40"/>
      <c r="W517" s="40"/>
      <c r="X517" s="41"/>
      <c r="Y517" s="41"/>
      <c r="Z517" s="40"/>
      <c r="AA517" s="40"/>
      <c r="AB517" s="41"/>
      <c r="AC517" s="41"/>
      <c r="AD517" s="40"/>
      <c r="AE517" s="40"/>
      <c r="AF517" s="42"/>
      <c r="AG517" s="42"/>
      <c r="AH517" s="40"/>
      <c r="AI517" s="40"/>
      <c r="AJ517" s="42"/>
      <c r="AK517" s="42"/>
      <c r="AL517" s="40"/>
      <c r="AM517" s="40"/>
      <c r="AN517" s="40"/>
      <c r="AO517" s="40"/>
      <c r="AP517" s="40"/>
      <c r="AQ517" s="40"/>
      <c r="AR517" s="39"/>
      <c r="AS517" s="39"/>
      <c r="AT517" s="40"/>
      <c r="AU517" s="40"/>
      <c r="AV517" s="23"/>
    </row>
    <row r="518" spans="1:48" ht="15.75" x14ac:dyDescent="0.25">
      <c r="A518" s="44"/>
      <c r="B518" s="23"/>
      <c r="C518" s="23"/>
      <c r="D518" s="39"/>
      <c r="E518" s="39"/>
      <c r="F518" s="40"/>
      <c r="G518" s="40"/>
      <c r="H518" s="41"/>
      <c r="I518" s="39"/>
      <c r="J518" s="40"/>
      <c r="K518" s="40"/>
      <c r="L518" s="41"/>
      <c r="M518" s="39"/>
      <c r="N518" s="40"/>
      <c r="O518" s="40"/>
      <c r="P518" s="39"/>
      <c r="Q518" s="39"/>
      <c r="R518" s="40"/>
      <c r="S518" s="40"/>
      <c r="T518" s="39"/>
      <c r="U518" s="39"/>
      <c r="V518" s="40"/>
      <c r="W518" s="40"/>
      <c r="X518" s="41"/>
      <c r="Y518" s="41"/>
      <c r="Z518" s="40"/>
      <c r="AA518" s="40"/>
      <c r="AB518" s="41"/>
      <c r="AC518" s="41"/>
      <c r="AD518" s="40"/>
      <c r="AE518" s="40"/>
      <c r="AF518" s="42"/>
      <c r="AG518" s="42"/>
      <c r="AH518" s="40"/>
      <c r="AI518" s="40"/>
      <c r="AJ518" s="42"/>
      <c r="AK518" s="42"/>
      <c r="AL518" s="40"/>
      <c r="AM518" s="40"/>
      <c r="AN518" s="40"/>
      <c r="AO518" s="40"/>
      <c r="AP518" s="40"/>
      <c r="AQ518" s="40"/>
      <c r="AR518" s="39"/>
      <c r="AS518" s="39"/>
      <c r="AT518" s="40"/>
      <c r="AU518" s="40"/>
      <c r="AV518" s="23"/>
    </row>
    <row r="519" spans="1:48" ht="15.75" x14ac:dyDescent="0.25">
      <c r="A519" s="44"/>
      <c r="B519" s="23"/>
      <c r="C519" s="23"/>
      <c r="D519" s="39"/>
      <c r="E519" s="39"/>
      <c r="F519" s="40"/>
      <c r="G519" s="40"/>
      <c r="H519" s="41"/>
      <c r="I519" s="39"/>
      <c r="J519" s="40"/>
      <c r="K519" s="40"/>
      <c r="L519" s="41"/>
      <c r="M519" s="39"/>
      <c r="N519" s="40"/>
      <c r="O519" s="40"/>
      <c r="P519" s="39"/>
      <c r="Q519" s="39"/>
      <c r="R519" s="40"/>
      <c r="S519" s="40"/>
      <c r="T519" s="39"/>
      <c r="U519" s="39"/>
      <c r="V519" s="40"/>
      <c r="W519" s="40"/>
      <c r="X519" s="41"/>
      <c r="Y519" s="41"/>
      <c r="Z519" s="40"/>
      <c r="AA519" s="40"/>
      <c r="AB519" s="41"/>
      <c r="AC519" s="41"/>
      <c r="AD519" s="40"/>
      <c r="AE519" s="40"/>
      <c r="AF519" s="42"/>
      <c r="AG519" s="42"/>
      <c r="AH519" s="40"/>
      <c r="AI519" s="40"/>
      <c r="AJ519" s="42"/>
      <c r="AK519" s="42"/>
      <c r="AL519" s="40"/>
      <c r="AM519" s="40"/>
      <c r="AN519" s="40"/>
      <c r="AO519" s="40"/>
      <c r="AP519" s="40"/>
      <c r="AQ519" s="40"/>
      <c r="AR519" s="39"/>
      <c r="AS519" s="39"/>
      <c r="AT519" s="40"/>
      <c r="AU519" s="40"/>
      <c r="AV519" s="23"/>
    </row>
    <row r="520" spans="1:48" ht="15.75" x14ac:dyDescent="0.25">
      <c r="A520" s="44"/>
      <c r="B520" s="23"/>
      <c r="C520" s="23"/>
      <c r="D520" s="39"/>
      <c r="E520" s="39"/>
      <c r="F520" s="40"/>
      <c r="G520" s="40"/>
      <c r="H520" s="41"/>
      <c r="I520" s="39"/>
      <c r="J520" s="40"/>
      <c r="K520" s="40"/>
      <c r="L520" s="41"/>
      <c r="M520" s="39"/>
      <c r="N520" s="40"/>
      <c r="O520" s="40"/>
      <c r="P520" s="39"/>
      <c r="Q520" s="39"/>
      <c r="R520" s="40"/>
      <c r="S520" s="40"/>
      <c r="T520" s="39"/>
      <c r="U520" s="39"/>
      <c r="V520" s="40"/>
      <c r="W520" s="40"/>
      <c r="X520" s="41"/>
      <c r="Y520" s="41"/>
      <c r="Z520" s="40"/>
      <c r="AA520" s="40"/>
      <c r="AB520" s="41"/>
      <c r="AC520" s="41"/>
      <c r="AD520" s="40"/>
      <c r="AE520" s="40"/>
      <c r="AF520" s="42"/>
      <c r="AG520" s="42"/>
      <c r="AH520" s="40"/>
      <c r="AI520" s="40"/>
      <c r="AJ520" s="42"/>
      <c r="AK520" s="42"/>
      <c r="AL520" s="40"/>
      <c r="AM520" s="40"/>
      <c r="AN520" s="40"/>
      <c r="AO520" s="40"/>
      <c r="AP520" s="40"/>
      <c r="AQ520" s="40"/>
      <c r="AR520" s="39"/>
      <c r="AS520" s="39"/>
      <c r="AT520" s="40"/>
      <c r="AU520" s="40"/>
      <c r="AV520" s="23"/>
    </row>
    <row r="521" spans="1:48" ht="15.75" x14ac:dyDescent="0.25">
      <c r="A521" s="44"/>
      <c r="B521" s="23"/>
      <c r="C521" s="23"/>
      <c r="D521" s="39"/>
      <c r="E521" s="39"/>
      <c r="F521" s="40"/>
      <c r="G521" s="40"/>
      <c r="H521" s="41"/>
      <c r="I521" s="39"/>
      <c r="J521" s="40"/>
      <c r="K521" s="40"/>
      <c r="L521" s="41"/>
      <c r="M521" s="39"/>
      <c r="N521" s="40"/>
      <c r="O521" s="40"/>
      <c r="P521" s="39"/>
      <c r="Q521" s="39"/>
      <c r="R521" s="40"/>
      <c r="S521" s="40"/>
      <c r="T521" s="39"/>
      <c r="U521" s="39"/>
      <c r="V521" s="40"/>
      <c r="W521" s="40"/>
      <c r="X521" s="41"/>
      <c r="Y521" s="41"/>
      <c r="Z521" s="40"/>
      <c r="AA521" s="40"/>
      <c r="AB521" s="41"/>
      <c r="AC521" s="41"/>
      <c r="AD521" s="40"/>
      <c r="AE521" s="40"/>
      <c r="AF521" s="42"/>
      <c r="AG521" s="42"/>
      <c r="AH521" s="40"/>
      <c r="AI521" s="40"/>
      <c r="AJ521" s="42"/>
      <c r="AK521" s="42"/>
      <c r="AL521" s="40"/>
      <c r="AM521" s="40"/>
      <c r="AN521" s="40"/>
      <c r="AO521" s="40"/>
      <c r="AP521" s="40"/>
      <c r="AQ521" s="40"/>
      <c r="AR521" s="39"/>
      <c r="AS521" s="39"/>
      <c r="AT521" s="40"/>
      <c r="AU521" s="40"/>
      <c r="AV521" s="23"/>
    </row>
    <row r="522" spans="1:48" ht="15.75" x14ac:dyDescent="0.25">
      <c r="A522" s="44"/>
      <c r="B522" s="23"/>
      <c r="C522" s="23"/>
      <c r="D522" s="39"/>
      <c r="E522" s="39"/>
      <c r="F522" s="40"/>
      <c r="G522" s="40"/>
      <c r="H522" s="41"/>
      <c r="I522" s="39"/>
      <c r="J522" s="40"/>
      <c r="K522" s="40"/>
      <c r="L522" s="41"/>
      <c r="M522" s="39"/>
      <c r="N522" s="40"/>
      <c r="O522" s="40"/>
      <c r="P522" s="39"/>
      <c r="Q522" s="39"/>
      <c r="R522" s="40"/>
      <c r="S522" s="40"/>
      <c r="T522" s="39"/>
      <c r="U522" s="39"/>
      <c r="V522" s="40"/>
      <c r="W522" s="40"/>
      <c r="X522" s="41"/>
      <c r="Y522" s="41"/>
      <c r="Z522" s="40"/>
      <c r="AA522" s="40"/>
      <c r="AB522" s="41"/>
      <c r="AC522" s="41"/>
      <c r="AD522" s="40"/>
      <c r="AE522" s="40"/>
      <c r="AF522" s="42"/>
      <c r="AG522" s="42"/>
      <c r="AH522" s="40"/>
      <c r="AI522" s="40"/>
      <c r="AJ522" s="42"/>
      <c r="AK522" s="42"/>
      <c r="AL522" s="40"/>
      <c r="AM522" s="40"/>
      <c r="AN522" s="40"/>
      <c r="AO522" s="40"/>
      <c r="AP522" s="40"/>
      <c r="AQ522" s="40"/>
      <c r="AR522" s="39"/>
      <c r="AS522" s="39"/>
      <c r="AT522" s="40"/>
      <c r="AU522" s="40"/>
      <c r="AV522" s="23"/>
    </row>
    <row r="523" spans="1:48" ht="15.75" x14ac:dyDescent="0.25">
      <c r="A523" s="44"/>
      <c r="B523" s="23"/>
      <c r="C523" s="23"/>
      <c r="D523" s="39"/>
      <c r="E523" s="39"/>
      <c r="F523" s="40"/>
      <c r="G523" s="40"/>
      <c r="H523" s="41"/>
      <c r="I523" s="39"/>
      <c r="J523" s="40"/>
      <c r="K523" s="40"/>
      <c r="L523" s="41"/>
      <c r="M523" s="39"/>
      <c r="N523" s="40"/>
      <c r="O523" s="40"/>
      <c r="P523" s="39"/>
      <c r="Q523" s="39"/>
      <c r="R523" s="40"/>
      <c r="S523" s="40"/>
      <c r="T523" s="39"/>
      <c r="U523" s="39"/>
      <c r="V523" s="40"/>
      <c r="W523" s="40"/>
      <c r="X523" s="41"/>
      <c r="Y523" s="41"/>
      <c r="Z523" s="40"/>
      <c r="AA523" s="40"/>
      <c r="AB523" s="41"/>
      <c r="AC523" s="41"/>
      <c r="AD523" s="40"/>
      <c r="AE523" s="40"/>
      <c r="AF523" s="42"/>
      <c r="AG523" s="42"/>
      <c r="AH523" s="40"/>
      <c r="AI523" s="40"/>
      <c r="AJ523" s="42"/>
      <c r="AK523" s="42"/>
      <c r="AL523" s="40"/>
      <c r="AM523" s="40"/>
      <c r="AN523" s="40"/>
      <c r="AO523" s="40"/>
      <c r="AP523" s="40"/>
      <c r="AQ523" s="40"/>
      <c r="AR523" s="39"/>
      <c r="AS523" s="39"/>
      <c r="AT523" s="40"/>
      <c r="AU523" s="40"/>
      <c r="AV523" s="23"/>
    </row>
    <row r="524" spans="1:48" ht="15.75" x14ac:dyDescent="0.25">
      <c r="A524" s="44"/>
      <c r="B524" s="23"/>
      <c r="C524" s="23"/>
      <c r="D524" s="39"/>
      <c r="E524" s="39"/>
      <c r="F524" s="40"/>
      <c r="G524" s="40"/>
      <c r="H524" s="41"/>
      <c r="I524" s="39"/>
      <c r="J524" s="40"/>
      <c r="K524" s="40"/>
      <c r="L524" s="41"/>
      <c r="M524" s="39"/>
      <c r="N524" s="40"/>
      <c r="O524" s="40"/>
      <c r="P524" s="39"/>
      <c r="Q524" s="39"/>
      <c r="R524" s="40"/>
      <c r="S524" s="40"/>
      <c r="T524" s="39"/>
      <c r="U524" s="39"/>
      <c r="V524" s="40"/>
      <c r="W524" s="40"/>
      <c r="X524" s="41"/>
      <c r="Y524" s="41"/>
      <c r="Z524" s="40"/>
      <c r="AA524" s="40"/>
      <c r="AB524" s="41"/>
      <c r="AC524" s="41"/>
      <c r="AD524" s="40"/>
      <c r="AE524" s="40"/>
      <c r="AF524" s="42"/>
      <c r="AG524" s="42"/>
      <c r="AH524" s="40"/>
      <c r="AI524" s="40"/>
      <c r="AJ524" s="42"/>
      <c r="AK524" s="42"/>
      <c r="AL524" s="40"/>
      <c r="AM524" s="40"/>
      <c r="AN524" s="40"/>
      <c r="AO524" s="40"/>
      <c r="AP524" s="40"/>
      <c r="AQ524" s="40"/>
      <c r="AR524" s="39"/>
      <c r="AS524" s="39"/>
      <c r="AT524" s="40"/>
      <c r="AU524" s="40"/>
      <c r="AV524" s="23"/>
    </row>
    <row r="525" spans="1:48" ht="15.75" x14ac:dyDescent="0.25">
      <c r="A525" s="44"/>
      <c r="B525" s="23"/>
      <c r="C525" s="23"/>
      <c r="D525" s="39"/>
      <c r="E525" s="39"/>
      <c r="F525" s="40"/>
      <c r="G525" s="40"/>
      <c r="H525" s="41"/>
      <c r="I525" s="39"/>
      <c r="J525" s="40"/>
      <c r="K525" s="40"/>
      <c r="L525" s="41"/>
      <c r="M525" s="39"/>
      <c r="N525" s="40"/>
      <c r="O525" s="40"/>
      <c r="P525" s="39"/>
      <c r="Q525" s="39"/>
      <c r="R525" s="40"/>
      <c r="S525" s="40"/>
      <c r="T525" s="39"/>
      <c r="U525" s="39"/>
      <c r="V525" s="40"/>
      <c r="W525" s="40"/>
      <c r="X525" s="41"/>
      <c r="Y525" s="41"/>
      <c r="Z525" s="40"/>
      <c r="AA525" s="40"/>
      <c r="AB525" s="41"/>
      <c r="AC525" s="41"/>
      <c r="AD525" s="40"/>
      <c r="AE525" s="40"/>
      <c r="AF525" s="42"/>
      <c r="AG525" s="42"/>
      <c r="AH525" s="40"/>
      <c r="AI525" s="40"/>
      <c r="AJ525" s="42"/>
      <c r="AK525" s="42"/>
      <c r="AL525" s="40"/>
      <c r="AM525" s="40"/>
      <c r="AN525" s="40"/>
      <c r="AO525" s="40"/>
      <c r="AP525" s="40"/>
      <c r="AQ525" s="40"/>
      <c r="AR525" s="39"/>
      <c r="AS525" s="39"/>
      <c r="AT525" s="40"/>
      <c r="AU525" s="40"/>
      <c r="AV525" s="23"/>
    </row>
    <row r="526" spans="1:48" ht="15.75" x14ac:dyDescent="0.25">
      <c r="A526" s="44"/>
      <c r="B526" s="23"/>
      <c r="C526" s="23"/>
      <c r="D526" s="39"/>
      <c r="E526" s="39"/>
      <c r="F526" s="40"/>
      <c r="G526" s="40"/>
      <c r="H526" s="41"/>
      <c r="I526" s="39"/>
      <c r="J526" s="40"/>
      <c r="K526" s="40"/>
      <c r="L526" s="41"/>
      <c r="M526" s="39"/>
      <c r="N526" s="40"/>
      <c r="O526" s="40"/>
      <c r="P526" s="39"/>
      <c r="Q526" s="39"/>
      <c r="R526" s="40"/>
      <c r="S526" s="40"/>
      <c r="T526" s="39"/>
      <c r="U526" s="39"/>
      <c r="V526" s="40"/>
      <c r="W526" s="40"/>
      <c r="X526" s="41"/>
      <c r="Y526" s="41"/>
      <c r="Z526" s="40"/>
      <c r="AA526" s="40"/>
      <c r="AB526" s="41"/>
      <c r="AC526" s="41"/>
      <c r="AD526" s="40"/>
      <c r="AE526" s="40"/>
      <c r="AF526" s="42"/>
      <c r="AG526" s="42"/>
      <c r="AH526" s="40"/>
      <c r="AI526" s="40"/>
      <c r="AJ526" s="42"/>
      <c r="AK526" s="42"/>
      <c r="AL526" s="40"/>
      <c r="AM526" s="40"/>
      <c r="AN526" s="40"/>
      <c r="AO526" s="40"/>
      <c r="AP526" s="40"/>
      <c r="AQ526" s="40"/>
      <c r="AR526" s="39"/>
      <c r="AS526" s="39"/>
      <c r="AT526" s="40"/>
      <c r="AU526" s="40"/>
      <c r="AV526" s="23"/>
    </row>
    <row r="527" spans="1:48" ht="15.75" x14ac:dyDescent="0.25">
      <c r="A527" s="44"/>
      <c r="B527" s="23"/>
      <c r="C527" s="23"/>
      <c r="D527" s="39"/>
      <c r="E527" s="39"/>
      <c r="F527" s="40"/>
      <c r="G527" s="40"/>
      <c r="H527" s="41"/>
      <c r="I527" s="39"/>
      <c r="J527" s="40"/>
      <c r="K527" s="40"/>
      <c r="L527" s="41"/>
      <c r="M527" s="39"/>
      <c r="N527" s="40"/>
      <c r="O527" s="40"/>
      <c r="P527" s="39"/>
      <c r="Q527" s="39"/>
      <c r="R527" s="40"/>
      <c r="S527" s="40"/>
      <c r="T527" s="39"/>
      <c r="U527" s="39"/>
      <c r="V527" s="40"/>
      <c r="W527" s="40"/>
      <c r="X527" s="41"/>
      <c r="Y527" s="41"/>
      <c r="Z527" s="40"/>
      <c r="AA527" s="40"/>
      <c r="AB527" s="41"/>
      <c r="AC527" s="41"/>
      <c r="AD527" s="40"/>
      <c r="AE527" s="40"/>
      <c r="AF527" s="42"/>
      <c r="AG527" s="42"/>
      <c r="AH527" s="40"/>
      <c r="AI527" s="40"/>
      <c r="AJ527" s="42"/>
      <c r="AK527" s="42"/>
      <c r="AL527" s="40"/>
      <c r="AM527" s="40"/>
      <c r="AN527" s="40"/>
      <c r="AO527" s="40"/>
      <c r="AP527" s="40"/>
      <c r="AQ527" s="40"/>
      <c r="AR527" s="39"/>
      <c r="AS527" s="39"/>
      <c r="AT527" s="40"/>
      <c r="AU527" s="40"/>
      <c r="AV527" s="23"/>
    </row>
    <row r="528" spans="1:48" ht="15.75" x14ac:dyDescent="0.25">
      <c r="A528" s="44"/>
      <c r="B528" s="23"/>
      <c r="C528" s="23"/>
      <c r="D528" s="39"/>
      <c r="E528" s="39"/>
      <c r="F528" s="40"/>
      <c r="G528" s="40"/>
      <c r="H528" s="41"/>
      <c r="I528" s="39"/>
      <c r="J528" s="40"/>
      <c r="K528" s="40"/>
      <c r="L528" s="41"/>
      <c r="M528" s="39"/>
      <c r="N528" s="40"/>
      <c r="O528" s="40"/>
      <c r="P528" s="39"/>
      <c r="Q528" s="39"/>
      <c r="R528" s="40"/>
      <c r="S528" s="40"/>
      <c r="T528" s="39"/>
      <c r="U528" s="39"/>
      <c r="V528" s="40"/>
      <c r="W528" s="40"/>
      <c r="X528" s="41"/>
      <c r="Y528" s="41"/>
      <c r="Z528" s="40"/>
      <c r="AA528" s="40"/>
      <c r="AB528" s="41"/>
      <c r="AC528" s="41"/>
      <c r="AD528" s="40"/>
      <c r="AE528" s="40"/>
      <c r="AF528" s="42"/>
      <c r="AG528" s="42"/>
      <c r="AH528" s="40"/>
      <c r="AI528" s="40"/>
      <c r="AJ528" s="42"/>
      <c r="AK528" s="42"/>
      <c r="AL528" s="40"/>
      <c r="AM528" s="40"/>
      <c r="AN528" s="40"/>
      <c r="AO528" s="40"/>
      <c r="AP528" s="40"/>
      <c r="AQ528" s="40"/>
      <c r="AR528" s="39"/>
      <c r="AS528" s="39"/>
      <c r="AT528" s="40"/>
      <c r="AU528" s="40"/>
      <c r="AV528" s="23"/>
    </row>
    <row r="529" spans="1:48" ht="15.75" x14ac:dyDescent="0.25">
      <c r="A529" s="44"/>
      <c r="B529" s="23"/>
      <c r="C529" s="23"/>
      <c r="D529" s="39"/>
      <c r="E529" s="39"/>
      <c r="F529" s="40"/>
      <c r="G529" s="40"/>
      <c r="H529" s="41"/>
      <c r="I529" s="39"/>
      <c r="J529" s="40"/>
      <c r="K529" s="40"/>
      <c r="L529" s="41"/>
      <c r="M529" s="39"/>
      <c r="N529" s="40"/>
      <c r="O529" s="40"/>
      <c r="P529" s="39"/>
      <c r="Q529" s="39"/>
      <c r="R529" s="40"/>
      <c r="S529" s="40"/>
      <c r="T529" s="39"/>
      <c r="U529" s="39"/>
      <c r="V529" s="40"/>
      <c r="W529" s="40"/>
      <c r="X529" s="41"/>
      <c r="Y529" s="41"/>
      <c r="Z529" s="40"/>
      <c r="AA529" s="40"/>
      <c r="AB529" s="41"/>
      <c r="AC529" s="41"/>
      <c r="AD529" s="40"/>
      <c r="AE529" s="40"/>
      <c r="AF529" s="42"/>
      <c r="AG529" s="42"/>
      <c r="AH529" s="40"/>
      <c r="AI529" s="40"/>
      <c r="AJ529" s="42"/>
      <c r="AK529" s="42"/>
      <c r="AL529" s="40"/>
      <c r="AM529" s="40"/>
      <c r="AN529" s="40"/>
      <c r="AO529" s="40"/>
      <c r="AP529" s="40"/>
      <c r="AQ529" s="40"/>
      <c r="AR529" s="39"/>
      <c r="AS529" s="39"/>
      <c r="AT529" s="40"/>
      <c r="AU529" s="40"/>
      <c r="AV529" s="23"/>
    </row>
    <row r="530" spans="1:48" ht="15.75" x14ac:dyDescent="0.25">
      <c r="A530" s="44"/>
      <c r="B530" s="23"/>
      <c r="C530" s="23"/>
      <c r="D530" s="39"/>
      <c r="E530" s="39"/>
      <c r="F530" s="40"/>
      <c r="G530" s="40"/>
      <c r="H530" s="41"/>
      <c r="I530" s="39"/>
      <c r="J530" s="40"/>
      <c r="K530" s="40"/>
      <c r="L530" s="41"/>
      <c r="M530" s="39"/>
      <c r="N530" s="40"/>
      <c r="O530" s="40"/>
      <c r="P530" s="39"/>
      <c r="Q530" s="39"/>
      <c r="R530" s="40"/>
      <c r="S530" s="40"/>
      <c r="T530" s="39"/>
      <c r="U530" s="39"/>
      <c r="V530" s="40"/>
      <c r="W530" s="40"/>
      <c r="X530" s="41"/>
      <c r="Y530" s="41"/>
      <c r="Z530" s="40"/>
      <c r="AA530" s="40"/>
      <c r="AB530" s="41"/>
      <c r="AC530" s="41"/>
      <c r="AD530" s="40"/>
      <c r="AE530" s="40"/>
      <c r="AF530" s="42"/>
      <c r="AG530" s="42"/>
      <c r="AH530" s="40"/>
      <c r="AI530" s="40"/>
      <c r="AJ530" s="42"/>
      <c r="AK530" s="42"/>
      <c r="AL530" s="40"/>
      <c r="AM530" s="40"/>
      <c r="AN530" s="40"/>
      <c r="AO530" s="40"/>
      <c r="AP530" s="40"/>
      <c r="AQ530" s="40"/>
      <c r="AR530" s="39"/>
      <c r="AS530" s="39"/>
      <c r="AT530" s="40"/>
      <c r="AU530" s="40"/>
      <c r="AV530" s="23"/>
    </row>
    <row r="531" spans="1:48" ht="15.75" x14ac:dyDescent="0.25">
      <c r="A531" s="44"/>
      <c r="B531" s="23"/>
      <c r="C531" s="23"/>
      <c r="D531" s="39"/>
      <c r="E531" s="39"/>
      <c r="F531" s="40"/>
      <c r="G531" s="40"/>
      <c r="H531" s="41"/>
      <c r="I531" s="39"/>
      <c r="J531" s="40"/>
      <c r="K531" s="40"/>
      <c r="L531" s="41"/>
      <c r="M531" s="39"/>
      <c r="N531" s="40"/>
      <c r="O531" s="40"/>
      <c r="P531" s="39"/>
      <c r="Q531" s="39"/>
      <c r="R531" s="40"/>
      <c r="S531" s="40"/>
      <c r="T531" s="39"/>
      <c r="U531" s="39"/>
      <c r="V531" s="40"/>
      <c r="W531" s="40"/>
      <c r="X531" s="41"/>
      <c r="Y531" s="41"/>
      <c r="Z531" s="40"/>
      <c r="AA531" s="40"/>
      <c r="AB531" s="41"/>
      <c r="AC531" s="41"/>
      <c r="AD531" s="40"/>
      <c r="AE531" s="40"/>
      <c r="AF531" s="42"/>
      <c r="AG531" s="42"/>
      <c r="AH531" s="40"/>
      <c r="AI531" s="40"/>
      <c r="AJ531" s="42"/>
      <c r="AK531" s="42"/>
      <c r="AL531" s="40"/>
      <c r="AM531" s="40"/>
      <c r="AN531" s="40"/>
      <c r="AO531" s="40"/>
      <c r="AP531" s="40"/>
      <c r="AQ531" s="40"/>
      <c r="AR531" s="39"/>
      <c r="AS531" s="39"/>
      <c r="AT531" s="40"/>
      <c r="AU531" s="40"/>
      <c r="AV531" s="23"/>
    </row>
    <row r="532" spans="1:48" ht="15.75" x14ac:dyDescent="0.25">
      <c r="A532" s="44"/>
      <c r="B532" s="23"/>
      <c r="C532" s="23"/>
      <c r="D532" s="39"/>
      <c r="E532" s="39"/>
      <c r="F532" s="40"/>
      <c r="G532" s="40"/>
      <c r="H532" s="41"/>
      <c r="I532" s="39"/>
      <c r="J532" s="40"/>
      <c r="K532" s="40"/>
      <c r="L532" s="41"/>
      <c r="M532" s="39"/>
      <c r="N532" s="40"/>
      <c r="O532" s="40"/>
      <c r="P532" s="39"/>
      <c r="Q532" s="39"/>
      <c r="R532" s="40"/>
      <c r="S532" s="40"/>
      <c r="T532" s="39"/>
      <c r="U532" s="39"/>
      <c r="V532" s="40"/>
      <c r="W532" s="40"/>
      <c r="X532" s="41"/>
      <c r="Y532" s="41"/>
      <c r="Z532" s="40"/>
      <c r="AA532" s="40"/>
      <c r="AB532" s="41"/>
      <c r="AC532" s="41"/>
      <c r="AD532" s="40"/>
      <c r="AE532" s="40"/>
      <c r="AF532" s="42"/>
      <c r="AG532" s="42"/>
      <c r="AH532" s="40"/>
      <c r="AI532" s="40"/>
      <c r="AJ532" s="42"/>
      <c r="AK532" s="42"/>
      <c r="AL532" s="40"/>
      <c r="AM532" s="40"/>
      <c r="AN532" s="40"/>
      <c r="AO532" s="40"/>
      <c r="AP532" s="40"/>
      <c r="AQ532" s="40"/>
      <c r="AR532" s="39"/>
      <c r="AS532" s="39"/>
      <c r="AT532" s="40"/>
      <c r="AU532" s="40"/>
      <c r="AV532" s="23"/>
    </row>
    <row r="533" spans="1:48" ht="15.75" x14ac:dyDescent="0.25">
      <c r="A533" s="44"/>
      <c r="B533" s="23"/>
      <c r="C533" s="23"/>
      <c r="D533" s="39"/>
      <c r="E533" s="39"/>
      <c r="F533" s="40"/>
      <c r="G533" s="40"/>
      <c r="H533" s="41"/>
      <c r="I533" s="39"/>
      <c r="J533" s="40"/>
      <c r="K533" s="40"/>
      <c r="L533" s="41"/>
      <c r="M533" s="39"/>
      <c r="N533" s="40"/>
      <c r="O533" s="40"/>
      <c r="P533" s="39"/>
      <c r="Q533" s="39"/>
      <c r="R533" s="40"/>
      <c r="S533" s="40"/>
      <c r="T533" s="39"/>
      <c r="U533" s="39"/>
      <c r="V533" s="40"/>
      <c r="W533" s="40"/>
      <c r="X533" s="41"/>
      <c r="Y533" s="41"/>
      <c r="Z533" s="40"/>
      <c r="AA533" s="40"/>
      <c r="AB533" s="41"/>
      <c r="AC533" s="41"/>
      <c r="AD533" s="40"/>
      <c r="AE533" s="40"/>
      <c r="AF533" s="42"/>
      <c r="AG533" s="42"/>
      <c r="AH533" s="40"/>
      <c r="AI533" s="40"/>
      <c r="AJ533" s="42"/>
      <c r="AK533" s="42"/>
      <c r="AL533" s="40"/>
      <c r="AM533" s="40"/>
      <c r="AN533" s="40"/>
      <c r="AO533" s="40"/>
      <c r="AP533" s="40"/>
      <c r="AQ533" s="40"/>
      <c r="AR533" s="39"/>
      <c r="AS533" s="39"/>
      <c r="AT533" s="40"/>
      <c r="AU533" s="40"/>
      <c r="AV533" s="23"/>
    </row>
    <row r="534" spans="1:48" ht="15.75" x14ac:dyDescent="0.25">
      <c r="A534" s="44"/>
      <c r="B534" s="23"/>
      <c r="C534" s="23"/>
      <c r="D534" s="39"/>
      <c r="E534" s="39"/>
      <c r="F534" s="40"/>
      <c r="G534" s="40"/>
      <c r="H534" s="41"/>
      <c r="I534" s="39"/>
      <c r="J534" s="40"/>
      <c r="K534" s="40"/>
      <c r="L534" s="41"/>
      <c r="M534" s="39"/>
      <c r="N534" s="40"/>
      <c r="O534" s="40"/>
      <c r="P534" s="39"/>
      <c r="Q534" s="39"/>
      <c r="R534" s="40"/>
      <c r="S534" s="40"/>
      <c r="T534" s="39"/>
      <c r="U534" s="39"/>
      <c r="V534" s="40"/>
      <c r="W534" s="40"/>
      <c r="X534" s="41"/>
      <c r="Y534" s="41"/>
      <c r="Z534" s="40"/>
      <c r="AA534" s="40"/>
      <c r="AB534" s="41"/>
      <c r="AC534" s="41"/>
      <c r="AD534" s="40"/>
      <c r="AE534" s="40"/>
      <c r="AF534" s="42"/>
      <c r="AG534" s="42"/>
      <c r="AH534" s="40"/>
      <c r="AI534" s="40"/>
      <c r="AJ534" s="42"/>
      <c r="AK534" s="42"/>
      <c r="AL534" s="40"/>
      <c r="AM534" s="40"/>
      <c r="AN534" s="40"/>
      <c r="AO534" s="40"/>
      <c r="AP534" s="40"/>
      <c r="AQ534" s="40"/>
      <c r="AR534" s="39"/>
      <c r="AS534" s="39"/>
      <c r="AT534" s="40"/>
      <c r="AU534" s="40"/>
      <c r="AV534" s="23"/>
    </row>
    <row r="535" spans="1:48" ht="15.75" x14ac:dyDescent="0.25">
      <c r="A535" s="44"/>
      <c r="B535" s="23"/>
      <c r="C535" s="23"/>
      <c r="D535" s="39"/>
      <c r="E535" s="39"/>
      <c r="F535" s="40"/>
      <c r="G535" s="40"/>
      <c r="H535" s="41"/>
      <c r="I535" s="39"/>
      <c r="J535" s="40"/>
      <c r="K535" s="40"/>
      <c r="L535" s="41"/>
      <c r="M535" s="39"/>
      <c r="N535" s="40"/>
      <c r="O535" s="40"/>
      <c r="P535" s="39"/>
      <c r="Q535" s="39"/>
      <c r="R535" s="40"/>
      <c r="S535" s="40"/>
      <c r="T535" s="39"/>
      <c r="U535" s="39"/>
      <c r="V535" s="40"/>
      <c r="W535" s="40"/>
      <c r="X535" s="41"/>
      <c r="Y535" s="41"/>
      <c r="Z535" s="40"/>
      <c r="AA535" s="40"/>
      <c r="AB535" s="41"/>
      <c r="AC535" s="41"/>
      <c r="AD535" s="40"/>
      <c r="AE535" s="40"/>
      <c r="AF535" s="42"/>
      <c r="AG535" s="42"/>
      <c r="AH535" s="40"/>
      <c r="AI535" s="40"/>
      <c r="AJ535" s="42"/>
      <c r="AK535" s="42"/>
      <c r="AL535" s="40"/>
      <c r="AM535" s="40"/>
      <c r="AN535" s="40"/>
      <c r="AO535" s="40"/>
      <c r="AP535" s="40"/>
      <c r="AQ535" s="40"/>
      <c r="AR535" s="39"/>
      <c r="AS535" s="39"/>
      <c r="AT535" s="40"/>
      <c r="AU535" s="40"/>
      <c r="AV535" s="23"/>
    </row>
    <row r="536" spans="1:48" ht="15.75" x14ac:dyDescent="0.25">
      <c r="A536" s="44"/>
      <c r="B536" s="23"/>
      <c r="C536" s="23"/>
      <c r="D536" s="39"/>
      <c r="E536" s="39"/>
      <c r="F536" s="40"/>
      <c r="G536" s="40"/>
      <c r="H536" s="41"/>
      <c r="I536" s="39"/>
      <c r="J536" s="40"/>
      <c r="K536" s="40"/>
      <c r="L536" s="41"/>
      <c r="M536" s="39"/>
      <c r="N536" s="40"/>
      <c r="O536" s="40"/>
      <c r="P536" s="39"/>
      <c r="Q536" s="39"/>
      <c r="R536" s="40"/>
      <c r="S536" s="40"/>
      <c r="T536" s="39"/>
      <c r="U536" s="39"/>
      <c r="V536" s="40"/>
      <c r="W536" s="40"/>
      <c r="X536" s="41"/>
      <c r="Y536" s="41"/>
      <c r="Z536" s="40"/>
      <c r="AA536" s="40"/>
      <c r="AB536" s="41"/>
      <c r="AC536" s="41"/>
      <c r="AD536" s="40"/>
      <c r="AE536" s="40"/>
      <c r="AF536" s="42"/>
      <c r="AG536" s="42"/>
      <c r="AH536" s="40"/>
      <c r="AI536" s="40"/>
      <c r="AJ536" s="42"/>
      <c r="AK536" s="42"/>
      <c r="AL536" s="40"/>
      <c r="AM536" s="40"/>
      <c r="AN536" s="40"/>
      <c r="AO536" s="40"/>
      <c r="AP536" s="40"/>
      <c r="AQ536" s="40"/>
      <c r="AR536" s="39"/>
      <c r="AS536" s="39"/>
      <c r="AT536" s="40"/>
      <c r="AU536" s="40"/>
      <c r="AV536" s="23"/>
    </row>
    <row r="537" spans="1:48" ht="15.75" x14ac:dyDescent="0.25">
      <c r="A537" s="44"/>
      <c r="B537" s="23"/>
      <c r="C537" s="23"/>
      <c r="D537" s="39"/>
      <c r="E537" s="39"/>
      <c r="F537" s="40"/>
      <c r="G537" s="40"/>
      <c r="H537" s="41"/>
      <c r="I537" s="39"/>
      <c r="J537" s="40"/>
      <c r="K537" s="40"/>
      <c r="L537" s="41"/>
      <c r="M537" s="39"/>
      <c r="N537" s="40"/>
      <c r="O537" s="40"/>
      <c r="P537" s="39"/>
      <c r="Q537" s="39"/>
      <c r="R537" s="40"/>
      <c r="S537" s="40"/>
      <c r="T537" s="39"/>
      <c r="U537" s="39"/>
      <c r="V537" s="40"/>
      <c r="W537" s="40"/>
      <c r="X537" s="41"/>
      <c r="Y537" s="41"/>
      <c r="Z537" s="40"/>
      <c r="AA537" s="40"/>
      <c r="AB537" s="41"/>
      <c r="AC537" s="41"/>
      <c r="AD537" s="40"/>
      <c r="AE537" s="40"/>
      <c r="AF537" s="42"/>
      <c r="AG537" s="42"/>
      <c r="AH537" s="40"/>
      <c r="AI537" s="40"/>
      <c r="AJ537" s="42"/>
      <c r="AK537" s="42"/>
      <c r="AL537" s="40"/>
      <c r="AM537" s="40"/>
      <c r="AN537" s="40"/>
      <c r="AO537" s="40"/>
      <c r="AP537" s="40"/>
      <c r="AQ537" s="40"/>
      <c r="AR537" s="39"/>
      <c r="AS537" s="39"/>
      <c r="AT537" s="40"/>
      <c r="AU537" s="40"/>
      <c r="AV537" s="23"/>
    </row>
    <row r="538" spans="1:48" ht="15.75" x14ac:dyDescent="0.25">
      <c r="A538" s="44"/>
      <c r="B538" s="23"/>
      <c r="C538" s="23"/>
      <c r="D538" s="39"/>
      <c r="E538" s="39"/>
      <c r="F538" s="40"/>
      <c r="G538" s="40"/>
      <c r="H538" s="41"/>
      <c r="I538" s="39"/>
      <c r="J538" s="40"/>
      <c r="K538" s="40"/>
      <c r="L538" s="41"/>
      <c r="M538" s="39"/>
      <c r="N538" s="40"/>
      <c r="O538" s="40"/>
      <c r="P538" s="39"/>
      <c r="Q538" s="39"/>
      <c r="R538" s="40"/>
      <c r="S538" s="40"/>
      <c r="T538" s="39"/>
      <c r="U538" s="39"/>
      <c r="V538" s="40"/>
      <c r="W538" s="40"/>
      <c r="X538" s="41"/>
      <c r="Y538" s="41"/>
      <c r="Z538" s="40"/>
      <c r="AA538" s="40"/>
      <c r="AB538" s="41"/>
      <c r="AC538" s="41"/>
      <c r="AD538" s="40"/>
      <c r="AE538" s="40"/>
      <c r="AF538" s="42"/>
      <c r="AG538" s="42"/>
      <c r="AH538" s="40"/>
      <c r="AI538" s="40"/>
      <c r="AJ538" s="42"/>
      <c r="AK538" s="42"/>
      <c r="AL538" s="40"/>
      <c r="AM538" s="40"/>
      <c r="AN538" s="40"/>
      <c r="AO538" s="40"/>
      <c r="AP538" s="40"/>
      <c r="AQ538" s="40"/>
      <c r="AR538" s="39"/>
      <c r="AS538" s="39"/>
      <c r="AT538" s="40"/>
      <c r="AU538" s="40"/>
      <c r="AV538" s="23"/>
    </row>
    <row r="539" spans="1:48" ht="15.75" x14ac:dyDescent="0.25">
      <c r="A539" s="44"/>
      <c r="B539" s="23"/>
      <c r="C539" s="23"/>
      <c r="D539" s="39"/>
      <c r="E539" s="39"/>
      <c r="F539" s="40"/>
      <c r="G539" s="40"/>
      <c r="H539" s="41"/>
      <c r="I539" s="39"/>
      <c r="J539" s="40"/>
      <c r="K539" s="40"/>
      <c r="L539" s="41"/>
      <c r="M539" s="39"/>
      <c r="N539" s="40"/>
      <c r="O539" s="40"/>
      <c r="P539" s="39"/>
      <c r="Q539" s="39"/>
      <c r="R539" s="40"/>
      <c r="S539" s="40"/>
      <c r="T539" s="39"/>
      <c r="U539" s="39"/>
      <c r="V539" s="40"/>
      <c r="W539" s="40"/>
      <c r="X539" s="41"/>
      <c r="Y539" s="41"/>
      <c r="Z539" s="40"/>
      <c r="AA539" s="40"/>
      <c r="AB539" s="41"/>
      <c r="AC539" s="41"/>
      <c r="AD539" s="40"/>
      <c r="AE539" s="40"/>
      <c r="AF539" s="42"/>
      <c r="AG539" s="42"/>
      <c r="AH539" s="40"/>
      <c r="AI539" s="40"/>
      <c r="AJ539" s="42"/>
      <c r="AK539" s="42"/>
      <c r="AL539" s="40"/>
      <c r="AM539" s="40"/>
      <c r="AN539" s="40"/>
      <c r="AO539" s="40"/>
      <c r="AP539" s="40"/>
      <c r="AQ539" s="40"/>
      <c r="AR539" s="39"/>
      <c r="AS539" s="39"/>
      <c r="AT539" s="40"/>
      <c r="AU539" s="40"/>
      <c r="AV539" s="23"/>
    </row>
    <row r="540" spans="1:48" ht="15.75" x14ac:dyDescent="0.25">
      <c r="A540" s="44"/>
      <c r="B540" s="23"/>
      <c r="C540" s="23"/>
      <c r="D540" s="39"/>
      <c r="E540" s="39"/>
      <c r="F540" s="40"/>
      <c r="G540" s="40"/>
      <c r="H540" s="41"/>
      <c r="I540" s="39"/>
      <c r="J540" s="40"/>
      <c r="K540" s="40"/>
      <c r="L540" s="41"/>
      <c r="M540" s="39"/>
      <c r="N540" s="40"/>
      <c r="O540" s="40"/>
      <c r="P540" s="39"/>
      <c r="Q540" s="39"/>
      <c r="R540" s="40"/>
      <c r="S540" s="40"/>
      <c r="T540" s="39"/>
      <c r="U540" s="39"/>
      <c r="V540" s="40"/>
      <c r="W540" s="40"/>
      <c r="X540" s="41"/>
      <c r="Y540" s="41"/>
      <c r="Z540" s="40"/>
      <c r="AA540" s="40"/>
      <c r="AB540" s="41"/>
      <c r="AC540" s="41"/>
      <c r="AD540" s="40"/>
      <c r="AE540" s="40"/>
      <c r="AF540" s="42"/>
      <c r="AG540" s="42"/>
      <c r="AH540" s="40"/>
      <c r="AI540" s="40"/>
      <c r="AJ540" s="42"/>
      <c r="AK540" s="42"/>
      <c r="AL540" s="40"/>
      <c r="AM540" s="40"/>
      <c r="AN540" s="40"/>
      <c r="AO540" s="40"/>
      <c r="AP540" s="40"/>
      <c r="AQ540" s="40"/>
      <c r="AR540" s="39"/>
      <c r="AS540" s="39"/>
      <c r="AT540" s="40"/>
      <c r="AU540" s="40"/>
      <c r="AV540" s="23"/>
    </row>
    <row r="541" spans="1:48" ht="15.75" x14ac:dyDescent="0.25">
      <c r="A541" s="44"/>
      <c r="B541" s="23"/>
      <c r="C541" s="23"/>
      <c r="D541" s="39"/>
      <c r="E541" s="39"/>
      <c r="F541" s="40"/>
      <c r="G541" s="40"/>
      <c r="H541" s="41"/>
      <c r="I541" s="39"/>
      <c r="J541" s="40"/>
      <c r="K541" s="40"/>
      <c r="L541" s="41"/>
      <c r="M541" s="39"/>
      <c r="N541" s="40"/>
      <c r="O541" s="40"/>
      <c r="P541" s="39"/>
      <c r="Q541" s="39"/>
      <c r="R541" s="40"/>
      <c r="S541" s="40"/>
      <c r="T541" s="39"/>
      <c r="U541" s="39"/>
      <c r="V541" s="40"/>
      <c r="W541" s="40"/>
      <c r="X541" s="41"/>
      <c r="Y541" s="41"/>
      <c r="Z541" s="40"/>
      <c r="AA541" s="40"/>
      <c r="AB541" s="41"/>
      <c r="AC541" s="41"/>
      <c r="AD541" s="40"/>
      <c r="AE541" s="40"/>
      <c r="AF541" s="42"/>
      <c r="AG541" s="42"/>
      <c r="AH541" s="40"/>
      <c r="AI541" s="40"/>
      <c r="AJ541" s="42"/>
      <c r="AK541" s="42"/>
      <c r="AL541" s="40"/>
      <c r="AM541" s="40"/>
      <c r="AN541" s="40"/>
      <c r="AO541" s="40"/>
      <c r="AP541" s="40"/>
      <c r="AQ541" s="40"/>
      <c r="AR541" s="39"/>
      <c r="AS541" s="39"/>
      <c r="AT541" s="40"/>
      <c r="AU541" s="40"/>
      <c r="AV541" s="23"/>
    </row>
    <row r="542" spans="1:48" ht="15.75" x14ac:dyDescent="0.25">
      <c r="A542" s="44"/>
      <c r="B542" s="23"/>
      <c r="C542" s="23"/>
      <c r="D542" s="39"/>
      <c r="E542" s="39"/>
      <c r="F542" s="40"/>
      <c r="G542" s="40"/>
      <c r="H542" s="41"/>
      <c r="I542" s="39"/>
      <c r="J542" s="40"/>
      <c r="K542" s="40"/>
      <c r="L542" s="41"/>
      <c r="M542" s="39"/>
      <c r="N542" s="40"/>
      <c r="O542" s="40"/>
      <c r="P542" s="39"/>
      <c r="Q542" s="39"/>
      <c r="R542" s="40"/>
      <c r="S542" s="40"/>
      <c r="T542" s="39"/>
      <c r="U542" s="39"/>
      <c r="V542" s="40"/>
      <c r="W542" s="40"/>
      <c r="X542" s="41"/>
      <c r="Y542" s="41"/>
      <c r="Z542" s="40"/>
      <c r="AA542" s="40"/>
      <c r="AB542" s="41"/>
      <c r="AC542" s="41"/>
      <c r="AD542" s="40"/>
      <c r="AE542" s="40"/>
      <c r="AF542" s="42"/>
      <c r="AG542" s="42"/>
      <c r="AH542" s="40"/>
      <c r="AI542" s="40"/>
      <c r="AJ542" s="42"/>
      <c r="AK542" s="42"/>
      <c r="AL542" s="40"/>
      <c r="AM542" s="40"/>
      <c r="AN542" s="40"/>
      <c r="AO542" s="40"/>
      <c r="AP542" s="40"/>
      <c r="AQ542" s="40"/>
      <c r="AR542" s="39"/>
      <c r="AS542" s="39"/>
      <c r="AT542" s="40"/>
      <c r="AU542" s="40"/>
      <c r="AV542" s="23"/>
    </row>
    <row r="543" spans="1:48" ht="15.75" x14ac:dyDescent="0.25">
      <c r="A543" s="44"/>
      <c r="B543" s="23"/>
      <c r="C543" s="23"/>
      <c r="D543" s="39"/>
      <c r="E543" s="39"/>
      <c r="F543" s="40"/>
      <c r="G543" s="40"/>
      <c r="H543" s="41"/>
      <c r="I543" s="39"/>
      <c r="J543" s="40"/>
      <c r="K543" s="40"/>
      <c r="L543" s="41"/>
      <c r="M543" s="39"/>
      <c r="N543" s="40"/>
      <c r="O543" s="40"/>
      <c r="P543" s="39"/>
      <c r="Q543" s="39"/>
      <c r="R543" s="40"/>
      <c r="S543" s="40"/>
      <c r="T543" s="39"/>
      <c r="U543" s="39"/>
      <c r="V543" s="40"/>
      <c r="W543" s="40"/>
      <c r="X543" s="41"/>
      <c r="Y543" s="41"/>
      <c r="Z543" s="40"/>
      <c r="AA543" s="40"/>
      <c r="AB543" s="41"/>
      <c r="AC543" s="41"/>
      <c r="AD543" s="40"/>
      <c r="AE543" s="40"/>
      <c r="AF543" s="42"/>
      <c r="AG543" s="42"/>
      <c r="AH543" s="40"/>
      <c r="AI543" s="40"/>
      <c r="AJ543" s="42"/>
      <c r="AK543" s="42"/>
      <c r="AL543" s="40"/>
      <c r="AM543" s="40"/>
      <c r="AN543" s="40"/>
      <c r="AO543" s="40"/>
      <c r="AP543" s="40"/>
      <c r="AQ543" s="40"/>
      <c r="AR543" s="39"/>
      <c r="AS543" s="39"/>
      <c r="AT543" s="40"/>
      <c r="AU543" s="40"/>
      <c r="AV543" s="23"/>
    </row>
    <row r="544" spans="1:48" ht="15.75" x14ac:dyDescent="0.25">
      <c r="A544" s="44"/>
      <c r="B544" s="23"/>
      <c r="C544" s="23"/>
      <c r="D544" s="39"/>
      <c r="E544" s="39"/>
      <c r="F544" s="40"/>
      <c r="G544" s="40"/>
      <c r="H544" s="41"/>
      <c r="I544" s="39"/>
      <c r="J544" s="40"/>
      <c r="K544" s="40"/>
      <c r="L544" s="41"/>
      <c r="M544" s="39"/>
      <c r="N544" s="40"/>
      <c r="O544" s="40"/>
      <c r="P544" s="39"/>
      <c r="Q544" s="39"/>
      <c r="R544" s="40"/>
      <c r="S544" s="40"/>
      <c r="T544" s="39"/>
      <c r="U544" s="39"/>
      <c r="V544" s="40"/>
      <c r="W544" s="40"/>
      <c r="X544" s="41"/>
      <c r="Y544" s="41"/>
      <c r="Z544" s="40"/>
      <c r="AA544" s="40"/>
      <c r="AB544" s="41"/>
      <c r="AC544" s="41"/>
      <c r="AD544" s="40"/>
      <c r="AE544" s="40"/>
      <c r="AF544" s="42"/>
      <c r="AG544" s="42"/>
      <c r="AH544" s="40"/>
      <c r="AI544" s="40"/>
      <c r="AJ544" s="42"/>
      <c r="AK544" s="42"/>
      <c r="AL544" s="40"/>
      <c r="AM544" s="40"/>
      <c r="AN544" s="40"/>
      <c r="AO544" s="40"/>
      <c r="AP544" s="40"/>
      <c r="AQ544" s="40"/>
      <c r="AR544" s="39"/>
      <c r="AS544" s="39"/>
      <c r="AT544" s="40"/>
      <c r="AU544" s="40"/>
      <c r="AV544" s="23"/>
    </row>
    <row r="545" spans="1:48" ht="15.75" x14ac:dyDescent="0.25">
      <c r="A545" s="44"/>
      <c r="B545" s="23"/>
      <c r="C545" s="23"/>
      <c r="D545" s="39"/>
      <c r="E545" s="39"/>
      <c r="F545" s="40"/>
      <c r="G545" s="40"/>
      <c r="H545" s="41"/>
      <c r="I545" s="39"/>
      <c r="J545" s="40"/>
      <c r="K545" s="40"/>
      <c r="L545" s="41"/>
      <c r="M545" s="39"/>
      <c r="N545" s="40"/>
      <c r="O545" s="40"/>
      <c r="P545" s="39"/>
      <c r="Q545" s="39"/>
      <c r="R545" s="40"/>
      <c r="S545" s="40"/>
      <c r="T545" s="39"/>
      <c r="U545" s="39"/>
      <c r="V545" s="40"/>
      <c r="W545" s="40"/>
      <c r="X545" s="41"/>
      <c r="Y545" s="41"/>
      <c r="Z545" s="40"/>
      <c r="AA545" s="40"/>
      <c r="AB545" s="41"/>
      <c r="AC545" s="41"/>
      <c r="AD545" s="40"/>
      <c r="AE545" s="40"/>
      <c r="AF545" s="42"/>
      <c r="AG545" s="42"/>
      <c r="AH545" s="40"/>
      <c r="AI545" s="40"/>
      <c r="AJ545" s="42"/>
      <c r="AK545" s="42"/>
      <c r="AL545" s="40"/>
      <c r="AM545" s="40"/>
      <c r="AN545" s="40"/>
      <c r="AO545" s="40"/>
      <c r="AP545" s="40"/>
      <c r="AQ545" s="40"/>
      <c r="AR545" s="39"/>
      <c r="AS545" s="39"/>
      <c r="AT545" s="40"/>
      <c r="AU545" s="40"/>
      <c r="AV545" s="23"/>
    </row>
    <row r="546" spans="1:48" ht="15.75" x14ac:dyDescent="0.25">
      <c r="A546" s="44"/>
      <c r="B546" s="23"/>
      <c r="C546" s="23"/>
      <c r="D546" s="39"/>
      <c r="E546" s="39"/>
      <c r="F546" s="40"/>
      <c r="G546" s="40"/>
      <c r="H546" s="41"/>
      <c r="I546" s="39"/>
      <c r="J546" s="40"/>
      <c r="K546" s="40"/>
      <c r="L546" s="41"/>
      <c r="M546" s="39"/>
      <c r="N546" s="40"/>
      <c r="O546" s="40"/>
      <c r="P546" s="39"/>
      <c r="Q546" s="39"/>
      <c r="R546" s="40"/>
      <c r="S546" s="40"/>
      <c r="T546" s="39"/>
      <c r="U546" s="39"/>
      <c r="V546" s="40"/>
      <c r="W546" s="40"/>
      <c r="X546" s="41"/>
      <c r="Y546" s="41"/>
      <c r="Z546" s="40"/>
      <c r="AA546" s="40"/>
      <c r="AB546" s="41"/>
      <c r="AC546" s="41"/>
      <c r="AD546" s="40"/>
      <c r="AE546" s="40"/>
      <c r="AF546" s="42"/>
      <c r="AG546" s="42"/>
      <c r="AH546" s="40"/>
      <c r="AI546" s="40"/>
      <c r="AJ546" s="42"/>
      <c r="AK546" s="42"/>
      <c r="AL546" s="40"/>
      <c r="AM546" s="40"/>
      <c r="AN546" s="40"/>
      <c r="AO546" s="40"/>
      <c r="AP546" s="40"/>
      <c r="AQ546" s="40"/>
      <c r="AR546" s="39"/>
      <c r="AS546" s="39"/>
      <c r="AT546" s="40"/>
      <c r="AU546" s="40"/>
      <c r="AV546" s="23"/>
    </row>
    <row r="547" spans="1:48" ht="15.75" x14ac:dyDescent="0.25">
      <c r="A547" s="44"/>
      <c r="B547" s="23"/>
      <c r="C547" s="23"/>
      <c r="D547" s="39"/>
      <c r="E547" s="39"/>
      <c r="F547" s="40"/>
      <c r="G547" s="40"/>
      <c r="H547" s="41"/>
      <c r="I547" s="39"/>
      <c r="J547" s="40"/>
      <c r="K547" s="40"/>
      <c r="L547" s="41"/>
      <c r="M547" s="39"/>
      <c r="N547" s="40"/>
      <c r="O547" s="40"/>
      <c r="P547" s="39"/>
      <c r="Q547" s="39"/>
      <c r="R547" s="40"/>
      <c r="S547" s="40"/>
      <c r="T547" s="39"/>
      <c r="U547" s="39"/>
      <c r="V547" s="40"/>
      <c r="W547" s="40"/>
      <c r="X547" s="41"/>
      <c r="Y547" s="41"/>
      <c r="Z547" s="40"/>
      <c r="AA547" s="40"/>
      <c r="AB547" s="41"/>
      <c r="AC547" s="41"/>
      <c r="AD547" s="40"/>
      <c r="AE547" s="40"/>
      <c r="AF547" s="42"/>
      <c r="AG547" s="42"/>
      <c r="AH547" s="40"/>
      <c r="AI547" s="40"/>
      <c r="AJ547" s="42"/>
      <c r="AK547" s="42"/>
      <c r="AL547" s="40"/>
      <c r="AM547" s="40"/>
      <c r="AN547" s="40"/>
      <c r="AO547" s="40"/>
      <c r="AP547" s="40"/>
      <c r="AQ547" s="40"/>
      <c r="AR547" s="39"/>
      <c r="AS547" s="39"/>
      <c r="AT547" s="40"/>
      <c r="AU547" s="40"/>
      <c r="AV547" s="23"/>
    </row>
    <row r="548" spans="1:48" ht="15.75" x14ac:dyDescent="0.25">
      <c r="A548" s="44"/>
      <c r="B548" s="23"/>
      <c r="C548" s="23"/>
      <c r="D548" s="39"/>
      <c r="E548" s="39"/>
      <c r="F548" s="40"/>
      <c r="G548" s="40"/>
      <c r="H548" s="41"/>
      <c r="I548" s="39"/>
      <c r="J548" s="40"/>
      <c r="K548" s="40"/>
      <c r="L548" s="41"/>
      <c r="M548" s="39"/>
      <c r="N548" s="40"/>
      <c r="O548" s="40"/>
      <c r="P548" s="39"/>
      <c r="Q548" s="39"/>
      <c r="R548" s="40"/>
      <c r="S548" s="40"/>
      <c r="T548" s="39"/>
      <c r="U548" s="39"/>
      <c r="V548" s="40"/>
      <c r="W548" s="40"/>
      <c r="X548" s="41"/>
      <c r="Y548" s="41"/>
      <c r="Z548" s="40"/>
      <c r="AA548" s="40"/>
      <c r="AB548" s="41"/>
      <c r="AC548" s="41"/>
      <c r="AD548" s="40"/>
      <c r="AE548" s="40"/>
      <c r="AF548" s="42"/>
      <c r="AG548" s="42"/>
      <c r="AH548" s="40"/>
      <c r="AI548" s="40"/>
      <c r="AJ548" s="42"/>
      <c r="AK548" s="42"/>
      <c r="AL548" s="40"/>
      <c r="AM548" s="40"/>
      <c r="AN548" s="40"/>
      <c r="AO548" s="40"/>
      <c r="AP548" s="40"/>
      <c r="AQ548" s="40"/>
      <c r="AR548" s="39"/>
      <c r="AS548" s="39"/>
      <c r="AT548" s="40"/>
      <c r="AU548" s="40"/>
      <c r="AV548" s="23"/>
    </row>
    <row r="549" spans="1:48" ht="15.75" x14ac:dyDescent="0.25">
      <c r="A549" s="44"/>
      <c r="B549" s="23"/>
      <c r="C549" s="23"/>
      <c r="D549" s="39"/>
      <c r="E549" s="39"/>
      <c r="F549" s="40"/>
      <c r="G549" s="40"/>
      <c r="H549" s="41"/>
      <c r="I549" s="39"/>
      <c r="J549" s="40"/>
      <c r="K549" s="40"/>
      <c r="L549" s="41"/>
      <c r="M549" s="39"/>
      <c r="N549" s="40"/>
      <c r="O549" s="40"/>
      <c r="P549" s="39"/>
      <c r="Q549" s="39"/>
      <c r="R549" s="40"/>
      <c r="S549" s="40"/>
      <c r="T549" s="39"/>
      <c r="U549" s="39"/>
      <c r="V549" s="40"/>
      <c r="W549" s="40"/>
      <c r="X549" s="41"/>
      <c r="Y549" s="41"/>
      <c r="Z549" s="40"/>
      <c r="AA549" s="40"/>
      <c r="AB549" s="41"/>
      <c r="AC549" s="41"/>
      <c r="AD549" s="40"/>
      <c r="AE549" s="40"/>
      <c r="AF549" s="42"/>
      <c r="AG549" s="42"/>
      <c r="AH549" s="40"/>
      <c r="AI549" s="40"/>
      <c r="AJ549" s="42"/>
      <c r="AK549" s="42"/>
      <c r="AL549" s="40"/>
      <c r="AM549" s="40"/>
      <c r="AN549" s="40"/>
      <c r="AO549" s="40"/>
      <c r="AP549" s="40"/>
      <c r="AQ549" s="40"/>
      <c r="AR549" s="39"/>
      <c r="AS549" s="39"/>
      <c r="AT549" s="40"/>
      <c r="AU549" s="40"/>
      <c r="AV549" s="23"/>
    </row>
    <row r="550" spans="1:48" ht="15.75" x14ac:dyDescent="0.25">
      <c r="A550" s="44"/>
      <c r="B550" s="23"/>
      <c r="C550" s="23"/>
      <c r="D550" s="39"/>
      <c r="E550" s="39"/>
      <c r="F550" s="40"/>
      <c r="G550" s="40"/>
      <c r="H550" s="41"/>
      <c r="I550" s="39"/>
      <c r="J550" s="40"/>
      <c r="K550" s="40"/>
      <c r="L550" s="41"/>
      <c r="M550" s="39"/>
      <c r="N550" s="40"/>
      <c r="O550" s="40"/>
      <c r="P550" s="39"/>
      <c r="Q550" s="39"/>
      <c r="R550" s="40"/>
      <c r="S550" s="40"/>
      <c r="T550" s="39"/>
      <c r="U550" s="39"/>
      <c r="V550" s="40"/>
      <c r="W550" s="40"/>
      <c r="X550" s="41"/>
      <c r="Y550" s="41"/>
      <c r="Z550" s="40"/>
      <c r="AA550" s="40"/>
      <c r="AB550" s="41"/>
      <c r="AC550" s="41"/>
      <c r="AD550" s="40"/>
      <c r="AE550" s="40"/>
      <c r="AF550" s="42"/>
      <c r="AG550" s="42"/>
      <c r="AH550" s="40"/>
      <c r="AI550" s="40"/>
      <c r="AJ550" s="42"/>
      <c r="AK550" s="42"/>
      <c r="AL550" s="40"/>
      <c r="AM550" s="40"/>
      <c r="AN550" s="40"/>
      <c r="AO550" s="40"/>
      <c r="AP550" s="40"/>
      <c r="AQ550" s="40"/>
      <c r="AR550" s="39"/>
      <c r="AS550" s="39"/>
      <c r="AT550" s="40"/>
      <c r="AU550" s="40"/>
      <c r="AV550" s="23"/>
    </row>
    <row r="551" spans="1:48" ht="15.75" x14ac:dyDescent="0.25">
      <c r="A551" s="44"/>
      <c r="B551" s="23"/>
      <c r="C551" s="23"/>
      <c r="D551" s="39"/>
      <c r="E551" s="39"/>
      <c r="F551" s="40"/>
      <c r="G551" s="40"/>
      <c r="H551" s="41"/>
      <c r="I551" s="39"/>
      <c r="J551" s="40"/>
      <c r="K551" s="40"/>
      <c r="L551" s="41"/>
      <c r="M551" s="39"/>
      <c r="N551" s="40"/>
      <c r="O551" s="40"/>
      <c r="P551" s="39"/>
      <c r="Q551" s="39"/>
      <c r="R551" s="40"/>
      <c r="S551" s="40"/>
      <c r="T551" s="39"/>
      <c r="U551" s="39"/>
      <c r="V551" s="40"/>
      <c r="W551" s="40"/>
      <c r="X551" s="41"/>
      <c r="Y551" s="41"/>
      <c r="Z551" s="40"/>
      <c r="AA551" s="40"/>
      <c r="AB551" s="41"/>
      <c r="AC551" s="41"/>
      <c r="AD551" s="40"/>
      <c r="AE551" s="40"/>
      <c r="AF551" s="42"/>
      <c r="AG551" s="42"/>
      <c r="AH551" s="40"/>
      <c r="AI551" s="40"/>
      <c r="AJ551" s="42"/>
      <c r="AK551" s="42"/>
      <c r="AL551" s="40"/>
      <c r="AM551" s="40"/>
      <c r="AN551" s="40"/>
      <c r="AO551" s="40"/>
      <c r="AP551" s="40"/>
      <c r="AQ551" s="40"/>
      <c r="AR551" s="39"/>
      <c r="AS551" s="39"/>
      <c r="AT551" s="40"/>
      <c r="AU551" s="40"/>
      <c r="AV551" s="23"/>
    </row>
    <row r="552" spans="1:48" ht="15.75" x14ac:dyDescent="0.25">
      <c r="A552" s="44"/>
      <c r="B552" s="23"/>
      <c r="C552" s="23"/>
      <c r="D552" s="39"/>
      <c r="E552" s="39"/>
      <c r="F552" s="40"/>
      <c r="G552" s="40"/>
      <c r="H552" s="41"/>
      <c r="I552" s="39"/>
      <c r="J552" s="40"/>
      <c r="K552" s="40"/>
      <c r="L552" s="41"/>
      <c r="M552" s="39"/>
      <c r="N552" s="40"/>
      <c r="O552" s="40"/>
      <c r="P552" s="39"/>
      <c r="Q552" s="39"/>
      <c r="R552" s="40"/>
      <c r="S552" s="40"/>
      <c r="T552" s="39"/>
      <c r="U552" s="39"/>
      <c r="V552" s="40"/>
      <c r="W552" s="40"/>
      <c r="X552" s="41"/>
      <c r="Y552" s="41"/>
      <c r="Z552" s="40"/>
      <c r="AA552" s="40"/>
      <c r="AB552" s="41"/>
      <c r="AC552" s="41"/>
      <c r="AD552" s="40"/>
      <c r="AE552" s="40"/>
      <c r="AF552" s="42"/>
      <c r="AG552" s="42"/>
      <c r="AH552" s="40"/>
      <c r="AI552" s="40"/>
      <c r="AJ552" s="42"/>
      <c r="AK552" s="42"/>
      <c r="AL552" s="40"/>
      <c r="AM552" s="40"/>
      <c r="AN552" s="40"/>
      <c r="AO552" s="40"/>
      <c r="AP552" s="40"/>
      <c r="AQ552" s="40"/>
      <c r="AR552" s="39"/>
      <c r="AS552" s="39"/>
      <c r="AT552" s="40"/>
      <c r="AU552" s="40"/>
      <c r="AV552" s="23"/>
    </row>
    <row r="553" spans="1:48" ht="15.75" x14ac:dyDescent="0.25">
      <c r="A553" s="44"/>
      <c r="B553" s="23"/>
      <c r="C553" s="23"/>
      <c r="D553" s="39"/>
      <c r="E553" s="39"/>
      <c r="F553" s="40"/>
      <c r="G553" s="40"/>
      <c r="H553" s="41"/>
      <c r="I553" s="39"/>
      <c r="J553" s="40"/>
      <c r="K553" s="40"/>
      <c r="L553" s="41"/>
      <c r="M553" s="39"/>
      <c r="N553" s="40"/>
      <c r="O553" s="40"/>
      <c r="P553" s="39"/>
      <c r="Q553" s="39"/>
      <c r="R553" s="40"/>
      <c r="S553" s="40"/>
      <c r="T553" s="39"/>
      <c r="U553" s="39"/>
      <c r="V553" s="40"/>
      <c r="W553" s="40"/>
      <c r="X553" s="41"/>
      <c r="Y553" s="41"/>
      <c r="Z553" s="40"/>
      <c r="AA553" s="40"/>
      <c r="AB553" s="41"/>
      <c r="AC553" s="41"/>
      <c r="AD553" s="40"/>
      <c r="AE553" s="40"/>
      <c r="AF553" s="42"/>
      <c r="AG553" s="42"/>
      <c r="AH553" s="40"/>
      <c r="AI553" s="40"/>
      <c r="AJ553" s="42"/>
      <c r="AK553" s="42"/>
      <c r="AL553" s="40"/>
      <c r="AM553" s="40"/>
      <c r="AN553" s="40"/>
      <c r="AO553" s="40"/>
      <c r="AP553" s="40"/>
      <c r="AQ553" s="40"/>
      <c r="AR553" s="39"/>
      <c r="AS553" s="39"/>
      <c r="AT553" s="40"/>
      <c r="AU553" s="40"/>
      <c r="AV553" s="23"/>
    </row>
    <row r="554" spans="1:48" ht="15.75" x14ac:dyDescent="0.25">
      <c r="A554" s="44"/>
      <c r="B554" s="23"/>
      <c r="C554" s="23"/>
      <c r="D554" s="39"/>
      <c r="E554" s="39"/>
      <c r="F554" s="40"/>
      <c r="G554" s="40"/>
      <c r="H554" s="41"/>
      <c r="I554" s="39"/>
      <c r="J554" s="40"/>
      <c r="K554" s="40"/>
      <c r="L554" s="41"/>
      <c r="M554" s="39"/>
      <c r="N554" s="40"/>
      <c r="O554" s="40"/>
      <c r="P554" s="39"/>
      <c r="Q554" s="39"/>
      <c r="R554" s="40"/>
      <c r="S554" s="40"/>
      <c r="T554" s="39"/>
      <c r="U554" s="39"/>
      <c r="V554" s="40"/>
      <c r="W554" s="40"/>
      <c r="X554" s="41"/>
      <c r="Y554" s="41"/>
      <c r="Z554" s="40"/>
      <c r="AA554" s="40"/>
      <c r="AB554" s="41"/>
      <c r="AC554" s="41"/>
      <c r="AD554" s="40"/>
      <c r="AE554" s="40"/>
      <c r="AF554" s="42"/>
      <c r="AG554" s="42"/>
      <c r="AH554" s="40"/>
      <c r="AI554" s="40"/>
      <c r="AJ554" s="42"/>
      <c r="AK554" s="42"/>
      <c r="AL554" s="40"/>
      <c r="AM554" s="40"/>
      <c r="AN554" s="40"/>
      <c r="AO554" s="40"/>
      <c r="AP554" s="40"/>
      <c r="AQ554" s="40"/>
      <c r="AR554" s="39"/>
      <c r="AS554" s="39"/>
      <c r="AT554" s="40"/>
      <c r="AU554" s="40"/>
      <c r="AV554" s="23"/>
    </row>
    <row r="555" spans="1:48" ht="15.75" x14ac:dyDescent="0.25">
      <c r="A555" s="44"/>
      <c r="B555" s="23"/>
      <c r="C555" s="23"/>
      <c r="D555" s="39"/>
      <c r="E555" s="39"/>
      <c r="F555" s="40"/>
      <c r="G555" s="40"/>
      <c r="H555" s="41"/>
      <c r="I555" s="39"/>
      <c r="J555" s="40"/>
      <c r="K555" s="40"/>
      <c r="L555" s="41"/>
      <c r="M555" s="39"/>
      <c r="N555" s="40"/>
      <c r="O555" s="40"/>
      <c r="P555" s="39"/>
      <c r="Q555" s="39"/>
      <c r="R555" s="40"/>
      <c r="S555" s="40"/>
      <c r="T555" s="39"/>
      <c r="U555" s="39"/>
      <c r="V555" s="40"/>
      <c r="W555" s="40"/>
      <c r="X555" s="41"/>
      <c r="Y555" s="41"/>
      <c r="Z555" s="40"/>
      <c r="AA555" s="40"/>
      <c r="AB555" s="41"/>
      <c r="AC555" s="41"/>
      <c r="AD555" s="40"/>
      <c r="AE555" s="40"/>
      <c r="AF555" s="42"/>
      <c r="AG555" s="42"/>
      <c r="AH555" s="40"/>
      <c r="AI555" s="40"/>
      <c r="AJ555" s="42"/>
      <c r="AK555" s="42"/>
      <c r="AL555" s="40"/>
      <c r="AM555" s="40"/>
      <c r="AN555" s="40"/>
      <c r="AO555" s="40"/>
      <c r="AP555" s="40"/>
      <c r="AQ555" s="40"/>
      <c r="AR555" s="39"/>
      <c r="AS555" s="39"/>
      <c r="AT555" s="40"/>
      <c r="AU555" s="40"/>
      <c r="AV555" s="23"/>
    </row>
    <row r="556" spans="1:48" ht="15.75" x14ac:dyDescent="0.25">
      <c r="A556" s="44"/>
      <c r="B556" s="23"/>
      <c r="C556" s="23"/>
      <c r="D556" s="39"/>
      <c r="E556" s="39"/>
      <c r="F556" s="40"/>
      <c r="G556" s="40"/>
      <c r="H556" s="41"/>
      <c r="I556" s="39"/>
      <c r="J556" s="40"/>
      <c r="K556" s="40"/>
      <c r="L556" s="41"/>
      <c r="M556" s="39"/>
      <c r="N556" s="40"/>
      <c r="O556" s="40"/>
      <c r="P556" s="39"/>
      <c r="Q556" s="39"/>
      <c r="R556" s="40"/>
      <c r="S556" s="40"/>
      <c r="T556" s="39"/>
      <c r="U556" s="39"/>
      <c r="V556" s="40"/>
      <c r="W556" s="40"/>
      <c r="X556" s="41"/>
      <c r="Y556" s="41"/>
      <c r="Z556" s="40"/>
      <c r="AA556" s="40"/>
      <c r="AB556" s="41"/>
      <c r="AC556" s="41"/>
      <c r="AD556" s="40"/>
      <c r="AE556" s="40"/>
      <c r="AF556" s="42"/>
      <c r="AG556" s="42"/>
      <c r="AH556" s="40"/>
      <c r="AI556" s="40"/>
      <c r="AJ556" s="42"/>
      <c r="AK556" s="42"/>
      <c r="AL556" s="40"/>
      <c r="AM556" s="40"/>
      <c r="AN556" s="40"/>
      <c r="AO556" s="40"/>
      <c r="AP556" s="40"/>
      <c r="AQ556" s="40"/>
      <c r="AR556" s="39"/>
      <c r="AS556" s="39"/>
      <c r="AT556" s="40"/>
      <c r="AU556" s="40"/>
      <c r="AV556" s="23"/>
    </row>
    <row r="557" spans="1:48" ht="15.75" x14ac:dyDescent="0.25">
      <c r="A557" s="44"/>
      <c r="B557" s="23"/>
      <c r="C557" s="23"/>
      <c r="D557" s="39"/>
      <c r="E557" s="39"/>
      <c r="F557" s="40"/>
      <c r="G557" s="40"/>
      <c r="H557" s="41"/>
      <c r="I557" s="39"/>
      <c r="J557" s="40"/>
      <c r="K557" s="40"/>
      <c r="L557" s="41"/>
      <c r="M557" s="39"/>
      <c r="N557" s="40"/>
      <c r="O557" s="40"/>
      <c r="P557" s="39"/>
      <c r="Q557" s="39"/>
      <c r="R557" s="40"/>
      <c r="S557" s="40"/>
      <c r="T557" s="39"/>
      <c r="U557" s="39"/>
      <c r="V557" s="40"/>
      <c r="W557" s="40"/>
      <c r="X557" s="41"/>
      <c r="Y557" s="41"/>
      <c r="Z557" s="40"/>
      <c r="AA557" s="40"/>
      <c r="AB557" s="41"/>
      <c r="AC557" s="41"/>
      <c r="AD557" s="40"/>
      <c r="AE557" s="40"/>
      <c r="AF557" s="42"/>
      <c r="AG557" s="42"/>
      <c r="AH557" s="40"/>
      <c r="AI557" s="40"/>
      <c r="AJ557" s="42"/>
      <c r="AK557" s="42"/>
      <c r="AL557" s="40"/>
      <c r="AM557" s="40"/>
      <c r="AN557" s="40"/>
      <c r="AO557" s="40"/>
      <c r="AP557" s="40"/>
      <c r="AQ557" s="40"/>
      <c r="AR557" s="39"/>
      <c r="AS557" s="39"/>
      <c r="AT557" s="40"/>
      <c r="AU557" s="40"/>
      <c r="AV557" s="23"/>
    </row>
    <row r="558" spans="1:48" ht="15.75" x14ac:dyDescent="0.25">
      <c r="A558" s="44"/>
      <c r="B558" s="23"/>
      <c r="C558" s="23"/>
      <c r="D558" s="39"/>
      <c r="E558" s="39"/>
      <c r="F558" s="40"/>
      <c r="G558" s="40"/>
      <c r="H558" s="41"/>
      <c r="I558" s="39"/>
      <c r="J558" s="40"/>
      <c r="K558" s="40"/>
      <c r="L558" s="41"/>
      <c r="M558" s="39"/>
      <c r="N558" s="40"/>
      <c r="O558" s="40"/>
      <c r="P558" s="39"/>
      <c r="Q558" s="39"/>
      <c r="R558" s="40"/>
      <c r="S558" s="40"/>
      <c r="T558" s="39"/>
      <c r="U558" s="39"/>
      <c r="V558" s="40"/>
      <c r="W558" s="40"/>
      <c r="X558" s="41"/>
      <c r="Y558" s="41"/>
      <c r="Z558" s="40"/>
      <c r="AA558" s="40"/>
      <c r="AB558" s="41"/>
      <c r="AC558" s="41"/>
      <c r="AD558" s="40"/>
      <c r="AE558" s="40"/>
      <c r="AF558" s="42"/>
      <c r="AG558" s="42"/>
      <c r="AH558" s="40"/>
      <c r="AI558" s="40"/>
      <c r="AJ558" s="42"/>
      <c r="AK558" s="42"/>
      <c r="AL558" s="40"/>
      <c r="AM558" s="40"/>
      <c r="AN558" s="40"/>
      <c r="AO558" s="40"/>
      <c r="AP558" s="40"/>
      <c r="AQ558" s="40"/>
      <c r="AR558" s="39"/>
      <c r="AS558" s="39"/>
      <c r="AT558" s="40"/>
      <c r="AU558" s="40"/>
      <c r="AV558" s="23"/>
    </row>
    <row r="559" spans="1:48" ht="15.75" x14ac:dyDescent="0.25">
      <c r="A559" s="44"/>
      <c r="B559" s="23"/>
      <c r="C559" s="23"/>
      <c r="D559" s="39"/>
      <c r="E559" s="39"/>
      <c r="F559" s="40"/>
      <c r="G559" s="40"/>
      <c r="H559" s="41"/>
      <c r="I559" s="39"/>
      <c r="J559" s="40"/>
      <c r="K559" s="40"/>
      <c r="L559" s="41"/>
      <c r="M559" s="39"/>
      <c r="N559" s="40"/>
      <c r="O559" s="40"/>
      <c r="P559" s="39"/>
      <c r="Q559" s="39"/>
      <c r="R559" s="40"/>
      <c r="S559" s="40"/>
      <c r="T559" s="39"/>
      <c r="U559" s="39"/>
      <c r="V559" s="40"/>
      <c r="W559" s="40"/>
      <c r="X559" s="41"/>
      <c r="Y559" s="41"/>
      <c r="Z559" s="40"/>
      <c r="AA559" s="40"/>
      <c r="AB559" s="41"/>
      <c r="AC559" s="41"/>
      <c r="AD559" s="40"/>
      <c r="AE559" s="40"/>
      <c r="AF559" s="42"/>
      <c r="AG559" s="42"/>
      <c r="AH559" s="40"/>
      <c r="AI559" s="40"/>
      <c r="AJ559" s="42"/>
      <c r="AK559" s="42"/>
      <c r="AL559" s="40"/>
      <c r="AM559" s="40"/>
      <c r="AN559" s="40"/>
      <c r="AO559" s="40"/>
      <c r="AP559" s="40"/>
      <c r="AQ559" s="40"/>
      <c r="AR559" s="39"/>
      <c r="AS559" s="39"/>
      <c r="AT559" s="40"/>
      <c r="AU559" s="40"/>
      <c r="AV559" s="23"/>
    </row>
    <row r="560" spans="1:48" ht="15.75" x14ac:dyDescent="0.25">
      <c r="A560" s="44"/>
      <c r="B560" s="23"/>
      <c r="C560" s="23"/>
      <c r="D560" s="39"/>
      <c r="E560" s="39"/>
      <c r="F560" s="40"/>
      <c r="G560" s="40"/>
      <c r="H560" s="41"/>
      <c r="I560" s="39"/>
      <c r="J560" s="40"/>
      <c r="K560" s="40"/>
      <c r="L560" s="41"/>
      <c r="M560" s="39"/>
      <c r="N560" s="40"/>
      <c r="O560" s="40"/>
      <c r="P560" s="39"/>
      <c r="Q560" s="39"/>
      <c r="R560" s="40"/>
      <c r="S560" s="40"/>
      <c r="T560" s="39"/>
      <c r="U560" s="39"/>
      <c r="V560" s="40"/>
      <c r="W560" s="40"/>
      <c r="X560" s="41"/>
      <c r="Y560" s="41"/>
      <c r="Z560" s="40"/>
      <c r="AA560" s="40"/>
      <c r="AB560" s="41"/>
      <c r="AC560" s="41"/>
      <c r="AD560" s="40"/>
      <c r="AE560" s="40"/>
      <c r="AF560" s="42"/>
      <c r="AG560" s="42"/>
      <c r="AH560" s="40"/>
      <c r="AI560" s="40"/>
      <c r="AJ560" s="42"/>
      <c r="AK560" s="42"/>
      <c r="AL560" s="40"/>
      <c r="AM560" s="40"/>
      <c r="AN560" s="40"/>
      <c r="AO560" s="40"/>
      <c r="AP560" s="40"/>
      <c r="AQ560" s="40"/>
      <c r="AR560" s="39"/>
      <c r="AS560" s="39"/>
      <c r="AT560" s="40"/>
      <c r="AU560" s="40"/>
      <c r="AV560" s="23"/>
    </row>
    <row r="561" spans="1:48" ht="15.75" x14ac:dyDescent="0.25">
      <c r="A561" s="44"/>
      <c r="B561" s="23"/>
      <c r="C561" s="23"/>
      <c r="D561" s="39"/>
      <c r="E561" s="39"/>
      <c r="F561" s="40"/>
      <c r="G561" s="40"/>
      <c r="H561" s="41"/>
      <c r="I561" s="39"/>
      <c r="J561" s="40"/>
      <c r="K561" s="40"/>
      <c r="L561" s="41"/>
      <c r="M561" s="39"/>
      <c r="N561" s="40"/>
      <c r="O561" s="40"/>
      <c r="P561" s="39"/>
      <c r="Q561" s="39"/>
      <c r="R561" s="40"/>
      <c r="S561" s="40"/>
      <c r="T561" s="39"/>
      <c r="U561" s="39"/>
      <c r="V561" s="40"/>
      <c r="W561" s="40"/>
      <c r="X561" s="41"/>
      <c r="Y561" s="41"/>
      <c r="Z561" s="40"/>
      <c r="AA561" s="40"/>
      <c r="AB561" s="41"/>
      <c r="AC561" s="41"/>
      <c r="AD561" s="40"/>
      <c r="AE561" s="40"/>
      <c r="AF561" s="42"/>
      <c r="AG561" s="42"/>
      <c r="AH561" s="40"/>
      <c r="AI561" s="40"/>
      <c r="AJ561" s="42"/>
      <c r="AK561" s="42"/>
      <c r="AL561" s="40"/>
      <c r="AM561" s="40"/>
      <c r="AN561" s="40"/>
      <c r="AO561" s="40"/>
      <c r="AP561" s="40"/>
      <c r="AQ561" s="40"/>
      <c r="AR561" s="39"/>
      <c r="AS561" s="39"/>
      <c r="AT561" s="40"/>
      <c r="AU561" s="40"/>
      <c r="AV561" s="23"/>
    </row>
    <row r="562" spans="1:48" ht="15.75" x14ac:dyDescent="0.25">
      <c r="A562" s="44"/>
      <c r="B562" s="23"/>
      <c r="C562" s="23"/>
      <c r="D562" s="39"/>
      <c r="E562" s="39"/>
      <c r="F562" s="40"/>
      <c r="G562" s="40"/>
      <c r="H562" s="41"/>
      <c r="I562" s="39"/>
      <c r="J562" s="40"/>
      <c r="K562" s="40"/>
      <c r="L562" s="41"/>
      <c r="M562" s="39"/>
      <c r="N562" s="40"/>
      <c r="O562" s="40"/>
      <c r="P562" s="39"/>
      <c r="Q562" s="39"/>
      <c r="R562" s="40"/>
      <c r="S562" s="40"/>
      <c r="T562" s="39"/>
      <c r="U562" s="39"/>
      <c r="V562" s="40"/>
      <c r="W562" s="40"/>
      <c r="X562" s="41"/>
      <c r="Y562" s="41"/>
      <c r="Z562" s="40"/>
      <c r="AA562" s="40"/>
      <c r="AB562" s="41"/>
      <c r="AC562" s="41"/>
      <c r="AD562" s="40"/>
      <c r="AE562" s="40"/>
      <c r="AF562" s="42"/>
      <c r="AG562" s="42"/>
      <c r="AH562" s="40"/>
      <c r="AI562" s="40"/>
      <c r="AJ562" s="42"/>
      <c r="AK562" s="42"/>
      <c r="AL562" s="40"/>
      <c r="AM562" s="40"/>
      <c r="AN562" s="40"/>
      <c r="AO562" s="40"/>
      <c r="AP562" s="40"/>
      <c r="AQ562" s="40"/>
      <c r="AR562" s="39"/>
      <c r="AS562" s="39"/>
      <c r="AT562" s="40"/>
      <c r="AU562" s="40"/>
      <c r="AV562" s="23"/>
    </row>
    <row r="563" spans="1:48" ht="15.75" x14ac:dyDescent="0.25">
      <c r="A563" s="44"/>
      <c r="B563" s="23"/>
      <c r="C563" s="23"/>
      <c r="D563" s="39"/>
      <c r="E563" s="39"/>
      <c r="F563" s="40"/>
      <c r="G563" s="40"/>
      <c r="H563" s="41"/>
      <c r="I563" s="39"/>
      <c r="J563" s="40"/>
      <c r="K563" s="40"/>
      <c r="L563" s="41"/>
      <c r="M563" s="39"/>
      <c r="N563" s="40"/>
      <c r="O563" s="40"/>
      <c r="P563" s="39"/>
      <c r="Q563" s="39"/>
      <c r="R563" s="40"/>
      <c r="S563" s="40"/>
      <c r="T563" s="39"/>
      <c r="U563" s="39"/>
      <c r="V563" s="40"/>
      <c r="W563" s="40"/>
      <c r="X563" s="41"/>
      <c r="Y563" s="41"/>
      <c r="Z563" s="40"/>
      <c r="AA563" s="40"/>
      <c r="AB563" s="41"/>
      <c r="AC563" s="41"/>
      <c r="AD563" s="40"/>
      <c r="AE563" s="40"/>
      <c r="AF563" s="42"/>
      <c r="AG563" s="42"/>
      <c r="AH563" s="40"/>
      <c r="AI563" s="40"/>
      <c r="AJ563" s="42"/>
      <c r="AK563" s="42"/>
      <c r="AL563" s="40"/>
      <c r="AM563" s="40"/>
      <c r="AN563" s="40"/>
      <c r="AO563" s="40"/>
      <c r="AP563" s="40"/>
      <c r="AQ563" s="40"/>
      <c r="AR563" s="39"/>
      <c r="AS563" s="39"/>
      <c r="AT563" s="40"/>
      <c r="AU563" s="40"/>
      <c r="AV563" s="23"/>
    </row>
    <row r="564" spans="1:48" ht="15.75" x14ac:dyDescent="0.25">
      <c r="A564" s="44"/>
      <c r="B564" s="23"/>
      <c r="C564" s="23"/>
      <c r="D564" s="39"/>
      <c r="E564" s="39"/>
      <c r="F564" s="40"/>
      <c r="G564" s="40"/>
      <c r="H564" s="41"/>
      <c r="I564" s="39"/>
      <c r="J564" s="40"/>
      <c r="K564" s="40"/>
      <c r="L564" s="41"/>
      <c r="M564" s="39"/>
      <c r="N564" s="40"/>
      <c r="O564" s="40"/>
      <c r="P564" s="39"/>
      <c r="Q564" s="39"/>
      <c r="R564" s="40"/>
      <c r="S564" s="40"/>
      <c r="T564" s="39"/>
      <c r="U564" s="39"/>
      <c r="V564" s="40"/>
      <c r="W564" s="40"/>
      <c r="X564" s="41"/>
      <c r="Y564" s="41"/>
      <c r="Z564" s="40"/>
      <c r="AA564" s="40"/>
      <c r="AB564" s="41"/>
      <c r="AC564" s="41"/>
      <c r="AD564" s="40"/>
      <c r="AE564" s="40"/>
      <c r="AF564" s="42"/>
      <c r="AG564" s="42"/>
      <c r="AH564" s="40"/>
      <c r="AI564" s="40"/>
      <c r="AJ564" s="42"/>
      <c r="AK564" s="42"/>
      <c r="AL564" s="40"/>
      <c r="AM564" s="40"/>
      <c r="AN564" s="40"/>
      <c r="AO564" s="40"/>
      <c r="AP564" s="40"/>
      <c r="AQ564" s="40"/>
      <c r="AR564" s="39"/>
      <c r="AS564" s="39"/>
      <c r="AT564" s="40"/>
      <c r="AU564" s="40"/>
      <c r="AV564" s="23"/>
    </row>
    <row r="565" spans="1:48" ht="15.75" x14ac:dyDescent="0.25">
      <c r="A565" s="44"/>
      <c r="B565" s="23"/>
      <c r="C565" s="23"/>
      <c r="D565" s="39"/>
      <c r="E565" s="39"/>
      <c r="F565" s="40"/>
      <c r="G565" s="40"/>
      <c r="H565" s="41"/>
      <c r="I565" s="39"/>
      <c r="J565" s="40"/>
      <c r="K565" s="40"/>
      <c r="L565" s="41"/>
      <c r="M565" s="39"/>
      <c r="N565" s="40"/>
      <c r="O565" s="40"/>
      <c r="P565" s="39"/>
      <c r="Q565" s="39"/>
      <c r="R565" s="40"/>
      <c r="S565" s="40"/>
      <c r="T565" s="39"/>
      <c r="U565" s="39"/>
      <c r="V565" s="40"/>
      <c r="W565" s="40"/>
      <c r="X565" s="41"/>
      <c r="Y565" s="41"/>
      <c r="Z565" s="40"/>
      <c r="AA565" s="40"/>
      <c r="AB565" s="41"/>
      <c r="AC565" s="41"/>
      <c r="AD565" s="40"/>
      <c r="AE565" s="40"/>
      <c r="AF565" s="42"/>
      <c r="AG565" s="42"/>
      <c r="AH565" s="40"/>
      <c r="AI565" s="40"/>
      <c r="AJ565" s="42"/>
      <c r="AK565" s="42"/>
      <c r="AL565" s="40"/>
      <c r="AM565" s="40"/>
      <c r="AN565" s="40"/>
      <c r="AO565" s="40"/>
      <c r="AP565" s="40"/>
      <c r="AQ565" s="40"/>
      <c r="AR565" s="39"/>
      <c r="AS565" s="39"/>
      <c r="AT565" s="40"/>
      <c r="AU565" s="40"/>
      <c r="AV565" s="23"/>
    </row>
    <row r="566" spans="1:48" ht="15.75" x14ac:dyDescent="0.25">
      <c r="A566" s="44"/>
      <c r="B566" s="23"/>
      <c r="C566" s="23"/>
      <c r="D566" s="39"/>
      <c r="E566" s="39"/>
      <c r="F566" s="40"/>
      <c r="G566" s="40"/>
      <c r="H566" s="41"/>
      <c r="I566" s="39"/>
      <c r="J566" s="40"/>
      <c r="K566" s="40"/>
      <c r="L566" s="41"/>
      <c r="M566" s="39"/>
      <c r="N566" s="40"/>
      <c r="O566" s="40"/>
      <c r="P566" s="39"/>
      <c r="Q566" s="39"/>
      <c r="R566" s="40"/>
      <c r="S566" s="40"/>
      <c r="T566" s="39"/>
      <c r="U566" s="39"/>
      <c r="V566" s="40"/>
      <c r="W566" s="40"/>
      <c r="X566" s="41"/>
      <c r="Y566" s="41"/>
      <c r="Z566" s="40"/>
      <c r="AA566" s="40"/>
      <c r="AB566" s="41"/>
      <c r="AC566" s="41"/>
      <c r="AD566" s="40"/>
      <c r="AE566" s="40"/>
      <c r="AF566" s="42"/>
      <c r="AG566" s="42"/>
      <c r="AH566" s="40"/>
      <c r="AI566" s="40"/>
      <c r="AJ566" s="42"/>
      <c r="AK566" s="42"/>
      <c r="AL566" s="40"/>
      <c r="AM566" s="40"/>
      <c r="AN566" s="40"/>
      <c r="AO566" s="40"/>
      <c r="AP566" s="40"/>
      <c r="AQ566" s="40"/>
      <c r="AR566" s="39"/>
      <c r="AS566" s="39"/>
      <c r="AT566" s="40"/>
      <c r="AU566" s="40"/>
      <c r="AV566" s="23"/>
    </row>
    <row r="567" spans="1:48" ht="15.75" x14ac:dyDescent="0.25">
      <c r="A567" s="44"/>
      <c r="B567" s="23"/>
      <c r="C567" s="23"/>
      <c r="D567" s="39"/>
      <c r="E567" s="39"/>
      <c r="F567" s="40"/>
      <c r="G567" s="40"/>
      <c r="H567" s="41"/>
      <c r="I567" s="39"/>
      <c r="J567" s="40"/>
      <c r="K567" s="40"/>
      <c r="L567" s="41"/>
      <c r="M567" s="39"/>
      <c r="N567" s="40"/>
      <c r="O567" s="40"/>
      <c r="P567" s="39"/>
      <c r="Q567" s="39"/>
      <c r="R567" s="40"/>
      <c r="S567" s="40"/>
      <c r="T567" s="39"/>
      <c r="U567" s="39"/>
      <c r="V567" s="40"/>
      <c r="W567" s="40"/>
      <c r="X567" s="41"/>
      <c r="Y567" s="41"/>
      <c r="Z567" s="40"/>
      <c r="AA567" s="40"/>
      <c r="AB567" s="41"/>
      <c r="AC567" s="41"/>
      <c r="AD567" s="40"/>
      <c r="AE567" s="40"/>
      <c r="AF567" s="42"/>
      <c r="AG567" s="42"/>
      <c r="AH567" s="40"/>
      <c r="AI567" s="40"/>
      <c r="AJ567" s="42"/>
      <c r="AK567" s="42"/>
      <c r="AL567" s="40"/>
      <c r="AM567" s="40"/>
      <c r="AN567" s="40"/>
      <c r="AO567" s="40"/>
      <c r="AP567" s="40"/>
      <c r="AQ567" s="40"/>
      <c r="AR567" s="39"/>
      <c r="AS567" s="39"/>
      <c r="AT567" s="40"/>
      <c r="AU567" s="40"/>
      <c r="AV567" s="23"/>
    </row>
    <row r="568" spans="1:48" ht="15.75" x14ac:dyDescent="0.25">
      <c r="A568" s="44"/>
      <c r="B568" s="23"/>
      <c r="C568" s="23"/>
      <c r="D568" s="39"/>
      <c r="E568" s="39"/>
      <c r="F568" s="40"/>
      <c r="G568" s="40"/>
      <c r="H568" s="41"/>
      <c r="I568" s="39"/>
      <c r="J568" s="40"/>
      <c r="K568" s="40"/>
      <c r="L568" s="41"/>
      <c r="M568" s="39"/>
      <c r="N568" s="40"/>
      <c r="O568" s="40"/>
      <c r="P568" s="39"/>
      <c r="Q568" s="39"/>
      <c r="R568" s="40"/>
      <c r="S568" s="40"/>
      <c r="T568" s="39"/>
      <c r="U568" s="39"/>
      <c r="V568" s="40"/>
      <c r="W568" s="40"/>
      <c r="X568" s="41"/>
      <c r="Y568" s="41"/>
      <c r="Z568" s="40"/>
      <c r="AA568" s="40"/>
      <c r="AB568" s="41"/>
      <c r="AC568" s="41"/>
      <c r="AD568" s="40"/>
      <c r="AE568" s="40"/>
      <c r="AF568" s="42"/>
      <c r="AG568" s="42"/>
      <c r="AH568" s="40"/>
      <c r="AI568" s="40"/>
      <c r="AJ568" s="42"/>
      <c r="AK568" s="42"/>
      <c r="AL568" s="40"/>
      <c r="AM568" s="40"/>
      <c r="AN568" s="40"/>
      <c r="AO568" s="40"/>
      <c r="AP568" s="40"/>
      <c r="AQ568" s="40"/>
      <c r="AR568" s="39"/>
      <c r="AS568" s="39"/>
      <c r="AT568" s="40"/>
      <c r="AU568" s="40"/>
      <c r="AV568" s="23"/>
    </row>
    <row r="569" spans="1:48" ht="15.75" x14ac:dyDescent="0.25">
      <c r="A569" s="44"/>
      <c r="B569" s="23"/>
      <c r="C569" s="23"/>
      <c r="D569" s="39"/>
      <c r="E569" s="39"/>
      <c r="F569" s="40"/>
      <c r="G569" s="40"/>
      <c r="H569" s="41"/>
      <c r="I569" s="39"/>
      <c r="J569" s="40"/>
      <c r="K569" s="40"/>
      <c r="L569" s="41"/>
      <c r="M569" s="39"/>
      <c r="N569" s="40"/>
      <c r="O569" s="40"/>
      <c r="P569" s="39"/>
      <c r="Q569" s="39"/>
      <c r="R569" s="40"/>
      <c r="S569" s="40"/>
      <c r="T569" s="39"/>
      <c r="U569" s="39"/>
      <c r="V569" s="40"/>
      <c r="W569" s="40"/>
      <c r="X569" s="41"/>
      <c r="Y569" s="41"/>
      <c r="Z569" s="40"/>
      <c r="AA569" s="40"/>
      <c r="AB569" s="41"/>
      <c r="AC569" s="41"/>
      <c r="AD569" s="40"/>
      <c r="AE569" s="40"/>
      <c r="AF569" s="42"/>
      <c r="AG569" s="42"/>
      <c r="AH569" s="40"/>
      <c r="AI569" s="40"/>
      <c r="AJ569" s="42"/>
      <c r="AK569" s="42"/>
      <c r="AL569" s="40"/>
      <c r="AM569" s="40"/>
      <c r="AN569" s="40"/>
      <c r="AO569" s="40"/>
      <c r="AP569" s="40"/>
      <c r="AQ569" s="40"/>
      <c r="AR569" s="39"/>
      <c r="AS569" s="39"/>
      <c r="AT569" s="40"/>
      <c r="AU569" s="40"/>
      <c r="AV569" s="23"/>
    </row>
    <row r="570" spans="1:48" ht="15.75" x14ac:dyDescent="0.25">
      <c r="A570" s="44"/>
      <c r="B570" s="23"/>
      <c r="C570" s="23"/>
      <c r="D570" s="39"/>
      <c r="E570" s="39"/>
      <c r="F570" s="40"/>
      <c r="G570" s="40"/>
      <c r="H570" s="41"/>
      <c r="I570" s="39"/>
      <c r="J570" s="40"/>
      <c r="K570" s="40"/>
      <c r="L570" s="41"/>
      <c r="M570" s="39"/>
      <c r="N570" s="40"/>
      <c r="O570" s="40"/>
      <c r="P570" s="39"/>
      <c r="Q570" s="39"/>
      <c r="R570" s="40"/>
      <c r="S570" s="40"/>
      <c r="T570" s="39"/>
      <c r="U570" s="39"/>
      <c r="V570" s="40"/>
      <c r="W570" s="40"/>
      <c r="X570" s="41"/>
      <c r="Y570" s="41"/>
      <c r="Z570" s="40"/>
      <c r="AA570" s="40"/>
      <c r="AB570" s="41"/>
      <c r="AC570" s="41"/>
      <c r="AD570" s="40"/>
      <c r="AE570" s="40"/>
      <c r="AF570" s="42"/>
      <c r="AG570" s="42"/>
      <c r="AH570" s="40"/>
      <c r="AI570" s="40"/>
      <c r="AJ570" s="42"/>
      <c r="AK570" s="42"/>
      <c r="AL570" s="40"/>
      <c r="AM570" s="40"/>
      <c r="AN570" s="40"/>
      <c r="AO570" s="40"/>
      <c r="AP570" s="40"/>
      <c r="AQ570" s="40"/>
      <c r="AR570" s="39"/>
      <c r="AS570" s="39"/>
      <c r="AT570" s="40"/>
      <c r="AU570" s="40"/>
      <c r="AV570" s="23"/>
    </row>
    <row r="571" spans="1:48" ht="15.75" x14ac:dyDescent="0.25">
      <c r="A571" s="44"/>
      <c r="B571" s="23"/>
      <c r="C571" s="23"/>
      <c r="D571" s="39"/>
      <c r="E571" s="39"/>
      <c r="F571" s="40"/>
      <c r="G571" s="40"/>
      <c r="H571" s="41"/>
      <c r="I571" s="39"/>
      <c r="J571" s="40"/>
      <c r="K571" s="40"/>
      <c r="L571" s="41"/>
      <c r="M571" s="39"/>
      <c r="N571" s="40"/>
      <c r="O571" s="40"/>
      <c r="P571" s="39"/>
      <c r="Q571" s="39"/>
      <c r="R571" s="40"/>
      <c r="S571" s="40"/>
      <c r="T571" s="39"/>
      <c r="U571" s="39"/>
      <c r="V571" s="40"/>
      <c r="W571" s="40"/>
      <c r="X571" s="41"/>
      <c r="Y571" s="41"/>
      <c r="Z571" s="40"/>
      <c r="AA571" s="40"/>
      <c r="AB571" s="41"/>
      <c r="AC571" s="41"/>
      <c r="AD571" s="40"/>
      <c r="AE571" s="40"/>
      <c r="AF571" s="42"/>
      <c r="AG571" s="42"/>
      <c r="AH571" s="40"/>
      <c r="AI571" s="40"/>
      <c r="AJ571" s="42"/>
      <c r="AK571" s="42"/>
      <c r="AL571" s="40"/>
      <c r="AM571" s="40"/>
      <c r="AN571" s="40"/>
      <c r="AO571" s="40"/>
      <c r="AP571" s="40"/>
      <c r="AQ571" s="40"/>
      <c r="AR571" s="39"/>
      <c r="AS571" s="39"/>
      <c r="AT571" s="40"/>
      <c r="AU571" s="40"/>
      <c r="AV571" s="23"/>
    </row>
    <row r="572" spans="1:48" ht="15.75" x14ac:dyDescent="0.25">
      <c r="A572" s="44"/>
      <c r="B572" s="23"/>
      <c r="C572" s="23"/>
      <c r="D572" s="39"/>
      <c r="E572" s="39"/>
      <c r="F572" s="40"/>
      <c r="G572" s="40"/>
      <c r="H572" s="41"/>
      <c r="I572" s="39"/>
      <c r="J572" s="40"/>
      <c r="K572" s="40"/>
      <c r="L572" s="41"/>
      <c r="M572" s="39"/>
      <c r="N572" s="40"/>
      <c r="O572" s="40"/>
      <c r="P572" s="39"/>
      <c r="Q572" s="39"/>
      <c r="R572" s="40"/>
      <c r="S572" s="40"/>
      <c r="T572" s="39"/>
      <c r="U572" s="39"/>
      <c r="V572" s="40"/>
      <c r="W572" s="40"/>
      <c r="X572" s="41"/>
      <c r="Y572" s="41"/>
      <c r="Z572" s="40"/>
      <c r="AA572" s="40"/>
      <c r="AB572" s="41"/>
      <c r="AC572" s="41"/>
      <c r="AD572" s="40"/>
      <c r="AE572" s="40"/>
      <c r="AF572" s="42"/>
      <c r="AG572" s="42"/>
      <c r="AH572" s="40"/>
      <c r="AI572" s="40"/>
      <c r="AJ572" s="42"/>
      <c r="AK572" s="42"/>
      <c r="AL572" s="40"/>
      <c r="AM572" s="40"/>
      <c r="AN572" s="40"/>
      <c r="AO572" s="40"/>
      <c r="AP572" s="40"/>
      <c r="AQ572" s="40"/>
      <c r="AR572" s="39"/>
      <c r="AS572" s="39"/>
      <c r="AT572" s="40"/>
      <c r="AU572" s="40"/>
      <c r="AV572" s="23"/>
    </row>
    <row r="573" spans="1:48" ht="15.75" x14ac:dyDescent="0.25">
      <c r="A573" s="44"/>
      <c r="B573" s="23"/>
      <c r="C573" s="23"/>
      <c r="D573" s="39"/>
      <c r="E573" s="39"/>
      <c r="F573" s="40"/>
      <c r="G573" s="40"/>
      <c r="H573" s="41"/>
      <c r="I573" s="39"/>
      <c r="J573" s="40"/>
      <c r="K573" s="40"/>
      <c r="L573" s="41"/>
      <c r="M573" s="39"/>
      <c r="N573" s="40"/>
      <c r="O573" s="40"/>
      <c r="P573" s="39"/>
      <c r="Q573" s="39"/>
      <c r="R573" s="40"/>
      <c r="S573" s="40"/>
      <c r="T573" s="39"/>
      <c r="U573" s="39"/>
      <c r="V573" s="40"/>
      <c r="W573" s="40"/>
      <c r="X573" s="41"/>
      <c r="Y573" s="41"/>
      <c r="Z573" s="40"/>
      <c r="AA573" s="40"/>
      <c r="AB573" s="41"/>
      <c r="AC573" s="41"/>
      <c r="AD573" s="40"/>
      <c r="AE573" s="40"/>
      <c r="AF573" s="42"/>
      <c r="AG573" s="42"/>
      <c r="AH573" s="40"/>
      <c r="AI573" s="40"/>
      <c r="AJ573" s="42"/>
      <c r="AK573" s="42"/>
      <c r="AL573" s="40"/>
      <c r="AM573" s="40"/>
      <c r="AN573" s="40"/>
      <c r="AO573" s="40"/>
      <c r="AP573" s="40"/>
      <c r="AQ573" s="40"/>
      <c r="AR573" s="39"/>
      <c r="AS573" s="39"/>
      <c r="AT573" s="40"/>
      <c r="AU573" s="40"/>
      <c r="AV573" s="23"/>
    </row>
    <row r="574" spans="1:48" ht="15.75" x14ac:dyDescent="0.25">
      <c r="A574" s="44"/>
      <c r="B574" s="23"/>
      <c r="C574" s="23"/>
      <c r="D574" s="39"/>
      <c r="E574" s="39"/>
      <c r="F574" s="40"/>
      <c r="G574" s="40"/>
      <c r="H574" s="41"/>
      <c r="I574" s="39"/>
      <c r="J574" s="40"/>
      <c r="K574" s="40"/>
      <c r="L574" s="41"/>
      <c r="M574" s="39"/>
      <c r="N574" s="40"/>
      <c r="O574" s="40"/>
      <c r="P574" s="39"/>
      <c r="Q574" s="39"/>
      <c r="R574" s="40"/>
      <c r="S574" s="40"/>
      <c r="T574" s="39"/>
      <c r="U574" s="39"/>
      <c r="V574" s="40"/>
      <c r="W574" s="40"/>
      <c r="X574" s="41"/>
      <c r="Y574" s="41"/>
      <c r="Z574" s="40"/>
      <c r="AA574" s="40"/>
      <c r="AB574" s="41"/>
      <c r="AC574" s="41"/>
      <c r="AD574" s="40"/>
      <c r="AE574" s="40"/>
      <c r="AF574" s="42"/>
      <c r="AG574" s="42"/>
      <c r="AH574" s="40"/>
      <c r="AI574" s="40"/>
      <c r="AJ574" s="42"/>
      <c r="AK574" s="42"/>
      <c r="AL574" s="40"/>
      <c r="AM574" s="40"/>
      <c r="AN574" s="40"/>
      <c r="AO574" s="40"/>
      <c r="AP574" s="40"/>
      <c r="AQ574" s="40"/>
      <c r="AR574" s="39"/>
      <c r="AS574" s="39"/>
      <c r="AT574" s="40"/>
      <c r="AU574" s="40"/>
      <c r="AV574" s="23"/>
    </row>
    <row r="575" spans="1:48" ht="15.75" x14ac:dyDescent="0.25">
      <c r="A575" s="44"/>
      <c r="B575" s="23"/>
      <c r="C575" s="23"/>
      <c r="D575" s="39"/>
      <c r="E575" s="39"/>
      <c r="F575" s="40"/>
      <c r="G575" s="40"/>
      <c r="H575" s="41"/>
      <c r="I575" s="39"/>
      <c r="J575" s="40"/>
      <c r="K575" s="40"/>
      <c r="L575" s="41"/>
      <c r="M575" s="39"/>
      <c r="N575" s="40"/>
      <c r="O575" s="40"/>
      <c r="P575" s="39"/>
      <c r="Q575" s="39"/>
      <c r="R575" s="40"/>
      <c r="S575" s="40"/>
      <c r="T575" s="39"/>
      <c r="U575" s="39"/>
      <c r="V575" s="40"/>
      <c r="W575" s="40"/>
      <c r="X575" s="41"/>
      <c r="Y575" s="41"/>
      <c r="Z575" s="40"/>
      <c r="AA575" s="40"/>
      <c r="AB575" s="41"/>
      <c r="AC575" s="41"/>
      <c r="AD575" s="40"/>
      <c r="AE575" s="40"/>
      <c r="AF575" s="42"/>
      <c r="AG575" s="42"/>
      <c r="AH575" s="40"/>
      <c r="AI575" s="40"/>
      <c r="AJ575" s="42"/>
      <c r="AK575" s="42"/>
      <c r="AL575" s="40"/>
      <c r="AM575" s="40"/>
      <c r="AN575" s="40"/>
      <c r="AO575" s="40"/>
      <c r="AP575" s="40"/>
      <c r="AQ575" s="40"/>
      <c r="AR575" s="39"/>
      <c r="AS575" s="39"/>
      <c r="AT575" s="40"/>
      <c r="AU575" s="40"/>
      <c r="AV575" s="23"/>
    </row>
    <row r="576" spans="1:48" ht="15.75" x14ac:dyDescent="0.25">
      <c r="A576" s="44"/>
      <c r="B576" s="23"/>
      <c r="C576" s="23"/>
      <c r="D576" s="39"/>
      <c r="E576" s="39"/>
      <c r="F576" s="40"/>
      <c r="G576" s="40"/>
      <c r="H576" s="41"/>
      <c r="I576" s="39"/>
      <c r="J576" s="40"/>
      <c r="K576" s="40"/>
      <c r="L576" s="41"/>
      <c r="M576" s="39"/>
      <c r="N576" s="40"/>
      <c r="O576" s="40"/>
      <c r="P576" s="39"/>
      <c r="Q576" s="39"/>
      <c r="R576" s="40"/>
      <c r="S576" s="40"/>
      <c r="T576" s="39"/>
      <c r="U576" s="39"/>
      <c r="V576" s="40"/>
      <c r="W576" s="40"/>
      <c r="X576" s="41"/>
      <c r="Y576" s="41"/>
      <c r="Z576" s="40"/>
      <c r="AA576" s="40"/>
      <c r="AB576" s="41"/>
      <c r="AC576" s="41"/>
      <c r="AD576" s="40"/>
      <c r="AE576" s="40"/>
      <c r="AF576" s="42"/>
      <c r="AG576" s="42"/>
      <c r="AH576" s="40"/>
      <c r="AI576" s="40"/>
      <c r="AJ576" s="42"/>
      <c r="AK576" s="42"/>
      <c r="AL576" s="40"/>
      <c r="AM576" s="40"/>
      <c r="AN576" s="40"/>
      <c r="AO576" s="40"/>
      <c r="AP576" s="40"/>
      <c r="AQ576" s="40"/>
      <c r="AR576" s="39"/>
      <c r="AS576" s="39"/>
      <c r="AT576" s="40"/>
      <c r="AU576" s="40"/>
      <c r="AV576" s="23"/>
    </row>
    <row r="577" spans="1:48" ht="15.75" x14ac:dyDescent="0.25">
      <c r="A577" s="44"/>
      <c r="B577" s="23"/>
      <c r="C577" s="23"/>
      <c r="D577" s="39"/>
      <c r="E577" s="39"/>
      <c r="F577" s="40"/>
      <c r="G577" s="40"/>
      <c r="H577" s="41"/>
      <c r="I577" s="39"/>
      <c r="J577" s="40"/>
      <c r="K577" s="40"/>
      <c r="L577" s="41"/>
      <c r="M577" s="39"/>
      <c r="N577" s="40"/>
      <c r="O577" s="40"/>
      <c r="P577" s="39"/>
      <c r="Q577" s="39"/>
      <c r="R577" s="40"/>
      <c r="S577" s="40"/>
      <c r="T577" s="39"/>
      <c r="U577" s="39"/>
      <c r="V577" s="40"/>
      <c r="W577" s="40"/>
      <c r="X577" s="41"/>
      <c r="Y577" s="41"/>
      <c r="Z577" s="40"/>
      <c r="AA577" s="40"/>
      <c r="AB577" s="41"/>
      <c r="AC577" s="41"/>
      <c r="AD577" s="40"/>
      <c r="AE577" s="40"/>
      <c r="AF577" s="42"/>
      <c r="AG577" s="42"/>
      <c r="AH577" s="40"/>
      <c r="AI577" s="40"/>
      <c r="AJ577" s="42"/>
      <c r="AK577" s="42"/>
      <c r="AL577" s="40"/>
      <c r="AM577" s="40"/>
      <c r="AN577" s="40"/>
      <c r="AO577" s="40"/>
      <c r="AP577" s="40"/>
      <c r="AQ577" s="40"/>
      <c r="AR577" s="39"/>
      <c r="AS577" s="39"/>
      <c r="AT577" s="40"/>
      <c r="AU577" s="40"/>
      <c r="AV577" s="23"/>
    </row>
    <row r="578" spans="1:48" ht="15.75" x14ac:dyDescent="0.25">
      <c r="A578" s="44"/>
      <c r="B578" s="23"/>
      <c r="C578" s="23"/>
      <c r="D578" s="39"/>
      <c r="E578" s="39"/>
      <c r="F578" s="40"/>
      <c r="G578" s="40"/>
      <c r="H578" s="41"/>
      <c r="I578" s="39"/>
      <c r="J578" s="40"/>
      <c r="K578" s="40"/>
      <c r="L578" s="41"/>
      <c r="M578" s="39"/>
      <c r="N578" s="40"/>
      <c r="O578" s="40"/>
      <c r="P578" s="39"/>
      <c r="Q578" s="39"/>
      <c r="R578" s="40"/>
      <c r="S578" s="40"/>
      <c r="T578" s="39"/>
      <c r="U578" s="39"/>
      <c r="V578" s="40"/>
      <c r="W578" s="40"/>
      <c r="X578" s="41"/>
      <c r="Y578" s="41"/>
      <c r="Z578" s="40"/>
      <c r="AA578" s="40"/>
      <c r="AB578" s="41"/>
      <c r="AC578" s="41"/>
      <c r="AD578" s="40"/>
      <c r="AE578" s="40"/>
      <c r="AF578" s="42"/>
      <c r="AG578" s="42"/>
      <c r="AH578" s="40"/>
      <c r="AI578" s="40"/>
      <c r="AJ578" s="42"/>
      <c r="AK578" s="42"/>
      <c r="AL578" s="40"/>
      <c r="AM578" s="40"/>
      <c r="AN578" s="40"/>
      <c r="AO578" s="40"/>
      <c r="AP578" s="40"/>
      <c r="AQ578" s="40"/>
      <c r="AR578" s="39"/>
      <c r="AS578" s="39"/>
      <c r="AT578" s="40"/>
      <c r="AU578" s="40"/>
      <c r="AV578" s="23"/>
    </row>
    <row r="579" spans="1:48" ht="15.75" x14ac:dyDescent="0.25">
      <c r="A579" s="44"/>
      <c r="B579" s="23"/>
      <c r="C579" s="23"/>
      <c r="D579" s="39"/>
      <c r="E579" s="39"/>
      <c r="F579" s="40"/>
      <c r="G579" s="40"/>
      <c r="H579" s="41"/>
      <c r="I579" s="39"/>
      <c r="J579" s="40"/>
      <c r="K579" s="40"/>
      <c r="L579" s="41"/>
      <c r="M579" s="39"/>
      <c r="N579" s="40"/>
      <c r="O579" s="40"/>
      <c r="P579" s="39"/>
      <c r="Q579" s="39"/>
      <c r="R579" s="40"/>
      <c r="S579" s="40"/>
      <c r="T579" s="39"/>
      <c r="U579" s="39"/>
      <c r="V579" s="40"/>
      <c r="W579" s="40"/>
      <c r="X579" s="41"/>
      <c r="Y579" s="41"/>
      <c r="Z579" s="40"/>
      <c r="AA579" s="40"/>
      <c r="AB579" s="41"/>
      <c r="AC579" s="41"/>
      <c r="AD579" s="40"/>
      <c r="AE579" s="40"/>
      <c r="AF579" s="42"/>
      <c r="AG579" s="42"/>
      <c r="AH579" s="40"/>
      <c r="AI579" s="40"/>
      <c r="AJ579" s="42"/>
      <c r="AK579" s="42"/>
      <c r="AL579" s="40"/>
      <c r="AM579" s="40"/>
      <c r="AN579" s="40"/>
      <c r="AO579" s="40"/>
      <c r="AP579" s="40"/>
      <c r="AQ579" s="40"/>
      <c r="AR579" s="39"/>
      <c r="AS579" s="39"/>
      <c r="AT579" s="40"/>
      <c r="AU579" s="40"/>
      <c r="AV579" s="23"/>
    </row>
    <row r="580" spans="1:48" ht="15.75" x14ac:dyDescent="0.25">
      <c r="A580" s="44"/>
      <c r="B580" s="23"/>
      <c r="C580" s="23"/>
      <c r="D580" s="39"/>
      <c r="E580" s="39"/>
      <c r="F580" s="40"/>
      <c r="G580" s="40"/>
      <c r="H580" s="41"/>
      <c r="I580" s="39"/>
      <c r="J580" s="40"/>
      <c r="K580" s="40"/>
      <c r="L580" s="41"/>
      <c r="M580" s="39"/>
      <c r="N580" s="40"/>
      <c r="O580" s="40"/>
      <c r="P580" s="39"/>
      <c r="Q580" s="39"/>
      <c r="R580" s="40"/>
      <c r="S580" s="40"/>
      <c r="T580" s="39"/>
      <c r="U580" s="39"/>
      <c r="V580" s="40"/>
      <c r="W580" s="40"/>
      <c r="X580" s="41"/>
      <c r="Y580" s="41"/>
      <c r="Z580" s="40"/>
      <c r="AA580" s="40"/>
      <c r="AB580" s="41"/>
      <c r="AC580" s="41"/>
      <c r="AD580" s="40"/>
      <c r="AE580" s="40"/>
      <c r="AF580" s="42"/>
      <c r="AG580" s="42"/>
      <c r="AH580" s="40"/>
      <c r="AI580" s="40"/>
      <c r="AJ580" s="42"/>
      <c r="AK580" s="42"/>
      <c r="AL580" s="40"/>
      <c r="AM580" s="40"/>
      <c r="AN580" s="40"/>
      <c r="AO580" s="40"/>
      <c r="AP580" s="40"/>
      <c r="AQ580" s="40"/>
      <c r="AR580" s="39"/>
      <c r="AS580" s="39"/>
      <c r="AT580" s="40"/>
      <c r="AU580" s="40"/>
      <c r="AV580" s="23"/>
    </row>
    <row r="581" spans="1:48" ht="15.75" x14ac:dyDescent="0.25">
      <c r="A581" s="44"/>
      <c r="B581" s="23"/>
      <c r="C581" s="23"/>
      <c r="D581" s="39"/>
      <c r="E581" s="39"/>
      <c r="F581" s="40"/>
      <c r="G581" s="40"/>
      <c r="H581" s="41"/>
      <c r="I581" s="39"/>
      <c r="J581" s="40"/>
      <c r="K581" s="40"/>
      <c r="L581" s="41"/>
      <c r="M581" s="39"/>
      <c r="N581" s="40"/>
      <c r="O581" s="40"/>
      <c r="P581" s="39"/>
      <c r="Q581" s="39"/>
      <c r="R581" s="40"/>
      <c r="S581" s="40"/>
      <c r="T581" s="39"/>
      <c r="U581" s="39"/>
      <c r="V581" s="40"/>
      <c r="W581" s="40"/>
      <c r="X581" s="41"/>
      <c r="Y581" s="41"/>
      <c r="Z581" s="40"/>
      <c r="AA581" s="40"/>
      <c r="AB581" s="41"/>
      <c r="AC581" s="41"/>
      <c r="AD581" s="40"/>
      <c r="AE581" s="40"/>
      <c r="AF581" s="42"/>
      <c r="AG581" s="42"/>
      <c r="AH581" s="40"/>
      <c r="AI581" s="40"/>
      <c r="AJ581" s="42"/>
      <c r="AK581" s="42"/>
      <c r="AL581" s="40"/>
      <c r="AM581" s="40"/>
      <c r="AN581" s="40"/>
      <c r="AO581" s="40"/>
      <c r="AP581" s="40"/>
      <c r="AQ581" s="40"/>
      <c r="AR581" s="39"/>
      <c r="AS581" s="39"/>
      <c r="AT581" s="40"/>
      <c r="AU581" s="40"/>
      <c r="AV581" s="23"/>
    </row>
    <row r="582" spans="1:48" ht="15.75" x14ac:dyDescent="0.25">
      <c r="A582" s="44"/>
      <c r="B582" s="23"/>
      <c r="C582" s="23"/>
      <c r="D582" s="39"/>
      <c r="E582" s="39"/>
      <c r="F582" s="40"/>
      <c r="G582" s="40"/>
      <c r="H582" s="41"/>
      <c r="I582" s="39"/>
      <c r="J582" s="40"/>
      <c r="K582" s="40"/>
      <c r="L582" s="41"/>
      <c r="M582" s="39"/>
      <c r="N582" s="40"/>
      <c r="O582" s="40"/>
      <c r="P582" s="39"/>
      <c r="Q582" s="39"/>
      <c r="R582" s="40"/>
      <c r="S582" s="40"/>
      <c r="T582" s="39"/>
      <c r="U582" s="39"/>
      <c r="V582" s="40"/>
      <c r="W582" s="40"/>
      <c r="X582" s="41"/>
      <c r="Y582" s="41"/>
      <c r="Z582" s="40"/>
      <c r="AA582" s="40"/>
      <c r="AB582" s="41"/>
      <c r="AC582" s="41"/>
      <c r="AD582" s="40"/>
      <c r="AE582" s="40"/>
      <c r="AF582" s="42"/>
      <c r="AG582" s="42"/>
      <c r="AH582" s="40"/>
      <c r="AI582" s="40"/>
      <c r="AJ582" s="42"/>
      <c r="AK582" s="42"/>
      <c r="AL582" s="40"/>
      <c r="AM582" s="40"/>
      <c r="AN582" s="40"/>
      <c r="AO582" s="40"/>
      <c r="AP582" s="40"/>
      <c r="AQ582" s="40"/>
      <c r="AR582" s="39"/>
      <c r="AS582" s="39"/>
      <c r="AT582" s="40"/>
      <c r="AU582" s="40"/>
      <c r="AV582" s="23"/>
    </row>
    <row r="583" spans="1:48" ht="15.75" x14ac:dyDescent="0.25">
      <c r="A583" s="44"/>
      <c r="B583" s="23"/>
      <c r="C583" s="23"/>
      <c r="D583" s="39"/>
      <c r="E583" s="39"/>
      <c r="F583" s="40"/>
      <c r="G583" s="40"/>
      <c r="H583" s="41"/>
      <c r="I583" s="39"/>
      <c r="J583" s="40"/>
      <c r="K583" s="40"/>
      <c r="L583" s="41"/>
      <c r="M583" s="39"/>
      <c r="N583" s="40"/>
      <c r="O583" s="40"/>
      <c r="P583" s="39"/>
      <c r="Q583" s="39"/>
      <c r="R583" s="40"/>
      <c r="S583" s="40"/>
      <c r="T583" s="39"/>
      <c r="U583" s="39"/>
      <c r="V583" s="40"/>
      <c r="W583" s="40"/>
      <c r="X583" s="41"/>
      <c r="Y583" s="41"/>
      <c r="Z583" s="40"/>
      <c r="AA583" s="40"/>
      <c r="AB583" s="41"/>
      <c r="AC583" s="41"/>
      <c r="AD583" s="40"/>
      <c r="AE583" s="40"/>
      <c r="AF583" s="42"/>
      <c r="AG583" s="42"/>
      <c r="AH583" s="40"/>
      <c r="AI583" s="40"/>
      <c r="AJ583" s="42"/>
      <c r="AK583" s="42"/>
      <c r="AL583" s="40"/>
      <c r="AM583" s="40"/>
      <c r="AN583" s="40"/>
      <c r="AO583" s="40"/>
      <c r="AP583" s="40"/>
      <c r="AQ583" s="40"/>
      <c r="AR583" s="39"/>
      <c r="AS583" s="39"/>
      <c r="AT583" s="40"/>
      <c r="AU583" s="40"/>
      <c r="AV583" s="23"/>
    </row>
    <row r="584" spans="1:48" ht="15.75" x14ac:dyDescent="0.25">
      <c r="A584" s="44"/>
      <c r="B584" s="23"/>
      <c r="C584" s="23"/>
      <c r="D584" s="39"/>
      <c r="E584" s="39"/>
      <c r="F584" s="40"/>
      <c r="G584" s="40"/>
      <c r="H584" s="41"/>
      <c r="I584" s="39"/>
      <c r="J584" s="40"/>
      <c r="K584" s="40"/>
      <c r="L584" s="41"/>
      <c r="M584" s="39"/>
      <c r="N584" s="40"/>
      <c r="O584" s="40"/>
      <c r="P584" s="39"/>
      <c r="Q584" s="39"/>
      <c r="R584" s="40"/>
      <c r="S584" s="40"/>
      <c r="T584" s="39"/>
      <c r="U584" s="39"/>
      <c r="V584" s="40"/>
      <c r="W584" s="40"/>
      <c r="X584" s="41"/>
      <c r="Y584" s="41"/>
      <c r="Z584" s="40"/>
      <c r="AA584" s="40"/>
      <c r="AB584" s="41"/>
      <c r="AC584" s="41"/>
      <c r="AD584" s="40"/>
      <c r="AE584" s="40"/>
      <c r="AF584" s="42"/>
      <c r="AG584" s="42"/>
      <c r="AH584" s="40"/>
      <c r="AI584" s="40"/>
      <c r="AJ584" s="42"/>
      <c r="AK584" s="42"/>
      <c r="AL584" s="40"/>
      <c r="AM584" s="40"/>
      <c r="AN584" s="40"/>
      <c r="AO584" s="40"/>
      <c r="AP584" s="40"/>
      <c r="AQ584" s="40"/>
      <c r="AR584" s="39"/>
      <c r="AS584" s="39"/>
      <c r="AT584" s="40"/>
      <c r="AU584" s="40"/>
      <c r="AV584" s="23"/>
    </row>
    <row r="585" spans="1:48" ht="15.75" x14ac:dyDescent="0.25">
      <c r="A585" s="44"/>
      <c r="B585" s="23"/>
      <c r="C585" s="23"/>
      <c r="D585" s="39"/>
      <c r="E585" s="39"/>
      <c r="F585" s="40"/>
      <c r="G585" s="40"/>
      <c r="H585" s="41"/>
      <c r="I585" s="39"/>
      <c r="J585" s="40"/>
      <c r="K585" s="40"/>
      <c r="L585" s="41"/>
      <c r="M585" s="39"/>
      <c r="N585" s="40"/>
      <c r="O585" s="40"/>
      <c r="P585" s="39"/>
      <c r="Q585" s="39"/>
      <c r="R585" s="40"/>
      <c r="S585" s="40"/>
      <c r="T585" s="39"/>
      <c r="U585" s="39"/>
      <c r="V585" s="40"/>
      <c r="W585" s="40"/>
      <c r="X585" s="41"/>
      <c r="Y585" s="41"/>
      <c r="Z585" s="40"/>
      <c r="AA585" s="40"/>
      <c r="AB585" s="41"/>
      <c r="AC585" s="41"/>
      <c r="AD585" s="40"/>
      <c r="AE585" s="40"/>
      <c r="AF585" s="42"/>
      <c r="AG585" s="42"/>
      <c r="AH585" s="40"/>
      <c r="AI585" s="40"/>
      <c r="AJ585" s="42"/>
      <c r="AK585" s="42"/>
      <c r="AL585" s="40"/>
      <c r="AM585" s="40"/>
      <c r="AN585" s="40"/>
      <c r="AO585" s="40"/>
      <c r="AP585" s="40"/>
      <c r="AQ585" s="40"/>
      <c r="AR585" s="39"/>
      <c r="AS585" s="39"/>
      <c r="AT585" s="40"/>
      <c r="AU585" s="40"/>
      <c r="AV585" s="23"/>
    </row>
    <row r="586" spans="1:48" ht="15.75" x14ac:dyDescent="0.25">
      <c r="A586" s="44"/>
      <c r="B586" s="23"/>
      <c r="C586" s="23"/>
      <c r="D586" s="39"/>
      <c r="E586" s="39"/>
      <c r="F586" s="40"/>
      <c r="G586" s="40"/>
      <c r="H586" s="41"/>
      <c r="I586" s="39"/>
      <c r="J586" s="40"/>
      <c r="K586" s="40"/>
      <c r="L586" s="41"/>
      <c r="M586" s="39"/>
      <c r="N586" s="40"/>
      <c r="O586" s="40"/>
      <c r="P586" s="39"/>
      <c r="Q586" s="39"/>
      <c r="R586" s="40"/>
      <c r="S586" s="40"/>
      <c r="T586" s="39"/>
      <c r="U586" s="39"/>
      <c r="V586" s="40"/>
      <c r="W586" s="40"/>
      <c r="X586" s="41"/>
      <c r="Y586" s="41"/>
      <c r="Z586" s="40"/>
      <c r="AA586" s="40"/>
      <c r="AB586" s="41"/>
      <c r="AC586" s="41"/>
      <c r="AD586" s="40"/>
      <c r="AE586" s="40"/>
      <c r="AF586" s="42"/>
      <c r="AG586" s="42"/>
      <c r="AH586" s="40"/>
      <c r="AI586" s="40"/>
      <c r="AJ586" s="42"/>
      <c r="AK586" s="42"/>
      <c r="AL586" s="40"/>
      <c r="AM586" s="40"/>
      <c r="AN586" s="40"/>
      <c r="AO586" s="40"/>
      <c r="AP586" s="40"/>
      <c r="AQ586" s="40"/>
      <c r="AR586" s="39"/>
      <c r="AS586" s="39"/>
      <c r="AT586" s="40"/>
      <c r="AU586" s="40"/>
      <c r="AV586" s="23"/>
    </row>
    <row r="587" spans="1:48" ht="15.75" x14ac:dyDescent="0.25">
      <c r="A587" s="44"/>
      <c r="B587" s="23"/>
      <c r="C587" s="23"/>
      <c r="D587" s="39"/>
      <c r="E587" s="39"/>
      <c r="F587" s="40"/>
      <c r="G587" s="40"/>
      <c r="H587" s="41"/>
      <c r="I587" s="39"/>
      <c r="J587" s="40"/>
      <c r="K587" s="40"/>
      <c r="L587" s="41"/>
      <c r="M587" s="39"/>
      <c r="N587" s="40"/>
      <c r="O587" s="40"/>
      <c r="P587" s="39"/>
      <c r="Q587" s="39"/>
      <c r="R587" s="40"/>
      <c r="S587" s="40"/>
      <c r="T587" s="39"/>
      <c r="U587" s="39"/>
      <c r="V587" s="40"/>
      <c r="W587" s="40"/>
      <c r="X587" s="41"/>
      <c r="Y587" s="41"/>
      <c r="Z587" s="40"/>
      <c r="AA587" s="40"/>
      <c r="AB587" s="41"/>
      <c r="AC587" s="41"/>
      <c r="AD587" s="40"/>
      <c r="AE587" s="40"/>
      <c r="AF587" s="42"/>
      <c r="AG587" s="42"/>
      <c r="AH587" s="40"/>
      <c r="AI587" s="40"/>
      <c r="AJ587" s="42"/>
      <c r="AK587" s="42"/>
      <c r="AL587" s="40"/>
      <c r="AM587" s="40"/>
      <c r="AN587" s="40"/>
      <c r="AO587" s="40"/>
      <c r="AP587" s="40"/>
      <c r="AQ587" s="40"/>
      <c r="AR587" s="39"/>
      <c r="AS587" s="39"/>
      <c r="AT587" s="40"/>
      <c r="AU587" s="40"/>
      <c r="AV587" s="23"/>
    </row>
    <row r="588" spans="1:48" ht="15.75" x14ac:dyDescent="0.25">
      <c r="A588" s="44"/>
      <c r="B588" s="23"/>
      <c r="C588" s="23"/>
      <c r="D588" s="39"/>
      <c r="E588" s="39"/>
      <c r="F588" s="40"/>
      <c r="G588" s="40"/>
      <c r="H588" s="41"/>
      <c r="I588" s="39"/>
      <c r="J588" s="40"/>
      <c r="K588" s="40"/>
      <c r="L588" s="41"/>
      <c r="M588" s="39"/>
      <c r="N588" s="40"/>
      <c r="O588" s="40"/>
      <c r="P588" s="39"/>
      <c r="Q588" s="39"/>
      <c r="R588" s="40"/>
      <c r="S588" s="40"/>
      <c r="T588" s="39"/>
      <c r="U588" s="39"/>
      <c r="V588" s="40"/>
      <c r="W588" s="40"/>
      <c r="X588" s="41"/>
      <c r="Y588" s="41"/>
      <c r="Z588" s="40"/>
      <c r="AA588" s="40"/>
      <c r="AB588" s="41"/>
      <c r="AC588" s="41"/>
      <c r="AD588" s="40"/>
      <c r="AE588" s="40"/>
      <c r="AF588" s="42"/>
      <c r="AG588" s="42"/>
      <c r="AH588" s="40"/>
      <c r="AI588" s="40"/>
      <c r="AJ588" s="42"/>
      <c r="AK588" s="42"/>
      <c r="AL588" s="40"/>
      <c r="AM588" s="40"/>
      <c r="AN588" s="40"/>
      <c r="AO588" s="40"/>
      <c r="AP588" s="40"/>
      <c r="AQ588" s="40"/>
      <c r="AR588" s="39"/>
      <c r="AS588" s="39"/>
      <c r="AT588" s="40"/>
      <c r="AU588" s="40"/>
      <c r="AV588" s="23"/>
    </row>
    <row r="589" spans="1:48" ht="15.75" x14ac:dyDescent="0.25">
      <c r="A589" s="44"/>
      <c r="B589" s="23"/>
      <c r="C589" s="23"/>
      <c r="D589" s="39"/>
      <c r="E589" s="39"/>
      <c r="F589" s="40"/>
      <c r="G589" s="40"/>
      <c r="H589" s="41"/>
      <c r="I589" s="39"/>
      <c r="J589" s="40"/>
      <c r="K589" s="40"/>
      <c r="L589" s="41"/>
      <c r="M589" s="39"/>
      <c r="N589" s="40"/>
      <c r="O589" s="40"/>
      <c r="P589" s="39"/>
      <c r="Q589" s="39"/>
      <c r="R589" s="40"/>
      <c r="S589" s="40"/>
      <c r="T589" s="39"/>
      <c r="U589" s="39"/>
      <c r="V589" s="40"/>
      <c r="W589" s="40"/>
      <c r="X589" s="41"/>
      <c r="Y589" s="41"/>
      <c r="Z589" s="40"/>
      <c r="AA589" s="40"/>
      <c r="AB589" s="41"/>
      <c r="AC589" s="41"/>
      <c r="AD589" s="40"/>
      <c r="AE589" s="40"/>
      <c r="AF589" s="42"/>
      <c r="AG589" s="42"/>
      <c r="AH589" s="40"/>
      <c r="AI589" s="40"/>
      <c r="AJ589" s="42"/>
      <c r="AK589" s="42"/>
      <c r="AL589" s="40"/>
      <c r="AM589" s="40"/>
      <c r="AN589" s="40"/>
      <c r="AO589" s="40"/>
      <c r="AP589" s="40"/>
      <c r="AQ589" s="40"/>
      <c r="AR589" s="39"/>
      <c r="AS589" s="39"/>
      <c r="AT589" s="40"/>
      <c r="AU589" s="40"/>
      <c r="AV589" s="23"/>
    </row>
    <row r="590" spans="1:48" ht="15.75" x14ac:dyDescent="0.25">
      <c r="A590" s="44"/>
      <c r="B590" s="23"/>
      <c r="C590" s="23"/>
      <c r="D590" s="39"/>
      <c r="E590" s="39"/>
      <c r="F590" s="40"/>
      <c r="G590" s="40"/>
      <c r="H590" s="41"/>
      <c r="I590" s="39"/>
      <c r="J590" s="40"/>
      <c r="K590" s="40"/>
      <c r="L590" s="41"/>
      <c r="M590" s="39"/>
      <c r="N590" s="40"/>
      <c r="O590" s="40"/>
      <c r="P590" s="39"/>
      <c r="Q590" s="39"/>
      <c r="R590" s="40"/>
      <c r="S590" s="40"/>
      <c r="T590" s="39"/>
      <c r="U590" s="39"/>
      <c r="V590" s="40"/>
      <c r="W590" s="40"/>
      <c r="X590" s="41"/>
      <c r="Y590" s="41"/>
      <c r="Z590" s="40"/>
      <c r="AA590" s="40"/>
      <c r="AB590" s="41"/>
      <c r="AC590" s="41"/>
      <c r="AD590" s="40"/>
      <c r="AE590" s="40"/>
      <c r="AF590" s="42"/>
      <c r="AG590" s="42"/>
      <c r="AH590" s="40"/>
      <c r="AI590" s="40"/>
      <c r="AJ590" s="42"/>
      <c r="AK590" s="42"/>
      <c r="AL590" s="40"/>
      <c r="AM590" s="40"/>
      <c r="AN590" s="40"/>
      <c r="AO590" s="40"/>
      <c r="AP590" s="40"/>
      <c r="AQ590" s="40"/>
      <c r="AR590" s="39"/>
      <c r="AS590" s="39"/>
      <c r="AT590" s="40"/>
      <c r="AU590" s="40"/>
      <c r="AV590" s="23"/>
    </row>
    <row r="591" spans="1:48" ht="15.75" x14ac:dyDescent="0.25">
      <c r="A591" s="44"/>
      <c r="B591" s="23"/>
      <c r="C591" s="23"/>
      <c r="D591" s="39"/>
      <c r="E591" s="39"/>
      <c r="F591" s="40"/>
      <c r="G591" s="40"/>
      <c r="H591" s="41"/>
      <c r="I591" s="39"/>
      <c r="J591" s="40"/>
      <c r="K591" s="40"/>
      <c r="L591" s="41"/>
      <c r="M591" s="39"/>
      <c r="N591" s="40"/>
      <c r="O591" s="40"/>
      <c r="P591" s="39"/>
      <c r="Q591" s="39"/>
      <c r="R591" s="40"/>
      <c r="S591" s="40"/>
      <c r="T591" s="39"/>
      <c r="U591" s="39"/>
      <c r="V591" s="40"/>
      <c r="W591" s="40"/>
      <c r="X591" s="41"/>
      <c r="Y591" s="41"/>
      <c r="Z591" s="40"/>
      <c r="AA591" s="40"/>
      <c r="AB591" s="41"/>
      <c r="AC591" s="41"/>
      <c r="AD591" s="40"/>
      <c r="AE591" s="40"/>
      <c r="AF591" s="42"/>
      <c r="AG591" s="42"/>
      <c r="AH591" s="40"/>
      <c r="AI591" s="40"/>
      <c r="AJ591" s="42"/>
      <c r="AK591" s="42"/>
      <c r="AL591" s="40"/>
      <c r="AM591" s="40"/>
      <c r="AN591" s="40"/>
      <c r="AO591" s="40"/>
      <c r="AP591" s="40"/>
      <c r="AQ591" s="40"/>
      <c r="AR591" s="39"/>
      <c r="AS591" s="39"/>
      <c r="AT591" s="40"/>
      <c r="AU591" s="40"/>
      <c r="AV591" s="23"/>
    </row>
    <row r="592" spans="1:48" ht="15.75" x14ac:dyDescent="0.25">
      <c r="A592" s="44"/>
      <c r="B592" s="23"/>
      <c r="C592" s="23"/>
      <c r="D592" s="39"/>
      <c r="E592" s="39"/>
      <c r="F592" s="40"/>
      <c r="G592" s="40"/>
      <c r="H592" s="41"/>
      <c r="I592" s="39"/>
      <c r="J592" s="40"/>
      <c r="K592" s="40"/>
      <c r="L592" s="41"/>
      <c r="M592" s="39"/>
      <c r="N592" s="40"/>
      <c r="O592" s="40"/>
      <c r="P592" s="39"/>
      <c r="Q592" s="39"/>
      <c r="R592" s="40"/>
      <c r="S592" s="40"/>
      <c r="T592" s="39"/>
      <c r="U592" s="39"/>
      <c r="V592" s="40"/>
      <c r="W592" s="40"/>
      <c r="X592" s="41"/>
      <c r="Y592" s="41"/>
      <c r="Z592" s="40"/>
      <c r="AA592" s="40"/>
      <c r="AB592" s="41"/>
      <c r="AC592" s="41"/>
      <c r="AD592" s="40"/>
      <c r="AE592" s="40"/>
      <c r="AF592" s="42"/>
      <c r="AG592" s="42"/>
      <c r="AH592" s="40"/>
      <c r="AI592" s="40"/>
      <c r="AJ592" s="42"/>
      <c r="AK592" s="42"/>
      <c r="AL592" s="40"/>
      <c r="AM592" s="40"/>
      <c r="AN592" s="40"/>
      <c r="AO592" s="40"/>
      <c r="AP592" s="40"/>
      <c r="AQ592" s="40"/>
      <c r="AR592" s="39"/>
      <c r="AS592" s="39"/>
      <c r="AT592" s="40"/>
      <c r="AU592" s="40"/>
      <c r="AV592" s="23"/>
    </row>
    <row r="593" spans="1:48" ht="15.75" x14ac:dyDescent="0.25">
      <c r="A593" s="44"/>
      <c r="B593" s="23"/>
      <c r="C593" s="23"/>
      <c r="D593" s="39"/>
      <c r="E593" s="39"/>
      <c r="F593" s="40"/>
      <c r="G593" s="40"/>
      <c r="H593" s="41"/>
      <c r="I593" s="39"/>
      <c r="J593" s="40"/>
      <c r="K593" s="40"/>
      <c r="L593" s="41"/>
      <c r="M593" s="39"/>
      <c r="N593" s="40"/>
      <c r="O593" s="40"/>
      <c r="P593" s="39"/>
      <c r="Q593" s="39"/>
      <c r="R593" s="40"/>
      <c r="S593" s="40"/>
      <c r="T593" s="39"/>
      <c r="U593" s="39"/>
      <c r="V593" s="40"/>
      <c r="W593" s="40"/>
      <c r="X593" s="41"/>
      <c r="Y593" s="41"/>
      <c r="Z593" s="40"/>
      <c r="AA593" s="40"/>
      <c r="AB593" s="41"/>
      <c r="AC593" s="41"/>
      <c r="AD593" s="40"/>
      <c r="AE593" s="40"/>
      <c r="AF593" s="42"/>
      <c r="AG593" s="42"/>
      <c r="AH593" s="40"/>
      <c r="AI593" s="40"/>
      <c r="AJ593" s="42"/>
      <c r="AK593" s="42"/>
      <c r="AL593" s="40"/>
      <c r="AM593" s="40"/>
      <c r="AN593" s="40"/>
      <c r="AO593" s="40"/>
      <c r="AP593" s="40"/>
      <c r="AQ593" s="40"/>
      <c r="AR593" s="39"/>
      <c r="AS593" s="39"/>
      <c r="AT593" s="40"/>
      <c r="AU593" s="40"/>
      <c r="AV593" s="23"/>
    </row>
    <row r="594" spans="1:48" ht="15.75" x14ac:dyDescent="0.25">
      <c r="A594" s="44"/>
      <c r="B594" s="23"/>
      <c r="C594" s="23"/>
      <c r="D594" s="39"/>
      <c r="E594" s="39"/>
      <c r="F594" s="40"/>
      <c r="G594" s="40"/>
      <c r="H594" s="41"/>
      <c r="I594" s="39"/>
      <c r="J594" s="40"/>
      <c r="K594" s="40"/>
      <c r="L594" s="41"/>
      <c r="M594" s="39"/>
      <c r="N594" s="40"/>
      <c r="O594" s="40"/>
      <c r="P594" s="39"/>
      <c r="Q594" s="39"/>
      <c r="R594" s="40"/>
      <c r="S594" s="40"/>
      <c r="T594" s="39"/>
      <c r="U594" s="39"/>
      <c r="V594" s="40"/>
      <c r="W594" s="40"/>
      <c r="X594" s="41"/>
      <c r="Y594" s="41"/>
      <c r="Z594" s="40"/>
      <c r="AA594" s="40"/>
      <c r="AB594" s="41"/>
      <c r="AC594" s="41"/>
      <c r="AD594" s="40"/>
      <c r="AE594" s="40"/>
      <c r="AF594" s="42"/>
      <c r="AG594" s="42"/>
      <c r="AH594" s="40"/>
      <c r="AI594" s="40"/>
      <c r="AJ594" s="42"/>
      <c r="AK594" s="42"/>
      <c r="AL594" s="40"/>
      <c r="AM594" s="40"/>
      <c r="AN594" s="40"/>
      <c r="AO594" s="40"/>
      <c r="AP594" s="40"/>
      <c r="AQ594" s="40"/>
      <c r="AR594" s="39"/>
      <c r="AS594" s="39"/>
      <c r="AT594" s="40"/>
      <c r="AU594" s="40"/>
      <c r="AV594" s="23"/>
    </row>
    <row r="595" spans="1:48" ht="15.75" x14ac:dyDescent="0.25">
      <c r="A595" s="44"/>
      <c r="B595" s="23"/>
      <c r="C595" s="23"/>
      <c r="D595" s="39"/>
      <c r="E595" s="39"/>
      <c r="F595" s="40"/>
      <c r="G595" s="40"/>
      <c r="H595" s="41"/>
      <c r="I595" s="39"/>
      <c r="J595" s="40"/>
      <c r="K595" s="40"/>
      <c r="L595" s="41"/>
      <c r="M595" s="39"/>
      <c r="N595" s="40"/>
      <c r="O595" s="40"/>
      <c r="P595" s="39"/>
      <c r="Q595" s="39"/>
      <c r="R595" s="40"/>
      <c r="S595" s="40"/>
      <c r="T595" s="39"/>
      <c r="U595" s="39"/>
      <c r="V595" s="40"/>
      <c r="W595" s="40"/>
      <c r="X595" s="41"/>
      <c r="Y595" s="41"/>
      <c r="Z595" s="40"/>
      <c r="AA595" s="40"/>
      <c r="AB595" s="41"/>
      <c r="AC595" s="41"/>
      <c r="AD595" s="40"/>
      <c r="AE595" s="40"/>
      <c r="AF595" s="42"/>
      <c r="AG595" s="42"/>
      <c r="AH595" s="40"/>
      <c r="AI595" s="40"/>
      <c r="AJ595" s="42"/>
      <c r="AK595" s="42"/>
      <c r="AL595" s="40"/>
      <c r="AM595" s="40"/>
      <c r="AN595" s="40"/>
      <c r="AO595" s="40"/>
      <c r="AP595" s="40"/>
      <c r="AQ595" s="40"/>
      <c r="AR595" s="39"/>
      <c r="AS595" s="39"/>
      <c r="AT595" s="40"/>
      <c r="AU595" s="40"/>
      <c r="AV595" s="23"/>
    </row>
    <row r="596" spans="1:48" ht="15.75" x14ac:dyDescent="0.25">
      <c r="A596" s="44"/>
      <c r="B596" s="23"/>
      <c r="C596" s="23"/>
      <c r="D596" s="39"/>
      <c r="E596" s="39"/>
      <c r="F596" s="40"/>
      <c r="G596" s="40"/>
      <c r="H596" s="41"/>
      <c r="I596" s="39"/>
      <c r="J596" s="40"/>
      <c r="K596" s="40"/>
      <c r="L596" s="41"/>
      <c r="M596" s="39"/>
      <c r="N596" s="40"/>
      <c r="O596" s="40"/>
      <c r="P596" s="39"/>
      <c r="Q596" s="39"/>
      <c r="R596" s="40"/>
      <c r="S596" s="40"/>
      <c r="T596" s="39"/>
      <c r="U596" s="39"/>
      <c r="V596" s="40"/>
      <c r="W596" s="40"/>
      <c r="X596" s="41"/>
      <c r="Y596" s="41"/>
      <c r="Z596" s="40"/>
      <c r="AA596" s="40"/>
      <c r="AB596" s="41"/>
      <c r="AC596" s="41"/>
      <c r="AD596" s="40"/>
      <c r="AE596" s="40"/>
      <c r="AF596" s="42"/>
      <c r="AG596" s="42"/>
      <c r="AH596" s="40"/>
      <c r="AI596" s="40"/>
      <c r="AJ596" s="42"/>
      <c r="AK596" s="42"/>
      <c r="AL596" s="40"/>
      <c r="AM596" s="40"/>
      <c r="AN596" s="40"/>
      <c r="AO596" s="40"/>
      <c r="AP596" s="40"/>
      <c r="AQ596" s="40"/>
      <c r="AR596" s="39"/>
      <c r="AS596" s="39"/>
      <c r="AT596" s="40"/>
      <c r="AU596" s="40"/>
      <c r="AV596" s="23"/>
    </row>
    <row r="597" spans="1:48" ht="15.75" x14ac:dyDescent="0.25">
      <c r="A597" s="44"/>
      <c r="B597" s="23"/>
      <c r="C597" s="23"/>
      <c r="D597" s="39"/>
      <c r="E597" s="39"/>
      <c r="F597" s="40"/>
      <c r="G597" s="40"/>
      <c r="H597" s="41"/>
      <c r="I597" s="39"/>
      <c r="J597" s="40"/>
      <c r="K597" s="40"/>
      <c r="L597" s="41"/>
      <c r="M597" s="39"/>
      <c r="N597" s="40"/>
      <c r="O597" s="40"/>
      <c r="P597" s="39"/>
      <c r="Q597" s="39"/>
      <c r="R597" s="40"/>
      <c r="S597" s="40"/>
      <c r="T597" s="39"/>
      <c r="U597" s="39"/>
      <c r="V597" s="40"/>
      <c r="W597" s="40"/>
      <c r="X597" s="41"/>
      <c r="Y597" s="41"/>
      <c r="Z597" s="40"/>
      <c r="AA597" s="40"/>
      <c r="AB597" s="41"/>
      <c r="AC597" s="41"/>
      <c r="AD597" s="40"/>
      <c r="AE597" s="40"/>
      <c r="AF597" s="42"/>
      <c r="AG597" s="42"/>
      <c r="AH597" s="40"/>
      <c r="AI597" s="40"/>
      <c r="AJ597" s="42"/>
      <c r="AK597" s="42"/>
      <c r="AL597" s="40"/>
      <c r="AM597" s="40"/>
      <c r="AN597" s="40"/>
      <c r="AO597" s="40"/>
      <c r="AP597" s="40"/>
      <c r="AQ597" s="40"/>
      <c r="AR597" s="39"/>
      <c r="AS597" s="39"/>
      <c r="AT597" s="40"/>
      <c r="AU597" s="40"/>
      <c r="AV597" s="23"/>
    </row>
    <row r="598" spans="1:48" ht="15.75" x14ac:dyDescent="0.25">
      <c r="A598" s="44"/>
      <c r="B598" s="23"/>
      <c r="C598" s="23"/>
      <c r="D598" s="39"/>
      <c r="E598" s="39"/>
      <c r="F598" s="40"/>
      <c r="G598" s="40"/>
      <c r="H598" s="41"/>
      <c r="I598" s="39"/>
      <c r="J598" s="40"/>
      <c r="K598" s="40"/>
      <c r="L598" s="41"/>
      <c r="M598" s="39"/>
      <c r="N598" s="40"/>
      <c r="O598" s="40"/>
      <c r="P598" s="39"/>
      <c r="Q598" s="39"/>
      <c r="R598" s="40"/>
      <c r="S598" s="40"/>
      <c r="T598" s="39"/>
      <c r="U598" s="39"/>
      <c r="V598" s="40"/>
      <c r="W598" s="40"/>
      <c r="X598" s="41"/>
      <c r="Y598" s="41"/>
      <c r="Z598" s="40"/>
      <c r="AA598" s="40"/>
      <c r="AB598" s="41"/>
      <c r="AC598" s="41"/>
      <c r="AD598" s="40"/>
      <c r="AE598" s="40"/>
      <c r="AF598" s="42"/>
      <c r="AG598" s="42"/>
      <c r="AH598" s="40"/>
      <c r="AI598" s="40"/>
      <c r="AJ598" s="42"/>
      <c r="AK598" s="42"/>
      <c r="AL598" s="40"/>
      <c r="AM598" s="40"/>
      <c r="AN598" s="40"/>
      <c r="AO598" s="40"/>
      <c r="AP598" s="40"/>
      <c r="AQ598" s="40"/>
      <c r="AR598" s="39"/>
      <c r="AS598" s="39"/>
      <c r="AT598" s="40"/>
      <c r="AU598" s="40"/>
      <c r="AV598" s="23"/>
    </row>
    <row r="599" spans="1:48" ht="15.75" x14ac:dyDescent="0.25">
      <c r="A599" s="44"/>
      <c r="B599" s="23"/>
      <c r="C599" s="23"/>
      <c r="D599" s="39"/>
      <c r="E599" s="39"/>
      <c r="F599" s="40"/>
      <c r="G599" s="40"/>
      <c r="H599" s="41"/>
      <c r="I599" s="39"/>
      <c r="J599" s="40"/>
      <c r="K599" s="40"/>
      <c r="L599" s="41"/>
      <c r="M599" s="39"/>
      <c r="N599" s="40"/>
      <c r="O599" s="40"/>
      <c r="P599" s="39"/>
      <c r="Q599" s="39"/>
      <c r="R599" s="40"/>
      <c r="S599" s="40"/>
      <c r="T599" s="39"/>
      <c r="U599" s="39"/>
      <c r="V599" s="40"/>
      <c r="W599" s="40"/>
      <c r="X599" s="41"/>
      <c r="Y599" s="41"/>
      <c r="Z599" s="40"/>
      <c r="AA599" s="40"/>
      <c r="AB599" s="41"/>
      <c r="AC599" s="41"/>
      <c r="AD599" s="40"/>
      <c r="AE599" s="40"/>
      <c r="AF599" s="42"/>
      <c r="AG599" s="42"/>
      <c r="AH599" s="40"/>
      <c r="AI599" s="40"/>
      <c r="AJ599" s="42"/>
      <c r="AK599" s="42"/>
      <c r="AL599" s="40"/>
      <c r="AM599" s="40"/>
      <c r="AN599" s="40"/>
      <c r="AO599" s="40"/>
      <c r="AP599" s="40"/>
      <c r="AQ599" s="40"/>
      <c r="AR599" s="39"/>
      <c r="AS599" s="39"/>
      <c r="AT599" s="40"/>
      <c r="AU599" s="40"/>
      <c r="AV599" s="23"/>
    </row>
    <row r="600" spans="1:48" ht="15.75" x14ac:dyDescent="0.25">
      <c r="A600" s="44"/>
      <c r="B600" s="23"/>
      <c r="C600" s="23"/>
      <c r="D600" s="39"/>
      <c r="E600" s="39"/>
      <c r="F600" s="40"/>
      <c r="G600" s="40"/>
      <c r="H600" s="41"/>
      <c r="I600" s="39"/>
      <c r="J600" s="40"/>
      <c r="K600" s="40"/>
      <c r="L600" s="41"/>
      <c r="M600" s="39"/>
      <c r="N600" s="40"/>
      <c r="O600" s="40"/>
      <c r="P600" s="39"/>
      <c r="Q600" s="39"/>
      <c r="R600" s="40"/>
      <c r="S600" s="40"/>
      <c r="T600" s="39"/>
      <c r="U600" s="39"/>
      <c r="V600" s="40"/>
      <c r="W600" s="40"/>
      <c r="X600" s="41"/>
      <c r="Y600" s="41"/>
      <c r="Z600" s="40"/>
      <c r="AA600" s="40"/>
      <c r="AB600" s="41"/>
      <c r="AC600" s="41"/>
      <c r="AD600" s="40"/>
      <c r="AE600" s="40"/>
      <c r="AF600" s="42"/>
      <c r="AG600" s="42"/>
      <c r="AH600" s="40"/>
      <c r="AI600" s="40"/>
      <c r="AJ600" s="42"/>
      <c r="AK600" s="42"/>
      <c r="AL600" s="40"/>
      <c r="AM600" s="40"/>
      <c r="AN600" s="40"/>
      <c r="AO600" s="40"/>
      <c r="AP600" s="40"/>
      <c r="AQ600" s="40"/>
      <c r="AR600" s="39"/>
      <c r="AS600" s="39"/>
      <c r="AT600" s="40"/>
      <c r="AU600" s="40"/>
      <c r="AV600" s="23"/>
    </row>
    <row r="601" spans="1:48" ht="15.75" x14ac:dyDescent="0.25">
      <c r="A601" s="44"/>
      <c r="B601" s="23"/>
      <c r="C601" s="23"/>
      <c r="D601" s="39"/>
      <c r="E601" s="39"/>
      <c r="F601" s="40"/>
      <c r="G601" s="40"/>
      <c r="H601" s="41"/>
      <c r="I601" s="39"/>
      <c r="J601" s="40"/>
      <c r="K601" s="40"/>
      <c r="L601" s="41"/>
      <c r="M601" s="39"/>
      <c r="N601" s="40"/>
      <c r="O601" s="40"/>
      <c r="P601" s="39"/>
      <c r="Q601" s="39"/>
      <c r="R601" s="40"/>
      <c r="S601" s="40"/>
      <c r="T601" s="39"/>
      <c r="U601" s="39"/>
      <c r="V601" s="40"/>
      <c r="W601" s="40"/>
      <c r="X601" s="41"/>
      <c r="Y601" s="41"/>
      <c r="Z601" s="40"/>
      <c r="AA601" s="40"/>
      <c r="AB601" s="41"/>
      <c r="AC601" s="41"/>
      <c r="AD601" s="40"/>
      <c r="AE601" s="40"/>
      <c r="AF601" s="42"/>
      <c r="AG601" s="42"/>
      <c r="AH601" s="40"/>
      <c r="AI601" s="40"/>
      <c r="AJ601" s="42"/>
      <c r="AK601" s="42"/>
      <c r="AL601" s="40"/>
      <c r="AM601" s="40"/>
      <c r="AN601" s="40"/>
      <c r="AO601" s="40"/>
      <c r="AP601" s="40"/>
      <c r="AQ601" s="40"/>
      <c r="AR601" s="39"/>
      <c r="AS601" s="39"/>
      <c r="AT601" s="40"/>
      <c r="AU601" s="40"/>
      <c r="AV601" s="23"/>
    </row>
    <row r="602" spans="1:48" ht="15.75" x14ac:dyDescent="0.25">
      <c r="A602" s="44"/>
      <c r="B602" s="23"/>
      <c r="C602" s="23"/>
      <c r="D602" s="39"/>
      <c r="E602" s="39"/>
      <c r="F602" s="40"/>
      <c r="G602" s="40"/>
      <c r="H602" s="41"/>
      <c r="I602" s="39"/>
      <c r="J602" s="40"/>
      <c r="K602" s="40"/>
      <c r="L602" s="41"/>
      <c r="M602" s="39"/>
      <c r="N602" s="40"/>
      <c r="O602" s="40"/>
      <c r="P602" s="39"/>
      <c r="Q602" s="39"/>
      <c r="R602" s="40"/>
      <c r="S602" s="40"/>
      <c r="T602" s="39"/>
      <c r="U602" s="39"/>
      <c r="V602" s="40"/>
      <c r="W602" s="40"/>
      <c r="X602" s="41"/>
      <c r="Y602" s="41"/>
      <c r="Z602" s="40"/>
      <c r="AA602" s="40"/>
      <c r="AB602" s="41"/>
      <c r="AC602" s="41"/>
      <c r="AD602" s="40"/>
      <c r="AE602" s="40"/>
      <c r="AF602" s="42"/>
      <c r="AG602" s="42"/>
      <c r="AH602" s="40"/>
      <c r="AI602" s="40"/>
      <c r="AJ602" s="42"/>
      <c r="AK602" s="42"/>
      <c r="AL602" s="40"/>
      <c r="AM602" s="40"/>
      <c r="AN602" s="40"/>
      <c r="AO602" s="40"/>
      <c r="AP602" s="40"/>
      <c r="AQ602" s="40"/>
      <c r="AR602" s="39"/>
      <c r="AS602" s="39"/>
      <c r="AT602" s="40"/>
      <c r="AU602" s="40"/>
      <c r="AV602" s="23"/>
    </row>
    <row r="603" spans="1:48" ht="15.75" x14ac:dyDescent="0.25">
      <c r="A603" s="44"/>
      <c r="B603" s="23"/>
      <c r="C603" s="23"/>
      <c r="D603" s="39"/>
      <c r="E603" s="39"/>
      <c r="F603" s="40"/>
      <c r="G603" s="40"/>
      <c r="H603" s="41"/>
      <c r="I603" s="39"/>
      <c r="J603" s="40"/>
      <c r="K603" s="40"/>
      <c r="L603" s="41"/>
      <c r="M603" s="39"/>
      <c r="N603" s="40"/>
      <c r="O603" s="40"/>
      <c r="P603" s="39"/>
      <c r="Q603" s="39"/>
      <c r="R603" s="40"/>
      <c r="S603" s="40"/>
      <c r="T603" s="39"/>
      <c r="U603" s="39"/>
      <c r="V603" s="40"/>
      <c r="W603" s="40"/>
      <c r="X603" s="41"/>
      <c r="Y603" s="41"/>
      <c r="Z603" s="40"/>
      <c r="AA603" s="40"/>
      <c r="AB603" s="41"/>
      <c r="AC603" s="41"/>
      <c r="AD603" s="40"/>
      <c r="AE603" s="40"/>
      <c r="AF603" s="42"/>
      <c r="AG603" s="42"/>
      <c r="AH603" s="40"/>
      <c r="AI603" s="40"/>
      <c r="AJ603" s="42"/>
      <c r="AK603" s="42"/>
      <c r="AL603" s="40"/>
      <c r="AM603" s="40"/>
      <c r="AN603" s="40"/>
      <c r="AO603" s="40"/>
      <c r="AP603" s="40"/>
      <c r="AQ603" s="40"/>
      <c r="AR603" s="39"/>
      <c r="AS603" s="39"/>
      <c r="AT603" s="40"/>
      <c r="AU603" s="40"/>
      <c r="AV603" s="23"/>
    </row>
    <row r="604" spans="1:48" ht="15.75" x14ac:dyDescent="0.25">
      <c r="A604" s="44"/>
      <c r="B604" s="23"/>
      <c r="C604" s="23"/>
      <c r="D604" s="39"/>
      <c r="E604" s="39"/>
      <c r="F604" s="40"/>
      <c r="G604" s="40"/>
      <c r="H604" s="41"/>
      <c r="I604" s="39"/>
      <c r="J604" s="40"/>
      <c r="K604" s="40"/>
      <c r="L604" s="41"/>
      <c r="M604" s="39"/>
      <c r="N604" s="40"/>
      <c r="O604" s="40"/>
      <c r="P604" s="39"/>
      <c r="Q604" s="39"/>
      <c r="R604" s="40"/>
      <c r="S604" s="40"/>
      <c r="T604" s="39"/>
      <c r="U604" s="39"/>
      <c r="V604" s="40"/>
      <c r="W604" s="40"/>
      <c r="X604" s="41"/>
      <c r="Y604" s="41"/>
      <c r="Z604" s="40"/>
      <c r="AA604" s="40"/>
      <c r="AB604" s="41"/>
      <c r="AC604" s="41"/>
      <c r="AD604" s="40"/>
      <c r="AE604" s="40"/>
      <c r="AF604" s="42"/>
      <c r="AG604" s="42"/>
      <c r="AH604" s="40"/>
      <c r="AI604" s="40"/>
      <c r="AJ604" s="42"/>
      <c r="AK604" s="42"/>
      <c r="AL604" s="40"/>
      <c r="AM604" s="40"/>
      <c r="AN604" s="40"/>
      <c r="AO604" s="40"/>
      <c r="AP604" s="40"/>
      <c r="AQ604" s="40"/>
      <c r="AR604" s="39"/>
      <c r="AS604" s="39"/>
      <c r="AT604" s="40"/>
      <c r="AU604" s="40"/>
      <c r="AV604" s="23"/>
    </row>
    <row r="605" spans="1:48" ht="15.75" x14ac:dyDescent="0.25">
      <c r="A605" s="44"/>
      <c r="B605" s="23"/>
      <c r="C605" s="23"/>
      <c r="D605" s="39"/>
      <c r="E605" s="39"/>
      <c r="F605" s="40"/>
      <c r="G605" s="40"/>
      <c r="H605" s="41"/>
      <c r="I605" s="39"/>
      <c r="J605" s="40"/>
      <c r="K605" s="40"/>
      <c r="L605" s="41"/>
      <c r="M605" s="39"/>
      <c r="N605" s="40"/>
      <c r="O605" s="40"/>
      <c r="P605" s="39"/>
      <c r="Q605" s="39"/>
      <c r="R605" s="40"/>
      <c r="S605" s="40"/>
      <c r="T605" s="39"/>
      <c r="U605" s="39"/>
      <c r="V605" s="40"/>
      <c r="W605" s="40"/>
      <c r="X605" s="41"/>
      <c r="Y605" s="41"/>
      <c r="Z605" s="40"/>
      <c r="AA605" s="40"/>
      <c r="AB605" s="41"/>
      <c r="AC605" s="41"/>
      <c r="AD605" s="40"/>
      <c r="AE605" s="40"/>
      <c r="AF605" s="42"/>
      <c r="AG605" s="42"/>
      <c r="AH605" s="40"/>
      <c r="AI605" s="40"/>
      <c r="AJ605" s="42"/>
      <c r="AK605" s="42"/>
      <c r="AL605" s="40"/>
      <c r="AM605" s="40"/>
      <c r="AN605" s="40"/>
      <c r="AO605" s="40"/>
      <c r="AP605" s="40"/>
      <c r="AQ605" s="40"/>
      <c r="AR605" s="39"/>
      <c r="AS605" s="39"/>
      <c r="AT605" s="40"/>
      <c r="AU605" s="40"/>
      <c r="AV605" s="23"/>
    </row>
    <row r="606" spans="1:48" ht="15.75" x14ac:dyDescent="0.25">
      <c r="A606" s="44"/>
      <c r="B606" s="23"/>
      <c r="C606" s="23"/>
      <c r="D606" s="39"/>
      <c r="E606" s="39"/>
      <c r="F606" s="40"/>
      <c r="G606" s="40"/>
      <c r="H606" s="41"/>
      <c r="I606" s="39"/>
      <c r="J606" s="40"/>
      <c r="K606" s="40"/>
      <c r="L606" s="41"/>
      <c r="M606" s="39"/>
      <c r="N606" s="40"/>
      <c r="O606" s="40"/>
      <c r="P606" s="39"/>
      <c r="Q606" s="39"/>
      <c r="R606" s="40"/>
      <c r="S606" s="40"/>
      <c r="T606" s="39"/>
      <c r="U606" s="39"/>
      <c r="V606" s="40"/>
      <c r="W606" s="40"/>
      <c r="X606" s="41"/>
      <c r="Y606" s="41"/>
      <c r="Z606" s="40"/>
      <c r="AA606" s="40"/>
      <c r="AB606" s="41"/>
      <c r="AC606" s="41"/>
      <c r="AD606" s="40"/>
      <c r="AE606" s="40"/>
      <c r="AF606" s="42"/>
      <c r="AG606" s="42"/>
      <c r="AH606" s="40"/>
      <c r="AI606" s="40"/>
      <c r="AJ606" s="42"/>
      <c r="AK606" s="42"/>
      <c r="AL606" s="40"/>
      <c r="AM606" s="40"/>
      <c r="AN606" s="40"/>
      <c r="AO606" s="40"/>
      <c r="AP606" s="40"/>
      <c r="AQ606" s="40"/>
      <c r="AR606" s="39"/>
      <c r="AS606" s="39"/>
      <c r="AT606" s="40"/>
      <c r="AU606" s="40"/>
      <c r="AV606" s="23"/>
    </row>
    <row r="607" spans="1:48" ht="15.75" x14ac:dyDescent="0.25">
      <c r="A607" s="44"/>
      <c r="B607" s="23"/>
      <c r="C607" s="23"/>
      <c r="D607" s="39"/>
      <c r="E607" s="39"/>
      <c r="F607" s="40"/>
      <c r="G607" s="40"/>
      <c r="H607" s="41"/>
      <c r="I607" s="39"/>
      <c r="J607" s="40"/>
      <c r="K607" s="40"/>
      <c r="L607" s="41"/>
      <c r="M607" s="39"/>
      <c r="N607" s="40"/>
      <c r="O607" s="40"/>
      <c r="P607" s="39"/>
      <c r="Q607" s="39"/>
      <c r="R607" s="40"/>
      <c r="S607" s="40"/>
      <c r="T607" s="39"/>
      <c r="U607" s="39"/>
      <c r="V607" s="40"/>
      <c r="W607" s="40"/>
      <c r="X607" s="41"/>
      <c r="Y607" s="41"/>
      <c r="Z607" s="40"/>
      <c r="AA607" s="40"/>
      <c r="AB607" s="41"/>
      <c r="AC607" s="41"/>
      <c r="AD607" s="40"/>
      <c r="AE607" s="40"/>
      <c r="AF607" s="42"/>
      <c r="AG607" s="42"/>
      <c r="AH607" s="40"/>
      <c r="AI607" s="40"/>
      <c r="AJ607" s="42"/>
      <c r="AK607" s="42"/>
      <c r="AL607" s="40"/>
      <c r="AM607" s="40"/>
      <c r="AN607" s="40"/>
      <c r="AO607" s="40"/>
      <c r="AP607" s="40"/>
      <c r="AQ607" s="40"/>
      <c r="AR607" s="39"/>
      <c r="AS607" s="39"/>
      <c r="AT607" s="40"/>
      <c r="AU607" s="40"/>
      <c r="AV607" s="23"/>
    </row>
    <row r="608" spans="1:48" ht="15.75" x14ac:dyDescent="0.25">
      <c r="A608" s="44"/>
      <c r="B608" s="23"/>
      <c r="C608" s="23"/>
      <c r="D608" s="39"/>
      <c r="E608" s="39"/>
      <c r="F608" s="40"/>
      <c r="G608" s="40"/>
      <c r="H608" s="41"/>
      <c r="I608" s="39"/>
      <c r="J608" s="40"/>
      <c r="K608" s="40"/>
      <c r="L608" s="41"/>
      <c r="M608" s="39"/>
      <c r="N608" s="40"/>
      <c r="O608" s="40"/>
      <c r="P608" s="39"/>
      <c r="Q608" s="39"/>
      <c r="R608" s="40"/>
      <c r="S608" s="40"/>
      <c r="T608" s="39"/>
      <c r="U608" s="39"/>
      <c r="V608" s="40"/>
      <c r="W608" s="40"/>
      <c r="X608" s="41"/>
      <c r="Y608" s="41"/>
      <c r="Z608" s="40"/>
      <c r="AA608" s="40"/>
      <c r="AB608" s="41"/>
      <c r="AC608" s="41"/>
      <c r="AD608" s="40"/>
      <c r="AE608" s="40"/>
      <c r="AF608" s="42"/>
      <c r="AG608" s="42"/>
      <c r="AH608" s="40"/>
      <c r="AI608" s="40"/>
      <c r="AJ608" s="42"/>
      <c r="AK608" s="42"/>
      <c r="AL608" s="40"/>
      <c r="AM608" s="40"/>
      <c r="AN608" s="40"/>
      <c r="AO608" s="40"/>
      <c r="AP608" s="40"/>
      <c r="AQ608" s="40"/>
      <c r="AR608" s="39"/>
      <c r="AS608" s="39"/>
      <c r="AT608" s="40"/>
      <c r="AU608" s="40"/>
      <c r="AV608" s="23"/>
    </row>
    <row r="609" spans="1:48" ht="15.75" x14ac:dyDescent="0.25">
      <c r="A609" s="44"/>
      <c r="B609" s="23"/>
      <c r="C609" s="23"/>
      <c r="D609" s="39"/>
      <c r="E609" s="39"/>
      <c r="F609" s="40"/>
      <c r="G609" s="40"/>
      <c r="H609" s="41"/>
      <c r="I609" s="39"/>
      <c r="J609" s="40"/>
      <c r="K609" s="40"/>
      <c r="L609" s="41"/>
      <c r="M609" s="39"/>
      <c r="N609" s="40"/>
      <c r="O609" s="40"/>
      <c r="P609" s="39"/>
      <c r="Q609" s="39"/>
      <c r="R609" s="40"/>
      <c r="S609" s="40"/>
      <c r="T609" s="39"/>
      <c r="U609" s="39"/>
      <c r="V609" s="40"/>
      <c r="W609" s="40"/>
      <c r="X609" s="41"/>
      <c r="Y609" s="41"/>
      <c r="Z609" s="40"/>
      <c r="AA609" s="40"/>
      <c r="AB609" s="41"/>
      <c r="AC609" s="41"/>
      <c r="AD609" s="40"/>
      <c r="AE609" s="40"/>
      <c r="AF609" s="42"/>
      <c r="AG609" s="42"/>
      <c r="AH609" s="40"/>
      <c r="AI609" s="40"/>
      <c r="AJ609" s="42"/>
      <c r="AK609" s="42"/>
      <c r="AL609" s="40"/>
      <c r="AM609" s="40"/>
      <c r="AN609" s="40"/>
      <c r="AO609" s="40"/>
      <c r="AP609" s="40"/>
      <c r="AQ609" s="40"/>
      <c r="AR609" s="39"/>
      <c r="AS609" s="39"/>
      <c r="AT609" s="40"/>
      <c r="AU609" s="40"/>
      <c r="AV609" s="23"/>
    </row>
    <row r="610" spans="1:48" ht="15.75" x14ac:dyDescent="0.25">
      <c r="A610" s="44"/>
      <c r="B610" s="23"/>
      <c r="C610" s="23"/>
      <c r="D610" s="39"/>
      <c r="E610" s="39"/>
      <c r="F610" s="40"/>
      <c r="G610" s="40"/>
      <c r="H610" s="41"/>
      <c r="I610" s="39"/>
      <c r="J610" s="40"/>
      <c r="K610" s="40"/>
      <c r="L610" s="41"/>
      <c r="M610" s="39"/>
      <c r="N610" s="40"/>
      <c r="O610" s="40"/>
      <c r="P610" s="39"/>
      <c r="Q610" s="39"/>
      <c r="R610" s="40"/>
      <c r="S610" s="40"/>
      <c r="T610" s="39"/>
      <c r="U610" s="39"/>
      <c r="V610" s="40"/>
      <c r="W610" s="40"/>
      <c r="X610" s="41"/>
      <c r="Y610" s="41"/>
      <c r="Z610" s="40"/>
      <c r="AA610" s="40"/>
      <c r="AB610" s="41"/>
      <c r="AC610" s="41"/>
      <c r="AD610" s="40"/>
      <c r="AE610" s="40"/>
      <c r="AF610" s="42"/>
      <c r="AG610" s="42"/>
      <c r="AH610" s="40"/>
      <c r="AI610" s="40"/>
      <c r="AJ610" s="42"/>
      <c r="AK610" s="42"/>
      <c r="AL610" s="40"/>
      <c r="AM610" s="40"/>
      <c r="AN610" s="40"/>
      <c r="AO610" s="40"/>
      <c r="AP610" s="40"/>
      <c r="AQ610" s="40"/>
      <c r="AR610" s="39"/>
      <c r="AS610" s="39"/>
      <c r="AT610" s="40"/>
      <c r="AU610" s="40"/>
      <c r="AV610" s="23"/>
    </row>
    <row r="611" spans="1:48" ht="15.75" x14ac:dyDescent="0.25">
      <c r="A611" s="44"/>
      <c r="B611" s="23"/>
      <c r="C611" s="23"/>
      <c r="D611" s="39"/>
      <c r="E611" s="39"/>
      <c r="F611" s="40"/>
      <c r="G611" s="40"/>
      <c r="H611" s="41"/>
      <c r="I611" s="39"/>
      <c r="J611" s="40"/>
      <c r="K611" s="40"/>
      <c r="L611" s="41"/>
      <c r="M611" s="39"/>
      <c r="N611" s="40"/>
      <c r="O611" s="40"/>
      <c r="P611" s="39"/>
      <c r="Q611" s="39"/>
      <c r="R611" s="40"/>
      <c r="S611" s="40"/>
      <c r="T611" s="39"/>
      <c r="U611" s="39"/>
      <c r="V611" s="40"/>
      <c r="W611" s="40"/>
      <c r="X611" s="41"/>
      <c r="Y611" s="41"/>
      <c r="Z611" s="40"/>
      <c r="AA611" s="40"/>
      <c r="AB611" s="41"/>
      <c r="AC611" s="41"/>
      <c r="AD611" s="40"/>
      <c r="AE611" s="40"/>
      <c r="AF611" s="42"/>
      <c r="AG611" s="42"/>
      <c r="AH611" s="40"/>
      <c r="AI611" s="40"/>
      <c r="AJ611" s="42"/>
      <c r="AK611" s="42"/>
      <c r="AL611" s="40"/>
      <c r="AM611" s="40"/>
      <c r="AN611" s="40"/>
      <c r="AO611" s="40"/>
      <c r="AP611" s="40"/>
      <c r="AQ611" s="40"/>
      <c r="AR611" s="39"/>
      <c r="AS611" s="39"/>
      <c r="AT611" s="40"/>
      <c r="AU611" s="40"/>
      <c r="AV611" s="23"/>
    </row>
    <row r="612" spans="1:48" ht="15.75" x14ac:dyDescent="0.25">
      <c r="A612" s="44"/>
      <c r="B612" s="23"/>
      <c r="C612" s="23"/>
      <c r="D612" s="39"/>
      <c r="E612" s="39"/>
      <c r="F612" s="40"/>
      <c r="G612" s="40"/>
      <c r="H612" s="41"/>
      <c r="I612" s="39"/>
      <c r="J612" s="40"/>
      <c r="K612" s="40"/>
      <c r="L612" s="41"/>
      <c r="M612" s="39"/>
      <c r="N612" s="40"/>
      <c r="O612" s="40"/>
      <c r="P612" s="39"/>
      <c r="Q612" s="39"/>
      <c r="R612" s="40"/>
      <c r="S612" s="40"/>
      <c r="T612" s="39"/>
      <c r="U612" s="39"/>
      <c r="V612" s="40"/>
      <c r="W612" s="40"/>
      <c r="X612" s="41"/>
      <c r="Y612" s="41"/>
      <c r="Z612" s="40"/>
      <c r="AA612" s="40"/>
      <c r="AB612" s="41"/>
      <c r="AC612" s="41"/>
      <c r="AD612" s="40"/>
      <c r="AE612" s="40"/>
      <c r="AF612" s="42"/>
      <c r="AG612" s="42"/>
      <c r="AH612" s="40"/>
      <c r="AI612" s="40"/>
      <c r="AJ612" s="42"/>
      <c r="AK612" s="42"/>
      <c r="AL612" s="40"/>
      <c r="AM612" s="40"/>
      <c r="AN612" s="40"/>
      <c r="AO612" s="40"/>
      <c r="AP612" s="40"/>
      <c r="AQ612" s="40"/>
      <c r="AR612" s="39"/>
      <c r="AS612" s="39"/>
      <c r="AT612" s="40"/>
      <c r="AU612" s="40"/>
      <c r="AV612" s="23"/>
    </row>
    <row r="613" spans="1:48" ht="15.75" x14ac:dyDescent="0.25">
      <c r="A613" s="44"/>
      <c r="B613" s="23"/>
      <c r="C613" s="23"/>
      <c r="D613" s="39"/>
      <c r="E613" s="39"/>
      <c r="F613" s="40"/>
      <c r="G613" s="40"/>
      <c r="H613" s="41"/>
      <c r="I613" s="39"/>
      <c r="J613" s="40"/>
      <c r="K613" s="40"/>
      <c r="L613" s="41"/>
      <c r="M613" s="39"/>
      <c r="N613" s="40"/>
      <c r="O613" s="40"/>
      <c r="P613" s="39"/>
      <c r="Q613" s="39"/>
      <c r="R613" s="40"/>
      <c r="S613" s="40"/>
      <c r="T613" s="39"/>
      <c r="U613" s="39"/>
      <c r="V613" s="40"/>
      <c r="W613" s="40"/>
      <c r="X613" s="41"/>
      <c r="Y613" s="41"/>
      <c r="Z613" s="40"/>
      <c r="AA613" s="40"/>
      <c r="AB613" s="41"/>
      <c r="AC613" s="41"/>
      <c r="AD613" s="40"/>
      <c r="AE613" s="40"/>
      <c r="AF613" s="42"/>
      <c r="AG613" s="42"/>
      <c r="AH613" s="40"/>
      <c r="AI613" s="40"/>
      <c r="AJ613" s="42"/>
      <c r="AK613" s="42"/>
      <c r="AL613" s="40"/>
      <c r="AM613" s="40"/>
      <c r="AN613" s="40"/>
      <c r="AO613" s="40"/>
      <c r="AP613" s="40"/>
      <c r="AQ613" s="40"/>
      <c r="AR613" s="39"/>
      <c r="AS613" s="39"/>
      <c r="AT613" s="40"/>
      <c r="AU613" s="40"/>
      <c r="AV613" s="23"/>
    </row>
    <row r="614" spans="1:48" ht="15.75" x14ac:dyDescent="0.25">
      <c r="A614" s="44"/>
      <c r="B614" s="23"/>
      <c r="C614" s="23"/>
      <c r="D614" s="39"/>
      <c r="E614" s="39"/>
      <c r="F614" s="40"/>
      <c r="G614" s="40"/>
      <c r="H614" s="41"/>
      <c r="I614" s="39"/>
      <c r="J614" s="40"/>
      <c r="K614" s="40"/>
      <c r="L614" s="41"/>
      <c r="M614" s="39"/>
      <c r="N614" s="40"/>
      <c r="O614" s="40"/>
      <c r="P614" s="39"/>
      <c r="Q614" s="39"/>
      <c r="R614" s="40"/>
      <c r="S614" s="40"/>
      <c r="T614" s="39"/>
      <c r="U614" s="39"/>
      <c r="V614" s="40"/>
      <c r="W614" s="40"/>
      <c r="X614" s="41"/>
      <c r="Y614" s="41"/>
      <c r="Z614" s="40"/>
      <c r="AA614" s="40"/>
      <c r="AB614" s="41"/>
      <c r="AC614" s="41"/>
      <c r="AD614" s="40"/>
      <c r="AE614" s="40"/>
      <c r="AF614" s="42"/>
      <c r="AG614" s="42"/>
      <c r="AH614" s="40"/>
      <c r="AI614" s="40"/>
      <c r="AJ614" s="42"/>
      <c r="AK614" s="42"/>
      <c r="AL614" s="40"/>
      <c r="AM614" s="40"/>
      <c r="AN614" s="40"/>
      <c r="AO614" s="40"/>
      <c r="AP614" s="40"/>
      <c r="AQ614" s="40"/>
      <c r="AR614" s="39"/>
      <c r="AS614" s="39"/>
      <c r="AT614" s="40"/>
      <c r="AU614" s="40"/>
      <c r="AV614" s="23"/>
    </row>
    <row r="615" spans="1:48" ht="15.75" x14ac:dyDescent="0.25">
      <c r="A615" s="44"/>
      <c r="B615" s="23"/>
      <c r="C615" s="23"/>
      <c r="D615" s="39"/>
      <c r="E615" s="39"/>
      <c r="F615" s="40"/>
      <c r="G615" s="40"/>
      <c r="H615" s="41"/>
      <c r="I615" s="39"/>
      <c r="J615" s="40"/>
      <c r="K615" s="40"/>
      <c r="L615" s="41"/>
      <c r="M615" s="39"/>
      <c r="N615" s="40"/>
      <c r="O615" s="40"/>
      <c r="P615" s="39"/>
      <c r="Q615" s="39"/>
      <c r="R615" s="40"/>
      <c r="S615" s="40"/>
      <c r="T615" s="39"/>
      <c r="U615" s="39"/>
      <c r="V615" s="40"/>
      <c r="W615" s="40"/>
      <c r="X615" s="41"/>
      <c r="Y615" s="41"/>
      <c r="Z615" s="40"/>
      <c r="AA615" s="40"/>
      <c r="AB615" s="41"/>
      <c r="AC615" s="41"/>
      <c r="AD615" s="40"/>
      <c r="AE615" s="40"/>
      <c r="AF615" s="42"/>
      <c r="AG615" s="42"/>
      <c r="AH615" s="40"/>
      <c r="AI615" s="40"/>
      <c r="AJ615" s="42"/>
      <c r="AK615" s="42"/>
      <c r="AL615" s="40"/>
      <c r="AM615" s="40"/>
      <c r="AN615" s="40"/>
      <c r="AO615" s="40"/>
      <c r="AP615" s="40"/>
      <c r="AQ615" s="40"/>
      <c r="AR615" s="39"/>
      <c r="AS615" s="39"/>
      <c r="AT615" s="40"/>
      <c r="AU615" s="40"/>
      <c r="AV615" s="23"/>
    </row>
    <row r="616" spans="1:48" ht="15.75" x14ac:dyDescent="0.25">
      <c r="A616" s="44"/>
      <c r="B616" s="23"/>
      <c r="C616" s="23"/>
      <c r="D616" s="39"/>
      <c r="E616" s="39"/>
      <c r="F616" s="40"/>
      <c r="G616" s="40"/>
      <c r="H616" s="41"/>
      <c r="I616" s="39"/>
      <c r="J616" s="40"/>
      <c r="K616" s="40"/>
      <c r="L616" s="41"/>
      <c r="M616" s="39"/>
      <c r="N616" s="40"/>
      <c r="O616" s="40"/>
      <c r="P616" s="39"/>
      <c r="Q616" s="39"/>
      <c r="R616" s="40"/>
      <c r="S616" s="40"/>
      <c r="T616" s="39"/>
      <c r="U616" s="39"/>
      <c r="V616" s="40"/>
      <c r="W616" s="40"/>
      <c r="X616" s="41"/>
      <c r="Y616" s="41"/>
      <c r="Z616" s="40"/>
      <c r="AA616" s="40"/>
      <c r="AB616" s="41"/>
      <c r="AC616" s="41"/>
      <c r="AD616" s="40"/>
      <c r="AE616" s="40"/>
      <c r="AF616" s="42"/>
      <c r="AG616" s="42"/>
      <c r="AH616" s="40"/>
      <c r="AI616" s="40"/>
      <c r="AJ616" s="42"/>
      <c r="AK616" s="42"/>
      <c r="AL616" s="40"/>
      <c r="AM616" s="40"/>
      <c r="AN616" s="40"/>
      <c r="AO616" s="40"/>
      <c r="AP616" s="40"/>
      <c r="AQ616" s="40"/>
      <c r="AR616" s="39"/>
      <c r="AS616" s="39"/>
      <c r="AT616" s="40"/>
      <c r="AU616" s="40"/>
      <c r="AV616" s="23"/>
    </row>
    <row r="617" spans="1:48" ht="15.75" x14ac:dyDescent="0.25">
      <c r="A617" s="44"/>
      <c r="B617" s="23"/>
      <c r="C617" s="23"/>
      <c r="D617" s="39"/>
      <c r="E617" s="39"/>
      <c r="F617" s="40"/>
      <c r="G617" s="40"/>
      <c r="H617" s="41"/>
      <c r="I617" s="39"/>
      <c r="J617" s="40"/>
      <c r="K617" s="40"/>
      <c r="L617" s="41"/>
      <c r="M617" s="39"/>
      <c r="N617" s="40"/>
      <c r="O617" s="40"/>
      <c r="P617" s="39"/>
      <c r="Q617" s="39"/>
      <c r="R617" s="40"/>
      <c r="S617" s="40"/>
      <c r="T617" s="39"/>
      <c r="U617" s="39"/>
      <c r="V617" s="40"/>
      <c r="W617" s="40"/>
      <c r="X617" s="41"/>
      <c r="Y617" s="41"/>
      <c r="Z617" s="40"/>
      <c r="AA617" s="40"/>
      <c r="AB617" s="41"/>
      <c r="AC617" s="41"/>
      <c r="AD617" s="40"/>
      <c r="AE617" s="40"/>
      <c r="AF617" s="42"/>
      <c r="AG617" s="42"/>
      <c r="AH617" s="40"/>
      <c r="AI617" s="40"/>
      <c r="AJ617" s="42"/>
      <c r="AK617" s="42"/>
      <c r="AL617" s="40"/>
      <c r="AM617" s="40"/>
      <c r="AN617" s="40"/>
      <c r="AO617" s="40"/>
      <c r="AP617" s="40"/>
      <c r="AQ617" s="40"/>
      <c r="AR617" s="39"/>
      <c r="AS617" s="39"/>
      <c r="AT617" s="40"/>
      <c r="AU617" s="40"/>
      <c r="AV617" s="23"/>
    </row>
    <row r="618" spans="1:48" ht="15.75" x14ac:dyDescent="0.25">
      <c r="A618" s="44"/>
      <c r="B618" s="23"/>
      <c r="C618" s="23"/>
      <c r="D618" s="39"/>
      <c r="E618" s="39"/>
      <c r="F618" s="40"/>
      <c r="G618" s="40"/>
      <c r="H618" s="41"/>
      <c r="I618" s="39"/>
      <c r="J618" s="40"/>
      <c r="K618" s="40"/>
      <c r="L618" s="41"/>
      <c r="M618" s="39"/>
      <c r="N618" s="40"/>
      <c r="O618" s="40"/>
      <c r="P618" s="39"/>
      <c r="Q618" s="39"/>
      <c r="R618" s="40"/>
      <c r="S618" s="40"/>
      <c r="T618" s="39"/>
      <c r="U618" s="39"/>
      <c r="V618" s="40"/>
      <c r="W618" s="40"/>
      <c r="X618" s="41"/>
      <c r="Y618" s="41"/>
      <c r="Z618" s="40"/>
      <c r="AA618" s="40"/>
      <c r="AB618" s="41"/>
      <c r="AC618" s="41"/>
      <c r="AD618" s="40"/>
      <c r="AE618" s="40"/>
      <c r="AF618" s="42"/>
      <c r="AG618" s="42"/>
      <c r="AH618" s="40"/>
      <c r="AI618" s="40"/>
      <c r="AJ618" s="42"/>
      <c r="AK618" s="42"/>
      <c r="AL618" s="40"/>
      <c r="AM618" s="40"/>
      <c r="AN618" s="40"/>
      <c r="AO618" s="40"/>
      <c r="AP618" s="40"/>
      <c r="AQ618" s="40"/>
      <c r="AR618" s="39"/>
      <c r="AS618" s="39"/>
      <c r="AT618" s="40"/>
      <c r="AU618" s="40"/>
      <c r="AV618" s="23"/>
    </row>
    <row r="619" spans="1:48" ht="15.75" x14ac:dyDescent="0.25">
      <c r="A619" s="44"/>
      <c r="B619" s="23"/>
      <c r="C619" s="23"/>
      <c r="D619" s="39"/>
      <c r="E619" s="39"/>
      <c r="F619" s="40"/>
      <c r="G619" s="40"/>
      <c r="H619" s="41"/>
      <c r="I619" s="39"/>
      <c r="J619" s="40"/>
      <c r="K619" s="40"/>
      <c r="L619" s="41"/>
      <c r="M619" s="39"/>
      <c r="N619" s="40"/>
      <c r="O619" s="40"/>
      <c r="P619" s="39"/>
      <c r="Q619" s="39"/>
      <c r="R619" s="40"/>
      <c r="S619" s="40"/>
      <c r="T619" s="39"/>
      <c r="U619" s="39"/>
      <c r="V619" s="40"/>
      <c r="W619" s="40"/>
      <c r="X619" s="41"/>
      <c r="Y619" s="41"/>
      <c r="Z619" s="40"/>
      <c r="AA619" s="40"/>
      <c r="AB619" s="41"/>
      <c r="AC619" s="41"/>
      <c r="AD619" s="40"/>
      <c r="AE619" s="40"/>
      <c r="AF619" s="42"/>
      <c r="AG619" s="42"/>
      <c r="AH619" s="40"/>
      <c r="AI619" s="40"/>
      <c r="AJ619" s="42"/>
      <c r="AK619" s="42"/>
      <c r="AL619" s="40"/>
      <c r="AM619" s="40"/>
      <c r="AN619" s="40"/>
      <c r="AO619" s="40"/>
      <c r="AP619" s="40"/>
      <c r="AQ619" s="40"/>
      <c r="AR619" s="39"/>
      <c r="AS619" s="39"/>
      <c r="AT619" s="40"/>
      <c r="AU619" s="40"/>
      <c r="AV619" s="23"/>
    </row>
    <row r="620" spans="1:48" ht="15.75" x14ac:dyDescent="0.25">
      <c r="A620" s="44"/>
      <c r="B620" s="23"/>
      <c r="C620" s="23"/>
      <c r="D620" s="39"/>
      <c r="E620" s="39"/>
      <c r="F620" s="40"/>
      <c r="G620" s="40"/>
      <c r="H620" s="41"/>
      <c r="I620" s="39"/>
      <c r="J620" s="40"/>
      <c r="K620" s="40"/>
      <c r="L620" s="41"/>
      <c r="M620" s="39"/>
      <c r="N620" s="40"/>
      <c r="O620" s="40"/>
      <c r="P620" s="39"/>
      <c r="Q620" s="39"/>
      <c r="R620" s="40"/>
      <c r="S620" s="40"/>
      <c r="T620" s="39"/>
      <c r="U620" s="39"/>
      <c r="V620" s="40"/>
      <c r="W620" s="40"/>
      <c r="X620" s="41"/>
      <c r="Y620" s="41"/>
      <c r="Z620" s="40"/>
      <c r="AA620" s="40"/>
      <c r="AB620" s="41"/>
      <c r="AC620" s="41"/>
      <c r="AD620" s="40"/>
      <c r="AE620" s="40"/>
      <c r="AF620" s="42"/>
      <c r="AG620" s="42"/>
      <c r="AH620" s="40"/>
      <c r="AI620" s="40"/>
      <c r="AJ620" s="42"/>
      <c r="AK620" s="42"/>
      <c r="AL620" s="40"/>
      <c r="AM620" s="40"/>
      <c r="AN620" s="40"/>
      <c r="AO620" s="40"/>
      <c r="AP620" s="40"/>
      <c r="AQ620" s="40"/>
      <c r="AR620" s="39"/>
      <c r="AS620" s="39"/>
      <c r="AT620" s="40"/>
      <c r="AU620" s="40"/>
      <c r="AV620" s="23"/>
    </row>
    <row r="621" spans="1:48" ht="15.75" x14ac:dyDescent="0.25">
      <c r="A621" s="44"/>
      <c r="B621" s="23"/>
      <c r="C621" s="23"/>
      <c r="D621" s="39"/>
      <c r="E621" s="39"/>
      <c r="F621" s="40"/>
      <c r="G621" s="40"/>
      <c r="H621" s="41"/>
      <c r="I621" s="39"/>
      <c r="J621" s="40"/>
      <c r="K621" s="40"/>
      <c r="L621" s="41"/>
      <c r="M621" s="39"/>
      <c r="N621" s="40"/>
      <c r="O621" s="40"/>
      <c r="P621" s="39"/>
      <c r="Q621" s="39"/>
      <c r="R621" s="40"/>
      <c r="S621" s="40"/>
      <c r="T621" s="39"/>
      <c r="U621" s="39"/>
      <c r="V621" s="40"/>
      <c r="W621" s="40"/>
      <c r="X621" s="41"/>
      <c r="Y621" s="41"/>
      <c r="Z621" s="40"/>
      <c r="AA621" s="40"/>
      <c r="AB621" s="41"/>
      <c r="AC621" s="41"/>
      <c r="AD621" s="40"/>
      <c r="AE621" s="40"/>
      <c r="AF621" s="42"/>
      <c r="AG621" s="42"/>
      <c r="AH621" s="40"/>
      <c r="AI621" s="40"/>
      <c r="AJ621" s="42"/>
      <c r="AK621" s="42"/>
      <c r="AL621" s="40"/>
      <c r="AM621" s="40"/>
      <c r="AN621" s="40"/>
      <c r="AO621" s="40"/>
      <c r="AP621" s="40"/>
      <c r="AQ621" s="40"/>
      <c r="AR621" s="39"/>
      <c r="AS621" s="39"/>
      <c r="AT621" s="40"/>
      <c r="AU621" s="40"/>
      <c r="AV621" s="23"/>
    </row>
    <row r="622" spans="1:48" ht="15.75" x14ac:dyDescent="0.25">
      <c r="A622" s="44"/>
      <c r="B622" s="23"/>
      <c r="C622" s="23"/>
      <c r="D622" s="39"/>
      <c r="E622" s="39"/>
      <c r="F622" s="40"/>
      <c r="G622" s="40"/>
      <c r="H622" s="41"/>
      <c r="I622" s="39"/>
      <c r="J622" s="40"/>
      <c r="K622" s="40"/>
      <c r="L622" s="41"/>
      <c r="M622" s="39"/>
      <c r="N622" s="40"/>
      <c r="O622" s="40"/>
      <c r="P622" s="39"/>
      <c r="Q622" s="39"/>
      <c r="R622" s="40"/>
      <c r="S622" s="40"/>
      <c r="T622" s="39"/>
      <c r="U622" s="39"/>
      <c r="V622" s="40"/>
      <c r="W622" s="40"/>
      <c r="X622" s="41"/>
      <c r="Y622" s="41"/>
      <c r="Z622" s="40"/>
      <c r="AA622" s="40"/>
      <c r="AB622" s="41"/>
      <c r="AC622" s="41"/>
      <c r="AD622" s="40"/>
      <c r="AE622" s="40"/>
      <c r="AF622" s="42"/>
      <c r="AG622" s="42"/>
      <c r="AH622" s="40"/>
      <c r="AI622" s="40"/>
      <c r="AJ622" s="42"/>
      <c r="AK622" s="42"/>
      <c r="AL622" s="40"/>
      <c r="AM622" s="40"/>
      <c r="AN622" s="40"/>
      <c r="AO622" s="40"/>
      <c r="AP622" s="40"/>
      <c r="AQ622" s="40"/>
      <c r="AR622" s="39"/>
      <c r="AS622" s="39"/>
      <c r="AT622" s="40"/>
      <c r="AU622" s="40"/>
      <c r="AV622" s="23"/>
    </row>
    <row r="623" spans="1:48" ht="15.75" x14ac:dyDescent="0.25">
      <c r="A623" s="44"/>
      <c r="B623" s="23"/>
      <c r="C623" s="23"/>
      <c r="D623" s="39"/>
      <c r="E623" s="39"/>
      <c r="F623" s="40"/>
      <c r="G623" s="40"/>
      <c r="H623" s="41"/>
      <c r="I623" s="39"/>
      <c r="J623" s="40"/>
      <c r="K623" s="40"/>
      <c r="L623" s="41"/>
      <c r="M623" s="39"/>
      <c r="N623" s="40"/>
      <c r="O623" s="40"/>
      <c r="P623" s="39"/>
      <c r="Q623" s="39"/>
      <c r="R623" s="40"/>
      <c r="S623" s="40"/>
      <c r="T623" s="39"/>
      <c r="U623" s="39"/>
      <c r="V623" s="40"/>
      <c r="W623" s="40"/>
      <c r="X623" s="41"/>
      <c r="Y623" s="41"/>
      <c r="Z623" s="40"/>
      <c r="AA623" s="40"/>
      <c r="AB623" s="41"/>
      <c r="AC623" s="41"/>
      <c r="AD623" s="40"/>
      <c r="AE623" s="40"/>
      <c r="AF623" s="42"/>
      <c r="AG623" s="42"/>
      <c r="AH623" s="40"/>
      <c r="AI623" s="40"/>
      <c r="AJ623" s="42"/>
      <c r="AK623" s="42"/>
      <c r="AL623" s="40"/>
      <c r="AM623" s="40"/>
      <c r="AN623" s="40"/>
      <c r="AO623" s="40"/>
      <c r="AP623" s="40"/>
      <c r="AQ623" s="40"/>
      <c r="AR623" s="39"/>
      <c r="AS623" s="39"/>
      <c r="AT623" s="40"/>
      <c r="AU623" s="40"/>
      <c r="AV623" s="23"/>
    </row>
    <row r="624" spans="1:48" ht="15.75" x14ac:dyDescent="0.25">
      <c r="A624" s="44"/>
      <c r="B624" s="23"/>
      <c r="C624" s="23"/>
      <c r="D624" s="39"/>
      <c r="E624" s="39"/>
      <c r="F624" s="40"/>
      <c r="G624" s="40"/>
      <c r="H624" s="41"/>
      <c r="I624" s="39"/>
      <c r="J624" s="40"/>
      <c r="K624" s="40"/>
      <c r="L624" s="41"/>
      <c r="M624" s="39"/>
      <c r="N624" s="40"/>
      <c r="O624" s="40"/>
      <c r="P624" s="39"/>
      <c r="Q624" s="39"/>
      <c r="R624" s="40"/>
      <c r="S624" s="40"/>
      <c r="T624" s="39"/>
      <c r="U624" s="39"/>
      <c r="V624" s="40"/>
      <c r="W624" s="40"/>
      <c r="X624" s="41"/>
      <c r="Y624" s="41"/>
      <c r="Z624" s="40"/>
      <c r="AA624" s="40"/>
      <c r="AB624" s="41"/>
      <c r="AC624" s="41"/>
      <c r="AD624" s="40"/>
      <c r="AE624" s="40"/>
      <c r="AF624" s="42"/>
      <c r="AG624" s="42"/>
      <c r="AH624" s="40"/>
      <c r="AI624" s="40"/>
      <c r="AJ624" s="42"/>
      <c r="AK624" s="42"/>
      <c r="AL624" s="40"/>
      <c r="AM624" s="40"/>
      <c r="AN624" s="40"/>
      <c r="AO624" s="40"/>
      <c r="AP624" s="40"/>
      <c r="AQ624" s="40"/>
      <c r="AR624" s="39"/>
      <c r="AS624" s="39"/>
      <c r="AT624" s="40"/>
      <c r="AU624" s="40"/>
      <c r="AV624" s="23"/>
    </row>
    <row r="625" spans="1:48" ht="15.75" x14ac:dyDescent="0.25">
      <c r="A625" s="44"/>
      <c r="B625" s="23"/>
      <c r="C625" s="23"/>
      <c r="D625" s="39"/>
      <c r="E625" s="39"/>
      <c r="F625" s="40"/>
      <c r="G625" s="40"/>
      <c r="H625" s="41"/>
      <c r="I625" s="39"/>
      <c r="J625" s="40"/>
      <c r="K625" s="40"/>
      <c r="L625" s="41"/>
      <c r="M625" s="39"/>
      <c r="N625" s="40"/>
      <c r="O625" s="40"/>
      <c r="P625" s="39"/>
      <c r="Q625" s="39"/>
      <c r="R625" s="40"/>
      <c r="S625" s="40"/>
      <c r="T625" s="39"/>
      <c r="U625" s="39"/>
      <c r="V625" s="40"/>
      <c r="W625" s="40"/>
      <c r="X625" s="41"/>
      <c r="Y625" s="41"/>
      <c r="Z625" s="40"/>
      <c r="AA625" s="40"/>
      <c r="AB625" s="41"/>
      <c r="AC625" s="41"/>
      <c r="AD625" s="40"/>
      <c r="AE625" s="40"/>
      <c r="AF625" s="42"/>
      <c r="AG625" s="42"/>
      <c r="AH625" s="40"/>
      <c r="AI625" s="40"/>
      <c r="AJ625" s="42"/>
      <c r="AK625" s="42"/>
      <c r="AL625" s="40"/>
      <c r="AM625" s="40"/>
      <c r="AN625" s="40"/>
      <c r="AO625" s="40"/>
      <c r="AP625" s="40"/>
      <c r="AQ625" s="40"/>
      <c r="AR625" s="39"/>
      <c r="AS625" s="39"/>
      <c r="AT625" s="40"/>
      <c r="AU625" s="40"/>
      <c r="AV625" s="23"/>
    </row>
    <row r="626" spans="1:48" ht="15.75" x14ac:dyDescent="0.25">
      <c r="A626" s="44"/>
      <c r="B626" s="23"/>
      <c r="C626" s="23"/>
      <c r="D626" s="39"/>
      <c r="E626" s="39"/>
      <c r="F626" s="40"/>
      <c r="G626" s="40"/>
      <c r="H626" s="41"/>
      <c r="I626" s="39"/>
      <c r="J626" s="40"/>
      <c r="K626" s="40"/>
      <c r="L626" s="41"/>
      <c r="M626" s="39"/>
      <c r="N626" s="40"/>
      <c r="O626" s="40"/>
      <c r="P626" s="39"/>
      <c r="Q626" s="39"/>
      <c r="R626" s="40"/>
      <c r="S626" s="40"/>
      <c r="T626" s="39"/>
      <c r="U626" s="39"/>
      <c r="V626" s="40"/>
      <c r="W626" s="40"/>
      <c r="X626" s="41"/>
      <c r="Y626" s="41"/>
      <c r="Z626" s="40"/>
      <c r="AA626" s="40"/>
      <c r="AB626" s="41"/>
      <c r="AC626" s="41"/>
      <c r="AD626" s="40"/>
      <c r="AE626" s="40"/>
      <c r="AF626" s="42"/>
      <c r="AG626" s="42"/>
      <c r="AH626" s="40"/>
      <c r="AI626" s="40"/>
      <c r="AJ626" s="42"/>
      <c r="AK626" s="42"/>
      <c r="AL626" s="40"/>
      <c r="AM626" s="40"/>
      <c r="AN626" s="40"/>
      <c r="AO626" s="40"/>
      <c r="AP626" s="40"/>
      <c r="AQ626" s="40"/>
      <c r="AR626" s="39"/>
      <c r="AS626" s="39"/>
      <c r="AT626" s="40"/>
      <c r="AU626" s="40"/>
      <c r="AV626" s="23"/>
    </row>
    <row r="627" spans="1:48" ht="15.75" x14ac:dyDescent="0.25">
      <c r="A627" s="44"/>
      <c r="B627" s="23"/>
      <c r="C627" s="23"/>
      <c r="D627" s="39"/>
      <c r="E627" s="39"/>
      <c r="F627" s="40"/>
      <c r="G627" s="40"/>
      <c r="H627" s="41"/>
      <c r="I627" s="39"/>
      <c r="J627" s="40"/>
      <c r="K627" s="40"/>
      <c r="L627" s="41"/>
      <c r="M627" s="39"/>
      <c r="N627" s="40"/>
      <c r="O627" s="40"/>
      <c r="P627" s="39"/>
      <c r="Q627" s="39"/>
      <c r="R627" s="40"/>
      <c r="S627" s="40"/>
      <c r="T627" s="39"/>
      <c r="U627" s="39"/>
      <c r="V627" s="40"/>
      <c r="W627" s="40"/>
      <c r="X627" s="41"/>
      <c r="Y627" s="41"/>
      <c r="Z627" s="40"/>
      <c r="AA627" s="40"/>
      <c r="AB627" s="41"/>
      <c r="AC627" s="41"/>
      <c r="AD627" s="40"/>
      <c r="AE627" s="40"/>
      <c r="AF627" s="42"/>
      <c r="AG627" s="42"/>
      <c r="AH627" s="40"/>
      <c r="AI627" s="40"/>
      <c r="AJ627" s="42"/>
      <c r="AK627" s="42"/>
      <c r="AL627" s="40"/>
      <c r="AM627" s="40"/>
      <c r="AN627" s="40"/>
      <c r="AO627" s="40"/>
      <c r="AP627" s="40"/>
      <c r="AQ627" s="40"/>
      <c r="AR627" s="39"/>
      <c r="AS627" s="39"/>
      <c r="AT627" s="40"/>
      <c r="AU627" s="40"/>
      <c r="AV627" s="23"/>
    </row>
    <row r="628" spans="1:48" ht="15.75" x14ac:dyDescent="0.25">
      <c r="A628" s="44"/>
      <c r="B628" s="23"/>
      <c r="C628" s="23"/>
      <c r="D628" s="39"/>
      <c r="E628" s="39"/>
      <c r="F628" s="40"/>
      <c r="G628" s="40"/>
      <c r="H628" s="41"/>
      <c r="I628" s="39"/>
      <c r="J628" s="40"/>
      <c r="K628" s="40"/>
      <c r="L628" s="41"/>
      <c r="M628" s="39"/>
      <c r="N628" s="40"/>
      <c r="O628" s="40"/>
      <c r="P628" s="39"/>
      <c r="Q628" s="39"/>
      <c r="R628" s="40"/>
      <c r="S628" s="40"/>
      <c r="T628" s="39"/>
      <c r="U628" s="39"/>
      <c r="V628" s="40"/>
      <c r="W628" s="40"/>
      <c r="X628" s="41"/>
      <c r="Y628" s="41"/>
      <c r="Z628" s="40"/>
      <c r="AA628" s="40"/>
      <c r="AB628" s="41"/>
      <c r="AC628" s="41"/>
      <c r="AD628" s="40"/>
      <c r="AE628" s="40"/>
      <c r="AF628" s="42"/>
      <c r="AG628" s="42"/>
      <c r="AH628" s="40"/>
      <c r="AI628" s="40"/>
      <c r="AJ628" s="42"/>
      <c r="AK628" s="42"/>
      <c r="AL628" s="40"/>
      <c r="AM628" s="40"/>
      <c r="AN628" s="40"/>
      <c r="AO628" s="40"/>
      <c r="AP628" s="40"/>
      <c r="AQ628" s="40"/>
      <c r="AR628" s="39"/>
      <c r="AS628" s="39"/>
      <c r="AT628" s="40"/>
      <c r="AU628" s="40"/>
      <c r="AV628" s="23"/>
    </row>
    <row r="629" spans="1:48" ht="15.75" x14ac:dyDescent="0.25">
      <c r="A629" s="44"/>
      <c r="B629" s="23"/>
      <c r="C629" s="23"/>
      <c r="D629" s="39"/>
      <c r="E629" s="39"/>
      <c r="F629" s="40"/>
      <c r="G629" s="40"/>
      <c r="H629" s="41"/>
      <c r="I629" s="39"/>
      <c r="J629" s="40"/>
      <c r="K629" s="40"/>
      <c r="L629" s="41"/>
      <c r="M629" s="39"/>
      <c r="N629" s="40"/>
      <c r="O629" s="40"/>
      <c r="P629" s="39"/>
      <c r="Q629" s="39"/>
      <c r="R629" s="40"/>
      <c r="S629" s="40"/>
      <c r="T629" s="39"/>
      <c r="U629" s="39"/>
      <c r="V629" s="40"/>
      <c r="W629" s="40"/>
      <c r="X629" s="41"/>
      <c r="Y629" s="41"/>
      <c r="Z629" s="40"/>
      <c r="AA629" s="40"/>
      <c r="AB629" s="41"/>
      <c r="AC629" s="41"/>
      <c r="AD629" s="40"/>
      <c r="AE629" s="40"/>
      <c r="AF629" s="42"/>
      <c r="AG629" s="42"/>
      <c r="AH629" s="40"/>
      <c r="AI629" s="40"/>
      <c r="AJ629" s="42"/>
      <c r="AK629" s="42"/>
      <c r="AL629" s="40"/>
      <c r="AM629" s="40"/>
      <c r="AN629" s="40"/>
      <c r="AO629" s="40"/>
      <c r="AP629" s="40"/>
      <c r="AQ629" s="40"/>
      <c r="AR629" s="39"/>
      <c r="AS629" s="39"/>
      <c r="AT629" s="40"/>
      <c r="AU629" s="40"/>
      <c r="AV629" s="23"/>
    </row>
    <row r="630" spans="1:48" ht="15.75" x14ac:dyDescent="0.25">
      <c r="A630" s="44"/>
      <c r="B630" s="23"/>
      <c r="C630" s="23"/>
      <c r="D630" s="39"/>
      <c r="E630" s="39"/>
      <c r="F630" s="40"/>
      <c r="G630" s="40"/>
      <c r="H630" s="41"/>
      <c r="I630" s="39"/>
      <c r="J630" s="40"/>
      <c r="K630" s="40"/>
      <c r="L630" s="41"/>
      <c r="M630" s="39"/>
      <c r="N630" s="40"/>
      <c r="O630" s="40"/>
      <c r="P630" s="39"/>
      <c r="Q630" s="39"/>
      <c r="R630" s="40"/>
      <c r="S630" s="40"/>
      <c r="T630" s="39"/>
      <c r="U630" s="39"/>
      <c r="V630" s="40"/>
      <c r="W630" s="40"/>
      <c r="X630" s="41"/>
      <c r="Y630" s="41"/>
      <c r="Z630" s="40"/>
      <c r="AA630" s="40"/>
      <c r="AB630" s="41"/>
      <c r="AC630" s="41"/>
      <c r="AD630" s="40"/>
      <c r="AE630" s="40"/>
      <c r="AF630" s="42"/>
      <c r="AG630" s="42"/>
      <c r="AH630" s="40"/>
      <c r="AI630" s="40"/>
      <c r="AJ630" s="42"/>
      <c r="AK630" s="42"/>
      <c r="AL630" s="40"/>
      <c r="AM630" s="40"/>
      <c r="AN630" s="40"/>
      <c r="AO630" s="40"/>
      <c r="AP630" s="40"/>
      <c r="AQ630" s="40"/>
      <c r="AR630" s="39"/>
      <c r="AS630" s="39"/>
      <c r="AT630" s="40"/>
      <c r="AU630" s="40"/>
      <c r="AV630" s="23"/>
    </row>
    <row r="631" spans="1:48" ht="15.75" x14ac:dyDescent="0.25">
      <c r="A631" s="44"/>
      <c r="B631" s="23"/>
      <c r="C631" s="23"/>
      <c r="D631" s="39"/>
      <c r="E631" s="39"/>
      <c r="F631" s="40"/>
      <c r="G631" s="40"/>
      <c r="H631" s="41"/>
      <c r="I631" s="39"/>
      <c r="J631" s="40"/>
      <c r="K631" s="40"/>
      <c r="L631" s="41"/>
      <c r="M631" s="39"/>
      <c r="N631" s="40"/>
      <c r="O631" s="40"/>
      <c r="P631" s="39"/>
      <c r="Q631" s="39"/>
      <c r="R631" s="40"/>
      <c r="S631" s="40"/>
      <c r="T631" s="39"/>
      <c r="U631" s="39"/>
      <c r="V631" s="40"/>
      <c r="W631" s="40"/>
      <c r="X631" s="41"/>
      <c r="Y631" s="41"/>
      <c r="Z631" s="40"/>
      <c r="AA631" s="40"/>
      <c r="AB631" s="41"/>
      <c r="AC631" s="41"/>
      <c r="AD631" s="40"/>
      <c r="AE631" s="40"/>
      <c r="AF631" s="42"/>
      <c r="AG631" s="42"/>
      <c r="AH631" s="40"/>
      <c r="AI631" s="40"/>
      <c r="AJ631" s="42"/>
      <c r="AK631" s="42"/>
      <c r="AL631" s="40"/>
      <c r="AM631" s="40"/>
      <c r="AN631" s="40"/>
      <c r="AO631" s="40"/>
      <c r="AP631" s="40"/>
      <c r="AQ631" s="40"/>
      <c r="AR631" s="39"/>
      <c r="AS631" s="39"/>
      <c r="AT631" s="40"/>
      <c r="AU631" s="40"/>
      <c r="AV631" s="23"/>
    </row>
    <row r="632" spans="1:48" ht="15.75" x14ac:dyDescent="0.25">
      <c r="A632" s="44"/>
      <c r="B632" s="23"/>
      <c r="C632" s="23"/>
      <c r="D632" s="39"/>
      <c r="E632" s="39"/>
      <c r="F632" s="40"/>
      <c r="G632" s="40"/>
      <c r="H632" s="41"/>
      <c r="I632" s="39"/>
      <c r="J632" s="40"/>
      <c r="K632" s="40"/>
      <c r="L632" s="41"/>
      <c r="M632" s="39"/>
      <c r="N632" s="40"/>
      <c r="O632" s="40"/>
      <c r="P632" s="39"/>
      <c r="Q632" s="39"/>
      <c r="R632" s="40"/>
      <c r="S632" s="40"/>
      <c r="T632" s="39"/>
      <c r="U632" s="39"/>
      <c r="V632" s="40"/>
      <c r="W632" s="40"/>
      <c r="X632" s="41"/>
      <c r="Y632" s="41"/>
      <c r="Z632" s="40"/>
      <c r="AA632" s="40"/>
      <c r="AB632" s="41"/>
      <c r="AC632" s="41"/>
      <c r="AD632" s="40"/>
      <c r="AE632" s="40"/>
      <c r="AF632" s="42"/>
      <c r="AG632" s="42"/>
      <c r="AH632" s="40"/>
      <c r="AI632" s="40"/>
      <c r="AJ632" s="42"/>
      <c r="AK632" s="42"/>
      <c r="AL632" s="40"/>
      <c r="AM632" s="40"/>
      <c r="AN632" s="40"/>
      <c r="AO632" s="40"/>
      <c r="AP632" s="40"/>
      <c r="AQ632" s="40"/>
      <c r="AR632" s="39"/>
      <c r="AS632" s="39"/>
      <c r="AT632" s="40"/>
      <c r="AU632" s="40"/>
      <c r="AV632" s="23"/>
    </row>
    <row r="633" spans="1:48" ht="15.75" x14ac:dyDescent="0.25">
      <c r="A633" s="44"/>
      <c r="B633" s="23"/>
      <c r="C633" s="23"/>
      <c r="D633" s="39"/>
      <c r="E633" s="39"/>
      <c r="F633" s="40"/>
      <c r="G633" s="40"/>
      <c r="H633" s="41"/>
      <c r="I633" s="39"/>
      <c r="J633" s="40"/>
      <c r="K633" s="40"/>
      <c r="L633" s="41"/>
      <c r="M633" s="39"/>
      <c r="N633" s="40"/>
      <c r="O633" s="40"/>
      <c r="P633" s="39"/>
      <c r="Q633" s="39"/>
      <c r="R633" s="40"/>
      <c r="S633" s="40"/>
      <c r="T633" s="39"/>
      <c r="U633" s="39"/>
      <c r="V633" s="40"/>
      <c r="W633" s="40"/>
      <c r="X633" s="41"/>
      <c r="Y633" s="41"/>
      <c r="Z633" s="40"/>
      <c r="AA633" s="40"/>
      <c r="AB633" s="41"/>
      <c r="AC633" s="41"/>
      <c r="AD633" s="40"/>
      <c r="AE633" s="40"/>
      <c r="AF633" s="42"/>
      <c r="AG633" s="42"/>
      <c r="AH633" s="40"/>
      <c r="AI633" s="40"/>
      <c r="AJ633" s="42"/>
      <c r="AK633" s="42"/>
      <c r="AL633" s="40"/>
      <c r="AM633" s="40"/>
      <c r="AN633" s="40"/>
      <c r="AO633" s="40"/>
      <c r="AP633" s="40"/>
      <c r="AQ633" s="40"/>
      <c r="AR633" s="39"/>
      <c r="AS633" s="39"/>
      <c r="AT633" s="40"/>
      <c r="AU633" s="40"/>
      <c r="AV633" s="23"/>
    </row>
    <row r="634" spans="1:48" ht="15.75" x14ac:dyDescent="0.25">
      <c r="A634" s="44"/>
      <c r="B634" s="23"/>
      <c r="C634" s="23"/>
      <c r="D634" s="39"/>
      <c r="E634" s="39"/>
      <c r="F634" s="40"/>
      <c r="G634" s="40"/>
      <c r="H634" s="41"/>
      <c r="I634" s="39"/>
      <c r="J634" s="40"/>
      <c r="K634" s="40"/>
      <c r="L634" s="41"/>
      <c r="M634" s="39"/>
      <c r="N634" s="40"/>
      <c r="O634" s="40"/>
      <c r="P634" s="39"/>
      <c r="Q634" s="39"/>
      <c r="R634" s="40"/>
      <c r="S634" s="40"/>
      <c r="T634" s="39"/>
      <c r="U634" s="39"/>
      <c r="V634" s="40"/>
      <c r="W634" s="40"/>
      <c r="X634" s="41"/>
      <c r="Y634" s="41"/>
      <c r="Z634" s="40"/>
      <c r="AA634" s="40"/>
      <c r="AB634" s="41"/>
      <c r="AC634" s="41"/>
      <c r="AD634" s="40"/>
      <c r="AE634" s="40"/>
      <c r="AF634" s="42"/>
      <c r="AG634" s="42"/>
      <c r="AH634" s="40"/>
      <c r="AI634" s="40"/>
      <c r="AJ634" s="42"/>
      <c r="AK634" s="42"/>
      <c r="AL634" s="40"/>
      <c r="AM634" s="40"/>
      <c r="AN634" s="40"/>
      <c r="AO634" s="40"/>
      <c r="AP634" s="40"/>
      <c r="AQ634" s="40"/>
      <c r="AR634" s="39"/>
      <c r="AS634" s="39"/>
      <c r="AT634" s="40"/>
      <c r="AU634" s="40"/>
      <c r="AV634" s="23"/>
    </row>
    <row r="635" spans="1:48" ht="15.75" x14ac:dyDescent="0.25">
      <c r="A635" s="44"/>
      <c r="B635" s="23"/>
      <c r="C635" s="23"/>
      <c r="D635" s="39"/>
      <c r="E635" s="39"/>
      <c r="F635" s="40"/>
      <c r="G635" s="40"/>
      <c r="H635" s="41"/>
      <c r="I635" s="39"/>
      <c r="J635" s="40"/>
      <c r="K635" s="40"/>
      <c r="L635" s="41"/>
      <c r="M635" s="39"/>
      <c r="N635" s="40"/>
      <c r="O635" s="40"/>
      <c r="P635" s="39"/>
      <c r="Q635" s="39"/>
      <c r="R635" s="40"/>
      <c r="S635" s="40"/>
      <c r="T635" s="39"/>
      <c r="U635" s="39"/>
      <c r="V635" s="40"/>
      <c r="W635" s="40"/>
      <c r="X635" s="41"/>
      <c r="Y635" s="41"/>
      <c r="Z635" s="40"/>
      <c r="AA635" s="40"/>
      <c r="AB635" s="41"/>
      <c r="AC635" s="41"/>
      <c r="AD635" s="40"/>
      <c r="AE635" s="40"/>
      <c r="AF635" s="42"/>
      <c r="AG635" s="42"/>
      <c r="AH635" s="40"/>
      <c r="AI635" s="40"/>
      <c r="AJ635" s="42"/>
      <c r="AK635" s="42"/>
      <c r="AL635" s="40"/>
      <c r="AM635" s="40"/>
      <c r="AN635" s="40"/>
      <c r="AO635" s="40"/>
      <c r="AP635" s="40"/>
      <c r="AQ635" s="40"/>
      <c r="AR635" s="39"/>
      <c r="AS635" s="39"/>
      <c r="AT635" s="40"/>
      <c r="AU635" s="40"/>
      <c r="AV635" s="23"/>
    </row>
    <row r="636" spans="1:48" ht="15.75" x14ac:dyDescent="0.25">
      <c r="A636" s="44"/>
      <c r="B636" s="23"/>
      <c r="C636" s="23"/>
      <c r="D636" s="39"/>
      <c r="E636" s="39"/>
      <c r="F636" s="40"/>
      <c r="G636" s="40"/>
      <c r="H636" s="41"/>
      <c r="I636" s="39"/>
      <c r="J636" s="40"/>
      <c r="K636" s="40"/>
      <c r="L636" s="41"/>
      <c r="M636" s="39"/>
      <c r="N636" s="40"/>
      <c r="O636" s="40"/>
      <c r="P636" s="39"/>
      <c r="Q636" s="39"/>
      <c r="R636" s="40"/>
      <c r="S636" s="40"/>
      <c r="T636" s="39"/>
      <c r="U636" s="39"/>
      <c r="V636" s="40"/>
      <c r="W636" s="40"/>
      <c r="X636" s="41"/>
      <c r="Y636" s="41"/>
      <c r="Z636" s="40"/>
      <c r="AA636" s="40"/>
      <c r="AB636" s="41"/>
      <c r="AC636" s="41"/>
      <c r="AD636" s="40"/>
      <c r="AE636" s="40"/>
      <c r="AF636" s="42"/>
      <c r="AG636" s="42"/>
      <c r="AH636" s="40"/>
      <c r="AI636" s="40"/>
      <c r="AJ636" s="42"/>
      <c r="AK636" s="42"/>
      <c r="AL636" s="40"/>
      <c r="AM636" s="40"/>
      <c r="AN636" s="40"/>
      <c r="AO636" s="40"/>
      <c r="AP636" s="40"/>
      <c r="AQ636" s="40"/>
      <c r="AR636" s="39"/>
      <c r="AS636" s="39"/>
      <c r="AT636" s="40"/>
      <c r="AU636" s="40"/>
      <c r="AV636" s="23"/>
    </row>
    <row r="637" spans="1:48" ht="15.75" x14ac:dyDescent="0.25">
      <c r="A637" s="44"/>
      <c r="B637" s="23"/>
      <c r="C637" s="23"/>
      <c r="D637" s="39"/>
      <c r="E637" s="39"/>
      <c r="F637" s="40"/>
      <c r="G637" s="40"/>
      <c r="H637" s="41"/>
      <c r="I637" s="39"/>
      <c r="J637" s="40"/>
      <c r="K637" s="40"/>
      <c r="L637" s="41"/>
      <c r="M637" s="39"/>
      <c r="N637" s="40"/>
      <c r="O637" s="40"/>
      <c r="P637" s="39"/>
      <c r="Q637" s="39"/>
      <c r="R637" s="40"/>
      <c r="S637" s="40"/>
      <c r="T637" s="39"/>
      <c r="U637" s="39"/>
      <c r="V637" s="40"/>
      <c r="W637" s="40"/>
      <c r="X637" s="41"/>
      <c r="Y637" s="41"/>
      <c r="Z637" s="40"/>
      <c r="AA637" s="40"/>
      <c r="AB637" s="41"/>
      <c r="AC637" s="41"/>
      <c r="AD637" s="40"/>
      <c r="AE637" s="40"/>
      <c r="AF637" s="42"/>
      <c r="AG637" s="42"/>
      <c r="AH637" s="40"/>
      <c r="AI637" s="40"/>
      <c r="AJ637" s="42"/>
      <c r="AK637" s="42"/>
      <c r="AL637" s="40"/>
      <c r="AM637" s="40"/>
      <c r="AN637" s="40"/>
      <c r="AO637" s="40"/>
      <c r="AP637" s="40"/>
      <c r="AQ637" s="40"/>
      <c r="AR637" s="39"/>
      <c r="AS637" s="39"/>
      <c r="AT637" s="40"/>
      <c r="AU637" s="40"/>
      <c r="AV637" s="23"/>
    </row>
    <row r="638" spans="1:48" ht="15.75" x14ac:dyDescent="0.25">
      <c r="A638" s="44"/>
      <c r="B638" s="23"/>
      <c r="C638" s="23"/>
      <c r="D638" s="39"/>
      <c r="E638" s="39"/>
      <c r="F638" s="40"/>
      <c r="G638" s="40"/>
      <c r="H638" s="41"/>
      <c r="I638" s="39"/>
      <c r="J638" s="40"/>
      <c r="K638" s="40"/>
      <c r="L638" s="41"/>
      <c r="M638" s="39"/>
      <c r="N638" s="40"/>
      <c r="O638" s="40"/>
      <c r="P638" s="39"/>
      <c r="Q638" s="39"/>
      <c r="R638" s="40"/>
      <c r="S638" s="40"/>
      <c r="T638" s="39"/>
      <c r="U638" s="39"/>
      <c r="V638" s="40"/>
      <c r="W638" s="40"/>
      <c r="X638" s="41"/>
      <c r="Y638" s="41"/>
      <c r="Z638" s="40"/>
      <c r="AA638" s="40"/>
      <c r="AB638" s="41"/>
      <c r="AC638" s="41"/>
      <c r="AD638" s="40"/>
      <c r="AE638" s="40"/>
      <c r="AF638" s="42"/>
      <c r="AG638" s="42"/>
      <c r="AH638" s="40"/>
      <c r="AI638" s="40"/>
      <c r="AJ638" s="42"/>
      <c r="AK638" s="42"/>
      <c r="AL638" s="40"/>
      <c r="AM638" s="40"/>
      <c r="AN638" s="40"/>
      <c r="AO638" s="40"/>
      <c r="AP638" s="40"/>
      <c r="AQ638" s="40"/>
      <c r="AR638" s="39"/>
      <c r="AS638" s="39"/>
      <c r="AT638" s="40"/>
      <c r="AU638" s="40"/>
      <c r="AV638" s="23"/>
    </row>
    <row r="639" spans="1:48" ht="15.75" x14ac:dyDescent="0.25">
      <c r="A639" s="44"/>
      <c r="B639" s="23"/>
      <c r="C639" s="23"/>
      <c r="D639" s="39"/>
      <c r="E639" s="39"/>
      <c r="F639" s="40"/>
      <c r="G639" s="40"/>
      <c r="H639" s="41"/>
      <c r="I639" s="39"/>
      <c r="J639" s="40"/>
      <c r="K639" s="40"/>
      <c r="L639" s="41"/>
      <c r="M639" s="39"/>
      <c r="N639" s="40"/>
      <c r="O639" s="40"/>
      <c r="P639" s="39"/>
      <c r="Q639" s="39"/>
      <c r="R639" s="40"/>
      <c r="S639" s="40"/>
      <c r="T639" s="39"/>
      <c r="U639" s="39"/>
      <c r="V639" s="40"/>
      <c r="W639" s="40"/>
      <c r="X639" s="41"/>
      <c r="Y639" s="41"/>
      <c r="Z639" s="40"/>
      <c r="AA639" s="40"/>
      <c r="AB639" s="41"/>
      <c r="AC639" s="41"/>
      <c r="AD639" s="40"/>
      <c r="AE639" s="40"/>
      <c r="AF639" s="42"/>
      <c r="AG639" s="42"/>
      <c r="AH639" s="40"/>
      <c r="AI639" s="40"/>
      <c r="AJ639" s="42"/>
      <c r="AK639" s="42"/>
      <c r="AL639" s="40"/>
      <c r="AM639" s="40"/>
      <c r="AN639" s="40"/>
      <c r="AO639" s="40"/>
      <c r="AP639" s="40"/>
      <c r="AQ639" s="40"/>
      <c r="AR639" s="39"/>
      <c r="AS639" s="39"/>
      <c r="AT639" s="40"/>
      <c r="AU639" s="40"/>
      <c r="AV639" s="23"/>
    </row>
    <row r="640" spans="1:48" ht="15.75" x14ac:dyDescent="0.25">
      <c r="A640" s="44"/>
      <c r="B640" s="23"/>
      <c r="C640" s="23"/>
      <c r="D640" s="39"/>
      <c r="E640" s="39"/>
      <c r="F640" s="40"/>
      <c r="G640" s="40"/>
      <c r="H640" s="41"/>
      <c r="I640" s="39"/>
      <c r="J640" s="40"/>
      <c r="K640" s="40"/>
      <c r="L640" s="41"/>
      <c r="M640" s="39"/>
      <c r="N640" s="40"/>
      <c r="O640" s="40"/>
      <c r="P640" s="39"/>
      <c r="Q640" s="39"/>
      <c r="R640" s="40"/>
      <c r="S640" s="40"/>
      <c r="T640" s="39"/>
      <c r="U640" s="39"/>
      <c r="V640" s="40"/>
      <c r="W640" s="40"/>
      <c r="X640" s="41"/>
      <c r="Y640" s="41"/>
      <c r="Z640" s="40"/>
      <c r="AA640" s="40"/>
      <c r="AB640" s="41"/>
      <c r="AC640" s="41"/>
      <c r="AD640" s="40"/>
      <c r="AE640" s="40"/>
      <c r="AF640" s="42"/>
      <c r="AG640" s="42"/>
      <c r="AH640" s="40"/>
      <c r="AI640" s="40"/>
      <c r="AJ640" s="42"/>
      <c r="AK640" s="42"/>
      <c r="AL640" s="40"/>
      <c r="AM640" s="40"/>
      <c r="AN640" s="40"/>
      <c r="AO640" s="40"/>
      <c r="AP640" s="40"/>
      <c r="AQ640" s="40"/>
      <c r="AR640" s="39"/>
      <c r="AS640" s="39"/>
      <c r="AT640" s="40"/>
      <c r="AU640" s="40"/>
      <c r="AV640" s="23"/>
    </row>
    <row r="641" spans="1:48" ht="15.75" x14ac:dyDescent="0.25">
      <c r="A641" s="44"/>
      <c r="B641" s="23"/>
      <c r="C641" s="23"/>
      <c r="D641" s="39"/>
      <c r="E641" s="39"/>
      <c r="F641" s="40"/>
      <c r="G641" s="40"/>
      <c r="H641" s="41"/>
      <c r="I641" s="39"/>
      <c r="J641" s="40"/>
      <c r="K641" s="40"/>
      <c r="L641" s="41"/>
      <c r="M641" s="39"/>
      <c r="N641" s="40"/>
      <c r="O641" s="40"/>
      <c r="P641" s="39"/>
      <c r="Q641" s="39"/>
      <c r="R641" s="40"/>
      <c r="S641" s="40"/>
      <c r="T641" s="39"/>
      <c r="U641" s="39"/>
      <c r="V641" s="40"/>
      <c r="W641" s="40"/>
      <c r="X641" s="41"/>
      <c r="Y641" s="41"/>
      <c r="Z641" s="40"/>
      <c r="AA641" s="40"/>
      <c r="AB641" s="41"/>
      <c r="AC641" s="41"/>
      <c r="AD641" s="40"/>
      <c r="AE641" s="40"/>
      <c r="AF641" s="42"/>
      <c r="AG641" s="42"/>
      <c r="AH641" s="40"/>
      <c r="AI641" s="40"/>
      <c r="AJ641" s="42"/>
      <c r="AK641" s="42"/>
      <c r="AL641" s="40"/>
      <c r="AM641" s="40"/>
      <c r="AN641" s="40"/>
      <c r="AO641" s="40"/>
      <c r="AP641" s="40"/>
      <c r="AQ641" s="40"/>
      <c r="AR641" s="39"/>
      <c r="AS641" s="39"/>
      <c r="AT641" s="40"/>
      <c r="AU641" s="40"/>
      <c r="AV641" s="23"/>
    </row>
    <row r="642" spans="1:48" ht="15.75" x14ac:dyDescent="0.25">
      <c r="A642" s="44"/>
      <c r="B642" s="23"/>
      <c r="C642" s="23"/>
      <c r="D642" s="39"/>
      <c r="E642" s="39"/>
      <c r="F642" s="40"/>
      <c r="G642" s="40"/>
      <c r="H642" s="41"/>
      <c r="I642" s="39"/>
      <c r="J642" s="40"/>
      <c r="K642" s="40"/>
      <c r="L642" s="41"/>
      <c r="M642" s="39"/>
      <c r="N642" s="40"/>
      <c r="O642" s="40"/>
      <c r="P642" s="39"/>
      <c r="Q642" s="39"/>
      <c r="R642" s="40"/>
      <c r="S642" s="40"/>
      <c r="T642" s="39"/>
      <c r="U642" s="39"/>
      <c r="V642" s="40"/>
      <c r="W642" s="40"/>
      <c r="X642" s="41"/>
      <c r="Y642" s="41"/>
      <c r="Z642" s="40"/>
      <c r="AA642" s="40"/>
      <c r="AB642" s="41"/>
      <c r="AC642" s="41"/>
      <c r="AD642" s="40"/>
      <c r="AE642" s="40"/>
      <c r="AF642" s="42"/>
      <c r="AG642" s="42"/>
      <c r="AH642" s="40"/>
      <c r="AI642" s="40"/>
      <c r="AJ642" s="42"/>
      <c r="AK642" s="42"/>
      <c r="AL642" s="40"/>
      <c r="AM642" s="40"/>
      <c r="AN642" s="40"/>
      <c r="AO642" s="40"/>
      <c r="AP642" s="40"/>
      <c r="AQ642" s="40"/>
      <c r="AR642" s="39"/>
      <c r="AS642" s="39"/>
      <c r="AT642" s="40"/>
      <c r="AU642" s="40"/>
      <c r="AV642" s="23"/>
    </row>
    <row r="643" spans="1:48" ht="15.75" x14ac:dyDescent="0.25">
      <c r="A643" s="44"/>
      <c r="B643" s="23"/>
      <c r="C643" s="23"/>
      <c r="D643" s="39"/>
      <c r="E643" s="39"/>
      <c r="F643" s="40"/>
      <c r="G643" s="40"/>
      <c r="H643" s="41"/>
      <c r="I643" s="39"/>
      <c r="J643" s="40"/>
      <c r="K643" s="40"/>
      <c r="L643" s="41"/>
      <c r="M643" s="39"/>
      <c r="N643" s="40"/>
      <c r="O643" s="40"/>
      <c r="P643" s="39"/>
      <c r="Q643" s="39"/>
      <c r="R643" s="40"/>
      <c r="S643" s="40"/>
      <c r="T643" s="39"/>
      <c r="U643" s="39"/>
      <c r="V643" s="40"/>
      <c r="W643" s="40"/>
      <c r="X643" s="41"/>
      <c r="Y643" s="41"/>
      <c r="Z643" s="40"/>
      <c r="AA643" s="40"/>
      <c r="AB643" s="41"/>
      <c r="AC643" s="41"/>
      <c r="AD643" s="40"/>
      <c r="AE643" s="40"/>
      <c r="AF643" s="42"/>
      <c r="AG643" s="42"/>
      <c r="AH643" s="40"/>
      <c r="AI643" s="40"/>
      <c r="AJ643" s="42"/>
      <c r="AK643" s="42"/>
      <c r="AL643" s="40"/>
      <c r="AM643" s="40"/>
      <c r="AN643" s="40"/>
      <c r="AO643" s="40"/>
      <c r="AP643" s="40"/>
      <c r="AQ643" s="40"/>
      <c r="AR643" s="39"/>
      <c r="AS643" s="39"/>
      <c r="AT643" s="40"/>
      <c r="AU643" s="40"/>
      <c r="AV643" s="23"/>
    </row>
    <row r="644" spans="1:48" ht="15.75" x14ac:dyDescent="0.25">
      <c r="A644" s="44"/>
      <c r="B644" s="23"/>
      <c r="C644" s="23"/>
      <c r="D644" s="39"/>
      <c r="E644" s="39"/>
      <c r="F644" s="40"/>
      <c r="G644" s="40"/>
      <c r="H644" s="41"/>
      <c r="I644" s="39"/>
      <c r="J644" s="40"/>
      <c r="K644" s="40"/>
      <c r="L644" s="41"/>
      <c r="M644" s="39"/>
      <c r="N644" s="40"/>
      <c r="O644" s="40"/>
      <c r="P644" s="39"/>
      <c r="Q644" s="39"/>
      <c r="R644" s="40"/>
      <c r="S644" s="40"/>
      <c r="T644" s="39"/>
      <c r="U644" s="39"/>
      <c r="V644" s="40"/>
      <c r="W644" s="40"/>
      <c r="X644" s="41"/>
      <c r="Y644" s="41"/>
      <c r="Z644" s="40"/>
      <c r="AA644" s="40"/>
      <c r="AB644" s="41"/>
      <c r="AC644" s="41"/>
      <c r="AD644" s="40"/>
      <c r="AE644" s="40"/>
      <c r="AF644" s="42"/>
      <c r="AG644" s="42"/>
      <c r="AH644" s="40"/>
      <c r="AI644" s="40"/>
      <c r="AJ644" s="42"/>
      <c r="AK644" s="42"/>
      <c r="AL644" s="40"/>
      <c r="AM644" s="40"/>
      <c r="AN644" s="40"/>
      <c r="AO644" s="40"/>
      <c r="AP644" s="40"/>
      <c r="AQ644" s="40"/>
      <c r="AR644" s="39"/>
      <c r="AS644" s="39"/>
      <c r="AT644" s="40"/>
      <c r="AU644" s="40"/>
      <c r="AV644" s="23"/>
    </row>
    <row r="645" spans="1:48" ht="15.75" x14ac:dyDescent="0.25">
      <c r="A645" s="44"/>
      <c r="B645" s="23"/>
      <c r="C645" s="23"/>
      <c r="D645" s="39"/>
      <c r="E645" s="39"/>
      <c r="F645" s="40"/>
      <c r="G645" s="40"/>
      <c r="H645" s="41"/>
      <c r="I645" s="39"/>
      <c r="J645" s="40"/>
      <c r="K645" s="40"/>
      <c r="L645" s="41"/>
      <c r="M645" s="39"/>
      <c r="N645" s="40"/>
      <c r="O645" s="40"/>
      <c r="P645" s="39"/>
      <c r="Q645" s="39"/>
      <c r="R645" s="40"/>
      <c r="S645" s="40"/>
      <c r="T645" s="39"/>
      <c r="U645" s="39"/>
      <c r="V645" s="40"/>
      <c r="W645" s="40"/>
      <c r="X645" s="41"/>
      <c r="Y645" s="41"/>
      <c r="Z645" s="40"/>
      <c r="AA645" s="40"/>
      <c r="AB645" s="41"/>
      <c r="AC645" s="41"/>
      <c r="AD645" s="40"/>
      <c r="AE645" s="40"/>
      <c r="AF645" s="42"/>
      <c r="AG645" s="42"/>
      <c r="AH645" s="40"/>
      <c r="AI645" s="40"/>
      <c r="AJ645" s="42"/>
      <c r="AK645" s="42"/>
      <c r="AL645" s="40"/>
      <c r="AM645" s="40"/>
      <c r="AN645" s="40"/>
      <c r="AO645" s="40"/>
      <c r="AP645" s="40"/>
      <c r="AQ645" s="40"/>
      <c r="AR645" s="39"/>
      <c r="AS645" s="39"/>
      <c r="AT645" s="40"/>
      <c r="AU645" s="40"/>
      <c r="AV645" s="23"/>
    </row>
    <row r="646" spans="1:48" ht="15.75" x14ac:dyDescent="0.25">
      <c r="A646" s="44"/>
      <c r="B646" s="23"/>
      <c r="C646" s="23"/>
      <c r="D646" s="39"/>
      <c r="E646" s="39"/>
      <c r="F646" s="40"/>
      <c r="G646" s="40"/>
      <c r="H646" s="41"/>
      <c r="I646" s="39"/>
      <c r="J646" s="40"/>
      <c r="K646" s="40"/>
      <c r="L646" s="41"/>
      <c r="M646" s="39"/>
      <c r="N646" s="40"/>
      <c r="O646" s="40"/>
      <c r="P646" s="39"/>
      <c r="Q646" s="39"/>
      <c r="R646" s="40"/>
      <c r="S646" s="40"/>
      <c r="T646" s="39"/>
      <c r="U646" s="39"/>
      <c r="V646" s="40"/>
      <c r="W646" s="40"/>
      <c r="X646" s="41"/>
      <c r="Y646" s="41"/>
      <c r="Z646" s="40"/>
      <c r="AA646" s="40"/>
      <c r="AB646" s="41"/>
      <c r="AC646" s="41"/>
      <c r="AD646" s="40"/>
      <c r="AE646" s="40"/>
      <c r="AF646" s="42"/>
      <c r="AG646" s="42"/>
      <c r="AH646" s="40"/>
      <c r="AI646" s="40"/>
      <c r="AJ646" s="42"/>
      <c r="AK646" s="42"/>
      <c r="AL646" s="40"/>
      <c r="AM646" s="40"/>
      <c r="AN646" s="40"/>
      <c r="AO646" s="40"/>
      <c r="AP646" s="40"/>
      <c r="AQ646" s="40"/>
      <c r="AR646" s="39"/>
      <c r="AS646" s="39"/>
      <c r="AT646" s="40"/>
      <c r="AU646" s="40"/>
      <c r="AV646" s="23"/>
    </row>
    <row r="647" spans="1:48" ht="15.75" x14ac:dyDescent="0.25">
      <c r="A647" s="44"/>
      <c r="B647" s="23"/>
      <c r="C647" s="23"/>
      <c r="D647" s="39"/>
      <c r="E647" s="39"/>
      <c r="F647" s="40"/>
      <c r="G647" s="40"/>
      <c r="H647" s="41"/>
      <c r="I647" s="39"/>
      <c r="J647" s="40"/>
      <c r="K647" s="40"/>
      <c r="L647" s="41"/>
      <c r="M647" s="39"/>
      <c r="N647" s="40"/>
      <c r="O647" s="40"/>
      <c r="P647" s="39"/>
      <c r="Q647" s="39"/>
      <c r="R647" s="40"/>
      <c r="S647" s="40"/>
      <c r="T647" s="39"/>
      <c r="U647" s="39"/>
      <c r="V647" s="40"/>
      <c r="W647" s="40"/>
      <c r="X647" s="41"/>
      <c r="Y647" s="41"/>
      <c r="Z647" s="40"/>
      <c r="AA647" s="40"/>
      <c r="AB647" s="41"/>
      <c r="AC647" s="41"/>
      <c r="AD647" s="40"/>
      <c r="AE647" s="40"/>
      <c r="AF647" s="42"/>
      <c r="AG647" s="42"/>
      <c r="AH647" s="40"/>
      <c r="AI647" s="40"/>
      <c r="AJ647" s="42"/>
      <c r="AK647" s="42"/>
      <c r="AL647" s="40"/>
      <c r="AM647" s="40"/>
      <c r="AN647" s="40"/>
      <c r="AO647" s="40"/>
      <c r="AP647" s="40"/>
      <c r="AQ647" s="40"/>
      <c r="AR647" s="39"/>
      <c r="AS647" s="39"/>
      <c r="AT647" s="40"/>
      <c r="AU647" s="40"/>
      <c r="AV647" s="23"/>
    </row>
    <row r="648" spans="1:48" ht="15.75" x14ac:dyDescent="0.25">
      <c r="A648" s="44"/>
      <c r="B648" s="23"/>
      <c r="C648" s="23"/>
      <c r="D648" s="39"/>
      <c r="E648" s="39"/>
      <c r="F648" s="40"/>
      <c r="G648" s="40"/>
      <c r="H648" s="41"/>
      <c r="I648" s="39"/>
      <c r="J648" s="40"/>
      <c r="K648" s="40"/>
      <c r="L648" s="41"/>
      <c r="M648" s="39"/>
      <c r="N648" s="40"/>
      <c r="O648" s="40"/>
      <c r="P648" s="39"/>
      <c r="Q648" s="39"/>
      <c r="R648" s="40"/>
      <c r="S648" s="40"/>
      <c r="T648" s="39"/>
      <c r="U648" s="39"/>
      <c r="V648" s="40"/>
      <c r="W648" s="40"/>
      <c r="X648" s="41"/>
      <c r="Y648" s="41"/>
      <c r="Z648" s="40"/>
      <c r="AA648" s="40"/>
      <c r="AB648" s="41"/>
      <c r="AC648" s="41"/>
      <c r="AD648" s="40"/>
      <c r="AE648" s="40"/>
      <c r="AF648" s="42"/>
      <c r="AG648" s="42"/>
      <c r="AH648" s="40"/>
      <c r="AI648" s="40"/>
      <c r="AJ648" s="42"/>
      <c r="AK648" s="42"/>
      <c r="AL648" s="40"/>
      <c r="AM648" s="40"/>
      <c r="AN648" s="40"/>
      <c r="AO648" s="40"/>
      <c r="AP648" s="40"/>
      <c r="AQ648" s="40"/>
      <c r="AR648" s="39"/>
      <c r="AS648" s="39"/>
      <c r="AT648" s="40"/>
      <c r="AU648" s="40"/>
      <c r="AV648" s="23"/>
    </row>
    <row r="649" spans="1:48" ht="15.75" x14ac:dyDescent="0.25">
      <c r="A649" s="44"/>
      <c r="B649" s="23"/>
      <c r="C649" s="23"/>
      <c r="D649" s="39"/>
      <c r="E649" s="39"/>
      <c r="F649" s="40"/>
      <c r="G649" s="40"/>
      <c r="H649" s="41"/>
      <c r="I649" s="39"/>
      <c r="J649" s="40"/>
      <c r="K649" s="40"/>
      <c r="L649" s="41"/>
      <c r="M649" s="39"/>
      <c r="N649" s="40"/>
      <c r="O649" s="40"/>
      <c r="P649" s="39"/>
      <c r="Q649" s="39"/>
      <c r="R649" s="40"/>
      <c r="S649" s="40"/>
      <c r="T649" s="39"/>
      <c r="U649" s="39"/>
      <c r="V649" s="40"/>
      <c r="W649" s="40"/>
      <c r="X649" s="41"/>
      <c r="Y649" s="41"/>
      <c r="Z649" s="40"/>
      <c r="AA649" s="40"/>
      <c r="AB649" s="41"/>
      <c r="AC649" s="41"/>
      <c r="AD649" s="40"/>
      <c r="AE649" s="40"/>
      <c r="AF649" s="42"/>
      <c r="AG649" s="42"/>
      <c r="AH649" s="40"/>
      <c r="AI649" s="40"/>
      <c r="AJ649" s="42"/>
      <c r="AK649" s="42"/>
      <c r="AL649" s="40"/>
      <c r="AM649" s="40"/>
      <c r="AN649" s="40"/>
      <c r="AO649" s="40"/>
      <c r="AP649" s="40"/>
      <c r="AQ649" s="40"/>
      <c r="AR649" s="39"/>
      <c r="AS649" s="39"/>
      <c r="AT649" s="40"/>
      <c r="AU649" s="40"/>
      <c r="AV649" s="23"/>
    </row>
    <row r="650" spans="1:48" ht="15.75" x14ac:dyDescent="0.25">
      <c r="A650" s="44"/>
      <c r="B650" s="23"/>
      <c r="C650" s="23"/>
      <c r="D650" s="39"/>
      <c r="E650" s="39"/>
      <c r="F650" s="40"/>
      <c r="G650" s="40"/>
      <c r="H650" s="41"/>
      <c r="I650" s="39"/>
      <c r="J650" s="40"/>
      <c r="K650" s="40"/>
      <c r="L650" s="41"/>
      <c r="M650" s="39"/>
      <c r="N650" s="40"/>
      <c r="O650" s="40"/>
      <c r="P650" s="39"/>
      <c r="Q650" s="39"/>
      <c r="R650" s="40"/>
      <c r="S650" s="40"/>
      <c r="T650" s="39"/>
      <c r="U650" s="39"/>
      <c r="V650" s="40"/>
      <c r="W650" s="40"/>
      <c r="X650" s="41"/>
      <c r="Y650" s="41"/>
      <c r="Z650" s="40"/>
      <c r="AA650" s="40"/>
      <c r="AB650" s="41"/>
      <c r="AC650" s="41"/>
      <c r="AD650" s="40"/>
      <c r="AE650" s="40"/>
      <c r="AF650" s="42"/>
      <c r="AG650" s="42"/>
      <c r="AH650" s="40"/>
      <c r="AI650" s="40"/>
      <c r="AJ650" s="42"/>
      <c r="AK650" s="42"/>
      <c r="AL650" s="40"/>
      <c r="AM650" s="40"/>
      <c r="AN650" s="40"/>
      <c r="AO650" s="40"/>
      <c r="AP650" s="40"/>
      <c r="AQ650" s="40"/>
      <c r="AR650" s="39"/>
      <c r="AS650" s="39"/>
      <c r="AT650" s="40"/>
      <c r="AU650" s="40"/>
      <c r="AV650" s="23"/>
    </row>
    <row r="651" spans="1:48" ht="15.75" x14ac:dyDescent="0.25">
      <c r="A651" s="44"/>
      <c r="B651" s="23"/>
      <c r="C651" s="23"/>
      <c r="D651" s="39"/>
      <c r="E651" s="39"/>
      <c r="F651" s="40"/>
      <c r="G651" s="40"/>
      <c r="H651" s="41"/>
      <c r="I651" s="39"/>
      <c r="J651" s="40"/>
      <c r="K651" s="40"/>
      <c r="L651" s="41"/>
      <c r="M651" s="39"/>
      <c r="N651" s="40"/>
      <c r="O651" s="40"/>
      <c r="P651" s="39"/>
      <c r="Q651" s="39"/>
      <c r="R651" s="40"/>
      <c r="S651" s="40"/>
      <c r="T651" s="39"/>
      <c r="U651" s="39"/>
      <c r="V651" s="40"/>
      <c r="W651" s="40"/>
      <c r="X651" s="41"/>
      <c r="Y651" s="41"/>
      <c r="Z651" s="40"/>
      <c r="AA651" s="40"/>
      <c r="AB651" s="41"/>
      <c r="AC651" s="41"/>
      <c r="AD651" s="40"/>
      <c r="AE651" s="40"/>
      <c r="AF651" s="42"/>
      <c r="AG651" s="42"/>
      <c r="AH651" s="40"/>
      <c r="AI651" s="40"/>
      <c r="AJ651" s="42"/>
      <c r="AK651" s="42"/>
      <c r="AL651" s="40"/>
      <c r="AM651" s="40"/>
      <c r="AN651" s="40"/>
      <c r="AO651" s="40"/>
      <c r="AP651" s="40"/>
      <c r="AQ651" s="40"/>
      <c r="AR651" s="39"/>
      <c r="AS651" s="39"/>
      <c r="AT651" s="40"/>
      <c r="AU651" s="40"/>
      <c r="AV651" s="23"/>
    </row>
    <row r="652" spans="1:48" ht="15.75" x14ac:dyDescent="0.25">
      <c r="A652" s="44"/>
      <c r="B652" s="23"/>
      <c r="C652" s="23"/>
      <c r="D652" s="39"/>
      <c r="E652" s="39"/>
      <c r="F652" s="40"/>
      <c r="G652" s="40"/>
      <c r="H652" s="41"/>
      <c r="I652" s="39"/>
      <c r="J652" s="40"/>
      <c r="K652" s="40"/>
      <c r="L652" s="41"/>
      <c r="M652" s="39"/>
      <c r="N652" s="40"/>
      <c r="O652" s="40"/>
      <c r="P652" s="39"/>
      <c r="Q652" s="39"/>
      <c r="R652" s="40"/>
      <c r="S652" s="40"/>
      <c r="T652" s="39"/>
      <c r="U652" s="39"/>
      <c r="V652" s="40"/>
      <c r="W652" s="40"/>
      <c r="X652" s="41"/>
      <c r="Y652" s="41"/>
      <c r="Z652" s="40"/>
      <c r="AA652" s="40"/>
      <c r="AB652" s="41"/>
      <c r="AC652" s="41"/>
      <c r="AD652" s="40"/>
      <c r="AE652" s="40"/>
      <c r="AF652" s="42"/>
      <c r="AG652" s="42"/>
      <c r="AH652" s="40"/>
      <c r="AI652" s="40"/>
      <c r="AJ652" s="42"/>
      <c r="AK652" s="42"/>
      <c r="AL652" s="40"/>
      <c r="AM652" s="40"/>
      <c r="AN652" s="40"/>
      <c r="AO652" s="40"/>
      <c r="AP652" s="40"/>
      <c r="AQ652" s="40"/>
      <c r="AR652" s="39"/>
      <c r="AS652" s="39"/>
      <c r="AT652" s="40"/>
      <c r="AU652" s="40"/>
      <c r="AV652" s="23"/>
    </row>
    <row r="653" spans="1:48" ht="15.75" x14ac:dyDescent="0.25">
      <c r="A653" s="44"/>
      <c r="B653" s="23"/>
      <c r="C653" s="23"/>
      <c r="D653" s="39"/>
      <c r="E653" s="39"/>
      <c r="F653" s="40"/>
      <c r="G653" s="40"/>
      <c r="H653" s="41"/>
      <c r="I653" s="39"/>
      <c r="J653" s="40"/>
      <c r="K653" s="40"/>
      <c r="L653" s="41"/>
      <c r="M653" s="39"/>
      <c r="N653" s="40"/>
      <c r="O653" s="40"/>
      <c r="P653" s="39"/>
      <c r="Q653" s="39"/>
      <c r="R653" s="40"/>
      <c r="S653" s="40"/>
      <c r="T653" s="39"/>
      <c r="U653" s="39"/>
      <c r="V653" s="40"/>
      <c r="W653" s="40"/>
      <c r="X653" s="41"/>
      <c r="Y653" s="41"/>
      <c r="Z653" s="40"/>
      <c r="AA653" s="40"/>
      <c r="AB653" s="41"/>
      <c r="AC653" s="41"/>
      <c r="AD653" s="40"/>
      <c r="AE653" s="40"/>
      <c r="AF653" s="42"/>
      <c r="AG653" s="42"/>
      <c r="AH653" s="40"/>
      <c r="AI653" s="40"/>
      <c r="AJ653" s="42"/>
      <c r="AK653" s="42"/>
      <c r="AL653" s="40"/>
      <c r="AM653" s="40"/>
      <c r="AN653" s="40"/>
      <c r="AO653" s="40"/>
      <c r="AP653" s="40"/>
      <c r="AQ653" s="40"/>
      <c r="AR653" s="39"/>
      <c r="AS653" s="39"/>
      <c r="AT653" s="40"/>
      <c r="AU653" s="40"/>
      <c r="AV653" s="23"/>
    </row>
    <row r="654" spans="1:48" ht="15.75" x14ac:dyDescent="0.25">
      <c r="A654" s="44"/>
      <c r="B654" s="23"/>
      <c r="C654" s="23"/>
      <c r="D654" s="39"/>
      <c r="E654" s="39"/>
      <c r="F654" s="40"/>
      <c r="G654" s="40"/>
      <c r="H654" s="41"/>
      <c r="I654" s="39"/>
      <c r="J654" s="40"/>
      <c r="K654" s="40"/>
      <c r="L654" s="41"/>
      <c r="M654" s="39"/>
      <c r="N654" s="40"/>
      <c r="O654" s="40"/>
      <c r="P654" s="39"/>
      <c r="Q654" s="39"/>
      <c r="R654" s="40"/>
      <c r="S654" s="40"/>
      <c r="T654" s="39"/>
      <c r="U654" s="39"/>
      <c r="V654" s="40"/>
      <c r="W654" s="40"/>
      <c r="X654" s="41"/>
      <c r="Y654" s="41"/>
      <c r="Z654" s="40"/>
      <c r="AA654" s="40"/>
      <c r="AB654" s="41"/>
      <c r="AC654" s="41"/>
      <c r="AD654" s="40"/>
      <c r="AE654" s="40"/>
      <c r="AF654" s="42"/>
      <c r="AG654" s="42"/>
      <c r="AH654" s="40"/>
      <c r="AI654" s="40"/>
      <c r="AJ654" s="42"/>
      <c r="AK654" s="42"/>
      <c r="AL654" s="40"/>
      <c r="AM654" s="40"/>
      <c r="AN654" s="40"/>
      <c r="AO654" s="40"/>
      <c r="AP654" s="40"/>
      <c r="AQ654" s="40"/>
      <c r="AR654" s="39"/>
      <c r="AS654" s="39"/>
      <c r="AT654" s="40"/>
      <c r="AU654" s="40"/>
      <c r="AV654" s="23"/>
    </row>
    <row r="655" spans="1:48" ht="15.75" x14ac:dyDescent="0.25">
      <c r="A655" s="44"/>
      <c r="B655" s="23"/>
      <c r="C655" s="23"/>
      <c r="D655" s="39"/>
      <c r="E655" s="39"/>
      <c r="F655" s="40"/>
      <c r="G655" s="40"/>
      <c r="H655" s="41"/>
      <c r="I655" s="39"/>
      <c r="J655" s="40"/>
      <c r="K655" s="40"/>
      <c r="L655" s="41"/>
      <c r="M655" s="39"/>
      <c r="N655" s="40"/>
      <c r="O655" s="40"/>
      <c r="P655" s="39"/>
      <c r="Q655" s="39"/>
      <c r="R655" s="40"/>
      <c r="S655" s="40"/>
      <c r="T655" s="39"/>
      <c r="U655" s="39"/>
      <c r="V655" s="40"/>
      <c r="W655" s="40"/>
      <c r="X655" s="41"/>
      <c r="Y655" s="41"/>
      <c r="Z655" s="40"/>
      <c r="AA655" s="40"/>
      <c r="AB655" s="41"/>
      <c r="AC655" s="41"/>
      <c r="AD655" s="40"/>
      <c r="AE655" s="40"/>
      <c r="AF655" s="42"/>
      <c r="AG655" s="42"/>
      <c r="AH655" s="40"/>
      <c r="AI655" s="40"/>
      <c r="AJ655" s="42"/>
      <c r="AK655" s="42"/>
      <c r="AL655" s="40"/>
      <c r="AM655" s="40"/>
      <c r="AN655" s="40"/>
      <c r="AO655" s="40"/>
      <c r="AP655" s="40"/>
      <c r="AQ655" s="40"/>
      <c r="AR655" s="39"/>
      <c r="AS655" s="39"/>
      <c r="AT655" s="40"/>
      <c r="AU655" s="40"/>
      <c r="AV655" s="23"/>
    </row>
    <row r="656" spans="1:48" ht="15.75" x14ac:dyDescent="0.25">
      <c r="A656" s="44"/>
      <c r="B656" s="23"/>
      <c r="C656" s="23"/>
      <c r="D656" s="39"/>
      <c r="E656" s="39"/>
      <c r="F656" s="40"/>
      <c r="G656" s="40"/>
      <c r="H656" s="41"/>
      <c r="I656" s="39"/>
      <c r="J656" s="40"/>
      <c r="K656" s="40"/>
      <c r="L656" s="41"/>
      <c r="M656" s="39"/>
      <c r="N656" s="40"/>
      <c r="O656" s="40"/>
      <c r="P656" s="39"/>
      <c r="Q656" s="39"/>
      <c r="R656" s="40"/>
      <c r="S656" s="40"/>
      <c r="T656" s="39"/>
      <c r="U656" s="39"/>
      <c r="V656" s="40"/>
      <c r="W656" s="40"/>
      <c r="X656" s="41"/>
      <c r="Y656" s="41"/>
      <c r="Z656" s="40"/>
      <c r="AA656" s="40"/>
      <c r="AB656" s="41"/>
      <c r="AC656" s="41"/>
      <c r="AD656" s="40"/>
      <c r="AE656" s="40"/>
      <c r="AF656" s="42"/>
      <c r="AG656" s="42"/>
      <c r="AH656" s="40"/>
      <c r="AI656" s="40"/>
      <c r="AJ656" s="42"/>
      <c r="AK656" s="42"/>
      <c r="AL656" s="40"/>
      <c r="AM656" s="40"/>
      <c r="AN656" s="40"/>
      <c r="AO656" s="40"/>
      <c r="AP656" s="40"/>
      <c r="AQ656" s="40"/>
      <c r="AR656" s="39"/>
      <c r="AS656" s="39"/>
      <c r="AT656" s="40"/>
      <c r="AU656" s="40"/>
      <c r="AV656" s="23"/>
    </row>
    <row r="657" spans="1:48" ht="15.75" x14ac:dyDescent="0.25">
      <c r="A657" s="44"/>
      <c r="B657" s="23"/>
      <c r="C657" s="23"/>
      <c r="D657" s="39"/>
      <c r="E657" s="39"/>
      <c r="F657" s="40"/>
      <c r="G657" s="40"/>
      <c r="H657" s="41"/>
      <c r="I657" s="39"/>
      <c r="J657" s="40"/>
      <c r="K657" s="40"/>
      <c r="L657" s="41"/>
      <c r="M657" s="39"/>
      <c r="N657" s="40"/>
      <c r="O657" s="40"/>
      <c r="P657" s="39"/>
      <c r="Q657" s="39"/>
      <c r="R657" s="40"/>
      <c r="S657" s="40"/>
      <c r="T657" s="39"/>
      <c r="U657" s="39"/>
      <c r="V657" s="40"/>
      <c r="W657" s="40"/>
      <c r="X657" s="41"/>
      <c r="Y657" s="41"/>
      <c r="Z657" s="40"/>
      <c r="AA657" s="40"/>
      <c r="AB657" s="41"/>
      <c r="AC657" s="41"/>
      <c r="AD657" s="40"/>
      <c r="AE657" s="40"/>
      <c r="AF657" s="42"/>
      <c r="AG657" s="42"/>
      <c r="AH657" s="40"/>
      <c r="AI657" s="40"/>
      <c r="AJ657" s="42"/>
      <c r="AK657" s="42"/>
      <c r="AL657" s="40"/>
      <c r="AM657" s="40"/>
      <c r="AN657" s="40"/>
      <c r="AO657" s="40"/>
      <c r="AP657" s="40"/>
      <c r="AQ657" s="40"/>
      <c r="AR657" s="39"/>
      <c r="AS657" s="39"/>
      <c r="AT657" s="40"/>
      <c r="AU657" s="40"/>
      <c r="AV657" s="23"/>
    </row>
    <row r="658" spans="1:48" ht="15.75" x14ac:dyDescent="0.25">
      <c r="A658" s="44"/>
      <c r="B658" s="23"/>
      <c r="C658" s="23"/>
      <c r="D658" s="39"/>
      <c r="E658" s="39"/>
      <c r="F658" s="40"/>
      <c r="G658" s="40"/>
      <c r="H658" s="41"/>
      <c r="I658" s="39"/>
      <c r="J658" s="40"/>
      <c r="K658" s="40"/>
      <c r="L658" s="41"/>
      <c r="M658" s="39"/>
      <c r="N658" s="40"/>
      <c r="O658" s="40"/>
      <c r="P658" s="39"/>
      <c r="Q658" s="39"/>
      <c r="R658" s="40"/>
      <c r="S658" s="40"/>
      <c r="T658" s="39"/>
      <c r="U658" s="39"/>
      <c r="V658" s="40"/>
      <c r="W658" s="40"/>
      <c r="X658" s="41"/>
      <c r="Y658" s="41"/>
      <c r="Z658" s="40"/>
      <c r="AA658" s="40"/>
      <c r="AB658" s="41"/>
      <c r="AC658" s="41"/>
      <c r="AD658" s="40"/>
      <c r="AE658" s="40"/>
      <c r="AF658" s="42"/>
      <c r="AG658" s="42"/>
      <c r="AH658" s="40"/>
      <c r="AI658" s="40"/>
      <c r="AJ658" s="42"/>
      <c r="AK658" s="42"/>
      <c r="AL658" s="40"/>
      <c r="AM658" s="40"/>
      <c r="AN658" s="40"/>
      <c r="AO658" s="40"/>
      <c r="AP658" s="40"/>
      <c r="AQ658" s="40"/>
      <c r="AR658" s="39"/>
      <c r="AS658" s="39"/>
      <c r="AT658" s="40"/>
      <c r="AU658" s="40"/>
      <c r="AV658" s="23"/>
    </row>
    <row r="659" spans="1:48" ht="15.75" x14ac:dyDescent="0.25">
      <c r="A659" s="44"/>
      <c r="B659" s="23"/>
      <c r="C659" s="23"/>
      <c r="D659" s="39"/>
      <c r="E659" s="39"/>
      <c r="F659" s="40"/>
      <c r="G659" s="40"/>
      <c r="H659" s="41"/>
      <c r="I659" s="39"/>
      <c r="J659" s="40"/>
      <c r="K659" s="40"/>
      <c r="L659" s="41"/>
      <c r="M659" s="39"/>
      <c r="N659" s="40"/>
      <c r="O659" s="40"/>
      <c r="P659" s="39"/>
      <c r="Q659" s="39"/>
      <c r="R659" s="40"/>
      <c r="S659" s="40"/>
      <c r="T659" s="39"/>
      <c r="U659" s="39"/>
      <c r="V659" s="40"/>
      <c r="W659" s="40"/>
      <c r="X659" s="41"/>
      <c r="Y659" s="41"/>
      <c r="Z659" s="40"/>
      <c r="AA659" s="40"/>
      <c r="AB659" s="41"/>
      <c r="AC659" s="41"/>
      <c r="AD659" s="40"/>
      <c r="AE659" s="40"/>
      <c r="AF659" s="42"/>
      <c r="AG659" s="42"/>
      <c r="AH659" s="40"/>
      <c r="AI659" s="40"/>
      <c r="AJ659" s="42"/>
      <c r="AK659" s="42"/>
      <c r="AL659" s="40"/>
      <c r="AM659" s="40"/>
      <c r="AN659" s="40"/>
      <c r="AO659" s="40"/>
      <c r="AP659" s="40"/>
      <c r="AQ659" s="40"/>
      <c r="AR659" s="39"/>
      <c r="AS659" s="39"/>
      <c r="AT659" s="40"/>
      <c r="AU659" s="40"/>
      <c r="AV659" s="23"/>
    </row>
    <row r="660" spans="1:48" ht="15.75" x14ac:dyDescent="0.25">
      <c r="A660" s="44"/>
      <c r="B660" s="23"/>
      <c r="C660" s="23"/>
      <c r="D660" s="39"/>
      <c r="E660" s="39"/>
      <c r="F660" s="40"/>
      <c r="G660" s="40"/>
      <c r="H660" s="41"/>
      <c r="I660" s="39"/>
      <c r="J660" s="40"/>
      <c r="K660" s="40"/>
      <c r="L660" s="41"/>
      <c r="M660" s="39"/>
      <c r="N660" s="40"/>
      <c r="O660" s="40"/>
      <c r="P660" s="39"/>
      <c r="Q660" s="39"/>
      <c r="R660" s="40"/>
      <c r="S660" s="40"/>
      <c r="T660" s="39"/>
      <c r="U660" s="39"/>
      <c r="V660" s="40"/>
      <c r="W660" s="40"/>
      <c r="X660" s="41"/>
      <c r="Y660" s="41"/>
      <c r="Z660" s="40"/>
      <c r="AA660" s="40"/>
      <c r="AB660" s="41"/>
      <c r="AC660" s="41"/>
      <c r="AD660" s="40"/>
      <c r="AE660" s="40"/>
      <c r="AF660" s="42"/>
      <c r="AG660" s="42"/>
      <c r="AH660" s="40"/>
      <c r="AI660" s="40"/>
      <c r="AJ660" s="42"/>
      <c r="AK660" s="42"/>
      <c r="AL660" s="40"/>
      <c r="AM660" s="40"/>
      <c r="AN660" s="40"/>
      <c r="AO660" s="40"/>
      <c r="AP660" s="40"/>
      <c r="AQ660" s="40"/>
      <c r="AR660" s="39"/>
      <c r="AS660" s="39"/>
      <c r="AT660" s="40"/>
      <c r="AU660" s="40"/>
      <c r="AV660" s="23"/>
    </row>
    <row r="661" spans="1:48" ht="15.75" x14ac:dyDescent="0.25">
      <c r="A661" s="44"/>
      <c r="B661" s="23"/>
      <c r="C661" s="23"/>
      <c r="D661" s="39"/>
      <c r="E661" s="39"/>
      <c r="F661" s="40"/>
      <c r="G661" s="40"/>
      <c r="H661" s="41"/>
      <c r="I661" s="39"/>
      <c r="J661" s="40"/>
      <c r="K661" s="40"/>
      <c r="L661" s="41"/>
      <c r="M661" s="39"/>
      <c r="N661" s="40"/>
      <c r="O661" s="40"/>
      <c r="P661" s="39"/>
      <c r="Q661" s="39"/>
      <c r="R661" s="40"/>
      <c r="S661" s="40"/>
      <c r="T661" s="39"/>
      <c r="U661" s="39"/>
      <c r="V661" s="40"/>
      <c r="W661" s="40"/>
      <c r="X661" s="41"/>
      <c r="Y661" s="41"/>
      <c r="Z661" s="40"/>
      <c r="AA661" s="40"/>
      <c r="AB661" s="41"/>
      <c r="AC661" s="41"/>
      <c r="AD661" s="40"/>
      <c r="AE661" s="40"/>
      <c r="AF661" s="42"/>
      <c r="AG661" s="42"/>
      <c r="AH661" s="40"/>
      <c r="AI661" s="40"/>
      <c r="AJ661" s="42"/>
      <c r="AK661" s="42"/>
      <c r="AL661" s="40"/>
      <c r="AM661" s="40"/>
      <c r="AN661" s="40"/>
      <c r="AO661" s="40"/>
      <c r="AP661" s="40"/>
      <c r="AQ661" s="40"/>
      <c r="AR661" s="39"/>
      <c r="AS661" s="39"/>
      <c r="AT661" s="40"/>
      <c r="AU661" s="40"/>
      <c r="AV661" s="23"/>
    </row>
    <row r="662" spans="1:48" ht="15.75" x14ac:dyDescent="0.25">
      <c r="A662" s="44"/>
      <c r="B662" s="23"/>
      <c r="C662" s="23"/>
      <c r="D662" s="39"/>
      <c r="E662" s="39"/>
      <c r="F662" s="40"/>
      <c r="G662" s="40"/>
      <c r="H662" s="41"/>
      <c r="I662" s="39"/>
      <c r="J662" s="40"/>
      <c r="K662" s="40"/>
      <c r="L662" s="41"/>
      <c r="M662" s="39"/>
      <c r="N662" s="40"/>
      <c r="O662" s="40"/>
      <c r="P662" s="39"/>
      <c r="Q662" s="39"/>
      <c r="R662" s="40"/>
      <c r="S662" s="40"/>
      <c r="T662" s="39"/>
      <c r="U662" s="39"/>
      <c r="V662" s="40"/>
      <c r="W662" s="40"/>
      <c r="X662" s="41"/>
      <c r="Y662" s="41"/>
      <c r="Z662" s="40"/>
      <c r="AA662" s="40"/>
      <c r="AB662" s="41"/>
      <c r="AC662" s="41"/>
      <c r="AD662" s="40"/>
      <c r="AE662" s="40"/>
      <c r="AF662" s="42"/>
      <c r="AG662" s="42"/>
      <c r="AH662" s="40"/>
      <c r="AI662" s="40"/>
      <c r="AJ662" s="42"/>
      <c r="AK662" s="42"/>
      <c r="AL662" s="40"/>
      <c r="AM662" s="40"/>
      <c r="AN662" s="40"/>
      <c r="AO662" s="40"/>
      <c r="AP662" s="40"/>
      <c r="AQ662" s="40"/>
      <c r="AR662" s="39"/>
      <c r="AS662" s="39"/>
      <c r="AT662" s="40"/>
      <c r="AU662" s="40"/>
      <c r="AV662" s="23"/>
    </row>
    <row r="663" spans="1:48" ht="15.75" x14ac:dyDescent="0.25">
      <c r="A663" s="44"/>
      <c r="B663" s="23"/>
      <c r="C663" s="23"/>
      <c r="D663" s="39"/>
      <c r="E663" s="39"/>
      <c r="F663" s="40"/>
      <c r="G663" s="40"/>
      <c r="H663" s="41"/>
      <c r="I663" s="39"/>
      <c r="J663" s="40"/>
      <c r="K663" s="40"/>
      <c r="L663" s="41"/>
      <c r="M663" s="39"/>
      <c r="N663" s="40"/>
      <c r="O663" s="40"/>
      <c r="P663" s="39"/>
      <c r="Q663" s="39"/>
      <c r="R663" s="40"/>
      <c r="S663" s="40"/>
      <c r="T663" s="39"/>
      <c r="U663" s="39"/>
      <c r="V663" s="40"/>
      <c r="W663" s="40"/>
      <c r="X663" s="41"/>
      <c r="Y663" s="41"/>
      <c r="Z663" s="40"/>
      <c r="AA663" s="40"/>
      <c r="AB663" s="41"/>
      <c r="AC663" s="41"/>
      <c r="AD663" s="40"/>
      <c r="AE663" s="40"/>
      <c r="AF663" s="42"/>
      <c r="AG663" s="42"/>
      <c r="AH663" s="40"/>
      <c r="AI663" s="40"/>
      <c r="AJ663" s="42"/>
      <c r="AK663" s="42"/>
      <c r="AL663" s="40"/>
      <c r="AM663" s="40"/>
      <c r="AN663" s="40"/>
      <c r="AO663" s="40"/>
      <c r="AP663" s="40"/>
      <c r="AQ663" s="40"/>
      <c r="AR663" s="39"/>
      <c r="AS663" s="39"/>
      <c r="AT663" s="40"/>
      <c r="AU663" s="40"/>
      <c r="AV663" s="23"/>
    </row>
    <row r="664" spans="1:48" ht="15.75" x14ac:dyDescent="0.25">
      <c r="A664" s="44"/>
      <c r="B664" s="23"/>
      <c r="C664" s="23"/>
      <c r="D664" s="39"/>
      <c r="E664" s="39"/>
      <c r="F664" s="40"/>
      <c r="G664" s="40"/>
      <c r="H664" s="41"/>
      <c r="I664" s="39"/>
      <c r="J664" s="40"/>
      <c r="K664" s="40"/>
      <c r="L664" s="41"/>
      <c r="M664" s="39"/>
      <c r="N664" s="40"/>
      <c r="O664" s="40"/>
      <c r="P664" s="39"/>
      <c r="Q664" s="39"/>
      <c r="R664" s="40"/>
      <c r="S664" s="40"/>
      <c r="T664" s="39"/>
      <c r="U664" s="39"/>
      <c r="V664" s="40"/>
      <c r="W664" s="40"/>
      <c r="X664" s="41"/>
      <c r="Y664" s="41"/>
      <c r="Z664" s="40"/>
      <c r="AA664" s="40"/>
      <c r="AB664" s="41"/>
      <c r="AC664" s="41"/>
      <c r="AD664" s="40"/>
      <c r="AE664" s="40"/>
      <c r="AF664" s="42"/>
      <c r="AG664" s="42"/>
      <c r="AH664" s="40"/>
      <c r="AI664" s="40"/>
      <c r="AJ664" s="42"/>
      <c r="AK664" s="42"/>
      <c r="AL664" s="40"/>
      <c r="AM664" s="40"/>
      <c r="AN664" s="40"/>
      <c r="AO664" s="40"/>
      <c r="AP664" s="40"/>
      <c r="AQ664" s="40"/>
      <c r="AR664" s="39"/>
      <c r="AS664" s="39"/>
      <c r="AT664" s="40"/>
      <c r="AU664" s="40"/>
      <c r="AV664" s="23"/>
    </row>
    <row r="665" spans="1:48" ht="15.75" x14ac:dyDescent="0.25">
      <c r="A665" s="44"/>
      <c r="B665" s="23"/>
      <c r="C665" s="23"/>
      <c r="D665" s="39"/>
      <c r="E665" s="39"/>
      <c r="F665" s="40"/>
      <c r="G665" s="40"/>
      <c r="H665" s="41"/>
      <c r="I665" s="39"/>
      <c r="J665" s="40"/>
      <c r="K665" s="40"/>
      <c r="L665" s="41"/>
      <c r="M665" s="39"/>
      <c r="N665" s="40"/>
      <c r="O665" s="40"/>
      <c r="P665" s="39"/>
      <c r="Q665" s="39"/>
      <c r="R665" s="40"/>
      <c r="S665" s="40"/>
      <c r="T665" s="39"/>
      <c r="U665" s="39"/>
      <c r="V665" s="40"/>
      <c r="W665" s="40"/>
      <c r="X665" s="41"/>
      <c r="Y665" s="41"/>
      <c r="Z665" s="40"/>
      <c r="AA665" s="40"/>
      <c r="AB665" s="41"/>
      <c r="AC665" s="41"/>
      <c r="AD665" s="40"/>
      <c r="AE665" s="40"/>
      <c r="AF665" s="42"/>
      <c r="AG665" s="42"/>
      <c r="AH665" s="40"/>
      <c r="AI665" s="40"/>
      <c r="AJ665" s="42"/>
      <c r="AK665" s="42"/>
      <c r="AL665" s="40"/>
      <c r="AM665" s="40"/>
      <c r="AN665" s="40"/>
      <c r="AO665" s="40"/>
      <c r="AP665" s="40"/>
      <c r="AQ665" s="40"/>
      <c r="AR665" s="39"/>
      <c r="AS665" s="39"/>
      <c r="AT665" s="40"/>
      <c r="AU665" s="40"/>
      <c r="AV665" s="23"/>
    </row>
    <row r="666" spans="1:48" ht="15.75" x14ac:dyDescent="0.25">
      <c r="A666" s="44"/>
      <c r="B666" s="23"/>
      <c r="C666" s="23"/>
      <c r="D666" s="39"/>
      <c r="E666" s="39"/>
      <c r="F666" s="40"/>
      <c r="G666" s="40"/>
      <c r="H666" s="41"/>
      <c r="I666" s="39"/>
      <c r="J666" s="40"/>
      <c r="K666" s="40"/>
      <c r="L666" s="41"/>
      <c r="M666" s="39"/>
      <c r="N666" s="40"/>
      <c r="O666" s="40"/>
      <c r="P666" s="39"/>
      <c r="Q666" s="39"/>
      <c r="R666" s="40"/>
      <c r="S666" s="40"/>
      <c r="T666" s="39"/>
      <c r="U666" s="39"/>
      <c r="V666" s="40"/>
      <c r="W666" s="40"/>
      <c r="X666" s="41"/>
      <c r="Y666" s="41"/>
      <c r="Z666" s="40"/>
      <c r="AA666" s="40"/>
      <c r="AB666" s="41"/>
      <c r="AC666" s="41"/>
      <c r="AD666" s="40"/>
      <c r="AE666" s="40"/>
      <c r="AF666" s="42"/>
      <c r="AG666" s="42"/>
      <c r="AH666" s="40"/>
      <c r="AI666" s="40"/>
      <c r="AJ666" s="42"/>
      <c r="AK666" s="42"/>
      <c r="AL666" s="40"/>
      <c r="AM666" s="40"/>
      <c r="AN666" s="40"/>
      <c r="AO666" s="40"/>
      <c r="AP666" s="40"/>
      <c r="AQ666" s="40"/>
      <c r="AR666" s="39"/>
      <c r="AS666" s="39"/>
      <c r="AT666" s="40"/>
      <c r="AU666" s="40"/>
      <c r="AV666" s="23"/>
    </row>
    <row r="667" spans="1:48" ht="15.75" x14ac:dyDescent="0.25">
      <c r="A667" s="44"/>
      <c r="B667" s="23"/>
      <c r="C667" s="23"/>
      <c r="D667" s="39"/>
      <c r="E667" s="39"/>
      <c r="F667" s="40"/>
      <c r="G667" s="40"/>
      <c r="H667" s="41"/>
      <c r="I667" s="39"/>
      <c r="J667" s="40"/>
      <c r="K667" s="40"/>
      <c r="L667" s="41"/>
      <c r="M667" s="39"/>
      <c r="N667" s="40"/>
      <c r="O667" s="40"/>
      <c r="P667" s="39"/>
      <c r="Q667" s="39"/>
      <c r="R667" s="40"/>
      <c r="S667" s="40"/>
      <c r="T667" s="39"/>
      <c r="U667" s="39"/>
      <c r="V667" s="40"/>
      <c r="W667" s="40"/>
      <c r="X667" s="41"/>
      <c r="Y667" s="41"/>
      <c r="Z667" s="40"/>
      <c r="AA667" s="40"/>
      <c r="AB667" s="41"/>
      <c r="AC667" s="41"/>
      <c r="AD667" s="40"/>
      <c r="AE667" s="40"/>
      <c r="AF667" s="42"/>
      <c r="AG667" s="42"/>
      <c r="AH667" s="40"/>
      <c r="AI667" s="40"/>
      <c r="AJ667" s="42"/>
      <c r="AK667" s="42"/>
      <c r="AL667" s="40"/>
      <c r="AM667" s="40"/>
      <c r="AN667" s="40"/>
      <c r="AO667" s="40"/>
      <c r="AP667" s="40"/>
      <c r="AQ667" s="40"/>
      <c r="AR667" s="39"/>
      <c r="AS667" s="39"/>
      <c r="AT667" s="40"/>
      <c r="AU667" s="40"/>
      <c r="AV667" s="23"/>
    </row>
    <row r="668" spans="1:48" ht="15.75" x14ac:dyDescent="0.25">
      <c r="A668" s="44"/>
      <c r="B668" s="23"/>
      <c r="C668" s="23"/>
      <c r="D668" s="39"/>
      <c r="E668" s="39"/>
      <c r="F668" s="40"/>
      <c r="G668" s="40"/>
      <c r="H668" s="41"/>
      <c r="I668" s="39"/>
      <c r="J668" s="40"/>
      <c r="K668" s="40"/>
      <c r="L668" s="41"/>
      <c r="M668" s="39"/>
      <c r="N668" s="40"/>
      <c r="O668" s="40"/>
      <c r="P668" s="39"/>
      <c r="Q668" s="39"/>
      <c r="R668" s="40"/>
      <c r="S668" s="40"/>
      <c r="T668" s="39"/>
      <c r="U668" s="39"/>
      <c r="V668" s="40"/>
      <c r="W668" s="40"/>
      <c r="X668" s="41"/>
      <c r="Y668" s="41"/>
      <c r="Z668" s="40"/>
      <c r="AA668" s="40"/>
      <c r="AB668" s="41"/>
      <c r="AC668" s="41"/>
      <c r="AD668" s="40"/>
      <c r="AE668" s="40"/>
      <c r="AF668" s="42"/>
      <c r="AG668" s="42"/>
      <c r="AH668" s="40"/>
      <c r="AI668" s="40"/>
      <c r="AJ668" s="42"/>
      <c r="AK668" s="42"/>
      <c r="AL668" s="40"/>
      <c r="AM668" s="40"/>
      <c r="AN668" s="40"/>
      <c r="AO668" s="40"/>
      <c r="AP668" s="40"/>
      <c r="AQ668" s="40"/>
      <c r="AR668" s="39"/>
      <c r="AS668" s="39"/>
      <c r="AT668" s="40"/>
      <c r="AU668" s="40"/>
      <c r="AV668" s="23"/>
    </row>
    <row r="669" spans="1:48" ht="15.75" x14ac:dyDescent="0.25">
      <c r="A669" s="44"/>
      <c r="B669" s="23"/>
      <c r="C669" s="23"/>
      <c r="D669" s="39"/>
      <c r="E669" s="39"/>
      <c r="F669" s="40"/>
      <c r="G669" s="40"/>
      <c r="H669" s="41"/>
      <c r="I669" s="39"/>
      <c r="J669" s="40"/>
      <c r="K669" s="40"/>
      <c r="L669" s="41"/>
      <c r="M669" s="39"/>
      <c r="N669" s="40"/>
      <c r="O669" s="40"/>
      <c r="P669" s="39"/>
      <c r="Q669" s="39"/>
      <c r="R669" s="40"/>
      <c r="S669" s="40"/>
      <c r="T669" s="39"/>
      <c r="U669" s="39"/>
      <c r="V669" s="40"/>
      <c r="W669" s="40"/>
      <c r="X669" s="41"/>
      <c r="Y669" s="41"/>
      <c r="Z669" s="40"/>
      <c r="AA669" s="40"/>
      <c r="AB669" s="41"/>
      <c r="AC669" s="41"/>
      <c r="AD669" s="40"/>
      <c r="AE669" s="40"/>
      <c r="AF669" s="42"/>
      <c r="AG669" s="42"/>
      <c r="AH669" s="40"/>
      <c r="AI669" s="40"/>
      <c r="AJ669" s="42"/>
      <c r="AK669" s="42"/>
      <c r="AL669" s="40"/>
      <c r="AM669" s="40"/>
      <c r="AN669" s="40"/>
      <c r="AO669" s="40"/>
      <c r="AP669" s="40"/>
      <c r="AQ669" s="40"/>
      <c r="AR669" s="39"/>
      <c r="AS669" s="39"/>
      <c r="AT669" s="40"/>
      <c r="AU669" s="40"/>
      <c r="AV669" s="23"/>
    </row>
    <row r="670" spans="1:48" ht="15.75" x14ac:dyDescent="0.25">
      <c r="A670" s="44"/>
      <c r="B670" s="23"/>
      <c r="C670" s="23"/>
      <c r="D670" s="39"/>
      <c r="E670" s="39"/>
      <c r="F670" s="40"/>
      <c r="G670" s="40"/>
      <c r="H670" s="41"/>
      <c r="I670" s="39"/>
      <c r="J670" s="40"/>
      <c r="K670" s="40"/>
      <c r="L670" s="41"/>
      <c r="M670" s="39"/>
      <c r="N670" s="40"/>
      <c r="O670" s="40"/>
      <c r="P670" s="39"/>
      <c r="Q670" s="39"/>
      <c r="R670" s="40"/>
      <c r="S670" s="40"/>
      <c r="T670" s="39"/>
      <c r="U670" s="39"/>
      <c r="V670" s="40"/>
      <c r="W670" s="40"/>
      <c r="X670" s="41"/>
      <c r="Y670" s="41"/>
      <c r="Z670" s="40"/>
      <c r="AA670" s="40"/>
      <c r="AB670" s="41"/>
      <c r="AC670" s="41"/>
      <c r="AD670" s="40"/>
      <c r="AE670" s="40"/>
      <c r="AF670" s="42"/>
      <c r="AG670" s="42"/>
      <c r="AH670" s="40"/>
      <c r="AI670" s="40"/>
      <c r="AJ670" s="42"/>
      <c r="AK670" s="42"/>
      <c r="AL670" s="40"/>
      <c r="AM670" s="40"/>
      <c r="AN670" s="40"/>
      <c r="AO670" s="40"/>
      <c r="AP670" s="40"/>
      <c r="AQ670" s="40"/>
      <c r="AR670" s="39"/>
      <c r="AS670" s="39"/>
      <c r="AT670" s="40"/>
      <c r="AU670" s="40"/>
      <c r="AV670" s="23"/>
    </row>
    <row r="671" spans="1:48" ht="15.75" x14ac:dyDescent="0.25">
      <c r="A671" s="44"/>
      <c r="B671" s="23"/>
      <c r="C671" s="23"/>
      <c r="D671" s="39"/>
      <c r="E671" s="39"/>
      <c r="F671" s="40"/>
      <c r="G671" s="40"/>
      <c r="H671" s="41"/>
      <c r="I671" s="39"/>
      <c r="J671" s="40"/>
      <c r="K671" s="40"/>
      <c r="L671" s="41"/>
      <c r="M671" s="39"/>
      <c r="N671" s="40"/>
      <c r="O671" s="40"/>
      <c r="P671" s="39"/>
      <c r="Q671" s="39"/>
      <c r="R671" s="40"/>
      <c r="S671" s="40"/>
      <c r="T671" s="39"/>
      <c r="U671" s="39"/>
      <c r="V671" s="40"/>
      <c r="W671" s="40"/>
      <c r="X671" s="41"/>
      <c r="Y671" s="41"/>
      <c r="Z671" s="40"/>
      <c r="AA671" s="40"/>
      <c r="AB671" s="41"/>
      <c r="AC671" s="41"/>
      <c r="AD671" s="40"/>
      <c r="AE671" s="40"/>
      <c r="AF671" s="42"/>
      <c r="AG671" s="42"/>
      <c r="AH671" s="40"/>
      <c r="AI671" s="40"/>
      <c r="AJ671" s="42"/>
      <c r="AK671" s="42"/>
      <c r="AL671" s="40"/>
      <c r="AM671" s="40"/>
      <c r="AN671" s="40"/>
      <c r="AO671" s="40"/>
      <c r="AP671" s="40"/>
      <c r="AQ671" s="40"/>
      <c r="AR671" s="39"/>
      <c r="AS671" s="39"/>
      <c r="AT671" s="40"/>
      <c r="AU671" s="40"/>
      <c r="AV671" s="23"/>
    </row>
    <row r="672" spans="1:48" ht="15.75" x14ac:dyDescent="0.25">
      <c r="A672" s="44"/>
      <c r="B672" s="23"/>
      <c r="C672" s="23"/>
      <c r="D672" s="39"/>
      <c r="E672" s="39"/>
      <c r="F672" s="40"/>
      <c r="G672" s="40"/>
      <c r="H672" s="41"/>
      <c r="I672" s="39"/>
      <c r="J672" s="40"/>
      <c r="K672" s="40"/>
      <c r="L672" s="41"/>
      <c r="M672" s="39"/>
      <c r="N672" s="40"/>
      <c r="O672" s="40"/>
      <c r="P672" s="39"/>
      <c r="Q672" s="39"/>
      <c r="R672" s="40"/>
      <c r="S672" s="40"/>
      <c r="T672" s="39"/>
      <c r="U672" s="39"/>
      <c r="V672" s="40"/>
      <c r="W672" s="40"/>
      <c r="X672" s="41"/>
      <c r="Y672" s="41"/>
      <c r="Z672" s="40"/>
      <c r="AA672" s="40"/>
      <c r="AB672" s="41"/>
      <c r="AC672" s="41"/>
      <c r="AD672" s="40"/>
      <c r="AE672" s="40"/>
      <c r="AF672" s="42"/>
      <c r="AG672" s="42"/>
      <c r="AH672" s="40"/>
      <c r="AI672" s="40"/>
      <c r="AJ672" s="42"/>
      <c r="AK672" s="42"/>
      <c r="AL672" s="40"/>
      <c r="AM672" s="40"/>
      <c r="AN672" s="40"/>
      <c r="AO672" s="40"/>
      <c r="AP672" s="40"/>
      <c r="AQ672" s="40"/>
      <c r="AR672" s="39"/>
      <c r="AS672" s="39"/>
      <c r="AT672" s="40"/>
      <c r="AU672" s="40"/>
      <c r="AV672" s="23"/>
    </row>
    <row r="673" spans="1:48" ht="15.75" x14ac:dyDescent="0.25">
      <c r="A673" s="44"/>
      <c r="B673" s="23"/>
      <c r="C673" s="23"/>
      <c r="D673" s="39"/>
      <c r="E673" s="39"/>
      <c r="F673" s="40"/>
      <c r="G673" s="40"/>
      <c r="H673" s="41"/>
      <c r="I673" s="39"/>
      <c r="J673" s="40"/>
      <c r="K673" s="40"/>
      <c r="L673" s="41"/>
      <c r="M673" s="39"/>
      <c r="N673" s="40"/>
      <c r="O673" s="40"/>
      <c r="P673" s="39"/>
      <c r="Q673" s="39"/>
      <c r="R673" s="40"/>
      <c r="S673" s="40"/>
      <c r="T673" s="39"/>
      <c r="U673" s="39"/>
      <c r="V673" s="40"/>
      <c r="W673" s="40"/>
      <c r="X673" s="41"/>
      <c r="Y673" s="41"/>
      <c r="Z673" s="40"/>
      <c r="AA673" s="40"/>
      <c r="AB673" s="41"/>
      <c r="AC673" s="41"/>
      <c r="AD673" s="40"/>
      <c r="AE673" s="40"/>
      <c r="AF673" s="42"/>
      <c r="AG673" s="42"/>
      <c r="AH673" s="40"/>
      <c r="AI673" s="40"/>
      <c r="AJ673" s="42"/>
      <c r="AK673" s="42"/>
      <c r="AL673" s="40"/>
      <c r="AM673" s="40"/>
      <c r="AN673" s="40"/>
      <c r="AO673" s="40"/>
      <c r="AP673" s="40"/>
      <c r="AQ673" s="40"/>
      <c r="AR673" s="39"/>
      <c r="AS673" s="39"/>
      <c r="AT673" s="40"/>
      <c r="AU673" s="40"/>
      <c r="AV673" s="23"/>
    </row>
    <row r="674" spans="1:48" ht="15.75" x14ac:dyDescent="0.25">
      <c r="A674" s="44"/>
      <c r="B674" s="23"/>
      <c r="C674" s="23"/>
      <c r="D674" s="39"/>
      <c r="E674" s="39"/>
      <c r="F674" s="40"/>
      <c r="G674" s="40"/>
      <c r="H674" s="41"/>
      <c r="I674" s="39"/>
      <c r="J674" s="40"/>
      <c r="K674" s="40"/>
      <c r="L674" s="41"/>
      <c r="M674" s="39"/>
      <c r="N674" s="40"/>
      <c r="O674" s="40"/>
      <c r="P674" s="39"/>
      <c r="Q674" s="39"/>
      <c r="R674" s="40"/>
      <c r="S674" s="40"/>
      <c r="T674" s="39"/>
      <c r="U674" s="39"/>
      <c r="V674" s="40"/>
      <c r="W674" s="40"/>
      <c r="X674" s="41"/>
      <c r="Y674" s="41"/>
      <c r="Z674" s="40"/>
      <c r="AA674" s="40"/>
      <c r="AB674" s="41"/>
      <c r="AC674" s="41"/>
      <c r="AD674" s="40"/>
      <c r="AE674" s="40"/>
      <c r="AF674" s="42"/>
      <c r="AG674" s="42"/>
      <c r="AH674" s="40"/>
      <c r="AI674" s="40"/>
      <c r="AJ674" s="42"/>
      <c r="AK674" s="42"/>
      <c r="AL674" s="40"/>
      <c r="AM674" s="40"/>
      <c r="AN674" s="40"/>
      <c r="AO674" s="40"/>
      <c r="AP674" s="40"/>
      <c r="AQ674" s="40"/>
      <c r="AR674" s="39"/>
      <c r="AS674" s="39"/>
      <c r="AT674" s="40"/>
      <c r="AU674" s="40"/>
      <c r="AV674" s="23"/>
    </row>
    <row r="675" spans="1:48" ht="15.75" x14ac:dyDescent="0.25">
      <c r="A675" s="44"/>
      <c r="B675" s="23"/>
      <c r="C675" s="23"/>
      <c r="D675" s="39"/>
      <c r="E675" s="39"/>
      <c r="F675" s="40"/>
      <c r="G675" s="40"/>
      <c r="H675" s="41"/>
      <c r="I675" s="39"/>
      <c r="J675" s="40"/>
      <c r="K675" s="40"/>
      <c r="L675" s="41"/>
      <c r="M675" s="39"/>
      <c r="N675" s="40"/>
      <c r="O675" s="40"/>
      <c r="P675" s="39"/>
      <c r="Q675" s="39"/>
      <c r="R675" s="40"/>
      <c r="S675" s="40"/>
      <c r="T675" s="39"/>
      <c r="U675" s="39"/>
      <c r="V675" s="40"/>
      <c r="W675" s="40"/>
      <c r="X675" s="41"/>
      <c r="Y675" s="41"/>
      <c r="Z675" s="40"/>
      <c r="AA675" s="40"/>
      <c r="AB675" s="41"/>
      <c r="AC675" s="41"/>
      <c r="AD675" s="40"/>
      <c r="AE675" s="40"/>
      <c r="AF675" s="42"/>
      <c r="AG675" s="42"/>
      <c r="AH675" s="40"/>
      <c r="AI675" s="40"/>
      <c r="AJ675" s="42"/>
      <c r="AK675" s="42"/>
      <c r="AL675" s="40"/>
      <c r="AM675" s="40"/>
      <c r="AN675" s="40"/>
      <c r="AO675" s="40"/>
      <c r="AP675" s="40"/>
      <c r="AQ675" s="40"/>
      <c r="AR675" s="39"/>
      <c r="AS675" s="39"/>
      <c r="AT675" s="40"/>
      <c r="AU675" s="40"/>
      <c r="AV675" s="23"/>
    </row>
    <row r="676" spans="1:48" ht="15.75" x14ac:dyDescent="0.25">
      <c r="A676" s="44"/>
      <c r="B676" s="23"/>
      <c r="C676" s="23"/>
      <c r="D676" s="39"/>
      <c r="E676" s="39"/>
      <c r="F676" s="40"/>
      <c r="G676" s="40"/>
      <c r="H676" s="41"/>
      <c r="I676" s="39"/>
      <c r="J676" s="40"/>
      <c r="K676" s="40"/>
      <c r="L676" s="41"/>
      <c r="M676" s="39"/>
      <c r="N676" s="40"/>
      <c r="O676" s="40"/>
      <c r="P676" s="39"/>
      <c r="Q676" s="39"/>
      <c r="R676" s="40"/>
      <c r="S676" s="40"/>
      <c r="T676" s="39"/>
      <c r="U676" s="39"/>
      <c r="V676" s="40"/>
      <c r="W676" s="40"/>
      <c r="X676" s="41"/>
      <c r="Y676" s="41"/>
      <c r="Z676" s="40"/>
      <c r="AA676" s="40"/>
      <c r="AB676" s="41"/>
      <c r="AC676" s="41"/>
      <c r="AD676" s="40"/>
      <c r="AE676" s="40"/>
      <c r="AF676" s="42"/>
      <c r="AG676" s="42"/>
      <c r="AH676" s="40"/>
      <c r="AI676" s="40"/>
      <c r="AJ676" s="42"/>
      <c r="AK676" s="42"/>
      <c r="AL676" s="40"/>
      <c r="AM676" s="40"/>
      <c r="AN676" s="40"/>
      <c r="AO676" s="40"/>
      <c r="AP676" s="40"/>
      <c r="AQ676" s="40"/>
      <c r="AR676" s="39"/>
      <c r="AS676" s="39"/>
      <c r="AT676" s="40"/>
      <c r="AU676" s="40"/>
      <c r="AV676" s="23"/>
    </row>
    <row r="677" spans="1:48" ht="15.75" x14ac:dyDescent="0.25">
      <c r="A677" s="44"/>
      <c r="B677" s="23"/>
      <c r="C677" s="23"/>
      <c r="D677" s="39"/>
      <c r="E677" s="39"/>
      <c r="F677" s="40"/>
      <c r="G677" s="40"/>
      <c r="H677" s="41"/>
      <c r="I677" s="39"/>
      <c r="J677" s="40"/>
      <c r="K677" s="40"/>
      <c r="L677" s="41"/>
      <c r="M677" s="39"/>
      <c r="N677" s="40"/>
      <c r="O677" s="40"/>
      <c r="P677" s="39"/>
      <c r="Q677" s="39"/>
      <c r="R677" s="40"/>
      <c r="S677" s="40"/>
      <c r="T677" s="39"/>
      <c r="U677" s="39"/>
      <c r="V677" s="40"/>
      <c r="W677" s="40"/>
      <c r="X677" s="41"/>
      <c r="Y677" s="41"/>
      <c r="Z677" s="40"/>
      <c r="AA677" s="40"/>
      <c r="AB677" s="41"/>
      <c r="AC677" s="41"/>
      <c r="AD677" s="40"/>
      <c r="AE677" s="40"/>
      <c r="AF677" s="42"/>
      <c r="AG677" s="42"/>
      <c r="AH677" s="40"/>
      <c r="AI677" s="40"/>
      <c r="AJ677" s="42"/>
      <c r="AK677" s="42"/>
      <c r="AL677" s="40"/>
      <c r="AM677" s="40"/>
      <c r="AN677" s="40"/>
      <c r="AO677" s="40"/>
      <c r="AP677" s="40"/>
      <c r="AQ677" s="40"/>
      <c r="AR677" s="39"/>
      <c r="AS677" s="39"/>
      <c r="AT677" s="40"/>
      <c r="AU677" s="40"/>
      <c r="AV677" s="23"/>
    </row>
    <row r="678" spans="1:48" ht="15.75" x14ac:dyDescent="0.25">
      <c r="A678" s="44"/>
      <c r="B678" s="23"/>
      <c r="C678" s="23"/>
      <c r="D678" s="39"/>
      <c r="E678" s="39"/>
      <c r="F678" s="40"/>
      <c r="G678" s="40"/>
      <c r="H678" s="41"/>
      <c r="I678" s="39"/>
      <c r="J678" s="40"/>
      <c r="K678" s="40"/>
      <c r="L678" s="41"/>
      <c r="M678" s="39"/>
      <c r="N678" s="40"/>
      <c r="O678" s="40"/>
      <c r="P678" s="39"/>
      <c r="Q678" s="39"/>
      <c r="R678" s="40"/>
      <c r="S678" s="40"/>
      <c r="T678" s="39"/>
      <c r="U678" s="39"/>
      <c r="V678" s="40"/>
      <c r="W678" s="40"/>
      <c r="X678" s="41"/>
      <c r="Y678" s="41"/>
      <c r="Z678" s="40"/>
      <c r="AA678" s="40"/>
      <c r="AB678" s="41"/>
      <c r="AC678" s="41"/>
      <c r="AD678" s="40"/>
      <c r="AE678" s="40"/>
      <c r="AF678" s="42"/>
      <c r="AG678" s="42"/>
      <c r="AH678" s="40"/>
      <c r="AI678" s="40"/>
      <c r="AJ678" s="42"/>
      <c r="AK678" s="42"/>
      <c r="AL678" s="40"/>
      <c r="AM678" s="40"/>
      <c r="AN678" s="40"/>
      <c r="AO678" s="40"/>
      <c r="AP678" s="40"/>
      <c r="AQ678" s="40"/>
      <c r="AR678" s="39"/>
      <c r="AS678" s="39"/>
      <c r="AT678" s="40"/>
      <c r="AU678" s="40"/>
      <c r="AV678" s="23"/>
    </row>
    <row r="679" spans="1:48" ht="15.75" x14ac:dyDescent="0.25">
      <c r="A679" s="44"/>
      <c r="B679" s="23"/>
      <c r="C679" s="23"/>
      <c r="D679" s="39"/>
      <c r="E679" s="39"/>
      <c r="F679" s="40"/>
      <c r="G679" s="40"/>
      <c r="H679" s="41"/>
      <c r="I679" s="39"/>
      <c r="J679" s="40"/>
      <c r="K679" s="40"/>
      <c r="L679" s="41"/>
      <c r="M679" s="39"/>
      <c r="N679" s="40"/>
      <c r="O679" s="40"/>
      <c r="P679" s="39"/>
      <c r="Q679" s="39"/>
      <c r="R679" s="40"/>
      <c r="S679" s="40"/>
      <c r="T679" s="39"/>
      <c r="U679" s="39"/>
      <c r="V679" s="40"/>
      <c r="W679" s="40"/>
      <c r="X679" s="41"/>
      <c r="Y679" s="41"/>
      <c r="Z679" s="40"/>
      <c r="AA679" s="40"/>
      <c r="AB679" s="41"/>
      <c r="AC679" s="41"/>
      <c r="AD679" s="40"/>
      <c r="AE679" s="40"/>
      <c r="AF679" s="42"/>
      <c r="AG679" s="42"/>
      <c r="AH679" s="40"/>
      <c r="AI679" s="40"/>
      <c r="AJ679" s="42"/>
      <c r="AK679" s="42"/>
      <c r="AL679" s="40"/>
      <c r="AM679" s="40"/>
      <c r="AN679" s="40"/>
      <c r="AO679" s="40"/>
      <c r="AP679" s="40"/>
      <c r="AQ679" s="40"/>
      <c r="AR679" s="39"/>
      <c r="AS679" s="39"/>
      <c r="AT679" s="40"/>
      <c r="AU679" s="40"/>
      <c r="AV679" s="23"/>
    </row>
    <row r="680" spans="1:48" ht="15.75" x14ac:dyDescent="0.25">
      <c r="A680" s="44"/>
      <c r="B680" s="23"/>
      <c r="C680" s="23"/>
      <c r="D680" s="39"/>
      <c r="E680" s="39"/>
      <c r="F680" s="40"/>
      <c r="G680" s="40"/>
      <c r="H680" s="41"/>
      <c r="I680" s="39"/>
      <c r="J680" s="40"/>
      <c r="K680" s="40"/>
      <c r="L680" s="41"/>
      <c r="M680" s="39"/>
      <c r="N680" s="40"/>
      <c r="O680" s="40"/>
      <c r="P680" s="39"/>
      <c r="Q680" s="39"/>
      <c r="R680" s="40"/>
      <c r="S680" s="40"/>
      <c r="T680" s="39"/>
      <c r="U680" s="39"/>
      <c r="V680" s="40"/>
      <c r="W680" s="40"/>
      <c r="X680" s="41"/>
      <c r="Y680" s="41"/>
      <c r="Z680" s="40"/>
      <c r="AA680" s="40"/>
      <c r="AB680" s="41"/>
      <c r="AC680" s="41"/>
      <c r="AD680" s="40"/>
      <c r="AE680" s="40"/>
      <c r="AF680" s="42"/>
      <c r="AG680" s="42"/>
      <c r="AH680" s="40"/>
      <c r="AI680" s="40"/>
      <c r="AJ680" s="42"/>
      <c r="AK680" s="42"/>
      <c r="AL680" s="40"/>
      <c r="AM680" s="40"/>
      <c r="AN680" s="40"/>
      <c r="AO680" s="40"/>
      <c r="AP680" s="40"/>
      <c r="AQ680" s="40"/>
      <c r="AR680" s="39"/>
      <c r="AS680" s="39"/>
      <c r="AT680" s="40"/>
      <c r="AU680" s="40"/>
      <c r="AV680" s="23"/>
    </row>
    <row r="681" spans="1:48" ht="15.75" x14ac:dyDescent="0.25">
      <c r="A681" s="44"/>
      <c r="B681" s="23"/>
      <c r="C681" s="23"/>
      <c r="D681" s="39"/>
      <c r="E681" s="39"/>
      <c r="F681" s="40"/>
      <c r="G681" s="40"/>
      <c r="H681" s="41"/>
      <c r="I681" s="39"/>
      <c r="J681" s="40"/>
      <c r="K681" s="40"/>
      <c r="L681" s="41"/>
      <c r="M681" s="39"/>
      <c r="N681" s="40"/>
      <c r="O681" s="40"/>
      <c r="P681" s="39"/>
      <c r="Q681" s="39"/>
      <c r="R681" s="40"/>
      <c r="S681" s="40"/>
      <c r="T681" s="39"/>
      <c r="U681" s="39"/>
      <c r="V681" s="40"/>
      <c r="W681" s="40"/>
      <c r="X681" s="41"/>
      <c r="Y681" s="41"/>
      <c r="Z681" s="40"/>
      <c r="AA681" s="40"/>
      <c r="AB681" s="41"/>
      <c r="AC681" s="41"/>
      <c r="AD681" s="40"/>
      <c r="AE681" s="40"/>
      <c r="AF681" s="42"/>
      <c r="AG681" s="42"/>
      <c r="AH681" s="40"/>
      <c r="AI681" s="40"/>
      <c r="AJ681" s="42"/>
      <c r="AK681" s="42"/>
      <c r="AL681" s="40"/>
      <c r="AM681" s="40"/>
      <c r="AN681" s="40"/>
      <c r="AO681" s="40"/>
      <c r="AP681" s="40"/>
      <c r="AQ681" s="40"/>
      <c r="AR681" s="39"/>
      <c r="AS681" s="39"/>
      <c r="AT681" s="40"/>
      <c r="AU681" s="40"/>
      <c r="AV681" s="23"/>
    </row>
    <row r="682" spans="1:48" ht="15.75" x14ac:dyDescent="0.25">
      <c r="A682" s="44"/>
      <c r="B682" s="23"/>
      <c r="C682" s="23"/>
      <c r="D682" s="39"/>
      <c r="E682" s="39"/>
      <c r="F682" s="40"/>
      <c r="G682" s="40"/>
      <c r="H682" s="41"/>
      <c r="I682" s="39"/>
      <c r="J682" s="40"/>
      <c r="K682" s="40"/>
      <c r="L682" s="41"/>
      <c r="M682" s="39"/>
      <c r="N682" s="40"/>
      <c r="O682" s="40"/>
      <c r="P682" s="39"/>
      <c r="Q682" s="39"/>
      <c r="R682" s="40"/>
      <c r="S682" s="40"/>
      <c r="T682" s="39"/>
      <c r="U682" s="39"/>
      <c r="V682" s="40"/>
      <c r="W682" s="40"/>
      <c r="X682" s="41"/>
      <c r="Y682" s="41"/>
      <c r="Z682" s="40"/>
      <c r="AA682" s="40"/>
      <c r="AB682" s="41"/>
      <c r="AC682" s="41"/>
      <c r="AD682" s="40"/>
      <c r="AE682" s="40"/>
      <c r="AF682" s="42"/>
      <c r="AG682" s="42"/>
      <c r="AH682" s="40"/>
      <c r="AI682" s="40"/>
      <c r="AJ682" s="42"/>
      <c r="AK682" s="42"/>
      <c r="AL682" s="40"/>
      <c r="AM682" s="40"/>
      <c r="AN682" s="40"/>
      <c r="AO682" s="40"/>
      <c r="AP682" s="40"/>
      <c r="AQ682" s="40"/>
      <c r="AR682" s="39"/>
      <c r="AS682" s="39"/>
      <c r="AT682" s="40"/>
      <c r="AU682" s="40"/>
      <c r="AV682" s="23"/>
    </row>
    <row r="683" spans="1:48" ht="15.75" x14ac:dyDescent="0.25">
      <c r="A683" s="44"/>
      <c r="B683" s="23"/>
      <c r="C683" s="23"/>
      <c r="D683" s="39"/>
      <c r="E683" s="39"/>
      <c r="F683" s="40"/>
      <c r="G683" s="40"/>
      <c r="H683" s="41"/>
      <c r="I683" s="39"/>
      <c r="J683" s="40"/>
      <c r="K683" s="40"/>
      <c r="L683" s="41"/>
      <c r="M683" s="39"/>
      <c r="N683" s="40"/>
      <c r="O683" s="40"/>
      <c r="P683" s="39"/>
      <c r="Q683" s="39"/>
      <c r="R683" s="40"/>
      <c r="S683" s="40"/>
      <c r="T683" s="39"/>
      <c r="U683" s="39"/>
      <c r="V683" s="40"/>
      <c r="W683" s="40"/>
      <c r="X683" s="41"/>
      <c r="Y683" s="41"/>
      <c r="Z683" s="40"/>
      <c r="AA683" s="40"/>
      <c r="AB683" s="41"/>
      <c r="AC683" s="41"/>
      <c r="AD683" s="40"/>
      <c r="AE683" s="40"/>
      <c r="AF683" s="42"/>
      <c r="AG683" s="42"/>
      <c r="AH683" s="40"/>
      <c r="AI683" s="40"/>
      <c r="AJ683" s="42"/>
      <c r="AK683" s="42"/>
      <c r="AL683" s="40"/>
      <c r="AM683" s="40"/>
      <c r="AN683" s="40"/>
      <c r="AO683" s="40"/>
      <c r="AP683" s="40"/>
      <c r="AQ683" s="40"/>
      <c r="AR683" s="39"/>
      <c r="AS683" s="39"/>
      <c r="AT683" s="40"/>
      <c r="AU683" s="40"/>
      <c r="AV683" s="23"/>
    </row>
    <row r="684" spans="1:48" ht="15.75" x14ac:dyDescent="0.25">
      <c r="A684" s="44"/>
      <c r="B684" s="23"/>
      <c r="C684" s="23"/>
      <c r="D684" s="39"/>
      <c r="E684" s="39"/>
      <c r="F684" s="40"/>
      <c r="G684" s="40"/>
      <c r="H684" s="41"/>
      <c r="I684" s="39"/>
      <c r="J684" s="40"/>
      <c r="K684" s="40"/>
      <c r="L684" s="41"/>
      <c r="M684" s="39"/>
      <c r="N684" s="40"/>
      <c r="O684" s="40"/>
      <c r="P684" s="39"/>
      <c r="Q684" s="39"/>
      <c r="R684" s="40"/>
      <c r="S684" s="40"/>
      <c r="T684" s="39"/>
      <c r="U684" s="39"/>
      <c r="V684" s="40"/>
      <c r="W684" s="40"/>
      <c r="X684" s="41"/>
      <c r="Y684" s="41"/>
      <c r="Z684" s="40"/>
      <c r="AA684" s="40"/>
      <c r="AB684" s="41"/>
      <c r="AC684" s="41"/>
      <c r="AD684" s="40"/>
      <c r="AE684" s="40"/>
      <c r="AF684" s="42"/>
      <c r="AG684" s="42"/>
      <c r="AH684" s="40"/>
      <c r="AI684" s="40"/>
      <c r="AJ684" s="42"/>
      <c r="AK684" s="42"/>
      <c r="AL684" s="40"/>
      <c r="AM684" s="40"/>
      <c r="AN684" s="40"/>
      <c r="AO684" s="40"/>
      <c r="AP684" s="40"/>
      <c r="AQ684" s="40"/>
      <c r="AR684" s="39"/>
      <c r="AS684" s="39"/>
      <c r="AT684" s="40"/>
      <c r="AU684" s="40"/>
      <c r="AV684" s="23"/>
    </row>
    <row r="685" spans="1:48" ht="15.75" x14ac:dyDescent="0.25">
      <c r="A685" s="44"/>
      <c r="B685" s="23"/>
      <c r="C685" s="23"/>
      <c r="D685" s="39"/>
      <c r="E685" s="39"/>
      <c r="F685" s="40"/>
      <c r="G685" s="40"/>
      <c r="H685" s="41"/>
      <c r="I685" s="39"/>
      <c r="J685" s="40"/>
      <c r="K685" s="40"/>
      <c r="L685" s="41"/>
      <c r="M685" s="39"/>
      <c r="N685" s="40"/>
      <c r="O685" s="40"/>
      <c r="P685" s="39"/>
      <c r="Q685" s="39"/>
      <c r="R685" s="40"/>
      <c r="S685" s="40"/>
      <c r="T685" s="39"/>
      <c r="U685" s="39"/>
      <c r="V685" s="40"/>
      <c r="W685" s="40"/>
      <c r="X685" s="41"/>
      <c r="Y685" s="41"/>
      <c r="Z685" s="40"/>
      <c r="AA685" s="40"/>
      <c r="AB685" s="41"/>
      <c r="AC685" s="41"/>
      <c r="AD685" s="40"/>
      <c r="AE685" s="40"/>
      <c r="AF685" s="42"/>
      <c r="AG685" s="42"/>
      <c r="AH685" s="40"/>
      <c r="AI685" s="40"/>
      <c r="AJ685" s="42"/>
      <c r="AK685" s="42"/>
      <c r="AL685" s="40"/>
      <c r="AM685" s="40"/>
      <c r="AN685" s="40"/>
      <c r="AO685" s="40"/>
      <c r="AP685" s="40"/>
      <c r="AQ685" s="40"/>
      <c r="AR685" s="39"/>
      <c r="AS685" s="39"/>
      <c r="AT685" s="40"/>
      <c r="AU685" s="40"/>
      <c r="AV685" s="23"/>
    </row>
    <row r="686" spans="1:48" ht="15.75" x14ac:dyDescent="0.25">
      <c r="A686" s="44"/>
      <c r="B686" s="23"/>
      <c r="C686" s="23"/>
      <c r="D686" s="39"/>
      <c r="E686" s="39"/>
      <c r="F686" s="40"/>
      <c r="G686" s="40"/>
      <c r="H686" s="41"/>
      <c r="I686" s="39"/>
      <c r="J686" s="40"/>
      <c r="K686" s="40"/>
      <c r="L686" s="41"/>
      <c r="M686" s="39"/>
      <c r="N686" s="40"/>
      <c r="O686" s="40"/>
      <c r="P686" s="39"/>
      <c r="Q686" s="39"/>
      <c r="R686" s="40"/>
      <c r="S686" s="40"/>
      <c r="T686" s="39"/>
      <c r="U686" s="39"/>
      <c r="V686" s="40"/>
      <c r="W686" s="40"/>
      <c r="X686" s="41"/>
      <c r="Y686" s="41"/>
      <c r="Z686" s="40"/>
      <c r="AA686" s="40"/>
      <c r="AB686" s="41"/>
      <c r="AC686" s="41"/>
      <c r="AD686" s="40"/>
      <c r="AE686" s="40"/>
      <c r="AF686" s="42"/>
      <c r="AG686" s="42"/>
      <c r="AH686" s="40"/>
      <c r="AI686" s="40"/>
      <c r="AJ686" s="42"/>
      <c r="AK686" s="42"/>
      <c r="AL686" s="40"/>
      <c r="AM686" s="40"/>
      <c r="AN686" s="40"/>
      <c r="AO686" s="40"/>
      <c r="AP686" s="40"/>
      <c r="AQ686" s="40"/>
      <c r="AR686" s="39"/>
      <c r="AS686" s="39"/>
      <c r="AT686" s="40"/>
      <c r="AU686" s="40"/>
      <c r="AV686" s="23"/>
    </row>
    <row r="687" spans="1:48" ht="15.75" x14ac:dyDescent="0.25">
      <c r="A687" s="44"/>
      <c r="B687" s="23"/>
      <c r="C687" s="23"/>
      <c r="D687" s="39"/>
      <c r="E687" s="39"/>
      <c r="F687" s="40"/>
      <c r="G687" s="40"/>
      <c r="H687" s="41"/>
      <c r="I687" s="39"/>
      <c r="J687" s="40"/>
      <c r="K687" s="40"/>
      <c r="L687" s="41"/>
      <c r="M687" s="39"/>
      <c r="N687" s="40"/>
      <c r="O687" s="40"/>
      <c r="P687" s="39"/>
      <c r="Q687" s="39"/>
      <c r="R687" s="40"/>
      <c r="S687" s="40"/>
      <c r="T687" s="39"/>
      <c r="U687" s="39"/>
      <c r="V687" s="40"/>
      <c r="W687" s="40"/>
      <c r="X687" s="41"/>
      <c r="Y687" s="41"/>
      <c r="Z687" s="40"/>
      <c r="AA687" s="40"/>
      <c r="AB687" s="41"/>
      <c r="AC687" s="41"/>
      <c r="AD687" s="40"/>
      <c r="AE687" s="40"/>
      <c r="AF687" s="42"/>
      <c r="AG687" s="42"/>
      <c r="AH687" s="40"/>
      <c r="AI687" s="40"/>
      <c r="AJ687" s="42"/>
      <c r="AK687" s="42"/>
      <c r="AL687" s="40"/>
      <c r="AM687" s="40"/>
      <c r="AN687" s="40"/>
      <c r="AO687" s="40"/>
      <c r="AP687" s="40"/>
      <c r="AQ687" s="40"/>
      <c r="AR687" s="39"/>
      <c r="AS687" s="39"/>
      <c r="AT687" s="40"/>
      <c r="AU687" s="40"/>
      <c r="AV687" s="23"/>
    </row>
    <row r="688" spans="1:48" ht="15.75" x14ac:dyDescent="0.25">
      <c r="A688" s="44"/>
      <c r="B688" s="23"/>
      <c r="C688" s="23"/>
      <c r="D688" s="39"/>
      <c r="E688" s="39"/>
      <c r="F688" s="40"/>
      <c r="G688" s="40"/>
      <c r="H688" s="41"/>
      <c r="I688" s="39"/>
      <c r="J688" s="40"/>
      <c r="K688" s="40"/>
      <c r="L688" s="41"/>
      <c r="M688" s="39"/>
      <c r="N688" s="40"/>
      <c r="O688" s="40"/>
      <c r="P688" s="39"/>
      <c r="Q688" s="39"/>
      <c r="R688" s="40"/>
      <c r="S688" s="40"/>
      <c r="T688" s="39"/>
      <c r="U688" s="39"/>
      <c r="V688" s="40"/>
      <c r="W688" s="40"/>
      <c r="X688" s="41"/>
      <c r="Y688" s="41"/>
      <c r="Z688" s="40"/>
      <c r="AA688" s="40"/>
      <c r="AB688" s="41"/>
      <c r="AC688" s="41"/>
      <c r="AD688" s="40"/>
      <c r="AE688" s="40"/>
      <c r="AF688" s="42"/>
      <c r="AG688" s="42"/>
      <c r="AH688" s="40"/>
      <c r="AI688" s="40"/>
      <c r="AJ688" s="42"/>
      <c r="AK688" s="42"/>
      <c r="AL688" s="40"/>
      <c r="AM688" s="40"/>
      <c r="AN688" s="40"/>
      <c r="AO688" s="40"/>
      <c r="AP688" s="40"/>
      <c r="AQ688" s="40"/>
      <c r="AR688" s="39"/>
      <c r="AS688" s="39"/>
      <c r="AT688" s="40"/>
      <c r="AU688" s="40"/>
      <c r="AV688" s="23"/>
    </row>
    <row r="689" spans="1:48" ht="15.75" x14ac:dyDescent="0.25">
      <c r="A689" s="44"/>
      <c r="B689" s="23"/>
      <c r="C689" s="23"/>
      <c r="D689" s="39"/>
      <c r="E689" s="39"/>
      <c r="F689" s="40"/>
      <c r="G689" s="40"/>
      <c r="H689" s="41"/>
      <c r="I689" s="39"/>
      <c r="J689" s="40"/>
      <c r="K689" s="40"/>
      <c r="L689" s="41"/>
      <c r="M689" s="39"/>
      <c r="N689" s="40"/>
      <c r="O689" s="40"/>
      <c r="P689" s="39"/>
      <c r="Q689" s="39"/>
      <c r="R689" s="40"/>
      <c r="S689" s="40"/>
      <c r="T689" s="39"/>
      <c r="U689" s="39"/>
      <c r="V689" s="40"/>
      <c r="W689" s="40"/>
      <c r="X689" s="41"/>
      <c r="Y689" s="41"/>
      <c r="Z689" s="40"/>
      <c r="AA689" s="40"/>
      <c r="AB689" s="41"/>
      <c r="AC689" s="41"/>
      <c r="AD689" s="40"/>
      <c r="AE689" s="40"/>
      <c r="AF689" s="42"/>
      <c r="AG689" s="42"/>
      <c r="AH689" s="40"/>
      <c r="AI689" s="40"/>
      <c r="AJ689" s="42"/>
      <c r="AK689" s="42"/>
      <c r="AL689" s="40"/>
      <c r="AM689" s="40"/>
      <c r="AN689" s="40"/>
      <c r="AO689" s="40"/>
      <c r="AP689" s="40"/>
      <c r="AQ689" s="40"/>
      <c r="AR689" s="39"/>
      <c r="AS689" s="39"/>
      <c r="AT689" s="40"/>
      <c r="AU689" s="40"/>
      <c r="AV689" s="23"/>
    </row>
    <row r="690" spans="1:48" ht="15.75" x14ac:dyDescent="0.25">
      <c r="A690" s="44"/>
      <c r="B690" s="23"/>
      <c r="C690" s="23"/>
      <c r="D690" s="39"/>
      <c r="E690" s="39"/>
      <c r="F690" s="40"/>
      <c r="G690" s="40"/>
      <c r="H690" s="41"/>
      <c r="I690" s="39"/>
      <c r="J690" s="40"/>
      <c r="K690" s="40"/>
      <c r="L690" s="41"/>
      <c r="M690" s="39"/>
      <c r="N690" s="40"/>
      <c r="O690" s="40"/>
      <c r="P690" s="39"/>
      <c r="Q690" s="39"/>
      <c r="R690" s="40"/>
      <c r="S690" s="40"/>
      <c r="T690" s="39"/>
      <c r="U690" s="39"/>
      <c r="V690" s="40"/>
      <c r="W690" s="40"/>
      <c r="X690" s="41"/>
      <c r="Y690" s="41"/>
      <c r="Z690" s="40"/>
      <c r="AA690" s="40"/>
      <c r="AB690" s="41"/>
      <c r="AC690" s="41"/>
      <c r="AD690" s="40"/>
      <c r="AE690" s="40"/>
      <c r="AF690" s="42"/>
      <c r="AG690" s="42"/>
      <c r="AH690" s="40"/>
      <c r="AI690" s="40"/>
      <c r="AJ690" s="42"/>
      <c r="AK690" s="42"/>
      <c r="AL690" s="40"/>
      <c r="AM690" s="40"/>
      <c r="AN690" s="40"/>
      <c r="AO690" s="40"/>
      <c r="AP690" s="40"/>
      <c r="AQ690" s="40"/>
      <c r="AR690" s="39"/>
      <c r="AS690" s="39"/>
      <c r="AT690" s="40"/>
      <c r="AU690" s="40"/>
      <c r="AV690" s="23"/>
    </row>
    <row r="691" spans="1:48" ht="15.75" x14ac:dyDescent="0.25">
      <c r="A691" s="44"/>
      <c r="B691" s="23"/>
      <c r="C691" s="23"/>
      <c r="D691" s="39"/>
      <c r="E691" s="39"/>
      <c r="F691" s="40"/>
      <c r="G691" s="40"/>
      <c r="H691" s="41"/>
      <c r="I691" s="39"/>
      <c r="J691" s="40"/>
      <c r="K691" s="40"/>
      <c r="L691" s="41"/>
      <c r="M691" s="39"/>
      <c r="N691" s="40"/>
      <c r="O691" s="40"/>
      <c r="P691" s="39"/>
      <c r="Q691" s="39"/>
      <c r="R691" s="40"/>
      <c r="S691" s="40"/>
      <c r="T691" s="39"/>
      <c r="U691" s="39"/>
      <c r="V691" s="40"/>
      <c r="W691" s="40"/>
      <c r="X691" s="41"/>
      <c r="Y691" s="41"/>
      <c r="Z691" s="40"/>
      <c r="AA691" s="40"/>
      <c r="AB691" s="41"/>
      <c r="AC691" s="41"/>
      <c r="AD691" s="40"/>
      <c r="AE691" s="40"/>
      <c r="AF691" s="42"/>
      <c r="AG691" s="42"/>
      <c r="AH691" s="40"/>
      <c r="AI691" s="40"/>
      <c r="AJ691" s="42"/>
      <c r="AK691" s="42"/>
      <c r="AL691" s="40"/>
      <c r="AM691" s="40"/>
      <c r="AN691" s="40"/>
      <c r="AO691" s="40"/>
      <c r="AP691" s="40"/>
      <c r="AQ691" s="40"/>
      <c r="AR691" s="39"/>
      <c r="AS691" s="39"/>
      <c r="AT691" s="40"/>
      <c r="AU691" s="40"/>
      <c r="AV691" s="23"/>
    </row>
    <row r="692" spans="1:48" ht="15.75" x14ac:dyDescent="0.25">
      <c r="A692" s="44"/>
      <c r="B692" s="23"/>
      <c r="C692" s="23"/>
      <c r="D692" s="39"/>
      <c r="E692" s="39"/>
      <c r="F692" s="40"/>
      <c r="G692" s="40"/>
      <c r="H692" s="41"/>
      <c r="I692" s="39"/>
      <c r="J692" s="40"/>
      <c r="K692" s="40"/>
      <c r="L692" s="41"/>
      <c r="M692" s="39"/>
      <c r="N692" s="40"/>
      <c r="O692" s="40"/>
      <c r="P692" s="39"/>
      <c r="Q692" s="39"/>
      <c r="R692" s="40"/>
      <c r="S692" s="40"/>
      <c r="T692" s="39"/>
      <c r="U692" s="39"/>
      <c r="V692" s="40"/>
      <c r="W692" s="40"/>
      <c r="X692" s="41"/>
      <c r="Y692" s="41"/>
      <c r="Z692" s="40"/>
      <c r="AA692" s="40"/>
      <c r="AB692" s="41"/>
      <c r="AC692" s="41"/>
      <c r="AD692" s="40"/>
      <c r="AE692" s="40"/>
      <c r="AF692" s="42"/>
      <c r="AG692" s="42"/>
      <c r="AH692" s="40"/>
      <c r="AI692" s="40"/>
      <c r="AJ692" s="42"/>
      <c r="AK692" s="42"/>
      <c r="AL692" s="40"/>
      <c r="AM692" s="40"/>
      <c r="AN692" s="40"/>
      <c r="AO692" s="40"/>
      <c r="AP692" s="40"/>
      <c r="AQ692" s="40"/>
      <c r="AR692" s="39"/>
      <c r="AS692" s="39"/>
      <c r="AT692" s="40"/>
      <c r="AU692" s="40"/>
      <c r="AV692" s="23"/>
    </row>
    <row r="693" spans="1:48" ht="15.75" x14ac:dyDescent="0.25">
      <c r="A693" s="44"/>
      <c r="B693" s="23"/>
      <c r="C693" s="23"/>
      <c r="D693" s="39"/>
      <c r="E693" s="39"/>
      <c r="F693" s="40"/>
      <c r="G693" s="40"/>
      <c r="H693" s="41"/>
      <c r="I693" s="39"/>
      <c r="J693" s="40"/>
      <c r="K693" s="40"/>
      <c r="L693" s="41"/>
      <c r="M693" s="39"/>
      <c r="N693" s="40"/>
      <c r="O693" s="40"/>
      <c r="P693" s="39"/>
      <c r="Q693" s="39"/>
      <c r="R693" s="40"/>
      <c r="S693" s="40"/>
      <c r="T693" s="39"/>
      <c r="U693" s="39"/>
      <c r="V693" s="40"/>
      <c r="W693" s="40"/>
      <c r="X693" s="41"/>
      <c r="Y693" s="41"/>
      <c r="Z693" s="40"/>
      <c r="AA693" s="40"/>
      <c r="AB693" s="41"/>
      <c r="AC693" s="41"/>
      <c r="AD693" s="40"/>
      <c r="AE693" s="40"/>
      <c r="AF693" s="42"/>
      <c r="AG693" s="42"/>
      <c r="AH693" s="40"/>
      <c r="AI693" s="40"/>
      <c r="AJ693" s="42"/>
      <c r="AK693" s="42"/>
      <c r="AL693" s="40"/>
      <c r="AM693" s="40"/>
      <c r="AN693" s="40"/>
      <c r="AO693" s="40"/>
      <c r="AP693" s="40"/>
      <c r="AQ693" s="40"/>
      <c r="AR693" s="39"/>
      <c r="AS693" s="39"/>
      <c r="AT693" s="40"/>
      <c r="AU693" s="40"/>
      <c r="AV693" s="23"/>
    </row>
    <row r="694" spans="1:48" ht="15.75" x14ac:dyDescent="0.25">
      <c r="A694" s="44"/>
      <c r="B694" s="23"/>
      <c r="C694" s="23"/>
      <c r="D694" s="39"/>
      <c r="E694" s="39"/>
      <c r="F694" s="40"/>
      <c r="G694" s="40"/>
      <c r="H694" s="41"/>
      <c r="I694" s="39"/>
      <c r="J694" s="40"/>
      <c r="K694" s="40"/>
      <c r="L694" s="41"/>
      <c r="M694" s="39"/>
      <c r="N694" s="40"/>
      <c r="O694" s="40"/>
      <c r="P694" s="39"/>
      <c r="Q694" s="39"/>
      <c r="R694" s="40"/>
      <c r="S694" s="40"/>
      <c r="T694" s="39"/>
      <c r="U694" s="39"/>
      <c r="V694" s="40"/>
      <c r="W694" s="40"/>
      <c r="X694" s="41"/>
      <c r="Y694" s="41"/>
      <c r="Z694" s="40"/>
      <c r="AA694" s="40"/>
      <c r="AB694" s="41"/>
      <c r="AC694" s="41"/>
      <c r="AD694" s="40"/>
      <c r="AE694" s="40"/>
      <c r="AF694" s="42"/>
      <c r="AG694" s="42"/>
      <c r="AH694" s="40"/>
      <c r="AI694" s="40"/>
      <c r="AJ694" s="42"/>
      <c r="AK694" s="42"/>
      <c r="AL694" s="40"/>
      <c r="AM694" s="40"/>
      <c r="AN694" s="40"/>
      <c r="AO694" s="40"/>
      <c r="AP694" s="40"/>
      <c r="AQ694" s="40"/>
      <c r="AR694" s="39"/>
      <c r="AS694" s="39"/>
      <c r="AT694" s="40"/>
      <c r="AU694" s="40"/>
      <c r="AV694" s="23"/>
    </row>
    <row r="695" spans="1:48" ht="15.75" x14ac:dyDescent="0.25">
      <c r="A695" s="44"/>
      <c r="B695" s="23"/>
      <c r="C695" s="23"/>
      <c r="D695" s="39"/>
      <c r="E695" s="39"/>
      <c r="F695" s="40"/>
      <c r="G695" s="40"/>
      <c r="H695" s="41"/>
      <c r="I695" s="39"/>
      <c r="J695" s="40"/>
      <c r="K695" s="40"/>
      <c r="L695" s="41"/>
      <c r="M695" s="39"/>
      <c r="N695" s="40"/>
      <c r="O695" s="40"/>
      <c r="P695" s="39"/>
      <c r="Q695" s="39"/>
      <c r="R695" s="40"/>
      <c r="S695" s="40"/>
      <c r="T695" s="39"/>
      <c r="U695" s="39"/>
      <c r="V695" s="40"/>
      <c r="W695" s="40"/>
      <c r="X695" s="41"/>
      <c r="Y695" s="41"/>
      <c r="Z695" s="40"/>
      <c r="AA695" s="40"/>
      <c r="AB695" s="41"/>
      <c r="AC695" s="41"/>
      <c r="AD695" s="40"/>
      <c r="AE695" s="40"/>
      <c r="AF695" s="42"/>
      <c r="AG695" s="42"/>
      <c r="AH695" s="40"/>
      <c r="AI695" s="40"/>
      <c r="AJ695" s="42"/>
      <c r="AK695" s="42"/>
      <c r="AL695" s="40"/>
      <c r="AM695" s="40"/>
      <c r="AN695" s="40"/>
      <c r="AO695" s="40"/>
      <c r="AP695" s="40"/>
      <c r="AQ695" s="40"/>
      <c r="AR695" s="39"/>
      <c r="AS695" s="39"/>
      <c r="AT695" s="40"/>
      <c r="AU695" s="40"/>
      <c r="AV695" s="23"/>
    </row>
    <row r="696" spans="1:48" ht="15.75" x14ac:dyDescent="0.25">
      <c r="A696" s="44"/>
      <c r="B696" s="23"/>
      <c r="C696" s="23"/>
      <c r="D696" s="39"/>
      <c r="E696" s="39"/>
      <c r="F696" s="40"/>
      <c r="G696" s="40"/>
      <c r="H696" s="41"/>
      <c r="I696" s="39"/>
      <c r="J696" s="40"/>
      <c r="K696" s="40"/>
      <c r="L696" s="41"/>
      <c r="M696" s="39"/>
      <c r="N696" s="40"/>
      <c r="O696" s="40"/>
      <c r="P696" s="39"/>
      <c r="Q696" s="39"/>
      <c r="R696" s="40"/>
      <c r="S696" s="40"/>
      <c r="T696" s="39"/>
      <c r="U696" s="39"/>
      <c r="V696" s="40"/>
      <c r="W696" s="40"/>
      <c r="X696" s="41"/>
      <c r="Y696" s="41"/>
      <c r="Z696" s="40"/>
      <c r="AA696" s="40"/>
      <c r="AB696" s="41"/>
      <c r="AC696" s="41"/>
      <c r="AD696" s="40"/>
      <c r="AE696" s="40"/>
      <c r="AF696" s="42"/>
      <c r="AG696" s="42"/>
      <c r="AH696" s="40"/>
      <c r="AI696" s="40"/>
      <c r="AJ696" s="42"/>
      <c r="AK696" s="42"/>
      <c r="AL696" s="40"/>
      <c r="AM696" s="40"/>
      <c r="AN696" s="40"/>
      <c r="AO696" s="40"/>
      <c r="AP696" s="40"/>
      <c r="AQ696" s="40"/>
      <c r="AR696" s="39"/>
      <c r="AS696" s="39"/>
      <c r="AT696" s="40"/>
      <c r="AU696" s="40"/>
      <c r="AV696" s="23"/>
    </row>
    <row r="697" spans="1:48" ht="15.75" x14ac:dyDescent="0.25">
      <c r="A697" s="44"/>
      <c r="B697" s="23"/>
      <c r="C697" s="23"/>
      <c r="D697" s="39"/>
      <c r="E697" s="39"/>
      <c r="F697" s="40"/>
      <c r="G697" s="40"/>
      <c r="H697" s="41"/>
      <c r="I697" s="39"/>
      <c r="J697" s="40"/>
      <c r="K697" s="40"/>
      <c r="L697" s="41"/>
      <c r="M697" s="39"/>
      <c r="N697" s="40"/>
      <c r="O697" s="40"/>
      <c r="P697" s="39"/>
      <c r="Q697" s="39"/>
      <c r="R697" s="40"/>
      <c r="S697" s="40"/>
      <c r="T697" s="39"/>
      <c r="U697" s="39"/>
      <c r="V697" s="40"/>
      <c r="W697" s="40"/>
      <c r="X697" s="41"/>
      <c r="Y697" s="41"/>
      <c r="Z697" s="40"/>
      <c r="AA697" s="40"/>
      <c r="AB697" s="41"/>
      <c r="AC697" s="41"/>
      <c r="AD697" s="40"/>
      <c r="AE697" s="40"/>
      <c r="AF697" s="42"/>
      <c r="AG697" s="42"/>
      <c r="AH697" s="40"/>
      <c r="AI697" s="40"/>
      <c r="AJ697" s="42"/>
      <c r="AK697" s="42"/>
      <c r="AL697" s="40"/>
      <c r="AM697" s="40"/>
      <c r="AN697" s="40"/>
      <c r="AO697" s="40"/>
      <c r="AP697" s="40"/>
      <c r="AQ697" s="40"/>
      <c r="AR697" s="39"/>
      <c r="AS697" s="39"/>
      <c r="AT697" s="40"/>
      <c r="AU697" s="40"/>
      <c r="AV697" s="23"/>
    </row>
    <row r="698" spans="1:48" ht="15.75" x14ac:dyDescent="0.25">
      <c r="A698" s="44"/>
      <c r="B698" s="23"/>
      <c r="C698" s="23"/>
      <c r="D698" s="39"/>
      <c r="E698" s="39"/>
      <c r="F698" s="40"/>
      <c r="G698" s="40"/>
      <c r="H698" s="41"/>
      <c r="I698" s="39"/>
      <c r="J698" s="40"/>
      <c r="K698" s="40"/>
      <c r="L698" s="41"/>
      <c r="M698" s="39"/>
      <c r="N698" s="40"/>
      <c r="O698" s="40"/>
      <c r="P698" s="39"/>
      <c r="Q698" s="39"/>
      <c r="R698" s="40"/>
      <c r="S698" s="40"/>
      <c r="T698" s="39"/>
      <c r="U698" s="39"/>
      <c r="V698" s="40"/>
      <c r="W698" s="40"/>
      <c r="X698" s="41"/>
      <c r="Y698" s="41"/>
      <c r="Z698" s="40"/>
      <c r="AA698" s="40"/>
      <c r="AB698" s="41"/>
      <c r="AC698" s="41"/>
      <c r="AD698" s="40"/>
      <c r="AE698" s="40"/>
      <c r="AF698" s="42"/>
      <c r="AG698" s="42"/>
      <c r="AH698" s="40"/>
      <c r="AI698" s="40"/>
      <c r="AJ698" s="42"/>
      <c r="AK698" s="42"/>
      <c r="AL698" s="40"/>
      <c r="AM698" s="40"/>
      <c r="AN698" s="40"/>
      <c r="AO698" s="40"/>
      <c r="AP698" s="40"/>
      <c r="AQ698" s="40"/>
      <c r="AR698" s="39"/>
      <c r="AS698" s="39"/>
      <c r="AT698" s="40"/>
      <c r="AU698" s="40"/>
      <c r="AV698" s="23"/>
    </row>
    <row r="699" spans="1:48" ht="15.75" x14ac:dyDescent="0.25">
      <c r="A699" s="44"/>
      <c r="B699" s="23"/>
      <c r="C699" s="23"/>
      <c r="D699" s="39"/>
      <c r="E699" s="39"/>
      <c r="F699" s="40"/>
      <c r="G699" s="40"/>
      <c r="H699" s="41"/>
      <c r="I699" s="39"/>
      <c r="J699" s="40"/>
      <c r="K699" s="40"/>
      <c r="L699" s="41"/>
      <c r="M699" s="39"/>
      <c r="N699" s="40"/>
      <c r="O699" s="40"/>
      <c r="P699" s="39"/>
      <c r="Q699" s="39"/>
      <c r="R699" s="40"/>
      <c r="S699" s="40"/>
      <c r="T699" s="39"/>
      <c r="U699" s="39"/>
      <c r="V699" s="40"/>
      <c r="W699" s="40"/>
      <c r="X699" s="41"/>
      <c r="Y699" s="41"/>
      <c r="Z699" s="40"/>
      <c r="AA699" s="40"/>
      <c r="AB699" s="41"/>
      <c r="AC699" s="41"/>
      <c r="AD699" s="40"/>
      <c r="AE699" s="40"/>
      <c r="AF699" s="42"/>
      <c r="AG699" s="42"/>
      <c r="AH699" s="40"/>
      <c r="AI699" s="40"/>
      <c r="AJ699" s="42"/>
      <c r="AK699" s="42"/>
      <c r="AL699" s="40"/>
      <c r="AM699" s="40"/>
      <c r="AN699" s="40"/>
      <c r="AO699" s="40"/>
      <c r="AP699" s="40"/>
      <c r="AQ699" s="40"/>
      <c r="AR699" s="39"/>
      <c r="AS699" s="39"/>
      <c r="AT699" s="40"/>
      <c r="AU699" s="40"/>
      <c r="AV699" s="23"/>
    </row>
    <row r="700" spans="1:48" ht="15.75" x14ac:dyDescent="0.25">
      <c r="A700" s="44"/>
      <c r="B700" s="23"/>
      <c r="C700" s="23"/>
      <c r="D700" s="39"/>
      <c r="E700" s="39"/>
      <c r="F700" s="40"/>
      <c r="G700" s="40"/>
      <c r="H700" s="41"/>
      <c r="I700" s="39"/>
      <c r="J700" s="40"/>
      <c r="K700" s="40"/>
      <c r="L700" s="41"/>
      <c r="M700" s="39"/>
      <c r="N700" s="40"/>
      <c r="O700" s="40"/>
      <c r="P700" s="39"/>
      <c r="Q700" s="39"/>
      <c r="R700" s="40"/>
      <c r="S700" s="40"/>
      <c r="T700" s="39"/>
      <c r="U700" s="39"/>
      <c r="V700" s="40"/>
      <c r="W700" s="40"/>
      <c r="X700" s="41"/>
      <c r="Y700" s="41"/>
      <c r="Z700" s="40"/>
      <c r="AA700" s="40"/>
      <c r="AB700" s="41"/>
      <c r="AC700" s="41"/>
      <c r="AD700" s="40"/>
      <c r="AE700" s="40"/>
      <c r="AF700" s="42"/>
      <c r="AG700" s="42"/>
      <c r="AH700" s="40"/>
      <c r="AI700" s="40"/>
      <c r="AJ700" s="42"/>
      <c r="AK700" s="42"/>
      <c r="AL700" s="40"/>
      <c r="AM700" s="40"/>
      <c r="AN700" s="40"/>
      <c r="AO700" s="40"/>
      <c r="AP700" s="40"/>
      <c r="AQ700" s="40"/>
      <c r="AR700" s="39"/>
      <c r="AS700" s="39"/>
      <c r="AT700" s="40"/>
      <c r="AU700" s="40"/>
      <c r="AV700" s="23"/>
    </row>
    <row r="701" spans="1:48" ht="15.75" x14ac:dyDescent="0.25">
      <c r="A701" s="44"/>
      <c r="B701" s="23"/>
      <c r="C701" s="23"/>
      <c r="D701" s="39"/>
      <c r="E701" s="39"/>
      <c r="F701" s="40"/>
      <c r="G701" s="40"/>
      <c r="H701" s="41"/>
      <c r="I701" s="39"/>
      <c r="J701" s="40"/>
      <c r="K701" s="40"/>
      <c r="L701" s="41"/>
      <c r="M701" s="39"/>
      <c r="N701" s="40"/>
      <c r="O701" s="40"/>
      <c r="P701" s="39"/>
      <c r="Q701" s="39"/>
      <c r="R701" s="40"/>
      <c r="S701" s="40"/>
      <c r="T701" s="39"/>
      <c r="U701" s="39"/>
      <c r="V701" s="40"/>
      <c r="W701" s="40"/>
      <c r="X701" s="41"/>
      <c r="Y701" s="41"/>
      <c r="Z701" s="40"/>
      <c r="AA701" s="40"/>
      <c r="AB701" s="41"/>
      <c r="AC701" s="41"/>
      <c r="AD701" s="40"/>
      <c r="AE701" s="40"/>
      <c r="AF701" s="42"/>
      <c r="AG701" s="42"/>
      <c r="AH701" s="40"/>
      <c r="AI701" s="40"/>
      <c r="AJ701" s="42"/>
      <c r="AK701" s="42"/>
      <c r="AL701" s="40"/>
      <c r="AM701" s="40"/>
      <c r="AN701" s="40"/>
      <c r="AO701" s="40"/>
      <c r="AP701" s="40"/>
      <c r="AQ701" s="40"/>
      <c r="AR701" s="39"/>
      <c r="AS701" s="39"/>
      <c r="AT701" s="40"/>
      <c r="AU701" s="40"/>
      <c r="AV701" s="23"/>
    </row>
    <row r="702" spans="1:48" ht="15.75" x14ac:dyDescent="0.25">
      <c r="A702" s="44"/>
      <c r="B702" s="23"/>
      <c r="C702" s="23"/>
      <c r="D702" s="39"/>
      <c r="E702" s="39"/>
      <c r="F702" s="40"/>
      <c r="G702" s="40"/>
      <c r="H702" s="41"/>
      <c r="I702" s="39"/>
      <c r="J702" s="40"/>
      <c r="K702" s="40"/>
      <c r="L702" s="41"/>
      <c r="M702" s="39"/>
      <c r="N702" s="40"/>
      <c r="O702" s="40"/>
      <c r="P702" s="39"/>
      <c r="Q702" s="39"/>
      <c r="R702" s="40"/>
      <c r="S702" s="40"/>
      <c r="T702" s="39"/>
      <c r="U702" s="39"/>
      <c r="V702" s="40"/>
      <c r="W702" s="40"/>
      <c r="X702" s="41"/>
      <c r="Y702" s="41"/>
      <c r="Z702" s="40"/>
      <c r="AA702" s="40"/>
      <c r="AB702" s="41"/>
      <c r="AC702" s="41"/>
      <c r="AD702" s="40"/>
      <c r="AE702" s="40"/>
      <c r="AF702" s="42"/>
      <c r="AG702" s="42"/>
      <c r="AH702" s="40"/>
      <c r="AI702" s="40"/>
      <c r="AJ702" s="42"/>
      <c r="AK702" s="42"/>
      <c r="AL702" s="40"/>
      <c r="AM702" s="40"/>
      <c r="AN702" s="40"/>
      <c r="AO702" s="40"/>
      <c r="AP702" s="40"/>
      <c r="AQ702" s="40"/>
      <c r="AR702" s="39"/>
      <c r="AS702" s="39"/>
      <c r="AT702" s="40"/>
      <c r="AU702" s="40"/>
      <c r="AV702" s="23"/>
    </row>
    <row r="703" spans="1:48" ht="15.75" x14ac:dyDescent="0.25">
      <c r="A703" s="44"/>
      <c r="B703" s="23"/>
      <c r="C703" s="23"/>
      <c r="D703" s="39"/>
      <c r="E703" s="39"/>
      <c r="F703" s="40"/>
      <c r="G703" s="40"/>
      <c r="H703" s="41"/>
      <c r="I703" s="39"/>
      <c r="J703" s="40"/>
      <c r="K703" s="40"/>
      <c r="L703" s="41"/>
      <c r="M703" s="39"/>
      <c r="N703" s="40"/>
      <c r="O703" s="40"/>
      <c r="P703" s="39"/>
      <c r="Q703" s="39"/>
      <c r="R703" s="40"/>
      <c r="S703" s="40"/>
      <c r="T703" s="39"/>
      <c r="U703" s="39"/>
      <c r="V703" s="40"/>
      <c r="W703" s="40"/>
      <c r="X703" s="41"/>
      <c r="Y703" s="41"/>
      <c r="Z703" s="40"/>
      <c r="AA703" s="40"/>
      <c r="AB703" s="41"/>
      <c r="AC703" s="41"/>
      <c r="AD703" s="40"/>
      <c r="AE703" s="40"/>
      <c r="AF703" s="42"/>
      <c r="AG703" s="42"/>
      <c r="AH703" s="40"/>
      <c r="AI703" s="40"/>
      <c r="AJ703" s="42"/>
      <c r="AK703" s="42"/>
      <c r="AL703" s="40"/>
      <c r="AM703" s="40"/>
      <c r="AN703" s="40"/>
      <c r="AO703" s="40"/>
      <c r="AP703" s="40"/>
      <c r="AQ703" s="40"/>
      <c r="AR703" s="39"/>
      <c r="AS703" s="39"/>
      <c r="AT703" s="40"/>
      <c r="AU703" s="40"/>
      <c r="AV703" s="23"/>
    </row>
    <row r="704" spans="1:48" ht="15.75" x14ac:dyDescent="0.25">
      <c r="A704" s="44"/>
      <c r="B704" s="23"/>
      <c r="C704" s="23"/>
      <c r="D704" s="39"/>
      <c r="E704" s="39"/>
      <c r="F704" s="40"/>
      <c r="G704" s="40"/>
      <c r="H704" s="41"/>
      <c r="I704" s="39"/>
      <c r="J704" s="40"/>
      <c r="K704" s="40"/>
      <c r="L704" s="41"/>
      <c r="M704" s="39"/>
      <c r="N704" s="40"/>
      <c r="O704" s="40"/>
      <c r="P704" s="39"/>
      <c r="Q704" s="39"/>
      <c r="R704" s="40"/>
      <c r="S704" s="40"/>
      <c r="T704" s="39"/>
      <c r="U704" s="39"/>
      <c r="V704" s="40"/>
      <c r="W704" s="40"/>
      <c r="X704" s="41"/>
      <c r="Y704" s="41"/>
      <c r="Z704" s="40"/>
      <c r="AA704" s="40"/>
      <c r="AB704" s="41"/>
      <c r="AC704" s="41"/>
      <c r="AD704" s="40"/>
      <c r="AE704" s="40"/>
      <c r="AF704" s="42"/>
      <c r="AG704" s="42"/>
      <c r="AH704" s="40"/>
      <c r="AI704" s="40"/>
      <c r="AJ704" s="42"/>
      <c r="AK704" s="42"/>
      <c r="AL704" s="40"/>
      <c r="AM704" s="40"/>
      <c r="AN704" s="40"/>
      <c r="AO704" s="40"/>
      <c r="AP704" s="40"/>
      <c r="AQ704" s="40"/>
      <c r="AR704" s="39"/>
      <c r="AS704" s="39"/>
      <c r="AT704" s="40"/>
      <c r="AU704" s="40"/>
      <c r="AV704" s="23"/>
    </row>
    <row r="705" spans="1:48" ht="15.75" x14ac:dyDescent="0.25">
      <c r="A705" s="44"/>
      <c r="B705" s="23"/>
      <c r="C705" s="23"/>
      <c r="D705" s="39"/>
      <c r="E705" s="39"/>
      <c r="F705" s="40"/>
      <c r="G705" s="40"/>
      <c r="H705" s="41"/>
      <c r="I705" s="39"/>
      <c r="J705" s="40"/>
      <c r="K705" s="40"/>
      <c r="L705" s="41"/>
      <c r="M705" s="39"/>
      <c r="N705" s="40"/>
      <c r="O705" s="40"/>
      <c r="P705" s="39"/>
      <c r="Q705" s="39"/>
      <c r="R705" s="40"/>
      <c r="S705" s="40"/>
      <c r="T705" s="39"/>
      <c r="U705" s="39"/>
      <c r="V705" s="40"/>
      <c r="W705" s="40"/>
      <c r="X705" s="41"/>
      <c r="Y705" s="41"/>
      <c r="Z705" s="40"/>
      <c r="AA705" s="40"/>
      <c r="AB705" s="41"/>
      <c r="AC705" s="41"/>
      <c r="AD705" s="40"/>
      <c r="AE705" s="40"/>
      <c r="AF705" s="42"/>
      <c r="AG705" s="42"/>
      <c r="AH705" s="40"/>
      <c r="AI705" s="40"/>
      <c r="AJ705" s="42"/>
      <c r="AK705" s="42"/>
      <c r="AL705" s="40"/>
      <c r="AM705" s="40"/>
      <c r="AN705" s="40"/>
      <c r="AO705" s="40"/>
      <c r="AP705" s="40"/>
      <c r="AQ705" s="40"/>
      <c r="AR705" s="39"/>
      <c r="AS705" s="39"/>
      <c r="AT705" s="40"/>
      <c r="AU705" s="40"/>
      <c r="AV705" s="23"/>
    </row>
    <row r="706" spans="1:48" ht="15.75" x14ac:dyDescent="0.25">
      <c r="A706" s="44"/>
      <c r="B706" s="23"/>
      <c r="C706" s="23"/>
      <c r="D706" s="39"/>
      <c r="E706" s="39"/>
      <c r="F706" s="40"/>
      <c r="G706" s="40"/>
      <c r="H706" s="41"/>
      <c r="I706" s="39"/>
      <c r="J706" s="40"/>
      <c r="K706" s="40"/>
      <c r="L706" s="41"/>
      <c r="M706" s="39"/>
      <c r="N706" s="40"/>
      <c r="O706" s="40"/>
      <c r="P706" s="39"/>
      <c r="Q706" s="39"/>
      <c r="R706" s="40"/>
      <c r="S706" s="40"/>
      <c r="T706" s="39"/>
      <c r="U706" s="39"/>
      <c r="V706" s="40"/>
      <c r="W706" s="40"/>
      <c r="X706" s="41"/>
      <c r="Y706" s="41"/>
      <c r="Z706" s="40"/>
      <c r="AA706" s="40"/>
      <c r="AB706" s="41"/>
      <c r="AC706" s="41"/>
      <c r="AD706" s="40"/>
      <c r="AE706" s="40"/>
      <c r="AF706" s="42"/>
      <c r="AG706" s="42"/>
      <c r="AH706" s="40"/>
      <c r="AI706" s="40"/>
      <c r="AJ706" s="42"/>
      <c r="AK706" s="42"/>
      <c r="AL706" s="40"/>
      <c r="AM706" s="40"/>
      <c r="AN706" s="40"/>
      <c r="AO706" s="40"/>
      <c r="AP706" s="40"/>
      <c r="AQ706" s="40"/>
      <c r="AR706" s="39"/>
      <c r="AS706" s="39"/>
      <c r="AT706" s="40"/>
      <c r="AU706" s="40"/>
      <c r="AV706" s="23"/>
    </row>
    <row r="707" spans="1:48" ht="15.75" x14ac:dyDescent="0.25">
      <c r="A707" s="44"/>
      <c r="B707" s="23"/>
      <c r="C707" s="23"/>
      <c r="D707" s="39"/>
      <c r="E707" s="39"/>
      <c r="F707" s="40"/>
      <c r="G707" s="40"/>
      <c r="H707" s="41"/>
      <c r="I707" s="39"/>
      <c r="J707" s="40"/>
      <c r="K707" s="40"/>
      <c r="L707" s="41"/>
      <c r="M707" s="39"/>
      <c r="N707" s="40"/>
      <c r="O707" s="40"/>
      <c r="P707" s="39"/>
      <c r="Q707" s="39"/>
      <c r="R707" s="40"/>
      <c r="S707" s="40"/>
      <c r="T707" s="39"/>
      <c r="U707" s="39"/>
      <c r="V707" s="40"/>
      <c r="W707" s="40"/>
      <c r="X707" s="41"/>
      <c r="Y707" s="41"/>
      <c r="Z707" s="40"/>
      <c r="AA707" s="40"/>
      <c r="AB707" s="41"/>
      <c r="AC707" s="41"/>
      <c r="AD707" s="40"/>
      <c r="AE707" s="40"/>
      <c r="AF707" s="42"/>
      <c r="AG707" s="42"/>
      <c r="AH707" s="40"/>
      <c r="AI707" s="40"/>
      <c r="AJ707" s="42"/>
      <c r="AK707" s="42"/>
      <c r="AL707" s="40"/>
      <c r="AM707" s="40"/>
      <c r="AN707" s="40"/>
      <c r="AO707" s="40"/>
      <c r="AP707" s="40"/>
      <c r="AQ707" s="40"/>
      <c r="AR707" s="39"/>
      <c r="AS707" s="39"/>
      <c r="AT707" s="40"/>
      <c r="AU707" s="40"/>
      <c r="AV707" s="23"/>
    </row>
    <row r="708" spans="1:48" ht="15.75" x14ac:dyDescent="0.25">
      <c r="A708" s="44"/>
      <c r="B708" s="23"/>
      <c r="C708" s="23"/>
      <c r="D708" s="39"/>
      <c r="E708" s="39"/>
      <c r="F708" s="40"/>
      <c r="G708" s="40"/>
      <c r="H708" s="41"/>
      <c r="I708" s="39"/>
      <c r="J708" s="40"/>
      <c r="K708" s="40"/>
      <c r="L708" s="41"/>
      <c r="M708" s="39"/>
      <c r="N708" s="40"/>
      <c r="O708" s="40"/>
      <c r="P708" s="39"/>
      <c r="Q708" s="39"/>
      <c r="R708" s="40"/>
      <c r="S708" s="40"/>
      <c r="T708" s="39"/>
      <c r="U708" s="39"/>
      <c r="V708" s="40"/>
      <c r="W708" s="40"/>
      <c r="X708" s="41"/>
      <c r="Y708" s="41"/>
      <c r="Z708" s="40"/>
      <c r="AA708" s="40"/>
      <c r="AB708" s="41"/>
      <c r="AC708" s="41"/>
      <c r="AD708" s="40"/>
      <c r="AE708" s="40"/>
      <c r="AF708" s="42"/>
      <c r="AG708" s="42"/>
      <c r="AH708" s="40"/>
      <c r="AI708" s="40"/>
      <c r="AJ708" s="42"/>
      <c r="AK708" s="42"/>
      <c r="AL708" s="40"/>
      <c r="AM708" s="40"/>
      <c r="AN708" s="40"/>
      <c r="AO708" s="40"/>
      <c r="AP708" s="40"/>
      <c r="AQ708" s="40"/>
      <c r="AR708" s="39"/>
      <c r="AS708" s="39"/>
      <c r="AT708" s="40"/>
      <c r="AU708" s="40"/>
      <c r="AV708" s="23"/>
    </row>
    <row r="709" spans="1:48" ht="15.75" x14ac:dyDescent="0.25">
      <c r="A709" s="44"/>
      <c r="B709" s="23"/>
      <c r="C709" s="23"/>
      <c r="D709" s="39"/>
      <c r="E709" s="39"/>
      <c r="F709" s="40"/>
      <c r="G709" s="40"/>
      <c r="H709" s="41"/>
      <c r="I709" s="39"/>
      <c r="J709" s="40"/>
      <c r="K709" s="40"/>
      <c r="L709" s="41"/>
      <c r="M709" s="39"/>
      <c r="N709" s="40"/>
      <c r="O709" s="40"/>
      <c r="P709" s="39"/>
      <c r="Q709" s="39"/>
      <c r="R709" s="40"/>
      <c r="S709" s="40"/>
      <c r="T709" s="39"/>
      <c r="U709" s="39"/>
      <c r="V709" s="40"/>
      <c r="W709" s="40"/>
      <c r="X709" s="41"/>
      <c r="Y709" s="41"/>
      <c r="Z709" s="40"/>
      <c r="AA709" s="40"/>
      <c r="AB709" s="41"/>
      <c r="AC709" s="41"/>
      <c r="AD709" s="40"/>
      <c r="AE709" s="40"/>
      <c r="AF709" s="42"/>
      <c r="AG709" s="42"/>
      <c r="AH709" s="40"/>
      <c r="AI709" s="40"/>
      <c r="AJ709" s="42"/>
      <c r="AK709" s="42"/>
      <c r="AL709" s="40"/>
      <c r="AM709" s="40"/>
      <c r="AN709" s="40"/>
      <c r="AO709" s="40"/>
      <c r="AP709" s="40"/>
      <c r="AQ709" s="40"/>
      <c r="AR709" s="39"/>
      <c r="AS709" s="39"/>
      <c r="AT709" s="40"/>
      <c r="AU709" s="40"/>
      <c r="AV709" s="23"/>
    </row>
    <row r="710" spans="1:48" ht="15.75" x14ac:dyDescent="0.25">
      <c r="A710" s="44"/>
      <c r="B710" s="23"/>
      <c r="C710" s="23"/>
      <c r="D710" s="39"/>
      <c r="E710" s="39"/>
      <c r="F710" s="40"/>
      <c r="G710" s="40"/>
      <c r="H710" s="41"/>
      <c r="I710" s="39"/>
      <c r="J710" s="40"/>
      <c r="K710" s="40"/>
      <c r="L710" s="41"/>
      <c r="M710" s="39"/>
      <c r="N710" s="40"/>
      <c r="O710" s="40"/>
      <c r="P710" s="39"/>
      <c r="Q710" s="39"/>
      <c r="R710" s="40"/>
      <c r="S710" s="40"/>
      <c r="T710" s="39"/>
      <c r="U710" s="39"/>
      <c r="V710" s="40"/>
      <c r="W710" s="40"/>
      <c r="X710" s="41"/>
      <c r="Y710" s="41"/>
      <c r="Z710" s="40"/>
      <c r="AA710" s="40"/>
      <c r="AB710" s="41"/>
      <c r="AC710" s="41"/>
      <c r="AD710" s="40"/>
      <c r="AE710" s="40"/>
      <c r="AF710" s="42"/>
      <c r="AG710" s="42"/>
      <c r="AH710" s="40"/>
      <c r="AI710" s="40"/>
      <c r="AJ710" s="42"/>
      <c r="AK710" s="42"/>
      <c r="AL710" s="40"/>
      <c r="AM710" s="40"/>
      <c r="AN710" s="40"/>
      <c r="AO710" s="40"/>
      <c r="AP710" s="40"/>
      <c r="AQ710" s="40"/>
      <c r="AR710" s="39"/>
      <c r="AS710" s="39"/>
      <c r="AT710" s="40"/>
      <c r="AU710" s="40"/>
      <c r="AV710" s="23"/>
    </row>
    <row r="711" spans="1:48" ht="15.75" x14ac:dyDescent="0.25">
      <c r="A711" s="44"/>
      <c r="B711" s="23"/>
      <c r="C711" s="23"/>
      <c r="D711" s="39"/>
      <c r="E711" s="39"/>
      <c r="F711" s="40"/>
      <c r="G711" s="40"/>
      <c r="H711" s="41"/>
      <c r="I711" s="39"/>
      <c r="J711" s="40"/>
      <c r="K711" s="40"/>
      <c r="L711" s="41"/>
      <c r="M711" s="39"/>
      <c r="N711" s="40"/>
      <c r="O711" s="40"/>
      <c r="P711" s="39"/>
      <c r="Q711" s="39"/>
      <c r="R711" s="40"/>
      <c r="S711" s="40"/>
      <c r="T711" s="39"/>
      <c r="U711" s="39"/>
      <c r="V711" s="40"/>
      <c r="W711" s="40"/>
      <c r="X711" s="41"/>
      <c r="Y711" s="41"/>
      <c r="Z711" s="40"/>
      <c r="AA711" s="40"/>
      <c r="AB711" s="41"/>
      <c r="AC711" s="41"/>
      <c r="AD711" s="40"/>
      <c r="AE711" s="40"/>
      <c r="AF711" s="42"/>
      <c r="AG711" s="42"/>
      <c r="AH711" s="40"/>
      <c r="AI711" s="40"/>
      <c r="AJ711" s="42"/>
      <c r="AK711" s="42"/>
      <c r="AL711" s="40"/>
      <c r="AM711" s="40"/>
      <c r="AN711" s="40"/>
      <c r="AO711" s="40"/>
      <c r="AP711" s="40"/>
      <c r="AQ711" s="40"/>
      <c r="AR711" s="39"/>
      <c r="AS711" s="39"/>
      <c r="AT711" s="40"/>
      <c r="AU711" s="40"/>
      <c r="AV711" s="23"/>
    </row>
    <row r="712" spans="1:48" ht="15.75" x14ac:dyDescent="0.25">
      <c r="A712" s="44"/>
      <c r="B712" s="23"/>
      <c r="C712" s="23"/>
      <c r="D712" s="39"/>
      <c r="E712" s="39"/>
      <c r="F712" s="40"/>
      <c r="G712" s="40"/>
      <c r="H712" s="41"/>
      <c r="I712" s="39"/>
      <c r="J712" s="40"/>
      <c r="K712" s="40"/>
      <c r="L712" s="41"/>
      <c r="M712" s="39"/>
      <c r="N712" s="40"/>
      <c r="O712" s="40"/>
      <c r="P712" s="39"/>
      <c r="Q712" s="39"/>
      <c r="R712" s="40"/>
      <c r="S712" s="40"/>
      <c r="T712" s="39"/>
      <c r="U712" s="39"/>
      <c r="V712" s="40"/>
      <c r="W712" s="40"/>
      <c r="X712" s="41"/>
      <c r="Y712" s="41"/>
      <c r="Z712" s="40"/>
      <c r="AA712" s="40"/>
      <c r="AB712" s="41"/>
      <c r="AC712" s="41"/>
      <c r="AD712" s="40"/>
      <c r="AE712" s="40"/>
      <c r="AF712" s="42"/>
      <c r="AG712" s="42"/>
      <c r="AH712" s="40"/>
      <c r="AI712" s="40"/>
      <c r="AJ712" s="42"/>
      <c r="AK712" s="42"/>
      <c r="AL712" s="40"/>
      <c r="AM712" s="40"/>
      <c r="AN712" s="40"/>
      <c r="AO712" s="40"/>
      <c r="AP712" s="40"/>
      <c r="AQ712" s="40"/>
      <c r="AR712" s="39"/>
      <c r="AS712" s="39"/>
      <c r="AT712" s="40"/>
      <c r="AU712" s="40"/>
      <c r="AV712" s="23"/>
    </row>
    <row r="713" spans="1:48" ht="15.75" x14ac:dyDescent="0.25">
      <c r="A713" s="44"/>
      <c r="B713" s="23"/>
      <c r="C713" s="23"/>
      <c r="D713" s="39"/>
      <c r="E713" s="39"/>
      <c r="F713" s="40"/>
      <c r="G713" s="40"/>
      <c r="H713" s="41"/>
      <c r="I713" s="39"/>
      <c r="J713" s="40"/>
      <c r="K713" s="40"/>
      <c r="L713" s="41"/>
      <c r="M713" s="39"/>
      <c r="N713" s="40"/>
      <c r="O713" s="40"/>
      <c r="P713" s="39"/>
      <c r="Q713" s="39"/>
      <c r="R713" s="40"/>
      <c r="S713" s="40"/>
      <c r="T713" s="39"/>
      <c r="U713" s="39"/>
      <c r="V713" s="40"/>
      <c r="W713" s="40"/>
      <c r="X713" s="41"/>
      <c r="Y713" s="41"/>
      <c r="Z713" s="40"/>
      <c r="AA713" s="40"/>
      <c r="AB713" s="41"/>
      <c r="AC713" s="41"/>
      <c r="AD713" s="40"/>
      <c r="AE713" s="40"/>
      <c r="AF713" s="42"/>
      <c r="AG713" s="42"/>
      <c r="AH713" s="40"/>
      <c r="AI713" s="40"/>
      <c r="AJ713" s="42"/>
      <c r="AK713" s="42"/>
      <c r="AL713" s="40"/>
      <c r="AM713" s="40"/>
      <c r="AN713" s="40"/>
      <c r="AO713" s="40"/>
      <c r="AP713" s="40"/>
      <c r="AQ713" s="40"/>
      <c r="AR713" s="39"/>
      <c r="AS713" s="39"/>
      <c r="AT713" s="40"/>
      <c r="AU713" s="40"/>
      <c r="AV713" s="23"/>
    </row>
    <row r="714" spans="1:48" ht="15.75" x14ac:dyDescent="0.25">
      <c r="A714" s="44"/>
      <c r="B714" s="23"/>
      <c r="C714" s="23"/>
      <c r="D714" s="39"/>
      <c r="E714" s="39"/>
      <c r="F714" s="40"/>
      <c r="G714" s="40"/>
      <c r="H714" s="41"/>
      <c r="I714" s="39"/>
      <c r="J714" s="40"/>
      <c r="K714" s="40"/>
      <c r="L714" s="41"/>
      <c r="M714" s="39"/>
      <c r="N714" s="40"/>
      <c r="O714" s="40"/>
      <c r="P714" s="39"/>
      <c r="Q714" s="39"/>
      <c r="R714" s="40"/>
      <c r="S714" s="40"/>
      <c r="T714" s="39"/>
      <c r="U714" s="39"/>
      <c r="V714" s="40"/>
      <c r="W714" s="40"/>
      <c r="X714" s="41"/>
      <c r="Y714" s="41"/>
      <c r="Z714" s="40"/>
      <c r="AA714" s="40"/>
      <c r="AB714" s="41"/>
      <c r="AC714" s="41"/>
      <c r="AD714" s="40"/>
      <c r="AE714" s="40"/>
      <c r="AF714" s="42"/>
      <c r="AG714" s="42"/>
      <c r="AH714" s="40"/>
      <c r="AI714" s="40"/>
      <c r="AJ714" s="42"/>
      <c r="AK714" s="42"/>
      <c r="AL714" s="40"/>
      <c r="AM714" s="40"/>
      <c r="AN714" s="40"/>
      <c r="AO714" s="40"/>
      <c r="AP714" s="40"/>
      <c r="AQ714" s="40"/>
      <c r="AR714" s="39"/>
      <c r="AS714" s="39"/>
      <c r="AT714" s="40"/>
      <c r="AU714" s="40"/>
      <c r="AV714" s="23"/>
    </row>
    <row r="715" spans="1:48" ht="15.75" x14ac:dyDescent="0.25">
      <c r="A715" s="44"/>
      <c r="B715" s="23"/>
      <c r="C715" s="23"/>
      <c r="D715" s="39"/>
      <c r="E715" s="39"/>
      <c r="F715" s="40"/>
      <c r="G715" s="40"/>
      <c r="H715" s="41"/>
      <c r="I715" s="39"/>
      <c r="J715" s="40"/>
      <c r="K715" s="40"/>
      <c r="L715" s="41"/>
      <c r="M715" s="39"/>
      <c r="N715" s="40"/>
      <c r="O715" s="40"/>
      <c r="P715" s="39"/>
      <c r="Q715" s="39"/>
      <c r="R715" s="40"/>
      <c r="S715" s="40"/>
      <c r="T715" s="39"/>
      <c r="U715" s="39"/>
      <c r="V715" s="40"/>
      <c r="W715" s="40"/>
      <c r="X715" s="41"/>
      <c r="Y715" s="41"/>
      <c r="Z715" s="40"/>
      <c r="AA715" s="40"/>
      <c r="AB715" s="41"/>
      <c r="AC715" s="41"/>
      <c r="AD715" s="40"/>
      <c r="AE715" s="40"/>
      <c r="AF715" s="42"/>
      <c r="AG715" s="42"/>
      <c r="AH715" s="40"/>
      <c r="AI715" s="40"/>
      <c r="AJ715" s="42"/>
      <c r="AK715" s="42"/>
      <c r="AL715" s="40"/>
      <c r="AM715" s="40"/>
      <c r="AN715" s="40"/>
      <c r="AO715" s="40"/>
      <c r="AP715" s="40"/>
      <c r="AQ715" s="40"/>
      <c r="AR715" s="39"/>
      <c r="AS715" s="39"/>
      <c r="AT715" s="40"/>
      <c r="AU715" s="40"/>
      <c r="AV715" s="23"/>
    </row>
    <row r="716" spans="1:48" ht="15.75" x14ac:dyDescent="0.25">
      <c r="A716" s="44"/>
      <c r="B716" s="23"/>
      <c r="C716" s="23"/>
      <c r="D716" s="39"/>
      <c r="E716" s="39"/>
      <c r="F716" s="40"/>
      <c r="G716" s="40"/>
      <c r="H716" s="41"/>
      <c r="I716" s="39"/>
      <c r="J716" s="40"/>
      <c r="K716" s="40"/>
      <c r="L716" s="41"/>
      <c r="M716" s="39"/>
      <c r="N716" s="40"/>
      <c r="O716" s="40"/>
      <c r="P716" s="39"/>
      <c r="Q716" s="39"/>
      <c r="R716" s="40"/>
      <c r="S716" s="40"/>
      <c r="T716" s="39"/>
      <c r="U716" s="39"/>
      <c r="V716" s="40"/>
      <c r="W716" s="40"/>
      <c r="X716" s="41"/>
      <c r="Y716" s="41"/>
      <c r="Z716" s="40"/>
      <c r="AA716" s="40"/>
      <c r="AB716" s="41"/>
      <c r="AC716" s="41"/>
      <c r="AD716" s="40"/>
      <c r="AE716" s="40"/>
      <c r="AF716" s="42"/>
      <c r="AG716" s="42"/>
      <c r="AH716" s="40"/>
      <c r="AI716" s="40"/>
      <c r="AJ716" s="42"/>
      <c r="AK716" s="42"/>
      <c r="AL716" s="40"/>
      <c r="AM716" s="40"/>
      <c r="AN716" s="40"/>
      <c r="AO716" s="40"/>
      <c r="AP716" s="40"/>
      <c r="AQ716" s="40"/>
      <c r="AR716" s="39"/>
      <c r="AS716" s="39"/>
      <c r="AT716" s="40"/>
      <c r="AU716" s="40"/>
      <c r="AV716" s="23"/>
    </row>
    <row r="717" spans="1:48" ht="15.75" x14ac:dyDescent="0.25">
      <c r="A717" s="44"/>
      <c r="B717" s="23"/>
      <c r="C717" s="23"/>
      <c r="D717" s="39"/>
      <c r="E717" s="39"/>
      <c r="F717" s="40"/>
      <c r="G717" s="40"/>
      <c r="H717" s="41"/>
      <c r="I717" s="39"/>
      <c r="J717" s="40"/>
      <c r="K717" s="40"/>
      <c r="L717" s="41"/>
      <c r="M717" s="39"/>
      <c r="N717" s="40"/>
      <c r="O717" s="40"/>
      <c r="P717" s="39"/>
      <c r="Q717" s="39"/>
      <c r="R717" s="40"/>
      <c r="S717" s="40"/>
      <c r="T717" s="39"/>
      <c r="U717" s="39"/>
      <c r="V717" s="40"/>
      <c r="W717" s="40"/>
      <c r="X717" s="41"/>
      <c r="Y717" s="41"/>
      <c r="Z717" s="40"/>
      <c r="AA717" s="40"/>
      <c r="AB717" s="41"/>
      <c r="AC717" s="41"/>
      <c r="AD717" s="40"/>
      <c r="AE717" s="40"/>
      <c r="AF717" s="42"/>
      <c r="AG717" s="42"/>
      <c r="AH717" s="40"/>
      <c r="AI717" s="40"/>
      <c r="AJ717" s="42"/>
      <c r="AK717" s="42"/>
      <c r="AL717" s="40"/>
      <c r="AM717" s="40"/>
      <c r="AN717" s="40"/>
      <c r="AO717" s="40"/>
      <c r="AP717" s="40"/>
      <c r="AQ717" s="40"/>
      <c r="AR717" s="39"/>
      <c r="AS717" s="39"/>
      <c r="AT717" s="40"/>
      <c r="AU717" s="40"/>
      <c r="AV717" s="23"/>
    </row>
    <row r="718" spans="1:48" ht="15.75" x14ac:dyDescent="0.25">
      <c r="A718" s="44"/>
      <c r="B718" s="23"/>
      <c r="C718" s="23"/>
      <c r="D718" s="39"/>
      <c r="E718" s="39"/>
      <c r="F718" s="40"/>
      <c r="G718" s="40"/>
      <c r="H718" s="41"/>
      <c r="I718" s="39"/>
      <c r="J718" s="40"/>
      <c r="K718" s="40"/>
      <c r="L718" s="41"/>
      <c r="M718" s="39"/>
      <c r="N718" s="40"/>
      <c r="O718" s="40"/>
      <c r="P718" s="39"/>
      <c r="Q718" s="39"/>
      <c r="R718" s="40"/>
      <c r="S718" s="40"/>
      <c r="T718" s="39"/>
      <c r="U718" s="39"/>
      <c r="V718" s="40"/>
      <c r="W718" s="40"/>
      <c r="X718" s="41"/>
      <c r="Y718" s="41"/>
      <c r="Z718" s="40"/>
      <c r="AA718" s="40"/>
      <c r="AB718" s="41"/>
      <c r="AC718" s="41"/>
      <c r="AD718" s="40"/>
      <c r="AE718" s="40"/>
      <c r="AF718" s="42"/>
      <c r="AG718" s="42"/>
      <c r="AH718" s="40"/>
      <c r="AI718" s="40"/>
      <c r="AJ718" s="42"/>
      <c r="AK718" s="42"/>
      <c r="AL718" s="40"/>
      <c r="AM718" s="40"/>
      <c r="AN718" s="40"/>
      <c r="AO718" s="40"/>
      <c r="AP718" s="40"/>
      <c r="AQ718" s="40"/>
      <c r="AR718" s="39"/>
      <c r="AS718" s="39"/>
      <c r="AT718" s="40"/>
      <c r="AU718" s="40"/>
      <c r="AV718" s="23"/>
    </row>
    <row r="719" spans="1:48" ht="15.75" x14ac:dyDescent="0.25">
      <c r="A719" s="44"/>
      <c r="B719" s="23"/>
      <c r="C719" s="23"/>
      <c r="D719" s="39"/>
      <c r="E719" s="39"/>
      <c r="F719" s="40"/>
      <c r="G719" s="40"/>
      <c r="H719" s="41"/>
      <c r="I719" s="39"/>
      <c r="J719" s="40"/>
      <c r="K719" s="40"/>
      <c r="L719" s="41"/>
      <c r="M719" s="39"/>
      <c r="N719" s="40"/>
      <c r="O719" s="40"/>
      <c r="P719" s="39"/>
      <c r="Q719" s="39"/>
      <c r="R719" s="40"/>
      <c r="S719" s="40"/>
      <c r="T719" s="39"/>
      <c r="U719" s="39"/>
      <c r="V719" s="40"/>
      <c r="W719" s="40"/>
      <c r="X719" s="41"/>
      <c r="Y719" s="41"/>
      <c r="Z719" s="40"/>
      <c r="AA719" s="40"/>
      <c r="AB719" s="41"/>
      <c r="AC719" s="41"/>
      <c r="AD719" s="40"/>
      <c r="AE719" s="40"/>
      <c r="AF719" s="42"/>
      <c r="AG719" s="42"/>
      <c r="AH719" s="40"/>
      <c r="AI719" s="40"/>
      <c r="AJ719" s="42"/>
      <c r="AK719" s="42"/>
      <c r="AL719" s="40"/>
      <c r="AM719" s="40"/>
      <c r="AN719" s="40"/>
      <c r="AO719" s="40"/>
      <c r="AP719" s="40"/>
      <c r="AQ719" s="40"/>
      <c r="AR719" s="39"/>
      <c r="AS719" s="39"/>
      <c r="AT719" s="40"/>
      <c r="AU719" s="40"/>
      <c r="AV719" s="23"/>
    </row>
    <row r="720" spans="1:48" ht="15.75" x14ac:dyDescent="0.25">
      <c r="A720" s="44"/>
      <c r="B720" s="23"/>
      <c r="C720" s="23"/>
      <c r="D720" s="39"/>
      <c r="E720" s="39"/>
      <c r="F720" s="40"/>
      <c r="G720" s="40"/>
      <c r="H720" s="41"/>
      <c r="I720" s="39"/>
      <c r="J720" s="40"/>
      <c r="K720" s="40"/>
      <c r="L720" s="41"/>
      <c r="M720" s="39"/>
      <c r="N720" s="40"/>
      <c r="O720" s="40"/>
      <c r="P720" s="39"/>
      <c r="Q720" s="39"/>
      <c r="R720" s="40"/>
      <c r="S720" s="40"/>
      <c r="T720" s="39"/>
      <c r="U720" s="39"/>
      <c r="V720" s="40"/>
      <c r="W720" s="40"/>
      <c r="X720" s="41"/>
      <c r="Y720" s="41"/>
      <c r="Z720" s="40"/>
      <c r="AA720" s="40"/>
      <c r="AB720" s="41"/>
      <c r="AC720" s="41"/>
      <c r="AD720" s="40"/>
      <c r="AE720" s="40"/>
      <c r="AF720" s="42"/>
      <c r="AG720" s="42"/>
      <c r="AH720" s="40"/>
      <c r="AI720" s="40"/>
      <c r="AJ720" s="42"/>
      <c r="AK720" s="42"/>
      <c r="AL720" s="40"/>
      <c r="AM720" s="40"/>
      <c r="AN720" s="40"/>
      <c r="AO720" s="40"/>
      <c r="AP720" s="40"/>
      <c r="AQ720" s="40"/>
      <c r="AR720" s="39"/>
      <c r="AS720" s="39"/>
      <c r="AT720" s="40"/>
      <c r="AU720" s="40"/>
      <c r="AV720" s="23"/>
    </row>
    <row r="721" spans="1:48" ht="15.75" x14ac:dyDescent="0.25">
      <c r="A721" s="44"/>
      <c r="B721" s="23"/>
      <c r="C721" s="23"/>
      <c r="D721" s="39"/>
      <c r="E721" s="39"/>
      <c r="F721" s="40"/>
      <c r="G721" s="40"/>
      <c r="H721" s="41"/>
      <c r="I721" s="39"/>
      <c r="J721" s="40"/>
      <c r="K721" s="40"/>
      <c r="L721" s="41"/>
      <c r="M721" s="39"/>
      <c r="N721" s="40"/>
      <c r="O721" s="40"/>
      <c r="P721" s="39"/>
      <c r="Q721" s="39"/>
      <c r="R721" s="40"/>
      <c r="S721" s="40"/>
      <c r="T721" s="39"/>
      <c r="U721" s="39"/>
      <c r="V721" s="40"/>
      <c r="W721" s="40"/>
      <c r="X721" s="41"/>
      <c r="Y721" s="41"/>
      <c r="Z721" s="40"/>
      <c r="AA721" s="40"/>
      <c r="AB721" s="41"/>
      <c r="AC721" s="41"/>
      <c r="AD721" s="40"/>
      <c r="AE721" s="40"/>
      <c r="AF721" s="42"/>
      <c r="AG721" s="42"/>
      <c r="AH721" s="40"/>
      <c r="AI721" s="40"/>
      <c r="AJ721" s="42"/>
      <c r="AK721" s="42"/>
      <c r="AL721" s="40"/>
      <c r="AM721" s="40"/>
      <c r="AN721" s="40"/>
      <c r="AO721" s="40"/>
      <c r="AP721" s="40"/>
      <c r="AQ721" s="40"/>
      <c r="AR721" s="39"/>
      <c r="AS721" s="39"/>
      <c r="AT721" s="40"/>
      <c r="AU721" s="40"/>
      <c r="AV721" s="23"/>
    </row>
    <row r="722" spans="1:48" ht="15.75" x14ac:dyDescent="0.25">
      <c r="A722" s="44"/>
      <c r="B722" s="23"/>
      <c r="C722" s="23"/>
      <c r="D722" s="39"/>
      <c r="E722" s="39"/>
      <c r="F722" s="40"/>
      <c r="G722" s="40"/>
      <c r="H722" s="41"/>
      <c r="I722" s="39"/>
      <c r="J722" s="40"/>
      <c r="K722" s="40"/>
      <c r="L722" s="41"/>
      <c r="M722" s="39"/>
      <c r="N722" s="40"/>
      <c r="O722" s="40"/>
      <c r="P722" s="39"/>
      <c r="Q722" s="39"/>
      <c r="R722" s="40"/>
      <c r="S722" s="40"/>
      <c r="T722" s="39"/>
      <c r="U722" s="39"/>
      <c r="V722" s="40"/>
      <c r="W722" s="40"/>
      <c r="X722" s="41"/>
      <c r="Y722" s="41"/>
      <c r="Z722" s="40"/>
      <c r="AA722" s="40"/>
      <c r="AB722" s="41"/>
      <c r="AC722" s="41"/>
      <c r="AD722" s="40"/>
      <c r="AE722" s="40"/>
      <c r="AF722" s="42"/>
      <c r="AG722" s="42"/>
      <c r="AH722" s="40"/>
      <c r="AI722" s="40"/>
      <c r="AJ722" s="42"/>
      <c r="AK722" s="42"/>
      <c r="AL722" s="40"/>
      <c r="AM722" s="40"/>
      <c r="AN722" s="40"/>
      <c r="AO722" s="40"/>
      <c r="AP722" s="40"/>
      <c r="AQ722" s="40"/>
      <c r="AR722" s="39"/>
      <c r="AS722" s="39"/>
      <c r="AT722" s="40"/>
      <c r="AU722" s="40"/>
      <c r="AV722" s="23"/>
    </row>
    <row r="723" spans="1:48" ht="15.75" x14ac:dyDescent="0.25">
      <c r="A723" s="44"/>
      <c r="B723" s="23"/>
      <c r="C723" s="23"/>
      <c r="D723" s="39"/>
      <c r="E723" s="39"/>
      <c r="F723" s="40"/>
      <c r="G723" s="40"/>
      <c r="H723" s="41"/>
      <c r="I723" s="39"/>
      <c r="J723" s="40"/>
      <c r="K723" s="40"/>
      <c r="L723" s="41"/>
      <c r="M723" s="39"/>
      <c r="N723" s="40"/>
      <c r="O723" s="40"/>
      <c r="P723" s="39"/>
      <c r="Q723" s="39"/>
      <c r="R723" s="40"/>
      <c r="S723" s="40"/>
      <c r="T723" s="39"/>
      <c r="U723" s="39"/>
      <c r="V723" s="40"/>
      <c r="W723" s="40"/>
      <c r="X723" s="41"/>
      <c r="Y723" s="41"/>
      <c r="Z723" s="40"/>
      <c r="AA723" s="40"/>
      <c r="AB723" s="41"/>
      <c r="AC723" s="41"/>
      <c r="AD723" s="40"/>
      <c r="AE723" s="40"/>
      <c r="AF723" s="42"/>
      <c r="AG723" s="42"/>
      <c r="AH723" s="40"/>
      <c r="AI723" s="40"/>
      <c r="AJ723" s="42"/>
      <c r="AK723" s="42"/>
      <c r="AL723" s="40"/>
      <c r="AM723" s="40"/>
      <c r="AN723" s="40"/>
      <c r="AO723" s="40"/>
      <c r="AP723" s="40"/>
      <c r="AQ723" s="40"/>
      <c r="AR723" s="39"/>
      <c r="AS723" s="39"/>
      <c r="AT723" s="40"/>
      <c r="AU723" s="40"/>
      <c r="AV723" s="23"/>
    </row>
    <row r="724" spans="1:48" ht="15.75" x14ac:dyDescent="0.25">
      <c r="A724" s="44"/>
      <c r="B724" s="23"/>
      <c r="C724" s="23"/>
      <c r="D724" s="39"/>
      <c r="E724" s="39"/>
      <c r="F724" s="40"/>
      <c r="G724" s="40"/>
      <c r="H724" s="41"/>
      <c r="I724" s="39"/>
      <c r="J724" s="40"/>
      <c r="K724" s="40"/>
      <c r="L724" s="41"/>
      <c r="M724" s="39"/>
      <c r="N724" s="40"/>
      <c r="O724" s="40"/>
      <c r="P724" s="39"/>
      <c r="Q724" s="39"/>
      <c r="R724" s="40"/>
      <c r="S724" s="40"/>
      <c r="T724" s="39"/>
      <c r="U724" s="39"/>
      <c r="V724" s="40"/>
      <c r="W724" s="40"/>
      <c r="X724" s="41"/>
      <c r="Y724" s="41"/>
      <c r="Z724" s="40"/>
      <c r="AA724" s="40"/>
      <c r="AB724" s="41"/>
      <c r="AC724" s="41"/>
      <c r="AD724" s="40"/>
      <c r="AE724" s="40"/>
      <c r="AF724" s="42"/>
      <c r="AG724" s="42"/>
      <c r="AH724" s="40"/>
      <c r="AI724" s="40"/>
      <c r="AJ724" s="42"/>
      <c r="AK724" s="42"/>
      <c r="AL724" s="40"/>
      <c r="AM724" s="40"/>
      <c r="AN724" s="40"/>
      <c r="AO724" s="40"/>
      <c r="AP724" s="40"/>
      <c r="AQ724" s="40"/>
      <c r="AR724" s="39"/>
      <c r="AS724" s="39"/>
      <c r="AT724" s="40"/>
      <c r="AU724" s="40"/>
      <c r="AV724" s="23"/>
    </row>
    <row r="725" spans="1:48" ht="15.75" x14ac:dyDescent="0.25">
      <c r="A725" s="44"/>
      <c r="B725" s="23"/>
      <c r="C725" s="23"/>
      <c r="D725" s="39"/>
      <c r="E725" s="39"/>
      <c r="F725" s="40"/>
      <c r="G725" s="40"/>
      <c r="H725" s="41"/>
      <c r="I725" s="39"/>
      <c r="J725" s="40"/>
      <c r="K725" s="40"/>
      <c r="L725" s="41"/>
      <c r="M725" s="39"/>
      <c r="N725" s="40"/>
      <c r="O725" s="40"/>
      <c r="P725" s="39"/>
      <c r="Q725" s="39"/>
      <c r="R725" s="40"/>
      <c r="S725" s="40"/>
      <c r="T725" s="39"/>
      <c r="U725" s="39"/>
      <c r="V725" s="40"/>
      <c r="W725" s="40"/>
      <c r="X725" s="41"/>
      <c r="Y725" s="41"/>
      <c r="Z725" s="40"/>
      <c r="AA725" s="40"/>
      <c r="AB725" s="41"/>
      <c r="AC725" s="41"/>
      <c r="AD725" s="40"/>
      <c r="AE725" s="40"/>
      <c r="AF725" s="42"/>
      <c r="AG725" s="42"/>
      <c r="AH725" s="40"/>
      <c r="AI725" s="40"/>
      <c r="AJ725" s="42"/>
      <c r="AK725" s="42"/>
      <c r="AL725" s="40"/>
      <c r="AM725" s="40"/>
      <c r="AN725" s="40"/>
      <c r="AO725" s="40"/>
      <c r="AP725" s="40"/>
      <c r="AQ725" s="40"/>
      <c r="AR725" s="39"/>
      <c r="AS725" s="39"/>
      <c r="AT725" s="40"/>
      <c r="AU725" s="40"/>
      <c r="AV725" s="23"/>
    </row>
    <row r="726" spans="1:48" ht="15.75" x14ac:dyDescent="0.25">
      <c r="A726" s="44"/>
      <c r="B726" s="23"/>
      <c r="C726" s="23"/>
      <c r="D726" s="39"/>
      <c r="E726" s="39"/>
      <c r="F726" s="40"/>
      <c r="G726" s="40"/>
      <c r="H726" s="41"/>
      <c r="I726" s="39"/>
      <c r="J726" s="40"/>
      <c r="K726" s="40"/>
      <c r="L726" s="41"/>
      <c r="M726" s="39"/>
      <c r="N726" s="40"/>
      <c r="O726" s="40"/>
      <c r="P726" s="39"/>
      <c r="Q726" s="39"/>
      <c r="R726" s="40"/>
      <c r="S726" s="40"/>
      <c r="T726" s="39"/>
      <c r="U726" s="39"/>
      <c r="V726" s="40"/>
      <c r="W726" s="40"/>
      <c r="X726" s="41"/>
      <c r="Y726" s="41"/>
      <c r="Z726" s="40"/>
      <c r="AA726" s="40"/>
      <c r="AB726" s="41"/>
      <c r="AC726" s="41"/>
      <c r="AD726" s="40"/>
      <c r="AE726" s="40"/>
      <c r="AF726" s="42"/>
      <c r="AG726" s="42"/>
      <c r="AH726" s="40"/>
      <c r="AI726" s="40"/>
      <c r="AJ726" s="42"/>
      <c r="AK726" s="42"/>
      <c r="AL726" s="40"/>
      <c r="AM726" s="40"/>
      <c r="AN726" s="40"/>
      <c r="AO726" s="40"/>
      <c r="AP726" s="40"/>
      <c r="AQ726" s="40"/>
      <c r="AR726" s="39"/>
      <c r="AS726" s="39"/>
      <c r="AT726" s="40"/>
      <c r="AU726" s="40"/>
      <c r="AV726" s="23"/>
    </row>
    <row r="727" spans="1:48" ht="15.75" x14ac:dyDescent="0.25">
      <c r="A727" s="44"/>
      <c r="B727" s="23"/>
      <c r="C727" s="23"/>
      <c r="D727" s="39"/>
      <c r="E727" s="39"/>
      <c r="F727" s="40"/>
      <c r="G727" s="40"/>
      <c r="H727" s="41"/>
      <c r="I727" s="39"/>
      <c r="J727" s="40"/>
      <c r="K727" s="40"/>
      <c r="L727" s="41"/>
      <c r="M727" s="39"/>
      <c r="N727" s="40"/>
      <c r="O727" s="40"/>
      <c r="P727" s="39"/>
      <c r="Q727" s="39"/>
      <c r="R727" s="40"/>
      <c r="S727" s="40"/>
      <c r="T727" s="39"/>
      <c r="U727" s="39"/>
      <c r="V727" s="40"/>
      <c r="W727" s="40"/>
      <c r="X727" s="41"/>
      <c r="Y727" s="41"/>
      <c r="Z727" s="40"/>
      <c r="AA727" s="40"/>
      <c r="AB727" s="41"/>
      <c r="AC727" s="41"/>
      <c r="AD727" s="40"/>
      <c r="AE727" s="40"/>
      <c r="AF727" s="42"/>
      <c r="AG727" s="42"/>
      <c r="AH727" s="40"/>
      <c r="AI727" s="40"/>
      <c r="AJ727" s="42"/>
      <c r="AK727" s="42"/>
      <c r="AL727" s="40"/>
      <c r="AM727" s="40"/>
      <c r="AN727" s="40"/>
      <c r="AO727" s="40"/>
      <c r="AP727" s="40"/>
      <c r="AQ727" s="40"/>
      <c r="AR727" s="39"/>
      <c r="AS727" s="39"/>
      <c r="AT727" s="40"/>
      <c r="AU727" s="40"/>
      <c r="AV727" s="23"/>
    </row>
    <row r="728" spans="1:48" ht="15.75" x14ac:dyDescent="0.25">
      <c r="A728" s="44"/>
      <c r="B728" s="23"/>
      <c r="C728" s="23"/>
      <c r="D728" s="39"/>
      <c r="E728" s="39"/>
      <c r="F728" s="40"/>
      <c r="G728" s="40"/>
      <c r="H728" s="41"/>
      <c r="I728" s="39"/>
      <c r="J728" s="40"/>
      <c r="K728" s="40"/>
      <c r="L728" s="41"/>
      <c r="M728" s="39"/>
      <c r="N728" s="40"/>
      <c r="O728" s="40"/>
      <c r="P728" s="39"/>
      <c r="Q728" s="39"/>
      <c r="R728" s="40"/>
      <c r="S728" s="40"/>
      <c r="T728" s="39"/>
      <c r="U728" s="39"/>
      <c r="V728" s="40"/>
      <c r="W728" s="40"/>
      <c r="X728" s="41"/>
      <c r="Y728" s="41"/>
      <c r="Z728" s="40"/>
      <c r="AA728" s="40"/>
      <c r="AB728" s="41"/>
      <c r="AC728" s="41"/>
      <c r="AD728" s="40"/>
      <c r="AE728" s="40"/>
      <c r="AF728" s="42"/>
      <c r="AG728" s="42"/>
      <c r="AH728" s="40"/>
      <c r="AI728" s="40"/>
      <c r="AJ728" s="42"/>
      <c r="AK728" s="42"/>
      <c r="AL728" s="40"/>
      <c r="AM728" s="40"/>
      <c r="AN728" s="40"/>
      <c r="AO728" s="40"/>
      <c r="AP728" s="40"/>
      <c r="AQ728" s="40"/>
      <c r="AR728" s="39"/>
      <c r="AS728" s="39"/>
      <c r="AT728" s="40"/>
      <c r="AU728" s="40"/>
      <c r="AV728" s="23"/>
    </row>
    <row r="729" spans="1:48" ht="15.75" x14ac:dyDescent="0.25">
      <c r="A729" s="44"/>
      <c r="B729" s="23"/>
      <c r="C729" s="23"/>
      <c r="D729" s="39"/>
      <c r="E729" s="39"/>
      <c r="F729" s="40"/>
      <c r="G729" s="40"/>
      <c r="H729" s="41"/>
      <c r="I729" s="39"/>
      <c r="J729" s="40"/>
      <c r="K729" s="40"/>
      <c r="L729" s="41"/>
      <c r="M729" s="39"/>
      <c r="N729" s="40"/>
      <c r="O729" s="40"/>
      <c r="P729" s="39"/>
      <c r="Q729" s="39"/>
      <c r="R729" s="40"/>
      <c r="S729" s="40"/>
      <c r="T729" s="39"/>
      <c r="U729" s="39"/>
      <c r="V729" s="40"/>
      <c r="W729" s="40"/>
      <c r="X729" s="41"/>
      <c r="Y729" s="41"/>
      <c r="Z729" s="40"/>
      <c r="AA729" s="40"/>
      <c r="AB729" s="41"/>
      <c r="AC729" s="41"/>
      <c r="AD729" s="40"/>
      <c r="AE729" s="40"/>
      <c r="AF729" s="42"/>
      <c r="AG729" s="42"/>
      <c r="AH729" s="40"/>
      <c r="AI729" s="40"/>
      <c r="AJ729" s="42"/>
      <c r="AK729" s="42"/>
      <c r="AL729" s="40"/>
      <c r="AM729" s="40"/>
      <c r="AN729" s="40"/>
      <c r="AO729" s="40"/>
      <c r="AP729" s="40"/>
      <c r="AQ729" s="40"/>
      <c r="AR729" s="39"/>
      <c r="AS729" s="39"/>
      <c r="AT729" s="40"/>
      <c r="AU729" s="40"/>
      <c r="AV729" s="23"/>
    </row>
    <row r="730" spans="1:48" ht="15.75" x14ac:dyDescent="0.25">
      <c r="A730" s="44"/>
      <c r="B730" s="23"/>
      <c r="C730" s="23"/>
      <c r="D730" s="39"/>
      <c r="E730" s="39"/>
      <c r="F730" s="40"/>
      <c r="G730" s="40"/>
      <c r="H730" s="41"/>
      <c r="I730" s="39"/>
      <c r="J730" s="40"/>
      <c r="K730" s="40"/>
      <c r="L730" s="41"/>
      <c r="M730" s="39"/>
      <c r="N730" s="40"/>
      <c r="O730" s="40"/>
      <c r="P730" s="39"/>
      <c r="Q730" s="39"/>
      <c r="R730" s="40"/>
      <c r="S730" s="40"/>
      <c r="T730" s="39"/>
      <c r="U730" s="39"/>
      <c r="V730" s="40"/>
      <c r="W730" s="40"/>
      <c r="X730" s="41"/>
      <c r="Y730" s="41"/>
      <c r="Z730" s="40"/>
      <c r="AA730" s="40"/>
      <c r="AB730" s="41"/>
      <c r="AC730" s="41"/>
      <c r="AD730" s="40"/>
      <c r="AE730" s="40"/>
      <c r="AF730" s="42"/>
      <c r="AG730" s="42"/>
      <c r="AH730" s="40"/>
      <c r="AI730" s="40"/>
      <c r="AJ730" s="42"/>
      <c r="AK730" s="42"/>
      <c r="AL730" s="40"/>
      <c r="AM730" s="40"/>
      <c r="AN730" s="40"/>
      <c r="AO730" s="40"/>
      <c r="AP730" s="40"/>
      <c r="AQ730" s="40"/>
      <c r="AR730" s="39"/>
      <c r="AS730" s="39"/>
      <c r="AT730" s="40"/>
      <c r="AU730" s="40"/>
      <c r="AV730" s="23"/>
    </row>
    <row r="731" spans="1:48" ht="15.75" x14ac:dyDescent="0.25">
      <c r="A731" s="44"/>
      <c r="B731" s="23"/>
      <c r="C731" s="23"/>
      <c r="D731" s="39"/>
      <c r="E731" s="39"/>
      <c r="F731" s="40"/>
      <c r="G731" s="40"/>
      <c r="H731" s="41"/>
      <c r="I731" s="39"/>
      <c r="J731" s="40"/>
      <c r="K731" s="40"/>
      <c r="L731" s="41"/>
      <c r="M731" s="39"/>
      <c r="N731" s="40"/>
      <c r="O731" s="40"/>
      <c r="P731" s="39"/>
      <c r="Q731" s="39"/>
      <c r="R731" s="40"/>
      <c r="S731" s="40"/>
      <c r="T731" s="39"/>
      <c r="U731" s="39"/>
      <c r="V731" s="40"/>
      <c r="W731" s="40"/>
      <c r="X731" s="41"/>
      <c r="Y731" s="41"/>
      <c r="Z731" s="40"/>
      <c r="AA731" s="40"/>
      <c r="AB731" s="41"/>
      <c r="AC731" s="41"/>
      <c r="AD731" s="40"/>
      <c r="AE731" s="40"/>
      <c r="AF731" s="42"/>
      <c r="AG731" s="42"/>
      <c r="AH731" s="40"/>
      <c r="AI731" s="40"/>
      <c r="AJ731" s="42"/>
      <c r="AK731" s="42"/>
      <c r="AL731" s="40"/>
      <c r="AM731" s="40"/>
      <c r="AN731" s="40"/>
      <c r="AO731" s="40"/>
      <c r="AP731" s="40"/>
      <c r="AQ731" s="40"/>
      <c r="AR731" s="39"/>
      <c r="AS731" s="39"/>
      <c r="AT731" s="40"/>
      <c r="AU731" s="40"/>
      <c r="AV731" s="23"/>
    </row>
    <row r="732" spans="1:48" ht="15.75" x14ac:dyDescent="0.25">
      <c r="A732" s="44"/>
      <c r="B732" s="23"/>
      <c r="C732" s="23"/>
      <c r="D732" s="39"/>
      <c r="E732" s="39"/>
      <c r="F732" s="40"/>
      <c r="G732" s="40"/>
      <c r="H732" s="41"/>
      <c r="I732" s="39"/>
      <c r="J732" s="40"/>
      <c r="K732" s="40"/>
      <c r="L732" s="41"/>
      <c r="M732" s="39"/>
      <c r="N732" s="40"/>
      <c r="O732" s="40"/>
      <c r="P732" s="39"/>
      <c r="Q732" s="39"/>
      <c r="R732" s="40"/>
      <c r="S732" s="40"/>
      <c r="T732" s="39"/>
      <c r="U732" s="39"/>
      <c r="V732" s="40"/>
      <c r="W732" s="40"/>
      <c r="X732" s="41"/>
      <c r="Y732" s="41"/>
      <c r="Z732" s="40"/>
      <c r="AA732" s="40"/>
      <c r="AB732" s="41"/>
      <c r="AC732" s="41"/>
      <c r="AD732" s="40"/>
      <c r="AE732" s="40"/>
      <c r="AF732" s="42"/>
      <c r="AG732" s="42"/>
      <c r="AH732" s="40"/>
      <c r="AI732" s="40"/>
      <c r="AJ732" s="42"/>
      <c r="AK732" s="42"/>
      <c r="AL732" s="40"/>
      <c r="AM732" s="40"/>
      <c r="AN732" s="40"/>
      <c r="AO732" s="40"/>
      <c r="AP732" s="40"/>
      <c r="AQ732" s="40"/>
      <c r="AR732" s="39"/>
      <c r="AS732" s="39"/>
      <c r="AT732" s="40"/>
      <c r="AU732" s="40"/>
      <c r="AV732" s="23"/>
    </row>
    <row r="733" spans="1:48" ht="15.75" x14ac:dyDescent="0.25">
      <c r="A733" s="44"/>
      <c r="B733" s="23"/>
      <c r="C733" s="23"/>
      <c r="D733" s="39"/>
      <c r="E733" s="39"/>
      <c r="F733" s="40"/>
      <c r="G733" s="40"/>
      <c r="H733" s="41"/>
      <c r="I733" s="39"/>
      <c r="J733" s="40"/>
      <c r="K733" s="40"/>
      <c r="L733" s="41"/>
      <c r="M733" s="39"/>
      <c r="N733" s="40"/>
      <c r="O733" s="40"/>
      <c r="P733" s="39"/>
      <c r="Q733" s="39"/>
      <c r="R733" s="40"/>
      <c r="S733" s="40"/>
      <c r="T733" s="39"/>
      <c r="U733" s="39"/>
      <c r="V733" s="40"/>
      <c r="W733" s="40"/>
      <c r="X733" s="41"/>
      <c r="Y733" s="41"/>
      <c r="Z733" s="40"/>
      <c r="AA733" s="40"/>
      <c r="AB733" s="41"/>
      <c r="AC733" s="41"/>
      <c r="AD733" s="40"/>
      <c r="AE733" s="40"/>
      <c r="AF733" s="42"/>
      <c r="AG733" s="42"/>
      <c r="AH733" s="40"/>
      <c r="AI733" s="40"/>
      <c r="AJ733" s="42"/>
      <c r="AK733" s="42"/>
      <c r="AL733" s="40"/>
      <c r="AM733" s="40"/>
      <c r="AN733" s="40"/>
      <c r="AO733" s="40"/>
      <c r="AP733" s="40"/>
      <c r="AQ733" s="40"/>
      <c r="AR733" s="39"/>
      <c r="AS733" s="39"/>
      <c r="AT733" s="40"/>
      <c r="AU733" s="40"/>
      <c r="AV733" s="23"/>
    </row>
    <row r="734" spans="1:48" ht="15.75" x14ac:dyDescent="0.25">
      <c r="A734" s="44"/>
      <c r="B734" s="23"/>
      <c r="C734" s="23"/>
      <c r="D734" s="39"/>
      <c r="E734" s="39"/>
      <c r="F734" s="40"/>
      <c r="G734" s="40"/>
      <c r="H734" s="41"/>
      <c r="I734" s="39"/>
      <c r="J734" s="40"/>
      <c r="K734" s="40"/>
      <c r="L734" s="41"/>
      <c r="M734" s="39"/>
      <c r="N734" s="40"/>
      <c r="O734" s="40"/>
      <c r="P734" s="39"/>
      <c r="Q734" s="39"/>
      <c r="R734" s="40"/>
      <c r="S734" s="40"/>
      <c r="T734" s="39"/>
      <c r="U734" s="39"/>
      <c r="V734" s="40"/>
      <c r="W734" s="40"/>
      <c r="X734" s="41"/>
      <c r="Y734" s="41"/>
      <c r="Z734" s="40"/>
      <c r="AA734" s="40"/>
      <c r="AB734" s="41"/>
      <c r="AC734" s="41"/>
      <c r="AD734" s="40"/>
      <c r="AE734" s="40"/>
      <c r="AF734" s="42"/>
      <c r="AG734" s="42"/>
      <c r="AH734" s="40"/>
      <c r="AI734" s="40"/>
      <c r="AJ734" s="42"/>
      <c r="AK734" s="42"/>
      <c r="AL734" s="40"/>
      <c r="AM734" s="40"/>
      <c r="AN734" s="40"/>
      <c r="AO734" s="40"/>
      <c r="AP734" s="40"/>
      <c r="AQ734" s="40"/>
      <c r="AR734" s="39"/>
      <c r="AS734" s="39"/>
      <c r="AT734" s="40"/>
      <c r="AU734" s="40"/>
      <c r="AV734" s="23"/>
    </row>
    <row r="735" spans="1:48" ht="15.75" x14ac:dyDescent="0.25">
      <c r="A735" s="44"/>
      <c r="B735" s="23"/>
      <c r="C735" s="23"/>
      <c r="D735" s="39"/>
      <c r="E735" s="39"/>
      <c r="F735" s="40"/>
      <c r="G735" s="40"/>
      <c r="H735" s="41"/>
      <c r="I735" s="39"/>
      <c r="J735" s="40"/>
      <c r="K735" s="40"/>
      <c r="L735" s="41"/>
      <c r="M735" s="39"/>
      <c r="N735" s="40"/>
      <c r="O735" s="40"/>
      <c r="P735" s="39"/>
      <c r="Q735" s="39"/>
      <c r="R735" s="40"/>
      <c r="S735" s="40"/>
      <c r="T735" s="39"/>
      <c r="U735" s="39"/>
      <c r="V735" s="40"/>
      <c r="W735" s="40"/>
      <c r="X735" s="41"/>
      <c r="Y735" s="41"/>
      <c r="Z735" s="40"/>
      <c r="AA735" s="40"/>
      <c r="AB735" s="41"/>
      <c r="AC735" s="41"/>
      <c r="AD735" s="40"/>
      <c r="AE735" s="40"/>
      <c r="AF735" s="42"/>
      <c r="AG735" s="42"/>
      <c r="AH735" s="40"/>
      <c r="AI735" s="40"/>
      <c r="AJ735" s="42"/>
      <c r="AK735" s="42"/>
      <c r="AL735" s="40"/>
      <c r="AM735" s="40"/>
      <c r="AN735" s="40"/>
      <c r="AO735" s="40"/>
      <c r="AP735" s="40"/>
      <c r="AQ735" s="40"/>
      <c r="AR735" s="39"/>
      <c r="AS735" s="39"/>
      <c r="AT735" s="40"/>
      <c r="AU735" s="40"/>
      <c r="AV735" s="23"/>
    </row>
    <row r="736" spans="1:48" ht="15.75" x14ac:dyDescent="0.25">
      <c r="A736" s="44"/>
      <c r="B736" s="23"/>
      <c r="C736" s="23"/>
      <c r="D736" s="39"/>
      <c r="E736" s="39"/>
      <c r="F736" s="40"/>
      <c r="G736" s="40"/>
      <c r="H736" s="41"/>
      <c r="I736" s="39"/>
      <c r="J736" s="40"/>
      <c r="K736" s="40"/>
      <c r="L736" s="41"/>
      <c r="M736" s="39"/>
      <c r="N736" s="40"/>
      <c r="O736" s="40"/>
      <c r="P736" s="39"/>
      <c r="Q736" s="39"/>
      <c r="R736" s="40"/>
      <c r="S736" s="40"/>
      <c r="T736" s="39"/>
      <c r="U736" s="39"/>
      <c r="V736" s="40"/>
      <c r="W736" s="40"/>
      <c r="X736" s="41"/>
      <c r="Y736" s="41"/>
      <c r="Z736" s="40"/>
      <c r="AA736" s="40"/>
      <c r="AB736" s="41"/>
      <c r="AC736" s="41"/>
      <c r="AD736" s="40"/>
      <c r="AE736" s="40"/>
      <c r="AF736" s="42"/>
      <c r="AG736" s="42"/>
      <c r="AH736" s="40"/>
      <c r="AI736" s="40"/>
      <c r="AJ736" s="42"/>
      <c r="AK736" s="42"/>
      <c r="AL736" s="40"/>
      <c r="AM736" s="40"/>
      <c r="AN736" s="40"/>
      <c r="AO736" s="40"/>
      <c r="AP736" s="40"/>
      <c r="AQ736" s="40"/>
      <c r="AR736" s="39"/>
      <c r="AS736" s="39"/>
      <c r="AT736" s="40"/>
      <c r="AU736" s="40"/>
      <c r="AV736" s="23"/>
    </row>
    <row r="737" spans="1:48" ht="15.75" x14ac:dyDescent="0.25">
      <c r="A737" s="44"/>
      <c r="B737" s="23"/>
      <c r="C737" s="23"/>
      <c r="D737" s="39"/>
      <c r="E737" s="39"/>
      <c r="F737" s="40"/>
      <c r="G737" s="40"/>
      <c r="H737" s="41"/>
      <c r="I737" s="39"/>
      <c r="J737" s="40"/>
      <c r="K737" s="40"/>
      <c r="L737" s="41"/>
      <c r="M737" s="39"/>
      <c r="N737" s="40"/>
      <c r="O737" s="40"/>
      <c r="P737" s="39"/>
      <c r="Q737" s="39"/>
      <c r="R737" s="40"/>
      <c r="S737" s="40"/>
      <c r="T737" s="39"/>
      <c r="U737" s="39"/>
      <c r="V737" s="40"/>
      <c r="W737" s="40"/>
      <c r="X737" s="41"/>
      <c r="Y737" s="41"/>
      <c r="Z737" s="40"/>
      <c r="AA737" s="40"/>
      <c r="AB737" s="41"/>
      <c r="AC737" s="41"/>
      <c r="AD737" s="40"/>
      <c r="AE737" s="40"/>
      <c r="AF737" s="42"/>
      <c r="AG737" s="42"/>
      <c r="AH737" s="40"/>
      <c r="AI737" s="40"/>
      <c r="AJ737" s="42"/>
      <c r="AK737" s="42"/>
      <c r="AL737" s="40"/>
      <c r="AM737" s="40"/>
      <c r="AN737" s="40"/>
      <c r="AO737" s="40"/>
      <c r="AP737" s="40"/>
      <c r="AQ737" s="40"/>
      <c r="AR737" s="39"/>
      <c r="AS737" s="39"/>
      <c r="AT737" s="40"/>
      <c r="AU737" s="40"/>
      <c r="AV737" s="23"/>
    </row>
    <row r="738" spans="1:48" ht="15.75" x14ac:dyDescent="0.25">
      <c r="A738" s="44"/>
      <c r="B738" s="23"/>
      <c r="C738" s="23"/>
      <c r="D738" s="39"/>
      <c r="E738" s="39"/>
      <c r="F738" s="40"/>
      <c r="G738" s="40"/>
      <c r="H738" s="41"/>
      <c r="I738" s="39"/>
      <c r="J738" s="40"/>
      <c r="K738" s="40"/>
      <c r="L738" s="41"/>
      <c r="M738" s="39"/>
      <c r="N738" s="40"/>
      <c r="O738" s="40"/>
      <c r="P738" s="39"/>
      <c r="Q738" s="39"/>
      <c r="R738" s="40"/>
      <c r="S738" s="40"/>
      <c r="T738" s="39"/>
      <c r="U738" s="39"/>
      <c r="V738" s="40"/>
      <c r="W738" s="40"/>
      <c r="X738" s="41"/>
      <c r="Y738" s="41"/>
      <c r="Z738" s="40"/>
      <c r="AA738" s="40"/>
      <c r="AB738" s="41"/>
      <c r="AC738" s="41"/>
      <c r="AD738" s="40"/>
      <c r="AE738" s="40"/>
      <c r="AF738" s="42"/>
      <c r="AG738" s="42"/>
      <c r="AH738" s="40"/>
      <c r="AI738" s="40"/>
      <c r="AJ738" s="42"/>
      <c r="AK738" s="42"/>
      <c r="AL738" s="40"/>
      <c r="AM738" s="40"/>
      <c r="AN738" s="40"/>
      <c r="AO738" s="40"/>
      <c r="AP738" s="40"/>
      <c r="AQ738" s="40"/>
      <c r="AR738" s="39"/>
      <c r="AS738" s="39"/>
      <c r="AT738" s="40"/>
      <c r="AU738" s="40"/>
      <c r="AV738" s="23"/>
    </row>
    <row r="739" spans="1:48" ht="15.75" x14ac:dyDescent="0.25">
      <c r="A739" s="44"/>
      <c r="B739" s="23"/>
      <c r="C739" s="23"/>
      <c r="D739" s="39"/>
      <c r="E739" s="39"/>
      <c r="F739" s="40"/>
      <c r="G739" s="40"/>
      <c r="H739" s="41"/>
      <c r="I739" s="39"/>
      <c r="J739" s="40"/>
      <c r="K739" s="40"/>
      <c r="L739" s="41"/>
      <c r="M739" s="39"/>
      <c r="N739" s="40"/>
      <c r="O739" s="40"/>
      <c r="P739" s="39"/>
      <c r="Q739" s="39"/>
      <c r="R739" s="40"/>
      <c r="S739" s="40"/>
      <c r="T739" s="39"/>
      <c r="U739" s="39"/>
      <c r="V739" s="40"/>
      <c r="W739" s="40"/>
      <c r="X739" s="41"/>
      <c r="Y739" s="41"/>
      <c r="Z739" s="40"/>
      <c r="AA739" s="40"/>
      <c r="AB739" s="41"/>
      <c r="AC739" s="41"/>
      <c r="AD739" s="40"/>
      <c r="AE739" s="40"/>
      <c r="AF739" s="42"/>
      <c r="AG739" s="42"/>
      <c r="AH739" s="40"/>
      <c r="AI739" s="40"/>
      <c r="AJ739" s="42"/>
      <c r="AK739" s="42"/>
      <c r="AL739" s="40"/>
      <c r="AM739" s="40"/>
      <c r="AN739" s="40"/>
      <c r="AO739" s="40"/>
      <c r="AP739" s="40"/>
      <c r="AQ739" s="40"/>
      <c r="AR739" s="39"/>
      <c r="AS739" s="39"/>
      <c r="AT739" s="40"/>
      <c r="AU739" s="40"/>
      <c r="AV739" s="23"/>
    </row>
    <row r="740" spans="1:48" ht="15.75" x14ac:dyDescent="0.25">
      <c r="A740" s="44"/>
      <c r="B740" s="23"/>
      <c r="C740" s="23"/>
      <c r="D740" s="39"/>
      <c r="E740" s="39"/>
      <c r="F740" s="40"/>
      <c r="G740" s="40"/>
      <c r="H740" s="41"/>
      <c r="I740" s="39"/>
      <c r="J740" s="40"/>
      <c r="K740" s="40"/>
      <c r="L740" s="41"/>
      <c r="M740" s="39"/>
      <c r="N740" s="40"/>
      <c r="O740" s="40"/>
      <c r="P740" s="39"/>
      <c r="Q740" s="39"/>
      <c r="R740" s="40"/>
      <c r="S740" s="40"/>
      <c r="T740" s="39"/>
      <c r="U740" s="39"/>
      <c r="V740" s="40"/>
      <c r="W740" s="40"/>
      <c r="X740" s="41"/>
      <c r="Y740" s="41"/>
      <c r="Z740" s="40"/>
      <c r="AA740" s="40"/>
      <c r="AB740" s="41"/>
      <c r="AC740" s="41"/>
      <c r="AD740" s="40"/>
      <c r="AE740" s="40"/>
      <c r="AF740" s="42"/>
      <c r="AG740" s="42"/>
      <c r="AH740" s="40"/>
      <c r="AI740" s="40"/>
      <c r="AJ740" s="42"/>
      <c r="AK740" s="42"/>
      <c r="AL740" s="40"/>
      <c r="AM740" s="40"/>
      <c r="AN740" s="40"/>
      <c r="AO740" s="40"/>
      <c r="AP740" s="40"/>
      <c r="AQ740" s="40"/>
      <c r="AR740" s="39"/>
      <c r="AS740" s="39"/>
      <c r="AT740" s="40"/>
      <c r="AU740" s="40"/>
      <c r="AV740" s="23"/>
    </row>
    <row r="741" spans="1:48" ht="15.75" x14ac:dyDescent="0.25">
      <c r="A741" s="44"/>
      <c r="B741" s="23"/>
      <c r="C741" s="23"/>
      <c r="D741" s="39"/>
      <c r="E741" s="39"/>
      <c r="F741" s="40"/>
      <c r="G741" s="40"/>
      <c r="H741" s="41"/>
      <c r="I741" s="39"/>
      <c r="J741" s="40"/>
      <c r="K741" s="40"/>
      <c r="L741" s="41"/>
      <c r="M741" s="39"/>
      <c r="N741" s="40"/>
      <c r="O741" s="40"/>
      <c r="P741" s="39"/>
      <c r="Q741" s="39"/>
      <c r="R741" s="40"/>
      <c r="S741" s="40"/>
      <c r="T741" s="39"/>
      <c r="U741" s="39"/>
      <c r="V741" s="40"/>
      <c r="W741" s="40"/>
      <c r="X741" s="41"/>
      <c r="Y741" s="41"/>
      <c r="Z741" s="40"/>
      <c r="AA741" s="40"/>
      <c r="AB741" s="41"/>
      <c r="AC741" s="41"/>
      <c r="AD741" s="40"/>
      <c r="AE741" s="40"/>
      <c r="AF741" s="42"/>
      <c r="AG741" s="42"/>
      <c r="AH741" s="40"/>
      <c r="AI741" s="40"/>
      <c r="AJ741" s="42"/>
      <c r="AK741" s="42"/>
      <c r="AL741" s="40"/>
      <c r="AM741" s="40"/>
      <c r="AN741" s="40"/>
      <c r="AO741" s="40"/>
      <c r="AP741" s="40"/>
      <c r="AQ741" s="40"/>
      <c r="AR741" s="39"/>
      <c r="AS741" s="39"/>
      <c r="AT741" s="40"/>
      <c r="AU741" s="40"/>
      <c r="AV741" s="23"/>
    </row>
    <row r="742" spans="1:48" ht="15.75" x14ac:dyDescent="0.25">
      <c r="A742" s="44"/>
      <c r="B742" s="23"/>
      <c r="C742" s="23"/>
      <c r="D742" s="39"/>
      <c r="E742" s="39"/>
      <c r="F742" s="40"/>
      <c r="G742" s="40"/>
      <c r="H742" s="41"/>
      <c r="I742" s="39"/>
      <c r="J742" s="40"/>
      <c r="K742" s="40"/>
      <c r="L742" s="41"/>
      <c r="M742" s="39"/>
      <c r="N742" s="40"/>
      <c r="O742" s="40"/>
      <c r="P742" s="39"/>
      <c r="Q742" s="39"/>
      <c r="R742" s="40"/>
      <c r="S742" s="40"/>
      <c r="T742" s="39"/>
      <c r="U742" s="39"/>
      <c r="V742" s="40"/>
      <c r="W742" s="40"/>
      <c r="X742" s="41"/>
      <c r="Y742" s="41"/>
      <c r="Z742" s="40"/>
      <c r="AA742" s="40"/>
      <c r="AB742" s="41"/>
      <c r="AC742" s="41"/>
      <c r="AD742" s="40"/>
      <c r="AE742" s="40"/>
      <c r="AF742" s="42"/>
      <c r="AG742" s="42"/>
      <c r="AH742" s="40"/>
      <c r="AI742" s="40"/>
      <c r="AJ742" s="42"/>
      <c r="AK742" s="42"/>
      <c r="AL742" s="40"/>
      <c r="AM742" s="40"/>
      <c r="AN742" s="40"/>
      <c r="AO742" s="40"/>
      <c r="AP742" s="40"/>
      <c r="AQ742" s="40"/>
      <c r="AR742" s="39"/>
      <c r="AS742" s="39"/>
      <c r="AT742" s="40"/>
      <c r="AU742" s="40"/>
      <c r="AV742" s="23"/>
    </row>
    <row r="743" spans="1:48" ht="15.75" x14ac:dyDescent="0.25">
      <c r="A743" s="44"/>
      <c r="B743" s="23"/>
      <c r="C743" s="23"/>
      <c r="D743" s="39"/>
      <c r="E743" s="39"/>
      <c r="F743" s="40"/>
      <c r="G743" s="40"/>
      <c r="H743" s="41"/>
      <c r="I743" s="39"/>
      <c r="J743" s="40"/>
      <c r="K743" s="40"/>
      <c r="L743" s="41"/>
      <c r="M743" s="39"/>
      <c r="N743" s="40"/>
      <c r="O743" s="40"/>
      <c r="P743" s="39"/>
      <c r="Q743" s="39"/>
      <c r="R743" s="40"/>
      <c r="S743" s="40"/>
      <c r="T743" s="39"/>
      <c r="U743" s="39"/>
      <c r="V743" s="40"/>
      <c r="W743" s="40"/>
      <c r="X743" s="41"/>
      <c r="Y743" s="41"/>
      <c r="Z743" s="40"/>
      <c r="AA743" s="40"/>
      <c r="AB743" s="41"/>
      <c r="AC743" s="41"/>
      <c r="AD743" s="40"/>
      <c r="AE743" s="40"/>
      <c r="AF743" s="42"/>
      <c r="AG743" s="42"/>
      <c r="AH743" s="40"/>
      <c r="AI743" s="40"/>
      <c r="AJ743" s="42"/>
      <c r="AK743" s="42"/>
      <c r="AL743" s="40"/>
      <c r="AM743" s="40"/>
      <c r="AN743" s="40"/>
      <c r="AO743" s="40"/>
      <c r="AP743" s="40"/>
      <c r="AQ743" s="40"/>
      <c r="AR743" s="39"/>
      <c r="AS743" s="39"/>
      <c r="AT743" s="40"/>
      <c r="AU743" s="40"/>
      <c r="AV743" s="23"/>
    </row>
    <row r="744" spans="1:48" ht="15.75" x14ac:dyDescent="0.25">
      <c r="A744" s="44"/>
      <c r="B744" s="23"/>
      <c r="C744" s="23"/>
      <c r="D744" s="39"/>
      <c r="E744" s="39"/>
      <c r="F744" s="40"/>
      <c r="G744" s="40"/>
      <c r="H744" s="41"/>
      <c r="I744" s="39"/>
      <c r="J744" s="40"/>
      <c r="K744" s="40"/>
      <c r="L744" s="41"/>
      <c r="M744" s="39"/>
      <c r="N744" s="40"/>
      <c r="O744" s="40"/>
      <c r="P744" s="39"/>
      <c r="Q744" s="39"/>
      <c r="R744" s="40"/>
      <c r="S744" s="40"/>
      <c r="T744" s="39"/>
      <c r="U744" s="39"/>
      <c r="V744" s="40"/>
      <c r="W744" s="40"/>
      <c r="X744" s="41"/>
      <c r="Y744" s="41"/>
      <c r="Z744" s="40"/>
      <c r="AA744" s="40"/>
      <c r="AB744" s="41"/>
      <c r="AC744" s="41"/>
      <c r="AD744" s="40"/>
      <c r="AE744" s="40"/>
      <c r="AF744" s="42"/>
      <c r="AG744" s="42"/>
      <c r="AH744" s="40"/>
      <c r="AI744" s="40"/>
      <c r="AJ744" s="42"/>
      <c r="AK744" s="42"/>
      <c r="AL744" s="40"/>
      <c r="AM744" s="40"/>
      <c r="AN744" s="40"/>
      <c r="AO744" s="40"/>
      <c r="AP744" s="40"/>
      <c r="AQ744" s="40"/>
      <c r="AR744" s="39"/>
      <c r="AS744" s="39"/>
      <c r="AT744" s="40"/>
      <c r="AU744" s="40"/>
      <c r="AV744" s="23"/>
    </row>
    <row r="745" spans="1:48" ht="15.75" x14ac:dyDescent="0.25">
      <c r="A745" s="44"/>
      <c r="B745" s="23"/>
      <c r="C745" s="23"/>
      <c r="D745" s="39"/>
      <c r="E745" s="39"/>
      <c r="F745" s="40"/>
      <c r="G745" s="40"/>
      <c r="H745" s="41"/>
      <c r="I745" s="39"/>
      <c r="J745" s="40"/>
      <c r="K745" s="40"/>
      <c r="L745" s="41"/>
      <c r="M745" s="39"/>
      <c r="N745" s="40"/>
      <c r="O745" s="40"/>
      <c r="P745" s="39"/>
      <c r="Q745" s="39"/>
      <c r="R745" s="40"/>
      <c r="S745" s="40"/>
      <c r="T745" s="39"/>
      <c r="U745" s="39"/>
      <c r="V745" s="40"/>
      <c r="W745" s="40"/>
      <c r="X745" s="41"/>
      <c r="Y745" s="41"/>
      <c r="Z745" s="40"/>
      <c r="AA745" s="40"/>
      <c r="AB745" s="41"/>
      <c r="AC745" s="41"/>
      <c r="AD745" s="40"/>
      <c r="AE745" s="40"/>
      <c r="AF745" s="42"/>
      <c r="AG745" s="42"/>
      <c r="AH745" s="40"/>
      <c r="AI745" s="40"/>
      <c r="AJ745" s="42"/>
      <c r="AK745" s="42"/>
      <c r="AL745" s="40"/>
      <c r="AM745" s="40"/>
      <c r="AN745" s="40"/>
      <c r="AO745" s="40"/>
      <c r="AP745" s="40"/>
      <c r="AQ745" s="40"/>
      <c r="AR745" s="39"/>
      <c r="AS745" s="39"/>
      <c r="AT745" s="40"/>
      <c r="AU745" s="40"/>
      <c r="AV745" s="23"/>
    </row>
    <row r="746" spans="1:48" ht="15.75" x14ac:dyDescent="0.25">
      <c r="A746" s="44"/>
      <c r="B746" s="23"/>
      <c r="C746" s="23"/>
      <c r="D746" s="39"/>
      <c r="E746" s="39"/>
      <c r="F746" s="40"/>
      <c r="G746" s="40"/>
      <c r="H746" s="41"/>
      <c r="I746" s="39"/>
      <c r="J746" s="40"/>
      <c r="K746" s="40"/>
      <c r="L746" s="41"/>
      <c r="M746" s="39"/>
      <c r="N746" s="40"/>
      <c r="O746" s="40"/>
      <c r="P746" s="39"/>
      <c r="Q746" s="39"/>
      <c r="R746" s="40"/>
      <c r="S746" s="40"/>
      <c r="T746" s="39"/>
      <c r="U746" s="39"/>
      <c r="V746" s="40"/>
      <c r="W746" s="40"/>
      <c r="X746" s="41"/>
      <c r="Y746" s="41"/>
      <c r="Z746" s="40"/>
      <c r="AA746" s="40"/>
      <c r="AB746" s="41"/>
      <c r="AC746" s="41"/>
      <c r="AD746" s="40"/>
      <c r="AE746" s="40"/>
      <c r="AF746" s="42"/>
      <c r="AG746" s="42"/>
      <c r="AH746" s="40"/>
      <c r="AI746" s="40"/>
      <c r="AJ746" s="42"/>
      <c r="AK746" s="42"/>
      <c r="AL746" s="40"/>
      <c r="AM746" s="40"/>
      <c r="AN746" s="40"/>
      <c r="AO746" s="40"/>
      <c r="AP746" s="40"/>
      <c r="AQ746" s="40"/>
      <c r="AR746" s="39"/>
      <c r="AS746" s="39"/>
      <c r="AT746" s="40"/>
      <c r="AU746" s="40"/>
      <c r="AV746" s="23"/>
    </row>
    <row r="747" spans="1:48" ht="15.75" x14ac:dyDescent="0.25">
      <c r="A747" s="44"/>
      <c r="B747" s="23"/>
      <c r="C747" s="23"/>
      <c r="D747" s="39"/>
      <c r="E747" s="39"/>
      <c r="F747" s="40"/>
      <c r="G747" s="40"/>
      <c r="H747" s="41"/>
      <c r="I747" s="39"/>
      <c r="J747" s="40"/>
      <c r="K747" s="40"/>
      <c r="L747" s="41"/>
      <c r="M747" s="39"/>
      <c r="N747" s="40"/>
      <c r="O747" s="40"/>
      <c r="P747" s="39"/>
      <c r="Q747" s="39"/>
      <c r="R747" s="40"/>
      <c r="S747" s="40"/>
      <c r="T747" s="39"/>
      <c r="U747" s="39"/>
      <c r="V747" s="40"/>
      <c r="W747" s="40"/>
      <c r="X747" s="41"/>
      <c r="Y747" s="41"/>
      <c r="Z747" s="40"/>
      <c r="AA747" s="40"/>
      <c r="AB747" s="41"/>
      <c r="AC747" s="41"/>
      <c r="AD747" s="40"/>
      <c r="AE747" s="40"/>
      <c r="AF747" s="42"/>
      <c r="AG747" s="42"/>
      <c r="AH747" s="40"/>
      <c r="AI747" s="40"/>
      <c r="AJ747" s="42"/>
      <c r="AK747" s="42"/>
      <c r="AL747" s="40"/>
      <c r="AM747" s="40"/>
      <c r="AN747" s="40"/>
      <c r="AO747" s="40"/>
      <c r="AP747" s="40"/>
      <c r="AQ747" s="40"/>
      <c r="AR747" s="39"/>
      <c r="AS747" s="39"/>
      <c r="AT747" s="40"/>
      <c r="AU747" s="40"/>
      <c r="AV747" s="23"/>
    </row>
    <row r="748" spans="1:48" ht="15.75" x14ac:dyDescent="0.25">
      <c r="A748" s="44"/>
      <c r="B748" s="23"/>
      <c r="C748" s="23"/>
      <c r="D748" s="39"/>
      <c r="E748" s="39"/>
      <c r="F748" s="40"/>
      <c r="G748" s="40"/>
      <c r="H748" s="41"/>
      <c r="I748" s="39"/>
      <c r="J748" s="40"/>
      <c r="K748" s="40"/>
      <c r="L748" s="41"/>
      <c r="M748" s="39"/>
      <c r="N748" s="40"/>
      <c r="O748" s="40"/>
      <c r="P748" s="39"/>
      <c r="Q748" s="39"/>
      <c r="R748" s="40"/>
      <c r="S748" s="40"/>
      <c r="T748" s="39"/>
      <c r="U748" s="39"/>
      <c r="V748" s="40"/>
      <c r="W748" s="40"/>
      <c r="X748" s="41"/>
      <c r="Y748" s="41"/>
      <c r="Z748" s="40"/>
      <c r="AA748" s="40"/>
      <c r="AB748" s="41"/>
      <c r="AC748" s="41"/>
      <c r="AD748" s="40"/>
      <c r="AE748" s="40"/>
      <c r="AF748" s="42"/>
      <c r="AG748" s="42"/>
      <c r="AH748" s="40"/>
      <c r="AI748" s="40"/>
      <c r="AJ748" s="42"/>
      <c r="AK748" s="42"/>
      <c r="AL748" s="40"/>
      <c r="AM748" s="40"/>
      <c r="AN748" s="40"/>
      <c r="AO748" s="40"/>
      <c r="AP748" s="40"/>
      <c r="AQ748" s="40"/>
      <c r="AR748" s="39"/>
      <c r="AS748" s="39"/>
      <c r="AT748" s="40"/>
      <c r="AU748" s="40"/>
      <c r="AV748" s="23"/>
    </row>
    <row r="749" spans="1:48" ht="15.75" x14ac:dyDescent="0.25">
      <c r="A749" s="44"/>
      <c r="B749" s="23"/>
      <c r="C749" s="23"/>
      <c r="D749" s="39"/>
      <c r="E749" s="39"/>
      <c r="F749" s="40"/>
      <c r="G749" s="40"/>
      <c r="H749" s="41"/>
      <c r="I749" s="39"/>
      <c r="J749" s="40"/>
      <c r="K749" s="40"/>
      <c r="L749" s="41"/>
      <c r="M749" s="39"/>
      <c r="N749" s="40"/>
      <c r="O749" s="40"/>
      <c r="P749" s="39"/>
      <c r="Q749" s="39"/>
      <c r="R749" s="40"/>
      <c r="S749" s="40"/>
      <c r="T749" s="39"/>
      <c r="U749" s="39"/>
      <c r="V749" s="40"/>
      <c r="W749" s="40"/>
      <c r="X749" s="41"/>
      <c r="Y749" s="41"/>
      <c r="Z749" s="40"/>
      <c r="AA749" s="40"/>
      <c r="AB749" s="41"/>
      <c r="AC749" s="41"/>
      <c r="AD749" s="40"/>
      <c r="AE749" s="40"/>
      <c r="AF749" s="42"/>
      <c r="AG749" s="42"/>
      <c r="AH749" s="40"/>
      <c r="AI749" s="40"/>
      <c r="AJ749" s="42"/>
      <c r="AK749" s="42"/>
      <c r="AL749" s="40"/>
      <c r="AM749" s="40"/>
      <c r="AN749" s="40"/>
      <c r="AO749" s="40"/>
      <c r="AP749" s="40"/>
      <c r="AQ749" s="40"/>
      <c r="AR749" s="39"/>
      <c r="AS749" s="39"/>
      <c r="AT749" s="40"/>
      <c r="AU749" s="40"/>
      <c r="AV749" s="23"/>
    </row>
    <row r="750" spans="1:48" ht="15.75" x14ac:dyDescent="0.25">
      <c r="A750" s="44"/>
      <c r="B750" s="23"/>
      <c r="C750" s="23"/>
      <c r="D750" s="39"/>
      <c r="E750" s="39"/>
      <c r="F750" s="40"/>
      <c r="G750" s="40"/>
      <c r="H750" s="41"/>
      <c r="I750" s="39"/>
      <c r="J750" s="40"/>
      <c r="K750" s="40"/>
      <c r="L750" s="41"/>
      <c r="M750" s="39"/>
      <c r="N750" s="40"/>
      <c r="O750" s="40"/>
      <c r="P750" s="39"/>
      <c r="Q750" s="39"/>
      <c r="R750" s="40"/>
      <c r="S750" s="40"/>
      <c r="T750" s="39"/>
      <c r="U750" s="39"/>
      <c r="V750" s="40"/>
      <c r="W750" s="40"/>
      <c r="X750" s="41"/>
      <c r="Y750" s="41"/>
      <c r="Z750" s="40"/>
      <c r="AA750" s="40"/>
      <c r="AB750" s="41"/>
      <c r="AC750" s="41"/>
      <c r="AD750" s="40"/>
      <c r="AE750" s="40"/>
      <c r="AF750" s="42"/>
      <c r="AG750" s="42"/>
      <c r="AH750" s="40"/>
      <c r="AI750" s="40"/>
      <c r="AJ750" s="42"/>
      <c r="AK750" s="42"/>
      <c r="AL750" s="40"/>
      <c r="AM750" s="40"/>
      <c r="AN750" s="40"/>
      <c r="AO750" s="40"/>
      <c r="AP750" s="40"/>
      <c r="AQ750" s="40"/>
      <c r="AR750" s="39"/>
      <c r="AS750" s="39"/>
      <c r="AT750" s="40"/>
      <c r="AU750" s="40"/>
      <c r="AV750" s="23"/>
    </row>
    <row r="751" spans="1:48" ht="15.75" x14ac:dyDescent="0.25">
      <c r="A751" s="44"/>
      <c r="B751" s="23"/>
      <c r="C751" s="23"/>
      <c r="D751" s="39"/>
      <c r="E751" s="39"/>
      <c r="F751" s="40"/>
      <c r="G751" s="40"/>
      <c r="H751" s="41"/>
      <c r="I751" s="39"/>
      <c r="J751" s="40"/>
      <c r="K751" s="40"/>
      <c r="L751" s="41"/>
      <c r="M751" s="39"/>
      <c r="N751" s="40"/>
      <c r="O751" s="40"/>
      <c r="P751" s="39"/>
      <c r="Q751" s="39"/>
      <c r="R751" s="40"/>
      <c r="S751" s="40"/>
      <c r="T751" s="39"/>
      <c r="U751" s="39"/>
      <c r="V751" s="40"/>
      <c r="W751" s="40"/>
      <c r="X751" s="41"/>
      <c r="Y751" s="41"/>
      <c r="Z751" s="40"/>
      <c r="AA751" s="40"/>
      <c r="AB751" s="41"/>
      <c r="AC751" s="41"/>
      <c r="AD751" s="40"/>
      <c r="AE751" s="40"/>
      <c r="AF751" s="42"/>
      <c r="AG751" s="42"/>
      <c r="AH751" s="40"/>
      <c r="AI751" s="40"/>
      <c r="AJ751" s="42"/>
      <c r="AK751" s="42"/>
      <c r="AL751" s="40"/>
      <c r="AM751" s="40"/>
      <c r="AN751" s="40"/>
      <c r="AO751" s="40"/>
      <c r="AP751" s="40"/>
      <c r="AQ751" s="40"/>
      <c r="AR751" s="39"/>
      <c r="AS751" s="39"/>
      <c r="AT751" s="40"/>
      <c r="AU751" s="40"/>
      <c r="AV751" s="23"/>
    </row>
    <row r="752" spans="1:48" ht="15.75" x14ac:dyDescent="0.25">
      <c r="A752" s="44"/>
      <c r="B752" s="23"/>
      <c r="C752" s="23"/>
      <c r="D752" s="39"/>
      <c r="E752" s="39"/>
      <c r="F752" s="40"/>
      <c r="G752" s="40"/>
      <c r="H752" s="41"/>
      <c r="I752" s="39"/>
      <c r="J752" s="40"/>
      <c r="K752" s="40"/>
      <c r="L752" s="41"/>
      <c r="M752" s="39"/>
      <c r="N752" s="40"/>
      <c r="O752" s="40"/>
      <c r="P752" s="39"/>
      <c r="Q752" s="39"/>
      <c r="R752" s="40"/>
      <c r="S752" s="40"/>
      <c r="T752" s="39"/>
      <c r="U752" s="39"/>
      <c r="V752" s="40"/>
      <c r="W752" s="40"/>
      <c r="X752" s="41"/>
      <c r="Y752" s="41"/>
      <c r="Z752" s="40"/>
      <c r="AA752" s="40"/>
      <c r="AB752" s="41"/>
      <c r="AC752" s="41"/>
      <c r="AD752" s="40"/>
      <c r="AE752" s="40"/>
      <c r="AF752" s="42"/>
      <c r="AG752" s="42"/>
      <c r="AH752" s="40"/>
      <c r="AI752" s="40"/>
      <c r="AJ752" s="42"/>
      <c r="AK752" s="42"/>
      <c r="AL752" s="40"/>
      <c r="AM752" s="40"/>
      <c r="AN752" s="40"/>
      <c r="AO752" s="40"/>
      <c r="AP752" s="40"/>
      <c r="AQ752" s="40"/>
      <c r="AR752" s="39"/>
      <c r="AS752" s="39"/>
      <c r="AT752" s="40"/>
      <c r="AU752" s="40"/>
      <c r="AV752" s="23"/>
    </row>
    <row r="753" spans="1:48" ht="15.75" x14ac:dyDescent="0.25">
      <c r="A753" s="44"/>
      <c r="B753" s="23"/>
      <c r="C753" s="23"/>
      <c r="D753" s="39"/>
      <c r="E753" s="39"/>
      <c r="F753" s="40"/>
      <c r="G753" s="40"/>
      <c r="H753" s="41"/>
      <c r="I753" s="39"/>
      <c r="J753" s="40"/>
      <c r="K753" s="40"/>
      <c r="L753" s="41"/>
      <c r="M753" s="39"/>
      <c r="N753" s="40"/>
      <c r="O753" s="40"/>
      <c r="P753" s="39"/>
      <c r="Q753" s="39"/>
      <c r="R753" s="40"/>
      <c r="S753" s="40"/>
      <c r="T753" s="39"/>
      <c r="U753" s="39"/>
      <c r="V753" s="40"/>
      <c r="W753" s="40"/>
      <c r="X753" s="41"/>
      <c r="Y753" s="41"/>
      <c r="Z753" s="40"/>
      <c r="AA753" s="40"/>
      <c r="AB753" s="41"/>
      <c r="AC753" s="41"/>
      <c r="AD753" s="40"/>
      <c r="AE753" s="40"/>
      <c r="AF753" s="42"/>
      <c r="AG753" s="42"/>
      <c r="AH753" s="40"/>
      <c r="AI753" s="40"/>
      <c r="AJ753" s="42"/>
      <c r="AK753" s="42"/>
      <c r="AL753" s="40"/>
      <c r="AM753" s="40"/>
      <c r="AN753" s="40"/>
      <c r="AO753" s="40"/>
      <c r="AP753" s="40"/>
      <c r="AQ753" s="40"/>
      <c r="AR753" s="39"/>
      <c r="AS753" s="39"/>
      <c r="AT753" s="40"/>
      <c r="AU753" s="40"/>
      <c r="AV753" s="23"/>
    </row>
    <row r="754" spans="1:48" ht="15.75" x14ac:dyDescent="0.25">
      <c r="A754" s="44"/>
      <c r="B754" s="23"/>
      <c r="C754" s="23"/>
      <c r="D754" s="39"/>
      <c r="E754" s="39"/>
      <c r="F754" s="40"/>
      <c r="G754" s="40"/>
      <c r="H754" s="41"/>
      <c r="I754" s="39"/>
      <c r="J754" s="40"/>
      <c r="K754" s="40"/>
      <c r="L754" s="41"/>
      <c r="M754" s="39"/>
      <c r="N754" s="40"/>
      <c r="O754" s="40"/>
      <c r="P754" s="39"/>
      <c r="Q754" s="39"/>
      <c r="R754" s="40"/>
      <c r="S754" s="40"/>
      <c r="T754" s="39"/>
      <c r="U754" s="39"/>
      <c r="V754" s="40"/>
      <c r="W754" s="40"/>
      <c r="X754" s="41"/>
      <c r="Y754" s="41"/>
      <c r="Z754" s="40"/>
      <c r="AA754" s="40"/>
      <c r="AB754" s="41"/>
      <c r="AC754" s="41"/>
      <c r="AD754" s="40"/>
      <c r="AE754" s="40"/>
      <c r="AF754" s="42"/>
      <c r="AG754" s="42"/>
      <c r="AH754" s="40"/>
      <c r="AI754" s="40"/>
      <c r="AJ754" s="42"/>
      <c r="AK754" s="42"/>
      <c r="AL754" s="40"/>
      <c r="AM754" s="40"/>
      <c r="AN754" s="40"/>
      <c r="AO754" s="40"/>
      <c r="AP754" s="40"/>
      <c r="AQ754" s="40"/>
      <c r="AR754" s="39"/>
      <c r="AS754" s="39"/>
      <c r="AT754" s="40"/>
      <c r="AU754" s="40"/>
      <c r="AV754" s="23"/>
    </row>
    <row r="755" spans="1:48" ht="15.75" x14ac:dyDescent="0.25">
      <c r="A755" s="44"/>
      <c r="B755" s="23"/>
      <c r="C755" s="23"/>
      <c r="D755" s="39"/>
      <c r="E755" s="39"/>
      <c r="F755" s="40"/>
      <c r="G755" s="40"/>
      <c r="H755" s="41"/>
      <c r="I755" s="39"/>
      <c r="J755" s="40"/>
      <c r="K755" s="40"/>
      <c r="L755" s="41"/>
      <c r="M755" s="39"/>
      <c r="N755" s="40"/>
      <c r="O755" s="40"/>
      <c r="P755" s="39"/>
      <c r="Q755" s="39"/>
      <c r="R755" s="40"/>
      <c r="S755" s="40"/>
      <c r="T755" s="39"/>
      <c r="U755" s="39"/>
      <c r="V755" s="40"/>
      <c r="W755" s="40"/>
      <c r="X755" s="41"/>
      <c r="Y755" s="41"/>
      <c r="Z755" s="40"/>
      <c r="AA755" s="40"/>
      <c r="AB755" s="41"/>
      <c r="AC755" s="41"/>
      <c r="AD755" s="40"/>
      <c r="AE755" s="40"/>
      <c r="AF755" s="42"/>
      <c r="AG755" s="42"/>
      <c r="AH755" s="40"/>
      <c r="AI755" s="40"/>
      <c r="AJ755" s="42"/>
      <c r="AK755" s="42"/>
      <c r="AL755" s="40"/>
      <c r="AM755" s="40"/>
      <c r="AN755" s="40"/>
      <c r="AO755" s="40"/>
      <c r="AP755" s="40"/>
      <c r="AQ755" s="40"/>
      <c r="AR755" s="39"/>
      <c r="AS755" s="39"/>
      <c r="AT755" s="40"/>
      <c r="AU755" s="40"/>
      <c r="AV755" s="23"/>
    </row>
    <row r="756" spans="1:48" ht="15.75" x14ac:dyDescent="0.25">
      <c r="A756" s="44"/>
      <c r="B756" s="23"/>
      <c r="C756" s="23"/>
      <c r="D756" s="39"/>
      <c r="E756" s="39"/>
      <c r="F756" s="40"/>
      <c r="G756" s="40"/>
      <c r="H756" s="41"/>
      <c r="I756" s="39"/>
      <c r="J756" s="40"/>
      <c r="K756" s="40"/>
      <c r="L756" s="41"/>
      <c r="M756" s="39"/>
      <c r="N756" s="40"/>
      <c r="O756" s="40"/>
      <c r="P756" s="39"/>
      <c r="Q756" s="39"/>
      <c r="R756" s="40"/>
      <c r="S756" s="40"/>
      <c r="T756" s="39"/>
      <c r="U756" s="39"/>
      <c r="V756" s="40"/>
      <c r="W756" s="40"/>
      <c r="X756" s="41"/>
      <c r="Y756" s="41"/>
      <c r="Z756" s="40"/>
      <c r="AA756" s="40"/>
      <c r="AB756" s="41"/>
      <c r="AC756" s="41"/>
      <c r="AD756" s="40"/>
      <c r="AE756" s="40"/>
      <c r="AF756" s="42"/>
      <c r="AG756" s="42"/>
      <c r="AH756" s="40"/>
      <c r="AI756" s="40"/>
      <c r="AJ756" s="42"/>
      <c r="AK756" s="42"/>
      <c r="AL756" s="40"/>
      <c r="AM756" s="40"/>
      <c r="AN756" s="40"/>
      <c r="AO756" s="40"/>
      <c r="AP756" s="40"/>
      <c r="AQ756" s="40"/>
      <c r="AR756" s="39"/>
      <c r="AS756" s="39"/>
      <c r="AT756" s="40"/>
      <c r="AU756" s="40"/>
      <c r="AV756" s="23"/>
    </row>
    <row r="757" spans="1:48" ht="15.75" x14ac:dyDescent="0.25">
      <c r="A757" s="44"/>
      <c r="B757" s="23"/>
      <c r="C757" s="23"/>
      <c r="D757" s="39"/>
      <c r="E757" s="39"/>
      <c r="F757" s="40"/>
      <c r="G757" s="40"/>
      <c r="H757" s="41"/>
      <c r="I757" s="39"/>
      <c r="J757" s="40"/>
      <c r="K757" s="40"/>
      <c r="L757" s="41"/>
      <c r="M757" s="39"/>
      <c r="N757" s="40"/>
      <c r="O757" s="40"/>
      <c r="P757" s="39"/>
      <c r="Q757" s="39"/>
      <c r="R757" s="40"/>
      <c r="S757" s="40"/>
      <c r="T757" s="39"/>
      <c r="U757" s="39"/>
      <c r="V757" s="40"/>
      <c r="W757" s="40"/>
      <c r="X757" s="41"/>
      <c r="Y757" s="41"/>
      <c r="Z757" s="40"/>
      <c r="AA757" s="40"/>
      <c r="AB757" s="41"/>
      <c r="AC757" s="41"/>
      <c r="AD757" s="40"/>
      <c r="AE757" s="40"/>
      <c r="AF757" s="42"/>
      <c r="AG757" s="42"/>
      <c r="AH757" s="40"/>
      <c r="AI757" s="40"/>
      <c r="AJ757" s="42"/>
      <c r="AK757" s="42"/>
      <c r="AL757" s="40"/>
      <c r="AM757" s="40"/>
      <c r="AN757" s="40"/>
      <c r="AO757" s="40"/>
      <c r="AP757" s="40"/>
      <c r="AQ757" s="40"/>
      <c r="AR757" s="39"/>
      <c r="AS757" s="39"/>
      <c r="AT757" s="40"/>
      <c r="AU757" s="40"/>
      <c r="AV757" s="23"/>
    </row>
    <row r="758" spans="1:48" ht="15.75" x14ac:dyDescent="0.25">
      <c r="A758" s="44"/>
      <c r="B758" s="23"/>
      <c r="C758" s="23"/>
      <c r="D758" s="39"/>
      <c r="E758" s="39"/>
      <c r="F758" s="40"/>
      <c r="G758" s="40"/>
      <c r="H758" s="41"/>
      <c r="I758" s="39"/>
      <c r="J758" s="40"/>
      <c r="K758" s="40"/>
      <c r="L758" s="41"/>
      <c r="M758" s="39"/>
      <c r="N758" s="40"/>
      <c r="O758" s="40"/>
      <c r="P758" s="39"/>
      <c r="Q758" s="39"/>
      <c r="R758" s="40"/>
      <c r="S758" s="40"/>
      <c r="T758" s="39"/>
      <c r="U758" s="39"/>
      <c r="V758" s="40"/>
      <c r="W758" s="40"/>
      <c r="X758" s="41"/>
      <c r="Y758" s="41"/>
      <c r="Z758" s="40"/>
      <c r="AA758" s="40"/>
      <c r="AB758" s="41"/>
      <c r="AC758" s="41"/>
      <c r="AD758" s="40"/>
      <c r="AE758" s="40"/>
      <c r="AF758" s="42"/>
      <c r="AG758" s="42"/>
      <c r="AH758" s="40"/>
      <c r="AI758" s="40"/>
      <c r="AJ758" s="42"/>
      <c r="AK758" s="42"/>
      <c r="AL758" s="40"/>
      <c r="AM758" s="40"/>
      <c r="AN758" s="40"/>
      <c r="AO758" s="40"/>
      <c r="AP758" s="40"/>
      <c r="AQ758" s="40"/>
      <c r="AR758" s="39"/>
      <c r="AS758" s="39"/>
      <c r="AT758" s="40"/>
      <c r="AU758" s="40"/>
      <c r="AV758" s="23"/>
    </row>
    <row r="759" spans="1:48" ht="15.75" x14ac:dyDescent="0.25">
      <c r="A759" s="44"/>
      <c r="B759" s="23"/>
      <c r="C759" s="23"/>
      <c r="D759" s="39"/>
      <c r="E759" s="39"/>
      <c r="F759" s="40"/>
      <c r="G759" s="40"/>
      <c r="H759" s="41"/>
      <c r="I759" s="39"/>
      <c r="J759" s="40"/>
      <c r="K759" s="40"/>
      <c r="L759" s="41"/>
      <c r="M759" s="39"/>
      <c r="N759" s="40"/>
      <c r="O759" s="40"/>
      <c r="P759" s="39"/>
      <c r="Q759" s="39"/>
      <c r="R759" s="40"/>
      <c r="S759" s="40"/>
      <c r="T759" s="39"/>
      <c r="U759" s="39"/>
      <c r="V759" s="40"/>
      <c r="W759" s="40"/>
      <c r="X759" s="41"/>
      <c r="Y759" s="41"/>
      <c r="Z759" s="40"/>
      <c r="AA759" s="40"/>
      <c r="AB759" s="41"/>
      <c r="AC759" s="41"/>
      <c r="AD759" s="40"/>
      <c r="AE759" s="40"/>
      <c r="AF759" s="42"/>
      <c r="AG759" s="42"/>
      <c r="AH759" s="40"/>
      <c r="AI759" s="40"/>
      <c r="AJ759" s="42"/>
      <c r="AK759" s="42"/>
      <c r="AL759" s="40"/>
      <c r="AM759" s="40"/>
      <c r="AN759" s="40"/>
      <c r="AO759" s="40"/>
      <c r="AP759" s="40"/>
      <c r="AQ759" s="40"/>
      <c r="AR759" s="39"/>
      <c r="AS759" s="39"/>
      <c r="AT759" s="40"/>
      <c r="AU759" s="40"/>
      <c r="AV759" s="23"/>
    </row>
    <row r="760" spans="1:48" ht="15.75" x14ac:dyDescent="0.25">
      <c r="A760" s="44"/>
      <c r="B760" s="23"/>
      <c r="C760" s="23"/>
      <c r="D760" s="39"/>
      <c r="E760" s="39"/>
      <c r="F760" s="40"/>
      <c r="G760" s="40"/>
      <c r="H760" s="41"/>
      <c r="I760" s="39"/>
      <c r="J760" s="40"/>
      <c r="K760" s="40"/>
      <c r="L760" s="41"/>
      <c r="M760" s="39"/>
      <c r="N760" s="40"/>
      <c r="O760" s="40"/>
      <c r="P760" s="39"/>
      <c r="Q760" s="39"/>
      <c r="R760" s="40"/>
      <c r="S760" s="40"/>
      <c r="T760" s="39"/>
      <c r="U760" s="39"/>
      <c r="V760" s="40"/>
      <c r="W760" s="40"/>
      <c r="X760" s="41"/>
      <c r="Y760" s="41"/>
      <c r="Z760" s="40"/>
      <c r="AA760" s="40"/>
      <c r="AB760" s="41"/>
      <c r="AC760" s="41"/>
      <c r="AD760" s="40"/>
      <c r="AE760" s="40"/>
      <c r="AF760" s="42"/>
      <c r="AG760" s="42"/>
      <c r="AH760" s="40"/>
      <c r="AI760" s="40"/>
      <c r="AJ760" s="42"/>
      <c r="AK760" s="42"/>
      <c r="AL760" s="40"/>
      <c r="AM760" s="40"/>
      <c r="AN760" s="40"/>
      <c r="AO760" s="40"/>
      <c r="AP760" s="40"/>
      <c r="AQ760" s="40"/>
      <c r="AR760" s="39"/>
      <c r="AS760" s="39"/>
      <c r="AT760" s="40"/>
      <c r="AU760" s="40"/>
      <c r="AV760" s="23"/>
    </row>
    <row r="761" spans="1:48" ht="15.75" x14ac:dyDescent="0.25">
      <c r="A761" s="44"/>
      <c r="B761" s="23"/>
      <c r="C761" s="23"/>
      <c r="D761" s="39"/>
      <c r="E761" s="39"/>
      <c r="F761" s="40"/>
      <c r="G761" s="40"/>
      <c r="H761" s="41"/>
      <c r="I761" s="39"/>
      <c r="J761" s="40"/>
      <c r="K761" s="40"/>
      <c r="L761" s="41"/>
      <c r="M761" s="39"/>
      <c r="N761" s="40"/>
      <c r="O761" s="40"/>
      <c r="P761" s="39"/>
      <c r="Q761" s="39"/>
      <c r="R761" s="40"/>
      <c r="S761" s="40"/>
      <c r="T761" s="39"/>
      <c r="U761" s="39"/>
      <c r="V761" s="40"/>
      <c r="W761" s="40"/>
      <c r="X761" s="41"/>
      <c r="Y761" s="41"/>
      <c r="Z761" s="40"/>
      <c r="AA761" s="40"/>
      <c r="AB761" s="41"/>
      <c r="AC761" s="41"/>
      <c r="AD761" s="40"/>
      <c r="AE761" s="40"/>
      <c r="AF761" s="42"/>
      <c r="AG761" s="42"/>
      <c r="AH761" s="40"/>
      <c r="AI761" s="40"/>
      <c r="AJ761" s="42"/>
      <c r="AK761" s="42"/>
      <c r="AL761" s="40"/>
      <c r="AM761" s="40"/>
      <c r="AN761" s="40"/>
      <c r="AO761" s="40"/>
      <c r="AP761" s="40"/>
      <c r="AQ761" s="40"/>
      <c r="AR761" s="39"/>
      <c r="AS761" s="39"/>
      <c r="AT761" s="40"/>
      <c r="AU761" s="40"/>
      <c r="AV761" s="23"/>
    </row>
    <row r="762" spans="1:48" ht="15.75" x14ac:dyDescent="0.25">
      <c r="A762" s="44"/>
      <c r="B762" s="23"/>
      <c r="C762" s="23"/>
      <c r="D762" s="39"/>
      <c r="E762" s="39"/>
      <c r="F762" s="40"/>
      <c r="G762" s="40"/>
      <c r="H762" s="41"/>
      <c r="I762" s="39"/>
      <c r="J762" s="40"/>
      <c r="K762" s="40"/>
      <c r="L762" s="41"/>
      <c r="M762" s="39"/>
      <c r="N762" s="40"/>
      <c r="O762" s="40"/>
      <c r="P762" s="39"/>
      <c r="Q762" s="39"/>
      <c r="R762" s="40"/>
      <c r="S762" s="40"/>
      <c r="T762" s="39"/>
      <c r="U762" s="39"/>
      <c r="V762" s="40"/>
      <c r="W762" s="40"/>
      <c r="X762" s="41"/>
      <c r="Y762" s="41"/>
      <c r="Z762" s="40"/>
      <c r="AA762" s="40"/>
      <c r="AB762" s="41"/>
      <c r="AC762" s="41"/>
      <c r="AD762" s="40"/>
      <c r="AE762" s="40"/>
      <c r="AF762" s="42"/>
      <c r="AG762" s="42"/>
      <c r="AH762" s="40"/>
      <c r="AI762" s="40"/>
      <c r="AJ762" s="42"/>
      <c r="AK762" s="42"/>
      <c r="AL762" s="40"/>
      <c r="AM762" s="40"/>
      <c r="AN762" s="40"/>
      <c r="AO762" s="40"/>
      <c r="AP762" s="40"/>
      <c r="AQ762" s="40"/>
      <c r="AR762" s="39"/>
      <c r="AS762" s="39"/>
      <c r="AT762" s="40"/>
      <c r="AU762" s="40"/>
      <c r="AV762" s="23"/>
    </row>
    <row r="763" spans="1:48" ht="15.75" x14ac:dyDescent="0.25">
      <c r="A763" s="44"/>
      <c r="B763" s="23"/>
      <c r="C763" s="23"/>
      <c r="D763" s="39"/>
      <c r="E763" s="39"/>
      <c r="F763" s="40"/>
      <c r="G763" s="40"/>
      <c r="H763" s="41"/>
      <c r="I763" s="39"/>
      <c r="J763" s="40"/>
      <c r="K763" s="40"/>
      <c r="L763" s="41"/>
      <c r="M763" s="39"/>
      <c r="N763" s="40"/>
      <c r="O763" s="40"/>
      <c r="P763" s="39"/>
      <c r="Q763" s="39"/>
      <c r="R763" s="40"/>
      <c r="S763" s="40"/>
      <c r="T763" s="39"/>
      <c r="U763" s="39"/>
      <c r="V763" s="40"/>
      <c r="W763" s="40"/>
      <c r="X763" s="41"/>
      <c r="Y763" s="41"/>
      <c r="Z763" s="40"/>
      <c r="AA763" s="40"/>
      <c r="AB763" s="41"/>
      <c r="AC763" s="41"/>
      <c r="AD763" s="40"/>
      <c r="AE763" s="40"/>
      <c r="AF763" s="42"/>
      <c r="AG763" s="42"/>
      <c r="AH763" s="40"/>
      <c r="AI763" s="40"/>
      <c r="AJ763" s="42"/>
      <c r="AK763" s="42"/>
      <c r="AL763" s="40"/>
      <c r="AM763" s="40"/>
      <c r="AN763" s="40"/>
      <c r="AO763" s="40"/>
      <c r="AP763" s="40"/>
      <c r="AQ763" s="40"/>
      <c r="AR763" s="39"/>
      <c r="AS763" s="39"/>
      <c r="AT763" s="40"/>
      <c r="AU763" s="40"/>
      <c r="AV763" s="23"/>
    </row>
    <row r="764" spans="1:48" ht="15.75" x14ac:dyDescent="0.25">
      <c r="A764" s="44"/>
      <c r="B764" s="23"/>
      <c r="C764" s="23"/>
      <c r="D764" s="39"/>
      <c r="E764" s="39"/>
      <c r="F764" s="40"/>
      <c r="G764" s="40"/>
      <c r="H764" s="41"/>
      <c r="I764" s="39"/>
      <c r="J764" s="40"/>
      <c r="K764" s="40"/>
      <c r="L764" s="41"/>
      <c r="M764" s="39"/>
      <c r="N764" s="40"/>
      <c r="O764" s="40"/>
      <c r="P764" s="39"/>
      <c r="Q764" s="39"/>
      <c r="R764" s="40"/>
      <c r="S764" s="40"/>
      <c r="T764" s="39"/>
      <c r="U764" s="39"/>
      <c r="V764" s="40"/>
      <c r="W764" s="40"/>
      <c r="X764" s="41"/>
      <c r="Y764" s="41"/>
      <c r="Z764" s="40"/>
      <c r="AA764" s="40"/>
      <c r="AB764" s="41"/>
      <c r="AC764" s="41"/>
      <c r="AD764" s="40"/>
      <c r="AE764" s="40"/>
      <c r="AF764" s="42"/>
      <c r="AG764" s="42"/>
      <c r="AH764" s="40"/>
      <c r="AI764" s="40"/>
      <c r="AJ764" s="42"/>
      <c r="AK764" s="42"/>
      <c r="AL764" s="40"/>
      <c r="AM764" s="40"/>
      <c r="AN764" s="40"/>
      <c r="AO764" s="40"/>
      <c r="AP764" s="40"/>
      <c r="AQ764" s="40"/>
      <c r="AR764" s="39"/>
      <c r="AS764" s="39"/>
      <c r="AT764" s="40"/>
      <c r="AU764" s="40"/>
      <c r="AV764" s="23"/>
    </row>
    <row r="765" spans="1:48" ht="15.75" x14ac:dyDescent="0.25">
      <c r="A765" s="44"/>
      <c r="B765" s="23"/>
      <c r="C765" s="23"/>
      <c r="D765" s="39"/>
      <c r="E765" s="39"/>
      <c r="F765" s="40"/>
      <c r="G765" s="40"/>
      <c r="H765" s="41"/>
      <c r="I765" s="39"/>
      <c r="J765" s="40"/>
      <c r="K765" s="40"/>
      <c r="L765" s="41"/>
      <c r="M765" s="39"/>
      <c r="N765" s="40"/>
      <c r="O765" s="40"/>
      <c r="P765" s="39"/>
      <c r="Q765" s="39"/>
      <c r="R765" s="40"/>
      <c r="S765" s="40"/>
      <c r="T765" s="39"/>
      <c r="U765" s="39"/>
      <c r="V765" s="40"/>
      <c r="W765" s="40"/>
      <c r="X765" s="41"/>
      <c r="Y765" s="41"/>
      <c r="Z765" s="40"/>
      <c r="AA765" s="40"/>
      <c r="AB765" s="41"/>
      <c r="AC765" s="41"/>
      <c r="AD765" s="40"/>
      <c r="AE765" s="40"/>
      <c r="AF765" s="42"/>
      <c r="AG765" s="42"/>
      <c r="AH765" s="40"/>
      <c r="AI765" s="40"/>
      <c r="AJ765" s="42"/>
      <c r="AK765" s="42"/>
      <c r="AL765" s="40"/>
      <c r="AM765" s="40"/>
      <c r="AN765" s="40"/>
      <c r="AO765" s="40"/>
      <c r="AP765" s="40"/>
      <c r="AQ765" s="40"/>
      <c r="AR765" s="39"/>
      <c r="AS765" s="39"/>
      <c r="AT765" s="40"/>
      <c r="AU765" s="40"/>
      <c r="AV765" s="23"/>
    </row>
    <row r="766" spans="1:48" ht="15.75" x14ac:dyDescent="0.25">
      <c r="A766" s="44"/>
      <c r="B766" s="23"/>
      <c r="C766" s="23"/>
      <c r="D766" s="39"/>
      <c r="E766" s="39"/>
      <c r="F766" s="40"/>
      <c r="G766" s="40"/>
      <c r="H766" s="41"/>
      <c r="I766" s="39"/>
      <c r="J766" s="40"/>
      <c r="K766" s="40"/>
      <c r="L766" s="41"/>
      <c r="M766" s="39"/>
      <c r="N766" s="40"/>
      <c r="O766" s="40"/>
      <c r="P766" s="39"/>
      <c r="Q766" s="39"/>
      <c r="R766" s="40"/>
      <c r="S766" s="40"/>
      <c r="T766" s="39"/>
      <c r="U766" s="39"/>
      <c r="V766" s="40"/>
      <c r="W766" s="40"/>
      <c r="X766" s="41"/>
      <c r="Y766" s="41"/>
      <c r="Z766" s="40"/>
      <c r="AA766" s="40"/>
      <c r="AB766" s="41"/>
      <c r="AC766" s="41"/>
      <c r="AD766" s="40"/>
      <c r="AE766" s="40"/>
      <c r="AF766" s="42"/>
      <c r="AG766" s="42"/>
      <c r="AH766" s="40"/>
      <c r="AI766" s="40"/>
      <c r="AJ766" s="42"/>
      <c r="AK766" s="42"/>
      <c r="AL766" s="40"/>
      <c r="AM766" s="40"/>
      <c r="AN766" s="40"/>
      <c r="AO766" s="40"/>
      <c r="AP766" s="40"/>
      <c r="AQ766" s="40"/>
      <c r="AR766" s="39"/>
      <c r="AS766" s="39"/>
      <c r="AT766" s="40"/>
      <c r="AU766" s="40"/>
      <c r="AV766" s="23"/>
    </row>
    <row r="767" spans="1:48" ht="15.75" x14ac:dyDescent="0.25">
      <c r="A767" s="44"/>
      <c r="B767" s="23"/>
      <c r="C767" s="23"/>
      <c r="D767" s="39"/>
      <c r="E767" s="39"/>
      <c r="F767" s="40"/>
      <c r="G767" s="40"/>
      <c r="H767" s="41"/>
      <c r="I767" s="39"/>
      <c r="J767" s="40"/>
      <c r="K767" s="40"/>
      <c r="L767" s="41"/>
      <c r="M767" s="39"/>
      <c r="N767" s="40"/>
      <c r="O767" s="40"/>
      <c r="P767" s="39"/>
      <c r="Q767" s="39"/>
      <c r="R767" s="40"/>
      <c r="S767" s="40"/>
      <c r="T767" s="39"/>
      <c r="U767" s="39"/>
      <c r="V767" s="40"/>
      <c r="W767" s="40"/>
      <c r="X767" s="41"/>
      <c r="Y767" s="41"/>
      <c r="Z767" s="40"/>
      <c r="AA767" s="40"/>
      <c r="AB767" s="41"/>
      <c r="AC767" s="41"/>
      <c r="AD767" s="40"/>
      <c r="AE767" s="40"/>
      <c r="AF767" s="42"/>
      <c r="AG767" s="42"/>
      <c r="AH767" s="40"/>
      <c r="AI767" s="40"/>
      <c r="AJ767" s="42"/>
      <c r="AK767" s="42"/>
      <c r="AL767" s="40"/>
      <c r="AM767" s="40"/>
      <c r="AN767" s="40"/>
      <c r="AO767" s="40"/>
      <c r="AP767" s="40"/>
      <c r="AQ767" s="40"/>
      <c r="AR767" s="39"/>
      <c r="AS767" s="39"/>
      <c r="AT767" s="40"/>
      <c r="AU767" s="40"/>
      <c r="AV767" s="23"/>
    </row>
    <row r="768" spans="1:48" ht="15.75" x14ac:dyDescent="0.25">
      <c r="A768" s="44"/>
      <c r="B768" s="23"/>
      <c r="C768" s="23"/>
      <c r="D768" s="39"/>
      <c r="E768" s="39"/>
      <c r="F768" s="40"/>
      <c r="G768" s="40"/>
      <c r="H768" s="41"/>
      <c r="I768" s="39"/>
      <c r="J768" s="40"/>
      <c r="K768" s="40"/>
      <c r="L768" s="41"/>
      <c r="M768" s="39"/>
      <c r="N768" s="40"/>
      <c r="O768" s="40"/>
      <c r="P768" s="39"/>
      <c r="Q768" s="39"/>
      <c r="R768" s="40"/>
      <c r="S768" s="40"/>
      <c r="T768" s="39"/>
      <c r="U768" s="39"/>
      <c r="V768" s="40"/>
      <c r="W768" s="40"/>
      <c r="X768" s="41"/>
      <c r="Y768" s="41"/>
      <c r="Z768" s="40"/>
      <c r="AA768" s="40"/>
      <c r="AB768" s="41"/>
      <c r="AC768" s="41"/>
      <c r="AD768" s="40"/>
      <c r="AE768" s="40"/>
      <c r="AF768" s="42"/>
      <c r="AG768" s="42"/>
      <c r="AH768" s="40"/>
      <c r="AI768" s="40"/>
      <c r="AJ768" s="42"/>
      <c r="AK768" s="42"/>
      <c r="AL768" s="40"/>
      <c r="AM768" s="40"/>
      <c r="AN768" s="40"/>
      <c r="AO768" s="40"/>
      <c r="AP768" s="40"/>
      <c r="AQ768" s="40"/>
      <c r="AR768" s="39"/>
      <c r="AS768" s="39"/>
      <c r="AT768" s="40"/>
      <c r="AU768" s="40"/>
      <c r="AV768" s="23"/>
    </row>
    <row r="769" spans="1:48" ht="15.75" x14ac:dyDescent="0.25">
      <c r="A769" s="44"/>
      <c r="B769" s="23"/>
      <c r="C769" s="23"/>
      <c r="D769" s="39"/>
      <c r="E769" s="39"/>
      <c r="F769" s="40"/>
      <c r="G769" s="40"/>
      <c r="H769" s="41"/>
      <c r="I769" s="39"/>
      <c r="J769" s="40"/>
      <c r="K769" s="40"/>
      <c r="L769" s="41"/>
      <c r="M769" s="39"/>
      <c r="N769" s="40"/>
      <c r="O769" s="40"/>
      <c r="P769" s="39"/>
      <c r="Q769" s="39"/>
      <c r="R769" s="40"/>
      <c r="S769" s="40"/>
      <c r="T769" s="39"/>
      <c r="U769" s="39"/>
      <c r="V769" s="40"/>
      <c r="W769" s="40"/>
      <c r="X769" s="41"/>
      <c r="Y769" s="41"/>
      <c r="Z769" s="40"/>
      <c r="AA769" s="40"/>
      <c r="AB769" s="41"/>
      <c r="AC769" s="41"/>
      <c r="AD769" s="40"/>
      <c r="AE769" s="40"/>
      <c r="AF769" s="42"/>
      <c r="AG769" s="42"/>
      <c r="AH769" s="40"/>
      <c r="AI769" s="40"/>
      <c r="AJ769" s="42"/>
      <c r="AK769" s="42"/>
      <c r="AL769" s="40"/>
      <c r="AM769" s="40"/>
      <c r="AN769" s="40"/>
      <c r="AO769" s="40"/>
      <c r="AP769" s="40"/>
      <c r="AQ769" s="40"/>
      <c r="AR769" s="39"/>
      <c r="AS769" s="39"/>
      <c r="AT769" s="40"/>
      <c r="AU769" s="40"/>
      <c r="AV769" s="23"/>
    </row>
    <row r="770" spans="1:48" ht="15.75" x14ac:dyDescent="0.25">
      <c r="A770" s="44"/>
      <c r="B770" s="23"/>
      <c r="C770" s="23"/>
      <c r="D770" s="39"/>
      <c r="E770" s="39"/>
      <c r="F770" s="40"/>
      <c r="G770" s="40"/>
      <c r="H770" s="41"/>
      <c r="I770" s="39"/>
      <c r="J770" s="40"/>
      <c r="K770" s="40"/>
      <c r="L770" s="41"/>
      <c r="M770" s="39"/>
      <c r="N770" s="40"/>
      <c r="O770" s="40"/>
      <c r="P770" s="39"/>
      <c r="Q770" s="39"/>
      <c r="R770" s="40"/>
      <c r="S770" s="40"/>
      <c r="T770" s="39"/>
      <c r="U770" s="39"/>
      <c r="V770" s="40"/>
      <c r="W770" s="40"/>
      <c r="X770" s="41"/>
      <c r="Y770" s="41"/>
      <c r="Z770" s="40"/>
      <c r="AA770" s="40"/>
      <c r="AB770" s="41"/>
      <c r="AC770" s="41"/>
      <c r="AD770" s="40"/>
      <c r="AE770" s="40"/>
      <c r="AF770" s="42"/>
      <c r="AG770" s="42"/>
      <c r="AH770" s="40"/>
      <c r="AI770" s="40"/>
      <c r="AJ770" s="42"/>
      <c r="AK770" s="42"/>
      <c r="AL770" s="40"/>
      <c r="AM770" s="40"/>
      <c r="AN770" s="40"/>
      <c r="AO770" s="40"/>
      <c r="AP770" s="40"/>
      <c r="AQ770" s="40"/>
      <c r="AR770" s="39"/>
      <c r="AS770" s="39"/>
      <c r="AT770" s="40"/>
      <c r="AU770" s="40"/>
      <c r="AV770" s="23"/>
    </row>
    <row r="771" spans="1:48" ht="15.75" x14ac:dyDescent="0.25">
      <c r="A771" s="44"/>
      <c r="B771" s="23"/>
      <c r="C771" s="23"/>
      <c r="D771" s="39"/>
      <c r="E771" s="39"/>
      <c r="F771" s="40"/>
      <c r="G771" s="40"/>
      <c r="H771" s="41"/>
      <c r="I771" s="39"/>
      <c r="J771" s="40"/>
      <c r="K771" s="40"/>
      <c r="L771" s="41"/>
      <c r="M771" s="39"/>
      <c r="N771" s="40"/>
      <c r="O771" s="40"/>
      <c r="P771" s="39"/>
      <c r="Q771" s="39"/>
      <c r="R771" s="40"/>
      <c r="S771" s="40"/>
      <c r="T771" s="39"/>
      <c r="U771" s="39"/>
      <c r="V771" s="40"/>
      <c r="W771" s="40"/>
      <c r="X771" s="41"/>
      <c r="Y771" s="41"/>
      <c r="Z771" s="40"/>
      <c r="AA771" s="40"/>
      <c r="AB771" s="41"/>
      <c r="AC771" s="41"/>
      <c r="AD771" s="40"/>
      <c r="AE771" s="40"/>
      <c r="AF771" s="42"/>
      <c r="AG771" s="42"/>
      <c r="AH771" s="40"/>
      <c r="AI771" s="40"/>
      <c r="AJ771" s="42"/>
      <c r="AK771" s="42"/>
      <c r="AL771" s="40"/>
      <c r="AM771" s="40"/>
      <c r="AN771" s="40"/>
      <c r="AO771" s="40"/>
      <c r="AP771" s="40"/>
      <c r="AQ771" s="40"/>
      <c r="AR771" s="39"/>
      <c r="AS771" s="39"/>
      <c r="AT771" s="40"/>
      <c r="AU771" s="40"/>
      <c r="AV771" s="23"/>
    </row>
    <row r="772" spans="1:48" ht="15.75" x14ac:dyDescent="0.25">
      <c r="A772" s="44"/>
      <c r="B772" s="23"/>
      <c r="C772" s="23"/>
      <c r="D772" s="39"/>
      <c r="E772" s="39"/>
      <c r="F772" s="40"/>
      <c r="G772" s="40"/>
      <c r="H772" s="41"/>
      <c r="I772" s="39"/>
      <c r="J772" s="40"/>
      <c r="K772" s="40"/>
      <c r="L772" s="41"/>
      <c r="M772" s="39"/>
      <c r="N772" s="40"/>
      <c r="O772" s="40"/>
      <c r="P772" s="39"/>
      <c r="Q772" s="39"/>
      <c r="R772" s="40"/>
      <c r="S772" s="40"/>
      <c r="T772" s="39"/>
      <c r="U772" s="39"/>
      <c r="V772" s="40"/>
      <c r="W772" s="40"/>
      <c r="X772" s="41"/>
      <c r="Y772" s="41"/>
      <c r="Z772" s="40"/>
      <c r="AA772" s="40"/>
      <c r="AB772" s="41"/>
      <c r="AC772" s="41"/>
      <c r="AD772" s="40"/>
      <c r="AE772" s="40"/>
      <c r="AF772" s="42"/>
      <c r="AG772" s="42"/>
      <c r="AH772" s="40"/>
      <c r="AI772" s="40"/>
      <c r="AJ772" s="42"/>
      <c r="AK772" s="42"/>
      <c r="AL772" s="40"/>
      <c r="AM772" s="40"/>
      <c r="AN772" s="40"/>
      <c r="AO772" s="40"/>
      <c r="AP772" s="40"/>
      <c r="AQ772" s="40"/>
      <c r="AR772" s="39"/>
      <c r="AS772" s="39"/>
      <c r="AT772" s="40"/>
      <c r="AU772" s="40"/>
      <c r="AV772" s="23"/>
    </row>
    <row r="773" spans="1:48" ht="15.75" x14ac:dyDescent="0.25">
      <c r="A773" s="44"/>
      <c r="B773" s="23"/>
      <c r="C773" s="23"/>
      <c r="D773" s="39"/>
      <c r="E773" s="39"/>
      <c r="F773" s="40"/>
      <c r="G773" s="40"/>
      <c r="H773" s="41"/>
      <c r="I773" s="39"/>
      <c r="J773" s="40"/>
      <c r="K773" s="40"/>
      <c r="L773" s="41"/>
      <c r="M773" s="39"/>
      <c r="N773" s="40"/>
      <c r="O773" s="40"/>
      <c r="P773" s="39"/>
      <c r="Q773" s="39"/>
      <c r="R773" s="40"/>
      <c r="S773" s="40"/>
      <c r="T773" s="39"/>
      <c r="U773" s="39"/>
      <c r="V773" s="40"/>
      <c r="W773" s="40"/>
      <c r="X773" s="41"/>
      <c r="Y773" s="41"/>
      <c r="Z773" s="40"/>
      <c r="AA773" s="40"/>
      <c r="AB773" s="41"/>
      <c r="AC773" s="41"/>
      <c r="AD773" s="40"/>
      <c r="AE773" s="40"/>
      <c r="AF773" s="42"/>
      <c r="AG773" s="42"/>
      <c r="AH773" s="40"/>
      <c r="AI773" s="40"/>
      <c r="AJ773" s="42"/>
      <c r="AK773" s="42"/>
      <c r="AL773" s="40"/>
      <c r="AM773" s="40"/>
      <c r="AN773" s="40"/>
      <c r="AO773" s="40"/>
      <c r="AP773" s="40"/>
      <c r="AQ773" s="40"/>
      <c r="AR773" s="39"/>
      <c r="AS773" s="39"/>
      <c r="AT773" s="40"/>
      <c r="AU773" s="40"/>
      <c r="AV773" s="23"/>
    </row>
    <row r="774" spans="1:48" ht="15.75" x14ac:dyDescent="0.25">
      <c r="A774" s="44"/>
      <c r="B774" s="23"/>
      <c r="C774" s="23"/>
      <c r="D774" s="39"/>
      <c r="E774" s="39"/>
      <c r="F774" s="40"/>
      <c r="G774" s="40"/>
      <c r="H774" s="41"/>
      <c r="I774" s="39"/>
      <c r="J774" s="40"/>
      <c r="K774" s="40"/>
      <c r="L774" s="41"/>
      <c r="M774" s="39"/>
      <c r="N774" s="40"/>
      <c r="O774" s="40"/>
      <c r="P774" s="39"/>
      <c r="Q774" s="39"/>
      <c r="R774" s="40"/>
      <c r="S774" s="40"/>
      <c r="T774" s="39"/>
      <c r="U774" s="39"/>
      <c r="V774" s="40"/>
      <c r="W774" s="40"/>
      <c r="X774" s="41"/>
      <c r="Y774" s="41"/>
      <c r="Z774" s="40"/>
      <c r="AA774" s="40"/>
      <c r="AB774" s="41"/>
      <c r="AC774" s="41"/>
      <c r="AD774" s="40"/>
      <c r="AE774" s="40"/>
      <c r="AF774" s="42"/>
      <c r="AG774" s="42"/>
      <c r="AH774" s="40"/>
      <c r="AI774" s="40"/>
      <c r="AJ774" s="42"/>
      <c r="AK774" s="42"/>
      <c r="AL774" s="40"/>
      <c r="AM774" s="40"/>
      <c r="AN774" s="40"/>
      <c r="AO774" s="40"/>
      <c r="AP774" s="40"/>
      <c r="AQ774" s="40"/>
      <c r="AR774" s="39"/>
      <c r="AS774" s="39"/>
      <c r="AT774" s="40"/>
      <c r="AU774" s="40"/>
      <c r="AV774" s="23"/>
    </row>
    <row r="775" spans="1:48" ht="15.75" x14ac:dyDescent="0.25">
      <c r="A775" s="44"/>
      <c r="B775" s="23"/>
      <c r="C775" s="23"/>
      <c r="D775" s="39"/>
      <c r="E775" s="39"/>
      <c r="F775" s="40"/>
      <c r="G775" s="40"/>
      <c r="H775" s="41"/>
      <c r="I775" s="39"/>
      <c r="J775" s="40"/>
      <c r="K775" s="40"/>
      <c r="L775" s="41"/>
      <c r="M775" s="39"/>
      <c r="N775" s="40"/>
      <c r="O775" s="40"/>
      <c r="P775" s="39"/>
      <c r="Q775" s="39"/>
      <c r="R775" s="40"/>
      <c r="S775" s="40"/>
      <c r="T775" s="39"/>
      <c r="U775" s="39"/>
      <c r="V775" s="40"/>
      <c r="W775" s="40"/>
      <c r="X775" s="41"/>
      <c r="Y775" s="41"/>
      <c r="Z775" s="40"/>
      <c r="AA775" s="40"/>
      <c r="AB775" s="41"/>
      <c r="AC775" s="41"/>
      <c r="AD775" s="40"/>
      <c r="AE775" s="40"/>
      <c r="AF775" s="42"/>
      <c r="AG775" s="42"/>
      <c r="AH775" s="40"/>
      <c r="AI775" s="40"/>
      <c r="AJ775" s="42"/>
      <c r="AK775" s="42"/>
      <c r="AL775" s="40"/>
      <c r="AM775" s="40"/>
      <c r="AN775" s="40"/>
      <c r="AO775" s="40"/>
      <c r="AP775" s="40"/>
      <c r="AQ775" s="40"/>
      <c r="AR775" s="39"/>
      <c r="AS775" s="39"/>
      <c r="AT775" s="40"/>
      <c r="AU775" s="40"/>
      <c r="AV775" s="23"/>
    </row>
    <row r="776" spans="1:48" ht="15.75" x14ac:dyDescent="0.25">
      <c r="A776" s="44"/>
      <c r="B776" s="23"/>
      <c r="C776" s="23"/>
      <c r="D776" s="39"/>
      <c r="E776" s="39"/>
      <c r="F776" s="40"/>
      <c r="G776" s="40"/>
      <c r="H776" s="41"/>
      <c r="I776" s="39"/>
      <c r="J776" s="40"/>
      <c r="K776" s="40"/>
      <c r="L776" s="41"/>
      <c r="M776" s="39"/>
      <c r="N776" s="40"/>
      <c r="O776" s="40"/>
      <c r="P776" s="39"/>
      <c r="Q776" s="39"/>
      <c r="R776" s="40"/>
      <c r="S776" s="40"/>
      <c r="T776" s="39"/>
      <c r="U776" s="39"/>
      <c r="V776" s="40"/>
      <c r="W776" s="40"/>
      <c r="X776" s="41"/>
      <c r="Y776" s="41"/>
      <c r="Z776" s="40"/>
      <c r="AA776" s="40"/>
      <c r="AB776" s="41"/>
      <c r="AC776" s="41"/>
      <c r="AD776" s="40"/>
      <c r="AE776" s="40"/>
      <c r="AF776" s="42"/>
      <c r="AG776" s="42"/>
      <c r="AH776" s="40"/>
      <c r="AI776" s="40"/>
      <c r="AJ776" s="42"/>
      <c r="AK776" s="42"/>
      <c r="AL776" s="40"/>
      <c r="AM776" s="40"/>
      <c r="AN776" s="40"/>
      <c r="AO776" s="40"/>
      <c r="AP776" s="40"/>
      <c r="AQ776" s="40"/>
      <c r="AR776" s="39"/>
      <c r="AS776" s="39"/>
      <c r="AT776" s="40"/>
      <c r="AU776" s="40"/>
      <c r="AV776" s="23"/>
    </row>
    <row r="777" spans="1:48" ht="15.75" x14ac:dyDescent="0.25">
      <c r="A777" s="44"/>
      <c r="B777" s="23"/>
      <c r="C777" s="23"/>
      <c r="D777" s="39"/>
      <c r="E777" s="39"/>
      <c r="F777" s="40"/>
      <c r="G777" s="40"/>
      <c r="H777" s="41"/>
      <c r="I777" s="39"/>
      <c r="J777" s="40"/>
      <c r="K777" s="40"/>
      <c r="L777" s="41"/>
      <c r="M777" s="39"/>
      <c r="N777" s="40"/>
      <c r="O777" s="40"/>
      <c r="P777" s="39"/>
      <c r="Q777" s="39"/>
      <c r="R777" s="40"/>
      <c r="S777" s="40"/>
      <c r="T777" s="39"/>
      <c r="U777" s="39"/>
      <c r="V777" s="40"/>
      <c r="W777" s="40"/>
      <c r="X777" s="41"/>
      <c r="Y777" s="41"/>
      <c r="Z777" s="40"/>
      <c r="AA777" s="40"/>
      <c r="AB777" s="41"/>
      <c r="AC777" s="41"/>
      <c r="AD777" s="40"/>
      <c r="AE777" s="40"/>
      <c r="AF777" s="42"/>
      <c r="AG777" s="42"/>
      <c r="AH777" s="40"/>
      <c r="AI777" s="40"/>
      <c r="AJ777" s="42"/>
      <c r="AK777" s="42"/>
      <c r="AL777" s="40"/>
      <c r="AM777" s="40"/>
      <c r="AN777" s="40"/>
      <c r="AO777" s="40"/>
      <c r="AP777" s="40"/>
      <c r="AQ777" s="40"/>
      <c r="AR777" s="39"/>
      <c r="AS777" s="39"/>
      <c r="AT777" s="40"/>
      <c r="AU777" s="40"/>
      <c r="AV777" s="23"/>
    </row>
    <row r="778" spans="1:48" ht="15.75" x14ac:dyDescent="0.25">
      <c r="A778" s="44"/>
      <c r="B778" s="23"/>
      <c r="C778" s="23"/>
      <c r="D778" s="39"/>
      <c r="E778" s="39"/>
      <c r="F778" s="40"/>
      <c r="G778" s="40"/>
      <c r="H778" s="41"/>
      <c r="I778" s="39"/>
      <c r="J778" s="40"/>
      <c r="K778" s="40"/>
      <c r="L778" s="41"/>
      <c r="M778" s="39"/>
      <c r="N778" s="40"/>
      <c r="O778" s="40"/>
      <c r="P778" s="39"/>
      <c r="Q778" s="39"/>
      <c r="R778" s="40"/>
      <c r="S778" s="40"/>
      <c r="T778" s="39"/>
      <c r="U778" s="39"/>
      <c r="V778" s="40"/>
      <c r="W778" s="40"/>
      <c r="X778" s="41"/>
      <c r="Y778" s="41"/>
      <c r="Z778" s="40"/>
      <c r="AA778" s="40"/>
      <c r="AB778" s="41"/>
      <c r="AC778" s="41"/>
      <c r="AD778" s="40"/>
      <c r="AE778" s="40"/>
      <c r="AF778" s="42"/>
      <c r="AG778" s="42"/>
      <c r="AH778" s="40"/>
      <c r="AI778" s="40"/>
      <c r="AJ778" s="42"/>
      <c r="AK778" s="42"/>
      <c r="AL778" s="40"/>
      <c r="AM778" s="40"/>
      <c r="AN778" s="40"/>
      <c r="AO778" s="40"/>
      <c r="AP778" s="40"/>
      <c r="AQ778" s="40"/>
      <c r="AR778" s="39"/>
      <c r="AS778" s="39"/>
      <c r="AT778" s="40"/>
      <c r="AU778" s="40"/>
      <c r="AV778" s="23"/>
    </row>
    <row r="779" spans="1:48" ht="15.75" x14ac:dyDescent="0.25">
      <c r="A779" s="44"/>
      <c r="B779" s="23"/>
      <c r="C779" s="23"/>
      <c r="D779" s="39"/>
      <c r="E779" s="39"/>
      <c r="F779" s="40"/>
      <c r="G779" s="40"/>
      <c r="H779" s="41"/>
      <c r="I779" s="39"/>
      <c r="J779" s="40"/>
      <c r="K779" s="40"/>
      <c r="L779" s="41"/>
      <c r="M779" s="39"/>
      <c r="N779" s="40"/>
      <c r="O779" s="40"/>
      <c r="P779" s="39"/>
      <c r="Q779" s="39"/>
      <c r="R779" s="40"/>
      <c r="S779" s="40"/>
      <c r="T779" s="39"/>
      <c r="U779" s="39"/>
      <c r="V779" s="40"/>
      <c r="W779" s="40"/>
      <c r="X779" s="41"/>
      <c r="Y779" s="41"/>
      <c r="Z779" s="40"/>
      <c r="AA779" s="40"/>
      <c r="AB779" s="41"/>
      <c r="AC779" s="41"/>
      <c r="AD779" s="40"/>
      <c r="AE779" s="40"/>
      <c r="AF779" s="42"/>
      <c r="AG779" s="42"/>
      <c r="AH779" s="40"/>
      <c r="AI779" s="40"/>
      <c r="AJ779" s="42"/>
      <c r="AK779" s="42"/>
      <c r="AL779" s="40"/>
      <c r="AM779" s="40"/>
      <c r="AN779" s="40"/>
      <c r="AO779" s="40"/>
      <c r="AP779" s="40"/>
      <c r="AQ779" s="40"/>
      <c r="AR779" s="39"/>
      <c r="AS779" s="39"/>
      <c r="AT779" s="40"/>
      <c r="AU779" s="40"/>
      <c r="AV779" s="23"/>
    </row>
    <row r="780" spans="1:48" ht="15.75" x14ac:dyDescent="0.25">
      <c r="A780" s="44"/>
      <c r="B780" s="23"/>
      <c r="C780" s="23"/>
      <c r="D780" s="39"/>
      <c r="E780" s="39"/>
      <c r="F780" s="40"/>
      <c r="G780" s="40"/>
      <c r="H780" s="41"/>
      <c r="I780" s="39"/>
      <c r="J780" s="40"/>
      <c r="K780" s="40"/>
      <c r="L780" s="41"/>
      <c r="M780" s="39"/>
      <c r="N780" s="40"/>
      <c r="O780" s="40"/>
      <c r="P780" s="39"/>
      <c r="Q780" s="39"/>
      <c r="R780" s="40"/>
      <c r="S780" s="40"/>
      <c r="T780" s="39"/>
      <c r="U780" s="39"/>
      <c r="V780" s="40"/>
      <c r="W780" s="40"/>
      <c r="X780" s="41"/>
      <c r="Y780" s="41"/>
      <c r="Z780" s="40"/>
      <c r="AA780" s="40"/>
      <c r="AB780" s="41"/>
      <c r="AC780" s="41"/>
      <c r="AD780" s="40"/>
      <c r="AE780" s="40"/>
      <c r="AF780" s="42"/>
      <c r="AG780" s="42"/>
      <c r="AH780" s="40"/>
      <c r="AI780" s="40"/>
      <c r="AJ780" s="42"/>
      <c r="AK780" s="42"/>
      <c r="AL780" s="40"/>
      <c r="AM780" s="40"/>
      <c r="AN780" s="40"/>
      <c r="AO780" s="40"/>
      <c r="AP780" s="40"/>
      <c r="AQ780" s="40"/>
      <c r="AR780" s="39"/>
      <c r="AS780" s="39"/>
      <c r="AT780" s="40"/>
      <c r="AU780" s="40"/>
      <c r="AV780" s="23"/>
    </row>
    <row r="781" spans="1:48" ht="15.75" x14ac:dyDescent="0.25">
      <c r="A781" s="44"/>
      <c r="B781" s="23"/>
      <c r="C781" s="23"/>
      <c r="D781" s="39"/>
      <c r="E781" s="39"/>
      <c r="F781" s="40"/>
      <c r="G781" s="40"/>
      <c r="H781" s="41"/>
      <c r="I781" s="39"/>
      <c r="J781" s="40"/>
      <c r="K781" s="40"/>
      <c r="L781" s="41"/>
      <c r="M781" s="39"/>
      <c r="N781" s="40"/>
      <c r="O781" s="40"/>
      <c r="P781" s="39"/>
      <c r="Q781" s="39"/>
      <c r="R781" s="40"/>
      <c r="S781" s="40"/>
      <c r="T781" s="39"/>
      <c r="U781" s="39"/>
      <c r="V781" s="40"/>
      <c r="W781" s="40"/>
      <c r="X781" s="41"/>
      <c r="Y781" s="41"/>
      <c r="Z781" s="40"/>
      <c r="AA781" s="40"/>
      <c r="AB781" s="41"/>
      <c r="AC781" s="41"/>
      <c r="AD781" s="40"/>
      <c r="AE781" s="40"/>
      <c r="AF781" s="42"/>
      <c r="AG781" s="42"/>
      <c r="AH781" s="40"/>
      <c r="AI781" s="40"/>
      <c r="AJ781" s="42"/>
      <c r="AK781" s="42"/>
      <c r="AL781" s="40"/>
      <c r="AM781" s="40"/>
      <c r="AN781" s="40"/>
      <c r="AO781" s="40"/>
      <c r="AP781" s="40"/>
      <c r="AQ781" s="40"/>
      <c r="AR781" s="39"/>
      <c r="AS781" s="39"/>
      <c r="AT781" s="40"/>
      <c r="AU781" s="40"/>
      <c r="AV781" s="23"/>
    </row>
    <row r="782" spans="1:48" ht="15.75" x14ac:dyDescent="0.25">
      <c r="A782" s="44"/>
      <c r="B782" s="23"/>
      <c r="C782" s="23"/>
      <c r="D782" s="39"/>
      <c r="E782" s="39"/>
      <c r="F782" s="40"/>
      <c r="G782" s="40"/>
      <c r="H782" s="41"/>
      <c r="I782" s="39"/>
      <c r="J782" s="40"/>
      <c r="K782" s="40"/>
      <c r="L782" s="41"/>
      <c r="M782" s="39"/>
      <c r="N782" s="40"/>
      <c r="O782" s="40"/>
      <c r="P782" s="39"/>
      <c r="Q782" s="39"/>
      <c r="R782" s="40"/>
      <c r="S782" s="40"/>
      <c r="T782" s="39"/>
      <c r="U782" s="39"/>
      <c r="V782" s="40"/>
      <c r="W782" s="40"/>
      <c r="X782" s="41"/>
      <c r="Y782" s="41"/>
      <c r="Z782" s="40"/>
      <c r="AA782" s="40"/>
      <c r="AB782" s="41"/>
      <c r="AC782" s="41"/>
      <c r="AD782" s="40"/>
      <c r="AE782" s="40"/>
      <c r="AF782" s="42"/>
      <c r="AG782" s="42"/>
      <c r="AH782" s="40"/>
      <c r="AI782" s="40"/>
      <c r="AJ782" s="42"/>
      <c r="AK782" s="42"/>
      <c r="AL782" s="40"/>
      <c r="AM782" s="40"/>
      <c r="AN782" s="40"/>
      <c r="AO782" s="40"/>
      <c r="AP782" s="40"/>
      <c r="AQ782" s="40"/>
      <c r="AR782" s="39"/>
      <c r="AS782" s="39"/>
      <c r="AT782" s="40"/>
      <c r="AU782" s="40"/>
      <c r="AV782" s="23"/>
    </row>
    <row r="783" spans="1:48" ht="15.75" x14ac:dyDescent="0.25">
      <c r="A783" s="44"/>
      <c r="B783" s="23"/>
      <c r="C783" s="23"/>
      <c r="D783" s="39"/>
      <c r="E783" s="39"/>
      <c r="F783" s="40"/>
      <c r="G783" s="40"/>
      <c r="H783" s="41"/>
      <c r="I783" s="39"/>
      <c r="J783" s="40"/>
      <c r="K783" s="40"/>
      <c r="L783" s="41"/>
      <c r="M783" s="39"/>
      <c r="N783" s="40"/>
      <c r="O783" s="40"/>
      <c r="P783" s="39"/>
      <c r="Q783" s="39"/>
      <c r="R783" s="40"/>
      <c r="S783" s="40"/>
      <c r="T783" s="39"/>
      <c r="U783" s="39"/>
      <c r="V783" s="40"/>
      <c r="W783" s="40"/>
      <c r="X783" s="41"/>
      <c r="Y783" s="41"/>
      <c r="Z783" s="40"/>
      <c r="AA783" s="40"/>
      <c r="AB783" s="41"/>
      <c r="AC783" s="41"/>
      <c r="AD783" s="40"/>
      <c r="AE783" s="40"/>
      <c r="AF783" s="42"/>
      <c r="AG783" s="42"/>
      <c r="AH783" s="40"/>
      <c r="AI783" s="40"/>
      <c r="AJ783" s="42"/>
      <c r="AK783" s="42"/>
      <c r="AL783" s="40"/>
      <c r="AM783" s="40"/>
      <c r="AN783" s="40"/>
      <c r="AO783" s="40"/>
      <c r="AP783" s="40"/>
      <c r="AQ783" s="40"/>
      <c r="AR783" s="39"/>
      <c r="AS783" s="39"/>
      <c r="AT783" s="40"/>
      <c r="AU783" s="40"/>
      <c r="AV783" s="23"/>
    </row>
    <row r="784" spans="1:48" ht="15.75" x14ac:dyDescent="0.25">
      <c r="A784" s="44"/>
      <c r="B784" s="23"/>
      <c r="C784" s="23"/>
      <c r="D784" s="39"/>
      <c r="E784" s="39"/>
      <c r="F784" s="40"/>
      <c r="G784" s="40"/>
      <c r="H784" s="41"/>
      <c r="I784" s="39"/>
      <c r="J784" s="40"/>
      <c r="K784" s="40"/>
      <c r="L784" s="41"/>
      <c r="M784" s="39"/>
      <c r="N784" s="40"/>
      <c r="O784" s="40"/>
      <c r="P784" s="39"/>
      <c r="Q784" s="39"/>
      <c r="R784" s="40"/>
      <c r="S784" s="40"/>
      <c r="T784" s="39"/>
      <c r="U784" s="39"/>
      <c r="V784" s="40"/>
      <c r="W784" s="40"/>
      <c r="X784" s="41"/>
      <c r="Y784" s="41"/>
      <c r="Z784" s="40"/>
      <c r="AA784" s="40"/>
      <c r="AB784" s="41"/>
      <c r="AC784" s="41"/>
      <c r="AD784" s="40"/>
      <c r="AE784" s="40"/>
      <c r="AF784" s="42"/>
      <c r="AG784" s="42"/>
      <c r="AH784" s="40"/>
      <c r="AI784" s="40"/>
      <c r="AJ784" s="42"/>
      <c r="AK784" s="42"/>
      <c r="AL784" s="40"/>
      <c r="AM784" s="40"/>
      <c r="AN784" s="40"/>
      <c r="AO784" s="40"/>
      <c r="AP784" s="40"/>
      <c r="AQ784" s="40"/>
      <c r="AR784" s="39"/>
      <c r="AS784" s="39"/>
      <c r="AT784" s="40"/>
      <c r="AU784" s="40"/>
      <c r="AV784" s="23"/>
    </row>
    <row r="785" spans="1:48" ht="15.75" x14ac:dyDescent="0.25">
      <c r="A785" s="44"/>
      <c r="B785" s="23"/>
      <c r="C785" s="23"/>
      <c r="D785" s="39"/>
      <c r="E785" s="39"/>
      <c r="F785" s="40"/>
      <c r="G785" s="40"/>
      <c r="H785" s="41"/>
      <c r="I785" s="39"/>
      <c r="J785" s="40"/>
      <c r="K785" s="40"/>
      <c r="L785" s="41"/>
      <c r="M785" s="39"/>
      <c r="N785" s="40"/>
      <c r="O785" s="40"/>
      <c r="P785" s="39"/>
      <c r="Q785" s="39"/>
      <c r="R785" s="40"/>
      <c r="S785" s="40"/>
      <c r="T785" s="39"/>
      <c r="U785" s="39"/>
      <c r="V785" s="40"/>
      <c r="W785" s="40"/>
      <c r="X785" s="41"/>
      <c r="Y785" s="41"/>
      <c r="Z785" s="40"/>
      <c r="AA785" s="40"/>
      <c r="AB785" s="41"/>
      <c r="AC785" s="41"/>
      <c r="AD785" s="40"/>
      <c r="AE785" s="40"/>
      <c r="AF785" s="42"/>
      <c r="AG785" s="42"/>
      <c r="AH785" s="40"/>
      <c r="AI785" s="40"/>
      <c r="AJ785" s="42"/>
      <c r="AK785" s="42"/>
      <c r="AL785" s="40"/>
      <c r="AM785" s="40"/>
      <c r="AN785" s="40"/>
      <c r="AO785" s="40"/>
      <c r="AP785" s="40"/>
      <c r="AQ785" s="40"/>
      <c r="AR785" s="39"/>
      <c r="AS785" s="39"/>
      <c r="AT785" s="40"/>
      <c r="AU785" s="40"/>
      <c r="AV785" s="23"/>
    </row>
    <row r="786" spans="1:48" ht="15.75" x14ac:dyDescent="0.25">
      <c r="A786" s="44"/>
      <c r="B786" s="23"/>
      <c r="C786" s="23"/>
      <c r="D786" s="39"/>
      <c r="E786" s="39"/>
      <c r="F786" s="40"/>
      <c r="G786" s="40"/>
      <c r="H786" s="41"/>
      <c r="I786" s="39"/>
      <c r="J786" s="40"/>
      <c r="K786" s="40"/>
      <c r="L786" s="41"/>
      <c r="M786" s="39"/>
      <c r="N786" s="40"/>
      <c r="O786" s="40"/>
      <c r="P786" s="39"/>
      <c r="Q786" s="39"/>
      <c r="R786" s="40"/>
      <c r="S786" s="40"/>
      <c r="T786" s="39"/>
      <c r="U786" s="39"/>
      <c r="V786" s="40"/>
      <c r="W786" s="40"/>
      <c r="X786" s="41"/>
      <c r="Y786" s="41"/>
      <c r="Z786" s="40"/>
      <c r="AA786" s="40"/>
      <c r="AB786" s="41"/>
      <c r="AC786" s="41"/>
      <c r="AD786" s="40"/>
      <c r="AE786" s="40"/>
      <c r="AF786" s="42"/>
      <c r="AG786" s="42"/>
      <c r="AH786" s="40"/>
      <c r="AI786" s="40"/>
      <c r="AJ786" s="42"/>
      <c r="AK786" s="42"/>
      <c r="AL786" s="40"/>
      <c r="AM786" s="40"/>
      <c r="AN786" s="40"/>
      <c r="AO786" s="40"/>
      <c r="AP786" s="40"/>
      <c r="AQ786" s="40"/>
      <c r="AR786" s="39"/>
      <c r="AS786" s="39"/>
      <c r="AT786" s="40"/>
      <c r="AU786" s="40"/>
      <c r="AV786" s="23"/>
    </row>
    <row r="787" spans="1:48" ht="15.75" x14ac:dyDescent="0.25">
      <c r="A787" s="44"/>
      <c r="B787" s="23"/>
      <c r="C787" s="23"/>
      <c r="D787" s="39"/>
      <c r="E787" s="39"/>
      <c r="F787" s="40"/>
      <c r="G787" s="40"/>
      <c r="H787" s="41"/>
      <c r="I787" s="39"/>
      <c r="J787" s="40"/>
      <c r="K787" s="40"/>
      <c r="L787" s="41"/>
      <c r="M787" s="39"/>
      <c r="N787" s="40"/>
      <c r="O787" s="40"/>
      <c r="P787" s="39"/>
      <c r="Q787" s="39"/>
      <c r="R787" s="40"/>
      <c r="S787" s="40"/>
      <c r="T787" s="39"/>
      <c r="U787" s="39"/>
      <c r="V787" s="40"/>
      <c r="W787" s="40"/>
      <c r="X787" s="41"/>
      <c r="Y787" s="41"/>
      <c r="Z787" s="40"/>
      <c r="AA787" s="40"/>
      <c r="AB787" s="41"/>
      <c r="AC787" s="41"/>
      <c r="AD787" s="40"/>
      <c r="AE787" s="40"/>
      <c r="AF787" s="42"/>
      <c r="AG787" s="42"/>
      <c r="AH787" s="40"/>
      <c r="AI787" s="40"/>
      <c r="AJ787" s="42"/>
      <c r="AK787" s="42"/>
      <c r="AL787" s="40"/>
      <c r="AM787" s="40"/>
      <c r="AN787" s="40"/>
      <c r="AO787" s="40"/>
      <c r="AP787" s="40"/>
      <c r="AQ787" s="40"/>
      <c r="AR787" s="39"/>
      <c r="AS787" s="39"/>
      <c r="AT787" s="40"/>
      <c r="AU787" s="40"/>
      <c r="AV787" s="23"/>
    </row>
    <row r="788" spans="1:48" ht="15.75" x14ac:dyDescent="0.25">
      <c r="A788" s="44"/>
      <c r="B788" s="23"/>
      <c r="C788" s="23"/>
      <c r="D788" s="39"/>
      <c r="E788" s="39"/>
      <c r="F788" s="40"/>
      <c r="G788" s="40"/>
      <c r="H788" s="41"/>
      <c r="I788" s="39"/>
      <c r="J788" s="40"/>
      <c r="K788" s="40"/>
      <c r="L788" s="41"/>
      <c r="M788" s="39"/>
      <c r="N788" s="40"/>
      <c r="O788" s="40"/>
      <c r="P788" s="39"/>
      <c r="Q788" s="39"/>
      <c r="R788" s="40"/>
      <c r="S788" s="40"/>
      <c r="T788" s="39"/>
      <c r="U788" s="39"/>
      <c r="V788" s="40"/>
      <c r="W788" s="40"/>
      <c r="X788" s="41"/>
      <c r="Y788" s="41"/>
      <c r="Z788" s="40"/>
      <c r="AA788" s="40"/>
      <c r="AB788" s="41"/>
      <c r="AC788" s="41"/>
      <c r="AD788" s="40"/>
      <c r="AE788" s="40"/>
      <c r="AF788" s="42"/>
      <c r="AG788" s="42"/>
      <c r="AH788" s="40"/>
      <c r="AI788" s="40"/>
      <c r="AJ788" s="42"/>
      <c r="AK788" s="42"/>
      <c r="AL788" s="40"/>
      <c r="AM788" s="40"/>
      <c r="AN788" s="40"/>
      <c r="AO788" s="40"/>
      <c r="AP788" s="40"/>
      <c r="AQ788" s="40"/>
      <c r="AR788" s="39"/>
      <c r="AS788" s="39"/>
      <c r="AT788" s="40"/>
      <c r="AU788" s="40"/>
      <c r="AV788" s="23"/>
    </row>
    <row r="789" spans="1:48" ht="15.75" x14ac:dyDescent="0.25">
      <c r="A789" s="44"/>
      <c r="B789" s="23"/>
      <c r="C789" s="23"/>
      <c r="D789" s="39"/>
      <c r="E789" s="39"/>
      <c r="F789" s="40"/>
      <c r="G789" s="40"/>
      <c r="H789" s="41"/>
      <c r="I789" s="39"/>
      <c r="J789" s="40"/>
      <c r="K789" s="40"/>
      <c r="L789" s="41"/>
      <c r="M789" s="39"/>
      <c r="N789" s="40"/>
      <c r="O789" s="40"/>
      <c r="P789" s="39"/>
      <c r="Q789" s="39"/>
      <c r="R789" s="40"/>
      <c r="S789" s="40"/>
      <c r="T789" s="39"/>
      <c r="U789" s="39"/>
      <c r="V789" s="40"/>
      <c r="W789" s="40"/>
      <c r="X789" s="41"/>
      <c r="Y789" s="41"/>
      <c r="Z789" s="40"/>
      <c r="AA789" s="40"/>
      <c r="AB789" s="41"/>
      <c r="AC789" s="41"/>
      <c r="AD789" s="40"/>
      <c r="AE789" s="40"/>
      <c r="AF789" s="42"/>
      <c r="AG789" s="42"/>
      <c r="AH789" s="40"/>
      <c r="AI789" s="40"/>
      <c r="AJ789" s="42"/>
      <c r="AK789" s="42"/>
      <c r="AL789" s="40"/>
      <c r="AM789" s="40"/>
      <c r="AN789" s="40"/>
      <c r="AO789" s="40"/>
      <c r="AP789" s="40"/>
      <c r="AQ789" s="40"/>
      <c r="AR789" s="39"/>
      <c r="AS789" s="39"/>
      <c r="AT789" s="40"/>
      <c r="AU789" s="40"/>
      <c r="AV789" s="23"/>
    </row>
    <row r="790" spans="1:48" ht="15.75" x14ac:dyDescent="0.25">
      <c r="A790" s="44"/>
      <c r="B790" s="23"/>
      <c r="C790" s="23"/>
      <c r="D790" s="39"/>
      <c r="E790" s="39"/>
      <c r="F790" s="40"/>
      <c r="G790" s="40"/>
      <c r="H790" s="41"/>
      <c r="I790" s="39"/>
      <c r="J790" s="40"/>
      <c r="K790" s="40"/>
      <c r="L790" s="41"/>
      <c r="M790" s="39"/>
      <c r="N790" s="40"/>
      <c r="O790" s="40"/>
      <c r="P790" s="39"/>
      <c r="Q790" s="39"/>
      <c r="R790" s="40"/>
      <c r="S790" s="40"/>
      <c r="T790" s="39"/>
      <c r="U790" s="39"/>
      <c r="V790" s="40"/>
      <c r="W790" s="40"/>
      <c r="X790" s="41"/>
      <c r="Y790" s="41"/>
      <c r="Z790" s="40"/>
      <c r="AA790" s="40"/>
      <c r="AB790" s="41"/>
      <c r="AC790" s="41"/>
      <c r="AD790" s="40"/>
      <c r="AE790" s="40"/>
      <c r="AF790" s="42"/>
      <c r="AG790" s="42"/>
      <c r="AH790" s="40"/>
      <c r="AI790" s="40"/>
      <c r="AJ790" s="42"/>
      <c r="AK790" s="42"/>
      <c r="AL790" s="40"/>
      <c r="AM790" s="40"/>
      <c r="AN790" s="40"/>
      <c r="AO790" s="40"/>
      <c r="AP790" s="40"/>
      <c r="AQ790" s="40"/>
      <c r="AR790" s="39"/>
      <c r="AS790" s="39"/>
      <c r="AT790" s="40"/>
      <c r="AU790" s="40"/>
      <c r="AV790" s="23"/>
    </row>
    <row r="791" spans="1:48" ht="15.75" x14ac:dyDescent="0.25">
      <c r="A791" s="44"/>
      <c r="B791" s="23"/>
      <c r="C791" s="23"/>
      <c r="D791" s="39"/>
      <c r="E791" s="39"/>
      <c r="F791" s="40"/>
      <c r="G791" s="40"/>
      <c r="H791" s="41"/>
      <c r="I791" s="39"/>
      <c r="J791" s="40"/>
      <c r="K791" s="40"/>
      <c r="L791" s="41"/>
      <c r="M791" s="39"/>
      <c r="N791" s="40"/>
      <c r="O791" s="40"/>
      <c r="P791" s="39"/>
      <c r="Q791" s="39"/>
      <c r="R791" s="40"/>
      <c r="S791" s="40"/>
      <c r="T791" s="39"/>
      <c r="U791" s="39"/>
      <c r="V791" s="40"/>
      <c r="W791" s="40"/>
      <c r="X791" s="41"/>
      <c r="Y791" s="41"/>
      <c r="Z791" s="40"/>
      <c r="AA791" s="40"/>
      <c r="AB791" s="41"/>
      <c r="AC791" s="41"/>
      <c r="AD791" s="40"/>
      <c r="AE791" s="40"/>
      <c r="AF791" s="42"/>
      <c r="AG791" s="42"/>
      <c r="AH791" s="40"/>
      <c r="AI791" s="40"/>
      <c r="AJ791" s="42"/>
      <c r="AK791" s="42"/>
      <c r="AL791" s="40"/>
      <c r="AM791" s="40"/>
      <c r="AN791" s="40"/>
      <c r="AO791" s="40"/>
      <c r="AP791" s="40"/>
      <c r="AQ791" s="40"/>
      <c r="AR791" s="39"/>
      <c r="AS791" s="39"/>
      <c r="AT791" s="40"/>
      <c r="AU791" s="40"/>
      <c r="AV791" s="23"/>
    </row>
    <row r="792" spans="1:48" ht="15.75" x14ac:dyDescent="0.25">
      <c r="A792" s="44"/>
      <c r="B792" s="23"/>
      <c r="C792" s="23"/>
      <c r="D792" s="39"/>
      <c r="E792" s="39"/>
      <c r="F792" s="40"/>
      <c r="G792" s="40"/>
      <c r="H792" s="41"/>
      <c r="I792" s="39"/>
      <c r="J792" s="40"/>
      <c r="K792" s="40"/>
      <c r="L792" s="41"/>
      <c r="M792" s="39"/>
      <c r="N792" s="40"/>
      <c r="O792" s="40"/>
      <c r="P792" s="39"/>
      <c r="Q792" s="39"/>
      <c r="R792" s="40"/>
      <c r="S792" s="40"/>
      <c r="T792" s="39"/>
      <c r="U792" s="39"/>
      <c r="V792" s="40"/>
      <c r="W792" s="40"/>
      <c r="X792" s="41"/>
      <c r="Y792" s="41"/>
      <c r="Z792" s="40"/>
      <c r="AA792" s="40"/>
      <c r="AB792" s="41"/>
      <c r="AC792" s="41"/>
      <c r="AD792" s="40"/>
      <c r="AE792" s="40"/>
      <c r="AF792" s="42"/>
      <c r="AG792" s="42"/>
      <c r="AH792" s="40"/>
      <c r="AI792" s="40"/>
      <c r="AJ792" s="42"/>
      <c r="AK792" s="42"/>
      <c r="AL792" s="40"/>
      <c r="AM792" s="40"/>
      <c r="AN792" s="40"/>
      <c r="AO792" s="40"/>
      <c r="AP792" s="40"/>
      <c r="AQ792" s="40"/>
      <c r="AR792" s="39"/>
      <c r="AS792" s="39"/>
      <c r="AT792" s="40"/>
      <c r="AU792" s="40"/>
      <c r="AV792" s="23"/>
    </row>
    <row r="793" spans="1:48" ht="15.75" x14ac:dyDescent="0.25">
      <c r="A793" s="44"/>
      <c r="B793" s="23"/>
      <c r="C793" s="23"/>
      <c r="D793" s="39"/>
      <c r="E793" s="39"/>
      <c r="F793" s="40"/>
      <c r="G793" s="40"/>
      <c r="H793" s="41"/>
      <c r="I793" s="39"/>
      <c r="J793" s="40"/>
      <c r="K793" s="40"/>
      <c r="L793" s="41"/>
      <c r="M793" s="39"/>
      <c r="N793" s="40"/>
      <c r="O793" s="40"/>
      <c r="P793" s="39"/>
      <c r="Q793" s="39"/>
      <c r="R793" s="40"/>
      <c r="S793" s="40"/>
      <c r="T793" s="39"/>
      <c r="U793" s="39"/>
      <c r="V793" s="40"/>
      <c r="W793" s="40"/>
      <c r="X793" s="41"/>
      <c r="Y793" s="41"/>
      <c r="Z793" s="40"/>
      <c r="AA793" s="40"/>
      <c r="AB793" s="41"/>
      <c r="AC793" s="41"/>
      <c r="AD793" s="40"/>
      <c r="AE793" s="40"/>
      <c r="AF793" s="42"/>
      <c r="AG793" s="42"/>
      <c r="AH793" s="40"/>
      <c r="AI793" s="40"/>
      <c r="AJ793" s="42"/>
      <c r="AK793" s="42"/>
      <c r="AL793" s="40"/>
      <c r="AM793" s="40"/>
      <c r="AN793" s="40"/>
      <c r="AO793" s="40"/>
      <c r="AP793" s="40"/>
      <c r="AQ793" s="40"/>
      <c r="AR793" s="39"/>
      <c r="AS793" s="39"/>
      <c r="AT793" s="40"/>
      <c r="AU793" s="40"/>
      <c r="AV793" s="23"/>
    </row>
    <row r="794" spans="1:48" ht="15.75" x14ac:dyDescent="0.25">
      <c r="A794" s="44"/>
      <c r="B794" s="23"/>
      <c r="C794" s="23"/>
      <c r="D794" s="39"/>
      <c r="E794" s="39"/>
      <c r="F794" s="40"/>
      <c r="G794" s="40"/>
      <c r="H794" s="41"/>
      <c r="I794" s="39"/>
      <c r="J794" s="40"/>
      <c r="K794" s="40"/>
      <c r="L794" s="41"/>
      <c r="M794" s="39"/>
      <c r="N794" s="40"/>
      <c r="O794" s="40"/>
      <c r="P794" s="39"/>
      <c r="Q794" s="39"/>
      <c r="R794" s="40"/>
      <c r="S794" s="40"/>
      <c r="T794" s="39"/>
      <c r="U794" s="39"/>
      <c r="V794" s="40"/>
      <c r="W794" s="40"/>
      <c r="X794" s="41"/>
      <c r="Y794" s="41"/>
      <c r="Z794" s="40"/>
      <c r="AA794" s="40"/>
      <c r="AB794" s="41"/>
      <c r="AC794" s="41"/>
      <c r="AD794" s="40"/>
      <c r="AE794" s="40"/>
      <c r="AF794" s="42"/>
      <c r="AG794" s="42"/>
      <c r="AH794" s="40"/>
      <c r="AI794" s="40"/>
      <c r="AJ794" s="42"/>
      <c r="AK794" s="42"/>
      <c r="AL794" s="40"/>
      <c r="AM794" s="40"/>
      <c r="AN794" s="40"/>
      <c r="AO794" s="40"/>
      <c r="AP794" s="40"/>
      <c r="AQ794" s="40"/>
      <c r="AR794" s="39"/>
      <c r="AS794" s="39"/>
      <c r="AT794" s="40"/>
      <c r="AU794" s="40"/>
      <c r="AV794" s="23"/>
    </row>
    <row r="795" spans="1:48" ht="15.75" x14ac:dyDescent="0.25">
      <c r="A795" s="44"/>
      <c r="B795" s="23"/>
      <c r="C795" s="23"/>
      <c r="D795" s="39"/>
      <c r="E795" s="39"/>
      <c r="F795" s="40"/>
      <c r="G795" s="40"/>
      <c r="H795" s="41"/>
      <c r="I795" s="39"/>
      <c r="J795" s="40"/>
      <c r="K795" s="40"/>
      <c r="L795" s="41"/>
      <c r="M795" s="39"/>
      <c r="N795" s="40"/>
      <c r="O795" s="40"/>
      <c r="P795" s="39"/>
      <c r="Q795" s="39"/>
      <c r="R795" s="40"/>
      <c r="S795" s="40"/>
      <c r="T795" s="39"/>
      <c r="U795" s="39"/>
      <c r="V795" s="40"/>
      <c r="W795" s="40"/>
      <c r="X795" s="41"/>
      <c r="Y795" s="41"/>
      <c r="Z795" s="40"/>
      <c r="AA795" s="40"/>
      <c r="AB795" s="41"/>
      <c r="AC795" s="41"/>
      <c r="AD795" s="40"/>
      <c r="AE795" s="40"/>
      <c r="AF795" s="42"/>
      <c r="AG795" s="42"/>
      <c r="AH795" s="40"/>
      <c r="AI795" s="40"/>
      <c r="AJ795" s="42"/>
      <c r="AK795" s="42"/>
      <c r="AL795" s="40"/>
      <c r="AM795" s="40"/>
      <c r="AN795" s="40"/>
      <c r="AO795" s="40"/>
      <c r="AP795" s="40"/>
      <c r="AQ795" s="40"/>
      <c r="AR795" s="39"/>
      <c r="AS795" s="39"/>
      <c r="AT795" s="40"/>
      <c r="AU795" s="40"/>
      <c r="AV795" s="23"/>
    </row>
    <row r="796" spans="1:48" ht="15.75" x14ac:dyDescent="0.25">
      <c r="A796" s="44"/>
      <c r="B796" s="23"/>
      <c r="C796" s="23"/>
      <c r="D796" s="39"/>
      <c r="E796" s="39"/>
      <c r="F796" s="40"/>
      <c r="G796" s="40"/>
      <c r="H796" s="41"/>
      <c r="I796" s="39"/>
      <c r="J796" s="40"/>
      <c r="K796" s="40"/>
      <c r="L796" s="41"/>
      <c r="M796" s="39"/>
      <c r="N796" s="40"/>
      <c r="O796" s="40"/>
      <c r="P796" s="39"/>
      <c r="Q796" s="39"/>
      <c r="R796" s="40"/>
      <c r="S796" s="40"/>
      <c r="T796" s="39"/>
      <c r="U796" s="39"/>
      <c r="V796" s="40"/>
      <c r="W796" s="40"/>
      <c r="X796" s="41"/>
      <c r="Y796" s="41"/>
      <c r="Z796" s="40"/>
      <c r="AA796" s="40"/>
      <c r="AB796" s="41"/>
      <c r="AC796" s="41"/>
      <c r="AD796" s="40"/>
      <c r="AE796" s="40"/>
      <c r="AF796" s="42"/>
      <c r="AG796" s="42"/>
      <c r="AH796" s="40"/>
      <c r="AI796" s="40"/>
      <c r="AJ796" s="42"/>
      <c r="AK796" s="42"/>
      <c r="AL796" s="40"/>
      <c r="AM796" s="40"/>
      <c r="AN796" s="40"/>
      <c r="AO796" s="40"/>
      <c r="AP796" s="40"/>
      <c r="AQ796" s="40"/>
      <c r="AR796" s="39"/>
      <c r="AS796" s="39"/>
      <c r="AT796" s="40"/>
      <c r="AU796" s="40"/>
      <c r="AV796" s="23"/>
    </row>
    <row r="797" spans="1:48" ht="15.75" x14ac:dyDescent="0.25">
      <c r="A797" s="44"/>
      <c r="B797" s="23"/>
      <c r="C797" s="23"/>
      <c r="D797" s="39"/>
      <c r="E797" s="39"/>
      <c r="F797" s="40"/>
      <c r="G797" s="40"/>
      <c r="H797" s="41"/>
      <c r="I797" s="39"/>
      <c r="J797" s="40"/>
      <c r="K797" s="40"/>
      <c r="L797" s="41"/>
      <c r="M797" s="39"/>
      <c r="N797" s="40"/>
      <c r="O797" s="40"/>
      <c r="P797" s="39"/>
      <c r="Q797" s="39"/>
      <c r="R797" s="40"/>
      <c r="S797" s="40"/>
      <c r="T797" s="39"/>
      <c r="U797" s="39"/>
      <c r="V797" s="40"/>
      <c r="W797" s="40"/>
      <c r="X797" s="41"/>
      <c r="Y797" s="41"/>
      <c r="Z797" s="40"/>
      <c r="AA797" s="40"/>
      <c r="AB797" s="41"/>
      <c r="AC797" s="41"/>
      <c r="AD797" s="40"/>
      <c r="AE797" s="40"/>
      <c r="AF797" s="42"/>
      <c r="AG797" s="42"/>
      <c r="AH797" s="40"/>
      <c r="AI797" s="40"/>
      <c r="AJ797" s="42"/>
      <c r="AK797" s="42"/>
      <c r="AL797" s="40"/>
      <c r="AM797" s="40"/>
      <c r="AN797" s="40"/>
      <c r="AO797" s="40"/>
      <c r="AP797" s="40"/>
      <c r="AQ797" s="40"/>
      <c r="AR797" s="39"/>
      <c r="AS797" s="39"/>
      <c r="AT797" s="40"/>
      <c r="AU797" s="40"/>
      <c r="AV797" s="23"/>
    </row>
    <row r="798" spans="1:48" ht="15.75" x14ac:dyDescent="0.25">
      <c r="A798" s="44"/>
      <c r="B798" s="23"/>
      <c r="C798" s="23"/>
      <c r="D798" s="39"/>
      <c r="E798" s="39"/>
      <c r="F798" s="40"/>
      <c r="G798" s="40"/>
      <c r="H798" s="41"/>
      <c r="I798" s="39"/>
      <c r="J798" s="40"/>
      <c r="K798" s="40"/>
      <c r="L798" s="41"/>
      <c r="M798" s="39"/>
      <c r="N798" s="40"/>
      <c r="O798" s="40"/>
      <c r="P798" s="39"/>
      <c r="Q798" s="39"/>
      <c r="R798" s="40"/>
      <c r="S798" s="40"/>
      <c r="T798" s="39"/>
      <c r="U798" s="39"/>
      <c r="V798" s="40"/>
      <c r="W798" s="40"/>
      <c r="X798" s="41"/>
      <c r="Y798" s="41"/>
      <c r="Z798" s="40"/>
      <c r="AA798" s="40"/>
      <c r="AB798" s="41"/>
      <c r="AC798" s="41"/>
      <c r="AD798" s="40"/>
      <c r="AE798" s="40"/>
      <c r="AF798" s="42"/>
      <c r="AG798" s="42"/>
      <c r="AH798" s="40"/>
      <c r="AI798" s="40"/>
      <c r="AJ798" s="42"/>
      <c r="AK798" s="42"/>
      <c r="AL798" s="40"/>
      <c r="AM798" s="40"/>
      <c r="AN798" s="40"/>
      <c r="AO798" s="40"/>
      <c r="AP798" s="40"/>
      <c r="AQ798" s="40"/>
      <c r="AR798" s="39"/>
      <c r="AS798" s="39"/>
      <c r="AT798" s="40"/>
      <c r="AU798" s="40"/>
      <c r="AV798" s="23"/>
    </row>
    <row r="799" spans="1:48" ht="15.75" x14ac:dyDescent="0.25">
      <c r="A799" s="44"/>
      <c r="B799" s="23"/>
      <c r="C799" s="23"/>
      <c r="D799" s="39"/>
      <c r="E799" s="39"/>
      <c r="F799" s="40"/>
      <c r="G799" s="40"/>
      <c r="H799" s="41"/>
      <c r="I799" s="39"/>
      <c r="J799" s="40"/>
      <c r="K799" s="40"/>
      <c r="L799" s="41"/>
      <c r="M799" s="39"/>
      <c r="N799" s="40"/>
      <c r="O799" s="40"/>
      <c r="P799" s="39"/>
      <c r="Q799" s="39"/>
      <c r="R799" s="40"/>
      <c r="S799" s="40"/>
      <c r="T799" s="39"/>
      <c r="U799" s="39"/>
      <c r="V799" s="40"/>
      <c r="W799" s="40"/>
      <c r="X799" s="41"/>
      <c r="Y799" s="41"/>
      <c r="Z799" s="40"/>
      <c r="AA799" s="40"/>
      <c r="AB799" s="41"/>
      <c r="AC799" s="41"/>
      <c r="AD799" s="40"/>
      <c r="AE799" s="40"/>
      <c r="AF799" s="42"/>
      <c r="AG799" s="42"/>
      <c r="AH799" s="40"/>
      <c r="AI799" s="40"/>
      <c r="AJ799" s="42"/>
      <c r="AK799" s="42"/>
      <c r="AL799" s="40"/>
      <c r="AM799" s="40"/>
      <c r="AN799" s="40"/>
      <c r="AO799" s="40"/>
      <c r="AP799" s="40"/>
      <c r="AQ799" s="40"/>
      <c r="AR799" s="39"/>
      <c r="AS799" s="39"/>
      <c r="AT799" s="40"/>
      <c r="AU799" s="40"/>
      <c r="AV799" s="23"/>
    </row>
    <row r="800" spans="1:48" ht="15.75" x14ac:dyDescent="0.25">
      <c r="A800" s="44"/>
      <c r="B800" s="23"/>
      <c r="C800" s="23"/>
      <c r="D800" s="39"/>
      <c r="E800" s="39"/>
      <c r="F800" s="40"/>
      <c r="G800" s="40"/>
      <c r="H800" s="41"/>
      <c r="I800" s="39"/>
      <c r="J800" s="40"/>
      <c r="K800" s="40"/>
      <c r="L800" s="41"/>
      <c r="M800" s="39"/>
      <c r="N800" s="40"/>
      <c r="O800" s="40"/>
      <c r="P800" s="39"/>
      <c r="Q800" s="39"/>
      <c r="R800" s="40"/>
      <c r="S800" s="40"/>
      <c r="T800" s="39"/>
      <c r="U800" s="39"/>
      <c r="V800" s="40"/>
      <c r="W800" s="40"/>
      <c r="X800" s="41"/>
      <c r="Y800" s="41"/>
      <c r="Z800" s="40"/>
      <c r="AA800" s="40"/>
      <c r="AB800" s="41"/>
      <c r="AC800" s="41"/>
      <c r="AD800" s="40"/>
      <c r="AE800" s="40"/>
      <c r="AF800" s="42"/>
      <c r="AG800" s="42"/>
      <c r="AH800" s="40"/>
      <c r="AI800" s="40"/>
      <c r="AJ800" s="42"/>
      <c r="AK800" s="42"/>
      <c r="AL800" s="40"/>
      <c r="AM800" s="40"/>
      <c r="AN800" s="40"/>
      <c r="AO800" s="40"/>
      <c r="AP800" s="40"/>
      <c r="AQ800" s="40"/>
      <c r="AR800" s="39"/>
      <c r="AS800" s="39"/>
      <c r="AT800" s="40"/>
      <c r="AU800" s="40"/>
      <c r="AV800" s="23"/>
    </row>
    <row r="801" spans="1:48" ht="15.75" x14ac:dyDescent="0.25">
      <c r="A801" s="44"/>
      <c r="B801" s="23"/>
      <c r="C801" s="23"/>
      <c r="D801" s="39"/>
      <c r="E801" s="39"/>
      <c r="F801" s="40"/>
      <c r="G801" s="40"/>
      <c r="H801" s="41"/>
      <c r="I801" s="39"/>
      <c r="J801" s="40"/>
      <c r="K801" s="40"/>
      <c r="L801" s="41"/>
      <c r="M801" s="39"/>
      <c r="N801" s="40"/>
      <c r="O801" s="40"/>
      <c r="P801" s="39"/>
      <c r="Q801" s="39"/>
      <c r="R801" s="40"/>
      <c r="S801" s="40"/>
      <c r="T801" s="39"/>
      <c r="U801" s="39"/>
      <c r="V801" s="40"/>
      <c r="W801" s="40"/>
      <c r="X801" s="41"/>
      <c r="Y801" s="41"/>
      <c r="Z801" s="40"/>
      <c r="AA801" s="40"/>
      <c r="AB801" s="41"/>
      <c r="AC801" s="41"/>
      <c r="AD801" s="40"/>
      <c r="AE801" s="40"/>
      <c r="AF801" s="42"/>
      <c r="AG801" s="42"/>
      <c r="AH801" s="40"/>
      <c r="AI801" s="40"/>
      <c r="AJ801" s="42"/>
      <c r="AK801" s="42"/>
      <c r="AL801" s="40"/>
      <c r="AM801" s="40"/>
      <c r="AN801" s="40"/>
      <c r="AO801" s="40"/>
      <c r="AP801" s="40"/>
      <c r="AQ801" s="40"/>
      <c r="AR801" s="39"/>
      <c r="AS801" s="39"/>
      <c r="AT801" s="40"/>
      <c r="AU801" s="40"/>
      <c r="AV801" s="23"/>
    </row>
    <row r="802" spans="1:48" ht="15.75" x14ac:dyDescent="0.25">
      <c r="A802" s="44"/>
      <c r="B802" s="23"/>
      <c r="C802" s="23"/>
      <c r="D802" s="39"/>
      <c r="E802" s="39"/>
      <c r="F802" s="40"/>
      <c r="G802" s="40"/>
      <c r="H802" s="41"/>
      <c r="I802" s="39"/>
      <c r="J802" s="40"/>
      <c r="K802" s="40"/>
      <c r="L802" s="41"/>
      <c r="M802" s="39"/>
      <c r="N802" s="40"/>
      <c r="O802" s="40"/>
      <c r="P802" s="39"/>
      <c r="Q802" s="39"/>
      <c r="R802" s="40"/>
      <c r="S802" s="40"/>
      <c r="T802" s="39"/>
      <c r="U802" s="39"/>
      <c r="V802" s="40"/>
      <c r="W802" s="40"/>
      <c r="X802" s="41"/>
      <c r="Y802" s="41"/>
      <c r="Z802" s="40"/>
      <c r="AA802" s="40"/>
      <c r="AB802" s="41"/>
      <c r="AC802" s="41"/>
      <c r="AD802" s="40"/>
      <c r="AE802" s="40"/>
      <c r="AF802" s="42"/>
      <c r="AG802" s="42"/>
      <c r="AH802" s="40"/>
      <c r="AI802" s="40"/>
      <c r="AJ802" s="42"/>
      <c r="AK802" s="42"/>
      <c r="AL802" s="40"/>
      <c r="AM802" s="40"/>
      <c r="AN802" s="40"/>
      <c r="AO802" s="40"/>
      <c r="AP802" s="40"/>
      <c r="AQ802" s="40"/>
      <c r="AR802" s="39"/>
      <c r="AS802" s="39"/>
      <c r="AT802" s="40"/>
      <c r="AU802" s="40"/>
      <c r="AV802" s="23"/>
    </row>
    <row r="803" spans="1:48" ht="15.75" x14ac:dyDescent="0.25">
      <c r="A803" s="44"/>
      <c r="B803" s="23"/>
      <c r="C803" s="23"/>
      <c r="D803" s="39"/>
      <c r="E803" s="39"/>
      <c r="F803" s="40"/>
      <c r="G803" s="40"/>
      <c r="H803" s="41"/>
      <c r="I803" s="39"/>
      <c r="J803" s="40"/>
      <c r="K803" s="40"/>
      <c r="L803" s="41"/>
      <c r="M803" s="39"/>
      <c r="N803" s="40"/>
      <c r="O803" s="40"/>
      <c r="P803" s="39"/>
      <c r="Q803" s="39"/>
      <c r="R803" s="40"/>
      <c r="S803" s="40"/>
      <c r="T803" s="39"/>
      <c r="U803" s="39"/>
      <c r="V803" s="40"/>
      <c r="W803" s="40"/>
      <c r="X803" s="41"/>
      <c r="Y803" s="41"/>
      <c r="Z803" s="40"/>
      <c r="AA803" s="40"/>
      <c r="AB803" s="41"/>
      <c r="AC803" s="41"/>
      <c r="AD803" s="40"/>
      <c r="AE803" s="40"/>
      <c r="AF803" s="42"/>
      <c r="AG803" s="42"/>
      <c r="AH803" s="40"/>
      <c r="AI803" s="40"/>
      <c r="AJ803" s="42"/>
      <c r="AK803" s="42"/>
      <c r="AL803" s="40"/>
      <c r="AM803" s="40"/>
      <c r="AN803" s="40"/>
      <c r="AO803" s="40"/>
      <c r="AP803" s="40"/>
      <c r="AQ803" s="40"/>
      <c r="AR803" s="39"/>
      <c r="AS803" s="39"/>
      <c r="AT803" s="40"/>
      <c r="AU803" s="40"/>
      <c r="AV803" s="23"/>
    </row>
    <row r="804" spans="1:48" ht="15.75" x14ac:dyDescent="0.25">
      <c r="A804" s="44"/>
      <c r="B804" s="23"/>
      <c r="C804" s="23"/>
      <c r="D804" s="39"/>
      <c r="E804" s="39"/>
      <c r="F804" s="40"/>
      <c r="G804" s="40"/>
      <c r="H804" s="41"/>
      <c r="I804" s="39"/>
      <c r="J804" s="40"/>
      <c r="K804" s="40"/>
      <c r="L804" s="41"/>
      <c r="M804" s="39"/>
      <c r="N804" s="40"/>
      <c r="O804" s="40"/>
      <c r="P804" s="39"/>
      <c r="Q804" s="39"/>
      <c r="R804" s="40"/>
      <c r="S804" s="40"/>
      <c r="T804" s="39"/>
      <c r="U804" s="39"/>
      <c r="V804" s="40"/>
      <c r="W804" s="40"/>
      <c r="X804" s="41"/>
      <c r="Y804" s="41"/>
      <c r="Z804" s="40"/>
      <c r="AA804" s="40"/>
      <c r="AB804" s="41"/>
      <c r="AC804" s="41"/>
      <c r="AD804" s="40"/>
      <c r="AE804" s="40"/>
      <c r="AF804" s="42"/>
      <c r="AG804" s="42"/>
      <c r="AH804" s="40"/>
      <c r="AI804" s="40"/>
      <c r="AJ804" s="42"/>
      <c r="AK804" s="42"/>
      <c r="AL804" s="40"/>
      <c r="AM804" s="40"/>
      <c r="AN804" s="40"/>
      <c r="AO804" s="40"/>
      <c r="AP804" s="40"/>
      <c r="AQ804" s="40"/>
      <c r="AR804" s="39"/>
      <c r="AS804" s="39"/>
      <c r="AT804" s="40"/>
      <c r="AU804" s="40"/>
      <c r="AV804" s="23"/>
    </row>
    <row r="805" spans="1:48" ht="15.75" x14ac:dyDescent="0.25">
      <c r="A805" s="44"/>
      <c r="B805" s="23"/>
      <c r="C805" s="23"/>
      <c r="D805" s="39"/>
      <c r="E805" s="39"/>
      <c r="F805" s="40"/>
      <c r="G805" s="40"/>
      <c r="H805" s="41"/>
      <c r="I805" s="39"/>
      <c r="J805" s="40"/>
      <c r="K805" s="40"/>
      <c r="L805" s="41"/>
      <c r="M805" s="39"/>
      <c r="N805" s="40"/>
      <c r="O805" s="40"/>
      <c r="P805" s="39"/>
      <c r="Q805" s="39"/>
      <c r="R805" s="40"/>
      <c r="S805" s="40"/>
      <c r="T805" s="39"/>
      <c r="U805" s="39"/>
      <c r="V805" s="40"/>
      <c r="W805" s="40"/>
      <c r="X805" s="41"/>
      <c r="Y805" s="41"/>
      <c r="Z805" s="40"/>
      <c r="AA805" s="40"/>
      <c r="AB805" s="41"/>
      <c r="AC805" s="41"/>
      <c r="AD805" s="40"/>
      <c r="AE805" s="40"/>
      <c r="AF805" s="42"/>
      <c r="AG805" s="42"/>
      <c r="AH805" s="40"/>
      <c r="AI805" s="40"/>
      <c r="AJ805" s="42"/>
      <c r="AK805" s="42"/>
      <c r="AL805" s="40"/>
      <c r="AM805" s="40"/>
      <c r="AN805" s="40"/>
      <c r="AO805" s="40"/>
      <c r="AP805" s="40"/>
      <c r="AQ805" s="40"/>
      <c r="AR805" s="39"/>
      <c r="AS805" s="39"/>
      <c r="AT805" s="40"/>
      <c r="AU805" s="40"/>
      <c r="AV805" s="23"/>
    </row>
    <row r="806" spans="1:48" ht="15.75" x14ac:dyDescent="0.25">
      <c r="A806" s="44"/>
      <c r="B806" s="23"/>
      <c r="C806" s="23"/>
      <c r="D806" s="39"/>
      <c r="E806" s="39"/>
      <c r="F806" s="40"/>
      <c r="G806" s="40"/>
      <c r="H806" s="41"/>
      <c r="I806" s="39"/>
      <c r="J806" s="40"/>
      <c r="K806" s="40"/>
      <c r="L806" s="41"/>
      <c r="M806" s="39"/>
      <c r="N806" s="40"/>
      <c r="O806" s="40"/>
      <c r="P806" s="39"/>
      <c r="Q806" s="39"/>
      <c r="R806" s="40"/>
      <c r="S806" s="40"/>
      <c r="T806" s="39"/>
      <c r="U806" s="39"/>
      <c r="V806" s="40"/>
      <c r="W806" s="40"/>
      <c r="X806" s="41"/>
      <c r="Y806" s="41"/>
      <c r="Z806" s="40"/>
      <c r="AA806" s="40"/>
      <c r="AB806" s="41"/>
      <c r="AC806" s="41"/>
      <c r="AD806" s="40"/>
      <c r="AE806" s="40"/>
      <c r="AF806" s="42"/>
      <c r="AG806" s="42"/>
      <c r="AH806" s="40"/>
      <c r="AI806" s="40"/>
      <c r="AJ806" s="42"/>
      <c r="AK806" s="42"/>
      <c r="AL806" s="40"/>
      <c r="AM806" s="40"/>
      <c r="AN806" s="40"/>
      <c r="AO806" s="40"/>
      <c r="AP806" s="40"/>
      <c r="AQ806" s="40"/>
      <c r="AR806" s="39"/>
      <c r="AS806" s="39"/>
      <c r="AT806" s="40"/>
      <c r="AU806" s="40"/>
      <c r="AV806" s="23"/>
    </row>
    <row r="807" spans="1:48" ht="15.75" x14ac:dyDescent="0.25">
      <c r="A807" s="44"/>
      <c r="B807" s="23"/>
      <c r="C807" s="23"/>
      <c r="D807" s="39"/>
      <c r="E807" s="39"/>
      <c r="F807" s="40"/>
      <c r="G807" s="40"/>
      <c r="H807" s="41"/>
      <c r="I807" s="39"/>
      <c r="J807" s="40"/>
      <c r="K807" s="40"/>
      <c r="L807" s="41"/>
      <c r="M807" s="39"/>
      <c r="N807" s="40"/>
      <c r="O807" s="40"/>
      <c r="P807" s="39"/>
      <c r="Q807" s="39"/>
      <c r="R807" s="40"/>
      <c r="S807" s="40"/>
      <c r="T807" s="39"/>
      <c r="U807" s="39"/>
      <c r="V807" s="40"/>
      <c r="W807" s="40"/>
      <c r="X807" s="41"/>
      <c r="Y807" s="41"/>
      <c r="Z807" s="40"/>
      <c r="AA807" s="40"/>
      <c r="AB807" s="41"/>
      <c r="AC807" s="41"/>
      <c r="AD807" s="40"/>
      <c r="AE807" s="40"/>
      <c r="AF807" s="42"/>
      <c r="AG807" s="42"/>
      <c r="AH807" s="40"/>
      <c r="AI807" s="40"/>
      <c r="AJ807" s="42"/>
      <c r="AK807" s="42"/>
      <c r="AL807" s="40"/>
      <c r="AM807" s="40"/>
      <c r="AN807" s="40"/>
      <c r="AO807" s="40"/>
      <c r="AP807" s="40"/>
      <c r="AQ807" s="40"/>
      <c r="AR807" s="39"/>
      <c r="AS807" s="39"/>
      <c r="AT807" s="40"/>
      <c r="AU807" s="40"/>
      <c r="AV807" s="23"/>
    </row>
    <row r="808" spans="1:48" ht="15.75" x14ac:dyDescent="0.25">
      <c r="A808" s="44"/>
      <c r="B808" s="23"/>
      <c r="C808" s="23"/>
      <c r="D808" s="39"/>
      <c r="E808" s="39"/>
      <c r="F808" s="40"/>
      <c r="G808" s="40"/>
      <c r="H808" s="41"/>
      <c r="I808" s="39"/>
      <c r="J808" s="40"/>
      <c r="K808" s="40"/>
      <c r="L808" s="41"/>
      <c r="M808" s="39"/>
      <c r="N808" s="40"/>
      <c r="O808" s="40"/>
      <c r="P808" s="39"/>
      <c r="Q808" s="39"/>
      <c r="R808" s="40"/>
      <c r="S808" s="40"/>
      <c r="T808" s="39"/>
      <c r="U808" s="39"/>
      <c r="V808" s="40"/>
      <c r="W808" s="40"/>
      <c r="X808" s="41"/>
      <c r="Y808" s="41"/>
      <c r="Z808" s="40"/>
      <c r="AA808" s="40"/>
      <c r="AB808" s="41"/>
      <c r="AC808" s="41"/>
      <c r="AD808" s="40"/>
      <c r="AE808" s="40"/>
      <c r="AF808" s="42"/>
      <c r="AG808" s="42"/>
      <c r="AH808" s="40"/>
      <c r="AI808" s="40"/>
      <c r="AJ808" s="42"/>
      <c r="AK808" s="42"/>
      <c r="AL808" s="40"/>
      <c r="AM808" s="40"/>
      <c r="AN808" s="40"/>
      <c r="AO808" s="40"/>
      <c r="AP808" s="40"/>
      <c r="AQ808" s="40"/>
      <c r="AR808" s="39"/>
      <c r="AS808" s="39"/>
      <c r="AT808" s="40"/>
      <c r="AU808" s="40"/>
      <c r="AV808" s="23"/>
    </row>
    <row r="809" spans="1:48" ht="15.75" x14ac:dyDescent="0.25">
      <c r="A809" s="44"/>
      <c r="B809" s="23"/>
      <c r="C809" s="23"/>
      <c r="D809" s="39"/>
      <c r="E809" s="39"/>
      <c r="F809" s="40"/>
      <c r="G809" s="40"/>
      <c r="H809" s="41"/>
      <c r="I809" s="39"/>
      <c r="J809" s="40"/>
      <c r="K809" s="40"/>
      <c r="L809" s="41"/>
      <c r="M809" s="39"/>
      <c r="N809" s="40"/>
      <c r="O809" s="40"/>
      <c r="P809" s="39"/>
      <c r="Q809" s="39"/>
      <c r="R809" s="40"/>
      <c r="S809" s="40"/>
      <c r="T809" s="39"/>
      <c r="U809" s="39"/>
      <c r="V809" s="40"/>
      <c r="W809" s="40"/>
      <c r="X809" s="41"/>
      <c r="Y809" s="41"/>
      <c r="Z809" s="40"/>
      <c r="AA809" s="40"/>
      <c r="AB809" s="41"/>
      <c r="AC809" s="41"/>
      <c r="AD809" s="40"/>
      <c r="AE809" s="40"/>
      <c r="AF809" s="42"/>
      <c r="AG809" s="42"/>
      <c r="AH809" s="40"/>
      <c r="AI809" s="40"/>
      <c r="AJ809" s="42"/>
      <c r="AK809" s="42"/>
      <c r="AL809" s="40"/>
      <c r="AM809" s="40"/>
      <c r="AN809" s="40"/>
      <c r="AO809" s="40"/>
      <c r="AP809" s="40"/>
      <c r="AQ809" s="40"/>
      <c r="AR809" s="39"/>
      <c r="AS809" s="39"/>
      <c r="AT809" s="40"/>
      <c r="AU809" s="40"/>
      <c r="AV809" s="23"/>
    </row>
    <row r="810" spans="1:48" ht="15.75" x14ac:dyDescent="0.25">
      <c r="A810" s="44"/>
      <c r="B810" s="23"/>
      <c r="C810" s="23"/>
      <c r="D810" s="39"/>
      <c r="E810" s="39"/>
      <c r="F810" s="40"/>
      <c r="G810" s="40"/>
      <c r="H810" s="41"/>
      <c r="I810" s="39"/>
      <c r="J810" s="40"/>
      <c r="K810" s="40"/>
      <c r="L810" s="41"/>
      <c r="M810" s="39"/>
      <c r="N810" s="40"/>
      <c r="O810" s="40"/>
      <c r="P810" s="39"/>
      <c r="Q810" s="39"/>
      <c r="R810" s="40"/>
      <c r="S810" s="40"/>
      <c r="T810" s="39"/>
      <c r="U810" s="39"/>
      <c r="V810" s="40"/>
      <c r="W810" s="40"/>
      <c r="X810" s="41"/>
      <c r="Y810" s="41"/>
      <c r="Z810" s="40"/>
      <c r="AA810" s="40"/>
      <c r="AB810" s="41"/>
      <c r="AC810" s="41"/>
      <c r="AD810" s="40"/>
      <c r="AE810" s="40"/>
      <c r="AF810" s="42"/>
      <c r="AG810" s="42"/>
      <c r="AH810" s="40"/>
      <c r="AI810" s="40"/>
      <c r="AJ810" s="42"/>
      <c r="AK810" s="42"/>
      <c r="AL810" s="40"/>
      <c r="AM810" s="40"/>
      <c r="AN810" s="40"/>
      <c r="AO810" s="40"/>
      <c r="AP810" s="40"/>
      <c r="AQ810" s="40"/>
      <c r="AR810" s="39"/>
      <c r="AS810" s="39"/>
      <c r="AT810" s="40"/>
      <c r="AU810" s="40"/>
      <c r="AV810" s="23"/>
    </row>
    <row r="811" spans="1:48" ht="15.75" x14ac:dyDescent="0.25">
      <c r="A811" s="44"/>
      <c r="B811" s="23"/>
      <c r="C811" s="23"/>
      <c r="D811" s="39"/>
      <c r="E811" s="39"/>
      <c r="F811" s="40"/>
      <c r="G811" s="40"/>
      <c r="H811" s="41"/>
      <c r="I811" s="39"/>
      <c r="J811" s="40"/>
      <c r="K811" s="40"/>
      <c r="L811" s="41"/>
      <c r="M811" s="39"/>
      <c r="N811" s="40"/>
      <c r="O811" s="40"/>
      <c r="P811" s="39"/>
      <c r="Q811" s="39"/>
      <c r="R811" s="40"/>
      <c r="S811" s="40"/>
      <c r="T811" s="39"/>
      <c r="U811" s="39"/>
      <c r="V811" s="40"/>
      <c r="W811" s="40"/>
      <c r="X811" s="41"/>
      <c r="Y811" s="41"/>
      <c r="Z811" s="40"/>
      <c r="AA811" s="40"/>
      <c r="AB811" s="41"/>
      <c r="AC811" s="41"/>
      <c r="AD811" s="40"/>
      <c r="AE811" s="40"/>
      <c r="AF811" s="42"/>
      <c r="AG811" s="42"/>
      <c r="AH811" s="40"/>
      <c r="AI811" s="40"/>
      <c r="AJ811" s="42"/>
      <c r="AK811" s="42"/>
      <c r="AL811" s="40"/>
      <c r="AM811" s="40"/>
      <c r="AN811" s="40"/>
      <c r="AO811" s="40"/>
      <c r="AP811" s="40"/>
      <c r="AQ811" s="40"/>
      <c r="AR811" s="39"/>
      <c r="AS811" s="39"/>
      <c r="AT811" s="40"/>
      <c r="AU811" s="40"/>
      <c r="AV811" s="23"/>
    </row>
    <row r="812" spans="1:48" ht="15.75" x14ac:dyDescent="0.25">
      <c r="A812" s="44"/>
      <c r="B812" s="23"/>
      <c r="C812" s="23"/>
      <c r="D812" s="39"/>
      <c r="E812" s="39"/>
      <c r="F812" s="40"/>
      <c r="G812" s="40"/>
      <c r="H812" s="41"/>
      <c r="I812" s="39"/>
      <c r="J812" s="40"/>
      <c r="K812" s="40"/>
      <c r="L812" s="41"/>
      <c r="M812" s="39"/>
      <c r="N812" s="40"/>
      <c r="O812" s="40"/>
      <c r="P812" s="39"/>
      <c r="Q812" s="39"/>
      <c r="R812" s="40"/>
      <c r="S812" s="40"/>
      <c r="T812" s="39"/>
      <c r="U812" s="39"/>
      <c r="V812" s="40"/>
      <c r="W812" s="40"/>
      <c r="X812" s="41"/>
      <c r="Y812" s="41"/>
      <c r="Z812" s="40"/>
      <c r="AA812" s="40"/>
      <c r="AB812" s="41"/>
      <c r="AC812" s="41"/>
      <c r="AD812" s="40"/>
      <c r="AE812" s="40"/>
      <c r="AF812" s="42"/>
      <c r="AG812" s="42"/>
      <c r="AH812" s="40"/>
      <c r="AI812" s="40"/>
      <c r="AJ812" s="42"/>
      <c r="AK812" s="42"/>
      <c r="AL812" s="40"/>
      <c r="AM812" s="40"/>
      <c r="AN812" s="40"/>
      <c r="AO812" s="40"/>
      <c r="AP812" s="40"/>
      <c r="AQ812" s="40"/>
      <c r="AR812" s="39"/>
      <c r="AS812" s="39"/>
      <c r="AT812" s="40"/>
      <c r="AU812" s="40"/>
      <c r="AV812" s="23"/>
    </row>
    <row r="813" spans="1:48" ht="15.75" x14ac:dyDescent="0.25">
      <c r="A813" s="44"/>
      <c r="B813" s="23"/>
      <c r="C813" s="23"/>
      <c r="D813" s="39"/>
      <c r="E813" s="39"/>
      <c r="F813" s="40"/>
      <c r="G813" s="40"/>
      <c r="H813" s="41"/>
      <c r="I813" s="39"/>
      <c r="J813" s="40"/>
      <c r="K813" s="40"/>
      <c r="L813" s="41"/>
      <c r="M813" s="39"/>
      <c r="N813" s="40"/>
      <c r="O813" s="40"/>
      <c r="P813" s="39"/>
      <c r="Q813" s="39"/>
      <c r="R813" s="40"/>
      <c r="S813" s="40"/>
      <c r="T813" s="39"/>
      <c r="U813" s="39"/>
      <c r="V813" s="40"/>
      <c r="W813" s="40"/>
      <c r="X813" s="41"/>
      <c r="Y813" s="41"/>
      <c r="Z813" s="40"/>
      <c r="AA813" s="40"/>
      <c r="AB813" s="41"/>
      <c r="AC813" s="41"/>
      <c r="AD813" s="40"/>
      <c r="AE813" s="40"/>
      <c r="AF813" s="42"/>
      <c r="AG813" s="42"/>
      <c r="AH813" s="40"/>
      <c r="AI813" s="40"/>
      <c r="AJ813" s="42"/>
      <c r="AK813" s="42"/>
      <c r="AL813" s="40"/>
      <c r="AM813" s="40"/>
      <c r="AN813" s="40"/>
      <c r="AO813" s="40"/>
      <c r="AP813" s="40"/>
      <c r="AQ813" s="40"/>
      <c r="AR813" s="39"/>
      <c r="AS813" s="39"/>
      <c r="AT813" s="40"/>
      <c r="AU813" s="40"/>
      <c r="AV813" s="23"/>
    </row>
    <row r="814" spans="1:48" ht="15.75" x14ac:dyDescent="0.25">
      <c r="A814" s="44"/>
      <c r="B814" s="23"/>
      <c r="C814" s="23"/>
      <c r="D814" s="39"/>
      <c r="E814" s="39"/>
      <c r="F814" s="40"/>
      <c r="G814" s="40"/>
      <c r="H814" s="41"/>
      <c r="I814" s="39"/>
      <c r="J814" s="40"/>
      <c r="K814" s="40"/>
      <c r="L814" s="41"/>
      <c r="M814" s="39"/>
      <c r="N814" s="40"/>
      <c r="O814" s="40"/>
      <c r="P814" s="39"/>
      <c r="Q814" s="39"/>
      <c r="R814" s="40"/>
      <c r="S814" s="40"/>
      <c r="T814" s="39"/>
      <c r="U814" s="39"/>
      <c r="V814" s="40"/>
      <c r="W814" s="40"/>
      <c r="X814" s="41"/>
      <c r="Y814" s="41"/>
      <c r="Z814" s="40"/>
      <c r="AA814" s="40"/>
      <c r="AB814" s="41"/>
      <c r="AC814" s="41"/>
      <c r="AD814" s="40"/>
      <c r="AE814" s="40"/>
      <c r="AF814" s="42"/>
      <c r="AG814" s="42"/>
      <c r="AH814" s="40"/>
      <c r="AI814" s="40"/>
      <c r="AJ814" s="42"/>
      <c r="AK814" s="42"/>
      <c r="AL814" s="40"/>
      <c r="AM814" s="40"/>
      <c r="AN814" s="40"/>
      <c r="AO814" s="40"/>
      <c r="AP814" s="40"/>
      <c r="AQ814" s="40"/>
      <c r="AR814" s="39"/>
      <c r="AS814" s="39"/>
      <c r="AT814" s="40"/>
      <c r="AU814" s="40"/>
      <c r="AV814" s="23"/>
    </row>
    <row r="815" spans="1:48" ht="15.75" x14ac:dyDescent="0.25">
      <c r="A815" s="44"/>
      <c r="B815" s="23"/>
      <c r="C815" s="23"/>
      <c r="D815" s="39"/>
      <c r="E815" s="39"/>
      <c r="F815" s="40"/>
      <c r="G815" s="40"/>
      <c r="H815" s="41"/>
      <c r="I815" s="39"/>
      <c r="J815" s="40"/>
      <c r="K815" s="40"/>
      <c r="L815" s="41"/>
      <c r="M815" s="39"/>
      <c r="N815" s="40"/>
      <c r="O815" s="40"/>
      <c r="P815" s="39"/>
      <c r="Q815" s="39"/>
      <c r="R815" s="40"/>
      <c r="S815" s="40"/>
      <c r="T815" s="39"/>
      <c r="U815" s="39"/>
      <c r="V815" s="40"/>
      <c r="W815" s="40"/>
      <c r="X815" s="41"/>
      <c r="Y815" s="41"/>
      <c r="Z815" s="40"/>
      <c r="AA815" s="40"/>
      <c r="AB815" s="41"/>
      <c r="AC815" s="41"/>
      <c r="AD815" s="40"/>
      <c r="AE815" s="40"/>
      <c r="AF815" s="42"/>
      <c r="AG815" s="42"/>
      <c r="AH815" s="40"/>
      <c r="AI815" s="40"/>
      <c r="AJ815" s="42"/>
      <c r="AK815" s="42"/>
      <c r="AL815" s="40"/>
      <c r="AM815" s="40"/>
      <c r="AN815" s="40"/>
      <c r="AO815" s="40"/>
      <c r="AP815" s="40"/>
      <c r="AQ815" s="40"/>
      <c r="AR815" s="39"/>
      <c r="AS815" s="39"/>
      <c r="AT815" s="40"/>
      <c r="AU815" s="40"/>
      <c r="AV815" s="23"/>
    </row>
    <row r="816" spans="1:48" ht="15.75" x14ac:dyDescent="0.25">
      <c r="A816" s="44"/>
      <c r="B816" s="23"/>
      <c r="C816" s="23"/>
      <c r="D816" s="39"/>
      <c r="E816" s="39"/>
      <c r="F816" s="40"/>
      <c r="G816" s="40"/>
      <c r="H816" s="41"/>
      <c r="I816" s="39"/>
      <c r="J816" s="40"/>
      <c r="K816" s="40"/>
      <c r="L816" s="41"/>
      <c r="M816" s="39"/>
      <c r="N816" s="40"/>
      <c r="O816" s="40"/>
      <c r="P816" s="39"/>
      <c r="Q816" s="39"/>
      <c r="R816" s="40"/>
      <c r="S816" s="40"/>
      <c r="T816" s="39"/>
      <c r="U816" s="39"/>
      <c r="V816" s="40"/>
      <c r="W816" s="40"/>
      <c r="X816" s="41"/>
      <c r="Y816" s="41"/>
      <c r="Z816" s="40"/>
      <c r="AA816" s="40"/>
      <c r="AB816" s="41"/>
      <c r="AC816" s="41"/>
      <c r="AD816" s="40"/>
      <c r="AE816" s="40"/>
      <c r="AF816" s="42"/>
      <c r="AG816" s="42"/>
      <c r="AH816" s="40"/>
      <c r="AI816" s="40"/>
      <c r="AJ816" s="42"/>
      <c r="AK816" s="42"/>
      <c r="AL816" s="40"/>
      <c r="AM816" s="40"/>
      <c r="AN816" s="40"/>
      <c r="AO816" s="40"/>
      <c r="AP816" s="40"/>
      <c r="AQ816" s="40"/>
      <c r="AR816" s="39"/>
      <c r="AS816" s="39"/>
      <c r="AT816" s="40"/>
      <c r="AU816" s="40"/>
      <c r="AV816" s="23"/>
    </row>
    <row r="817" spans="1:48" ht="15.75" x14ac:dyDescent="0.25">
      <c r="A817" s="44"/>
      <c r="B817" s="23"/>
      <c r="C817" s="23"/>
      <c r="D817" s="39"/>
      <c r="E817" s="39"/>
      <c r="F817" s="40"/>
      <c r="G817" s="40"/>
      <c r="H817" s="41"/>
      <c r="I817" s="39"/>
      <c r="J817" s="40"/>
      <c r="K817" s="40"/>
      <c r="L817" s="41"/>
      <c r="M817" s="39"/>
      <c r="N817" s="40"/>
      <c r="O817" s="40"/>
      <c r="P817" s="39"/>
      <c r="Q817" s="39"/>
      <c r="R817" s="40"/>
      <c r="S817" s="40"/>
      <c r="T817" s="39"/>
      <c r="U817" s="39"/>
      <c r="V817" s="40"/>
      <c r="W817" s="40"/>
      <c r="X817" s="41"/>
      <c r="Y817" s="41"/>
      <c r="Z817" s="40"/>
      <c r="AA817" s="40"/>
      <c r="AB817" s="41"/>
      <c r="AC817" s="41"/>
      <c r="AD817" s="40"/>
      <c r="AE817" s="40"/>
      <c r="AF817" s="42"/>
      <c r="AG817" s="42"/>
      <c r="AH817" s="40"/>
      <c r="AI817" s="40"/>
      <c r="AJ817" s="42"/>
      <c r="AK817" s="42"/>
      <c r="AL817" s="40"/>
      <c r="AM817" s="40"/>
      <c r="AN817" s="40"/>
      <c r="AO817" s="40"/>
      <c r="AP817" s="40"/>
      <c r="AQ817" s="40"/>
      <c r="AR817" s="39"/>
      <c r="AS817" s="39"/>
      <c r="AT817" s="40"/>
      <c r="AU817" s="40"/>
      <c r="AV817" s="23"/>
    </row>
    <row r="818" spans="1:48" ht="15.75" x14ac:dyDescent="0.25">
      <c r="A818" s="44"/>
      <c r="B818" s="23"/>
      <c r="C818" s="23"/>
      <c r="D818" s="39"/>
      <c r="E818" s="39"/>
      <c r="F818" s="40"/>
      <c r="G818" s="40"/>
      <c r="H818" s="41"/>
      <c r="I818" s="39"/>
      <c r="J818" s="40"/>
      <c r="K818" s="40"/>
      <c r="L818" s="41"/>
      <c r="M818" s="39"/>
      <c r="N818" s="40"/>
      <c r="O818" s="40"/>
      <c r="P818" s="39"/>
      <c r="Q818" s="39"/>
      <c r="R818" s="40"/>
      <c r="S818" s="40"/>
      <c r="T818" s="39"/>
      <c r="U818" s="39"/>
      <c r="V818" s="40"/>
      <c r="W818" s="40"/>
      <c r="X818" s="41"/>
      <c r="Y818" s="41"/>
      <c r="Z818" s="40"/>
      <c r="AA818" s="40"/>
      <c r="AB818" s="41"/>
      <c r="AC818" s="41"/>
      <c r="AD818" s="40"/>
      <c r="AE818" s="40"/>
      <c r="AF818" s="42"/>
      <c r="AG818" s="42"/>
      <c r="AH818" s="40"/>
      <c r="AI818" s="40"/>
      <c r="AJ818" s="42"/>
      <c r="AK818" s="42"/>
      <c r="AL818" s="40"/>
      <c r="AM818" s="40"/>
      <c r="AN818" s="40"/>
      <c r="AO818" s="40"/>
      <c r="AP818" s="40"/>
      <c r="AQ818" s="40"/>
      <c r="AR818" s="39"/>
      <c r="AS818" s="39"/>
      <c r="AT818" s="40"/>
      <c r="AU818" s="40"/>
      <c r="AV818" s="23"/>
    </row>
    <row r="819" spans="1:48" ht="15.75" x14ac:dyDescent="0.25">
      <c r="A819" s="44"/>
      <c r="B819" s="23"/>
      <c r="C819" s="23"/>
      <c r="D819" s="39"/>
      <c r="E819" s="39"/>
      <c r="F819" s="40"/>
      <c r="G819" s="40"/>
      <c r="H819" s="41"/>
      <c r="I819" s="39"/>
      <c r="J819" s="40"/>
      <c r="K819" s="40"/>
      <c r="L819" s="41"/>
      <c r="M819" s="39"/>
      <c r="N819" s="40"/>
      <c r="O819" s="40"/>
      <c r="P819" s="39"/>
      <c r="Q819" s="39"/>
      <c r="R819" s="40"/>
      <c r="S819" s="40"/>
      <c r="T819" s="39"/>
      <c r="U819" s="39"/>
      <c r="V819" s="40"/>
      <c r="W819" s="40"/>
      <c r="X819" s="41"/>
      <c r="Y819" s="41"/>
      <c r="Z819" s="40"/>
      <c r="AA819" s="40"/>
      <c r="AB819" s="41"/>
      <c r="AC819" s="41"/>
      <c r="AD819" s="40"/>
      <c r="AE819" s="40"/>
      <c r="AF819" s="42"/>
      <c r="AG819" s="42"/>
      <c r="AH819" s="40"/>
      <c r="AI819" s="40"/>
      <c r="AJ819" s="42"/>
      <c r="AK819" s="42"/>
      <c r="AL819" s="40"/>
      <c r="AM819" s="40"/>
      <c r="AN819" s="40"/>
      <c r="AO819" s="40"/>
      <c r="AP819" s="40"/>
      <c r="AQ819" s="40"/>
      <c r="AR819" s="39"/>
      <c r="AS819" s="39"/>
      <c r="AT819" s="40"/>
      <c r="AU819" s="40"/>
      <c r="AV819" s="23"/>
    </row>
    <row r="820" spans="1:48" ht="15.75" x14ac:dyDescent="0.25">
      <c r="A820" s="44"/>
      <c r="B820" s="23"/>
      <c r="C820" s="23"/>
      <c r="D820" s="39"/>
      <c r="E820" s="39"/>
      <c r="F820" s="40"/>
      <c r="G820" s="40"/>
      <c r="H820" s="41"/>
      <c r="I820" s="39"/>
      <c r="J820" s="40"/>
      <c r="K820" s="40"/>
      <c r="L820" s="41"/>
      <c r="M820" s="39"/>
      <c r="N820" s="40"/>
      <c r="O820" s="40"/>
      <c r="P820" s="39"/>
      <c r="Q820" s="39"/>
      <c r="R820" s="40"/>
      <c r="S820" s="40"/>
      <c r="T820" s="39"/>
      <c r="U820" s="39"/>
      <c r="V820" s="40"/>
      <c r="W820" s="40"/>
      <c r="X820" s="41"/>
      <c r="Y820" s="41"/>
      <c r="Z820" s="40"/>
      <c r="AA820" s="40"/>
      <c r="AB820" s="41"/>
      <c r="AC820" s="41"/>
      <c r="AD820" s="40"/>
      <c r="AE820" s="40"/>
      <c r="AF820" s="42"/>
      <c r="AG820" s="42"/>
      <c r="AH820" s="40"/>
      <c r="AI820" s="40"/>
      <c r="AJ820" s="42"/>
      <c r="AK820" s="42"/>
      <c r="AL820" s="40"/>
      <c r="AM820" s="40"/>
      <c r="AN820" s="40"/>
      <c r="AO820" s="40"/>
      <c r="AP820" s="40"/>
      <c r="AQ820" s="40"/>
      <c r="AR820" s="39"/>
      <c r="AS820" s="39"/>
      <c r="AT820" s="40"/>
      <c r="AU820" s="40"/>
      <c r="AV820" s="23"/>
    </row>
    <row r="821" spans="1:48" ht="15.75" x14ac:dyDescent="0.25">
      <c r="A821" s="44"/>
      <c r="B821" s="23"/>
      <c r="C821" s="23"/>
      <c r="D821" s="39"/>
      <c r="E821" s="39"/>
      <c r="F821" s="40"/>
      <c r="G821" s="40"/>
      <c r="H821" s="41"/>
      <c r="I821" s="39"/>
      <c r="J821" s="40"/>
      <c r="K821" s="40"/>
      <c r="L821" s="41"/>
      <c r="M821" s="39"/>
      <c r="N821" s="40"/>
      <c r="O821" s="40"/>
      <c r="P821" s="39"/>
      <c r="Q821" s="39"/>
      <c r="R821" s="40"/>
      <c r="S821" s="40"/>
      <c r="T821" s="39"/>
      <c r="U821" s="39"/>
      <c r="V821" s="40"/>
      <c r="W821" s="40"/>
      <c r="X821" s="41"/>
      <c r="Y821" s="41"/>
      <c r="Z821" s="40"/>
      <c r="AA821" s="40"/>
      <c r="AB821" s="41"/>
      <c r="AC821" s="41"/>
      <c r="AD821" s="40"/>
      <c r="AE821" s="40"/>
      <c r="AF821" s="42"/>
      <c r="AG821" s="42"/>
      <c r="AH821" s="40"/>
      <c r="AI821" s="40"/>
      <c r="AJ821" s="42"/>
      <c r="AK821" s="42"/>
      <c r="AL821" s="40"/>
      <c r="AM821" s="40"/>
      <c r="AN821" s="40"/>
      <c r="AO821" s="40"/>
      <c r="AP821" s="40"/>
      <c r="AQ821" s="40"/>
      <c r="AR821" s="39"/>
      <c r="AS821" s="39"/>
      <c r="AT821" s="40"/>
      <c r="AU821" s="40"/>
      <c r="AV821" s="23"/>
    </row>
    <row r="822" spans="1:48" ht="15.75" x14ac:dyDescent="0.25">
      <c r="A822" s="44"/>
      <c r="B822" s="23"/>
      <c r="C822" s="23"/>
      <c r="D822" s="39"/>
      <c r="E822" s="39"/>
      <c r="F822" s="40"/>
      <c r="G822" s="40"/>
      <c r="H822" s="41"/>
      <c r="I822" s="39"/>
      <c r="J822" s="40"/>
      <c r="K822" s="40"/>
      <c r="L822" s="41"/>
      <c r="M822" s="39"/>
      <c r="N822" s="40"/>
      <c r="O822" s="40"/>
      <c r="P822" s="39"/>
      <c r="Q822" s="39"/>
      <c r="R822" s="40"/>
      <c r="S822" s="40"/>
      <c r="T822" s="39"/>
      <c r="U822" s="39"/>
      <c r="V822" s="40"/>
      <c r="W822" s="40"/>
      <c r="X822" s="41"/>
      <c r="Y822" s="41"/>
      <c r="Z822" s="40"/>
      <c r="AA822" s="40"/>
      <c r="AB822" s="41"/>
      <c r="AC822" s="41"/>
      <c r="AD822" s="40"/>
      <c r="AE822" s="40"/>
      <c r="AF822" s="42"/>
      <c r="AG822" s="42"/>
      <c r="AH822" s="40"/>
      <c r="AI822" s="40"/>
      <c r="AJ822" s="42"/>
      <c r="AK822" s="42"/>
      <c r="AL822" s="40"/>
      <c r="AM822" s="40"/>
      <c r="AN822" s="40"/>
      <c r="AO822" s="40"/>
      <c r="AP822" s="40"/>
      <c r="AQ822" s="40"/>
      <c r="AR822" s="39"/>
      <c r="AS822" s="39"/>
      <c r="AT822" s="40"/>
      <c r="AU822" s="40"/>
      <c r="AV822" s="23"/>
    </row>
    <row r="823" spans="1:48" ht="15.75" x14ac:dyDescent="0.25">
      <c r="A823" s="44"/>
      <c r="B823" s="23"/>
      <c r="C823" s="23"/>
      <c r="D823" s="39"/>
      <c r="E823" s="39"/>
      <c r="F823" s="40"/>
      <c r="G823" s="40"/>
      <c r="H823" s="41"/>
      <c r="I823" s="39"/>
      <c r="J823" s="40"/>
      <c r="K823" s="40"/>
      <c r="L823" s="41"/>
      <c r="M823" s="39"/>
      <c r="N823" s="40"/>
      <c r="O823" s="40"/>
      <c r="P823" s="39"/>
      <c r="Q823" s="39"/>
      <c r="R823" s="40"/>
      <c r="S823" s="40"/>
      <c r="T823" s="39"/>
      <c r="U823" s="39"/>
      <c r="V823" s="40"/>
      <c r="W823" s="40"/>
      <c r="X823" s="41"/>
      <c r="Y823" s="41"/>
      <c r="Z823" s="40"/>
      <c r="AA823" s="40"/>
      <c r="AB823" s="41"/>
      <c r="AC823" s="41"/>
      <c r="AD823" s="40"/>
      <c r="AE823" s="40"/>
      <c r="AF823" s="42"/>
      <c r="AG823" s="42"/>
      <c r="AH823" s="40"/>
      <c r="AI823" s="40"/>
      <c r="AJ823" s="42"/>
      <c r="AK823" s="42"/>
      <c r="AL823" s="40"/>
      <c r="AM823" s="40"/>
      <c r="AN823" s="40"/>
      <c r="AO823" s="40"/>
      <c r="AP823" s="40"/>
      <c r="AQ823" s="40"/>
      <c r="AR823" s="39"/>
      <c r="AS823" s="39"/>
      <c r="AT823" s="40"/>
      <c r="AU823" s="40"/>
      <c r="AV823" s="23"/>
    </row>
    <row r="824" spans="1:48" ht="15.75" x14ac:dyDescent="0.25">
      <c r="A824" s="44"/>
      <c r="B824" s="23"/>
      <c r="C824" s="23"/>
      <c r="D824" s="39"/>
      <c r="E824" s="39"/>
      <c r="F824" s="40"/>
      <c r="G824" s="40"/>
      <c r="H824" s="41"/>
      <c r="I824" s="39"/>
      <c r="J824" s="40"/>
      <c r="K824" s="40"/>
      <c r="L824" s="41"/>
      <c r="M824" s="39"/>
      <c r="N824" s="40"/>
      <c r="O824" s="40"/>
      <c r="P824" s="39"/>
      <c r="Q824" s="39"/>
      <c r="R824" s="40"/>
      <c r="S824" s="40"/>
      <c r="T824" s="39"/>
      <c r="U824" s="39"/>
      <c r="V824" s="40"/>
      <c r="W824" s="40"/>
      <c r="X824" s="41"/>
      <c r="Y824" s="41"/>
      <c r="Z824" s="40"/>
      <c r="AA824" s="40"/>
      <c r="AB824" s="41"/>
      <c r="AC824" s="41"/>
      <c r="AD824" s="40"/>
      <c r="AE824" s="40"/>
      <c r="AF824" s="42"/>
      <c r="AG824" s="42"/>
      <c r="AH824" s="40"/>
      <c r="AI824" s="40"/>
      <c r="AJ824" s="42"/>
      <c r="AK824" s="42"/>
      <c r="AL824" s="40"/>
      <c r="AM824" s="40"/>
      <c r="AN824" s="40"/>
      <c r="AO824" s="40"/>
      <c r="AP824" s="40"/>
      <c r="AQ824" s="40"/>
      <c r="AR824" s="39"/>
      <c r="AS824" s="39"/>
      <c r="AT824" s="40"/>
      <c r="AU824" s="40"/>
      <c r="AV824" s="23"/>
    </row>
    <row r="825" spans="1:48" ht="15.75" x14ac:dyDescent="0.25">
      <c r="A825" s="44"/>
      <c r="B825" s="23"/>
      <c r="C825" s="23"/>
      <c r="D825" s="39"/>
      <c r="E825" s="39"/>
      <c r="F825" s="40"/>
      <c r="G825" s="40"/>
      <c r="H825" s="41"/>
      <c r="I825" s="39"/>
      <c r="J825" s="40"/>
      <c r="K825" s="40"/>
      <c r="L825" s="41"/>
      <c r="M825" s="39"/>
      <c r="N825" s="40"/>
      <c r="O825" s="40"/>
      <c r="P825" s="39"/>
      <c r="Q825" s="39"/>
      <c r="R825" s="40"/>
      <c r="S825" s="40"/>
      <c r="T825" s="39"/>
      <c r="U825" s="39"/>
      <c r="V825" s="40"/>
      <c r="W825" s="40"/>
      <c r="X825" s="41"/>
      <c r="Y825" s="41"/>
      <c r="Z825" s="40"/>
      <c r="AA825" s="40"/>
      <c r="AB825" s="41"/>
      <c r="AC825" s="41"/>
      <c r="AD825" s="40"/>
      <c r="AE825" s="40"/>
      <c r="AF825" s="42"/>
      <c r="AG825" s="42"/>
      <c r="AH825" s="40"/>
      <c r="AI825" s="40"/>
      <c r="AJ825" s="42"/>
      <c r="AK825" s="42"/>
      <c r="AL825" s="40"/>
      <c r="AM825" s="40"/>
      <c r="AN825" s="40"/>
      <c r="AO825" s="40"/>
      <c r="AP825" s="40"/>
      <c r="AQ825" s="40"/>
      <c r="AR825" s="39"/>
      <c r="AS825" s="39"/>
      <c r="AT825" s="40"/>
      <c r="AU825" s="40"/>
      <c r="AV825" s="23"/>
    </row>
    <row r="826" spans="1:48" ht="15.75" x14ac:dyDescent="0.25">
      <c r="A826" s="44"/>
      <c r="B826" s="23"/>
      <c r="C826" s="23"/>
      <c r="D826" s="39"/>
      <c r="E826" s="39"/>
      <c r="F826" s="40"/>
      <c r="G826" s="40"/>
      <c r="H826" s="41"/>
      <c r="I826" s="39"/>
      <c r="J826" s="40"/>
      <c r="K826" s="40"/>
      <c r="L826" s="41"/>
      <c r="M826" s="39"/>
      <c r="N826" s="40"/>
      <c r="O826" s="40"/>
      <c r="P826" s="39"/>
      <c r="Q826" s="39"/>
      <c r="R826" s="40"/>
      <c r="S826" s="40"/>
      <c r="T826" s="39"/>
      <c r="U826" s="39"/>
      <c r="V826" s="40"/>
      <c r="W826" s="40"/>
      <c r="X826" s="41"/>
      <c r="Y826" s="41"/>
      <c r="Z826" s="40"/>
      <c r="AA826" s="40"/>
      <c r="AB826" s="41"/>
      <c r="AC826" s="41"/>
      <c r="AD826" s="40"/>
      <c r="AE826" s="40"/>
      <c r="AF826" s="42"/>
      <c r="AG826" s="42"/>
      <c r="AH826" s="40"/>
      <c r="AI826" s="40"/>
      <c r="AJ826" s="42"/>
      <c r="AK826" s="42"/>
      <c r="AL826" s="40"/>
      <c r="AM826" s="40"/>
      <c r="AN826" s="40"/>
      <c r="AO826" s="40"/>
      <c r="AP826" s="40"/>
      <c r="AQ826" s="40"/>
      <c r="AR826" s="39"/>
      <c r="AS826" s="39"/>
      <c r="AT826" s="40"/>
      <c r="AU826" s="40"/>
      <c r="AV826" s="23"/>
    </row>
    <row r="827" spans="1:48" ht="15.75" x14ac:dyDescent="0.25">
      <c r="A827" s="44"/>
      <c r="B827" s="23"/>
      <c r="C827" s="23"/>
      <c r="D827" s="39"/>
      <c r="E827" s="39"/>
      <c r="F827" s="40"/>
      <c r="G827" s="40"/>
      <c r="H827" s="41"/>
      <c r="I827" s="39"/>
      <c r="J827" s="40"/>
      <c r="K827" s="40"/>
      <c r="L827" s="41"/>
      <c r="M827" s="39"/>
      <c r="N827" s="40"/>
      <c r="O827" s="40"/>
      <c r="P827" s="39"/>
      <c r="Q827" s="39"/>
      <c r="R827" s="40"/>
      <c r="S827" s="40"/>
      <c r="T827" s="39"/>
      <c r="U827" s="39"/>
      <c r="V827" s="40"/>
      <c r="W827" s="40"/>
      <c r="X827" s="41"/>
      <c r="Y827" s="41"/>
      <c r="Z827" s="40"/>
      <c r="AA827" s="40"/>
      <c r="AB827" s="41"/>
      <c r="AC827" s="41"/>
      <c r="AD827" s="40"/>
      <c r="AE827" s="40"/>
      <c r="AF827" s="42"/>
      <c r="AG827" s="42"/>
      <c r="AH827" s="40"/>
      <c r="AI827" s="40"/>
      <c r="AJ827" s="42"/>
      <c r="AK827" s="42"/>
      <c r="AL827" s="40"/>
      <c r="AM827" s="40"/>
      <c r="AN827" s="40"/>
      <c r="AO827" s="40"/>
      <c r="AP827" s="40"/>
      <c r="AQ827" s="40"/>
      <c r="AR827" s="39"/>
      <c r="AS827" s="39"/>
      <c r="AT827" s="40"/>
      <c r="AU827" s="40"/>
      <c r="AV827" s="23"/>
    </row>
    <row r="828" spans="1:48" ht="15.75" x14ac:dyDescent="0.25">
      <c r="A828" s="44"/>
      <c r="B828" s="23"/>
      <c r="C828" s="23"/>
      <c r="D828" s="39"/>
      <c r="E828" s="39"/>
      <c r="F828" s="40"/>
      <c r="G828" s="40"/>
      <c r="H828" s="41"/>
      <c r="I828" s="39"/>
      <c r="J828" s="40"/>
      <c r="K828" s="40"/>
      <c r="L828" s="41"/>
      <c r="M828" s="39"/>
      <c r="N828" s="40"/>
      <c r="O828" s="40"/>
      <c r="P828" s="39"/>
      <c r="Q828" s="39"/>
      <c r="R828" s="40"/>
      <c r="S828" s="40"/>
      <c r="T828" s="39"/>
      <c r="U828" s="39"/>
      <c r="V828" s="40"/>
      <c r="W828" s="40"/>
      <c r="X828" s="41"/>
      <c r="Y828" s="41"/>
      <c r="Z828" s="40"/>
      <c r="AA828" s="40"/>
      <c r="AB828" s="41"/>
      <c r="AC828" s="41"/>
      <c r="AD828" s="40"/>
      <c r="AE828" s="40"/>
      <c r="AF828" s="42"/>
      <c r="AG828" s="42"/>
      <c r="AH828" s="40"/>
      <c r="AI828" s="40"/>
      <c r="AJ828" s="42"/>
      <c r="AK828" s="42"/>
      <c r="AL828" s="40"/>
      <c r="AM828" s="40"/>
      <c r="AN828" s="40"/>
      <c r="AO828" s="40"/>
      <c r="AP828" s="40"/>
      <c r="AQ828" s="40"/>
      <c r="AR828" s="39"/>
      <c r="AS828" s="39"/>
      <c r="AT828" s="40"/>
      <c r="AU828" s="40"/>
      <c r="AV828" s="23"/>
    </row>
    <row r="829" spans="1:48" ht="15.75" x14ac:dyDescent="0.25">
      <c r="A829" s="44"/>
      <c r="B829" s="23"/>
      <c r="C829" s="23"/>
      <c r="D829" s="39"/>
      <c r="E829" s="39"/>
      <c r="F829" s="40"/>
      <c r="G829" s="40"/>
      <c r="H829" s="41"/>
      <c r="I829" s="39"/>
      <c r="J829" s="40"/>
      <c r="K829" s="40"/>
      <c r="L829" s="41"/>
      <c r="M829" s="39"/>
      <c r="N829" s="40"/>
      <c r="O829" s="40"/>
      <c r="P829" s="39"/>
      <c r="Q829" s="39"/>
      <c r="R829" s="40"/>
      <c r="S829" s="40"/>
      <c r="T829" s="39"/>
      <c r="U829" s="39"/>
      <c r="V829" s="40"/>
      <c r="W829" s="40"/>
      <c r="X829" s="41"/>
      <c r="Y829" s="41"/>
      <c r="Z829" s="40"/>
      <c r="AA829" s="40"/>
      <c r="AB829" s="41"/>
      <c r="AC829" s="41"/>
      <c r="AD829" s="40"/>
      <c r="AE829" s="40"/>
      <c r="AF829" s="42"/>
      <c r="AG829" s="42"/>
      <c r="AH829" s="40"/>
      <c r="AI829" s="40"/>
      <c r="AJ829" s="42"/>
      <c r="AK829" s="42"/>
      <c r="AL829" s="40"/>
      <c r="AM829" s="40"/>
      <c r="AN829" s="40"/>
      <c r="AO829" s="40"/>
      <c r="AP829" s="40"/>
      <c r="AQ829" s="40"/>
      <c r="AR829" s="39"/>
      <c r="AS829" s="39"/>
      <c r="AT829" s="40"/>
      <c r="AU829" s="40"/>
      <c r="AV829" s="23"/>
    </row>
    <row r="830" spans="1:48" ht="15.75" x14ac:dyDescent="0.25">
      <c r="A830" s="44"/>
      <c r="B830" s="23"/>
      <c r="C830" s="23"/>
      <c r="D830" s="39"/>
      <c r="E830" s="39"/>
      <c r="F830" s="40"/>
      <c r="G830" s="40"/>
      <c r="H830" s="41"/>
      <c r="I830" s="39"/>
      <c r="J830" s="40"/>
      <c r="K830" s="40"/>
      <c r="L830" s="41"/>
      <c r="M830" s="39"/>
      <c r="N830" s="40"/>
      <c r="O830" s="40"/>
      <c r="P830" s="39"/>
      <c r="Q830" s="39"/>
      <c r="R830" s="40"/>
      <c r="S830" s="40"/>
      <c r="T830" s="39"/>
      <c r="U830" s="39"/>
      <c r="V830" s="40"/>
      <c r="W830" s="40"/>
      <c r="X830" s="41"/>
      <c r="Y830" s="41"/>
      <c r="Z830" s="40"/>
      <c r="AA830" s="40"/>
      <c r="AB830" s="41"/>
      <c r="AC830" s="41"/>
      <c r="AD830" s="40"/>
      <c r="AE830" s="40"/>
      <c r="AF830" s="42"/>
      <c r="AG830" s="42"/>
      <c r="AH830" s="40"/>
      <c r="AI830" s="40"/>
      <c r="AJ830" s="42"/>
      <c r="AK830" s="42"/>
      <c r="AL830" s="40"/>
      <c r="AM830" s="40"/>
      <c r="AN830" s="40"/>
      <c r="AO830" s="40"/>
      <c r="AP830" s="40"/>
      <c r="AQ830" s="40"/>
      <c r="AR830" s="39"/>
      <c r="AS830" s="39"/>
      <c r="AT830" s="40"/>
      <c r="AU830" s="40"/>
      <c r="AV830" s="23"/>
    </row>
    <row r="831" spans="1:48" ht="15.75" x14ac:dyDescent="0.25">
      <c r="A831" s="44"/>
      <c r="B831" s="23"/>
      <c r="C831" s="23"/>
      <c r="D831" s="39"/>
      <c r="E831" s="39"/>
      <c r="F831" s="40"/>
      <c r="G831" s="40"/>
      <c r="H831" s="41"/>
      <c r="I831" s="39"/>
      <c r="J831" s="40"/>
      <c r="K831" s="40"/>
      <c r="L831" s="41"/>
      <c r="M831" s="39"/>
      <c r="N831" s="40"/>
      <c r="O831" s="40"/>
      <c r="P831" s="39"/>
      <c r="Q831" s="39"/>
      <c r="R831" s="40"/>
      <c r="S831" s="40"/>
      <c r="T831" s="39"/>
      <c r="U831" s="39"/>
      <c r="V831" s="40"/>
      <c r="W831" s="40"/>
      <c r="X831" s="41"/>
      <c r="Y831" s="41"/>
      <c r="Z831" s="40"/>
      <c r="AA831" s="40"/>
      <c r="AB831" s="41"/>
      <c r="AC831" s="41"/>
      <c r="AD831" s="40"/>
      <c r="AE831" s="40"/>
      <c r="AF831" s="42"/>
      <c r="AG831" s="42"/>
      <c r="AH831" s="40"/>
      <c r="AI831" s="40"/>
      <c r="AJ831" s="42"/>
      <c r="AK831" s="42"/>
      <c r="AL831" s="40"/>
      <c r="AM831" s="40"/>
      <c r="AN831" s="40"/>
      <c r="AO831" s="40"/>
      <c r="AP831" s="40"/>
      <c r="AQ831" s="40"/>
      <c r="AR831" s="39"/>
      <c r="AS831" s="39"/>
      <c r="AT831" s="40"/>
      <c r="AU831" s="40"/>
      <c r="AV831" s="23"/>
    </row>
    <row r="832" spans="1:48" ht="15.75" x14ac:dyDescent="0.25">
      <c r="A832" s="44"/>
      <c r="B832" s="23"/>
      <c r="C832" s="23"/>
      <c r="D832" s="39"/>
      <c r="E832" s="39"/>
      <c r="F832" s="40"/>
      <c r="G832" s="40"/>
      <c r="H832" s="41"/>
      <c r="I832" s="39"/>
      <c r="J832" s="40"/>
      <c r="K832" s="40"/>
      <c r="L832" s="41"/>
      <c r="M832" s="39"/>
      <c r="N832" s="40"/>
      <c r="O832" s="40"/>
      <c r="P832" s="39"/>
      <c r="Q832" s="39"/>
      <c r="R832" s="40"/>
      <c r="S832" s="40"/>
      <c r="T832" s="39"/>
      <c r="U832" s="39"/>
      <c r="V832" s="40"/>
      <c r="W832" s="40"/>
      <c r="X832" s="41"/>
      <c r="Y832" s="41"/>
      <c r="Z832" s="40"/>
      <c r="AA832" s="40"/>
      <c r="AB832" s="41"/>
      <c r="AC832" s="41"/>
      <c r="AD832" s="40"/>
      <c r="AE832" s="40"/>
      <c r="AF832" s="42"/>
      <c r="AG832" s="42"/>
      <c r="AH832" s="40"/>
      <c r="AI832" s="40"/>
      <c r="AJ832" s="42"/>
      <c r="AK832" s="42"/>
      <c r="AL832" s="40"/>
      <c r="AM832" s="40"/>
      <c r="AN832" s="40"/>
      <c r="AO832" s="40"/>
      <c r="AP832" s="40"/>
      <c r="AQ832" s="40"/>
      <c r="AR832" s="39"/>
      <c r="AS832" s="39"/>
      <c r="AT832" s="40"/>
      <c r="AU832" s="40"/>
      <c r="AV832" s="23"/>
    </row>
    <row r="833" spans="1:48" ht="15.75" x14ac:dyDescent="0.25">
      <c r="A833" s="44"/>
      <c r="B833" s="23"/>
      <c r="C833" s="23"/>
      <c r="D833" s="39"/>
      <c r="E833" s="39"/>
      <c r="F833" s="40"/>
      <c r="G833" s="40"/>
      <c r="H833" s="41"/>
      <c r="I833" s="39"/>
      <c r="J833" s="40"/>
      <c r="K833" s="40"/>
      <c r="L833" s="41"/>
      <c r="M833" s="39"/>
      <c r="N833" s="40"/>
      <c r="O833" s="40"/>
      <c r="P833" s="39"/>
      <c r="Q833" s="39"/>
      <c r="R833" s="40"/>
      <c r="S833" s="40"/>
      <c r="T833" s="39"/>
      <c r="U833" s="39"/>
      <c r="V833" s="40"/>
      <c r="W833" s="40"/>
      <c r="X833" s="41"/>
      <c r="Y833" s="41"/>
      <c r="Z833" s="40"/>
      <c r="AA833" s="40"/>
      <c r="AB833" s="41"/>
      <c r="AC833" s="41"/>
      <c r="AD833" s="40"/>
      <c r="AE833" s="40"/>
      <c r="AF833" s="42"/>
      <c r="AG833" s="42"/>
      <c r="AH833" s="40"/>
      <c r="AI833" s="40"/>
      <c r="AJ833" s="42"/>
      <c r="AK833" s="42"/>
      <c r="AL833" s="40"/>
      <c r="AM833" s="40"/>
      <c r="AN833" s="40"/>
      <c r="AO833" s="40"/>
      <c r="AP833" s="40"/>
      <c r="AQ833" s="40"/>
      <c r="AR833" s="39"/>
      <c r="AS833" s="39"/>
      <c r="AT833" s="40"/>
      <c r="AU833" s="40"/>
      <c r="AV833" s="23"/>
    </row>
    <row r="834" spans="1:48" ht="15.75" x14ac:dyDescent="0.25">
      <c r="A834" s="44"/>
      <c r="B834" s="23"/>
      <c r="C834" s="23"/>
      <c r="D834" s="39"/>
      <c r="E834" s="39"/>
      <c r="F834" s="40"/>
      <c r="G834" s="40"/>
      <c r="H834" s="41"/>
      <c r="I834" s="39"/>
      <c r="J834" s="40"/>
      <c r="K834" s="40"/>
      <c r="L834" s="41"/>
      <c r="M834" s="39"/>
      <c r="N834" s="40"/>
      <c r="O834" s="40"/>
      <c r="P834" s="39"/>
      <c r="Q834" s="39"/>
      <c r="R834" s="40"/>
      <c r="S834" s="40"/>
      <c r="T834" s="39"/>
      <c r="U834" s="39"/>
      <c r="V834" s="40"/>
      <c r="W834" s="40"/>
      <c r="X834" s="41"/>
      <c r="Y834" s="41"/>
      <c r="Z834" s="40"/>
      <c r="AA834" s="40"/>
      <c r="AB834" s="41"/>
      <c r="AC834" s="41"/>
      <c r="AD834" s="40"/>
      <c r="AE834" s="40"/>
      <c r="AF834" s="42"/>
      <c r="AG834" s="42"/>
      <c r="AH834" s="40"/>
      <c r="AI834" s="40"/>
      <c r="AJ834" s="42"/>
      <c r="AK834" s="42"/>
      <c r="AL834" s="40"/>
      <c r="AM834" s="40"/>
      <c r="AN834" s="40"/>
      <c r="AO834" s="40"/>
      <c r="AP834" s="40"/>
      <c r="AQ834" s="40"/>
      <c r="AR834" s="39"/>
      <c r="AS834" s="39"/>
      <c r="AT834" s="40"/>
      <c r="AU834" s="40"/>
      <c r="AV834" s="23"/>
    </row>
    <row r="835" spans="1:48" ht="15.75" x14ac:dyDescent="0.25">
      <c r="A835" s="44"/>
      <c r="B835" s="23"/>
      <c r="C835" s="23"/>
      <c r="D835" s="39"/>
      <c r="E835" s="39"/>
      <c r="F835" s="40"/>
      <c r="G835" s="40"/>
      <c r="H835" s="41"/>
      <c r="I835" s="39"/>
      <c r="J835" s="40"/>
      <c r="K835" s="40"/>
      <c r="L835" s="41"/>
      <c r="M835" s="39"/>
      <c r="N835" s="40"/>
      <c r="O835" s="40"/>
      <c r="P835" s="39"/>
      <c r="Q835" s="39"/>
      <c r="R835" s="40"/>
      <c r="S835" s="40"/>
      <c r="T835" s="39"/>
      <c r="U835" s="39"/>
      <c r="V835" s="40"/>
      <c r="W835" s="40"/>
      <c r="X835" s="41"/>
      <c r="Y835" s="41"/>
      <c r="Z835" s="40"/>
      <c r="AA835" s="40"/>
      <c r="AB835" s="41"/>
      <c r="AC835" s="41"/>
      <c r="AD835" s="40"/>
      <c r="AE835" s="40"/>
      <c r="AF835" s="42"/>
      <c r="AG835" s="42"/>
      <c r="AH835" s="40"/>
      <c r="AI835" s="40"/>
      <c r="AJ835" s="42"/>
      <c r="AK835" s="42"/>
      <c r="AL835" s="40"/>
      <c r="AM835" s="40"/>
      <c r="AN835" s="40"/>
      <c r="AO835" s="40"/>
      <c r="AP835" s="40"/>
      <c r="AQ835" s="40"/>
      <c r="AR835" s="39"/>
      <c r="AS835" s="39"/>
      <c r="AT835" s="40"/>
      <c r="AU835" s="40"/>
      <c r="AV835" s="23"/>
    </row>
    <row r="836" spans="1:48" ht="15.75" x14ac:dyDescent="0.25">
      <c r="A836" s="44"/>
      <c r="B836" s="23"/>
      <c r="C836" s="23"/>
      <c r="D836" s="39"/>
      <c r="E836" s="39"/>
      <c r="F836" s="40"/>
      <c r="G836" s="40"/>
      <c r="H836" s="41"/>
      <c r="I836" s="39"/>
      <c r="J836" s="40"/>
      <c r="K836" s="40"/>
      <c r="L836" s="41"/>
      <c r="M836" s="39"/>
      <c r="N836" s="40"/>
      <c r="O836" s="40"/>
      <c r="P836" s="39"/>
      <c r="Q836" s="39"/>
      <c r="R836" s="40"/>
      <c r="S836" s="40"/>
      <c r="T836" s="39"/>
      <c r="U836" s="39"/>
      <c r="V836" s="40"/>
      <c r="W836" s="40"/>
      <c r="X836" s="41"/>
      <c r="Y836" s="41"/>
      <c r="Z836" s="40"/>
      <c r="AA836" s="40"/>
      <c r="AB836" s="41"/>
      <c r="AC836" s="41"/>
      <c r="AD836" s="40"/>
      <c r="AE836" s="40"/>
      <c r="AF836" s="42"/>
      <c r="AG836" s="42"/>
      <c r="AH836" s="40"/>
      <c r="AI836" s="40"/>
      <c r="AJ836" s="42"/>
      <c r="AK836" s="42"/>
      <c r="AL836" s="40"/>
      <c r="AM836" s="40"/>
      <c r="AN836" s="40"/>
      <c r="AO836" s="40"/>
      <c r="AP836" s="40"/>
      <c r="AQ836" s="40"/>
      <c r="AR836" s="39"/>
      <c r="AS836" s="39"/>
      <c r="AT836" s="40"/>
      <c r="AU836" s="40"/>
      <c r="AV836" s="23"/>
    </row>
    <row r="837" spans="1:48" ht="15.75" x14ac:dyDescent="0.25">
      <c r="A837" s="44"/>
      <c r="B837" s="23"/>
      <c r="C837" s="23"/>
      <c r="D837" s="39"/>
      <c r="E837" s="39"/>
      <c r="F837" s="40"/>
      <c r="G837" s="40"/>
      <c r="H837" s="41"/>
      <c r="I837" s="39"/>
      <c r="J837" s="40"/>
      <c r="K837" s="40"/>
      <c r="L837" s="41"/>
      <c r="M837" s="39"/>
      <c r="N837" s="40"/>
      <c r="O837" s="40"/>
      <c r="P837" s="39"/>
      <c r="Q837" s="39"/>
      <c r="R837" s="40"/>
      <c r="S837" s="40"/>
      <c r="T837" s="39"/>
      <c r="U837" s="39"/>
      <c r="V837" s="40"/>
      <c r="W837" s="40"/>
      <c r="X837" s="41"/>
      <c r="Y837" s="41"/>
      <c r="Z837" s="40"/>
      <c r="AA837" s="40"/>
      <c r="AB837" s="41"/>
      <c r="AC837" s="41"/>
      <c r="AD837" s="40"/>
      <c r="AE837" s="40"/>
      <c r="AF837" s="42"/>
      <c r="AG837" s="42"/>
      <c r="AH837" s="40"/>
      <c r="AI837" s="40"/>
      <c r="AJ837" s="42"/>
      <c r="AK837" s="42"/>
      <c r="AL837" s="40"/>
      <c r="AM837" s="40"/>
      <c r="AN837" s="40"/>
      <c r="AO837" s="40"/>
      <c r="AP837" s="40"/>
      <c r="AQ837" s="40"/>
      <c r="AR837" s="39"/>
      <c r="AS837" s="39"/>
      <c r="AT837" s="40"/>
      <c r="AU837" s="40"/>
      <c r="AV837" s="23"/>
    </row>
    <row r="838" spans="1:48" ht="15.75" x14ac:dyDescent="0.25">
      <c r="A838" s="44"/>
      <c r="B838" s="23"/>
      <c r="C838" s="23"/>
      <c r="D838" s="39"/>
      <c r="E838" s="39"/>
      <c r="F838" s="40"/>
      <c r="G838" s="40"/>
      <c r="H838" s="41"/>
      <c r="I838" s="39"/>
      <c r="J838" s="40"/>
      <c r="K838" s="40"/>
      <c r="L838" s="41"/>
      <c r="M838" s="39"/>
      <c r="N838" s="40"/>
      <c r="O838" s="40"/>
      <c r="P838" s="39"/>
      <c r="Q838" s="39"/>
      <c r="R838" s="40"/>
      <c r="S838" s="40"/>
      <c r="T838" s="39"/>
      <c r="U838" s="39"/>
      <c r="V838" s="40"/>
      <c r="W838" s="40"/>
      <c r="X838" s="41"/>
      <c r="Y838" s="41"/>
      <c r="Z838" s="40"/>
      <c r="AA838" s="40"/>
      <c r="AB838" s="41"/>
      <c r="AC838" s="41"/>
      <c r="AD838" s="40"/>
      <c r="AE838" s="40"/>
      <c r="AF838" s="42"/>
      <c r="AG838" s="42"/>
      <c r="AH838" s="40"/>
      <c r="AI838" s="40"/>
      <c r="AJ838" s="42"/>
      <c r="AK838" s="42"/>
      <c r="AL838" s="40"/>
      <c r="AM838" s="40"/>
      <c r="AN838" s="40"/>
      <c r="AO838" s="40"/>
      <c r="AP838" s="40"/>
      <c r="AQ838" s="40"/>
      <c r="AR838" s="39"/>
      <c r="AS838" s="39"/>
      <c r="AT838" s="40"/>
      <c r="AU838" s="40"/>
      <c r="AV838" s="23"/>
    </row>
    <row r="839" spans="1:48" ht="15.75" x14ac:dyDescent="0.25">
      <c r="A839" s="44"/>
      <c r="B839" s="23"/>
      <c r="C839" s="23"/>
      <c r="D839" s="39"/>
      <c r="E839" s="39"/>
      <c r="F839" s="40"/>
      <c r="G839" s="40"/>
      <c r="H839" s="41"/>
      <c r="I839" s="39"/>
      <c r="J839" s="40"/>
      <c r="K839" s="40"/>
      <c r="L839" s="41"/>
      <c r="M839" s="39"/>
      <c r="N839" s="40"/>
      <c r="O839" s="40"/>
      <c r="P839" s="39"/>
      <c r="Q839" s="39"/>
      <c r="R839" s="40"/>
      <c r="S839" s="40"/>
      <c r="T839" s="39"/>
      <c r="U839" s="39"/>
      <c r="V839" s="40"/>
      <c r="W839" s="40"/>
      <c r="X839" s="41"/>
      <c r="Y839" s="41"/>
      <c r="Z839" s="40"/>
      <c r="AA839" s="40"/>
      <c r="AB839" s="41"/>
      <c r="AC839" s="41"/>
      <c r="AD839" s="40"/>
      <c r="AE839" s="40"/>
      <c r="AF839" s="42"/>
      <c r="AG839" s="42"/>
      <c r="AH839" s="40"/>
      <c r="AI839" s="40"/>
      <c r="AJ839" s="42"/>
      <c r="AK839" s="42"/>
      <c r="AL839" s="40"/>
      <c r="AM839" s="40"/>
      <c r="AN839" s="40"/>
      <c r="AO839" s="40"/>
      <c r="AP839" s="40"/>
      <c r="AQ839" s="40"/>
      <c r="AR839" s="39"/>
      <c r="AS839" s="39"/>
      <c r="AT839" s="40"/>
      <c r="AU839" s="40"/>
      <c r="AV839" s="23"/>
    </row>
    <row r="840" spans="1:48" ht="15.75" x14ac:dyDescent="0.25">
      <c r="A840" s="44"/>
      <c r="B840" s="23"/>
      <c r="C840" s="23"/>
      <c r="D840" s="39"/>
      <c r="E840" s="39"/>
      <c r="F840" s="40"/>
      <c r="G840" s="40"/>
      <c r="H840" s="41"/>
      <c r="I840" s="39"/>
      <c r="J840" s="40"/>
      <c r="K840" s="40"/>
      <c r="L840" s="41"/>
      <c r="M840" s="39"/>
      <c r="N840" s="40"/>
      <c r="O840" s="40"/>
      <c r="P840" s="39"/>
      <c r="Q840" s="39"/>
      <c r="R840" s="40"/>
      <c r="S840" s="40"/>
      <c r="T840" s="39"/>
      <c r="U840" s="39"/>
      <c r="V840" s="40"/>
      <c r="W840" s="40"/>
      <c r="X840" s="41"/>
      <c r="Y840" s="41"/>
      <c r="Z840" s="40"/>
      <c r="AA840" s="40"/>
      <c r="AB840" s="41"/>
      <c r="AC840" s="41"/>
      <c r="AD840" s="40"/>
      <c r="AE840" s="40"/>
      <c r="AF840" s="42"/>
      <c r="AG840" s="42"/>
      <c r="AH840" s="40"/>
      <c r="AI840" s="40"/>
      <c r="AJ840" s="42"/>
      <c r="AK840" s="42"/>
      <c r="AL840" s="40"/>
      <c r="AM840" s="40"/>
      <c r="AN840" s="40"/>
      <c r="AO840" s="40"/>
      <c r="AP840" s="40"/>
      <c r="AQ840" s="40"/>
      <c r="AR840" s="39"/>
      <c r="AS840" s="39"/>
      <c r="AT840" s="40"/>
      <c r="AU840" s="40"/>
      <c r="AV840" s="23"/>
    </row>
    <row r="841" spans="1:48" ht="15.75" x14ac:dyDescent="0.25">
      <c r="A841" s="44"/>
      <c r="B841" s="23"/>
      <c r="C841" s="23"/>
      <c r="D841" s="39"/>
      <c r="E841" s="39"/>
      <c r="F841" s="40"/>
      <c r="G841" s="40"/>
      <c r="H841" s="41"/>
      <c r="I841" s="39"/>
      <c r="J841" s="40"/>
      <c r="K841" s="40"/>
      <c r="L841" s="41"/>
      <c r="M841" s="39"/>
      <c r="N841" s="40"/>
      <c r="O841" s="40"/>
      <c r="P841" s="39"/>
      <c r="Q841" s="39"/>
      <c r="R841" s="40"/>
      <c r="S841" s="40"/>
      <c r="T841" s="39"/>
      <c r="U841" s="39"/>
      <c r="V841" s="40"/>
      <c r="W841" s="40"/>
      <c r="X841" s="41"/>
      <c r="Y841" s="41"/>
      <c r="Z841" s="40"/>
      <c r="AA841" s="40"/>
      <c r="AB841" s="41"/>
      <c r="AC841" s="41"/>
      <c r="AD841" s="40"/>
      <c r="AE841" s="40"/>
      <c r="AF841" s="42"/>
      <c r="AG841" s="42"/>
      <c r="AH841" s="40"/>
      <c r="AI841" s="40"/>
      <c r="AJ841" s="42"/>
      <c r="AK841" s="42"/>
      <c r="AL841" s="40"/>
      <c r="AM841" s="40"/>
      <c r="AN841" s="40"/>
      <c r="AO841" s="40"/>
      <c r="AP841" s="40"/>
      <c r="AQ841" s="40"/>
      <c r="AR841" s="39"/>
      <c r="AS841" s="39"/>
      <c r="AT841" s="40"/>
      <c r="AU841" s="40"/>
      <c r="AV841" s="23"/>
    </row>
    <row r="842" spans="1:48" ht="15.75" x14ac:dyDescent="0.25">
      <c r="A842" s="44"/>
      <c r="B842" s="23"/>
      <c r="C842" s="23"/>
      <c r="D842" s="39"/>
      <c r="E842" s="39"/>
      <c r="F842" s="40"/>
      <c r="G842" s="40"/>
      <c r="H842" s="41"/>
      <c r="I842" s="39"/>
      <c r="J842" s="40"/>
      <c r="K842" s="40"/>
      <c r="L842" s="41"/>
      <c r="M842" s="39"/>
      <c r="N842" s="40"/>
      <c r="O842" s="40"/>
      <c r="P842" s="39"/>
      <c r="Q842" s="39"/>
      <c r="R842" s="40"/>
      <c r="S842" s="40"/>
      <c r="T842" s="39"/>
      <c r="U842" s="39"/>
      <c r="V842" s="40"/>
      <c r="W842" s="40"/>
      <c r="X842" s="41"/>
      <c r="Y842" s="41"/>
      <c r="Z842" s="40"/>
      <c r="AA842" s="40"/>
      <c r="AB842" s="41"/>
      <c r="AC842" s="41"/>
      <c r="AD842" s="40"/>
      <c r="AE842" s="40"/>
      <c r="AF842" s="42"/>
      <c r="AG842" s="42"/>
      <c r="AH842" s="40"/>
      <c r="AI842" s="40"/>
      <c r="AJ842" s="42"/>
      <c r="AK842" s="42"/>
      <c r="AL842" s="40"/>
      <c r="AM842" s="40"/>
      <c r="AN842" s="40"/>
      <c r="AO842" s="40"/>
      <c r="AP842" s="40"/>
      <c r="AQ842" s="40"/>
      <c r="AR842" s="39"/>
      <c r="AS842" s="39"/>
      <c r="AT842" s="40"/>
      <c r="AU842" s="40"/>
      <c r="AV842" s="23"/>
    </row>
    <row r="843" spans="1:48" ht="15.75" x14ac:dyDescent="0.25">
      <c r="A843" s="44"/>
      <c r="B843" s="23"/>
      <c r="C843" s="23"/>
      <c r="D843" s="39"/>
      <c r="E843" s="39"/>
      <c r="F843" s="40"/>
      <c r="G843" s="40"/>
      <c r="H843" s="41"/>
      <c r="I843" s="39"/>
      <c r="J843" s="40"/>
      <c r="K843" s="40"/>
      <c r="L843" s="41"/>
      <c r="M843" s="39"/>
      <c r="N843" s="40"/>
      <c r="O843" s="40"/>
      <c r="P843" s="39"/>
      <c r="Q843" s="39"/>
      <c r="R843" s="40"/>
      <c r="S843" s="40"/>
      <c r="T843" s="39"/>
      <c r="U843" s="39"/>
      <c r="V843" s="40"/>
      <c r="W843" s="40"/>
      <c r="X843" s="41"/>
      <c r="Y843" s="41"/>
      <c r="Z843" s="40"/>
      <c r="AA843" s="40"/>
      <c r="AB843" s="41"/>
      <c r="AC843" s="41"/>
      <c r="AD843" s="40"/>
      <c r="AE843" s="40"/>
      <c r="AF843" s="42"/>
      <c r="AG843" s="42"/>
      <c r="AH843" s="40"/>
      <c r="AI843" s="40"/>
      <c r="AJ843" s="42"/>
      <c r="AK843" s="42"/>
      <c r="AL843" s="40"/>
      <c r="AM843" s="40"/>
      <c r="AN843" s="40"/>
      <c r="AO843" s="40"/>
      <c r="AP843" s="40"/>
      <c r="AQ843" s="40"/>
      <c r="AR843" s="39"/>
      <c r="AS843" s="39"/>
      <c r="AT843" s="40"/>
      <c r="AU843" s="40"/>
      <c r="AV843" s="23"/>
    </row>
    <row r="844" spans="1:48" ht="15.75" x14ac:dyDescent="0.25">
      <c r="A844" s="44"/>
      <c r="B844" s="23"/>
      <c r="C844" s="23"/>
      <c r="D844" s="39"/>
      <c r="E844" s="39"/>
      <c r="F844" s="40"/>
      <c r="G844" s="40"/>
      <c r="H844" s="41"/>
      <c r="I844" s="39"/>
      <c r="J844" s="40"/>
      <c r="K844" s="40"/>
      <c r="L844" s="41"/>
      <c r="M844" s="39"/>
      <c r="N844" s="40"/>
      <c r="O844" s="40"/>
      <c r="P844" s="39"/>
      <c r="Q844" s="39"/>
      <c r="R844" s="40"/>
      <c r="S844" s="40"/>
      <c r="T844" s="39"/>
      <c r="U844" s="39"/>
      <c r="V844" s="40"/>
      <c r="W844" s="40"/>
      <c r="X844" s="41"/>
      <c r="Y844" s="41"/>
      <c r="Z844" s="40"/>
      <c r="AA844" s="40"/>
      <c r="AB844" s="41"/>
      <c r="AC844" s="41"/>
      <c r="AD844" s="40"/>
      <c r="AE844" s="40"/>
      <c r="AF844" s="42"/>
      <c r="AG844" s="42"/>
      <c r="AH844" s="40"/>
      <c r="AI844" s="40"/>
      <c r="AJ844" s="42"/>
      <c r="AK844" s="42"/>
      <c r="AL844" s="40"/>
      <c r="AM844" s="40"/>
      <c r="AN844" s="40"/>
      <c r="AO844" s="40"/>
      <c r="AP844" s="40"/>
      <c r="AQ844" s="40"/>
      <c r="AR844" s="39"/>
      <c r="AS844" s="39"/>
      <c r="AT844" s="40"/>
      <c r="AU844" s="40"/>
      <c r="AV844" s="23"/>
    </row>
    <row r="845" spans="1:48" ht="15.75" x14ac:dyDescent="0.25">
      <c r="A845" s="44"/>
      <c r="B845" s="23"/>
      <c r="C845" s="23"/>
      <c r="D845" s="39"/>
      <c r="E845" s="39"/>
      <c r="F845" s="40"/>
      <c r="G845" s="40"/>
      <c r="H845" s="41"/>
      <c r="I845" s="39"/>
      <c r="J845" s="40"/>
      <c r="K845" s="40"/>
      <c r="L845" s="41"/>
      <c r="M845" s="39"/>
      <c r="N845" s="40"/>
      <c r="O845" s="40"/>
      <c r="P845" s="39"/>
      <c r="Q845" s="39"/>
      <c r="R845" s="40"/>
      <c r="S845" s="40"/>
      <c r="T845" s="39"/>
      <c r="U845" s="39"/>
      <c r="V845" s="40"/>
      <c r="W845" s="40"/>
      <c r="X845" s="41"/>
      <c r="Y845" s="41"/>
      <c r="Z845" s="40"/>
      <c r="AA845" s="40"/>
      <c r="AB845" s="41"/>
      <c r="AC845" s="41"/>
      <c r="AD845" s="40"/>
      <c r="AE845" s="40"/>
      <c r="AF845" s="42"/>
      <c r="AG845" s="42"/>
      <c r="AH845" s="40"/>
      <c r="AI845" s="40"/>
      <c r="AJ845" s="42"/>
      <c r="AK845" s="42"/>
      <c r="AL845" s="40"/>
      <c r="AM845" s="40"/>
      <c r="AN845" s="40"/>
      <c r="AO845" s="40"/>
      <c r="AP845" s="40"/>
      <c r="AQ845" s="40"/>
      <c r="AR845" s="39"/>
      <c r="AS845" s="39"/>
      <c r="AT845" s="40"/>
      <c r="AU845" s="40"/>
      <c r="AV845" s="23"/>
    </row>
    <row r="846" spans="1:48" ht="15.75" x14ac:dyDescent="0.25">
      <c r="A846" s="44"/>
      <c r="B846" s="23"/>
      <c r="C846" s="23"/>
      <c r="D846" s="39"/>
      <c r="E846" s="39"/>
      <c r="F846" s="40"/>
      <c r="G846" s="40"/>
      <c r="H846" s="41"/>
      <c r="I846" s="39"/>
      <c r="J846" s="40"/>
      <c r="K846" s="40"/>
      <c r="L846" s="41"/>
      <c r="M846" s="39"/>
      <c r="N846" s="40"/>
      <c r="O846" s="40"/>
      <c r="P846" s="39"/>
      <c r="Q846" s="39"/>
      <c r="R846" s="40"/>
      <c r="S846" s="40"/>
      <c r="T846" s="39"/>
      <c r="U846" s="39"/>
      <c r="V846" s="40"/>
      <c r="W846" s="40"/>
      <c r="X846" s="41"/>
      <c r="Y846" s="41"/>
      <c r="Z846" s="40"/>
      <c r="AA846" s="40"/>
      <c r="AB846" s="41"/>
      <c r="AC846" s="41"/>
      <c r="AD846" s="40"/>
      <c r="AE846" s="40"/>
      <c r="AF846" s="42"/>
      <c r="AG846" s="42"/>
      <c r="AH846" s="40"/>
      <c r="AI846" s="40"/>
      <c r="AJ846" s="42"/>
      <c r="AK846" s="42"/>
      <c r="AL846" s="40"/>
      <c r="AM846" s="40"/>
      <c r="AN846" s="40"/>
      <c r="AO846" s="40"/>
      <c r="AP846" s="40"/>
      <c r="AQ846" s="40"/>
      <c r="AR846" s="39"/>
      <c r="AS846" s="39"/>
      <c r="AT846" s="40"/>
      <c r="AU846" s="40"/>
      <c r="AV846" s="23"/>
    </row>
    <row r="847" spans="1:48" ht="15.75" x14ac:dyDescent="0.25">
      <c r="A847" s="44"/>
      <c r="B847" s="23"/>
      <c r="C847" s="23"/>
      <c r="D847" s="39"/>
      <c r="E847" s="39"/>
      <c r="F847" s="40"/>
      <c r="G847" s="40"/>
      <c r="H847" s="41"/>
      <c r="I847" s="39"/>
      <c r="J847" s="40"/>
      <c r="K847" s="40"/>
      <c r="L847" s="41"/>
      <c r="M847" s="39"/>
      <c r="N847" s="40"/>
      <c r="O847" s="40"/>
      <c r="P847" s="39"/>
      <c r="Q847" s="39"/>
      <c r="R847" s="40"/>
      <c r="S847" s="40"/>
      <c r="T847" s="39"/>
      <c r="U847" s="39"/>
      <c r="V847" s="40"/>
      <c r="W847" s="40"/>
      <c r="X847" s="41"/>
      <c r="Y847" s="41"/>
      <c r="Z847" s="40"/>
      <c r="AA847" s="40"/>
      <c r="AB847" s="41"/>
      <c r="AC847" s="41"/>
      <c r="AD847" s="40"/>
      <c r="AE847" s="40"/>
      <c r="AF847" s="42"/>
      <c r="AG847" s="42"/>
      <c r="AH847" s="40"/>
      <c r="AI847" s="40"/>
      <c r="AJ847" s="42"/>
      <c r="AK847" s="42"/>
      <c r="AL847" s="40"/>
      <c r="AM847" s="40"/>
      <c r="AN847" s="40"/>
      <c r="AO847" s="40"/>
      <c r="AP847" s="40"/>
      <c r="AQ847" s="40"/>
      <c r="AR847" s="39"/>
      <c r="AS847" s="39"/>
      <c r="AT847" s="40"/>
      <c r="AU847" s="40"/>
      <c r="AV847" s="23"/>
    </row>
    <row r="848" spans="1:48" ht="15.75" x14ac:dyDescent="0.25">
      <c r="A848" s="44"/>
      <c r="B848" s="23"/>
      <c r="C848" s="23"/>
      <c r="D848" s="39"/>
      <c r="E848" s="39"/>
      <c r="F848" s="40"/>
      <c r="G848" s="40"/>
      <c r="H848" s="41"/>
      <c r="I848" s="39"/>
      <c r="J848" s="40"/>
      <c r="K848" s="40"/>
      <c r="L848" s="41"/>
      <c r="M848" s="39"/>
      <c r="N848" s="40"/>
      <c r="O848" s="40"/>
      <c r="P848" s="39"/>
      <c r="Q848" s="39"/>
      <c r="R848" s="40"/>
      <c r="S848" s="40"/>
      <c r="T848" s="39"/>
      <c r="U848" s="39"/>
      <c r="V848" s="40"/>
      <c r="W848" s="40"/>
      <c r="X848" s="41"/>
      <c r="Y848" s="41"/>
      <c r="Z848" s="40"/>
      <c r="AA848" s="40"/>
      <c r="AB848" s="41"/>
      <c r="AC848" s="41"/>
      <c r="AD848" s="40"/>
      <c r="AE848" s="40"/>
      <c r="AF848" s="42"/>
      <c r="AG848" s="42"/>
      <c r="AH848" s="40"/>
      <c r="AI848" s="40"/>
      <c r="AJ848" s="42"/>
      <c r="AK848" s="42"/>
      <c r="AL848" s="40"/>
      <c r="AM848" s="40"/>
      <c r="AN848" s="40"/>
      <c r="AO848" s="40"/>
      <c r="AP848" s="40"/>
      <c r="AQ848" s="40"/>
      <c r="AR848" s="39"/>
      <c r="AS848" s="39"/>
      <c r="AT848" s="40"/>
      <c r="AU848" s="40"/>
      <c r="AV848" s="23"/>
    </row>
    <row r="849" spans="1:48" ht="15.75" x14ac:dyDescent="0.25">
      <c r="A849" s="44"/>
      <c r="B849" s="23"/>
      <c r="C849" s="23"/>
      <c r="D849" s="39"/>
      <c r="E849" s="39"/>
      <c r="F849" s="40"/>
      <c r="G849" s="40"/>
      <c r="H849" s="41"/>
      <c r="I849" s="39"/>
      <c r="J849" s="40"/>
      <c r="K849" s="40"/>
      <c r="L849" s="41"/>
      <c r="M849" s="39"/>
      <c r="N849" s="40"/>
      <c r="O849" s="40"/>
      <c r="P849" s="39"/>
      <c r="Q849" s="39"/>
      <c r="R849" s="40"/>
      <c r="S849" s="40"/>
      <c r="T849" s="39"/>
      <c r="U849" s="39"/>
      <c r="V849" s="40"/>
      <c r="W849" s="40"/>
      <c r="X849" s="41"/>
      <c r="Y849" s="41"/>
      <c r="Z849" s="40"/>
      <c r="AA849" s="40"/>
      <c r="AB849" s="41"/>
      <c r="AC849" s="41"/>
      <c r="AD849" s="40"/>
      <c r="AE849" s="40"/>
      <c r="AF849" s="42"/>
      <c r="AG849" s="42"/>
      <c r="AH849" s="40"/>
      <c r="AI849" s="40"/>
      <c r="AJ849" s="42"/>
      <c r="AK849" s="42"/>
      <c r="AL849" s="40"/>
      <c r="AM849" s="40"/>
      <c r="AN849" s="40"/>
      <c r="AO849" s="40"/>
      <c r="AP849" s="40"/>
      <c r="AQ849" s="40"/>
      <c r="AR849" s="39"/>
      <c r="AS849" s="39"/>
      <c r="AT849" s="40"/>
      <c r="AU849" s="40"/>
      <c r="AV849" s="23"/>
    </row>
    <row r="850" spans="1:48" ht="15.75" x14ac:dyDescent="0.25">
      <c r="A850" s="44"/>
      <c r="B850" s="23"/>
      <c r="C850" s="23"/>
      <c r="D850" s="39"/>
      <c r="E850" s="39"/>
      <c r="F850" s="40"/>
      <c r="G850" s="40"/>
      <c r="H850" s="41"/>
      <c r="I850" s="39"/>
      <c r="J850" s="40"/>
      <c r="K850" s="40"/>
      <c r="L850" s="41"/>
      <c r="M850" s="39"/>
      <c r="N850" s="40"/>
      <c r="O850" s="40"/>
      <c r="P850" s="39"/>
      <c r="Q850" s="39"/>
      <c r="R850" s="40"/>
      <c r="S850" s="40"/>
      <c r="T850" s="39"/>
      <c r="U850" s="39"/>
      <c r="V850" s="40"/>
      <c r="W850" s="40"/>
      <c r="X850" s="41"/>
      <c r="Y850" s="41"/>
      <c r="Z850" s="40"/>
      <c r="AA850" s="40"/>
      <c r="AB850" s="41"/>
      <c r="AC850" s="41"/>
      <c r="AD850" s="40"/>
      <c r="AE850" s="40"/>
      <c r="AF850" s="42"/>
      <c r="AG850" s="42"/>
      <c r="AH850" s="40"/>
      <c r="AI850" s="40"/>
      <c r="AJ850" s="42"/>
      <c r="AK850" s="42"/>
      <c r="AL850" s="40"/>
      <c r="AM850" s="40"/>
      <c r="AN850" s="40"/>
      <c r="AO850" s="40"/>
      <c r="AP850" s="40"/>
      <c r="AQ850" s="40"/>
      <c r="AR850" s="39"/>
      <c r="AS850" s="39"/>
      <c r="AT850" s="40"/>
      <c r="AU850" s="40"/>
      <c r="AV850" s="23"/>
    </row>
    <row r="851" spans="1:48" ht="15.75" x14ac:dyDescent="0.25">
      <c r="A851" s="44"/>
      <c r="B851" s="23"/>
      <c r="C851" s="23"/>
      <c r="D851" s="39"/>
      <c r="E851" s="39"/>
      <c r="F851" s="40"/>
      <c r="G851" s="40"/>
      <c r="H851" s="41"/>
      <c r="I851" s="39"/>
      <c r="J851" s="40"/>
      <c r="K851" s="40"/>
      <c r="L851" s="41"/>
      <c r="M851" s="39"/>
      <c r="N851" s="40"/>
      <c r="O851" s="40"/>
      <c r="P851" s="39"/>
      <c r="Q851" s="39"/>
      <c r="R851" s="40"/>
      <c r="S851" s="40"/>
      <c r="T851" s="39"/>
      <c r="U851" s="39"/>
      <c r="V851" s="40"/>
      <c r="W851" s="40"/>
      <c r="X851" s="41"/>
      <c r="Y851" s="41"/>
      <c r="Z851" s="40"/>
      <c r="AA851" s="40"/>
      <c r="AB851" s="41"/>
      <c r="AC851" s="41"/>
      <c r="AD851" s="40"/>
      <c r="AE851" s="40"/>
      <c r="AF851" s="42"/>
      <c r="AG851" s="42"/>
      <c r="AH851" s="40"/>
      <c r="AI851" s="40"/>
      <c r="AJ851" s="42"/>
      <c r="AK851" s="42"/>
      <c r="AL851" s="40"/>
      <c r="AM851" s="40"/>
      <c r="AN851" s="40"/>
      <c r="AO851" s="40"/>
      <c r="AP851" s="40"/>
      <c r="AQ851" s="40"/>
      <c r="AR851" s="39"/>
      <c r="AS851" s="39"/>
      <c r="AT851" s="40"/>
      <c r="AU851" s="40"/>
      <c r="AV851" s="23"/>
    </row>
    <row r="852" spans="1:48" ht="15.75" x14ac:dyDescent="0.25">
      <c r="A852" s="44"/>
      <c r="B852" s="23"/>
      <c r="C852" s="23"/>
      <c r="D852" s="39"/>
      <c r="E852" s="39"/>
      <c r="F852" s="40"/>
      <c r="G852" s="40"/>
      <c r="H852" s="41"/>
      <c r="I852" s="39"/>
      <c r="J852" s="40"/>
      <c r="K852" s="40"/>
      <c r="L852" s="41"/>
      <c r="M852" s="39"/>
      <c r="N852" s="40"/>
      <c r="O852" s="40"/>
      <c r="P852" s="39"/>
      <c r="Q852" s="39"/>
      <c r="R852" s="40"/>
      <c r="S852" s="40"/>
      <c r="T852" s="39"/>
      <c r="U852" s="39"/>
      <c r="V852" s="40"/>
      <c r="W852" s="40"/>
      <c r="X852" s="41"/>
      <c r="Y852" s="41"/>
      <c r="Z852" s="40"/>
      <c r="AA852" s="40"/>
      <c r="AB852" s="41"/>
      <c r="AC852" s="41"/>
      <c r="AD852" s="40"/>
      <c r="AE852" s="40"/>
      <c r="AF852" s="42"/>
      <c r="AG852" s="42"/>
      <c r="AH852" s="40"/>
      <c r="AI852" s="40"/>
      <c r="AJ852" s="42"/>
      <c r="AK852" s="42"/>
      <c r="AL852" s="40"/>
      <c r="AM852" s="40"/>
      <c r="AN852" s="40"/>
      <c r="AO852" s="40"/>
      <c r="AP852" s="40"/>
      <c r="AQ852" s="40"/>
      <c r="AR852" s="39"/>
      <c r="AS852" s="39"/>
      <c r="AT852" s="40"/>
      <c r="AU852" s="40"/>
      <c r="AV852" s="23"/>
    </row>
    <row r="853" spans="1:48" ht="15.75" x14ac:dyDescent="0.25">
      <c r="A853" s="44"/>
      <c r="B853" s="23"/>
      <c r="C853" s="23"/>
      <c r="D853" s="39"/>
      <c r="E853" s="39"/>
      <c r="F853" s="40"/>
      <c r="G853" s="40"/>
      <c r="H853" s="41"/>
      <c r="I853" s="39"/>
      <c r="J853" s="40"/>
      <c r="K853" s="40"/>
      <c r="L853" s="41"/>
      <c r="M853" s="39"/>
      <c r="N853" s="40"/>
      <c r="O853" s="40"/>
      <c r="P853" s="39"/>
      <c r="Q853" s="39"/>
      <c r="R853" s="40"/>
      <c r="S853" s="40"/>
      <c r="T853" s="39"/>
      <c r="U853" s="39"/>
      <c r="V853" s="40"/>
      <c r="W853" s="40"/>
      <c r="X853" s="41"/>
      <c r="Y853" s="41"/>
      <c r="Z853" s="40"/>
      <c r="AA853" s="40"/>
      <c r="AB853" s="41"/>
      <c r="AC853" s="41"/>
      <c r="AD853" s="40"/>
      <c r="AE853" s="40"/>
      <c r="AF853" s="42"/>
      <c r="AG853" s="42"/>
      <c r="AH853" s="40"/>
      <c r="AI853" s="40"/>
      <c r="AJ853" s="42"/>
      <c r="AK853" s="42"/>
      <c r="AL853" s="40"/>
      <c r="AM853" s="40"/>
      <c r="AN853" s="40"/>
      <c r="AO853" s="40"/>
      <c r="AP853" s="40"/>
      <c r="AQ853" s="40"/>
      <c r="AR853" s="39"/>
      <c r="AS853" s="39"/>
      <c r="AT853" s="40"/>
      <c r="AU853" s="40"/>
      <c r="AV853" s="23"/>
    </row>
    <row r="854" spans="1:48" ht="15.75" x14ac:dyDescent="0.25">
      <c r="A854" s="44"/>
      <c r="B854" s="23"/>
      <c r="C854" s="23"/>
      <c r="D854" s="39"/>
      <c r="E854" s="39"/>
      <c r="F854" s="40"/>
      <c r="G854" s="40"/>
      <c r="H854" s="41"/>
      <c r="I854" s="39"/>
      <c r="J854" s="40"/>
      <c r="K854" s="40"/>
      <c r="L854" s="41"/>
      <c r="M854" s="39"/>
      <c r="N854" s="40"/>
      <c r="O854" s="40"/>
      <c r="P854" s="39"/>
      <c r="Q854" s="39"/>
      <c r="R854" s="40"/>
      <c r="S854" s="40"/>
      <c r="T854" s="39"/>
      <c r="U854" s="39"/>
      <c r="V854" s="40"/>
      <c r="W854" s="40"/>
      <c r="X854" s="41"/>
      <c r="Y854" s="41"/>
      <c r="Z854" s="40"/>
      <c r="AA854" s="40"/>
      <c r="AB854" s="41"/>
      <c r="AC854" s="41"/>
      <c r="AD854" s="40"/>
      <c r="AE854" s="40"/>
      <c r="AF854" s="42"/>
      <c r="AG854" s="42"/>
      <c r="AH854" s="40"/>
      <c r="AI854" s="40"/>
      <c r="AJ854" s="42"/>
      <c r="AK854" s="42"/>
      <c r="AL854" s="40"/>
      <c r="AM854" s="40"/>
      <c r="AN854" s="40"/>
      <c r="AO854" s="40"/>
      <c r="AP854" s="40"/>
      <c r="AQ854" s="40"/>
      <c r="AR854" s="39"/>
      <c r="AS854" s="39"/>
      <c r="AT854" s="40"/>
      <c r="AU854" s="40"/>
      <c r="AV854" s="23"/>
    </row>
    <row r="855" spans="1:48" ht="15.75" x14ac:dyDescent="0.25">
      <c r="A855" s="44"/>
      <c r="B855" s="23"/>
      <c r="C855" s="23"/>
      <c r="D855" s="39"/>
      <c r="E855" s="39"/>
      <c r="F855" s="40"/>
      <c r="G855" s="40"/>
      <c r="H855" s="41"/>
      <c r="I855" s="39"/>
      <c r="J855" s="40"/>
      <c r="K855" s="40"/>
      <c r="L855" s="41"/>
      <c r="M855" s="39"/>
      <c r="N855" s="40"/>
      <c r="O855" s="40"/>
      <c r="P855" s="39"/>
      <c r="Q855" s="39"/>
      <c r="R855" s="40"/>
      <c r="S855" s="40"/>
      <c r="T855" s="39"/>
      <c r="U855" s="39"/>
      <c r="V855" s="40"/>
      <c r="W855" s="40"/>
      <c r="X855" s="41"/>
      <c r="Y855" s="41"/>
      <c r="Z855" s="40"/>
      <c r="AA855" s="40"/>
      <c r="AB855" s="41"/>
      <c r="AC855" s="41"/>
      <c r="AD855" s="40"/>
      <c r="AE855" s="40"/>
      <c r="AF855" s="42"/>
      <c r="AG855" s="42"/>
      <c r="AH855" s="40"/>
      <c r="AI855" s="40"/>
      <c r="AJ855" s="42"/>
      <c r="AK855" s="42"/>
      <c r="AL855" s="40"/>
      <c r="AM855" s="40"/>
      <c r="AN855" s="40"/>
      <c r="AO855" s="40"/>
      <c r="AP855" s="40"/>
      <c r="AQ855" s="40"/>
      <c r="AR855" s="39"/>
      <c r="AS855" s="39"/>
      <c r="AT855" s="40"/>
      <c r="AU855" s="40"/>
      <c r="AV855" s="23"/>
    </row>
    <row r="856" spans="1:48" ht="15.75" x14ac:dyDescent="0.25">
      <c r="A856" s="44"/>
      <c r="B856" s="23"/>
      <c r="C856" s="23"/>
      <c r="D856" s="39"/>
      <c r="E856" s="39"/>
      <c r="F856" s="40"/>
      <c r="G856" s="40"/>
      <c r="H856" s="41"/>
      <c r="I856" s="39"/>
      <c r="J856" s="40"/>
      <c r="K856" s="40"/>
      <c r="L856" s="41"/>
      <c r="M856" s="39"/>
      <c r="N856" s="40"/>
      <c r="O856" s="40"/>
      <c r="P856" s="39"/>
      <c r="Q856" s="39"/>
      <c r="R856" s="40"/>
      <c r="S856" s="40"/>
      <c r="T856" s="39"/>
      <c r="U856" s="39"/>
      <c r="V856" s="40"/>
      <c r="W856" s="40"/>
      <c r="X856" s="41"/>
      <c r="Y856" s="41"/>
      <c r="Z856" s="40"/>
      <c r="AA856" s="40"/>
      <c r="AB856" s="41"/>
      <c r="AC856" s="41"/>
      <c r="AD856" s="40"/>
      <c r="AE856" s="40"/>
      <c r="AF856" s="42"/>
      <c r="AG856" s="42"/>
      <c r="AH856" s="40"/>
      <c r="AI856" s="40"/>
      <c r="AJ856" s="42"/>
      <c r="AK856" s="42"/>
      <c r="AL856" s="40"/>
      <c r="AM856" s="40"/>
      <c r="AN856" s="40"/>
      <c r="AO856" s="40"/>
      <c r="AP856" s="40"/>
      <c r="AQ856" s="40"/>
      <c r="AR856" s="39"/>
      <c r="AS856" s="39"/>
      <c r="AT856" s="40"/>
      <c r="AU856" s="40"/>
      <c r="AV856" s="23"/>
    </row>
    <row r="857" spans="1:48" ht="15.75" x14ac:dyDescent="0.25">
      <c r="A857" s="44"/>
      <c r="B857" s="23"/>
      <c r="C857" s="23"/>
      <c r="D857" s="39"/>
      <c r="E857" s="39"/>
      <c r="F857" s="40"/>
      <c r="G857" s="40"/>
      <c r="H857" s="41"/>
      <c r="I857" s="39"/>
      <c r="J857" s="40"/>
      <c r="K857" s="40"/>
      <c r="L857" s="41"/>
      <c r="M857" s="39"/>
      <c r="N857" s="40"/>
      <c r="O857" s="40"/>
      <c r="P857" s="39"/>
      <c r="Q857" s="39"/>
      <c r="R857" s="40"/>
      <c r="S857" s="40"/>
      <c r="T857" s="39"/>
      <c r="U857" s="39"/>
      <c r="V857" s="40"/>
      <c r="W857" s="40"/>
      <c r="X857" s="41"/>
      <c r="Y857" s="41"/>
      <c r="Z857" s="40"/>
      <c r="AA857" s="40"/>
      <c r="AB857" s="41"/>
      <c r="AC857" s="41"/>
      <c r="AD857" s="40"/>
      <c r="AE857" s="40"/>
      <c r="AF857" s="42"/>
      <c r="AG857" s="42"/>
      <c r="AH857" s="40"/>
      <c r="AI857" s="40"/>
      <c r="AJ857" s="42"/>
      <c r="AK857" s="42"/>
      <c r="AL857" s="40"/>
      <c r="AM857" s="40"/>
      <c r="AN857" s="40"/>
      <c r="AO857" s="40"/>
      <c r="AP857" s="40"/>
      <c r="AQ857" s="40"/>
      <c r="AR857" s="39"/>
      <c r="AS857" s="39"/>
      <c r="AT857" s="40"/>
      <c r="AU857" s="40"/>
      <c r="AV857" s="23"/>
    </row>
    <row r="858" spans="1:48" ht="15.75" x14ac:dyDescent="0.25">
      <c r="A858" s="44"/>
      <c r="B858" s="23"/>
      <c r="C858" s="23"/>
      <c r="D858" s="39"/>
      <c r="E858" s="39"/>
      <c r="F858" s="40"/>
      <c r="G858" s="40"/>
      <c r="H858" s="41"/>
      <c r="I858" s="39"/>
      <c r="J858" s="40"/>
      <c r="K858" s="40"/>
      <c r="L858" s="41"/>
      <c r="M858" s="39"/>
      <c r="N858" s="40"/>
      <c r="O858" s="40"/>
      <c r="P858" s="39"/>
      <c r="Q858" s="39"/>
      <c r="R858" s="40"/>
      <c r="S858" s="40"/>
      <c r="T858" s="39"/>
      <c r="U858" s="39"/>
      <c r="V858" s="40"/>
      <c r="W858" s="40"/>
      <c r="X858" s="41"/>
      <c r="Y858" s="41"/>
      <c r="Z858" s="40"/>
      <c r="AA858" s="40"/>
      <c r="AB858" s="41"/>
      <c r="AC858" s="41"/>
      <c r="AD858" s="40"/>
      <c r="AE858" s="40"/>
      <c r="AF858" s="42"/>
      <c r="AG858" s="42"/>
      <c r="AH858" s="40"/>
      <c r="AI858" s="40"/>
      <c r="AJ858" s="42"/>
      <c r="AK858" s="42"/>
      <c r="AL858" s="40"/>
      <c r="AM858" s="40"/>
      <c r="AN858" s="40"/>
      <c r="AO858" s="40"/>
      <c r="AP858" s="40"/>
      <c r="AQ858" s="40"/>
      <c r="AR858" s="39"/>
      <c r="AS858" s="39"/>
      <c r="AT858" s="40"/>
      <c r="AU858" s="40"/>
      <c r="AV858" s="23"/>
    </row>
    <row r="859" spans="1:48" ht="15.75" x14ac:dyDescent="0.25">
      <c r="A859" s="44"/>
      <c r="B859" s="23"/>
      <c r="C859" s="23"/>
      <c r="D859" s="39"/>
      <c r="E859" s="39"/>
      <c r="F859" s="40"/>
      <c r="G859" s="40"/>
      <c r="H859" s="41"/>
      <c r="I859" s="39"/>
      <c r="J859" s="40"/>
      <c r="K859" s="40"/>
      <c r="L859" s="41"/>
      <c r="M859" s="39"/>
      <c r="N859" s="40"/>
      <c r="O859" s="40"/>
      <c r="P859" s="39"/>
      <c r="Q859" s="39"/>
      <c r="R859" s="40"/>
      <c r="S859" s="40"/>
      <c r="T859" s="39"/>
      <c r="U859" s="39"/>
      <c r="V859" s="40"/>
      <c r="W859" s="40"/>
      <c r="X859" s="41"/>
      <c r="Y859" s="41"/>
      <c r="Z859" s="40"/>
      <c r="AA859" s="40"/>
      <c r="AB859" s="41"/>
      <c r="AC859" s="41"/>
      <c r="AD859" s="40"/>
      <c r="AE859" s="40"/>
      <c r="AF859" s="42"/>
      <c r="AG859" s="42"/>
      <c r="AH859" s="40"/>
      <c r="AI859" s="40"/>
      <c r="AJ859" s="42"/>
      <c r="AK859" s="42"/>
      <c r="AL859" s="40"/>
      <c r="AM859" s="40"/>
      <c r="AN859" s="40"/>
      <c r="AO859" s="40"/>
      <c r="AP859" s="40"/>
      <c r="AQ859" s="40"/>
      <c r="AR859" s="39"/>
      <c r="AS859" s="39"/>
      <c r="AT859" s="40"/>
      <c r="AU859" s="40"/>
      <c r="AV859" s="23"/>
    </row>
    <row r="860" spans="1:48" ht="15.75" x14ac:dyDescent="0.25">
      <c r="A860" s="44"/>
      <c r="B860" s="23"/>
      <c r="C860" s="23"/>
      <c r="D860" s="39"/>
      <c r="E860" s="39"/>
      <c r="F860" s="40"/>
      <c r="G860" s="40"/>
      <c r="H860" s="41"/>
      <c r="I860" s="39"/>
      <c r="J860" s="40"/>
      <c r="K860" s="40"/>
      <c r="L860" s="41"/>
      <c r="M860" s="39"/>
      <c r="N860" s="40"/>
      <c r="O860" s="40"/>
      <c r="P860" s="39"/>
      <c r="Q860" s="39"/>
      <c r="R860" s="40"/>
      <c r="S860" s="40"/>
      <c r="T860" s="39"/>
      <c r="U860" s="39"/>
      <c r="V860" s="40"/>
      <c r="W860" s="40"/>
      <c r="X860" s="41"/>
      <c r="Y860" s="41"/>
      <c r="Z860" s="40"/>
      <c r="AA860" s="40"/>
      <c r="AB860" s="41"/>
      <c r="AC860" s="41"/>
      <c r="AD860" s="40"/>
      <c r="AE860" s="40"/>
      <c r="AF860" s="42"/>
      <c r="AG860" s="42"/>
      <c r="AH860" s="40"/>
      <c r="AI860" s="40"/>
      <c r="AJ860" s="42"/>
      <c r="AK860" s="42"/>
      <c r="AL860" s="40"/>
      <c r="AM860" s="40"/>
      <c r="AN860" s="40"/>
      <c r="AO860" s="40"/>
      <c r="AP860" s="40"/>
      <c r="AQ860" s="40"/>
      <c r="AR860" s="39"/>
      <c r="AS860" s="39"/>
      <c r="AT860" s="40"/>
      <c r="AU860" s="40"/>
      <c r="AV860" s="23"/>
    </row>
    <row r="861" spans="1:48" ht="15.75" x14ac:dyDescent="0.25">
      <c r="A861" s="44"/>
      <c r="B861" s="23"/>
      <c r="C861" s="23"/>
      <c r="D861" s="39"/>
      <c r="E861" s="39"/>
      <c r="F861" s="40"/>
      <c r="G861" s="40"/>
      <c r="H861" s="41"/>
      <c r="I861" s="39"/>
      <c r="J861" s="40"/>
      <c r="K861" s="40"/>
      <c r="L861" s="41"/>
      <c r="M861" s="39"/>
      <c r="N861" s="40"/>
      <c r="O861" s="40"/>
      <c r="P861" s="39"/>
      <c r="Q861" s="39"/>
      <c r="R861" s="40"/>
      <c r="S861" s="40"/>
      <c r="T861" s="39"/>
      <c r="U861" s="39"/>
      <c r="V861" s="40"/>
      <c r="W861" s="40"/>
      <c r="X861" s="41"/>
      <c r="Y861" s="41"/>
      <c r="Z861" s="40"/>
      <c r="AA861" s="40"/>
      <c r="AB861" s="41"/>
      <c r="AC861" s="41"/>
      <c r="AD861" s="40"/>
      <c r="AE861" s="40"/>
      <c r="AF861" s="42"/>
      <c r="AG861" s="42"/>
      <c r="AH861" s="40"/>
      <c r="AI861" s="40"/>
      <c r="AJ861" s="42"/>
      <c r="AK861" s="42"/>
      <c r="AL861" s="40"/>
      <c r="AM861" s="40"/>
      <c r="AN861" s="40"/>
      <c r="AO861" s="40"/>
      <c r="AP861" s="40"/>
      <c r="AQ861" s="40"/>
      <c r="AR861" s="39"/>
      <c r="AS861" s="39"/>
      <c r="AT861" s="40"/>
      <c r="AU861" s="40"/>
      <c r="AV861" s="23"/>
    </row>
    <row r="862" spans="1:48" ht="15.75" x14ac:dyDescent="0.25">
      <c r="A862" s="44"/>
      <c r="B862" s="23"/>
      <c r="C862" s="23"/>
      <c r="D862" s="39"/>
      <c r="E862" s="39"/>
      <c r="F862" s="40"/>
      <c r="G862" s="40"/>
      <c r="H862" s="41"/>
      <c r="I862" s="39"/>
      <c r="J862" s="40"/>
      <c r="K862" s="40"/>
      <c r="L862" s="41"/>
      <c r="M862" s="39"/>
      <c r="N862" s="40"/>
      <c r="O862" s="40"/>
      <c r="P862" s="39"/>
      <c r="Q862" s="39"/>
      <c r="R862" s="40"/>
      <c r="S862" s="40"/>
      <c r="T862" s="39"/>
      <c r="U862" s="39"/>
      <c r="V862" s="40"/>
      <c r="W862" s="40"/>
      <c r="X862" s="41"/>
      <c r="Y862" s="41"/>
      <c r="Z862" s="40"/>
      <c r="AA862" s="40"/>
      <c r="AB862" s="41"/>
      <c r="AC862" s="41"/>
      <c r="AD862" s="40"/>
      <c r="AE862" s="40"/>
      <c r="AF862" s="42"/>
      <c r="AG862" s="42"/>
      <c r="AH862" s="40"/>
      <c r="AI862" s="40"/>
      <c r="AJ862" s="42"/>
      <c r="AK862" s="42"/>
      <c r="AL862" s="40"/>
      <c r="AM862" s="40"/>
      <c r="AN862" s="40"/>
      <c r="AO862" s="40"/>
      <c r="AP862" s="40"/>
      <c r="AQ862" s="40"/>
      <c r="AR862" s="39"/>
      <c r="AS862" s="39"/>
      <c r="AT862" s="40"/>
      <c r="AU862" s="40"/>
      <c r="AV862" s="23"/>
    </row>
    <row r="863" spans="1:48" ht="15.75" x14ac:dyDescent="0.25">
      <c r="A863" s="44"/>
      <c r="B863" s="23"/>
      <c r="C863" s="23"/>
      <c r="D863" s="39"/>
      <c r="E863" s="39"/>
      <c r="F863" s="40"/>
      <c r="G863" s="40"/>
      <c r="H863" s="41"/>
      <c r="I863" s="39"/>
      <c r="J863" s="40"/>
      <c r="K863" s="40"/>
      <c r="L863" s="41"/>
      <c r="M863" s="39"/>
      <c r="N863" s="40"/>
      <c r="O863" s="40"/>
      <c r="P863" s="39"/>
      <c r="Q863" s="39"/>
      <c r="R863" s="40"/>
      <c r="S863" s="40"/>
      <c r="T863" s="39"/>
      <c r="U863" s="39"/>
      <c r="V863" s="40"/>
      <c r="W863" s="40"/>
      <c r="X863" s="41"/>
      <c r="Y863" s="41"/>
      <c r="Z863" s="40"/>
      <c r="AA863" s="40"/>
      <c r="AB863" s="41"/>
      <c r="AC863" s="41"/>
      <c r="AD863" s="40"/>
      <c r="AE863" s="40"/>
      <c r="AF863" s="42"/>
      <c r="AG863" s="42"/>
      <c r="AH863" s="40"/>
      <c r="AI863" s="40"/>
      <c r="AJ863" s="42"/>
      <c r="AK863" s="42"/>
      <c r="AL863" s="40"/>
      <c r="AM863" s="40"/>
      <c r="AN863" s="40"/>
      <c r="AO863" s="40"/>
      <c r="AP863" s="40"/>
      <c r="AQ863" s="40"/>
      <c r="AR863" s="39"/>
      <c r="AS863" s="39"/>
      <c r="AT863" s="40"/>
      <c r="AU863" s="40"/>
      <c r="AV863" s="23"/>
    </row>
    <row r="864" spans="1:48" ht="15.75" x14ac:dyDescent="0.25">
      <c r="A864" s="44"/>
      <c r="B864" s="23"/>
      <c r="C864" s="23"/>
      <c r="D864" s="39"/>
      <c r="E864" s="39"/>
      <c r="F864" s="40"/>
      <c r="G864" s="40"/>
      <c r="H864" s="41"/>
      <c r="I864" s="39"/>
      <c r="J864" s="40"/>
      <c r="K864" s="40"/>
      <c r="L864" s="41"/>
      <c r="M864" s="39"/>
      <c r="N864" s="40"/>
      <c r="O864" s="40"/>
      <c r="P864" s="39"/>
      <c r="Q864" s="39"/>
      <c r="R864" s="40"/>
      <c r="S864" s="40"/>
      <c r="T864" s="39"/>
      <c r="U864" s="39"/>
      <c r="V864" s="40"/>
      <c r="W864" s="40"/>
      <c r="X864" s="41"/>
      <c r="Y864" s="41"/>
      <c r="Z864" s="40"/>
      <c r="AA864" s="40"/>
      <c r="AB864" s="41"/>
      <c r="AC864" s="41"/>
      <c r="AD864" s="40"/>
      <c r="AE864" s="40"/>
      <c r="AF864" s="42"/>
      <c r="AG864" s="42"/>
      <c r="AH864" s="40"/>
      <c r="AI864" s="40"/>
      <c r="AJ864" s="42"/>
      <c r="AK864" s="42"/>
      <c r="AL864" s="40"/>
      <c r="AM864" s="40"/>
      <c r="AN864" s="40"/>
      <c r="AO864" s="40"/>
      <c r="AP864" s="40"/>
      <c r="AQ864" s="40"/>
      <c r="AR864" s="39"/>
      <c r="AS864" s="39"/>
      <c r="AT864" s="40"/>
      <c r="AU864" s="40"/>
      <c r="AV864" s="23"/>
    </row>
    <row r="865" spans="1:48" ht="15.75" x14ac:dyDescent="0.25">
      <c r="A865" s="44"/>
      <c r="B865" s="23"/>
      <c r="C865" s="23"/>
      <c r="D865" s="39"/>
      <c r="E865" s="39"/>
      <c r="F865" s="40"/>
      <c r="G865" s="40"/>
      <c r="H865" s="41"/>
      <c r="I865" s="39"/>
      <c r="J865" s="40"/>
      <c r="K865" s="40"/>
      <c r="L865" s="41"/>
      <c r="M865" s="39"/>
      <c r="N865" s="40"/>
      <c r="O865" s="40"/>
      <c r="P865" s="39"/>
      <c r="Q865" s="39"/>
      <c r="R865" s="40"/>
      <c r="S865" s="40"/>
      <c r="T865" s="39"/>
      <c r="U865" s="39"/>
      <c r="V865" s="40"/>
      <c r="W865" s="40"/>
      <c r="X865" s="41"/>
      <c r="Y865" s="41"/>
      <c r="Z865" s="40"/>
      <c r="AA865" s="40"/>
      <c r="AB865" s="41"/>
      <c r="AC865" s="41"/>
      <c r="AD865" s="40"/>
      <c r="AE865" s="40"/>
      <c r="AF865" s="42"/>
      <c r="AG865" s="42"/>
      <c r="AH865" s="40"/>
      <c r="AI865" s="40"/>
      <c r="AJ865" s="42"/>
      <c r="AK865" s="42"/>
      <c r="AL865" s="40"/>
      <c r="AM865" s="40"/>
      <c r="AN865" s="40"/>
      <c r="AO865" s="40"/>
      <c r="AP865" s="40"/>
      <c r="AQ865" s="40"/>
      <c r="AR865" s="39"/>
      <c r="AS865" s="39"/>
      <c r="AT865" s="40"/>
      <c r="AU865" s="40"/>
      <c r="AV865" s="23"/>
    </row>
    <row r="866" spans="1:48" ht="15.75" x14ac:dyDescent="0.25">
      <c r="A866" s="44"/>
      <c r="B866" s="23"/>
      <c r="C866" s="23"/>
      <c r="D866" s="39"/>
      <c r="E866" s="39"/>
      <c r="F866" s="40"/>
      <c r="G866" s="40"/>
      <c r="H866" s="41"/>
      <c r="I866" s="39"/>
      <c r="J866" s="40"/>
      <c r="K866" s="40"/>
      <c r="L866" s="41"/>
      <c r="M866" s="39"/>
      <c r="N866" s="40"/>
      <c r="O866" s="40"/>
      <c r="P866" s="39"/>
      <c r="Q866" s="39"/>
      <c r="R866" s="40"/>
      <c r="S866" s="40"/>
      <c r="T866" s="39"/>
      <c r="U866" s="39"/>
      <c r="V866" s="40"/>
      <c r="W866" s="40"/>
      <c r="X866" s="41"/>
      <c r="Y866" s="41"/>
      <c r="Z866" s="40"/>
      <c r="AA866" s="40"/>
      <c r="AB866" s="41"/>
      <c r="AC866" s="41"/>
      <c r="AD866" s="40"/>
      <c r="AE866" s="40"/>
      <c r="AF866" s="42"/>
      <c r="AG866" s="42"/>
      <c r="AH866" s="40"/>
      <c r="AI866" s="40"/>
      <c r="AJ866" s="42"/>
      <c r="AK866" s="42"/>
      <c r="AL866" s="40"/>
      <c r="AM866" s="40"/>
      <c r="AN866" s="40"/>
      <c r="AO866" s="40"/>
      <c r="AP866" s="40"/>
      <c r="AQ866" s="40"/>
      <c r="AR866" s="39"/>
      <c r="AS866" s="39"/>
      <c r="AT866" s="40"/>
      <c r="AU866" s="40"/>
      <c r="AV866" s="23"/>
    </row>
    <row r="867" spans="1:48" ht="15.75" x14ac:dyDescent="0.25">
      <c r="A867" s="44"/>
      <c r="B867" s="23"/>
      <c r="C867" s="23"/>
      <c r="D867" s="39"/>
      <c r="E867" s="39"/>
      <c r="F867" s="40"/>
      <c r="G867" s="40"/>
      <c r="H867" s="41"/>
      <c r="I867" s="39"/>
      <c r="J867" s="40"/>
      <c r="K867" s="40"/>
      <c r="L867" s="41"/>
      <c r="M867" s="39"/>
      <c r="N867" s="40"/>
      <c r="O867" s="40"/>
      <c r="P867" s="39"/>
      <c r="Q867" s="39"/>
      <c r="R867" s="40"/>
      <c r="S867" s="40"/>
      <c r="T867" s="39"/>
      <c r="U867" s="39"/>
      <c r="V867" s="40"/>
      <c r="W867" s="40"/>
      <c r="X867" s="41"/>
      <c r="Y867" s="41"/>
      <c r="Z867" s="40"/>
      <c r="AA867" s="40"/>
      <c r="AB867" s="41"/>
      <c r="AC867" s="41"/>
      <c r="AD867" s="40"/>
      <c r="AE867" s="40"/>
      <c r="AF867" s="42"/>
      <c r="AG867" s="42"/>
      <c r="AH867" s="40"/>
      <c r="AI867" s="40"/>
      <c r="AJ867" s="42"/>
      <c r="AK867" s="42"/>
      <c r="AL867" s="40"/>
      <c r="AM867" s="40"/>
      <c r="AN867" s="40"/>
      <c r="AO867" s="40"/>
      <c r="AP867" s="40"/>
      <c r="AQ867" s="40"/>
      <c r="AR867" s="39"/>
      <c r="AS867" s="39"/>
      <c r="AT867" s="40"/>
      <c r="AU867" s="40"/>
      <c r="AV867" s="23"/>
    </row>
    <row r="868" spans="1:48" ht="15.75" x14ac:dyDescent="0.25">
      <c r="A868" s="44"/>
      <c r="B868" s="23"/>
      <c r="C868" s="23"/>
      <c r="D868" s="39"/>
      <c r="E868" s="39"/>
      <c r="F868" s="40"/>
      <c r="G868" s="40"/>
      <c r="H868" s="41"/>
      <c r="I868" s="39"/>
      <c r="J868" s="40"/>
      <c r="K868" s="40"/>
      <c r="L868" s="41"/>
      <c r="M868" s="39"/>
      <c r="N868" s="40"/>
      <c r="O868" s="40"/>
      <c r="P868" s="39"/>
      <c r="Q868" s="39"/>
      <c r="R868" s="40"/>
      <c r="S868" s="40"/>
      <c r="T868" s="39"/>
      <c r="U868" s="39"/>
      <c r="V868" s="40"/>
      <c r="W868" s="40"/>
      <c r="X868" s="41"/>
      <c r="Y868" s="41"/>
      <c r="Z868" s="40"/>
      <c r="AA868" s="40"/>
      <c r="AB868" s="41"/>
      <c r="AC868" s="41"/>
      <c r="AD868" s="40"/>
      <c r="AE868" s="40"/>
      <c r="AF868" s="42"/>
      <c r="AG868" s="42"/>
      <c r="AH868" s="40"/>
      <c r="AI868" s="40"/>
      <c r="AJ868" s="42"/>
      <c r="AK868" s="42"/>
      <c r="AL868" s="40"/>
      <c r="AM868" s="40"/>
      <c r="AN868" s="40"/>
      <c r="AO868" s="40"/>
      <c r="AP868" s="40"/>
      <c r="AQ868" s="40"/>
      <c r="AR868" s="39"/>
      <c r="AS868" s="39"/>
      <c r="AT868" s="40"/>
      <c r="AU868" s="40"/>
      <c r="AV868" s="23"/>
    </row>
    <row r="869" spans="1:48" ht="15.75" x14ac:dyDescent="0.25">
      <c r="A869" s="44"/>
      <c r="B869" s="23"/>
      <c r="C869" s="23"/>
      <c r="D869" s="39"/>
      <c r="E869" s="39"/>
      <c r="F869" s="40"/>
      <c r="G869" s="40"/>
      <c r="H869" s="41"/>
      <c r="I869" s="39"/>
      <c r="J869" s="40"/>
      <c r="K869" s="40"/>
      <c r="L869" s="41"/>
      <c r="M869" s="39"/>
      <c r="N869" s="40"/>
      <c r="O869" s="40"/>
      <c r="P869" s="39"/>
      <c r="Q869" s="39"/>
      <c r="R869" s="40"/>
      <c r="S869" s="40"/>
      <c r="T869" s="39"/>
      <c r="U869" s="39"/>
      <c r="V869" s="40"/>
      <c r="W869" s="40"/>
      <c r="X869" s="41"/>
      <c r="Y869" s="41"/>
      <c r="Z869" s="40"/>
      <c r="AA869" s="40"/>
      <c r="AB869" s="41"/>
      <c r="AC869" s="41"/>
      <c r="AD869" s="40"/>
      <c r="AE869" s="40"/>
      <c r="AF869" s="42"/>
      <c r="AG869" s="42"/>
      <c r="AH869" s="40"/>
      <c r="AI869" s="40"/>
      <c r="AJ869" s="42"/>
      <c r="AK869" s="42"/>
      <c r="AL869" s="40"/>
      <c r="AM869" s="40"/>
      <c r="AN869" s="40"/>
      <c r="AO869" s="40"/>
      <c r="AP869" s="40"/>
      <c r="AQ869" s="40"/>
      <c r="AR869" s="39"/>
      <c r="AS869" s="39"/>
      <c r="AT869" s="40"/>
      <c r="AU869" s="40"/>
      <c r="AV869" s="23"/>
    </row>
    <row r="870" spans="1:48" ht="15.75" x14ac:dyDescent="0.25">
      <c r="A870" s="44"/>
      <c r="B870" s="23"/>
      <c r="C870" s="23"/>
      <c r="D870" s="39"/>
      <c r="E870" s="39"/>
      <c r="F870" s="40"/>
      <c r="G870" s="40"/>
      <c r="H870" s="41"/>
      <c r="I870" s="39"/>
      <c r="J870" s="40"/>
      <c r="K870" s="40"/>
      <c r="L870" s="41"/>
      <c r="M870" s="39"/>
      <c r="N870" s="40"/>
      <c r="O870" s="40"/>
      <c r="P870" s="39"/>
      <c r="Q870" s="39"/>
      <c r="R870" s="40"/>
      <c r="S870" s="40"/>
      <c r="T870" s="39"/>
      <c r="U870" s="39"/>
      <c r="V870" s="40"/>
      <c r="W870" s="40"/>
      <c r="X870" s="41"/>
      <c r="Y870" s="41"/>
      <c r="Z870" s="40"/>
      <c r="AA870" s="40"/>
      <c r="AB870" s="41"/>
      <c r="AC870" s="41"/>
      <c r="AD870" s="40"/>
      <c r="AE870" s="40"/>
      <c r="AF870" s="42"/>
      <c r="AG870" s="42"/>
      <c r="AH870" s="40"/>
      <c r="AI870" s="40"/>
      <c r="AJ870" s="42"/>
      <c r="AK870" s="42"/>
      <c r="AL870" s="40"/>
      <c r="AM870" s="40"/>
      <c r="AN870" s="40"/>
      <c r="AO870" s="40"/>
      <c r="AP870" s="40"/>
      <c r="AQ870" s="40"/>
      <c r="AR870" s="39"/>
      <c r="AS870" s="39"/>
      <c r="AT870" s="40"/>
      <c r="AU870" s="40"/>
      <c r="AV870" s="23"/>
    </row>
    <row r="871" spans="1:48" ht="15.75" x14ac:dyDescent="0.25">
      <c r="A871" s="44"/>
      <c r="B871" s="23"/>
      <c r="C871" s="23"/>
      <c r="D871" s="39"/>
      <c r="E871" s="39"/>
      <c r="F871" s="40"/>
      <c r="G871" s="40"/>
      <c r="H871" s="41"/>
      <c r="I871" s="39"/>
      <c r="J871" s="40"/>
      <c r="K871" s="40"/>
      <c r="L871" s="41"/>
      <c r="M871" s="39"/>
      <c r="N871" s="40"/>
      <c r="O871" s="40"/>
      <c r="P871" s="39"/>
      <c r="Q871" s="39"/>
      <c r="R871" s="40"/>
      <c r="S871" s="40"/>
      <c r="T871" s="39"/>
      <c r="U871" s="39"/>
      <c r="V871" s="40"/>
      <c r="W871" s="40"/>
      <c r="X871" s="41"/>
      <c r="Y871" s="41"/>
      <c r="Z871" s="40"/>
      <c r="AA871" s="40"/>
      <c r="AB871" s="41"/>
      <c r="AC871" s="41"/>
      <c r="AD871" s="40"/>
      <c r="AE871" s="40"/>
      <c r="AF871" s="42"/>
      <c r="AG871" s="42"/>
      <c r="AH871" s="40"/>
      <c r="AI871" s="40"/>
      <c r="AJ871" s="42"/>
      <c r="AK871" s="42"/>
      <c r="AL871" s="40"/>
      <c r="AM871" s="40"/>
      <c r="AN871" s="40"/>
      <c r="AO871" s="40"/>
      <c r="AP871" s="40"/>
      <c r="AQ871" s="40"/>
      <c r="AR871" s="39"/>
      <c r="AS871" s="39"/>
      <c r="AT871" s="40"/>
      <c r="AU871" s="40"/>
      <c r="AV871" s="23"/>
    </row>
    <row r="872" spans="1:48" ht="15.75" x14ac:dyDescent="0.25">
      <c r="A872" s="44"/>
      <c r="B872" s="23"/>
      <c r="C872" s="23"/>
      <c r="D872" s="39"/>
      <c r="E872" s="39"/>
      <c r="F872" s="40"/>
      <c r="G872" s="40"/>
      <c r="H872" s="41"/>
      <c r="I872" s="39"/>
      <c r="J872" s="40"/>
      <c r="K872" s="40"/>
      <c r="L872" s="41"/>
      <c r="M872" s="39"/>
      <c r="N872" s="40"/>
      <c r="O872" s="40"/>
      <c r="P872" s="39"/>
      <c r="Q872" s="39"/>
      <c r="R872" s="40"/>
      <c r="S872" s="40"/>
      <c r="T872" s="39"/>
      <c r="U872" s="39"/>
      <c r="V872" s="40"/>
      <c r="W872" s="40"/>
      <c r="X872" s="41"/>
      <c r="Y872" s="41"/>
      <c r="Z872" s="40"/>
      <c r="AA872" s="40"/>
      <c r="AB872" s="41"/>
      <c r="AC872" s="41"/>
      <c r="AD872" s="40"/>
      <c r="AE872" s="40"/>
      <c r="AF872" s="42"/>
      <c r="AG872" s="42"/>
      <c r="AH872" s="40"/>
      <c r="AI872" s="40"/>
      <c r="AJ872" s="42"/>
      <c r="AK872" s="42"/>
      <c r="AL872" s="40"/>
      <c r="AM872" s="40"/>
      <c r="AN872" s="40"/>
      <c r="AO872" s="40"/>
      <c r="AP872" s="40"/>
      <c r="AQ872" s="40"/>
      <c r="AR872" s="39"/>
      <c r="AS872" s="39"/>
      <c r="AT872" s="40"/>
      <c r="AU872" s="40"/>
      <c r="AV872" s="23"/>
    </row>
    <row r="873" spans="1:48" ht="15.75" x14ac:dyDescent="0.25">
      <c r="A873" s="44"/>
      <c r="B873" s="23"/>
      <c r="C873" s="23"/>
      <c r="D873" s="39"/>
      <c r="E873" s="39"/>
      <c r="F873" s="40"/>
      <c r="G873" s="40"/>
      <c r="H873" s="41"/>
      <c r="I873" s="39"/>
      <c r="J873" s="40"/>
      <c r="K873" s="40"/>
      <c r="L873" s="41"/>
      <c r="M873" s="39"/>
      <c r="N873" s="40"/>
      <c r="O873" s="40"/>
      <c r="P873" s="39"/>
      <c r="Q873" s="39"/>
      <c r="R873" s="40"/>
      <c r="S873" s="40"/>
      <c r="T873" s="39"/>
      <c r="U873" s="39"/>
      <c r="V873" s="40"/>
      <c r="W873" s="40"/>
      <c r="X873" s="41"/>
      <c r="Y873" s="41"/>
      <c r="Z873" s="40"/>
      <c r="AA873" s="40"/>
      <c r="AB873" s="41"/>
      <c r="AC873" s="41"/>
      <c r="AD873" s="40"/>
      <c r="AE873" s="40"/>
      <c r="AF873" s="42"/>
      <c r="AG873" s="42"/>
      <c r="AH873" s="40"/>
      <c r="AI873" s="40"/>
      <c r="AJ873" s="42"/>
      <c r="AK873" s="42"/>
      <c r="AL873" s="40"/>
      <c r="AM873" s="40"/>
      <c r="AN873" s="40"/>
      <c r="AO873" s="40"/>
      <c r="AP873" s="40"/>
      <c r="AQ873" s="40"/>
      <c r="AR873" s="39"/>
      <c r="AS873" s="39"/>
      <c r="AT873" s="40"/>
      <c r="AU873" s="40"/>
      <c r="AV873" s="23"/>
    </row>
    <row r="874" spans="1:48" ht="15.75" x14ac:dyDescent="0.25">
      <c r="A874" s="44"/>
      <c r="B874" s="23"/>
      <c r="C874" s="23"/>
      <c r="D874" s="39"/>
      <c r="E874" s="39"/>
      <c r="F874" s="40"/>
      <c r="G874" s="40"/>
      <c r="H874" s="41"/>
      <c r="I874" s="39"/>
      <c r="J874" s="40"/>
      <c r="K874" s="40"/>
      <c r="L874" s="41"/>
      <c r="M874" s="39"/>
      <c r="N874" s="40"/>
      <c r="O874" s="40"/>
      <c r="P874" s="39"/>
      <c r="Q874" s="39"/>
      <c r="R874" s="40"/>
      <c r="S874" s="40"/>
      <c r="T874" s="39"/>
      <c r="U874" s="39"/>
      <c r="V874" s="40"/>
      <c r="W874" s="40"/>
      <c r="X874" s="41"/>
      <c r="Y874" s="41"/>
      <c r="Z874" s="40"/>
      <c r="AA874" s="40"/>
      <c r="AB874" s="41"/>
      <c r="AC874" s="41"/>
      <c r="AD874" s="40"/>
      <c r="AE874" s="40"/>
      <c r="AF874" s="42"/>
      <c r="AG874" s="42"/>
      <c r="AH874" s="40"/>
      <c r="AI874" s="40"/>
      <c r="AJ874" s="42"/>
      <c r="AK874" s="42"/>
      <c r="AL874" s="40"/>
      <c r="AM874" s="40"/>
      <c r="AN874" s="40"/>
      <c r="AO874" s="40"/>
      <c r="AP874" s="40"/>
      <c r="AQ874" s="40"/>
      <c r="AR874" s="39"/>
      <c r="AS874" s="39"/>
      <c r="AT874" s="40"/>
      <c r="AU874" s="40"/>
      <c r="AV874" s="23"/>
    </row>
    <row r="875" spans="1:48" ht="15.75" x14ac:dyDescent="0.25">
      <c r="A875" s="44"/>
      <c r="B875" s="23"/>
      <c r="C875" s="23"/>
      <c r="D875" s="39"/>
      <c r="E875" s="39"/>
      <c r="F875" s="40"/>
      <c r="G875" s="40"/>
      <c r="H875" s="41"/>
      <c r="I875" s="39"/>
      <c r="J875" s="40"/>
      <c r="K875" s="40"/>
      <c r="L875" s="41"/>
      <c r="M875" s="39"/>
      <c r="N875" s="40"/>
      <c r="O875" s="40"/>
      <c r="P875" s="39"/>
      <c r="Q875" s="39"/>
      <c r="R875" s="40"/>
      <c r="S875" s="40"/>
      <c r="T875" s="39"/>
      <c r="U875" s="39"/>
      <c r="V875" s="40"/>
      <c r="W875" s="40"/>
      <c r="X875" s="41"/>
      <c r="Y875" s="41"/>
      <c r="Z875" s="40"/>
      <c r="AA875" s="40"/>
      <c r="AB875" s="41"/>
      <c r="AC875" s="41"/>
      <c r="AD875" s="40"/>
      <c r="AE875" s="40"/>
      <c r="AF875" s="42"/>
      <c r="AG875" s="42"/>
      <c r="AH875" s="40"/>
      <c r="AI875" s="40"/>
      <c r="AJ875" s="42"/>
      <c r="AK875" s="42"/>
      <c r="AL875" s="40"/>
      <c r="AM875" s="40"/>
      <c r="AN875" s="40"/>
      <c r="AO875" s="40"/>
      <c r="AP875" s="40"/>
      <c r="AQ875" s="40"/>
      <c r="AR875" s="39"/>
      <c r="AS875" s="39"/>
      <c r="AT875" s="40"/>
      <c r="AU875" s="40"/>
      <c r="AV875" s="23"/>
    </row>
    <row r="876" spans="1:48" ht="15.75" x14ac:dyDescent="0.25">
      <c r="A876" s="44"/>
      <c r="B876" s="23"/>
      <c r="C876" s="23"/>
      <c r="D876" s="39"/>
      <c r="E876" s="39"/>
      <c r="F876" s="40"/>
      <c r="G876" s="40"/>
      <c r="H876" s="41"/>
      <c r="I876" s="39"/>
      <c r="J876" s="40"/>
      <c r="K876" s="40"/>
      <c r="L876" s="41"/>
      <c r="M876" s="39"/>
      <c r="N876" s="40"/>
      <c r="O876" s="40"/>
      <c r="P876" s="39"/>
      <c r="Q876" s="39"/>
      <c r="R876" s="40"/>
      <c r="S876" s="40"/>
      <c r="T876" s="39"/>
      <c r="U876" s="39"/>
      <c r="V876" s="40"/>
      <c r="W876" s="40"/>
      <c r="X876" s="41"/>
      <c r="Y876" s="41"/>
      <c r="Z876" s="40"/>
      <c r="AA876" s="40"/>
      <c r="AB876" s="41"/>
      <c r="AC876" s="41"/>
      <c r="AD876" s="40"/>
      <c r="AE876" s="40"/>
      <c r="AF876" s="42"/>
      <c r="AG876" s="42"/>
      <c r="AH876" s="40"/>
      <c r="AI876" s="40"/>
      <c r="AJ876" s="42"/>
      <c r="AK876" s="42"/>
      <c r="AL876" s="40"/>
      <c r="AM876" s="40"/>
      <c r="AN876" s="40"/>
      <c r="AO876" s="40"/>
      <c r="AP876" s="40"/>
      <c r="AQ876" s="40"/>
      <c r="AR876" s="39"/>
      <c r="AS876" s="39"/>
      <c r="AT876" s="40"/>
      <c r="AU876" s="40"/>
      <c r="AV876" s="23"/>
    </row>
    <row r="877" spans="1:48" ht="15.75" x14ac:dyDescent="0.25">
      <c r="A877" s="44"/>
      <c r="B877" s="23"/>
      <c r="C877" s="23"/>
      <c r="D877" s="39"/>
      <c r="E877" s="39"/>
      <c r="F877" s="40"/>
      <c r="G877" s="40"/>
      <c r="H877" s="41"/>
      <c r="I877" s="39"/>
      <c r="J877" s="40"/>
      <c r="K877" s="40"/>
      <c r="L877" s="41"/>
      <c r="M877" s="39"/>
      <c r="N877" s="40"/>
      <c r="O877" s="40"/>
      <c r="P877" s="39"/>
      <c r="Q877" s="39"/>
      <c r="R877" s="40"/>
      <c r="S877" s="40"/>
      <c r="T877" s="39"/>
      <c r="U877" s="39"/>
      <c r="V877" s="40"/>
      <c r="W877" s="40"/>
      <c r="X877" s="41"/>
      <c r="Y877" s="41"/>
      <c r="Z877" s="40"/>
      <c r="AA877" s="40"/>
      <c r="AB877" s="41"/>
      <c r="AC877" s="41"/>
      <c r="AD877" s="40"/>
      <c r="AE877" s="40"/>
      <c r="AF877" s="42"/>
      <c r="AG877" s="42"/>
      <c r="AH877" s="40"/>
      <c r="AI877" s="40"/>
      <c r="AJ877" s="42"/>
      <c r="AK877" s="42"/>
      <c r="AL877" s="40"/>
      <c r="AM877" s="40"/>
      <c r="AN877" s="40"/>
      <c r="AO877" s="40"/>
      <c r="AP877" s="40"/>
      <c r="AQ877" s="40"/>
      <c r="AR877" s="39"/>
      <c r="AS877" s="39"/>
      <c r="AT877" s="40"/>
      <c r="AU877" s="40"/>
      <c r="AV877" s="23"/>
    </row>
    <row r="878" spans="1:48" ht="15.75" x14ac:dyDescent="0.25">
      <c r="A878" s="44"/>
      <c r="B878" s="23"/>
      <c r="C878" s="23"/>
      <c r="D878" s="39"/>
      <c r="E878" s="39"/>
      <c r="F878" s="40"/>
      <c r="G878" s="40"/>
      <c r="H878" s="41"/>
      <c r="I878" s="39"/>
      <c r="J878" s="40"/>
      <c r="K878" s="40"/>
      <c r="L878" s="41"/>
      <c r="M878" s="39"/>
      <c r="N878" s="40"/>
      <c r="O878" s="40"/>
      <c r="P878" s="39"/>
      <c r="Q878" s="39"/>
      <c r="R878" s="40"/>
      <c r="S878" s="40"/>
      <c r="T878" s="39"/>
      <c r="U878" s="39"/>
      <c r="V878" s="40"/>
      <c r="W878" s="40"/>
      <c r="X878" s="41"/>
      <c r="Y878" s="41"/>
      <c r="Z878" s="40"/>
      <c r="AA878" s="40"/>
      <c r="AB878" s="41"/>
      <c r="AC878" s="41"/>
      <c r="AD878" s="40"/>
      <c r="AE878" s="40"/>
      <c r="AF878" s="42"/>
      <c r="AG878" s="42"/>
      <c r="AH878" s="40"/>
      <c r="AI878" s="40"/>
      <c r="AJ878" s="42"/>
      <c r="AK878" s="42"/>
      <c r="AL878" s="40"/>
      <c r="AM878" s="40"/>
      <c r="AN878" s="40"/>
      <c r="AO878" s="40"/>
      <c r="AP878" s="40"/>
      <c r="AQ878" s="40"/>
      <c r="AR878" s="39"/>
      <c r="AS878" s="39"/>
      <c r="AT878" s="40"/>
      <c r="AU878" s="40"/>
      <c r="AV878" s="23"/>
    </row>
    <row r="879" spans="1:48" ht="15.75" x14ac:dyDescent="0.25">
      <c r="A879" s="44"/>
      <c r="B879" s="23"/>
      <c r="C879" s="23"/>
      <c r="D879" s="39"/>
      <c r="E879" s="39"/>
      <c r="F879" s="40"/>
      <c r="G879" s="40"/>
      <c r="H879" s="41"/>
      <c r="I879" s="39"/>
      <c r="J879" s="40"/>
      <c r="K879" s="40"/>
      <c r="L879" s="41"/>
      <c r="M879" s="39"/>
      <c r="N879" s="40"/>
      <c r="O879" s="40"/>
      <c r="P879" s="39"/>
      <c r="Q879" s="39"/>
      <c r="R879" s="40"/>
      <c r="S879" s="40"/>
      <c r="T879" s="39"/>
      <c r="U879" s="39"/>
      <c r="V879" s="40"/>
      <c r="W879" s="40"/>
      <c r="X879" s="41"/>
      <c r="Y879" s="41"/>
      <c r="Z879" s="40"/>
      <c r="AA879" s="40"/>
      <c r="AB879" s="41"/>
      <c r="AC879" s="41"/>
      <c r="AD879" s="40"/>
      <c r="AE879" s="40"/>
      <c r="AF879" s="42"/>
      <c r="AG879" s="42"/>
      <c r="AH879" s="40"/>
      <c r="AI879" s="40"/>
      <c r="AJ879" s="42"/>
      <c r="AK879" s="42"/>
      <c r="AL879" s="40"/>
      <c r="AM879" s="40"/>
      <c r="AN879" s="40"/>
      <c r="AO879" s="40"/>
      <c r="AP879" s="40"/>
      <c r="AQ879" s="40"/>
      <c r="AR879" s="39"/>
      <c r="AS879" s="39"/>
      <c r="AT879" s="40"/>
      <c r="AU879" s="40"/>
      <c r="AV879" s="23"/>
    </row>
    <row r="880" spans="1:48" ht="15.75" x14ac:dyDescent="0.25">
      <c r="A880" s="44"/>
      <c r="B880" s="23"/>
      <c r="C880" s="23"/>
      <c r="D880" s="39"/>
      <c r="E880" s="39"/>
      <c r="F880" s="40"/>
      <c r="G880" s="40"/>
      <c r="H880" s="41"/>
      <c r="I880" s="39"/>
      <c r="J880" s="40"/>
      <c r="K880" s="40"/>
      <c r="L880" s="41"/>
      <c r="M880" s="39"/>
      <c r="N880" s="40"/>
      <c r="O880" s="40"/>
      <c r="P880" s="39"/>
      <c r="Q880" s="39"/>
      <c r="R880" s="40"/>
      <c r="S880" s="40"/>
      <c r="T880" s="39"/>
      <c r="U880" s="39"/>
      <c r="V880" s="40"/>
      <c r="W880" s="40"/>
      <c r="X880" s="41"/>
      <c r="Y880" s="41"/>
      <c r="Z880" s="40"/>
      <c r="AA880" s="40"/>
      <c r="AB880" s="41"/>
      <c r="AC880" s="41"/>
      <c r="AD880" s="40"/>
      <c r="AE880" s="40"/>
      <c r="AF880" s="42"/>
      <c r="AG880" s="42"/>
      <c r="AH880" s="40"/>
      <c r="AI880" s="40"/>
      <c r="AJ880" s="42"/>
      <c r="AK880" s="42"/>
      <c r="AL880" s="40"/>
      <c r="AM880" s="40"/>
      <c r="AN880" s="40"/>
      <c r="AO880" s="40"/>
      <c r="AP880" s="40"/>
      <c r="AQ880" s="40"/>
      <c r="AR880" s="39"/>
      <c r="AS880" s="39"/>
      <c r="AT880" s="40"/>
      <c r="AU880" s="40"/>
      <c r="AV880" s="23"/>
    </row>
    <row r="881" spans="1:48" ht="15.75" x14ac:dyDescent="0.25">
      <c r="A881" s="44"/>
      <c r="B881" s="23"/>
      <c r="C881" s="23"/>
      <c r="D881" s="39"/>
      <c r="E881" s="39"/>
      <c r="F881" s="40"/>
      <c r="G881" s="40"/>
      <c r="H881" s="41"/>
      <c r="I881" s="39"/>
      <c r="J881" s="40"/>
      <c r="K881" s="40"/>
      <c r="L881" s="41"/>
      <c r="M881" s="39"/>
      <c r="N881" s="40"/>
      <c r="O881" s="40"/>
      <c r="P881" s="39"/>
      <c r="Q881" s="39"/>
      <c r="R881" s="40"/>
      <c r="S881" s="40"/>
      <c r="T881" s="39"/>
      <c r="U881" s="39"/>
      <c r="V881" s="40"/>
      <c r="W881" s="40"/>
      <c r="X881" s="41"/>
      <c r="Y881" s="41"/>
      <c r="Z881" s="40"/>
      <c r="AA881" s="40"/>
      <c r="AB881" s="41"/>
      <c r="AC881" s="41"/>
      <c r="AD881" s="40"/>
      <c r="AE881" s="40"/>
      <c r="AF881" s="42"/>
      <c r="AG881" s="42"/>
      <c r="AH881" s="40"/>
      <c r="AI881" s="40"/>
      <c r="AJ881" s="42"/>
      <c r="AK881" s="42"/>
      <c r="AL881" s="40"/>
      <c r="AM881" s="40"/>
      <c r="AN881" s="40"/>
      <c r="AO881" s="40"/>
      <c r="AP881" s="40"/>
      <c r="AQ881" s="40"/>
      <c r="AR881" s="39"/>
      <c r="AS881" s="39"/>
      <c r="AT881" s="40"/>
      <c r="AU881" s="40"/>
      <c r="AV881" s="23"/>
    </row>
    <row r="882" spans="1:48" ht="15.75" x14ac:dyDescent="0.25">
      <c r="A882" s="44"/>
      <c r="B882" s="23"/>
      <c r="C882" s="23"/>
      <c r="D882" s="39"/>
      <c r="E882" s="39"/>
      <c r="F882" s="40"/>
      <c r="G882" s="40"/>
      <c r="H882" s="41"/>
      <c r="I882" s="39"/>
      <c r="J882" s="40"/>
      <c r="K882" s="40"/>
      <c r="L882" s="41"/>
      <c r="M882" s="39"/>
      <c r="N882" s="40"/>
      <c r="O882" s="40"/>
      <c r="P882" s="39"/>
      <c r="Q882" s="39"/>
      <c r="R882" s="40"/>
      <c r="S882" s="40"/>
      <c r="T882" s="39"/>
      <c r="U882" s="39"/>
      <c r="V882" s="40"/>
      <c r="W882" s="40"/>
      <c r="X882" s="41"/>
      <c r="Y882" s="41"/>
      <c r="Z882" s="40"/>
      <c r="AA882" s="40"/>
      <c r="AB882" s="41"/>
      <c r="AC882" s="41"/>
      <c r="AD882" s="40"/>
      <c r="AE882" s="40"/>
      <c r="AF882" s="42"/>
      <c r="AG882" s="42"/>
      <c r="AH882" s="40"/>
      <c r="AI882" s="40"/>
      <c r="AJ882" s="42"/>
      <c r="AK882" s="42"/>
      <c r="AL882" s="40"/>
      <c r="AM882" s="40"/>
      <c r="AN882" s="40"/>
      <c r="AO882" s="40"/>
      <c r="AP882" s="40"/>
      <c r="AQ882" s="40"/>
      <c r="AR882" s="39"/>
      <c r="AS882" s="39"/>
      <c r="AT882" s="40"/>
      <c r="AU882" s="40"/>
      <c r="AV882" s="23"/>
    </row>
    <row r="883" spans="1:48" ht="15.75" x14ac:dyDescent="0.25">
      <c r="A883" s="44"/>
      <c r="B883" s="23"/>
      <c r="C883" s="23"/>
      <c r="D883" s="39"/>
      <c r="E883" s="39"/>
      <c r="F883" s="40"/>
      <c r="G883" s="40"/>
      <c r="H883" s="41"/>
      <c r="I883" s="39"/>
      <c r="J883" s="40"/>
      <c r="K883" s="40"/>
      <c r="L883" s="41"/>
      <c r="M883" s="39"/>
      <c r="N883" s="40"/>
      <c r="O883" s="40"/>
      <c r="P883" s="39"/>
      <c r="Q883" s="39"/>
      <c r="R883" s="40"/>
      <c r="S883" s="40"/>
      <c r="T883" s="39"/>
      <c r="U883" s="39"/>
      <c r="V883" s="40"/>
      <c r="W883" s="40"/>
      <c r="X883" s="41"/>
      <c r="Y883" s="41"/>
      <c r="Z883" s="40"/>
      <c r="AA883" s="40"/>
      <c r="AB883" s="41"/>
      <c r="AC883" s="41"/>
      <c r="AD883" s="40"/>
      <c r="AE883" s="40"/>
      <c r="AF883" s="42"/>
      <c r="AG883" s="42"/>
      <c r="AH883" s="40"/>
      <c r="AI883" s="40"/>
      <c r="AJ883" s="42"/>
      <c r="AK883" s="42"/>
      <c r="AL883" s="40"/>
      <c r="AM883" s="40"/>
      <c r="AN883" s="40"/>
      <c r="AO883" s="40"/>
      <c r="AP883" s="40"/>
      <c r="AQ883" s="40"/>
      <c r="AR883" s="39"/>
      <c r="AS883" s="39"/>
      <c r="AT883" s="40"/>
      <c r="AU883" s="40"/>
      <c r="AV883" s="23"/>
    </row>
    <row r="884" spans="1:48" ht="15.75" x14ac:dyDescent="0.25">
      <c r="A884" s="44"/>
      <c r="B884" s="23"/>
      <c r="C884" s="23"/>
      <c r="D884" s="39"/>
      <c r="E884" s="39"/>
      <c r="F884" s="40"/>
      <c r="G884" s="40"/>
      <c r="H884" s="41"/>
      <c r="I884" s="39"/>
      <c r="J884" s="40"/>
      <c r="K884" s="40"/>
      <c r="L884" s="41"/>
      <c r="M884" s="39"/>
      <c r="N884" s="40"/>
      <c r="O884" s="40"/>
      <c r="P884" s="39"/>
      <c r="Q884" s="39"/>
      <c r="R884" s="40"/>
      <c r="S884" s="40"/>
      <c r="T884" s="39"/>
      <c r="U884" s="39"/>
      <c r="V884" s="40"/>
      <c r="W884" s="40"/>
      <c r="X884" s="41"/>
      <c r="Y884" s="41"/>
      <c r="Z884" s="40"/>
      <c r="AA884" s="40"/>
      <c r="AB884" s="41"/>
      <c r="AC884" s="41"/>
      <c r="AD884" s="40"/>
      <c r="AE884" s="40"/>
      <c r="AF884" s="42"/>
      <c r="AG884" s="42"/>
      <c r="AH884" s="40"/>
      <c r="AI884" s="40"/>
      <c r="AJ884" s="42"/>
      <c r="AK884" s="42"/>
      <c r="AL884" s="40"/>
      <c r="AM884" s="40"/>
      <c r="AN884" s="40"/>
      <c r="AO884" s="40"/>
      <c r="AP884" s="40"/>
      <c r="AQ884" s="40"/>
      <c r="AR884" s="39"/>
      <c r="AS884" s="39"/>
      <c r="AT884" s="40"/>
      <c r="AU884" s="40"/>
      <c r="AV884" s="23"/>
    </row>
    <row r="885" spans="1:48" ht="15.75" x14ac:dyDescent="0.25">
      <c r="A885" s="44"/>
      <c r="B885" s="23"/>
      <c r="C885" s="23"/>
      <c r="D885" s="39"/>
      <c r="E885" s="39"/>
      <c r="F885" s="40"/>
      <c r="G885" s="40"/>
      <c r="H885" s="41"/>
      <c r="I885" s="39"/>
      <c r="J885" s="40"/>
      <c r="K885" s="40"/>
      <c r="L885" s="41"/>
      <c r="M885" s="39"/>
      <c r="N885" s="40"/>
      <c r="O885" s="40"/>
      <c r="P885" s="39"/>
      <c r="Q885" s="39"/>
      <c r="R885" s="40"/>
      <c r="S885" s="40"/>
      <c r="T885" s="39"/>
      <c r="U885" s="39"/>
      <c r="V885" s="40"/>
      <c r="W885" s="40"/>
      <c r="X885" s="41"/>
      <c r="Y885" s="41"/>
      <c r="Z885" s="40"/>
      <c r="AA885" s="40"/>
      <c r="AB885" s="41"/>
      <c r="AC885" s="41"/>
      <c r="AD885" s="40"/>
      <c r="AE885" s="40"/>
      <c r="AF885" s="42"/>
      <c r="AG885" s="42"/>
      <c r="AH885" s="40"/>
      <c r="AI885" s="40"/>
      <c r="AJ885" s="42"/>
      <c r="AK885" s="42"/>
      <c r="AL885" s="40"/>
      <c r="AM885" s="40"/>
      <c r="AN885" s="40"/>
      <c r="AO885" s="40"/>
      <c r="AP885" s="40"/>
      <c r="AQ885" s="40"/>
      <c r="AR885" s="39"/>
      <c r="AS885" s="39"/>
      <c r="AT885" s="40"/>
      <c r="AU885" s="40"/>
      <c r="AV885" s="23"/>
    </row>
    <row r="886" spans="1:48" ht="15.75" x14ac:dyDescent="0.25">
      <c r="A886" s="44"/>
      <c r="B886" s="23"/>
      <c r="C886" s="23"/>
      <c r="D886" s="39"/>
      <c r="E886" s="39"/>
      <c r="F886" s="40"/>
      <c r="G886" s="40"/>
      <c r="H886" s="41"/>
      <c r="I886" s="39"/>
      <c r="J886" s="40"/>
      <c r="K886" s="40"/>
      <c r="L886" s="41"/>
      <c r="M886" s="39"/>
      <c r="N886" s="40"/>
      <c r="O886" s="40"/>
      <c r="P886" s="39"/>
      <c r="Q886" s="39"/>
      <c r="R886" s="40"/>
      <c r="S886" s="40"/>
      <c r="T886" s="39"/>
      <c r="U886" s="39"/>
      <c r="V886" s="40"/>
      <c r="W886" s="40"/>
      <c r="X886" s="41"/>
      <c r="Y886" s="41"/>
      <c r="Z886" s="40"/>
      <c r="AA886" s="40"/>
      <c r="AB886" s="41"/>
      <c r="AC886" s="41"/>
      <c r="AD886" s="40"/>
      <c r="AE886" s="40"/>
      <c r="AF886" s="42"/>
      <c r="AG886" s="42"/>
      <c r="AH886" s="40"/>
      <c r="AI886" s="40"/>
      <c r="AJ886" s="42"/>
      <c r="AK886" s="42"/>
      <c r="AL886" s="40"/>
      <c r="AM886" s="40"/>
      <c r="AN886" s="40"/>
      <c r="AO886" s="40"/>
      <c r="AP886" s="40"/>
      <c r="AQ886" s="40"/>
      <c r="AR886" s="39"/>
      <c r="AS886" s="39"/>
      <c r="AT886" s="40"/>
      <c r="AU886" s="40"/>
      <c r="AV886" s="23"/>
    </row>
    <row r="887" spans="1:48" ht="15.75" x14ac:dyDescent="0.25">
      <c r="A887" s="44"/>
      <c r="B887" s="23"/>
      <c r="C887" s="23"/>
      <c r="D887" s="39"/>
      <c r="E887" s="39"/>
      <c r="F887" s="40"/>
      <c r="G887" s="40"/>
      <c r="H887" s="41"/>
      <c r="I887" s="39"/>
      <c r="J887" s="40"/>
      <c r="K887" s="40"/>
      <c r="L887" s="41"/>
      <c r="M887" s="39"/>
      <c r="N887" s="40"/>
      <c r="O887" s="40"/>
      <c r="P887" s="39"/>
      <c r="Q887" s="39"/>
      <c r="R887" s="40"/>
      <c r="S887" s="40"/>
      <c r="T887" s="39"/>
      <c r="U887" s="39"/>
      <c r="V887" s="40"/>
      <c r="W887" s="40"/>
      <c r="X887" s="41"/>
      <c r="Y887" s="41"/>
      <c r="Z887" s="40"/>
      <c r="AA887" s="40"/>
      <c r="AB887" s="41"/>
      <c r="AC887" s="41"/>
      <c r="AD887" s="40"/>
      <c r="AE887" s="40"/>
      <c r="AF887" s="42"/>
      <c r="AG887" s="42"/>
      <c r="AH887" s="40"/>
      <c r="AI887" s="40"/>
      <c r="AJ887" s="42"/>
      <c r="AK887" s="42"/>
      <c r="AL887" s="40"/>
      <c r="AM887" s="40"/>
      <c r="AN887" s="40"/>
      <c r="AO887" s="40"/>
      <c r="AP887" s="40"/>
      <c r="AQ887" s="40"/>
      <c r="AR887" s="39"/>
      <c r="AS887" s="39"/>
      <c r="AT887" s="40"/>
      <c r="AU887" s="40"/>
      <c r="AV887" s="23"/>
    </row>
    <row r="888" spans="1:48" ht="15.75" x14ac:dyDescent="0.25">
      <c r="A888" s="44"/>
      <c r="B888" s="23"/>
      <c r="C888" s="23"/>
      <c r="D888" s="39"/>
      <c r="E888" s="39"/>
      <c r="F888" s="40"/>
      <c r="G888" s="40"/>
      <c r="H888" s="41"/>
      <c r="I888" s="39"/>
      <c r="J888" s="40"/>
      <c r="K888" s="40"/>
      <c r="L888" s="41"/>
      <c r="M888" s="39"/>
      <c r="N888" s="40"/>
      <c r="O888" s="40"/>
      <c r="P888" s="39"/>
      <c r="Q888" s="39"/>
      <c r="R888" s="40"/>
      <c r="S888" s="40"/>
      <c r="T888" s="39"/>
      <c r="U888" s="39"/>
      <c r="V888" s="40"/>
      <c r="W888" s="40"/>
      <c r="X888" s="41"/>
      <c r="Y888" s="41"/>
      <c r="Z888" s="40"/>
      <c r="AA888" s="40"/>
      <c r="AB888" s="41"/>
      <c r="AC888" s="41"/>
      <c r="AD888" s="40"/>
      <c r="AE888" s="40"/>
      <c r="AF888" s="42"/>
      <c r="AG888" s="42"/>
      <c r="AH888" s="40"/>
      <c r="AI888" s="40"/>
      <c r="AJ888" s="42"/>
      <c r="AK888" s="42"/>
      <c r="AL888" s="40"/>
      <c r="AM888" s="40"/>
      <c r="AN888" s="40"/>
      <c r="AO888" s="40"/>
      <c r="AP888" s="40"/>
      <c r="AQ888" s="40"/>
      <c r="AR888" s="39"/>
      <c r="AS888" s="39"/>
      <c r="AT888" s="40"/>
      <c r="AU888" s="40"/>
      <c r="AV888" s="23"/>
    </row>
    <row r="889" spans="1:48" ht="15.75" x14ac:dyDescent="0.25">
      <c r="A889" s="44"/>
      <c r="B889" s="23"/>
      <c r="C889" s="23"/>
      <c r="D889" s="39"/>
      <c r="E889" s="39"/>
      <c r="F889" s="40"/>
      <c r="G889" s="40"/>
      <c r="H889" s="41"/>
      <c r="I889" s="39"/>
      <c r="J889" s="40"/>
      <c r="K889" s="40"/>
      <c r="L889" s="41"/>
      <c r="M889" s="39"/>
      <c r="N889" s="40"/>
      <c r="O889" s="40"/>
      <c r="P889" s="39"/>
      <c r="Q889" s="39"/>
      <c r="R889" s="40"/>
      <c r="S889" s="40"/>
      <c r="T889" s="39"/>
      <c r="U889" s="39"/>
      <c r="V889" s="40"/>
      <c r="W889" s="40"/>
      <c r="X889" s="41"/>
      <c r="Y889" s="41"/>
      <c r="Z889" s="40"/>
      <c r="AA889" s="40"/>
      <c r="AB889" s="41"/>
      <c r="AC889" s="41"/>
      <c r="AD889" s="40"/>
      <c r="AE889" s="40"/>
      <c r="AF889" s="42"/>
      <c r="AG889" s="42"/>
      <c r="AH889" s="40"/>
      <c r="AI889" s="40"/>
      <c r="AJ889" s="42"/>
      <c r="AK889" s="42"/>
      <c r="AL889" s="40"/>
      <c r="AM889" s="40"/>
      <c r="AN889" s="40"/>
      <c r="AO889" s="40"/>
      <c r="AP889" s="40"/>
      <c r="AQ889" s="40"/>
      <c r="AR889" s="39"/>
      <c r="AS889" s="39"/>
      <c r="AT889" s="40"/>
      <c r="AU889" s="40"/>
      <c r="AV889" s="23"/>
    </row>
    <row r="890" spans="1:48" ht="15.75" x14ac:dyDescent="0.25">
      <c r="A890" s="44"/>
      <c r="B890" s="23"/>
      <c r="C890" s="23"/>
      <c r="D890" s="39"/>
      <c r="E890" s="39"/>
      <c r="F890" s="40"/>
      <c r="G890" s="40"/>
      <c r="H890" s="41"/>
      <c r="I890" s="39"/>
      <c r="J890" s="40"/>
      <c r="K890" s="40"/>
      <c r="L890" s="41"/>
      <c r="M890" s="39"/>
      <c r="N890" s="40"/>
      <c r="O890" s="40"/>
      <c r="P890" s="39"/>
      <c r="Q890" s="39"/>
      <c r="R890" s="40"/>
      <c r="S890" s="40"/>
      <c r="T890" s="39"/>
      <c r="U890" s="39"/>
      <c r="V890" s="40"/>
      <c r="W890" s="40"/>
      <c r="X890" s="41"/>
      <c r="Y890" s="41"/>
      <c r="Z890" s="40"/>
      <c r="AA890" s="40"/>
      <c r="AB890" s="41"/>
      <c r="AC890" s="41"/>
      <c r="AD890" s="40"/>
      <c r="AE890" s="40"/>
      <c r="AF890" s="42"/>
      <c r="AG890" s="42"/>
      <c r="AH890" s="40"/>
      <c r="AI890" s="40"/>
      <c r="AJ890" s="42"/>
      <c r="AK890" s="42"/>
      <c r="AL890" s="40"/>
      <c r="AM890" s="40"/>
      <c r="AN890" s="40"/>
      <c r="AO890" s="40"/>
      <c r="AP890" s="40"/>
      <c r="AQ890" s="40"/>
      <c r="AR890" s="39"/>
      <c r="AS890" s="39"/>
      <c r="AT890" s="40"/>
      <c r="AU890" s="40"/>
      <c r="AV890" s="23"/>
    </row>
    <row r="891" spans="1:48" ht="15.75" x14ac:dyDescent="0.25">
      <c r="A891" s="44"/>
      <c r="B891" s="23"/>
      <c r="C891" s="23"/>
      <c r="D891" s="39"/>
      <c r="E891" s="39"/>
      <c r="F891" s="40"/>
      <c r="G891" s="40"/>
      <c r="H891" s="41"/>
      <c r="I891" s="39"/>
      <c r="J891" s="40"/>
      <c r="K891" s="40"/>
      <c r="L891" s="41"/>
      <c r="M891" s="39"/>
      <c r="N891" s="40"/>
      <c r="O891" s="40"/>
      <c r="P891" s="39"/>
      <c r="Q891" s="39"/>
      <c r="R891" s="40"/>
      <c r="S891" s="40"/>
      <c r="T891" s="39"/>
      <c r="U891" s="39"/>
      <c r="V891" s="40"/>
      <c r="W891" s="40"/>
      <c r="X891" s="41"/>
      <c r="Y891" s="41"/>
      <c r="Z891" s="40"/>
      <c r="AA891" s="40"/>
      <c r="AB891" s="41"/>
      <c r="AC891" s="41"/>
      <c r="AD891" s="40"/>
      <c r="AE891" s="40"/>
      <c r="AF891" s="42"/>
      <c r="AG891" s="42"/>
      <c r="AH891" s="40"/>
      <c r="AI891" s="40"/>
      <c r="AJ891" s="42"/>
      <c r="AK891" s="42"/>
      <c r="AL891" s="40"/>
      <c r="AM891" s="40"/>
      <c r="AN891" s="40"/>
      <c r="AO891" s="40"/>
      <c r="AP891" s="40"/>
      <c r="AQ891" s="40"/>
      <c r="AR891" s="39"/>
      <c r="AS891" s="39"/>
      <c r="AT891" s="40"/>
      <c r="AU891" s="40"/>
      <c r="AV891" s="23"/>
    </row>
    <row r="892" spans="1:48" ht="15.75" x14ac:dyDescent="0.25">
      <c r="A892" s="44"/>
      <c r="B892" s="23"/>
      <c r="C892" s="23"/>
      <c r="D892" s="39"/>
      <c r="E892" s="39"/>
      <c r="F892" s="40"/>
      <c r="G892" s="40"/>
      <c r="H892" s="41"/>
      <c r="I892" s="39"/>
      <c r="J892" s="40"/>
      <c r="K892" s="40"/>
      <c r="L892" s="41"/>
      <c r="M892" s="39"/>
      <c r="N892" s="40"/>
      <c r="O892" s="40"/>
      <c r="P892" s="39"/>
      <c r="Q892" s="39"/>
      <c r="R892" s="40"/>
      <c r="S892" s="40"/>
      <c r="T892" s="39"/>
      <c r="U892" s="39"/>
      <c r="V892" s="40"/>
      <c r="W892" s="40"/>
      <c r="X892" s="41"/>
      <c r="Y892" s="41"/>
      <c r="Z892" s="40"/>
      <c r="AA892" s="40"/>
      <c r="AB892" s="41"/>
      <c r="AC892" s="41"/>
      <c r="AD892" s="40"/>
      <c r="AE892" s="40"/>
      <c r="AF892" s="42"/>
      <c r="AG892" s="42"/>
      <c r="AH892" s="40"/>
      <c r="AI892" s="40"/>
      <c r="AJ892" s="42"/>
      <c r="AK892" s="42"/>
      <c r="AL892" s="40"/>
      <c r="AM892" s="40"/>
      <c r="AN892" s="40"/>
      <c r="AO892" s="40"/>
      <c r="AP892" s="40"/>
      <c r="AQ892" s="40"/>
      <c r="AR892" s="39"/>
      <c r="AS892" s="39"/>
      <c r="AT892" s="40"/>
      <c r="AU892" s="40"/>
      <c r="AV892" s="23"/>
    </row>
    <row r="893" spans="1:48" ht="15.75" x14ac:dyDescent="0.25">
      <c r="A893" s="44"/>
      <c r="B893" s="23"/>
      <c r="C893" s="23"/>
      <c r="D893" s="39"/>
      <c r="E893" s="39"/>
      <c r="F893" s="40"/>
      <c r="G893" s="40"/>
      <c r="H893" s="41"/>
      <c r="I893" s="39"/>
      <c r="J893" s="40"/>
      <c r="K893" s="40"/>
      <c r="L893" s="41"/>
      <c r="M893" s="39"/>
      <c r="N893" s="40"/>
      <c r="O893" s="40"/>
      <c r="P893" s="39"/>
      <c r="Q893" s="39"/>
      <c r="R893" s="40"/>
      <c r="S893" s="40"/>
      <c r="T893" s="39"/>
      <c r="U893" s="39"/>
      <c r="V893" s="40"/>
      <c r="W893" s="40"/>
      <c r="X893" s="41"/>
      <c r="Y893" s="41"/>
      <c r="Z893" s="40"/>
      <c r="AA893" s="40"/>
      <c r="AB893" s="41"/>
      <c r="AC893" s="41"/>
      <c r="AD893" s="40"/>
      <c r="AE893" s="40"/>
      <c r="AF893" s="42"/>
      <c r="AG893" s="42"/>
      <c r="AH893" s="40"/>
      <c r="AI893" s="40"/>
      <c r="AJ893" s="42"/>
      <c r="AK893" s="42"/>
      <c r="AL893" s="40"/>
      <c r="AM893" s="40"/>
      <c r="AN893" s="40"/>
      <c r="AO893" s="40"/>
      <c r="AP893" s="40"/>
      <c r="AQ893" s="40"/>
      <c r="AR893" s="39"/>
      <c r="AS893" s="39"/>
      <c r="AT893" s="40"/>
      <c r="AU893" s="40"/>
      <c r="AV893" s="23"/>
    </row>
    <row r="894" spans="1:48" ht="15.75" x14ac:dyDescent="0.25">
      <c r="A894" s="44"/>
      <c r="B894" s="23"/>
      <c r="C894" s="23"/>
      <c r="D894" s="39"/>
      <c r="E894" s="39"/>
      <c r="F894" s="40"/>
      <c r="G894" s="40"/>
      <c r="H894" s="41"/>
      <c r="I894" s="39"/>
      <c r="J894" s="40"/>
      <c r="K894" s="40"/>
      <c r="L894" s="41"/>
      <c r="M894" s="39"/>
      <c r="N894" s="40"/>
      <c r="O894" s="40"/>
      <c r="P894" s="39"/>
      <c r="Q894" s="39"/>
      <c r="R894" s="40"/>
      <c r="S894" s="40"/>
      <c r="T894" s="39"/>
      <c r="U894" s="39"/>
      <c r="V894" s="40"/>
      <c r="W894" s="40"/>
      <c r="X894" s="41"/>
      <c r="Y894" s="41"/>
      <c r="Z894" s="40"/>
      <c r="AA894" s="40"/>
      <c r="AB894" s="41"/>
      <c r="AC894" s="41"/>
      <c r="AD894" s="40"/>
      <c r="AE894" s="40"/>
      <c r="AF894" s="42"/>
      <c r="AG894" s="42"/>
      <c r="AH894" s="40"/>
      <c r="AI894" s="40"/>
      <c r="AJ894" s="42"/>
      <c r="AK894" s="42"/>
      <c r="AL894" s="40"/>
      <c r="AM894" s="40"/>
      <c r="AN894" s="40"/>
      <c r="AO894" s="40"/>
      <c r="AP894" s="40"/>
      <c r="AQ894" s="40"/>
      <c r="AR894" s="39"/>
      <c r="AS894" s="39"/>
      <c r="AT894" s="40"/>
      <c r="AU894" s="40"/>
      <c r="AV894" s="23"/>
    </row>
    <row r="895" spans="1:48" ht="15.75" x14ac:dyDescent="0.25">
      <c r="A895" s="44"/>
      <c r="B895" s="23"/>
      <c r="C895" s="23"/>
      <c r="D895" s="39"/>
      <c r="E895" s="39"/>
      <c r="F895" s="40"/>
      <c r="G895" s="40"/>
      <c r="H895" s="41"/>
      <c r="I895" s="39"/>
      <c r="J895" s="40"/>
      <c r="K895" s="40"/>
      <c r="L895" s="41"/>
      <c r="M895" s="39"/>
      <c r="N895" s="40"/>
      <c r="O895" s="40"/>
      <c r="P895" s="39"/>
      <c r="Q895" s="39"/>
      <c r="R895" s="40"/>
      <c r="S895" s="40"/>
      <c r="T895" s="39"/>
      <c r="U895" s="39"/>
      <c r="V895" s="40"/>
      <c r="W895" s="40"/>
      <c r="X895" s="41"/>
      <c r="Y895" s="41"/>
      <c r="Z895" s="40"/>
      <c r="AA895" s="40"/>
      <c r="AB895" s="41"/>
      <c r="AC895" s="41"/>
      <c r="AD895" s="40"/>
      <c r="AE895" s="40"/>
      <c r="AF895" s="42"/>
      <c r="AG895" s="42"/>
      <c r="AH895" s="40"/>
      <c r="AI895" s="40"/>
      <c r="AJ895" s="42"/>
      <c r="AK895" s="42"/>
      <c r="AL895" s="40"/>
      <c r="AM895" s="40"/>
      <c r="AN895" s="40"/>
      <c r="AO895" s="40"/>
      <c r="AP895" s="40"/>
      <c r="AQ895" s="40"/>
      <c r="AR895" s="39"/>
      <c r="AS895" s="39"/>
      <c r="AT895" s="40"/>
      <c r="AU895" s="40"/>
      <c r="AV895" s="23"/>
    </row>
    <row r="896" spans="1:48" ht="15.75" x14ac:dyDescent="0.25">
      <c r="A896" s="44"/>
      <c r="B896" s="23"/>
      <c r="C896" s="23"/>
      <c r="D896" s="39"/>
      <c r="E896" s="39"/>
      <c r="F896" s="40"/>
      <c r="G896" s="40"/>
      <c r="H896" s="41"/>
      <c r="I896" s="39"/>
      <c r="J896" s="40"/>
      <c r="K896" s="40"/>
      <c r="L896" s="41"/>
      <c r="M896" s="39"/>
      <c r="N896" s="40"/>
      <c r="O896" s="40"/>
      <c r="P896" s="39"/>
      <c r="Q896" s="39"/>
      <c r="R896" s="40"/>
      <c r="S896" s="40"/>
      <c r="T896" s="39"/>
      <c r="U896" s="39"/>
      <c r="V896" s="40"/>
      <c r="W896" s="40"/>
      <c r="X896" s="41"/>
      <c r="Y896" s="41"/>
      <c r="Z896" s="40"/>
      <c r="AA896" s="40"/>
      <c r="AB896" s="41"/>
      <c r="AC896" s="41"/>
      <c r="AD896" s="40"/>
      <c r="AE896" s="40"/>
      <c r="AF896" s="42"/>
      <c r="AG896" s="42"/>
      <c r="AH896" s="40"/>
      <c r="AI896" s="40"/>
      <c r="AJ896" s="42"/>
      <c r="AK896" s="42"/>
      <c r="AL896" s="40"/>
      <c r="AM896" s="40"/>
      <c r="AN896" s="40"/>
      <c r="AO896" s="40"/>
      <c r="AP896" s="40"/>
      <c r="AQ896" s="40"/>
      <c r="AR896" s="39"/>
      <c r="AS896" s="39"/>
      <c r="AT896" s="40"/>
      <c r="AU896" s="40"/>
      <c r="AV896" s="23"/>
    </row>
    <row r="897" spans="1:48" ht="15.75" x14ac:dyDescent="0.25">
      <c r="A897" s="44"/>
      <c r="B897" s="23"/>
      <c r="C897" s="23"/>
      <c r="D897" s="39"/>
      <c r="E897" s="39"/>
      <c r="F897" s="40"/>
      <c r="G897" s="40"/>
      <c r="H897" s="41"/>
      <c r="I897" s="39"/>
      <c r="J897" s="40"/>
      <c r="K897" s="40"/>
      <c r="L897" s="41"/>
      <c r="M897" s="39"/>
      <c r="N897" s="40"/>
      <c r="O897" s="40"/>
      <c r="P897" s="39"/>
      <c r="Q897" s="39"/>
      <c r="R897" s="40"/>
      <c r="S897" s="40"/>
      <c r="T897" s="39"/>
      <c r="U897" s="39"/>
      <c r="V897" s="40"/>
      <c r="W897" s="40"/>
      <c r="X897" s="41"/>
      <c r="Y897" s="41"/>
      <c r="Z897" s="40"/>
      <c r="AA897" s="40"/>
      <c r="AB897" s="41"/>
      <c r="AC897" s="41"/>
      <c r="AD897" s="40"/>
      <c r="AE897" s="40"/>
      <c r="AF897" s="42"/>
      <c r="AG897" s="42"/>
      <c r="AH897" s="40"/>
      <c r="AI897" s="40"/>
      <c r="AJ897" s="42"/>
      <c r="AK897" s="42"/>
      <c r="AL897" s="40"/>
      <c r="AM897" s="40"/>
      <c r="AN897" s="40"/>
      <c r="AO897" s="40"/>
      <c r="AP897" s="40"/>
      <c r="AQ897" s="40"/>
      <c r="AR897" s="39"/>
      <c r="AS897" s="39"/>
      <c r="AT897" s="40"/>
      <c r="AU897" s="40"/>
      <c r="AV897" s="23"/>
    </row>
    <row r="898" spans="1:48" ht="15.75" x14ac:dyDescent="0.25">
      <c r="A898" s="44"/>
      <c r="B898" s="23"/>
      <c r="C898" s="23"/>
      <c r="D898" s="39"/>
      <c r="E898" s="39"/>
      <c r="F898" s="40"/>
      <c r="G898" s="40"/>
      <c r="H898" s="41"/>
      <c r="I898" s="39"/>
      <c r="J898" s="40"/>
      <c r="K898" s="40"/>
      <c r="L898" s="41"/>
      <c r="M898" s="39"/>
      <c r="N898" s="40"/>
      <c r="O898" s="40"/>
      <c r="P898" s="39"/>
      <c r="Q898" s="39"/>
      <c r="R898" s="40"/>
      <c r="S898" s="40"/>
      <c r="T898" s="39"/>
      <c r="U898" s="39"/>
      <c r="V898" s="40"/>
      <c r="W898" s="40"/>
      <c r="X898" s="41"/>
      <c r="Y898" s="41"/>
      <c r="Z898" s="40"/>
      <c r="AA898" s="40"/>
      <c r="AB898" s="41"/>
      <c r="AC898" s="41"/>
      <c r="AD898" s="40"/>
      <c r="AE898" s="40"/>
      <c r="AF898" s="42"/>
      <c r="AG898" s="42"/>
      <c r="AH898" s="40"/>
      <c r="AI898" s="40"/>
      <c r="AJ898" s="42"/>
      <c r="AK898" s="42"/>
      <c r="AL898" s="40"/>
      <c r="AM898" s="40"/>
      <c r="AN898" s="40"/>
      <c r="AO898" s="40"/>
      <c r="AP898" s="40"/>
      <c r="AQ898" s="40"/>
      <c r="AR898" s="39"/>
      <c r="AS898" s="39"/>
      <c r="AT898" s="40"/>
      <c r="AU898" s="40"/>
      <c r="AV898" s="23"/>
    </row>
    <row r="899" spans="1:48" ht="15.75" x14ac:dyDescent="0.25">
      <c r="A899" s="44"/>
      <c r="B899" s="23"/>
      <c r="C899" s="23"/>
      <c r="D899" s="39"/>
      <c r="E899" s="39"/>
      <c r="F899" s="40"/>
      <c r="G899" s="40"/>
      <c r="H899" s="41"/>
      <c r="I899" s="39"/>
      <c r="J899" s="40"/>
      <c r="K899" s="40"/>
      <c r="L899" s="41"/>
      <c r="M899" s="39"/>
      <c r="N899" s="40"/>
      <c r="O899" s="40"/>
      <c r="P899" s="39"/>
      <c r="Q899" s="39"/>
      <c r="R899" s="40"/>
      <c r="S899" s="40"/>
      <c r="T899" s="39"/>
      <c r="U899" s="39"/>
      <c r="V899" s="40"/>
      <c r="W899" s="40"/>
      <c r="X899" s="41"/>
      <c r="Y899" s="41"/>
      <c r="Z899" s="40"/>
      <c r="AA899" s="40"/>
      <c r="AB899" s="41"/>
      <c r="AC899" s="41"/>
      <c r="AD899" s="40"/>
      <c r="AE899" s="40"/>
      <c r="AF899" s="42"/>
      <c r="AG899" s="42"/>
      <c r="AH899" s="40"/>
      <c r="AI899" s="40"/>
      <c r="AJ899" s="42"/>
      <c r="AK899" s="42"/>
      <c r="AL899" s="40"/>
      <c r="AM899" s="40"/>
      <c r="AN899" s="40"/>
      <c r="AO899" s="40"/>
      <c r="AP899" s="40"/>
      <c r="AQ899" s="40"/>
      <c r="AR899" s="39"/>
      <c r="AS899" s="39"/>
      <c r="AT899" s="40"/>
      <c r="AU899" s="40"/>
      <c r="AV899" s="23"/>
    </row>
    <row r="900" spans="1:48" ht="15.75" x14ac:dyDescent="0.25">
      <c r="A900" s="44"/>
      <c r="B900" s="23"/>
      <c r="C900" s="23"/>
      <c r="D900" s="39"/>
      <c r="E900" s="39"/>
      <c r="F900" s="40"/>
      <c r="G900" s="40"/>
      <c r="H900" s="41"/>
      <c r="I900" s="39"/>
      <c r="J900" s="40"/>
      <c r="K900" s="40"/>
      <c r="L900" s="41"/>
      <c r="M900" s="39"/>
      <c r="N900" s="40"/>
      <c r="O900" s="40"/>
      <c r="P900" s="39"/>
      <c r="Q900" s="39"/>
      <c r="R900" s="40"/>
      <c r="S900" s="40"/>
      <c r="T900" s="39"/>
      <c r="U900" s="39"/>
      <c r="V900" s="40"/>
      <c r="W900" s="40"/>
      <c r="X900" s="41"/>
      <c r="Y900" s="41"/>
      <c r="Z900" s="40"/>
      <c r="AA900" s="40"/>
      <c r="AB900" s="41"/>
      <c r="AC900" s="41"/>
      <c r="AD900" s="40"/>
      <c r="AE900" s="40"/>
      <c r="AF900" s="42"/>
      <c r="AG900" s="42"/>
      <c r="AH900" s="40"/>
      <c r="AI900" s="40"/>
      <c r="AJ900" s="42"/>
      <c r="AK900" s="42"/>
      <c r="AL900" s="40"/>
      <c r="AM900" s="40"/>
      <c r="AN900" s="40"/>
      <c r="AO900" s="40"/>
      <c r="AP900" s="40"/>
      <c r="AQ900" s="40"/>
      <c r="AR900" s="39"/>
      <c r="AS900" s="39"/>
      <c r="AT900" s="40"/>
      <c r="AU900" s="40"/>
      <c r="AV900" s="23"/>
    </row>
    <row r="901" spans="1:48" ht="15.75" x14ac:dyDescent="0.25">
      <c r="A901" s="44"/>
      <c r="B901" s="23"/>
      <c r="C901" s="23"/>
      <c r="D901" s="39"/>
      <c r="E901" s="39"/>
      <c r="F901" s="40"/>
      <c r="G901" s="40"/>
      <c r="H901" s="41"/>
      <c r="I901" s="39"/>
      <c r="J901" s="40"/>
      <c r="K901" s="40"/>
      <c r="L901" s="41"/>
      <c r="M901" s="39"/>
      <c r="N901" s="40"/>
      <c r="O901" s="40"/>
      <c r="P901" s="39"/>
      <c r="Q901" s="39"/>
      <c r="R901" s="40"/>
      <c r="S901" s="40"/>
      <c r="T901" s="39"/>
      <c r="U901" s="39"/>
      <c r="V901" s="40"/>
      <c r="W901" s="40"/>
      <c r="X901" s="41"/>
      <c r="Y901" s="41"/>
      <c r="Z901" s="40"/>
      <c r="AA901" s="40"/>
      <c r="AB901" s="41"/>
      <c r="AC901" s="41"/>
      <c r="AD901" s="40"/>
      <c r="AE901" s="40"/>
      <c r="AF901" s="42"/>
      <c r="AG901" s="42"/>
      <c r="AH901" s="40"/>
      <c r="AI901" s="40"/>
      <c r="AJ901" s="42"/>
      <c r="AK901" s="42"/>
      <c r="AL901" s="40"/>
      <c r="AM901" s="40"/>
      <c r="AN901" s="40"/>
      <c r="AO901" s="40"/>
      <c r="AP901" s="40"/>
      <c r="AQ901" s="40"/>
      <c r="AR901" s="39"/>
      <c r="AS901" s="39"/>
      <c r="AT901" s="40"/>
      <c r="AU901" s="40"/>
      <c r="AV901" s="23"/>
    </row>
    <row r="902" spans="1:48" ht="15.75" x14ac:dyDescent="0.25">
      <c r="A902" s="44"/>
      <c r="B902" s="23"/>
      <c r="C902" s="23"/>
      <c r="D902" s="39"/>
      <c r="E902" s="39"/>
      <c r="F902" s="40"/>
      <c r="G902" s="40"/>
      <c r="H902" s="41"/>
      <c r="I902" s="39"/>
      <c r="J902" s="40"/>
      <c r="K902" s="40"/>
      <c r="L902" s="41"/>
      <c r="M902" s="39"/>
      <c r="N902" s="40"/>
      <c r="O902" s="40"/>
      <c r="P902" s="39"/>
      <c r="Q902" s="39"/>
      <c r="R902" s="40"/>
      <c r="S902" s="40"/>
      <c r="T902" s="39"/>
      <c r="U902" s="39"/>
      <c r="V902" s="40"/>
      <c r="W902" s="40"/>
      <c r="X902" s="41"/>
      <c r="Y902" s="41"/>
      <c r="Z902" s="40"/>
      <c r="AA902" s="40"/>
      <c r="AB902" s="41"/>
      <c r="AC902" s="41"/>
      <c r="AD902" s="40"/>
      <c r="AE902" s="40"/>
      <c r="AF902" s="42"/>
      <c r="AG902" s="42"/>
      <c r="AH902" s="40"/>
      <c r="AI902" s="40"/>
      <c r="AJ902" s="42"/>
      <c r="AK902" s="42"/>
      <c r="AL902" s="40"/>
      <c r="AM902" s="40"/>
      <c r="AN902" s="40"/>
      <c r="AO902" s="40"/>
      <c r="AP902" s="40"/>
      <c r="AQ902" s="40"/>
      <c r="AR902" s="39"/>
      <c r="AS902" s="39"/>
      <c r="AT902" s="40"/>
      <c r="AU902" s="40"/>
      <c r="AV902" s="23"/>
    </row>
    <row r="903" spans="1:48" ht="15.75" x14ac:dyDescent="0.25">
      <c r="A903" s="44"/>
      <c r="B903" s="23"/>
      <c r="C903" s="23"/>
      <c r="D903" s="39"/>
      <c r="E903" s="39"/>
      <c r="F903" s="40"/>
      <c r="G903" s="40"/>
      <c r="H903" s="41"/>
      <c r="I903" s="39"/>
      <c r="J903" s="40"/>
      <c r="K903" s="40"/>
      <c r="L903" s="41"/>
      <c r="M903" s="39"/>
      <c r="N903" s="40"/>
      <c r="O903" s="40"/>
      <c r="P903" s="39"/>
      <c r="Q903" s="39"/>
      <c r="R903" s="40"/>
      <c r="S903" s="40"/>
      <c r="T903" s="39"/>
      <c r="U903" s="39"/>
      <c r="V903" s="40"/>
      <c r="W903" s="40"/>
      <c r="X903" s="41"/>
      <c r="Y903" s="41"/>
      <c r="Z903" s="40"/>
      <c r="AA903" s="40"/>
      <c r="AB903" s="41"/>
      <c r="AC903" s="41"/>
      <c r="AD903" s="40"/>
      <c r="AE903" s="40"/>
      <c r="AF903" s="42"/>
      <c r="AG903" s="42"/>
      <c r="AH903" s="40"/>
      <c r="AI903" s="40"/>
      <c r="AJ903" s="42"/>
      <c r="AK903" s="42"/>
      <c r="AL903" s="40"/>
      <c r="AM903" s="40"/>
      <c r="AN903" s="40"/>
      <c r="AO903" s="40"/>
      <c r="AP903" s="40"/>
      <c r="AQ903" s="40"/>
      <c r="AR903" s="39"/>
      <c r="AS903" s="39"/>
      <c r="AT903" s="40"/>
      <c r="AU903" s="40"/>
      <c r="AV903" s="23"/>
    </row>
    <row r="904" spans="1:48" ht="15.75" x14ac:dyDescent="0.25">
      <c r="A904" s="44"/>
      <c r="B904" s="23"/>
      <c r="C904" s="23"/>
      <c r="D904" s="39"/>
      <c r="E904" s="39"/>
      <c r="F904" s="40"/>
      <c r="G904" s="40"/>
      <c r="H904" s="41"/>
      <c r="I904" s="39"/>
      <c r="J904" s="40"/>
      <c r="K904" s="40"/>
      <c r="L904" s="41"/>
      <c r="M904" s="39"/>
      <c r="N904" s="40"/>
      <c r="O904" s="40"/>
      <c r="P904" s="39"/>
      <c r="Q904" s="39"/>
      <c r="R904" s="40"/>
      <c r="S904" s="40"/>
      <c r="T904" s="39"/>
      <c r="U904" s="39"/>
      <c r="V904" s="40"/>
      <c r="W904" s="40"/>
      <c r="X904" s="41"/>
      <c r="Y904" s="41"/>
      <c r="Z904" s="40"/>
      <c r="AA904" s="40"/>
      <c r="AB904" s="41"/>
      <c r="AC904" s="41"/>
      <c r="AD904" s="40"/>
      <c r="AE904" s="40"/>
      <c r="AF904" s="42"/>
      <c r="AG904" s="42"/>
      <c r="AH904" s="40"/>
      <c r="AI904" s="40"/>
      <c r="AJ904" s="42"/>
      <c r="AK904" s="42"/>
      <c r="AL904" s="40"/>
      <c r="AM904" s="40"/>
      <c r="AN904" s="40"/>
      <c r="AO904" s="40"/>
      <c r="AP904" s="40"/>
      <c r="AQ904" s="40"/>
      <c r="AR904" s="39"/>
      <c r="AS904" s="39"/>
      <c r="AT904" s="40"/>
      <c r="AU904" s="40"/>
      <c r="AV904" s="23"/>
    </row>
    <row r="905" spans="1:48" ht="15.75" x14ac:dyDescent="0.25">
      <c r="A905" s="44"/>
      <c r="B905" s="23"/>
      <c r="C905" s="23"/>
      <c r="D905" s="39"/>
      <c r="E905" s="39"/>
      <c r="F905" s="40"/>
      <c r="G905" s="40"/>
      <c r="H905" s="41"/>
      <c r="I905" s="39"/>
      <c r="J905" s="40"/>
      <c r="K905" s="40"/>
      <c r="L905" s="41"/>
      <c r="M905" s="39"/>
      <c r="N905" s="40"/>
      <c r="O905" s="40"/>
      <c r="P905" s="39"/>
      <c r="Q905" s="39"/>
      <c r="R905" s="40"/>
      <c r="S905" s="40"/>
      <c r="T905" s="39"/>
      <c r="U905" s="39"/>
      <c r="V905" s="40"/>
      <c r="W905" s="40"/>
      <c r="X905" s="41"/>
      <c r="Y905" s="41"/>
      <c r="Z905" s="40"/>
      <c r="AA905" s="40"/>
      <c r="AB905" s="41"/>
      <c r="AC905" s="41"/>
      <c r="AD905" s="40"/>
      <c r="AE905" s="40"/>
      <c r="AF905" s="42"/>
      <c r="AG905" s="42"/>
      <c r="AH905" s="40"/>
      <c r="AI905" s="40"/>
      <c r="AJ905" s="42"/>
      <c r="AK905" s="42"/>
      <c r="AL905" s="40"/>
      <c r="AM905" s="40"/>
      <c r="AN905" s="40"/>
      <c r="AO905" s="40"/>
      <c r="AP905" s="40"/>
      <c r="AQ905" s="40"/>
      <c r="AR905" s="39"/>
      <c r="AS905" s="39"/>
      <c r="AT905" s="40"/>
      <c r="AU905" s="40"/>
      <c r="AV905" s="23"/>
    </row>
    <row r="906" spans="1:48" ht="15.75" x14ac:dyDescent="0.25">
      <c r="A906" s="44"/>
      <c r="B906" s="23"/>
      <c r="C906" s="23"/>
      <c r="D906" s="39"/>
      <c r="E906" s="39"/>
      <c r="F906" s="40"/>
      <c r="G906" s="40"/>
      <c r="H906" s="41"/>
      <c r="I906" s="39"/>
      <c r="J906" s="40"/>
      <c r="K906" s="40"/>
      <c r="L906" s="41"/>
      <c r="M906" s="39"/>
      <c r="N906" s="40"/>
      <c r="O906" s="40"/>
      <c r="P906" s="39"/>
      <c r="Q906" s="39"/>
      <c r="R906" s="40"/>
      <c r="S906" s="40"/>
      <c r="T906" s="39"/>
      <c r="U906" s="39"/>
      <c r="V906" s="40"/>
      <c r="W906" s="40"/>
      <c r="X906" s="41"/>
      <c r="Y906" s="41"/>
      <c r="Z906" s="40"/>
      <c r="AA906" s="40"/>
      <c r="AB906" s="41"/>
      <c r="AC906" s="41"/>
      <c r="AD906" s="40"/>
      <c r="AE906" s="40"/>
      <c r="AF906" s="42"/>
      <c r="AG906" s="42"/>
      <c r="AH906" s="40"/>
      <c r="AI906" s="40"/>
      <c r="AJ906" s="42"/>
      <c r="AK906" s="42"/>
      <c r="AL906" s="40"/>
      <c r="AM906" s="40"/>
      <c r="AN906" s="40"/>
      <c r="AO906" s="40"/>
      <c r="AP906" s="40"/>
      <c r="AQ906" s="40"/>
      <c r="AR906" s="39"/>
      <c r="AS906" s="39"/>
      <c r="AT906" s="40"/>
      <c r="AU906" s="40"/>
      <c r="AV906" s="23"/>
    </row>
    <row r="907" spans="1:48" ht="15.75" x14ac:dyDescent="0.25">
      <c r="A907" s="44"/>
      <c r="B907" s="23"/>
      <c r="C907" s="23"/>
      <c r="D907" s="39"/>
      <c r="E907" s="39"/>
      <c r="F907" s="40"/>
      <c r="G907" s="40"/>
      <c r="H907" s="41"/>
      <c r="I907" s="39"/>
      <c r="J907" s="40"/>
      <c r="K907" s="40"/>
      <c r="L907" s="41"/>
      <c r="M907" s="39"/>
      <c r="N907" s="40"/>
      <c r="O907" s="40"/>
      <c r="P907" s="39"/>
      <c r="Q907" s="39"/>
      <c r="R907" s="40"/>
      <c r="S907" s="40"/>
      <c r="T907" s="39"/>
      <c r="U907" s="39"/>
      <c r="V907" s="40"/>
      <c r="W907" s="40"/>
      <c r="X907" s="41"/>
      <c r="Y907" s="41"/>
      <c r="Z907" s="40"/>
      <c r="AA907" s="40"/>
      <c r="AB907" s="41"/>
      <c r="AC907" s="41"/>
      <c r="AD907" s="40"/>
      <c r="AE907" s="40"/>
      <c r="AF907" s="42"/>
      <c r="AG907" s="42"/>
      <c r="AH907" s="40"/>
      <c r="AI907" s="40"/>
      <c r="AJ907" s="42"/>
      <c r="AK907" s="42"/>
      <c r="AL907" s="40"/>
      <c r="AM907" s="40"/>
      <c r="AN907" s="40"/>
      <c r="AO907" s="40"/>
      <c r="AP907" s="40"/>
      <c r="AQ907" s="40"/>
      <c r="AR907" s="39"/>
      <c r="AS907" s="39"/>
      <c r="AT907" s="40"/>
      <c r="AU907" s="40"/>
      <c r="AV907" s="23"/>
    </row>
    <row r="908" spans="1:48" ht="15.75" x14ac:dyDescent="0.25">
      <c r="A908" s="44"/>
      <c r="B908" s="23"/>
      <c r="C908" s="23"/>
      <c r="D908" s="39"/>
      <c r="E908" s="39"/>
      <c r="F908" s="40"/>
      <c r="G908" s="40"/>
      <c r="H908" s="41"/>
      <c r="I908" s="39"/>
      <c r="J908" s="40"/>
      <c r="K908" s="40"/>
      <c r="L908" s="41"/>
      <c r="M908" s="39"/>
      <c r="N908" s="40"/>
      <c r="O908" s="40"/>
      <c r="P908" s="39"/>
      <c r="Q908" s="39"/>
      <c r="R908" s="40"/>
      <c r="S908" s="40"/>
      <c r="T908" s="39"/>
      <c r="U908" s="39"/>
      <c r="V908" s="40"/>
      <c r="W908" s="40"/>
      <c r="X908" s="41"/>
      <c r="Y908" s="41"/>
      <c r="Z908" s="40"/>
      <c r="AA908" s="40"/>
      <c r="AB908" s="41"/>
      <c r="AC908" s="41"/>
      <c r="AD908" s="40"/>
      <c r="AE908" s="40"/>
      <c r="AF908" s="42"/>
      <c r="AG908" s="42"/>
      <c r="AH908" s="40"/>
      <c r="AI908" s="40"/>
      <c r="AJ908" s="42"/>
      <c r="AK908" s="42"/>
      <c r="AL908" s="40"/>
      <c r="AM908" s="40"/>
      <c r="AN908" s="40"/>
      <c r="AO908" s="40"/>
      <c r="AP908" s="40"/>
      <c r="AQ908" s="40"/>
      <c r="AR908" s="39"/>
      <c r="AS908" s="39"/>
      <c r="AT908" s="40"/>
      <c r="AU908" s="40"/>
      <c r="AV908" s="23"/>
    </row>
    <row r="909" spans="1:48" ht="15.75" x14ac:dyDescent="0.25">
      <c r="A909" s="44"/>
      <c r="B909" s="23"/>
      <c r="C909" s="23"/>
      <c r="D909" s="39"/>
      <c r="E909" s="39"/>
      <c r="F909" s="40"/>
      <c r="G909" s="40"/>
      <c r="H909" s="41"/>
      <c r="I909" s="39"/>
      <c r="J909" s="40"/>
      <c r="K909" s="40"/>
      <c r="L909" s="41"/>
      <c r="M909" s="39"/>
      <c r="N909" s="40"/>
      <c r="O909" s="40"/>
      <c r="P909" s="39"/>
      <c r="Q909" s="39"/>
      <c r="R909" s="40"/>
      <c r="S909" s="40"/>
      <c r="T909" s="39"/>
      <c r="U909" s="39"/>
      <c r="V909" s="40"/>
      <c r="W909" s="40"/>
      <c r="X909" s="41"/>
      <c r="Y909" s="41"/>
      <c r="Z909" s="40"/>
      <c r="AA909" s="40"/>
      <c r="AB909" s="41"/>
      <c r="AC909" s="41"/>
      <c r="AD909" s="40"/>
      <c r="AE909" s="40"/>
      <c r="AF909" s="42"/>
      <c r="AG909" s="42"/>
      <c r="AH909" s="40"/>
      <c r="AI909" s="40"/>
      <c r="AJ909" s="42"/>
      <c r="AK909" s="42"/>
      <c r="AL909" s="40"/>
      <c r="AM909" s="40"/>
      <c r="AN909" s="40"/>
      <c r="AO909" s="40"/>
      <c r="AP909" s="40"/>
      <c r="AQ909" s="40"/>
      <c r="AR909" s="39"/>
      <c r="AS909" s="39"/>
      <c r="AT909" s="40"/>
      <c r="AU909" s="40"/>
      <c r="AV909" s="23"/>
    </row>
    <row r="910" spans="1:48" ht="15.75" x14ac:dyDescent="0.25">
      <c r="A910" s="44"/>
      <c r="B910" s="23"/>
      <c r="C910" s="23"/>
      <c r="D910" s="39"/>
      <c r="E910" s="39"/>
      <c r="F910" s="40"/>
      <c r="G910" s="40"/>
      <c r="H910" s="41"/>
      <c r="I910" s="39"/>
      <c r="J910" s="40"/>
      <c r="K910" s="40"/>
      <c r="L910" s="41"/>
      <c r="M910" s="39"/>
      <c r="N910" s="40"/>
      <c r="O910" s="40"/>
      <c r="P910" s="39"/>
      <c r="Q910" s="39"/>
      <c r="R910" s="40"/>
      <c r="S910" s="40"/>
      <c r="T910" s="39"/>
      <c r="U910" s="39"/>
      <c r="V910" s="40"/>
      <c r="W910" s="40"/>
      <c r="X910" s="41"/>
      <c r="Y910" s="41"/>
      <c r="Z910" s="40"/>
      <c r="AA910" s="40"/>
      <c r="AB910" s="41"/>
      <c r="AC910" s="41"/>
      <c r="AD910" s="40"/>
      <c r="AE910" s="40"/>
      <c r="AF910" s="42"/>
      <c r="AG910" s="42"/>
      <c r="AH910" s="40"/>
      <c r="AI910" s="40"/>
      <c r="AJ910" s="42"/>
      <c r="AK910" s="42"/>
      <c r="AL910" s="40"/>
      <c r="AM910" s="40"/>
      <c r="AN910" s="40"/>
      <c r="AO910" s="40"/>
      <c r="AP910" s="40"/>
      <c r="AQ910" s="40"/>
      <c r="AR910" s="39"/>
      <c r="AS910" s="39"/>
      <c r="AT910" s="40"/>
      <c r="AU910" s="40"/>
      <c r="AV910" s="23"/>
    </row>
    <row r="911" spans="1:48" ht="15.75" x14ac:dyDescent="0.25">
      <c r="A911" s="44"/>
      <c r="B911" s="23"/>
      <c r="C911" s="23"/>
      <c r="D911" s="39"/>
      <c r="E911" s="39"/>
      <c r="F911" s="40"/>
      <c r="G911" s="40"/>
      <c r="H911" s="41"/>
      <c r="I911" s="39"/>
      <c r="J911" s="40"/>
      <c r="K911" s="40"/>
      <c r="L911" s="41"/>
      <c r="M911" s="39"/>
      <c r="N911" s="40"/>
      <c r="O911" s="40"/>
      <c r="P911" s="39"/>
      <c r="Q911" s="39"/>
      <c r="R911" s="40"/>
      <c r="S911" s="40"/>
      <c r="T911" s="39"/>
      <c r="U911" s="39"/>
      <c r="V911" s="40"/>
      <c r="W911" s="40"/>
      <c r="X911" s="41"/>
      <c r="Y911" s="41"/>
      <c r="Z911" s="40"/>
      <c r="AA911" s="40"/>
      <c r="AB911" s="41"/>
      <c r="AC911" s="41"/>
      <c r="AD911" s="40"/>
      <c r="AE911" s="40"/>
      <c r="AF911" s="42"/>
      <c r="AG911" s="42"/>
      <c r="AH911" s="40"/>
      <c r="AI911" s="40"/>
      <c r="AJ911" s="42"/>
      <c r="AK911" s="42"/>
      <c r="AL911" s="40"/>
      <c r="AM911" s="40"/>
      <c r="AN911" s="40"/>
      <c r="AO911" s="40"/>
      <c r="AP911" s="40"/>
      <c r="AQ911" s="40"/>
      <c r="AR911" s="39"/>
      <c r="AS911" s="39"/>
      <c r="AT911" s="40"/>
      <c r="AU911" s="40"/>
      <c r="AV911" s="23"/>
    </row>
    <row r="912" spans="1:48" ht="15.75" x14ac:dyDescent="0.25">
      <c r="A912" s="44"/>
      <c r="B912" s="23"/>
      <c r="C912" s="23"/>
      <c r="D912" s="39"/>
      <c r="E912" s="39"/>
      <c r="F912" s="40"/>
      <c r="G912" s="40"/>
      <c r="H912" s="41"/>
      <c r="I912" s="39"/>
      <c r="J912" s="40"/>
      <c r="K912" s="40"/>
      <c r="L912" s="41"/>
      <c r="M912" s="39"/>
      <c r="N912" s="40"/>
      <c r="O912" s="40"/>
      <c r="P912" s="39"/>
      <c r="Q912" s="39"/>
      <c r="R912" s="40"/>
      <c r="S912" s="40"/>
      <c r="T912" s="39"/>
      <c r="U912" s="39"/>
      <c r="V912" s="40"/>
      <c r="W912" s="40"/>
      <c r="X912" s="41"/>
      <c r="Y912" s="41"/>
      <c r="Z912" s="40"/>
      <c r="AA912" s="40"/>
      <c r="AB912" s="41"/>
      <c r="AC912" s="41"/>
      <c r="AD912" s="40"/>
      <c r="AE912" s="40"/>
      <c r="AF912" s="42"/>
      <c r="AG912" s="42"/>
      <c r="AH912" s="40"/>
      <c r="AI912" s="40"/>
      <c r="AJ912" s="42"/>
      <c r="AK912" s="42"/>
      <c r="AL912" s="40"/>
      <c r="AM912" s="40"/>
      <c r="AN912" s="40"/>
      <c r="AO912" s="40"/>
      <c r="AP912" s="40"/>
      <c r="AQ912" s="40"/>
      <c r="AR912" s="39"/>
      <c r="AS912" s="39"/>
      <c r="AT912" s="40"/>
      <c r="AU912" s="40"/>
      <c r="AV912" s="23"/>
    </row>
    <row r="913" spans="1:48" ht="15.75" x14ac:dyDescent="0.25">
      <c r="A913" s="44"/>
      <c r="B913" s="23"/>
      <c r="C913" s="23"/>
      <c r="D913" s="39"/>
      <c r="E913" s="39"/>
      <c r="F913" s="40"/>
      <c r="G913" s="40"/>
      <c r="H913" s="41"/>
      <c r="I913" s="39"/>
      <c r="J913" s="40"/>
      <c r="K913" s="40"/>
      <c r="L913" s="41"/>
      <c r="M913" s="39"/>
      <c r="N913" s="40"/>
      <c r="O913" s="40"/>
      <c r="P913" s="39"/>
      <c r="Q913" s="39"/>
      <c r="R913" s="40"/>
      <c r="S913" s="40"/>
      <c r="T913" s="39"/>
      <c r="U913" s="39"/>
      <c r="V913" s="40"/>
      <c r="W913" s="40"/>
      <c r="X913" s="41"/>
      <c r="Y913" s="41"/>
      <c r="Z913" s="40"/>
      <c r="AA913" s="40"/>
      <c r="AB913" s="41"/>
      <c r="AC913" s="41"/>
      <c r="AD913" s="40"/>
      <c r="AE913" s="40"/>
      <c r="AF913" s="42"/>
      <c r="AG913" s="42"/>
      <c r="AH913" s="40"/>
      <c r="AI913" s="40"/>
      <c r="AJ913" s="42"/>
      <c r="AK913" s="42"/>
      <c r="AL913" s="40"/>
      <c r="AM913" s="40"/>
      <c r="AN913" s="40"/>
      <c r="AO913" s="40"/>
      <c r="AP913" s="40"/>
      <c r="AQ913" s="40"/>
      <c r="AR913" s="39"/>
      <c r="AS913" s="39"/>
      <c r="AT913" s="40"/>
      <c r="AU913" s="40"/>
      <c r="AV913" s="23"/>
    </row>
    <row r="914" spans="1:48" ht="15.75" x14ac:dyDescent="0.25">
      <c r="A914" s="44"/>
      <c r="B914" s="23"/>
      <c r="C914" s="23"/>
      <c r="D914" s="39"/>
      <c r="E914" s="39"/>
      <c r="F914" s="40"/>
      <c r="G914" s="40"/>
      <c r="H914" s="41"/>
      <c r="I914" s="39"/>
      <c r="J914" s="40"/>
      <c r="K914" s="40"/>
      <c r="L914" s="41"/>
      <c r="M914" s="39"/>
      <c r="N914" s="40"/>
      <c r="O914" s="40"/>
      <c r="P914" s="39"/>
      <c r="Q914" s="39"/>
      <c r="R914" s="40"/>
      <c r="S914" s="40"/>
      <c r="T914" s="39"/>
      <c r="U914" s="39"/>
      <c r="V914" s="40"/>
      <c r="W914" s="40"/>
      <c r="X914" s="41"/>
      <c r="Y914" s="41"/>
      <c r="Z914" s="40"/>
      <c r="AA914" s="40"/>
      <c r="AB914" s="41"/>
      <c r="AC914" s="41"/>
      <c r="AD914" s="40"/>
      <c r="AE914" s="40"/>
      <c r="AF914" s="42"/>
      <c r="AG914" s="42"/>
      <c r="AH914" s="40"/>
      <c r="AI914" s="40"/>
      <c r="AJ914" s="42"/>
      <c r="AK914" s="42"/>
      <c r="AL914" s="40"/>
      <c r="AM914" s="40"/>
      <c r="AN914" s="40"/>
      <c r="AO914" s="40"/>
      <c r="AP914" s="40"/>
      <c r="AQ914" s="40"/>
      <c r="AR914" s="39"/>
      <c r="AS914" s="39"/>
      <c r="AT914" s="40"/>
      <c r="AU914" s="40"/>
      <c r="AV914" s="23"/>
    </row>
    <row r="915" spans="1:48" ht="15.75" x14ac:dyDescent="0.25">
      <c r="A915" s="44"/>
      <c r="B915" s="23"/>
      <c r="C915" s="23"/>
      <c r="D915" s="39"/>
      <c r="E915" s="39"/>
      <c r="F915" s="40"/>
      <c r="G915" s="40"/>
      <c r="H915" s="41"/>
      <c r="I915" s="39"/>
      <c r="J915" s="40"/>
      <c r="K915" s="40"/>
      <c r="L915" s="41"/>
      <c r="M915" s="39"/>
      <c r="N915" s="40"/>
      <c r="O915" s="40"/>
      <c r="P915" s="39"/>
      <c r="Q915" s="39"/>
      <c r="R915" s="40"/>
      <c r="S915" s="40"/>
      <c r="T915" s="39"/>
      <c r="U915" s="39"/>
      <c r="V915" s="40"/>
      <c r="W915" s="40"/>
      <c r="X915" s="41"/>
      <c r="Y915" s="41"/>
      <c r="Z915" s="40"/>
      <c r="AA915" s="40"/>
      <c r="AB915" s="41"/>
      <c r="AC915" s="41"/>
      <c r="AD915" s="40"/>
      <c r="AE915" s="40"/>
      <c r="AF915" s="42"/>
      <c r="AG915" s="42"/>
      <c r="AH915" s="40"/>
      <c r="AI915" s="40"/>
      <c r="AJ915" s="42"/>
      <c r="AK915" s="42"/>
      <c r="AL915" s="40"/>
      <c r="AM915" s="40"/>
      <c r="AN915" s="40"/>
      <c r="AO915" s="40"/>
      <c r="AP915" s="40"/>
      <c r="AQ915" s="40"/>
      <c r="AR915" s="39"/>
      <c r="AS915" s="39"/>
      <c r="AT915" s="40"/>
      <c r="AU915" s="40"/>
      <c r="AV915" s="23"/>
    </row>
    <row r="916" spans="1:48" ht="15.75" x14ac:dyDescent="0.25">
      <c r="A916" s="44"/>
      <c r="B916" s="23"/>
      <c r="C916" s="23"/>
      <c r="D916" s="39"/>
      <c r="E916" s="39"/>
      <c r="F916" s="40"/>
      <c r="G916" s="40"/>
      <c r="H916" s="41"/>
      <c r="I916" s="39"/>
      <c r="J916" s="40"/>
      <c r="K916" s="40"/>
      <c r="L916" s="41"/>
      <c r="M916" s="39"/>
      <c r="N916" s="40"/>
      <c r="O916" s="40"/>
      <c r="P916" s="39"/>
      <c r="Q916" s="39"/>
      <c r="R916" s="40"/>
      <c r="S916" s="40"/>
      <c r="T916" s="39"/>
      <c r="U916" s="39"/>
      <c r="V916" s="40"/>
      <c r="W916" s="40"/>
      <c r="X916" s="41"/>
      <c r="Y916" s="41"/>
      <c r="Z916" s="40"/>
      <c r="AA916" s="40"/>
      <c r="AB916" s="41"/>
      <c r="AC916" s="41"/>
      <c r="AD916" s="40"/>
      <c r="AE916" s="40"/>
      <c r="AF916" s="42"/>
      <c r="AG916" s="42"/>
      <c r="AH916" s="40"/>
      <c r="AI916" s="40"/>
      <c r="AJ916" s="42"/>
      <c r="AK916" s="42"/>
      <c r="AL916" s="40"/>
      <c r="AM916" s="40"/>
      <c r="AN916" s="40"/>
      <c r="AO916" s="40"/>
      <c r="AP916" s="40"/>
      <c r="AQ916" s="40"/>
      <c r="AR916" s="39"/>
      <c r="AS916" s="39"/>
      <c r="AT916" s="40"/>
      <c r="AU916" s="40"/>
      <c r="AV916" s="23"/>
    </row>
    <row r="917" spans="1:48" ht="15.75" x14ac:dyDescent="0.25">
      <c r="A917" s="44"/>
      <c r="B917" s="23"/>
      <c r="C917" s="23"/>
      <c r="D917" s="39"/>
      <c r="E917" s="39"/>
      <c r="F917" s="40"/>
      <c r="G917" s="40"/>
      <c r="H917" s="41"/>
      <c r="I917" s="39"/>
      <c r="J917" s="40"/>
      <c r="K917" s="40"/>
      <c r="L917" s="41"/>
      <c r="M917" s="39"/>
      <c r="N917" s="40"/>
      <c r="O917" s="40"/>
      <c r="P917" s="39"/>
      <c r="Q917" s="39"/>
      <c r="R917" s="40"/>
      <c r="S917" s="40"/>
      <c r="T917" s="39"/>
      <c r="U917" s="39"/>
      <c r="V917" s="40"/>
      <c r="W917" s="40"/>
      <c r="X917" s="41"/>
      <c r="Y917" s="41"/>
      <c r="Z917" s="40"/>
      <c r="AA917" s="40"/>
      <c r="AB917" s="41"/>
      <c r="AC917" s="41"/>
      <c r="AD917" s="40"/>
      <c r="AE917" s="40"/>
      <c r="AF917" s="42"/>
      <c r="AG917" s="42"/>
      <c r="AH917" s="40"/>
      <c r="AI917" s="40"/>
      <c r="AJ917" s="42"/>
      <c r="AK917" s="42"/>
      <c r="AL917" s="40"/>
      <c r="AM917" s="40"/>
      <c r="AN917" s="40"/>
      <c r="AO917" s="40"/>
      <c r="AP917" s="40"/>
      <c r="AQ917" s="40"/>
      <c r="AR917" s="39"/>
      <c r="AS917" s="39"/>
      <c r="AT917" s="40"/>
      <c r="AU917" s="40"/>
      <c r="AV917" s="23"/>
    </row>
    <row r="918" spans="1:48" ht="15.75" x14ac:dyDescent="0.25">
      <c r="A918" s="44"/>
      <c r="B918" s="23"/>
      <c r="C918" s="23"/>
      <c r="D918" s="39"/>
      <c r="E918" s="39"/>
      <c r="F918" s="40"/>
      <c r="G918" s="40"/>
      <c r="H918" s="41"/>
      <c r="I918" s="39"/>
      <c r="J918" s="40"/>
      <c r="K918" s="40"/>
      <c r="L918" s="41"/>
      <c r="M918" s="39"/>
      <c r="N918" s="40"/>
      <c r="O918" s="40"/>
      <c r="P918" s="39"/>
      <c r="Q918" s="39"/>
      <c r="R918" s="40"/>
      <c r="S918" s="40"/>
      <c r="T918" s="39"/>
      <c r="U918" s="39"/>
      <c r="V918" s="40"/>
      <c r="W918" s="40"/>
      <c r="X918" s="41"/>
      <c r="Y918" s="41"/>
      <c r="Z918" s="40"/>
      <c r="AA918" s="40"/>
      <c r="AB918" s="41"/>
      <c r="AC918" s="41"/>
      <c r="AD918" s="40"/>
      <c r="AE918" s="40"/>
      <c r="AF918" s="42"/>
      <c r="AG918" s="42"/>
      <c r="AH918" s="40"/>
      <c r="AI918" s="40"/>
      <c r="AJ918" s="42"/>
      <c r="AK918" s="42"/>
      <c r="AL918" s="40"/>
      <c r="AM918" s="40"/>
      <c r="AN918" s="40"/>
      <c r="AO918" s="40"/>
      <c r="AP918" s="40"/>
      <c r="AQ918" s="40"/>
      <c r="AR918" s="39"/>
      <c r="AS918" s="39"/>
      <c r="AT918" s="40"/>
      <c r="AU918" s="40"/>
      <c r="AV918" s="23"/>
    </row>
    <row r="919" spans="1:48" ht="15.75" x14ac:dyDescent="0.25">
      <c r="A919" s="44"/>
      <c r="B919" s="23"/>
      <c r="C919" s="23"/>
      <c r="D919" s="39"/>
      <c r="E919" s="39"/>
      <c r="F919" s="40"/>
      <c r="G919" s="40"/>
      <c r="H919" s="41"/>
      <c r="I919" s="39"/>
      <c r="J919" s="40"/>
      <c r="K919" s="40"/>
      <c r="L919" s="41"/>
      <c r="M919" s="39"/>
      <c r="N919" s="40"/>
      <c r="O919" s="40"/>
      <c r="P919" s="39"/>
      <c r="Q919" s="39"/>
      <c r="R919" s="40"/>
      <c r="S919" s="40"/>
      <c r="T919" s="39"/>
      <c r="U919" s="39"/>
      <c r="V919" s="40"/>
      <c r="W919" s="40"/>
      <c r="X919" s="41"/>
      <c r="Y919" s="41"/>
      <c r="Z919" s="40"/>
      <c r="AA919" s="40"/>
      <c r="AB919" s="41"/>
      <c r="AC919" s="41"/>
      <c r="AD919" s="40"/>
      <c r="AE919" s="40"/>
      <c r="AF919" s="42"/>
      <c r="AG919" s="42"/>
      <c r="AH919" s="40"/>
      <c r="AI919" s="40"/>
      <c r="AJ919" s="42"/>
      <c r="AK919" s="42"/>
      <c r="AL919" s="40"/>
      <c r="AM919" s="40"/>
      <c r="AN919" s="40"/>
      <c r="AO919" s="40"/>
      <c r="AP919" s="40"/>
      <c r="AQ919" s="40"/>
      <c r="AR919" s="39"/>
      <c r="AS919" s="39"/>
      <c r="AT919" s="40"/>
      <c r="AU919" s="40"/>
      <c r="AV919" s="23"/>
    </row>
    <row r="920" spans="1:48" ht="15.75" x14ac:dyDescent="0.25">
      <c r="A920" s="44"/>
      <c r="B920" s="23"/>
      <c r="C920" s="23"/>
      <c r="D920" s="39"/>
      <c r="E920" s="39"/>
      <c r="F920" s="40"/>
      <c r="G920" s="40"/>
      <c r="H920" s="41"/>
      <c r="I920" s="39"/>
      <c r="J920" s="40"/>
      <c r="K920" s="40"/>
      <c r="L920" s="41"/>
      <c r="M920" s="39"/>
      <c r="N920" s="40"/>
      <c r="O920" s="40"/>
      <c r="P920" s="39"/>
      <c r="Q920" s="39"/>
      <c r="R920" s="40"/>
      <c r="S920" s="40"/>
      <c r="T920" s="39"/>
      <c r="U920" s="39"/>
      <c r="V920" s="40"/>
      <c r="W920" s="40"/>
      <c r="X920" s="41"/>
      <c r="Y920" s="41"/>
      <c r="Z920" s="40"/>
      <c r="AA920" s="40"/>
      <c r="AB920" s="41"/>
      <c r="AC920" s="41"/>
      <c r="AD920" s="40"/>
      <c r="AE920" s="40"/>
      <c r="AF920" s="42"/>
      <c r="AG920" s="42"/>
      <c r="AH920" s="40"/>
      <c r="AI920" s="40"/>
      <c r="AJ920" s="42"/>
      <c r="AK920" s="42"/>
      <c r="AL920" s="40"/>
      <c r="AM920" s="40"/>
      <c r="AN920" s="40"/>
      <c r="AO920" s="40"/>
      <c r="AP920" s="40"/>
      <c r="AQ920" s="40"/>
      <c r="AR920" s="39"/>
      <c r="AS920" s="39"/>
      <c r="AT920" s="40"/>
      <c r="AU920" s="40"/>
      <c r="AV920" s="23"/>
    </row>
    <row r="921" spans="1:48" ht="15.75" x14ac:dyDescent="0.25">
      <c r="A921" s="44"/>
      <c r="B921" s="23"/>
      <c r="C921" s="23"/>
      <c r="D921" s="39"/>
      <c r="E921" s="39"/>
      <c r="F921" s="40"/>
      <c r="G921" s="40"/>
      <c r="H921" s="41"/>
      <c r="I921" s="39"/>
      <c r="J921" s="40"/>
      <c r="K921" s="40"/>
      <c r="L921" s="41"/>
      <c r="M921" s="39"/>
      <c r="N921" s="40"/>
      <c r="O921" s="40"/>
      <c r="P921" s="39"/>
      <c r="Q921" s="39"/>
      <c r="R921" s="40"/>
      <c r="S921" s="40"/>
      <c r="T921" s="39"/>
      <c r="U921" s="39"/>
      <c r="V921" s="40"/>
      <c r="W921" s="40"/>
      <c r="X921" s="41"/>
      <c r="Y921" s="41"/>
      <c r="Z921" s="40"/>
      <c r="AA921" s="40"/>
      <c r="AB921" s="41"/>
      <c r="AC921" s="41"/>
      <c r="AD921" s="40"/>
      <c r="AE921" s="40"/>
      <c r="AF921" s="42"/>
      <c r="AG921" s="42"/>
      <c r="AH921" s="40"/>
      <c r="AI921" s="40"/>
      <c r="AJ921" s="42"/>
      <c r="AK921" s="42"/>
      <c r="AL921" s="40"/>
      <c r="AM921" s="40"/>
      <c r="AN921" s="40"/>
      <c r="AO921" s="40"/>
      <c r="AP921" s="40"/>
      <c r="AQ921" s="40"/>
      <c r="AR921" s="39"/>
      <c r="AS921" s="39"/>
      <c r="AT921" s="40"/>
      <c r="AU921" s="40"/>
      <c r="AV921" s="23"/>
    </row>
    <row r="922" spans="1:48" ht="15.75" x14ac:dyDescent="0.25">
      <c r="A922" s="44"/>
      <c r="B922" s="23"/>
      <c r="C922" s="23"/>
      <c r="D922" s="39"/>
      <c r="E922" s="39"/>
      <c r="F922" s="40"/>
      <c r="G922" s="40"/>
      <c r="H922" s="41"/>
      <c r="I922" s="39"/>
      <c r="J922" s="40"/>
      <c r="K922" s="40"/>
      <c r="L922" s="41"/>
      <c r="M922" s="39"/>
      <c r="N922" s="40"/>
      <c r="O922" s="40"/>
      <c r="P922" s="39"/>
      <c r="Q922" s="39"/>
      <c r="R922" s="40"/>
      <c r="S922" s="40"/>
      <c r="T922" s="39"/>
      <c r="U922" s="39"/>
      <c r="V922" s="40"/>
      <c r="W922" s="40"/>
      <c r="X922" s="41"/>
      <c r="Y922" s="41"/>
      <c r="Z922" s="40"/>
      <c r="AA922" s="40"/>
      <c r="AB922" s="41"/>
      <c r="AC922" s="41"/>
      <c r="AD922" s="40"/>
      <c r="AE922" s="40"/>
      <c r="AF922" s="42"/>
      <c r="AG922" s="42"/>
      <c r="AH922" s="40"/>
      <c r="AI922" s="40"/>
      <c r="AJ922" s="42"/>
      <c r="AK922" s="42"/>
      <c r="AL922" s="40"/>
      <c r="AM922" s="40"/>
      <c r="AN922" s="40"/>
      <c r="AO922" s="40"/>
      <c r="AP922" s="40"/>
      <c r="AQ922" s="40"/>
      <c r="AR922" s="39"/>
      <c r="AS922" s="39"/>
      <c r="AT922" s="40"/>
      <c r="AU922" s="40"/>
      <c r="AV922" s="23"/>
    </row>
    <row r="923" spans="1:48" ht="15.75" x14ac:dyDescent="0.25">
      <c r="A923" s="44"/>
      <c r="B923" s="23"/>
      <c r="C923" s="23"/>
      <c r="D923" s="39"/>
      <c r="E923" s="39"/>
      <c r="F923" s="40"/>
      <c r="G923" s="40"/>
      <c r="H923" s="41"/>
      <c r="I923" s="39"/>
      <c r="J923" s="40"/>
      <c r="K923" s="40"/>
      <c r="L923" s="41"/>
      <c r="M923" s="39"/>
      <c r="N923" s="40"/>
      <c r="O923" s="40"/>
      <c r="P923" s="39"/>
      <c r="Q923" s="39"/>
      <c r="R923" s="40"/>
      <c r="S923" s="40"/>
      <c r="T923" s="39"/>
      <c r="U923" s="39"/>
      <c r="V923" s="40"/>
      <c r="W923" s="40"/>
      <c r="X923" s="41"/>
      <c r="Y923" s="41"/>
      <c r="Z923" s="40"/>
      <c r="AA923" s="40"/>
      <c r="AB923" s="41"/>
      <c r="AC923" s="41"/>
      <c r="AD923" s="40"/>
      <c r="AE923" s="40"/>
      <c r="AF923" s="42"/>
      <c r="AG923" s="42"/>
      <c r="AH923" s="40"/>
      <c r="AI923" s="40"/>
      <c r="AJ923" s="42"/>
      <c r="AK923" s="42"/>
      <c r="AL923" s="40"/>
      <c r="AM923" s="40"/>
      <c r="AN923" s="40"/>
      <c r="AO923" s="40"/>
      <c r="AP923" s="40"/>
      <c r="AQ923" s="40"/>
      <c r="AR923" s="39"/>
      <c r="AS923" s="39"/>
      <c r="AT923" s="40"/>
      <c r="AU923" s="40"/>
      <c r="AV923" s="23"/>
    </row>
    <row r="924" spans="1:48" ht="15.75" x14ac:dyDescent="0.25">
      <c r="A924" s="44"/>
      <c r="B924" s="23"/>
      <c r="C924" s="23"/>
      <c r="D924" s="39"/>
      <c r="E924" s="39"/>
      <c r="F924" s="40"/>
      <c r="G924" s="40"/>
      <c r="H924" s="41"/>
      <c r="I924" s="39"/>
      <c r="J924" s="40"/>
      <c r="K924" s="40"/>
      <c r="L924" s="41"/>
      <c r="M924" s="39"/>
      <c r="N924" s="40"/>
      <c r="O924" s="40"/>
      <c r="P924" s="39"/>
      <c r="Q924" s="39"/>
      <c r="R924" s="40"/>
      <c r="S924" s="40"/>
      <c r="T924" s="39"/>
      <c r="U924" s="39"/>
      <c r="V924" s="40"/>
      <c r="W924" s="40"/>
      <c r="X924" s="41"/>
      <c r="Y924" s="41"/>
      <c r="Z924" s="40"/>
      <c r="AA924" s="40"/>
      <c r="AB924" s="41"/>
      <c r="AC924" s="41"/>
      <c r="AD924" s="40"/>
      <c r="AE924" s="40"/>
      <c r="AF924" s="42"/>
      <c r="AG924" s="42"/>
      <c r="AH924" s="40"/>
      <c r="AI924" s="40"/>
      <c r="AJ924" s="42"/>
      <c r="AK924" s="42"/>
      <c r="AL924" s="40"/>
      <c r="AM924" s="40"/>
      <c r="AN924" s="40"/>
      <c r="AO924" s="40"/>
      <c r="AP924" s="40"/>
      <c r="AQ924" s="40"/>
      <c r="AR924" s="39"/>
      <c r="AS924" s="39"/>
      <c r="AT924" s="40"/>
      <c r="AU924" s="40"/>
      <c r="AV924" s="23"/>
    </row>
    <row r="925" spans="1:48" ht="15.75" x14ac:dyDescent="0.25">
      <c r="A925" s="44"/>
      <c r="B925" s="23"/>
      <c r="C925" s="23"/>
      <c r="D925" s="39"/>
      <c r="E925" s="39"/>
      <c r="F925" s="40"/>
      <c r="G925" s="40"/>
      <c r="H925" s="41"/>
      <c r="I925" s="39"/>
      <c r="J925" s="40"/>
      <c r="K925" s="40"/>
      <c r="L925" s="41"/>
      <c r="M925" s="39"/>
      <c r="N925" s="40"/>
      <c r="O925" s="40"/>
      <c r="P925" s="39"/>
      <c r="Q925" s="39"/>
      <c r="R925" s="40"/>
      <c r="S925" s="40"/>
      <c r="T925" s="39"/>
      <c r="U925" s="39"/>
      <c r="V925" s="40"/>
      <c r="W925" s="40"/>
      <c r="X925" s="41"/>
      <c r="Y925" s="41"/>
      <c r="Z925" s="40"/>
      <c r="AA925" s="40"/>
      <c r="AB925" s="41"/>
      <c r="AC925" s="41"/>
      <c r="AD925" s="40"/>
      <c r="AE925" s="40"/>
      <c r="AF925" s="42"/>
      <c r="AG925" s="42"/>
      <c r="AH925" s="40"/>
      <c r="AI925" s="40"/>
      <c r="AJ925" s="42"/>
      <c r="AK925" s="42"/>
      <c r="AL925" s="40"/>
      <c r="AM925" s="40"/>
      <c r="AN925" s="40"/>
      <c r="AO925" s="40"/>
      <c r="AP925" s="40"/>
      <c r="AQ925" s="40"/>
      <c r="AR925" s="39"/>
      <c r="AS925" s="39"/>
      <c r="AT925" s="40"/>
      <c r="AU925" s="40"/>
      <c r="AV925" s="23"/>
    </row>
    <row r="926" spans="1:48" ht="15.75" x14ac:dyDescent="0.25">
      <c r="A926" s="44"/>
      <c r="B926" s="23"/>
      <c r="C926" s="23"/>
      <c r="D926" s="39"/>
      <c r="E926" s="39"/>
      <c r="F926" s="40"/>
      <c r="G926" s="40"/>
      <c r="H926" s="41"/>
      <c r="I926" s="39"/>
      <c r="J926" s="40"/>
      <c r="K926" s="40"/>
      <c r="L926" s="41"/>
      <c r="M926" s="39"/>
      <c r="N926" s="40"/>
      <c r="O926" s="40"/>
      <c r="P926" s="39"/>
      <c r="Q926" s="39"/>
      <c r="R926" s="40"/>
      <c r="S926" s="40"/>
      <c r="T926" s="39"/>
      <c r="U926" s="39"/>
      <c r="V926" s="40"/>
      <c r="W926" s="40"/>
      <c r="X926" s="41"/>
      <c r="Y926" s="41"/>
      <c r="Z926" s="40"/>
      <c r="AA926" s="40"/>
      <c r="AB926" s="41"/>
      <c r="AC926" s="41"/>
      <c r="AD926" s="40"/>
      <c r="AE926" s="40"/>
      <c r="AF926" s="42"/>
      <c r="AG926" s="42"/>
      <c r="AH926" s="40"/>
      <c r="AI926" s="40"/>
      <c r="AJ926" s="42"/>
      <c r="AK926" s="42"/>
      <c r="AL926" s="40"/>
      <c r="AM926" s="40"/>
      <c r="AN926" s="40"/>
      <c r="AO926" s="40"/>
      <c r="AP926" s="40"/>
      <c r="AQ926" s="40"/>
      <c r="AR926" s="39"/>
      <c r="AS926" s="39"/>
      <c r="AT926" s="40"/>
      <c r="AU926" s="40"/>
      <c r="AV926" s="23"/>
    </row>
    <row r="927" spans="1:48" ht="15.75" x14ac:dyDescent="0.25">
      <c r="A927" s="44"/>
      <c r="B927" s="23"/>
      <c r="C927" s="23"/>
      <c r="D927" s="39"/>
      <c r="E927" s="39"/>
      <c r="F927" s="40"/>
      <c r="G927" s="40"/>
      <c r="H927" s="41"/>
      <c r="I927" s="39"/>
      <c r="J927" s="40"/>
      <c r="K927" s="40"/>
      <c r="L927" s="41"/>
      <c r="M927" s="39"/>
      <c r="N927" s="40"/>
      <c r="O927" s="40"/>
      <c r="P927" s="39"/>
      <c r="Q927" s="39"/>
      <c r="R927" s="40"/>
      <c r="S927" s="40"/>
      <c r="T927" s="39"/>
      <c r="U927" s="39"/>
      <c r="V927" s="40"/>
      <c r="W927" s="40"/>
      <c r="X927" s="41"/>
      <c r="Y927" s="41"/>
      <c r="Z927" s="40"/>
      <c r="AA927" s="40"/>
      <c r="AB927" s="41"/>
      <c r="AC927" s="41"/>
      <c r="AD927" s="40"/>
      <c r="AE927" s="40"/>
      <c r="AF927" s="42"/>
      <c r="AG927" s="42"/>
      <c r="AH927" s="40"/>
      <c r="AI927" s="40"/>
      <c r="AJ927" s="42"/>
      <c r="AK927" s="42"/>
      <c r="AL927" s="40"/>
      <c r="AM927" s="40"/>
      <c r="AN927" s="40"/>
      <c r="AO927" s="40"/>
      <c r="AP927" s="40"/>
      <c r="AQ927" s="40"/>
      <c r="AR927" s="39"/>
      <c r="AS927" s="39"/>
      <c r="AT927" s="40"/>
      <c r="AU927" s="40"/>
      <c r="AV927" s="23"/>
    </row>
    <row r="928" spans="1:48" ht="15.75" x14ac:dyDescent="0.25">
      <c r="A928" s="44"/>
      <c r="B928" s="23"/>
      <c r="C928" s="23"/>
      <c r="D928" s="39"/>
      <c r="E928" s="39"/>
      <c r="F928" s="40"/>
      <c r="G928" s="40"/>
      <c r="H928" s="41"/>
      <c r="I928" s="39"/>
      <c r="J928" s="40"/>
      <c r="K928" s="40"/>
      <c r="L928" s="41"/>
      <c r="M928" s="39"/>
      <c r="N928" s="40"/>
      <c r="O928" s="40"/>
      <c r="P928" s="39"/>
      <c r="Q928" s="39"/>
      <c r="R928" s="40"/>
      <c r="S928" s="40"/>
      <c r="T928" s="39"/>
      <c r="U928" s="39"/>
      <c r="V928" s="40"/>
      <c r="W928" s="40"/>
      <c r="X928" s="41"/>
      <c r="Y928" s="41"/>
      <c r="Z928" s="40"/>
      <c r="AA928" s="40"/>
      <c r="AB928" s="41"/>
      <c r="AC928" s="41"/>
      <c r="AD928" s="40"/>
      <c r="AE928" s="40"/>
      <c r="AF928" s="42"/>
      <c r="AG928" s="42"/>
      <c r="AH928" s="40"/>
      <c r="AI928" s="40"/>
      <c r="AJ928" s="42"/>
      <c r="AK928" s="42"/>
      <c r="AL928" s="40"/>
      <c r="AM928" s="40"/>
      <c r="AN928" s="40"/>
      <c r="AO928" s="40"/>
      <c r="AP928" s="40"/>
      <c r="AQ928" s="40"/>
      <c r="AR928" s="39"/>
      <c r="AS928" s="39"/>
      <c r="AT928" s="40"/>
      <c r="AU928" s="40"/>
      <c r="AV928" s="23"/>
    </row>
    <row r="929" spans="1:48" ht="15.75" x14ac:dyDescent="0.25">
      <c r="A929" s="44"/>
      <c r="B929" s="23"/>
      <c r="C929" s="23"/>
      <c r="D929" s="39"/>
      <c r="E929" s="39"/>
      <c r="F929" s="40"/>
      <c r="G929" s="40"/>
      <c r="H929" s="41"/>
      <c r="I929" s="39"/>
      <c r="J929" s="40"/>
      <c r="K929" s="40"/>
      <c r="L929" s="41"/>
      <c r="M929" s="39"/>
      <c r="N929" s="40"/>
      <c r="O929" s="40"/>
      <c r="P929" s="39"/>
      <c r="Q929" s="39"/>
      <c r="R929" s="40"/>
      <c r="S929" s="40"/>
      <c r="T929" s="39"/>
      <c r="U929" s="39"/>
      <c r="V929" s="40"/>
      <c r="W929" s="40"/>
      <c r="X929" s="41"/>
      <c r="Y929" s="41"/>
      <c r="Z929" s="40"/>
      <c r="AA929" s="40"/>
      <c r="AB929" s="41"/>
      <c r="AC929" s="41"/>
      <c r="AD929" s="40"/>
      <c r="AE929" s="40"/>
      <c r="AF929" s="42"/>
      <c r="AG929" s="42"/>
      <c r="AH929" s="40"/>
      <c r="AI929" s="40"/>
      <c r="AJ929" s="42"/>
      <c r="AK929" s="42"/>
      <c r="AL929" s="40"/>
      <c r="AM929" s="40"/>
      <c r="AN929" s="40"/>
      <c r="AO929" s="40"/>
      <c r="AP929" s="40"/>
      <c r="AQ929" s="40"/>
      <c r="AR929" s="39"/>
      <c r="AS929" s="39"/>
      <c r="AT929" s="40"/>
      <c r="AU929" s="40"/>
      <c r="AV929" s="23"/>
    </row>
    <row r="930" spans="1:48" ht="15.75" x14ac:dyDescent="0.25">
      <c r="A930" s="44"/>
      <c r="B930" s="23"/>
      <c r="C930" s="23"/>
      <c r="D930" s="39"/>
      <c r="E930" s="39"/>
      <c r="F930" s="40"/>
      <c r="G930" s="40"/>
      <c r="H930" s="41"/>
      <c r="I930" s="39"/>
      <c r="J930" s="40"/>
      <c r="K930" s="40"/>
      <c r="L930" s="41"/>
      <c r="M930" s="39"/>
      <c r="N930" s="40"/>
      <c r="O930" s="40"/>
      <c r="P930" s="39"/>
      <c r="Q930" s="39"/>
      <c r="R930" s="40"/>
      <c r="S930" s="40"/>
      <c r="T930" s="39"/>
      <c r="U930" s="39"/>
      <c r="V930" s="40"/>
      <c r="W930" s="40"/>
      <c r="X930" s="41"/>
      <c r="Y930" s="41"/>
      <c r="Z930" s="40"/>
      <c r="AA930" s="40"/>
      <c r="AB930" s="41"/>
      <c r="AC930" s="41"/>
      <c r="AD930" s="40"/>
      <c r="AE930" s="40"/>
      <c r="AF930" s="42"/>
      <c r="AG930" s="42"/>
      <c r="AH930" s="40"/>
      <c r="AI930" s="40"/>
      <c r="AJ930" s="42"/>
      <c r="AK930" s="42"/>
      <c r="AL930" s="40"/>
      <c r="AM930" s="40"/>
      <c r="AN930" s="40"/>
      <c r="AO930" s="40"/>
      <c r="AP930" s="40"/>
      <c r="AQ930" s="40"/>
      <c r="AR930" s="39"/>
      <c r="AS930" s="39"/>
      <c r="AT930" s="40"/>
      <c r="AU930" s="40"/>
      <c r="AV930" s="23"/>
    </row>
    <row r="931" spans="1:48" ht="15.75" x14ac:dyDescent="0.25">
      <c r="A931" s="44"/>
      <c r="B931" s="23"/>
      <c r="C931" s="23"/>
      <c r="D931" s="39"/>
      <c r="E931" s="39"/>
      <c r="F931" s="40"/>
      <c r="G931" s="40"/>
      <c r="H931" s="41"/>
      <c r="I931" s="39"/>
      <c r="J931" s="40"/>
      <c r="K931" s="40"/>
      <c r="L931" s="41"/>
      <c r="M931" s="39"/>
      <c r="N931" s="40"/>
      <c r="O931" s="40"/>
      <c r="P931" s="39"/>
      <c r="Q931" s="39"/>
      <c r="R931" s="40"/>
      <c r="S931" s="40"/>
      <c r="T931" s="39"/>
      <c r="U931" s="39"/>
      <c r="V931" s="40"/>
      <c r="W931" s="40"/>
      <c r="X931" s="41"/>
      <c r="Y931" s="41"/>
      <c r="Z931" s="40"/>
      <c r="AA931" s="40"/>
      <c r="AB931" s="41"/>
      <c r="AC931" s="41"/>
      <c r="AD931" s="40"/>
      <c r="AE931" s="40"/>
      <c r="AF931" s="42"/>
      <c r="AG931" s="42"/>
      <c r="AH931" s="40"/>
      <c r="AI931" s="40"/>
      <c r="AJ931" s="42"/>
      <c r="AK931" s="42"/>
      <c r="AL931" s="40"/>
      <c r="AM931" s="40"/>
      <c r="AN931" s="40"/>
      <c r="AO931" s="40"/>
      <c r="AP931" s="40"/>
      <c r="AQ931" s="40"/>
      <c r="AR931" s="39"/>
      <c r="AS931" s="39"/>
      <c r="AT931" s="40"/>
      <c r="AU931" s="40"/>
      <c r="AV931" s="23"/>
    </row>
    <row r="932" spans="1:48" ht="15.75" x14ac:dyDescent="0.25">
      <c r="A932" s="44"/>
      <c r="B932" s="23"/>
      <c r="C932" s="23"/>
      <c r="D932" s="39"/>
      <c r="E932" s="39"/>
      <c r="F932" s="40"/>
      <c r="G932" s="40"/>
      <c r="H932" s="41"/>
      <c r="I932" s="39"/>
      <c r="J932" s="40"/>
      <c r="K932" s="40"/>
      <c r="L932" s="41"/>
      <c r="M932" s="39"/>
      <c r="N932" s="40"/>
      <c r="O932" s="40"/>
      <c r="P932" s="39"/>
      <c r="Q932" s="39"/>
      <c r="R932" s="40"/>
      <c r="S932" s="40"/>
      <c r="T932" s="39"/>
      <c r="U932" s="39"/>
      <c r="V932" s="40"/>
      <c r="W932" s="40"/>
      <c r="X932" s="41"/>
      <c r="Y932" s="41"/>
      <c r="Z932" s="40"/>
      <c r="AA932" s="40"/>
      <c r="AB932" s="41"/>
      <c r="AC932" s="41"/>
      <c r="AD932" s="40"/>
      <c r="AE932" s="40"/>
      <c r="AF932" s="42"/>
      <c r="AG932" s="42"/>
      <c r="AH932" s="40"/>
      <c r="AI932" s="40"/>
      <c r="AJ932" s="42"/>
      <c r="AK932" s="42"/>
      <c r="AL932" s="40"/>
      <c r="AM932" s="40"/>
      <c r="AN932" s="40"/>
      <c r="AO932" s="40"/>
      <c r="AP932" s="40"/>
      <c r="AQ932" s="40"/>
      <c r="AR932" s="39"/>
      <c r="AS932" s="39"/>
      <c r="AT932" s="40"/>
      <c r="AU932" s="40"/>
      <c r="AV932" s="23"/>
    </row>
    <row r="933" spans="1:48" ht="15.75" x14ac:dyDescent="0.25">
      <c r="A933" s="44"/>
      <c r="B933" s="23"/>
      <c r="C933" s="23"/>
      <c r="D933" s="39"/>
      <c r="E933" s="39"/>
      <c r="F933" s="40"/>
      <c r="G933" s="40"/>
      <c r="H933" s="41"/>
      <c r="I933" s="39"/>
      <c r="J933" s="40"/>
      <c r="K933" s="40"/>
      <c r="L933" s="41"/>
      <c r="M933" s="39"/>
      <c r="N933" s="40"/>
      <c r="O933" s="40"/>
      <c r="P933" s="39"/>
      <c r="Q933" s="39"/>
      <c r="R933" s="40"/>
      <c r="S933" s="40"/>
      <c r="T933" s="39"/>
      <c r="U933" s="39"/>
      <c r="V933" s="40"/>
      <c r="W933" s="40"/>
      <c r="X933" s="41"/>
      <c r="Y933" s="41"/>
      <c r="Z933" s="40"/>
      <c r="AA933" s="40"/>
      <c r="AB933" s="41"/>
      <c r="AC933" s="41"/>
      <c r="AD933" s="40"/>
      <c r="AE933" s="40"/>
      <c r="AF933" s="42"/>
      <c r="AG933" s="42"/>
      <c r="AH933" s="40"/>
      <c r="AI933" s="40"/>
      <c r="AJ933" s="42"/>
      <c r="AK933" s="42"/>
      <c r="AL933" s="40"/>
      <c r="AM933" s="40"/>
      <c r="AN933" s="40"/>
      <c r="AO933" s="40"/>
      <c r="AP933" s="40"/>
      <c r="AQ933" s="40"/>
      <c r="AR933" s="39"/>
      <c r="AS933" s="39"/>
      <c r="AT933" s="40"/>
      <c r="AU933" s="40"/>
      <c r="AV933" s="23"/>
    </row>
    <row r="934" spans="1:48" ht="15.75" x14ac:dyDescent="0.25">
      <c r="A934" s="44"/>
      <c r="B934" s="23"/>
      <c r="C934" s="23"/>
      <c r="D934" s="39"/>
      <c r="E934" s="39"/>
      <c r="F934" s="40"/>
      <c r="G934" s="40"/>
      <c r="H934" s="41"/>
      <c r="I934" s="39"/>
      <c r="J934" s="40"/>
      <c r="K934" s="40"/>
      <c r="L934" s="41"/>
      <c r="M934" s="39"/>
      <c r="N934" s="40"/>
      <c r="O934" s="40"/>
      <c r="P934" s="39"/>
      <c r="Q934" s="39"/>
      <c r="R934" s="40"/>
      <c r="S934" s="40"/>
      <c r="T934" s="39"/>
      <c r="U934" s="39"/>
      <c r="V934" s="40"/>
      <c r="W934" s="40"/>
      <c r="X934" s="41"/>
      <c r="Y934" s="41"/>
      <c r="Z934" s="40"/>
      <c r="AA934" s="40"/>
      <c r="AB934" s="41"/>
      <c r="AC934" s="41"/>
      <c r="AD934" s="40"/>
      <c r="AE934" s="40"/>
      <c r="AF934" s="42"/>
      <c r="AG934" s="42"/>
      <c r="AH934" s="40"/>
      <c r="AI934" s="40"/>
      <c r="AJ934" s="42"/>
      <c r="AK934" s="42"/>
      <c r="AL934" s="40"/>
      <c r="AM934" s="40"/>
      <c r="AN934" s="40"/>
      <c r="AO934" s="40"/>
      <c r="AP934" s="40"/>
      <c r="AQ934" s="40"/>
      <c r="AR934" s="39"/>
      <c r="AS934" s="39"/>
      <c r="AT934" s="40"/>
      <c r="AU934" s="40"/>
      <c r="AV934" s="23"/>
    </row>
    <row r="935" spans="1:48" ht="15.75" x14ac:dyDescent="0.25">
      <c r="A935" s="44"/>
      <c r="B935" s="23"/>
      <c r="C935" s="23"/>
      <c r="D935" s="39"/>
      <c r="E935" s="39"/>
      <c r="F935" s="40"/>
      <c r="G935" s="40"/>
      <c r="H935" s="41"/>
      <c r="I935" s="39"/>
      <c r="J935" s="40"/>
      <c r="K935" s="40"/>
      <c r="L935" s="41"/>
      <c r="M935" s="39"/>
      <c r="N935" s="40"/>
      <c r="O935" s="40"/>
      <c r="P935" s="39"/>
      <c r="Q935" s="39"/>
      <c r="R935" s="40"/>
      <c r="S935" s="40"/>
      <c r="T935" s="39"/>
      <c r="U935" s="39"/>
      <c r="V935" s="40"/>
      <c r="W935" s="40"/>
      <c r="X935" s="41"/>
      <c r="Y935" s="41"/>
      <c r="Z935" s="40"/>
      <c r="AA935" s="40"/>
      <c r="AB935" s="41"/>
      <c r="AC935" s="41"/>
      <c r="AD935" s="40"/>
      <c r="AE935" s="40"/>
      <c r="AF935" s="42"/>
      <c r="AG935" s="42"/>
      <c r="AH935" s="40"/>
      <c r="AI935" s="40"/>
      <c r="AJ935" s="42"/>
      <c r="AK935" s="42"/>
      <c r="AL935" s="40"/>
      <c r="AM935" s="40"/>
      <c r="AN935" s="40"/>
      <c r="AO935" s="40"/>
      <c r="AP935" s="40"/>
      <c r="AQ935" s="40"/>
      <c r="AR935" s="39"/>
      <c r="AS935" s="39"/>
      <c r="AT935" s="40"/>
      <c r="AU935" s="40"/>
      <c r="AV935" s="23"/>
    </row>
    <row r="936" spans="1:48" ht="15.75" x14ac:dyDescent="0.25">
      <c r="A936" s="44"/>
      <c r="B936" s="23"/>
      <c r="C936" s="23"/>
      <c r="D936" s="39"/>
      <c r="E936" s="39"/>
      <c r="F936" s="40"/>
      <c r="G936" s="40"/>
      <c r="H936" s="41"/>
      <c r="I936" s="39"/>
      <c r="J936" s="40"/>
      <c r="K936" s="40"/>
      <c r="L936" s="41"/>
      <c r="M936" s="39"/>
      <c r="N936" s="40"/>
      <c r="O936" s="40"/>
      <c r="P936" s="39"/>
      <c r="Q936" s="39"/>
      <c r="R936" s="40"/>
      <c r="S936" s="40"/>
      <c r="T936" s="39"/>
      <c r="U936" s="39"/>
      <c r="V936" s="40"/>
      <c r="W936" s="40"/>
      <c r="X936" s="41"/>
      <c r="Y936" s="41"/>
      <c r="Z936" s="40"/>
      <c r="AA936" s="40"/>
      <c r="AB936" s="41"/>
      <c r="AC936" s="41"/>
      <c r="AD936" s="40"/>
      <c r="AE936" s="40"/>
      <c r="AF936" s="42"/>
      <c r="AG936" s="42"/>
      <c r="AH936" s="40"/>
      <c r="AI936" s="40"/>
      <c r="AJ936" s="42"/>
      <c r="AK936" s="42"/>
      <c r="AL936" s="40"/>
      <c r="AM936" s="40"/>
      <c r="AN936" s="40"/>
      <c r="AO936" s="40"/>
      <c r="AP936" s="40"/>
      <c r="AQ936" s="40"/>
      <c r="AR936" s="39"/>
      <c r="AS936" s="39"/>
      <c r="AT936" s="40"/>
      <c r="AU936" s="40"/>
      <c r="AV936" s="23"/>
    </row>
    <row r="937" spans="1:48" ht="15.75" x14ac:dyDescent="0.25">
      <c r="A937" s="44"/>
      <c r="B937" s="23"/>
      <c r="C937" s="23"/>
      <c r="D937" s="39"/>
      <c r="E937" s="39"/>
      <c r="F937" s="40"/>
      <c r="G937" s="40"/>
      <c r="H937" s="41"/>
      <c r="I937" s="39"/>
      <c r="J937" s="40"/>
      <c r="K937" s="40"/>
      <c r="L937" s="41"/>
      <c r="M937" s="39"/>
      <c r="N937" s="40"/>
      <c r="O937" s="40"/>
      <c r="P937" s="39"/>
      <c r="Q937" s="39"/>
      <c r="R937" s="40"/>
      <c r="S937" s="40"/>
      <c r="T937" s="39"/>
      <c r="U937" s="39"/>
      <c r="V937" s="40"/>
      <c r="W937" s="40"/>
      <c r="X937" s="41"/>
      <c r="Y937" s="41"/>
      <c r="Z937" s="40"/>
      <c r="AA937" s="40"/>
      <c r="AB937" s="41"/>
      <c r="AC937" s="41"/>
      <c r="AD937" s="40"/>
      <c r="AE937" s="40"/>
      <c r="AF937" s="42"/>
      <c r="AG937" s="42"/>
      <c r="AH937" s="40"/>
      <c r="AI937" s="40"/>
      <c r="AJ937" s="42"/>
      <c r="AK937" s="42"/>
      <c r="AL937" s="40"/>
      <c r="AM937" s="40"/>
      <c r="AN937" s="40"/>
      <c r="AO937" s="40"/>
      <c r="AP937" s="40"/>
      <c r="AQ937" s="40"/>
      <c r="AR937" s="39"/>
      <c r="AS937" s="39"/>
      <c r="AT937" s="40"/>
      <c r="AU937" s="40"/>
      <c r="AV937" s="23"/>
    </row>
    <row r="938" spans="1:48" ht="15.75" x14ac:dyDescent="0.25">
      <c r="A938" s="44"/>
      <c r="B938" s="23"/>
      <c r="C938" s="23"/>
      <c r="D938" s="39"/>
      <c r="E938" s="39"/>
      <c r="F938" s="40"/>
      <c r="G938" s="40"/>
      <c r="H938" s="41"/>
      <c r="I938" s="39"/>
      <c r="J938" s="40"/>
      <c r="K938" s="40"/>
      <c r="L938" s="41"/>
      <c r="M938" s="39"/>
      <c r="N938" s="40"/>
      <c r="O938" s="40"/>
      <c r="P938" s="39"/>
      <c r="Q938" s="39"/>
      <c r="R938" s="40"/>
      <c r="S938" s="40"/>
      <c r="T938" s="39"/>
      <c r="U938" s="39"/>
      <c r="V938" s="40"/>
      <c r="W938" s="40"/>
      <c r="X938" s="41"/>
      <c r="Y938" s="41"/>
      <c r="Z938" s="40"/>
      <c r="AA938" s="40"/>
      <c r="AB938" s="41"/>
      <c r="AC938" s="41"/>
      <c r="AD938" s="40"/>
      <c r="AE938" s="40"/>
      <c r="AF938" s="42"/>
      <c r="AG938" s="42"/>
      <c r="AH938" s="40"/>
      <c r="AI938" s="40"/>
      <c r="AJ938" s="42"/>
      <c r="AK938" s="42"/>
      <c r="AL938" s="40"/>
      <c r="AM938" s="40"/>
      <c r="AN938" s="40"/>
      <c r="AO938" s="40"/>
      <c r="AP938" s="40"/>
      <c r="AQ938" s="40"/>
      <c r="AR938" s="39"/>
      <c r="AS938" s="39"/>
      <c r="AT938" s="40"/>
      <c r="AU938" s="40"/>
      <c r="AV938" s="23"/>
    </row>
    <row r="939" spans="1:48" ht="15.75" x14ac:dyDescent="0.25">
      <c r="A939" s="44"/>
      <c r="B939" s="23"/>
      <c r="C939" s="23"/>
      <c r="D939" s="39"/>
      <c r="E939" s="39"/>
      <c r="F939" s="40"/>
      <c r="G939" s="40"/>
      <c r="H939" s="41"/>
      <c r="I939" s="39"/>
      <c r="J939" s="40"/>
      <c r="K939" s="40"/>
      <c r="L939" s="41"/>
      <c r="M939" s="39"/>
      <c r="N939" s="40"/>
      <c r="O939" s="40"/>
      <c r="P939" s="39"/>
      <c r="Q939" s="39"/>
      <c r="R939" s="40"/>
      <c r="S939" s="40"/>
      <c r="T939" s="39"/>
      <c r="U939" s="39"/>
      <c r="V939" s="40"/>
      <c r="W939" s="40"/>
      <c r="X939" s="41"/>
      <c r="Y939" s="41"/>
      <c r="Z939" s="40"/>
      <c r="AA939" s="40"/>
      <c r="AB939" s="41"/>
      <c r="AC939" s="41"/>
      <c r="AD939" s="40"/>
      <c r="AE939" s="40"/>
      <c r="AF939" s="42"/>
      <c r="AG939" s="42"/>
      <c r="AH939" s="40"/>
      <c r="AI939" s="40"/>
      <c r="AJ939" s="42"/>
      <c r="AK939" s="42"/>
      <c r="AL939" s="40"/>
      <c r="AM939" s="40"/>
      <c r="AN939" s="40"/>
      <c r="AO939" s="40"/>
      <c r="AP939" s="40"/>
      <c r="AQ939" s="40"/>
      <c r="AR939" s="39"/>
      <c r="AS939" s="39"/>
      <c r="AT939" s="40"/>
      <c r="AU939" s="40"/>
      <c r="AV939" s="23"/>
    </row>
    <row r="940" spans="1:48" ht="15.75" x14ac:dyDescent="0.25">
      <c r="A940" s="44"/>
      <c r="B940" s="23"/>
      <c r="C940" s="23"/>
      <c r="D940" s="39"/>
      <c r="E940" s="39"/>
      <c r="F940" s="40"/>
      <c r="G940" s="40"/>
      <c r="H940" s="41"/>
      <c r="I940" s="39"/>
      <c r="J940" s="40"/>
      <c r="K940" s="40"/>
      <c r="L940" s="41"/>
      <c r="M940" s="39"/>
      <c r="N940" s="40"/>
      <c r="O940" s="40"/>
      <c r="P940" s="39"/>
      <c r="Q940" s="39"/>
      <c r="R940" s="40"/>
      <c r="S940" s="40"/>
      <c r="T940" s="39"/>
      <c r="U940" s="39"/>
      <c r="V940" s="40"/>
      <c r="W940" s="40"/>
      <c r="X940" s="41"/>
      <c r="Y940" s="41"/>
      <c r="Z940" s="40"/>
      <c r="AA940" s="40"/>
      <c r="AB940" s="41"/>
      <c r="AC940" s="41"/>
      <c r="AD940" s="40"/>
      <c r="AE940" s="40"/>
      <c r="AF940" s="42"/>
      <c r="AG940" s="42"/>
      <c r="AH940" s="40"/>
      <c r="AI940" s="40"/>
      <c r="AJ940" s="42"/>
      <c r="AK940" s="42"/>
      <c r="AL940" s="40"/>
      <c r="AM940" s="40"/>
      <c r="AN940" s="40"/>
      <c r="AO940" s="40"/>
      <c r="AP940" s="40"/>
      <c r="AQ940" s="40"/>
      <c r="AR940" s="39"/>
      <c r="AS940" s="39"/>
      <c r="AT940" s="40"/>
      <c r="AU940" s="40"/>
      <c r="AV940" s="23"/>
    </row>
    <row r="941" spans="1:48" ht="15.75" x14ac:dyDescent="0.25">
      <c r="A941" s="44"/>
      <c r="B941" s="23"/>
      <c r="C941" s="23"/>
      <c r="D941" s="39"/>
      <c r="E941" s="39"/>
      <c r="F941" s="40"/>
      <c r="G941" s="40"/>
      <c r="H941" s="41"/>
      <c r="I941" s="39"/>
      <c r="J941" s="40"/>
      <c r="K941" s="40"/>
      <c r="L941" s="41"/>
      <c r="M941" s="39"/>
      <c r="N941" s="40"/>
      <c r="O941" s="40"/>
      <c r="P941" s="39"/>
      <c r="Q941" s="39"/>
      <c r="R941" s="40"/>
      <c r="S941" s="40"/>
      <c r="T941" s="39"/>
      <c r="U941" s="39"/>
      <c r="V941" s="40"/>
      <c r="W941" s="40"/>
      <c r="X941" s="41"/>
      <c r="Y941" s="41"/>
      <c r="Z941" s="40"/>
      <c r="AA941" s="40"/>
      <c r="AB941" s="41"/>
      <c r="AC941" s="41"/>
      <c r="AD941" s="40"/>
      <c r="AE941" s="40"/>
      <c r="AF941" s="42"/>
      <c r="AG941" s="42"/>
      <c r="AH941" s="40"/>
      <c r="AI941" s="40"/>
      <c r="AJ941" s="42"/>
      <c r="AK941" s="42"/>
      <c r="AL941" s="40"/>
      <c r="AM941" s="40"/>
      <c r="AN941" s="40"/>
      <c r="AO941" s="40"/>
      <c r="AP941" s="40"/>
      <c r="AQ941" s="40"/>
      <c r="AR941" s="39"/>
      <c r="AS941" s="39"/>
      <c r="AT941" s="40"/>
      <c r="AU941" s="40"/>
      <c r="AV941" s="23"/>
    </row>
    <row r="942" spans="1:48" ht="15.75" x14ac:dyDescent="0.25">
      <c r="A942" s="44"/>
      <c r="B942" s="23"/>
      <c r="C942" s="23"/>
      <c r="D942" s="39"/>
      <c r="E942" s="39"/>
      <c r="F942" s="40"/>
      <c r="G942" s="40"/>
      <c r="H942" s="41"/>
      <c r="I942" s="39"/>
      <c r="J942" s="40"/>
      <c r="K942" s="40"/>
      <c r="L942" s="41"/>
      <c r="M942" s="39"/>
      <c r="N942" s="40"/>
      <c r="O942" s="40"/>
      <c r="P942" s="39"/>
      <c r="Q942" s="39"/>
      <c r="R942" s="40"/>
      <c r="S942" s="40"/>
      <c r="T942" s="39"/>
      <c r="U942" s="39"/>
      <c r="V942" s="40"/>
      <c r="W942" s="40"/>
      <c r="X942" s="41"/>
      <c r="Y942" s="41"/>
      <c r="Z942" s="40"/>
      <c r="AA942" s="40"/>
      <c r="AB942" s="41"/>
      <c r="AC942" s="41"/>
      <c r="AD942" s="40"/>
      <c r="AE942" s="40"/>
      <c r="AF942" s="42"/>
      <c r="AG942" s="42"/>
      <c r="AH942" s="40"/>
      <c r="AI942" s="40"/>
      <c r="AJ942" s="42"/>
      <c r="AK942" s="42"/>
      <c r="AL942" s="40"/>
      <c r="AM942" s="40"/>
      <c r="AN942" s="40"/>
      <c r="AO942" s="40"/>
      <c r="AP942" s="40"/>
      <c r="AQ942" s="40"/>
      <c r="AR942" s="39"/>
      <c r="AS942" s="39"/>
      <c r="AT942" s="40"/>
      <c r="AU942" s="40"/>
      <c r="AV942" s="23"/>
    </row>
    <row r="943" spans="1:48" ht="15.75" x14ac:dyDescent="0.25">
      <c r="A943" s="44"/>
      <c r="B943" s="23"/>
      <c r="C943" s="23"/>
      <c r="D943" s="39"/>
      <c r="E943" s="39"/>
      <c r="F943" s="40"/>
      <c r="G943" s="40"/>
      <c r="H943" s="41"/>
      <c r="I943" s="39"/>
      <c r="J943" s="40"/>
      <c r="K943" s="40"/>
      <c r="L943" s="41"/>
      <c r="M943" s="39"/>
      <c r="N943" s="40"/>
      <c r="O943" s="40"/>
      <c r="P943" s="39"/>
      <c r="Q943" s="39"/>
      <c r="R943" s="40"/>
      <c r="S943" s="40"/>
      <c r="T943" s="39"/>
      <c r="U943" s="39"/>
      <c r="V943" s="40"/>
      <c r="W943" s="40"/>
      <c r="X943" s="41"/>
      <c r="Y943" s="41"/>
      <c r="Z943" s="40"/>
      <c r="AA943" s="40"/>
      <c r="AB943" s="41"/>
      <c r="AC943" s="41"/>
      <c r="AD943" s="40"/>
      <c r="AE943" s="40"/>
      <c r="AF943" s="42"/>
      <c r="AG943" s="42"/>
      <c r="AH943" s="40"/>
      <c r="AI943" s="40"/>
      <c r="AJ943" s="42"/>
      <c r="AK943" s="42"/>
      <c r="AL943" s="40"/>
      <c r="AM943" s="40"/>
      <c r="AN943" s="40"/>
      <c r="AO943" s="40"/>
      <c r="AP943" s="40"/>
      <c r="AQ943" s="40"/>
      <c r="AR943" s="39"/>
      <c r="AS943" s="39"/>
      <c r="AT943" s="40"/>
      <c r="AU943" s="40"/>
      <c r="AV943" s="23"/>
    </row>
    <row r="944" spans="1:48" ht="15.75" x14ac:dyDescent="0.25">
      <c r="A944" s="44"/>
      <c r="B944" s="23"/>
      <c r="C944" s="23"/>
      <c r="D944" s="39"/>
      <c r="E944" s="39"/>
      <c r="F944" s="40"/>
      <c r="G944" s="40"/>
      <c r="H944" s="41"/>
      <c r="I944" s="39"/>
      <c r="J944" s="40"/>
      <c r="K944" s="40"/>
      <c r="L944" s="41"/>
      <c r="M944" s="39"/>
      <c r="N944" s="40"/>
      <c r="O944" s="40"/>
      <c r="P944" s="39"/>
      <c r="Q944" s="39"/>
      <c r="R944" s="40"/>
      <c r="S944" s="40"/>
      <c r="T944" s="39"/>
      <c r="U944" s="39"/>
      <c r="V944" s="40"/>
      <c r="W944" s="40"/>
      <c r="X944" s="41"/>
      <c r="Y944" s="41"/>
      <c r="Z944" s="40"/>
      <c r="AA944" s="40"/>
      <c r="AB944" s="41"/>
      <c r="AC944" s="41"/>
      <c r="AD944" s="40"/>
      <c r="AE944" s="40"/>
      <c r="AF944" s="42"/>
      <c r="AG944" s="42"/>
      <c r="AH944" s="40"/>
      <c r="AI944" s="40"/>
      <c r="AJ944" s="42"/>
      <c r="AK944" s="42"/>
      <c r="AL944" s="40"/>
      <c r="AM944" s="40"/>
      <c r="AN944" s="40"/>
      <c r="AO944" s="40"/>
      <c r="AP944" s="40"/>
      <c r="AQ944" s="40"/>
      <c r="AR944" s="39"/>
      <c r="AS944" s="39"/>
      <c r="AT944" s="40"/>
      <c r="AU944" s="40"/>
      <c r="AV944" s="23"/>
    </row>
    <row r="945" spans="1:48" ht="15.75" x14ac:dyDescent="0.25">
      <c r="A945" s="44"/>
      <c r="B945" s="23"/>
      <c r="C945" s="23"/>
      <c r="D945" s="39"/>
      <c r="E945" s="39"/>
      <c r="F945" s="40"/>
      <c r="G945" s="40"/>
      <c r="H945" s="41"/>
      <c r="I945" s="39"/>
      <c r="J945" s="40"/>
      <c r="K945" s="40"/>
      <c r="L945" s="41"/>
      <c r="M945" s="39"/>
      <c r="N945" s="40"/>
      <c r="O945" s="40"/>
      <c r="P945" s="39"/>
      <c r="Q945" s="39"/>
      <c r="R945" s="40"/>
      <c r="S945" s="40"/>
      <c r="T945" s="39"/>
      <c r="U945" s="39"/>
      <c r="V945" s="40"/>
      <c r="W945" s="40"/>
      <c r="X945" s="41"/>
      <c r="Y945" s="41"/>
      <c r="Z945" s="40"/>
      <c r="AA945" s="40"/>
      <c r="AB945" s="41"/>
      <c r="AC945" s="41"/>
      <c r="AD945" s="40"/>
      <c r="AE945" s="40"/>
      <c r="AF945" s="42"/>
      <c r="AG945" s="42"/>
      <c r="AH945" s="40"/>
      <c r="AI945" s="40"/>
      <c r="AJ945" s="42"/>
      <c r="AK945" s="42"/>
      <c r="AL945" s="40"/>
      <c r="AM945" s="40"/>
      <c r="AN945" s="40"/>
      <c r="AO945" s="40"/>
      <c r="AP945" s="40"/>
      <c r="AQ945" s="40"/>
      <c r="AR945" s="39"/>
      <c r="AS945" s="39"/>
      <c r="AT945" s="40"/>
      <c r="AU945" s="40"/>
      <c r="AV945" s="23"/>
    </row>
    <row r="946" spans="1:48" ht="15.75" x14ac:dyDescent="0.25">
      <c r="A946" s="44"/>
      <c r="B946" s="23"/>
      <c r="C946" s="23"/>
      <c r="D946" s="39"/>
      <c r="E946" s="39"/>
      <c r="F946" s="40"/>
      <c r="G946" s="40"/>
      <c r="H946" s="41"/>
      <c r="I946" s="39"/>
      <c r="J946" s="40"/>
      <c r="K946" s="40"/>
      <c r="L946" s="41"/>
      <c r="M946" s="39"/>
      <c r="N946" s="40"/>
      <c r="O946" s="40"/>
      <c r="P946" s="39"/>
      <c r="Q946" s="39"/>
      <c r="R946" s="40"/>
      <c r="S946" s="40"/>
      <c r="T946" s="39"/>
      <c r="U946" s="39"/>
      <c r="V946" s="40"/>
      <c r="W946" s="40"/>
      <c r="X946" s="41"/>
      <c r="Y946" s="41"/>
      <c r="Z946" s="40"/>
      <c r="AA946" s="40"/>
      <c r="AB946" s="41"/>
      <c r="AC946" s="41"/>
      <c r="AD946" s="40"/>
      <c r="AE946" s="40"/>
      <c r="AF946" s="42"/>
      <c r="AG946" s="42"/>
      <c r="AH946" s="40"/>
      <c r="AI946" s="40"/>
      <c r="AJ946" s="42"/>
      <c r="AK946" s="42"/>
      <c r="AL946" s="40"/>
      <c r="AM946" s="40"/>
      <c r="AN946" s="40"/>
      <c r="AO946" s="40"/>
      <c r="AP946" s="40"/>
      <c r="AQ946" s="40"/>
      <c r="AR946" s="39"/>
      <c r="AS946" s="39"/>
      <c r="AT946" s="40"/>
      <c r="AU946" s="40"/>
      <c r="AV946" s="23"/>
    </row>
    <row r="947" spans="1:48" ht="15.75" x14ac:dyDescent="0.25">
      <c r="A947" s="44"/>
      <c r="B947" s="23"/>
      <c r="C947" s="23"/>
      <c r="D947" s="39"/>
      <c r="E947" s="39"/>
      <c r="F947" s="40"/>
      <c r="G947" s="40"/>
      <c r="H947" s="41"/>
      <c r="I947" s="39"/>
      <c r="J947" s="40"/>
      <c r="K947" s="40"/>
      <c r="L947" s="41"/>
      <c r="M947" s="39"/>
      <c r="N947" s="40"/>
      <c r="O947" s="40"/>
      <c r="P947" s="39"/>
      <c r="Q947" s="39"/>
      <c r="R947" s="40"/>
      <c r="S947" s="40"/>
      <c r="T947" s="39"/>
      <c r="U947" s="39"/>
      <c r="V947" s="40"/>
      <c r="W947" s="40"/>
      <c r="X947" s="41"/>
      <c r="Y947" s="41"/>
      <c r="Z947" s="40"/>
      <c r="AA947" s="40"/>
      <c r="AB947" s="41"/>
      <c r="AC947" s="41"/>
      <c r="AD947" s="40"/>
      <c r="AE947" s="40"/>
      <c r="AF947" s="42"/>
      <c r="AG947" s="42"/>
      <c r="AH947" s="40"/>
      <c r="AI947" s="40"/>
      <c r="AJ947" s="42"/>
      <c r="AK947" s="42"/>
      <c r="AL947" s="40"/>
      <c r="AM947" s="40"/>
      <c r="AN947" s="40"/>
      <c r="AO947" s="40"/>
      <c r="AP947" s="40"/>
      <c r="AQ947" s="40"/>
      <c r="AR947" s="39"/>
      <c r="AS947" s="39"/>
      <c r="AT947" s="40"/>
      <c r="AU947" s="40"/>
      <c r="AV947" s="23"/>
    </row>
    <row r="948" spans="1:48" ht="15.75" x14ac:dyDescent="0.25">
      <c r="A948" s="44"/>
      <c r="B948" s="23"/>
      <c r="C948" s="23"/>
      <c r="D948" s="39"/>
      <c r="E948" s="39"/>
      <c r="F948" s="40"/>
      <c r="G948" s="40"/>
      <c r="H948" s="41"/>
      <c r="I948" s="39"/>
      <c r="J948" s="40"/>
      <c r="K948" s="40"/>
      <c r="L948" s="41"/>
      <c r="M948" s="39"/>
      <c r="N948" s="40"/>
      <c r="O948" s="40"/>
      <c r="P948" s="39"/>
      <c r="Q948" s="39"/>
      <c r="R948" s="40"/>
      <c r="S948" s="40"/>
      <c r="T948" s="39"/>
      <c r="U948" s="39"/>
      <c r="V948" s="40"/>
      <c r="W948" s="40"/>
      <c r="X948" s="41"/>
      <c r="Y948" s="41"/>
      <c r="Z948" s="40"/>
      <c r="AA948" s="40"/>
      <c r="AB948" s="41"/>
      <c r="AC948" s="41"/>
      <c r="AD948" s="40"/>
      <c r="AE948" s="40"/>
      <c r="AF948" s="42"/>
      <c r="AG948" s="42"/>
      <c r="AH948" s="40"/>
      <c r="AI948" s="40"/>
      <c r="AJ948" s="42"/>
      <c r="AK948" s="42"/>
      <c r="AL948" s="40"/>
      <c r="AM948" s="40"/>
      <c r="AN948" s="40"/>
      <c r="AO948" s="40"/>
      <c r="AP948" s="40"/>
      <c r="AQ948" s="40"/>
      <c r="AR948" s="39"/>
      <c r="AS948" s="39"/>
      <c r="AT948" s="40"/>
      <c r="AU948" s="40"/>
      <c r="AV948" s="23"/>
    </row>
    <row r="949" spans="1:48" ht="15.75" x14ac:dyDescent="0.25">
      <c r="A949" s="44"/>
      <c r="B949" s="23"/>
      <c r="C949" s="23"/>
      <c r="D949" s="39"/>
      <c r="E949" s="39"/>
      <c r="F949" s="40"/>
      <c r="G949" s="40"/>
      <c r="H949" s="41"/>
      <c r="I949" s="39"/>
      <c r="J949" s="40"/>
      <c r="K949" s="40"/>
      <c r="L949" s="41"/>
      <c r="M949" s="39"/>
      <c r="N949" s="40"/>
      <c r="O949" s="40"/>
      <c r="P949" s="39"/>
      <c r="Q949" s="39"/>
      <c r="R949" s="40"/>
      <c r="S949" s="40"/>
      <c r="T949" s="39"/>
      <c r="U949" s="39"/>
      <c r="V949" s="40"/>
      <c r="W949" s="40"/>
      <c r="X949" s="41"/>
      <c r="Y949" s="41"/>
      <c r="Z949" s="40"/>
      <c r="AA949" s="40"/>
      <c r="AB949" s="41"/>
      <c r="AC949" s="41"/>
      <c r="AD949" s="40"/>
      <c r="AE949" s="40"/>
      <c r="AF949" s="42"/>
      <c r="AG949" s="42"/>
      <c r="AH949" s="40"/>
      <c r="AI949" s="40"/>
      <c r="AJ949" s="42"/>
      <c r="AK949" s="42"/>
      <c r="AL949" s="40"/>
      <c r="AM949" s="40"/>
      <c r="AN949" s="40"/>
      <c r="AO949" s="40"/>
      <c r="AP949" s="40"/>
      <c r="AQ949" s="40"/>
      <c r="AR949" s="39"/>
      <c r="AS949" s="39"/>
      <c r="AT949" s="40"/>
      <c r="AU949" s="40"/>
      <c r="AV949" s="23"/>
    </row>
    <row r="950" spans="1:48" ht="15.75" x14ac:dyDescent="0.25">
      <c r="A950" s="44"/>
      <c r="B950" s="23"/>
      <c r="C950" s="23"/>
      <c r="D950" s="39"/>
      <c r="E950" s="39"/>
      <c r="F950" s="40"/>
      <c r="G950" s="40"/>
      <c r="H950" s="41"/>
      <c r="I950" s="39"/>
      <c r="J950" s="40"/>
      <c r="K950" s="40"/>
      <c r="L950" s="41"/>
      <c r="M950" s="39"/>
      <c r="N950" s="40"/>
      <c r="O950" s="40"/>
      <c r="P950" s="39"/>
      <c r="Q950" s="39"/>
      <c r="R950" s="40"/>
      <c r="S950" s="40"/>
      <c r="T950" s="39"/>
      <c r="U950" s="39"/>
      <c r="V950" s="40"/>
      <c r="W950" s="40"/>
      <c r="X950" s="41"/>
      <c r="Y950" s="41"/>
      <c r="Z950" s="40"/>
      <c r="AA950" s="40"/>
      <c r="AB950" s="41"/>
      <c r="AC950" s="41"/>
      <c r="AD950" s="40"/>
      <c r="AE950" s="40"/>
      <c r="AF950" s="42"/>
      <c r="AG950" s="42"/>
      <c r="AH950" s="40"/>
      <c r="AI950" s="40"/>
      <c r="AJ950" s="42"/>
      <c r="AK950" s="42"/>
      <c r="AL950" s="40"/>
      <c r="AM950" s="40"/>
      <c r="AN950" s="40"/>
      <c r="AO950" s="40"/>
      <c r="AP950" s="40"/>
      <c r="AQ950" s="40"/>
      <c r="AR950" s="39"/>
      <c r="AS950" s="39"/>
      <c r="AT950" s="40"/>
      <c r="AU950" s="40"/>
      <c r="AV950" s="23"/>
    </row>
    <row r="951" spans="1:48" ht="15.75" x14ac:dyDescent="0.25">
      <c r="A951" s="44"/>
      <c r="B951" s="23"/>
      <c r="C951" s="23"/>
      <c r="D951" s="39"/>
      <c r="E951" s="39"/>
      <c r="F951" s="40"/>
      <c r="G951" s="40"/>
      <c r="H951" s="41"/>
      <c r="I951" s="39"/>
      <c r="J951" s="40"/>
      <c r="K951" s="40"/>
      <c r="L951" s="41"/>
      <c r="M951" s="39"/>
      <c r="N951" s="40"/>
      <c r="O951" s="40"/>
      <c r="P951" s="39"/>
      <c r="Q951" s="39"/>
      <c r="R951" s="40"/>
      <c r="S951" s="40"/>
      <c r="T951" s="39"/>
      <c r="U951" s="39"/>
      <c r="V951" s="40"/>
      <c r="W951" s="40"/>
      <c r="X951" s="41"/>
      <c r="Y951" s="41"/>
      <c r="Z951" s="40"/>
      <c r="AA951" s="40"/>
      <c r="AB951" s="41"/>
      <c r="AC951" s="41"/>
      <c r="AD951" s="40"/>
      <c r="AE951" s="40"/>
      <c r="AF951" s="42"/>
      <c r="AG951" s="42"/>
      <c r="AH951" s="40"/>
      <c r="AI951" s="40"/>
      <c r="AJ951" s="42"/>
      <c r="AK951" s="42"/>
      <c r="AL951" s="40"/>
      <c r="AM951" s="40"/>
      <c r="AN951" s="40"/>
      <c r="AO951" s="40"/>
      <c r="AP951" s="40"/>
      <c r="AQ951" s="40"/>
      <c r="AR951" s="39"/>
      <c r="AS951" s="39"/>
      <c r="AT951" s="40"/>
      <c r="AU951" s="40"/>
      <c r="AV951" s="23"/>
    </row>
    <row r="952" spans="1:48" ht="15.75" x14ac:dyDescent="0.25">
      <c r="A952" s="44"/>
      <c r="B952" s="23"/>
      <c r="C952" s="23"/>
      <c r="D952" s="39"/>
      <c r="E952" s="39"/>
      <c r="F952" s="40"/>
      <c r="G952" s="40"/>
      <c r="H952" s="41"/>
      <c r="I952" s="39"/>
      <c r="J952" s="40"/>
      <c r="K952" s="40"/>
      <c r="L952" s="41"/>
      <c r="M952" s="39"/>
      <c r="N952" s="40"/>
      <c r="O952" s="40"/>
      <c r="P952" s="39"/>
      <c r="Q952" s="39"/>
      <c r="R952" s="40"/>
      <c r="S952" s="40"/>
      <c r="T952" s="39"/>
      <c r="U952" s="39"/>
      <c r="V952" s="40"/>
      <c r="W952" s="40"/>
      <c r="X952" s="41"/>
      <c r="Y952" s="41"/>
      <c r="Z952" s="40"/>
      <c r="AA952" s="40"/>
      <c r="AB952" s="41"/>
      <c r="AC952" s="41"/>
      <c r="AD952" s="40"/>
      <c r="AE952" s="40"/>
      <c r="AF952" s="42"/>
      <c r="AG952" s="42"/>
      <c r="AH952" s="40"/>
      <c r="AI952" s="40"/>
      <c r="AJ952" s="42"/>
      <c r="AK952" s="42"/>
      <c r="AL952" s="40"/>
      <c r="AM952" s="40"/>
      <c r="AN952" s="40"/>
      <c r="AO952" s="40"/>
      <c r="AP952" s="40"/>
      <c r="AQ952" s="40"/>
      <c r="AR952" s="39"/>
      <c r="AS952" s="39"/>
      <c r="AT952" s="40"/>
      <c r="AU952" s="40"/>
      <c r="AV952" s="23"/>
    </row>
    <row r="953" spans="1:48" ht="15.75" x14ac:dyDescent="0.25">
      <c r="A953" s="44"/>
      <c r="B953" s="23"/>
      <c r="C953" s="23"/>
      <c r="D953" s="39"/>
      <c r="E953" s="39"/>
      <c r="F953" s="40"/>
      <c r="G953" s="40"/>
      <c r="H953" s="41"/>
      <c r="I953" s="39"/>
      <c r="J953" s="40"/>
      <c r="K953" s="40"/>
      <c r="L953" s="41"/>
      <c r="M953" s="39"/>
      <c r="N953" s="40"/>
      <c r="O953" s="40"/>
      <c r="P953" s="39"/>
      <c r="Q953" s="39"/>
      <c r="R953" s="40"/>
      <c r="S953" s="40"/>
      <c r="T953" s="39"/>
      <c r="U953" s="39"/>
      <c r="V953" s="40"/>
      <c r="W953" s="40"/>
      <c r="X953" s="41"/>
      <c r="Y953" s="41"/>
      <c r="Z953" s="40"/>
      <c r="AA953" s="40"/>
      <c r="AB953" s="41"/>
      <c r="AC953" s="41"/>
      <c r="AD953" s="40"/>
      <c r="AE953" s="40"/>
      <c r="AF953" s="42"/>
      <c r="AG953" s="42"/>
      <c r="AH953" s="40"/>
      <c r="AI953" s="40"/>
      <c r="AJ953" s="42"/>
      <c r="AK953" s="42"/>
      <c r="AL953" s="40"/>
      <c r="AM953" s="40"/>
      <c r="AN953" s="40"/>
      <c r="AO953" s="40"/>
      <c r="AP953" s="40"/>
      <c r="AQ953" s="40"/>
      <c r="AR953" s="39"/>
      <c r="AS953" s="39"/>
      <c r="AT953" s="40"/>
      <c r="AU953" s="40"/>
      <c r="AV953" s="23"/>
    </row>
    <row r="954" spans="1:48" ht="15.75" x14ac:dyDescent="0.25">
      <c r="A954" s="44"/>
      <c r="B954" s="23"/>
      <c r="C954" s="23"/>
      <c r="D954" s="39"/>
      <c r="E954" s="39"/>
      <c r="F954" s="40"/>
      <c r="G954" s="40"/>
      <c r="H954" s="41"/>
      <c r="I954" s="39"/>
      <c r="J954" s="40"/>
      <c r="K954" s="40"/>
      <c r="L954" s="41"/>
      <c r="M954" s="39"/>
      <c r="N954" s="40"/>
      <c r="O954" s="40"/>
      <c r="P954" s="39"/>
      <c r="Q954" s="39"/>
      <c r="R954" s="40"/>
      <c r="S954" s="40"/>
      <c r="T954" s="39"/>
      <c r="U954" s="39"/>
      <c r="V954" s="40"/>
      <c r="W954" s="40"/>
      <c r="X954" s="41"/>
      <c r="Y954" s="41"/>
      <c r="Z954" s="40"/>
      <c r="AA954" s="40"/>
      <c r="AB954" s="41"/>
      <c r="AC954" s="41"/>
      <c r="AD954" s="40"/>
      <c r="AE954" s="40"/>
      <c r="AF954" s="42"/>
      <c r="AG954" s="42"/>
      <c r="AH954" s="40"/>
      <c r="AI954" s="40"/>
      <c r="AJ954" s="42"/>
      <c r="AK954" s="42"/>
      <c r="AL954" s="40"/>
      <c r="AM954" s="40"/>
      <c r="AN954" s="40"/>
      <c r="AO954" s="40"/>
      <c r="AP954" s="40"/>
      <c r="AQ954" s="40"/>
      <c r="AR954" s="39"/>
      <c r="AS954" s="39"/>
      <c r="AT954" s="40"/>
      <c r="AU954" s="40"/>
      <c r="AV954" s="23"/>
    </row>
    <row r="955" spans="1:48" ht="15.75" x14ac:dyDescent="0.25">
      <c r="A955" s="44"/>
      <c r="B955" s="23"/>
      <c r="C955" s="23"/>
      <c r="D955" s="39"/>
      <c r="E955" s="39"/>
      <c r="F955" s="40"/>
      <c r="G955" s="40"/>
      <c r="H955" s="41"/>
      <c r="I955" s="39"/>
      <c r="J955" s="40"/>
      <c r="K955" s="40"/>
      <c r="L955" s="41"/>
      <c r="M955" s="39"/>
      <c r="N955" s="40"/>
      <c r="O955" s="40"/>
      <c r="P955" s="39"/>
      <c r="Q955" s="39"/>
      <c r="R955" s="40"/>
      <c r="S955" s="40"/>
      <c r="T955" s="39"/>
      <c r="U955" s="39"/>
      <c r="V955" s="40"/>
      <c r="W955" s="40"/>
      <c r="X955" s="41"/>
      <c r="Y955" s="41"/>
      <c r="Z955" s="40"/>
      <c r="AA955" s="40"/>
      <c r="AB955" s="41"/>
      <c r="AC955" s="41"/>
      <c r="AD955" s="40"/>
      <c r="AE955" s="40"/>
      <c r="AF955" s="42"/>
      <c r="AG955" s="42"/>
      <c r="AH955" s="40"/>
      <c r="AI955" s="40"/>
      <c r="AJ955" s="42"/>
      <c r="AK955" s="42"/>
      <c r="AL955" s="40"/>
      <c r="AM955" s="40"/>
      <c r="AN955" s="40"/>
      <c r="AO955" s="40"/>
      <c r="AP955" s="40"/>
      <c r="AQ955" s="40"/>
      <c r="AR955" s="39"/>
      <c r="AS955" s="39"/>
      <c r="AT955" s="40"/>
      <c r="AU955" s="40"/>
      <c r="AV955" s="23"/>
    </row>
    <row r="956" spans="1:48" ht="15.75" x14ac:dyDescent="0.25">
      <c r="A956" s="44"/>
      <c r="B956" s="23"/>
      <c r="C956" s="23"/>
      <c r="D956" s="39"/>
      <c r="E956" s="39"/>
      <c r="F956" s="40"/>
      <c r="G956" s="40"/>
      <c r="H956" s="41"/>
      <c r="I956" s="39"/>
      <c r="J956" s="40"/>
      <c r="K956" s="40"/>
      <c r="L956" s="41"/>
      <c r="M956" s="39"/>
      <c r="N956" s="40"/>
      <c r="O956" s="40"/>
      <c r="P956" s="39"/>
      <c r="Q956" s="39"/>
      <c r="R956" s="40"/>
      <c r="S956" s="40"/>
      <c r="T956" s="39"/>
      <c r="U956" s="39"/>
      <c r="V956" s="40"/>
      <c r="W956" s="40"/>
      <c r="X956" s="41"/>
      <c r="Y956" s="41"/>
      <c r="Z956" s="40"/>
      <c r="AA956" s="40"/>
      <c r="AB956" s="41"/>
      <c r="AC956" s="41"/>
      <c r="AD956" s="40"/>
      <c r="AE956" s="40"/>
      <c r="AF956" s="42"/>
      <c r="AG956" s="42"/>
      <c r="AH956" s="40"/>
      <c r="AI956" s="40"/>
      <c r="AJ956" s="42"/>
      <c r="AK956" s="42"/>
      <c r="AL956" s="40"/>
      <c r="AM956" s="40"/>
      <c r="AN956" s="40"/>
      <c r="AO956" s="40"/>
      <c r="AP956" s="40"/>
      <c r="AQ956" s="40"/>
      <c r="AR956" s="39"/>
      <c r="AS956" s="39"/>
      <c r="AT956" s="40"/>
      <c r="AU956" s="40"/>
      <c r="AV956" s="23"/>
    </row>
    <row r="957" spans="1:48" ht="15.75" x14ac:dyDescent="0.25">
      <c r="A957" s="44"/>
      <c r="B957" s="23"/>
      <c r="C957" s="23"/>
      <c r="D957" s="39"/>
      <c r="E957" s="39"/>
      <c r="F957" s="40"/>
      <c r="G957" s="40"/>
      <c r="H957" s="41"/>
      <c r="I957" s="39"/>
      <c r="J957" s="40"/>
      <c r="K957" s="40"/>
      <c r="L957" s="41"/>
      <c r="M957" s="39"/>
      <c r="N957" s="40"/>
      <c r="O957" s="40"/>
      <c r="P957" s="39"/>
      <c r="Q957" s="39"/>
      <c r="R957" s="40"/>
      <c r="S957" s="40"/>
      <c r="T957" s="39"/>
      <c r="U957" s="39"/>
      <c r="V957" s="40"/>
      <c r="W957" s="40"/>
      <c r="X957" s="41"/>
      <c r="Y957" s="41"/>
      <c r="Z957" s="40"/>
      <c r="AA957" s="40"/>
      <c r="AB957" s="41"/>
      <c r="AC957" s="41"/>
      <c r="AD957" s="40"/>
      <c r="AE957" s="40"/>
      <c r="AF957" s="42"/>
      <c r="AG957" s="42"/>
      <c r="AH957" s="40"/>
      <c r="AI957" s="40"/>
      <c r="AJ957" s="42"/>
      <c r="AK957" s="42"/>
      <c r="AL957" s="40"/>
      <c r="AM957" s="40"/>
      <c r="AN957" s="40"/>
      <c r="AO957" s="40"/>
      <c r="AP957" s="40"/>
      <c r="AQ957" s="40"/>
      <c r="AR957" s="39"/>
      <c r="AS957" s="39"/>
      <c r="AT957" s="40"/>
      <c r="AU957" s="40"/>
      <c r="AV957" s="23"/>
    </row>
    <row r="958" spans="1:48" ht="15.75" x14ac:dyDescent="0.25">
      <c r="A958" s="44"/>
      <c r="B958" s="23"/>
      <c r="C958" s="23"/>
      <c r="D958" s="39"/>
      <c r="E958" s="39"/>
      <c r="F958" s="40"/>
      <c r="G958" s="40"/>
      <c r="H958" s="41"/>
      <c r="I958" s="39"/>
      <c r="J958" s="40"/>
      <c r="K958" s="40"/>
      <c r="L958" s="41"/>
      <c r="M958" s="39"/>
      <c r="N958" s="40"/>
      <c r="O958" s="40"/>
      <c r="P958" s="39"/>
      <c r="Q958" s="39"/>
      <c r="R958" s="40"/>
      <c r="S958" s="40"/>
      <c r="T958" s="39"/>
      <c r="U958" s="39"/>
      <c r="V958" s="40"/>
      <c r="W958" s="40"/>
      <c r="X958" s="41"/>
      <c r="Y958" s="41"/>
      <c r="Z958" s="40"/>
      <c r="AA958" s="40"/>
      <c r="AB958" s="41"/>
      <c r="AC958" s="41"/>
      <c r="AD958" s="40"/>
      <c r="AE958" s="40"/>
      <c r="AF958" s="42"/>
      <c r="AG958" s="42"/>
      <c r="AH958" s="40"/>
      <c r="AI958" s="40"/>
      <c r="AJ958" s="42"/>
      <c r="AK958" s="42"/>
      <c r="AL958" s="40"/>
      <c r="AM958" s="40"/>
      <c r="AN958" s="40"/>
      <c r="AO958" s="40"/>
      <c r="AP958" s="40"/>
      <c r="AQ958" s="40"/>
      <c r="AR958" s="39"/>
      <c r="AS958" s="39"/>
      <c r="AT958" s="40"/>
      <c r="AU958" s="40"/>
      <c r="AV958" s="23"/>
    </row>
    <row r="959" spans="1:48" ht="15.75" x14ac:dyDescent="0.25">
      <c r="A959" s="44"/>
      <c r="B959" s="23"/>
      <c r="C959" s="23"/>
      <c r="D959" s="39"/>
      <c r="E959" s="39"/>
      <c r="F959" s="40"/>
      <c r="G959" s="40"/>
      <c r="H959" s="41"/>
      <c r="I959" s="39"/>
      <c r="J959" s="40"/>
      <c r="K959" s="40"/>
      <c r="L959" s="41"/>
      <c r="M959" s="39"/>
      <c r="N959" s="40"/>
      <c r="O959" s="40"/>
      <c r="P959" s="39"/>
      <c r="Q959" s="39"/>
      <c r="R959" s="40"/>
      <c r="S959" s="40"/>
      <c r="T959" s="39"/>
      <c r="U959" s="39"/>
      <c r="V959" s="40"/>
      <c r="W959" s="40"/>
      <c r="X959" s="41"/>
      <c r="Y959" s="41"/>
      <c r="Z959" s="40"/>
      <c r="AA959" s="40"/>
      <c r="AB959" s="41"/>
      <c r="AC959" s="41"/>
      <c r="AD959" s="40"/>
      <c r="AE959" s="40"/>
      <c r="AF959" s="42"/>
      <c r="AG959" s="42"/>
      <c r="AH959" s="40"/>
      <c r="AI959" s="40"/>
      <c r="AJ959" s="42"/>
      <c r="AK959" s="42"/>
      <c r="AL959" s="40"/>
      <c r="AM959" s="40"/>
      <c r="AN959" s="40"/>
      <c r="AO959" s="40"/>
      <c r="AP959" s="40"/>
      <c r="AQ959" s="40"/>
      <c r="AR959" s="39"/>
      <c r="AS959" s="39"/>
      <c r="AT959" s="40"/>
      <c r="AU959" s="40"/>
      <c r="AV959" s="23"/>
    </row>
    <row r="960" spans="1:48" ht="15.75" x14ac:dyDescent="0.25">
      <c r="A960" s="44"/>
      <c r="B960" s="23"/>
      <c r="C960" s="23"/>
      <c r="D960" s="39"/>
      <c r="E960" s="39"/>
      <c r="F960" s="40"/>
      <c r="G960" s="40"/>
      <c r="H960" s="41"/>
      <c r="I960" s="39"/>
      <c r="J960" s="40"/>
      <c r="K960" s="40"/>
      <c r="L960" s="41"/>
      <c r="M960" s="39"/>
      <c r="N960" s="40"/>
      <c r="O960" s="40"/>
      <c r="P960" s="39"/>
      <c r="Q960" s="39"/>
      <c r="R960" s="40"/>
      <c r="S960" s="40"/>
      <c r="T960" s="39"/>
      <c r="U960" s="39"/>
      <c r="V960" s="40"/>
      <c r="W960" s="40"/>
      <c r="X960" s="41"/>
      <c r="Y960" s="41"/>
      <c r="Z960" s="40"/>
      <c r="AA960" s="40"/>
      <c r="AB960" s="41"/>
      <c r="AC960" s="41"/>
      <c r="AD960" s="40"/>
      <c r="AE960" s="40"/>
      <c r="AF960" s="42"/>
      <c r="AG960" s="42"/>
      <c r="AH960" s="40"/>
      <c r="AI960" s="40"/>
      <c r="AJ960" s="42"/>
      <c r="AK960" s="42"/>
      <c r="AL960" s="40"/>
      <c r="AM960" s="40"/>
      <c r="AN960" s="40"/>
      <c r="AO960" s="40"/>
      <c r="AP960" s="40"/>
      <c r="AQ960" s="40"/>
      <c r="AR960" s="39"/>
      <c r="AS960" s="39"/>
      <c r="AT960" s="40"/>
      <c r="AU960" s="40"/>
      <c r="AV960" s="23"/>
    </row>
    <row r="961" spans="1:48" ht="15.75" x14ac:dyDescent="0.25">
      <c r="A961" s="44"/>
      <c r="B961" s="23"/>
      <c r="C961" s="23"/>
      <c r="D961" s="39"/>
      <c r="E961" s="39"/>
      <c r="F961" s="40"/>
      <c r="G961" s="40"/>
      <c r="H961" s="41"/>
      <c r="I961" s="39"/>
      <c r="J961" s="40"/>
      <c r="K961" s="40"/>
      <c r="L961" s="41"/>
      <c r="M961" s="39"/>
      <c r="N961" s="40"/>
      <c r="O961" s="40"/>
      <c r="P961" s="39"/>
      <c r="Q961" s="39"/>
      <c r="R961" s="40"/>
      <c r="S961" s="40"/>
      <c r="T961" s="39"/>
      <c r="U961" s="39"/>
      <c r="V961" s="40"/>
      <c r="W961" s="40"/>
      <c r="X961" s="41"/>
      <c r="Y961" s="41"/>
      <c r="Z961" s="40"/>
      <c r="AA961" s="40"/>
      <c r="AB961" s="41"/>
      <c r="AC961" s="41"/>
      <c r="AD961" s="40"/>
      <c r="AE961" s="40"/>
      <c r="AF961" s="42"/>
      <c r="AG961" s="42"/>
      <c r="AH961" s="40"/>
      <c r="AI961" s="40"/>
      <c r="AJ961" s="42"/>
      <c r="AK961" s="42"/>
      <c r="AL961" s="40"/>
      <c r="AM961" s="40"/>
      <c r="AN961" s="40"/>
      <c r="AO961" s="40"/>
      <c r="AP961" s="40"/>
      <c r="AQ961" s="40"/>
      <c r="AR961" s="39"/>
      <c r="AS961" s="39"/>
      <c r="AT961" s="40"/>
      <c r="AU961" s="40"/>
      <c r="AV961" s="23"/>
    </row>
    <row r="962" spans="1:48" ht="15.75" x14ac:dyDescent="0.25">
      <c r="A962" s="44"/>
      <c r="B962" s="23"/>
      <c r="C962" s="23"/>
      <c r="D962" s="39"/>
      <c r="E962" s="39"/>
      <c r="F962" s="40"/>
      <c r="G962" s="40"/>
      <c r="H962" s="41"/>
      <c r="I962" s="39"/>
      <c r="J962" s="40"/>
      <c r="K962" s="40"/>
      <c r="L962" s="41"/>
      <c r="M962" s="39"/>
      <c r="N962" s="40"/>
      <c r="O962" s="40"/>
      <c r="P962" s="39"/>
      <c r="Q962" s="39"/>
      <c r="R962" s="40"/>
      <c r="S962" s="40"/>
      <c r="T962" s="39"/>
      <c r="U962" s="39"/>
      <c r="V962" s="40"/>
      <c r="W962" s="40"/>
      <c r="X962" s="41"/>
      <c r="Y962" s="41"/>
      <c r="Z962" s="40"/>
      <c r="AA962" s="40"/>
      <c r="AB962" s="41"/>
      <c r="AC962" s="41"/>
      <c r="AD962" s="40"/>
      <c r="AE962" s="40"/>
      <c r="AF962" s="42"/>
      <c r="AG962" s="42"/>
      <c r="AH962" s="40"/>
      <c r="AI962" s="40"/>
      <c r="AJ962" s="42"/>
      <c r="AK962" s="42"/>
      <c r="AL962" s="40"/>
      <c r="AM962" s="40"/>
      <c r="AN962" s="40"/>
      <c r="AO962" s="40"/>
      <c r="AP962" s="40"/>
      <c r="AQ962" s="40"/>
      <c r="AR962" s="39"/>
      <c r="AS962" s="39"/>
      <c r="AT962" s="40"/>
      <c r="AU962" s="40"/>
      <c r="AV962" s="23"/>
    </row>
    <row r="963" spans="1:48" ht="15.75" x14ac:dyDescent="0.25">
      <c r="A963" s="44"/>
      <c r="B963" s="23"/>
      <c r="C963" s="23"/>
      <c r="D963" s="39"/>
      <c r="E963" s="39"/>
      <c r="F963" s="40"/>
      <c r="G963" s="40"/>
      <c r="H963" s="41"/>
      <c r="I963" s="39"/>
      <c r="J963" s="40"/>
      <c r="K963" s="40"/>
      <c r="L963" s="41"/>
      <c r="M963" s="39"/>
      <c r="N963" s="40"/>
      <c r="O963" s="40"/>
      <c r="P963" s="39"/>
      <c r="Q963" s="39"/>
      <c r="R963" s="40"/>
      <c r="S963" s="40"/>
      <c r="T963" s="39"/>
      <c r="U963" s="39"/>
      <c r="V963" s="40"/>
      <c r="W963" s="40"/>
      <c r="X963" s="41"/>
      <c r="Y963" s="41"/>
      <c r="Z963" s="40"/>
      <c r="AA963" s="40"/>
      <c r="AB963" s="41"/>
      <c r="AC963" s="41"/>
      <c r="AD963" s="40"/>
      <c r="AE963" s="40"/>
      <c r="AF963" s="42"/>
      <c r="AG963" s="42"/>
      <c r="AH963" s="40"/>
      <c r="AI963" s="40"/>
      <c r="AJ963" s="42"/>
      <c r="AK963" s="42"/>
      <c r="AL963" s="40"/>
      <c r="AM963" s="40"/>
      <c r="AN963" s="40"/>
      <c r="AO963" s="40"/>
      <c r="AP963" s="40"/>
      <c r="AQ963" s="40"/>
      <c r="AR963" s="39"/>
      <c r="AS963" s="39"/>
      <c r="AT963" s="40"/>
      <c r="AU963" s="40"/>
      <c r="AV963" s="23"/>
    </row>
    <row r="964" spans="1:48" ht="15.75" x14ac:dyDescent="0.25">
      <c r="A964" s="44"/>
      <c r="B964" s="23"/>
      <c r="C964" s="23"/>
      <c r="D964" s="39"/>
      <c r="E964" s="39"/>
      <c r="F964" s="40"/>
      <c r="G964" s="40"/>
      <c r="H964" s="41"/>
      <c r="I964" s="39"/>
      <c r="J964" s="40"/>
      <c r="K964" s="40"/>
      <c r="L964" s="41"/>
      <c r="M964" s="39"/>
      <c r="N964" s="40"/>
      <c r="O964" s="40"/>
      <c r="P964" s="39"/>
      <c r="Q964" s="39"/>
      <c r="R964" s="40"/>
      <c r="S964" s="40"/>
      <c r="T964" s="39"/>
      <c r="U964" s="39"/>
      <c r="V964" s="40"/>
      <c r="W964" s="40"/>
      <c r="X964" s="41"/>
      <c r="Y964" s="41"/>
      <c r="Z964" s="40"/>
      <c r="AA964" s="40"/>
      <c r="AB964" s="41"/>
      <c r="AC964" s="41"/>
      <c r="AD964" s="40"/>
      <c r="AE964" s="40"/>
      <c r="AF964" s="42"/>
      <c r="AG964" s="42"/>
      <c r="AH964" s="40"/>
      <c r="AI964" s="40"/>
      <c r="AJ964" s="42"/>
      <c r="AK964" s="42"/>
      <c r="AL964" s="40"/>
      <c r="AM964" s="40"/>
      <c r="AN964" s="40"/>
      <c r="AO964" s="40"/>
      <c r="AP964" s="40"/>
      <c r="AQ964" s="40"/>
      <c r="AR964" s="39"/>
      <c r="AS964" s="39"/>
      <c r="AT964" s="40"/>
      <c r="AU964" s="40"/>
      <c r="AV964" s="23"/>
    </row>
    <row r="965" spans="1:48" ht="15.75" x14ac:dyDescent="0.25">
      <c r="A965" s="44"/>
      <c r="B965" s="23"/>
      <c r="C965" s="23"/>
      <c r="D965" s="39"/>
      <c r="E965" s="39"/>
      <c r="F965" s="40"/>
      <c r="G965" s="40"/>
      <c r="H965" s="41"/>
      <c r="I965" s="39"/>
      <c r="J965" s="40"/>
      <c r="K965" s="40"/>
      <c r="L965" s="41"/>
      <c r="M965" s="39"/>
      <c r="N965" s="40"/>
      <c r="O965" s="40"/>
      <c r="P965" s="39"/>
      <c r="Q965" s="39"/>
      <c r="R965" s="40"/>
      <c r="S965" s="40"/>
      <c r="T965" s="39"/>
      <c r="U965" s="39"/>
      <c r="V965" s="40"/>
      <c r="W965" s="40"/>
      <c r="X965" s="41"/>
      <c r="Y965" s="41"/>
      <c r="Z965" s="40"/>
      <c r="AA965" s="40"/>
      <c r="AB965" s="41"/>
      <c r="AC965" s="41"/>
      <c r="AD965" s="40"/>
      <c r="AE965" s="40"/>
      <c r="AF965" s="42"/>
      <c r="AG965" s="42"/>
      <c r="AH965" s="40"/>
      <c r="AI965" s="40"/>
      <c r="AJ965" s="42"/>
      <c r="AK965" s="42"/>
      <c r="AL965" s="40"/>
      <c r="AM965" s="40"/>
      <c r="AN965" s="40"/>
      <c r="AO965" s="40"/>
      <c r="AP965" s="40"/>
      <c r="AQ965" s="40"/>
      <c r="AR965" s="39"/>
      <c r="AS965" s="39"/>
      <c r="AT965" s="40"/>
      <c r="AU965" s="40"/>
      <c r="AV965" s="23"/>
    </row>
    <row r="966" spans="1:48" ht="15.75" x14ac:dyDescent="0.25">
      <c r="A966" s="44"/>
      <c r="B966" s="23"/>
      <c r="C966" s="23"/>
      <c r="D966" s="39"/>
      <c r="E966" s="39"/>
      <c r="F966" s="40"/>
      <c r="G966" s="40"/>
      <c r="H966" s="41"/>
      <c r="I966" s="39"/>
      <c r="J966" s="40"/>
      <c r="K966" s="40"/>
      <c r="L966" s="41"/>
      <c r="M966" s="39"/>
      <c r="N966" s="40"/>
      <c r="O966" s="40"/>
      <c r="P966" s="39"/>
      <c r="Q966" s="39"/>
      <c r="R966" s="40"/>
      <c r="S966" s="40"/>
      <c r="T966" s="39"/>
      <c r="U966" s="39"/>
      <c r="V966" s="40"/>
      <c r="W966" s="40"/>
      <c r="X966" s="41"/>
      <c r="Y966" s="41"/>
      <c r="Z966" s="40"/>
      <c r="AA966" s="40"/>
      <c r="AB966" s="41"/>
      <c r="AC966" s="41"/>
      <c r="AD966" s="40"/>
      <c r="AE966" s="40"/>
      <c r="AF966" s="42"/>
      <c r="AG966" s="42"/>
      <c r="AH966" s="40"/>
      <c r="AI966" s="40"/>
      <c r="AJ966" s="42"/>
      <c r="AK966" s="42"/>
      <c r="AL966" s="40"/>
      <c r="AM966" s="40"/>
      <c r="AN966" s="40"/>
      <c r="AO966" s="40"/>
      <c r="AP966" s="40"/>
      <c r="AQ966" s="40"/>
      <c r="AR966" s="39"/>
      <c r="AS966" s="39"/>
      <c r="AT966" s="40"/>
      <c r="AU966" s="40"/>
      <c r="AV966" s="23"/>
    </row>
    <row r="967" spans="1:48" ht="15.75" x14ac:dyDescent="0.25">
      <c r="A967" s="44"/>
      <c r="B967" s="23"/>
      <c r="C967" s="23"/>
      <c r="D967" s="39"/>
      <c r="E967" s="39"/>
      <c r="F967" s="40"/>
      <c r="G967" s="40"/>
      <c r="H967" s="41"/>
      <c r="I967" s="39"/>
      <c r="J967" s="40"/>
      <c r="K967" s="40"/>
      <c r="L967" s="41"/>
      <c r="M967" s="39"/>
      <c r="N967" s="40"/>
      <c r="O967" s="40"/>
      <c r="P967" s="39"/>
      <c r="Q967" s="39"/>
      <c r="R967" s="40"/>
      <c r="S967" s="40"/>
      <c r="T967" s="39"/>
      <c r="U967" s="39"/>
      <c r="V967" s="40"/>
      <c r="W967" s="40"/>
      <c r="X967" s="41"/>
      <c r="Y967" s="41"/>
      <c r="Z967" s="40"/>
      <c r="AA967" s="40"/>
      <c r="AB967" s="41"/>
      <c r="AC967" s="41"/>
      <c r="AD967" s="40"/>
      <c r="AE967" s="40"/>
      <c r="AF967" s="42"/>
      <c r="AG967" s="42"/>
      <c r="AH967" s="40"/>
      <c r="AI967" s="40"/>
      <c r="AJ967" s="42"/>
      <c r="AK967" s="42"/>
      <c r="AL967" s="40"/>
      <c r="AM967" s="40"/>
      <c r="AN967" s="40"/>
      <c r="AO967" s="40"/>
      <c r="AP967" s="40"/>
      <c r="AQ967" s="40"/>
      <c r="AR967" s="39"/>
      <c r="AS967" s="39"/>
      <c r="AT967" s="40"/>
      <c r="AU967" s="40"/>
      <c r="AV967" s="23"/>
    </row>
    <row r="968" spans="1:48" ht="15.75" x14ac:dyDescent="0.25">
      <c r="A968" s="44"/>
      <c r="B968" s="23"/>
      <c r="C968" s="23"/>
      <c r="D968" s="39"/>
      <c r="E968" s="39"/>
      <c r="F968" s="40"/>
      <c r="G968" s="40"/>
      <c r="H968" s="41"/>
      <c r="I968" s="39"/>
      <c r="J968" s="40"/>
      <c r="K968" s="40"/>
      <c r="L968" s="41"/>
      <c r="M968" s="39"/>
      <c r="N968" s="40"/>
      <c r="O968" s="40"/>
      <c r="P968" s="39"/>
      <c r="Q968" s="39"/>
      <c r="R968" s="40"/>
      <c r="S968" s="40"/>
      <c r="T968" s="39"/>
      <c r="U968" s="39"/>
      <c r="V968" s="40"/>
      <c r="W968" s="40"/>
      <c r="X968" s="41"/>
      <c r="Y968" s="41"/>
      <c r="Z968" s="40"/>
      <c r="AA968" s="40"/>
      <c r="AB968" s="41"/>
      <c r="AC968" s="41"/>
      <c r="AD968" s="40"/>
      <c r="AE968" s="40"/>
      <c r="AF968" s="42"/>
      <c r="AG968" s="42"/>
      <c r="AH968" s="40"/>
      <c r="AI968" s="40"/>
      <c r="AJ968" s="42"/>
      <c r="AK968" s="42"/>
      <c r="AL968" s="40"/>
      <c r="AM968" s="40"/>
      <c r="AN968" s="40"/>
      <c r="AO968" s="40"/>
      <c r="AP968" s="40"/>
      <c r="AQ968" s="40"/>
      <c r="AR968" s="39"/>
      <c r="AS968" s="39"/>
      <c r="AT968" s="40"/>
      <c r="AU968" s="40"/>
      <c r="AV968" s="23"/>
    </row>
    <row r="969" spans="1:48" ht="15.75" x14ac:dyDescent="0.25">
      <c r="A969" s="44"/>
      <c r="B969" s="23"/>
      <c r="C969" s="23"/>
      <c r="D969" s="39"/>
      <c r="E969" s="39"/>
      <c r="F969" s="40"/>
      <c r="G969" s="40"/>
      <c r="H969" s="41"/>
      <c r="I969" s="39"/>
      <c r="J969" s="40"/>
      <c r="K969" s="40"/>
      <c r="L969" s="41"/>
      <c r="M969" s="39"/>
      <c r="N969" s="40"/>
      <c r="O969" s="40"/>
      <c r="P969" s="39"/>
      <c r="Q969" s="39"/>
      <c r="R969" s="40"/>
      <c r="S969" s="40"/>
      <c r="T969" s="39"/>
      <c r="U969" s="39"/>
      <c r="V969" s="40"/>
      <c r="W969" s="40"/>
      <c r="X969" s="41"/>
      <c r="Y969" s="41"/>
      <c r="Z969" s="40"/>
      <c r="AA969" s="40"/>
      <c r="AB969" s="41"/>
      <c r="AC969" s="41"/>
      <c r="AD969" s="40"/>
      <c r="AE969" s="40"/>
      <c r="AF969" s="42"/>
      <c r="AG969" s="42"/>
      <c r="AH969" s="40"/>
      <c r="AI969" s="40"/>
      <c r="AJ969" s="42"/>
      <c r="AK969" s="42"/>
      <c r="AL969" s="40"/>
      <c r="AM969" s="40"/>
      <c r="AN969" s="40"/>
      <c r="AO969" s="40"/>
      <c r="AP969" s="40"/>
      <c r="AQ969" s="40"/>
      <c r="AR969" s="39"/>
      <c r="AS969" s="39"/>
      <c r="AT969" s="40"/>
      <c r="AU969" s="40"/>
      <c r="AV969" s="23"/>
    </row>
    <row r="970" spans="1:48" ht="15.75" x14ac:dyDescent="0.25">
      <c r="A970" s="44"/>
      <c r="B970" s="23"/>
      <c r="C970" s="23"/>
      <c r="D970" s="39"/>
      <c r="E970" s="39"/>
      <c r="F970" s="40"/>
      <c r="G970" s="40"/>
      <c r="H970" s="41"/>
      <c r="I970" s="39"/>
      <c r="J970" s="40"/>
      <c r="K970" s="40"/>
      <c r="L970" s="41"/>
      <c r="M970" s="39"/>
      <c r="N970" s="40"/>
      <c r="O970" s="40"/>
      <c r="P970" s="39"/>
      <c r="Q970" s="39"/>
      <c r="R970" s="40"/>
      <c r="S970" s="40"/>
      <c r="T970" s="39"/>
      <c r="U970" s="39"/>
      <c r="V970" s="40"/>
      <c r="W970" s="40"/>
      <c r="X970" s="41"/>
      <c r="Y970" s="41"/>
      <c r="Z970" s="40"/>
      <c r="AA970" s="40"/>
      <c r="AB970" s="41"/>
      <c r="AC970" s="41"/>
      <c r="AD970" s="40"/>
      <c r="AE970" s="40"/>
      <c r="AF970" s="42"/>
      <c r="AG970" s="42"/>
      <c r="AH970" s="40"/>
      <c r="AI970" s="40"/>
      <c r="AJ970" s="42"/>
      <c r="AK970" s="42"/>
      <c r="AL970" s="40"/>
      <c r="AM970" s="40"/>
      <c r="AN970" s="40"/>
      <c r="AO970" s="40"/>
      <c r="AP970" s="40"/>
      <c r="AQ970" s="40"/>
      <c r="AR970" s="39"/>
      <c r="AS970" s="39"/>
      <c r="AT970" s="40"/>
      <c r="AU970" s="40"/>
      <c r="AV970" s="23"/>
    </row>
    <row r="971" spans="1:48" ht="15.75" x14ac:dyDescent="0.25">
      <c r="A971" s="44"/>
      <c r="B971" s="23"/>
      <c r="C971" s="23"/>
      <c r="D971" s="39"/>
      <c r="E971" s="39"/>
      <c r="F971" s="40"/>
      <c r="G971" s="40"/>
      <c r="H971" s="41"/>
      <c r="I971" s="39"/>
      <c r="J971" s="40"/>
      <c r="K971" s="40"/>
      <c r="L971" s="41"/>
      <c r="M971" s="39"/>
      <c r="N971" s="40"/>
      <c r="O971" s="40"/>
      <c r="P971" s="39"/>
      <c r="Q971" s="39"/>
      <c r="R971" s="40"/>
      <c r="S971" s="40"/>
      <c r="T971" s="39"/>
      <c r="U971" s="39"/>
      <c r="V971" s="40"/>
      <c r="W971" s="40"/>
      <c r="X971" s="41"/>
      <c r="Y971" s="41"/>
      <c r="Z971" s="40"/>
      <c r="AA971" s="40"/>
      <c r="AB971" s="41"/>
      <c r="AC971" s="41"/>
      <c r="AD971" s="40"/>
      <c r="AE971" s="40"/>
      <c r="AF971" s="42"/>
      <c r="AG971" s="42"/>
      <c r="AH971" s="40"/>
      <c r="AI971" s="40"/>
      <c r="AJ971" s="42"/>
      <c r="AK971" s="42"/>
      <c r="AL971" s="40"/>
      <c r="AM971" s="40"/>
      <c r="AN971" s="40"/>
      <c r="AO971" s="40"/>
      <c r="AP971" s="40"/>
      <c r="AQ971" s="40"/>
      <c r="AR971" s="39"/>
      <c r="AS971" s="39"/>
      <c r="AT971" s="40"/>
      <c r="AU971" s="40"/>
      <c r="AV971" s="23"/>
    </row>
    <row r="972" spans="1:48" ht="15.75" x14ac:dyDescent="0.25">
      <c r="A972" s="44"/>
      <c r="B972" s="23"/>
      <c r="C972" s="23"/>
      <c r="D972" s="39"/>
      <c r="E972" s="39"/>
      <c r="F972" s="40"/>
      <c r="G972" s="40"/>
      <c r="H972" s="41"/>
      <c r="I972" s="39"/>
      <c r="J972" s="40"/>
      <c r="K972" s="40"/>
      <c r="L972" s="41"/>
      <c r="M972" s="39"/>
      <c r="N972" s="40"/>
      <c r="O972" s="40"/>
      <c r="P972" s="39"/>
      <c r="Q972" s="39"/>
      <c r="R972" s="40"/>
      <c r="S972" s="40"/>
      <c r="T972" s="39"/>
      <c r="U972" s="39"/>
      <c r="V972" s="40"/>
      <c r="W972" s="40"/>
      <c r="X972" s="41"/>
      <c r="Y972" s="41"/>
      <c r="Z972" s="40"/>
      <c r="AA972" s="40"/>
      <c r="AB972" s="41"/>
      <c r="AC972" s="41"/>
      <c r="AD972" s="40"/>
      <c r="AE972" s="40"/>
      <c r="AF972" s="42"/>
      <c r="AG972" s="42"/>
      <c r="AH972" s="40"/>
      <c r="AI972" s="40"/>
      <c r="AJ972" s="42"/>
      <c r="AK972" s="42"/>
      <c r="AL972" s="40"/>
      <c r="AM972" s="40"/>
      <c r="AN972" s="40"/>
      <c r="AO972" s="40"/>
      <c r="AP972" s="40"/>
      <c r="AQ972" s="40"/>
      <c r="AR972" s="39"/>
      <c r="AS972" s="39"/>
      <c r="AT972" s="40"/>
      <c r="AU972" s="40"/>
      <c r="AV972" s="23"/>
    </row>
    <row r="973" spans="1:48" ht="15.75" x14ac:dyDescent="0.25">
      <c r="A973" s="44"/>
      <c r="B973" s="23"/>
      <c r="C973" s="23"/>
      <c r="D973" s="39"/>
      <c r="E973" s="39"/>
      <c r="F973" s="40"/>
      <c r="G973" s="40"/>
      <c r="H973" s="41"/>
      <c r="I973" s="39"/>
      <c r="J973" s="40"/>
      <c r="K973" s="40"/>
      <c r="L973" s="41"/>
      <c r="M973" s="39"/>
      <c r="N973" s="40"/>
      <c r="O973" s="40"/>
      <c r="P973" s="39"/>
      <c r="Q973" s="39"/>
      <c r="R973" s="40"/>
      <c r="S973" s="40"/>
      <c r="T973" s="39"/>
      <c r="U973" s="39"/>
      <c r="V973" s="40"/>
      <c r="W973" s="40"/>
      <c r="X973" s="41"/>
      <c r="Y973" s="41"/>
      <c r="Z973" s="40"/>
      <c r="AA973" s="40"/>
      <c r="AB973" s="41"/>
      <c r="AC973" s="41"/>
      <c r="AD973" s="40"/>
      <c r="AE973" s="40"/>
      <c r="AF973" s="42"/>
      <c r="AG973" s="42"/>
      <c r="AH973" s="40"/>
      <c r="AI973" s="40"/>
      <c r="AJ973" s="42"/>
      <c r="AK973" s="42"/>
      <c r="AL973" s="40"/>
      <c r="AM973" s="40"/>
      <c r="AN973" s="40"/>
      <c r="AO973" s="40"/>
      <c r="AP973" s="40"/>
      <c r="AQ973" s="40"/>
      <c r="AR973" s="39"/>
      <c r="AS973" s="39"/>
      <c r="AT973" s="40"/>
      <c r="AU973" s="40"/>
      <c r="AV973" s="23"/>
    </row>
    <row r="974" spans="1:48" ht="15.75" x14ac:dyDescent="0.25">
      <c r="A974" s="44"/>
      <c r="B974" s="23"/>
      <c r="C974" s="23"/>
      <c r="D974" s="39"/>
      <c r="E974" s="39"/>
      <c r="F974" s="40"/>
      <c r="G974" s="40"/>
      <c r="H974" s="41"/>
      <c r="I974" s="39"/>
      <c r="J974" s="40"/>
      <c r="K974" s="40"/>
      <c r="L974" s="41"/>
      <c r="M974" s="39"/>
      <c r="N974" s="40"/>
      <c r="O974" s="40"/>
      <c r="P974" s="39"/>
      <c r="Q974" s="39"/>
      <c r="R974" s="40"/>
      <c r="S974" s="40"/>
      <c r="T974" s="39"/>
      <c r="U974" s="39"/>
      <c r="V974" s="40"/>
      <c r="W974" s="40"/>
      <c r="X974" s="41"/>
      <c r="Y974" s="41"/>
      <c r="Z974" s="40"/>
      <c r="AA974" s="40"/>
      <c r="AB974" s="41"/>
      <c r="AC974" s="41"/>
      <c r="AD974" s="40"/>
      <c r="AE974" s="40"/>
      <c r="AF974" s="42"/>
      <c r="AG974" s="42"/>
      <c r="AH974" s="40"/>
      <c r="AI974" s="40"/>
      <c r="AJ974" s="42"/>
      <c r="AK974" s="42"/>
      <c r="AL974" s="40"/>
      <c r="AM974" s="40"/>
      <c r="AN974" s="40"/>
      <c r="AO974" s="40"/>
      <c r="AP974" s="40"/>
      <c r="AQ974" s="40"/>
      <c r="AR974" s="39"/>
      <c r="AS974" s="39"/>
      <c r="AT974" s="40"/>
      <c r="AU974" s="40"/>
      <c r="AV974" s="23"/>
    </row>
    <row r="975" spans="1:48" ht="15.75" x14ac:dyDescent="0.25">
      <c r="A975" s="44"/>
      <c r="B975" s="23"/>
      <c r="C975" s="23"/>
      <c r="D975" s="39"/>
      <c r="E975" s="39"/>
      <c r="F975" s="40"/>
      <c r="G975" s="40"/>
      <c r="H975" s="41"/>
      <c r="I975" s="39"/>
      <c r="J975" s="40"/>
      <c r="K975" s="40"/>
      <c r="L975" s="41"/>
      <c r="M975" s="39"/>
      <c r="N975" s="40"/>
      <c r="O975" s="40"/>
      <c r="P975" s="39"/>
      <c r="Q975" s="39"/>
      <c r="R975" s="40"/>
      <c r="S975" s="40"/>
      <c r="T975" s="39"/>
      <c r="U975" s="39"/>
      <c r="V975" s="40"/>
      <c r="W975" s="40"/>
      <c r="X975" s="41"/>
      <c r="Y975" s="41"/>
      <c r="Z975" s="40"/>
      <c r="AA975" s="40"/>
      <c r="AB975" s="41"/>
      <c r="AC975" s="41"/>
      <c r="AD975" s="40"/>
      <c r="AE975" s="40"/>
      <c r="AF975" s="42"/>
      <c r="AG975" s="42"/>
      <c r="AH975" s="40"/>
      <c r="AI975" s="40"/>
      <c r="AJ975" s="42"/>
      <c r="AK975" s="42"/>
      <c r="AL975" s="40"/>
      <c r="AM975" s="40"/>
      <c r="AN975" s="40"/>
      <c r="AO975" s="40"/>
      <c r="AP975" s="40"/>
      <c r="AQ975" s="40"/>
      <c r="AR975" s="39"/>
      <c r="AS975" s="39"/>
      <c r="AT975" s="40"/>
      <c r="AU975" s="40"/>
      <c r="AV975" s="23"/>
    </row>
    <row r="976" spans="1:48" ht="15.75" x14ac:dyDescent="0.25">
      <c r="A976" s="44"/>
      <c r="B976" s="23"/>
      <c r="C976" s="23"/>
      <c r="D976" s="39"/>
      <c r="E976" s="39"/>
      <c r="F976" s="40"/>
      <c r="G976" s="40"/>
      <c r="H976" s="41"/>
      <c r="I976" s="39"/>
      <c r="J976" s="40"/>
      <c r="K976" s="40"/>
      <c r="L976" s="41"/>
      <c r="M976" s="39"/>
      <c r="N976" s="40"/>
      <c r="O976" s="40"/>
      <c r="P976" s="39"/>
      <c r="Q976" s="39"/>
      <c r="R976" s="40"/>
      <c r="S976" s="40"/>
      <c r="T976" s="39"/>
      <c r="U976" s="39"/>
      <c r="V976" s="40"/>
      <c r="W976" s="40"/>
      <c r="X976" s="41"/>
      <c r="Y976" s="41"/>
      <c r="Z976" s="40"/>
      <c r="AA976" s="40"/>
      <c r="AB976" s="41"/>
      <c r="AC976" s="41"/>
      <c r="AD976" s="40"/>
      <c r="AE976" s="40"/>
      <c r="AF976" s="42"/>
      <c r="AG976" s="42"/>
      <c r="AH976" s="40"/>
      <c r="AI976" s="40"/>
      <c r="AJ976" s="42"/>
      <c r="AK976" s="42"/>
      <c r="AL976" s="40"/>
      <c r="AM976" s="40"/>
      <c r="AN976" s="40"/>
      <c r="AO976" s="40"/>
      <c r="AP976" s="40"/>
      <c r="AQ976" s="40"/>
      <c r="AR976" s="39"/>
      <c r="AS976" s="39"/>
      <c r="AT976" s="40"/>
      <c r="AU976" s="40"/>
      <c r="AV976" s="23"/>
    </row>
    <row r="977" spans="1:48" ht="15.75" x14ac:dyDescent="0.25">
      <c r="A977" s="44"/>
      <c r="B977" s="23"/>
      <c r="C977" s="23"/>
      <c r="D977" s="39"/>
      <c r="E977" s="39"/>
      <c r="F977" s="40"/>
      <c r="G977" s="40"/>
      <c r="H977" s="41"/>
      <c r="I977" s="39"/>
      <c r="J977" s="40"/>
      <c r="K977" s="40"/>
      <c r="L977" s="41"/>
      <c r="M977" s="39"/>
      <c r="N977" s="40"/>
      <c r="O977" s="40"/>
      <c r="P977" s="39"/>
      <c r="Q977" s="39"/>
      <c r="R977" s="40"/>
      <c r="S977" s="40"/>
      <c r="T977" s="39"/>
      <c r="U977" s="39"/>
      <c r="V977" s="40"/>
      <c r="W977" s="40"/>
      <c r="X977" s="41"/>
      <c r="Y977" s="41"/>
      <c r="Z977" s="40"/>
      <c r="AA977" s="40"/>
      <c r="AB977" s="41"/>
      <c r="AC977" s="41"/>
      <c r="AD977" s="40"/>
      <c r="AE977" s="40"/>
      <c r="AF977" s="42"/>
      <c r="AG977" s="42"/>
      <c r="AH977" s="40"/>
      <c r="AI977" s="40"/>
      <c r="AJ977" s="42"/>
      <c r="AK977" s="42"/>
      <c r="AL977" s="40"/>
      <c r="AM977" s="40"/>
      <c r="AN977" s="40"/>
      <c r="AO977" s="40"/>
      <c r="AP977" s="40"/>
      <c r="AQ977" s="40"/>
      <c r="AR977" s="39"/>
      <c r="AS977" s="39"/>
      <c r="AT977" s="40"/>
      <c r="AU977" s="40"/>
      <c r="AV977" s="23"/>
    </row>
    <row r="978" spans="1:48" ht="15.75" x14ac:dyDescent="0.25">
      <c r="A978" s="44"/>
      <c r="B978" s="23"/>
      <c r="C978" s="23"/>
      <c r="D978" s="39"/>
      <c r="E978" s="39"/>
      <c r="F978" s="40"/>
      <c r="G978" s="40"/>
      <c r="H978" s="41"/>
      <c r="I978" s="39"/>
      <c r="J978" s="40"/>
      <c r="K978" s="40"/>
      <c r="L978" s="41"/>
      <c r="M978" s="39"/>
      <c r="N978" s="40"/>
      <c r="O978" s="40"/>
      <c r="P978" s="39"/>
      <c r="Q978" s="39"/>
      <c r="R978" s="40"/>
      <c r="S978" s="40"/>
      <c r="T978" s="39"/>
      <c r="U978" s="39"/>
      <c r="V978" s="40"/>
      <c r="W978" s="40"/>
      <c r="X978" s="41"/>
      <c r="Y978" s="41"/>
      <c r="Z978" s="40"/>
      <c r="AA978" s="40"/>
      <c r="AB978" s="41"/>
      <c r="AC978" s="41"/>
      <c r="AD978" s="40"/>
      <c r="AE978" s="40"/>
      <c r="AF978" s="42"/>
      <c r="AG978" s="42"/>
      <c r="AH978" s="40"/>
      <c r="AI978" s="40"/>
      <c r="AJ978" s="42"/>
      <c r="AK978" s="42"/>
      <c r="AL978" s="40"/>
      <c r="AM978" s="40"/>
      <c r="AN978" s="40"/>
      <c r="AO978" s="40"/>
      <c r="AP978" s="40"/>
      <c r="AQ978" s="40"/>
      <c r="AR978" s="39"/>
      <c r="AS978" s="39"/>
      <c r="AT978" s="40"/>
      <c r="AU978" s="40"/>
      <c r="AV978" s="23"/>
    </row>
    <row r="979" spans="1:48" ht="15.75" x14ac:dyDescent="0.25">
      <c r="A979" s="44"/>
      <c r="B979" s="23"/>
      <c r="C979" s="23"/>
      <c r="D979" s="39"/>
      <c r="E979" s="39"/>
      <c r="F979" s="40"/>
      <c r="G979" s="40"/>
      <c r="H979" s="41"/>
      <c r="I979" s="39"/>
      <c r="J979" s="40"/>
      <c r="K979" s="40"/>
      <c r="L979" s="41"/>
      <c r="M979" s="39"/>
      <c r="N979" s="40"/>
      <c r="O979" s="40"/>
      <c r="P979" s="39"/>
      <c r="Q979" s="39"/>
      <c r="R979" s="40"/>
      <c r="S979" s="40"/>
      <c r="T979" s="39"/>
      <c r="U979" s="39"/>
      <c r="V979" s="40"/>
      <c r="W979" s="40"/>
      <c r="X979" s="41"/>
      <c r="Y979" s="41"/>
      <c r="Z979" s="40"/>
      <c r="AA979" s="40"/>
      <c r="AB979" s="41"/>
      <c r="AC979" s="41"/>
      <c r="AD979" s="40"/>
      <c r="AE979" s="40"/>
      <c r="AF979" s="42"/>
      <c r="AG979" s="42"/>
      <c r="AH979" s="40"/>
      <c r="AI979" s="40"/>
      <c r="AJ979" s="42"/>
      <c r="AK979" s="42"/>
      <c r="AL979" s="40"/>
      <c r="AM979" s="40"/>
      <c r="AN979" s="40"/>
      <c r="AO979" s="40"/>
      <c r="AP979" s="40"/>
      <c r="AQ979" s="40"/>
      <c r="AR979" s="39"/>
      <c r="AS979" s="39"/>
      <c r="AT979" s="40"/>
      <c r="AU979" s="40"/>
      <c r="AV979" s="23"/>
    </row>
    <row r="980" spans="1:48" ht="15.75" x14ac:dyDescent="0.25">
      <c r="A980" s="44"/>
      <c r="B980" s="23"/>
      <c r="C980" s="23"/>
      <c r="D980" s="39"/>
      <c r="E980" s="39"/>
      <c r="F980" s="40"/>
      <c r="G980" s="40"/>
      <c r="H980" s="41"/>
      <c r="I980" s="39"/>
      <c r="J980" s="40"/>
      <c r="K980" s="40"/>
      <c r="L980" s="41"/>
      <c r="M980" s="39"/>
      <c r="N980" s="40"/>
      <c r="O980" s="40"/>
      <c r="P980" s="39"/>
      <c r="Q980" s="39"/>
      <c r="R980" s="40"/>
      <c r="S980" s="40"/>
      <c r="T980" s="39"/>
      <c r="U980" s="39"/>
      <c r="V980" s="40"/>
      <c r="W980" s="40"/>
      <c r="X980" s="41"/>
      <c r="Y980" s="41"/>
      <c r="Z980" s="40"/>
      <c r="AA980" s="40"/>
      <c r="AB980" s="41"/>
      <c r="AC980" s="41"/>
      <c r="AD980" s="40"/>
      <c r="AE980" s="40"/>
      <c r="AF980" s="42"/>
      <c r="AG980" s="42"/>
      <c r="AH980" s="40"/>
      <c r="AI980" s="40"/>
      <c r="AJ980" s="42"/>
      <c r="AK980" s="42"/>
      <c r="AL980" s="40"/>
      <c r="AM980" s="40"/>
      <c r="AN980" s="40"/>
      <c r="AO980" s="40"/>
      <c r="AP980" s="40"/>
      <c r="AQ980" s="40"/>
      <c r="AR980" s="39"/>
      <c r="AS980" s="39"/>
      <c r="AT980" s="40"/>
      <c r="AU980" s="40"/>
      <c r="AV980" s="23"/>
    </row>
    <row r="981" spans="1:48" ht="15.75" x14ac:dyDescent="0.25">
      <c r="A981" s="44"/>
      <c r="B981" s="23"/>
      <c r="C981" s="23"/>
      <c r="D981" s="39"/>
      <c r="E981" s="39"/>
      <c r="F981" s="40"/>
      <c r="G981" s="40"/>
      <c r="H981" s="41"/>
      <c r="I981" s="39"/>
      <c r="J981" s="40"/>
      <c r="K981" s="40"/>
      <c r="L981" s="41"/>
      <c r="M981" s="39"/>
      <c r="N981" s="40"/>
      <c r="O981" s="40"/>
      <c r="P981" s="39"/>
      <c r="Q981" s="39"/>
      <c r="R981" s="40"/>
      <c r="S981" s="40"/>
      <c r="T981" s="39"/>
      <c r="U981" s="39"/>
      <c r="V981" s="40"/>
      <c r="W981" s="40"/>
      <c r="X981" s="41"/>
      <c r="Y981" s="41"/>
      <c r="Z981" s="40"/>
      <c r="AA981" s="40"/>
      <c r="AB981" s="41"/>
      <c r="AC981" s="41"/>
      <c r="AD981" s="40"/>
      <c r="AE981" s="40"/>
      <c r="AF981" s="42"/>
      <c r="AG981" s="42"/>
      <c r="AH981" s="40"/>
      <c r="AI981" s="40"/>
      <c r="AJ981" s="42"/>
      <c r="AK981" s="42"/>
      <c r="AL981" s="40"/>
      <c r="AM981" s="40"/>
      <c r="AN981" s="40"/>
      <c r="AO981" s="40"/>
      <c r="AP981" s="40"/>
      <c r="AQ981" s="40"/>
      <c r="AR981" s="39"/>
      <c r="AS981" s="39"/>
      <c r="AT981" s="40"/>
      <c r="AU981" s="40"/>
      <c r="AV981" s="23"/>
    </row>
    <row r="982" spans="1:48" ht="15.75" x14ac:dyDescent="0.25">
      <c r="A982" s="44"/>
      <c r="B982" s="23"/>
      <c r="C982" s="23"/>
      <c r="D982" s="39"/>
      <c r="E982" s="39"/>
      <c r="F982" s="40"/>
      <c r="G982" s="40"/>
      <c r="H982" s="41"/>
      <c r="I982" s="39"/>
      <c r="J982" s="40"/>
      <c r="K982" s="40"/>
      <c r="L982" s="41"/>
      <c r="M982" s="39"/>
      <c r="N982" s="40"/>
      <c r="O982" s="40"/>
      <c r="P982" s="39"/>
      <c r="Q982" s="39"/>
      <c r="R982" s="40"/>
      <c r="S982" s="40"/>
      <c r="T982" s="39"/>
      <c r="U982" s="39"/>
      <c r="V982" s="40"/>
      <c r="W982" s="40"/>
      <c r="X982" s="41"/>
      <c r="Y982" s="41"/>
      <c r="Z982" s="40"/>
      <c r="AA982" s="40"/>
      <c r="AB982" s="41"/>
      <c r="AC982" s="41"/>
      <c r="AD982" s="40"/>
      <c r="AE982" s="40"/>
      <c r="AF982" s="42"/>
      <c r="AG982" s="42"/>
      <c r="AH982" s="40"/>
      <c r="AI982" s="40"/>
      <c r="AJ982" s="42"/>
      <c r="AK982" s="42"/>
      <c r="AL982" s="40"/>
      <c r="AM982" s="40"/>
      <c r="AN982" s="40"/>
      <c r="AO982" s="40"/>
      <c r="AP982" s="40"/>
      <c r="AQ982" s="40"/>
      <c r="AR982" s="39"/>
      <c r="AS982" s="39"/>
      <c r="AT982" s="40"/>
      <c r="AU982" s="40"/>
      <c r="AV982" s="23"/>
    </row>
    <row r="983" spans="1:48" ht="15.75" x14ac:dyDescent="0.25">
      <c r="A983" s="44"/>
      <c r="B983" s="23"/>
      <c r="C983" s="23"/>
      <c r="D983" s="39"/>
      <c r="E983" s="39"/>
      <c r="F983" s="40"/>
      <c r="G983" s="40"/>
      <c r="H983" s="41"/>
      <c r="I983" s="39"/>
      <c r="J983" s="40"/>
      <c r="K983" s="40"/>
      <c r="L983" s="41"/>
      <c r="M983" s="39"/>
      <c r="N983" s="40"/>
      <c r="O983" s="40"/>
      <c r="P983" s="39"/>
      <c r="Q983" s="39"/>
      <c r="R983" s="40"/>
      <c r="S983" s="40"/>
      <c r="T983" s="39"/>
      <c r="U983" s="39"/>
      <c r="V983" s="40"/>
      <c r="W983" s="40"/>
      <c r="X983" s="41"/>
      <c r="Y983" s="41"/>
      <c r="Z983" s="40"/>
      <c r="AA983" s="40"/>
      <c r="AB983" s="41"/>
      <c r="AC983" s="41"/>
      <c r="AD983" s="40"/>
      <c r="AE983" s="40"/>
      <c r="AF983" s="42"/>
      <c r="AG983" s="42"/>
      <c r="AH983" s="40"/>
      <c r="AI983" s="40"/>
      <c r="AJ983" s="42"/>
      <c r="AK983" s="42"/>
      <c r="AL983" s="40"/>
      <c r="AM983" s="40"/>
      <c r="AN983" s="40"/>
      <c r="AO983" s="40"/>
      <c r="AP983" s="40"/>
      <c r="AQ983" s="40"/>
      <c r="AR983" s="39"/>
      <c r="AS983" s="39"/>
      <c r="AT983" s="40"/>
      <c r="AU983" s="40"/>
      <c r="AV983" s="23"/>
    </row>
    <row r="984" spans="1:48" ht="15.75" x14ac:dyDescent="0.25">
      <c r="A984" s="44"/>
      <c r="B984" s="23"/>
      <c r="C984" s="23"/>
      <c r="D984" s="39"/>
      <c r="E984" s="39"/>
      <c r="F984" s="40"/>
      <c r="G984" s="40"/>
      <c r="H984" s="41"/>
      <c r="I984" s="39"/>
      <c r="J984" s="40"/>
      <c r="K984" s="40"/>
      <c r="L984" s="41"/>
      <c r="M984" s="39"/>
      <c r="N984" s="40"/>
      <c r="O984" s="40"/>
      <c r="P984" s="39"/>
      <c r="Q984" s="39"/>
      <c r="R984" s="40"/>
      <c r="S984" s="40"/>
      <c r="T984" s="39"/>
      <c r="U984" s="39"/>
      <c r="V984" s="40"/>
      <c r="W984" s="40"/>
      <c r="X984" s="41"/>
      <c r="Y984" s="41"/>
      <c r="Z984" s="40"/>
      <c r="AA984" s="40"/>
      <c r="AB984" s="41"/>
      <c r="AC984" s="41"/>
      <c r="AD984" s="40"/>
      <c r="AE984" s="40"/>
      <c r="AF984" s="42"/>
      <c r="AG984" s="42"/>
      <c r="AH984" s="40"/>
      <c r="AI984" s="40"/>
      <c r="AJ984" s="42"/>
      <c r="AK984" s="42"/>
      <c r="AL984" s="40"/>
      <c r="AM984" s="40"/>
      <c r="AN984" s="40"/>
      <c r="AO984" s="40"/>
      <c r="AP984" s="40"/>
      <c r="AQ984" s="40"/>
      <c r="AR984" s="39"/>
      <c r="AS984" s="39"/>
      <c r="AT984" s="40"/>
      <c r="AU984" s="40"/>
      <c r="AV984" s="23"/>
    </row>
    <row r="985" spans="1:48" ht="15.75" x14ac:dyDescent="0.25">
      <c r="A985" s="44"/>
      <c r="B985" s="23"/>
      <c r="C985" s="23"/>
      <c r="D985" s="39"/>
      <c r="E985" s="39"/>
      <c r="F985" s="40"/>
      <c r="G985" s="40"/>
      <c r="H985" s="41"/>
      <c r="I985" s="39"/>
      <c r="J985" s="40"/>
      <c r="K985" s="40"/>
      <c r="L985" s="41"/>
      <c r="M985" s="39"/>
      <c r="N985" s="40"/>
      <c r="O985" s="40"/>
      <c r="P985" s="39"/>
      <c r="Q985" s="39"/>
      <c r="R985" s="40"/>
      <c r="S985" s="40"/>
      <c r="T985" s="39"/>
      <c r="U985" s="39"/>
      <c r="V985" s="40"/>
      <c r="W985" s="40"/>
      <c r="X985" s="41"/>
      <c r="Y985" s="41"/>
      <c r="Z985" s="40"/>
      <c r="AA985" s="40"/>
      <c r="AB985" s="41"/>
      <c r="AC985" s="41"/>
      <c r="AD985" s="40"/>
      <c r="AE985" s="40"/>
      <c r="AF985" s="42"/>
      <c r="AG985" s="42"/>
      <c r="AH985" s="40"/>
      <c r="AI985" s="40"/>
      <c r="AJ985" s="42"/>
      <c r="AK985" s="42"/>
      <c r="AL985" s="40"/>
      <c r="AM985" s="40"/>
      <c r="AN985" s="40"/>
      <c r="AO985" s="40"/>
      <c r="AP985" s="40"/>
      <c r="AQ985" s="40"/>
      <c r="AR985" s="39"/>
      <c r="AS985" s="39"/>
      <c r="AT985" s="40"/>
      <c r="AU985" s="40"/>
      <c r="AV985" s="23"/>
    </row>
    <row r="986" spans="1:48" ht="15.75" x14ac:dyDescent="0.25">
      <c r="A986" s="44"/>
      <c r="B986" s="23"/>
      <c r="C986" s="23"/>
      <c r="D986" s="39"/>
      <c r="E986" s="39"/>
      <c r="F986" s="40"/>
      <c r="G986" s="40"/>
      <c r="H986" s="41"/>
      <c r="I986" s="39"/>
      <c r="J986" s="40"/>
      <c r="K986" s="40"/>
      <c r="L986" s="41"/>
      <c r="M986" s="39"/>
      <c r="N986" s="40"/>
      <c r="O986" s="40"/>
      <c r="P986" s="39"/>
      <c r="Q986" s="39"/>
      <c r="R986" s="40"/>
      <c r="S986" s="40"/>
      <c r="T986" s="39"/>
      <c r="U986" s="39"/>
      <c r="V986" s="40"/>
      <c r="W986" s="40"/>
      <c r="X986" s="41"/>
      <c r="Y986" s="41"/>
      <c r="Z986" s="40"/>
      <c r="AA986" s="40"/>
      <c r="AB986" s="41"/>
      <c r="AC986" s="41"/>
      <c r="AD986" s="40"/>
      <c r="AE986" s="40"/>
      <c r="AF986" s="42"/>
      <c r="AG986" s="42"/>
      <c r="AH986" s="40"/>
      <c r="AI986" s="40"/>
      <c r="AJ986" s="42"/>
      <c r="AK986" s="42"/>
      <c r="AL986" s="40"/>
      <c r="AM986" s="40"/>
      <c r="AN986" s="40"/>
      <c r="AO986" s="40"/>
      <c r="AP986" s="40"/>
      <c r="AQ986" s="40"/>
      <c r="AR986" s="39"/>
      <c r="AS986" s="39"/>
      <c r="AT986" s="40"/>
      <c r="AU986" s="40"/>
      <c r="AV986" s="23"/>
    </row>
    <row r="987" spans="1:48" ht="15.75" x14ac:dyDescent="0.25">
      <c r="A987" s="44"/>
      <c r="B987" s="23"/>
      <c r="C987" s="23"/>
      <c r="D987" s="39"/>
      <c r="E987" s="39"/>
      <c r="F987" s="40"/>
      <c r="G987" s="40"/>
      <c r="H987" s="41"/>
      <c r="I987" s="39"/>
      <c r="J987" s="40"/>
      <c r="K987" s="40"/>
      <c r="L987" s="41"/>
      <c r="M987" s="39"/>
      <c r="N987" s="40"/>
      <c r="O987" s="40"/>
      <c r="P987" s="39"/>
      <c r="Q987" s="39"/>
      <c r="R987" s="40"/>
      <c r="S987" s="40"/>
      <c r="T987" s="39"/>
      <c r="U987" s="39"/>
      <c r="V987" s="40"/>
      <c r="W987" s="40"/>
      <c r="X987" s="41"/>
      <c r="Y987" s="41"/>
      <c r="Z987" s="40"/>
      <c r="AA987" s="40"/>
      <c r="AB987" s="41"/>
      <c r="AC987" s="41"/>
      <c r="AD987" s="40"/>
      <c r="AE987" s="40"/>
      <c r="AF987" s="42"/>
      <c r="AG987" s="42"/>
      <c r="AH987" s="40"/>
      <c r="AI987" s="40"/>
      <c r="AJ987" s="42"/>
      <c r="AK987" s="42"/>
      <c r="AL987" s="40"/>
      <c r="AM987" s="40"/>
      <c r="AN987" s="40"/>
      <c r="AO987" s="40"/>
      <c r="AP987" s="40"/>
      <c r="AQ987" s="40"/>
      <c r="AR987" s="39"/>
      <c r="AS987" s="39"/>
      <c r="AT987" s="40"/>
      <c r="AU987" s="40"/>
      <c r="AV987" s="23"/>
    </row>
    <row r="988" spans="1:48" ht="15.75" x14ac:dyDescent="0.25">
      <c r="A988" s="44"/>
      <c r="B988" s="23"/>
      <c r="C988" s="23"/>
      <c r="D988" s="39"/>
      <c r="E988" s="39"/>
      <c r="F988" s="40"/>
      <c r="G988" s="40"/>
      <c r="H988" s="41"/>
      <c r="I988" s="39"/>
      <c r="J988" s="40"/>
      <c r="K988" s="40"/>
      <c r="L988" s="41"/>
      <c r="M988" s="39"/>
      <c r="N988" s="40"/>
      <c r="O988" s="40"/>
      <c r="P988" s="39"/>
      <c r="Q988" s="39"/>
      <c r="R988" s="40"/>
      <c r="S988" s="40"/>
      <c r="T988" s="39"/>
      <c r="U988" s="39"/>
      <c r="V988" s="40"/>
      <c r="W988" s="40"/>
      <c r="X988" s="41"/>
      <c r="Y988" s="41"/>
      <c r="Z988" s="40"/>
      <c r="AA988" s="40"/>
      <c r="AB988" s="41"/>
      <c r="AC988" s="41"/>
      <c r="AD988" s="40"/>
      <c r="AE988" s="40"/>
      <c r="AF988" s="42"/>
      <c r="AG988" s="42"/>
      <c r="AH988" s="40"/>
      <c r="AI988" s="40"/>
      <c r="AJ988" s="42"/>
      <c r="AK988" s="42"/>
      <c r="AL988" s="40"/>
      <c r="AM988" s="40"/>
      <c r="AN988" s="40"/>
      <c r="AO988" s="40"/>
      <c r="AP988" s="40"/>
      <c r="AQ988" s="40"/>
      <c r="AR988" s="39"/>
      <c r="AS988" s="39"/>
      <c r="AT988" s="40"/>
      <c r="AU988" s="40"/>
      <c r="AV988" s="23"/>
    </row>
    <row r="989" spans="1:48" ht="15.75" x14ac:dyDescent="0.25">
      <c r="A989" s="44"/>
      <c r="B989" s="23"/>
      <c r="C989" s="23"/>
      <c r="D989" s="39"/>
      <c r="E989" s="39"/>
      <c r="F989" s="40"/>
      <c r="G989" s="40"/>
      <c r="H989" s="41"/>
      <c r="I989" s="39"/>
      <c r="J989" s="40"/>
      <c r="K989" s="40"/>
      <c r="L989" s="41"/>
      <c r="M989" s="39"/>
      <c r="N989" s="40"/>
      <c r="O989" s="40"/>
      <c r="P989" s="39"/>
      <c r="Q989" s="39"/>
      <c r="R989" s="40"/>
      <c r="S989" s="40"/>
      <c r="T989" s="39"/>
      <c r="U989" s="39"/>
      <c r="V989" s="40"/>
      <c r="W989" s="40"/>
      <c r="X989" s="41"/>
      <c r="Y989" s="41"/>
      <c r="Z989" s="40"/>
      <c r="AA989" s="40"/>
      <c r="AB989" s="41"/>
      <c r="AC989" s="41"/>
      <c r="AD989" s="40"/>
      <c r="AE989" s="40"/>
      <c r="AF989" s="42"/>
      <c r="AG989" s="42"/>
      <c r="AH989" s="40"/>
      <c r="AI989" s="40"/>
      <c r="AJ989" s="42"/>
      <c r="AK989" s="42"/>
      <c r="AL989" s="40"/>
      <c r="AM989" s="40"/>
      <c r="AN989" s="40"/>
      <c r="AO989" s="40"/>
      <c r="AP989" s="40"/>
      <c r="AQ989" s="40"/>
      <c r="AR989" s="39"/>
      <c r="AS989" s="39"/>
      <c r="AT989" s="40"/>
      <c r="AU989" s="40"/>
      <c r="AV989" s="23"/>
    </row>
    <row r="990" spans="1:48" ht="15.75" x14ac:dyDescent="0.25">
      <c r="A990" s="44"/>
      <c r="B990" s="23"/>
      <c r="C990" s="23"/>
      <c r="D990" s="39"/>
      <c r="E990" s="39"/>
      <c r="F990" s="40"/>
      <c r="G990" s="40"/>
      <c r="H990" s="41"/>
      <c r="I990" s="39"/>
      <c r="J990" s="40"/>
      <c r="K990" s="40"/>
      <c r="L990" s="41"/>
      <c r="M990" s="39"/>
      <c r="N990" s="40"/>
      <c r="O990" s="40"/>
      <c r="P990" s="39"/>
      <c r="Q990" s="39"/>
      <c r="R990" s="40"/>
      <c r="S990" s="40"/>
      <c r="T990" s="39"/>
      <c r="U990" s="39"/>
      <c r="V990" s="40"/>
      <c r="W990" s="40"/>
      <c r="X990" s="41"/>
      <c r="Y990" s="41"/>
      <c r="Z990" s="40"/>
      <c r="AA990" s="40"/>
      <c r="AB990" s="41"/>
      <c r="AC990" s="41"/>
      <c r="AD990" s="40"/>
      <c r="AE990" s="40"/>
      <c r="AF990" s="42"/>
      <c r="AG990" s="42"/>
      <c r="AH990" s="40"/>
      <c r="AI990" s="40"/>
      <c r="AJ990" s="42"/>
      <c r="AK990" s="42"/>
      <c r="AL990" s="40"/>
      <c r="AM990" s="40"/>
      <c r="AN990" s="40"/>
      <c r="AO990" s="40"/>
      <c r="AP990" s="40"/>
      <c r="AQ990" s="40"/>
      <c r="AR990" s="39"/>
      <c r="AS990" s="39"/>
      <c r="AT990" s="40"/>
      <c r="AU990" s="40"/>
      <c r="AV990" s="23"/>
    </row>
    <row r="991" spans="1:48" ht="15.75" x14ac:dyDescent="0.25">
      <c r="A991" s="44"/>
      <c r="B991" s="23"/>
      <c r="C991" s="23"/>
      <c r="D991" s="39"/>
      <c r="E991" s="39"/>
      <c r="F991" s="40"/>
      <c r="G991" s="40"/>
      <c r="H991" s="41"/>
      <c r="I991" s="39"/>
      <c r="J991" s="40"/>
      <c r="K991" s="40"/>
      <c r="L991" s="41"/>
      <c r="M991" s="39"/>
      <c r="N991" s="40"/>
      <c r="O991" s="40"/>
      <c r="P991" s="39"/>
      <c r="Q991" s="39"/>
      <c r="R991" s="40"/>
      <c r="S991" s="40"/>
      <c r="T991" s="39"/>
      <c r="U991" s="39"/>
      <c r="V991" s="40"/>
      <c r="W991" s="40"/>
      <c r="X991" s="41"/>
      <c r="Y991" s="41"/>
      <c r="Z991" s="40"/>
      <c r="AA991" s="40"/>
      <c r="AB991" s="41"/>
      <c r="AC991" s="41"/>
      <c r="AD991" s="40"/>
      <c r="AE991" s="40"/>
      <c r="AF991" s="42"/>
      <c r="AG991" s="42"/>
      <c r="AH991" s="40"/>
      <c r="AI991" s="40"/>
      <c r="AJ991" s="42"/>
      <c r="AK991" s="42"/>
      <c r="AL991" s="40"/>
      <c r="AM991" s="40"/>
      <c r="AN991" s="40"/>
      <c r="AO991" s="40"/>
      <c r="AP991" s="40"/>
      <c r="AQ991" s="40"/>
      <c r="AR991" s="39"/>
      <c r="AS991" s="39"/>
      <c r="AT991" s="40"/>
      <c r="AU991" s="40"/>
      <c r="AV991" s="23"/>
    </row>
    <row r="992" spans="1:48" ht="15.75" x14ac:dyDescent="0.25">
      <c r="A992" s="44"/>
      <c r="B992" s="23"/>
      <c r="C992" s="23"/>
      <c r="D992" s="39"/>
      <c r="E992" s="39"/>
      <c r="F992" s="40"/>
      <c r="G992" s="40"/>
      <c r="H992" s="41"/>
      <c r="I992" s="39"/>
      <c r="J992" s="40"/>
      <c r="K992" s="40"/>
      <c r="L992" s="41"/>
      <c r="M992" s="39"/>
      <c r="N992" s="40"/>
      <c r="O992" s="40"/>
      <c r="P992" s="39"/>
      <c r="Q992" s="39"/>
      <c r="R992" s="40"/>
      <c r="S992" s="40"/>
      <c r="T992" s="39"/>
      <c r="U992" s="39"/>
      <c r="V992" s="40"/>
      <c r="W992" s="40"/>
      <c r="X992" s="41"/>
      <c r="Y992" s="41"/>
      <c r="Z992" s="40"/>
      <c r="AA992" s="40"/>
      <c r="AB992" s="41"/>
      <c r="AC992" s="41"/>
      <c r="AD992" s="40"/>
      <c r="AE992" s="40"/>
      <c r="AF992" s="42"/>
      <c r="AG992" s="42"/>
      <c r="AH992" s="40"/>
      <c r="AI992" s="40"/>
      <c r="AJ992" s="42"/>
      <c r="AK992" s="42"/>
      <c r="AL992" s="40"/>
      <c r="AM992" s="40"/>
      <c r="AN992" s="40"/>
      <c r="AO992" s="40"/>
      <c r="AP992" s="40"/>
      <c r="AQ992" s="40"/>
      <c r="AR992" s="39"/>
      <c r="AS992" s="39"/>
      <c r="AT992" s="40"/>
      <c r="AU992" s="40"/>
      <c r="AV992" s="23"/>
    </row>
    <row r="993" spans="1:48" ht="15.75" x14ac:dyDescent="0.25">
      <c r="A993" s="44"/>
      <c r="B993" s="23"/>
      <c r="C993" s="23"/>
      <c r="D993" s="39"/>
      <c r="E993" s="39"/>
      <c r="F993" s="40"/>
      <c r="G993" s="40"/>
      <c r="H993" s="41"/>
      <c r="I993" s="39"/>
      <c r="J993" s="40"/>
      <c r="K993" s="40"/>
      <c r="L993" s="41"/>
      <c r="M993" s="39"/>
      <c r="N993" s="40"/>
      <c r="O993" s="40"/>
      <c r="P993" s="39"/>
      <c r="Q993" s="39"/>
      <c r="R993" s="40"/>
      <c r="S993" s="40"/>
      <c r="T993" s="39"/>
      <c r="U993" s="39"/>
      <c r="V993" s="40"/>
      <c r="W993" s="40"/>
      <c r="X993" s="41"/>
      <c r="Y993" s="41"/>
      <c r="Z993" s="40"/>
      <c r="AA993" s="40"/>
      <c r="AB993" s="41"/>
      <c r="AC993" s="41"/>
      <c r="AD993" s="40"/>
      <c r="AE993" s="40"/>
      <c r="AF993" s="42"/>
      <c r="AG993" s="42"/>
      <c r="AH993" s="40"/>
      <c r="AI993" s="40"/>
      <c r="AJ993" s="42"/>
      <c r="AK993" s="42"/>
      <c r="AL993" s="40"/>
      <c r="AM993" s="40"/>
      <c r="AN993" s="40"/>
      <c r="AO993" s="40"/>
      <c r="AP993" s="40"/>
      <c r="AQ993" s="40"/>
      <c r="AR993" s="39"/>
      <c r="AS993" s="39"/>
      <c r="AT993" s="40"/>
      <c r="AU993" s="40"/>
      <c r="AV993" s="23"/>
    </row>
    <row r="994" spans="1:48" ht="15.75" x14ac:dyDescent="0.25">
      <c r="A994" s="44"/>
      <c r="B994" s="23"/>
      <c r="C994" s="23"/>
      <c r="D994" s="39"/>
      <c r="E994" s="39"/>
      <c r="F994" s="40"/>
      <c r="G994" s="40"/>
      <c r="H994" s="41"/>
      <c r="I994" s="39"/>
      <c r="J994" s="40"/>
      <c r="K994" s="40"/>
      <c r="L994" s="41"/>
      <c r="M994" s="39"/>
      <c r="N994" s="40"/>
      <c r="O994" s="40"/>
      <c r="P994" s="39"/>
      <c r="Q994" s="39"/>
      <c r="R994" s="40"/>
      <c r="S994" s="40"/>
      <c r="T994" s="39"/>
      <c r="U994" s="39"/>
      <c r="V994" s="40"/>
      <c r="W994" s="40"/>
      <c r="X994" s="41"/>
      <c r="Y994" s="41"/>
      <c r="Z994" s="40"/>
      <c r="AA994" s="40"/>
      <c r="AB994" s="41"/>
      <c r="AC994" s="41"/>
      <c r="AD994" s="40"/>
      <c r="AE994" s="40"/>
      <c r="AF994" s="42"/>
      <c r="AG994" s="42"/>
      <c r="AH994" s="40"/>
      <c r="AI994" s="40"/>
      <c r="AJ994" s="42"/>
      <c r="AK994" s="42"/>
      <c r="AL994" s="40"/>
      <c r="AM994" s="40"/>
      <c r="AN994" s="40"/>
      <c r="AO994" s="40"/>
      <c r="AP994" s="40"/>
      <c r="AQ994" s="40"/>
      <c r="AR994" s="39"/>
      <c r="AS994" s="39"/>
      <c r="AT994" s="40"/>
      <c r="AU994" s="40"/>
      <c r="AV994" s="23"/>
    </row>
    <row r="995" spans="1:48" ht="15.75" x14ac:dyDescent="0.25">
      <c r="A995" s="44"/>
      <c r="B995" s="23"/>
      <c r="C995" s="23"/>
      <c r="D995" s="39"/>
      <c r="E995" s="39"/>
      <c r="F995" s="40"/>
      <c r="G995" s="40"/>
      <c r="H995" s="41"/>
      <c r="I995" s="39"/>
      <c r="J995" s="40"/>
      <c r="K995" s="40"/>
      <c r="L995" s="41"/>
      <c r="M995" s="39"/>
      <c r="N995" s="40"/>
      <c r="O995" s="40"/>
      <c r="P995" s="39"/>
      <c r="Q995" s="39"/>
      <c r="R995" s="40"/>
      <c r="S995" s="40"/>
      <c r="T995" s="39"/>
      <c r="U995" s="39"/>
      <c r="V995" s="40"/>
      <c r="W995" s="40"/>
      <c r="X995" s="41"/>
      <c r="Y995" s="41"/>
      <c r="Z995" s="40"/>
      <c r="AA995" s="40"/>
      <c r="AB995" s="41"/>
      <c r="AC995" s="41"/>
      <c r="AD995" s="40"/>
      <c r="AE995" s="40"/>
      <c r="AF995" s="42"/>
      <c r="AG995" s="42"/>
      <c r="AH995" s="40"/>
      <c r="AI995" s="40"/>
      <c r="AJ995" s="42"/>
      <c r="AK995" s="42"/>
      <c r="AL995" s="40"/>
      <c r="AM995" s="40"/>
      <c r="AN995" s="40"/>
      <c r="AO995" s="40"/>
      <c r="AP995" s="40"/>
      <c r="AQ995" s="40"/>
      <c r="AR995" s="39"/>
      <c r="AS995" s="39"/>
      <c r="AT995" s="40"/>
      <c r="AU995" s="40"/>
      <c r="AV995" s="23"/>
    </row>
    <row r="996" spans="1:48" ht="15.75" x14ac:dyDescent="0.25">
      <c r="A996" s="44"/>
      <c r="B996" s="23"/>
      <c r="C996" s="23"/>
      <c r="D996" s="39"/>
      <c r="E996" s="39"/>
      <c r="F996" s="40"/>
      <c r="G996" s="40"/>
      <c r="H996" s="41"/>
      <c r="I996" s="39"/>
      <c r="J996" s="40"/>
      <c r="K996" s="40"/>
      <c r="L996" s="41"/>
      <c r="M996" s="39"/>
      <c r="N996" s="40"/>
      <c r="O996" s="40"/>
      <c r="P996" s="39"/>
      <c r="Q996" s="39"/>
      <c r="R996" s="40"/>
      <c r="S996" s="40"/>
      <c r="T996" s="39"/>
      <c r="U996" s="39"/>
      <c r="V996" s="40"/>
      <c r="W996" s="40"/>
      <c r="X996" s="41"/>
      <c r="Y996" s="41"/>
      <c r="Z996" s="40"/>
      <c r="AA996" s="40"/>
      <c r="AB996" s="41"/>
      <c r="AC996" s="41"/>
      <c r="AD996" s="40"/>
      <c r="AE996" s="40"/>
      <c r="AF996" s="42"/>
      <c r="AG996" s="42"/>
      <c r="AH996" s="40"/>
      <c r="AI996" s="40"/>
      <c r="AJ996" s="42"/>
      <c r="AK996" s="42"/>
      <c r="AL996" s="40"/>
      <c r="AM996" s="40"/>
      <c r="AN996" s="40"/>
      <c r="AO996" s="40"/>
      <c r="AP996" s="40"/>
      <c r="AQ996" s="40"/>
      <c r="AR996" s="39"/>
      <c r="AS996" s="39"/>
      <c r="AT996" s="40"/>
      <c r="AU996" s="40"/>
      <c r="AV996" s="23"/>
    </row>
    <row r="997" spans="1:48" ht="15.75" x14ac:dyDescent="0.25">
      <c r="A997" s="44"/>
      <c r="B997" s="23"/>
      <c r="C997" s="23"/>
      <c r="D997" s="39"/>
      <c r="E997" s="39"/>
      <c r="F997" s="40"/>
      <c r="G997" s="40"/>
      <c r="H997" s="41"/>
      <c r="I997" s="39"/>
      <c r="J997" s="40"/>
      <c r="K997" s="40"/>
      <c r="L997" s="41"/>
      <c r="M997" s="39"/>
      <c r="N997" s="40"/>
      <c r="O997" s="40"/>
      <c r="P997" s="39"/>
      <c r="Q997" s="39"/>
      <c r="R997" s="40"/>
      <c r="S997" s="40"/>
      <c r="T997" s="39"/>
      <c r="U997" s="39"/>
      <c r="V997" s="40"/>
      <c r="W997" s="40"/>
      <c r="X997" s="41"/>
      <c r="Y997" s="41"/>
      <c r="Z997" s="40"/>
      <c r="AA997" s="40"/>
      <c r="AB997" s="41"/>
      <c r="AC997" s="41"/>
      <c r="AD997" s="40"/>
      <c r="AE997" s="40"/>
      <c r="AF997" s="42"/>
      <c r="AG997" s="42"/>
      <c r="AH997" s="40"/>
      <c r="AI997" s="40"/>
      <c r="AJ997" s="42"/>
      <c r="AK997" s="42"/>
      <c r="AL997" s="40"/>
      <c r="AM997" s="40"/>
      <c r="AN997" s="40"/>
      <c r="AO997" s="40"/>
      <c r="AP997" s="40"/>
      <c r="AQ997" s="40"/>
      <c r="AR997" s="39"/>
      <c r="AS997" s="39"/>
      <c r="AT997" s="40"/>
      <c r="AU997" s="40"/>
      <c r="AV997" s="23"/>
    </row>
    <row r="998" spans="1:48" ht="15.75" x14ac:dyDescent="0.25">
      <c r="A998" s="44"/>
      <c r="B998" s="23"/>
      <c r="C998" s="23"/>
      <c r="D998" s="39"/>
      <c r="E998" s="39"/>
      <c r="F998" s="40"/>
      <c r="G998" s="40"/>
      <c r="H998" s="41"/>
      <c r="I998" s="39"/>
      <c r="J998" s="40"/>
      <c r="K998" s="40"/>
      <c r="L998" s="41"/>
      <c r="M998" s="39"/>
      <c r="N998" s="40"/>
      <c r="O998" s="40"/>
      <c r="P998" s="39"/>
      <c r="Q998" s="39"/>
      <c r="R998" s="40"/>
      <c r="S998" s="40"/>
      <c r="T998" s="39"/>
      <c r="U998" s="39"/>
      <c r="V998" s="40"/>
      <c r="W998" s="40"/>
      <c r="X998" s="41"/>
      <c r="Y998" s="41"/>
      <c r="Z998" s="40"/>
      <c r="AA998" s="40"/>
      <c r="AB998" s="41"/>
      <c r="AC998" s="41"/>
      <c r="AD998" s="40"/>
      <c r="AE998" s="40"/>
      <c r="AF998" s="42"/>
      <c r="AG998" s="42"/>
      <c r="AH998" s="40"/>
      <c r="AI998" s="40"/>
      <c r="AJ998" s="42"/>
      <c r="AK998" s="42"/>
      <c r="AL998" s="40"/>
      <c r="AM998" s="40"/>
      <c r="AN998" s="40"/>
      <c r="AO998" s="40"/>
      <c r="AP998" s="40"/>
      <c r="AQ998" s="40"/>
      <c r="AR998" s="39"/>
      <c r="AS998" s="39"/>
      <c r="AT998" s="40"/>
      <c r="AU998" s="40"/>
      <c r="AV998" s="23"/>
    </row>
    <row r="999" spans="1:48" ht="15.75" x14ac:dyDescent="0.25">
      <c r="A999" s="44"/>
      <c r="B999" s="23"/>
      <c r="C999" s="23"/>
      <c r="D999" s="39"/>
      <c r="E999" s="39"/>
      <c r="F999" s="40"/>
      <c r="G999" s="40"/>
      <c r="H999" s="41"/>
      <c r="I999" s="39"/>
      <c r="J999" s="40"/>
      <c r="K999" s="40"/>
      <c r="L999" s="41"/>
      <c r="M999" s="39"/>
      <c r="N999" s="40"/>
      <c r="O999" s="40"/>
      <c r="P999" s="39"/>
      <c r="Q999" s="39"/>
      <c r="R999" s="40"/>
      <c r="S999" s="40"/>
      <c r="T999" s="39"/>
      <c r="U999" s="39"/>
      <c r="V999" s="40"/>
      <c r="W999" s="40"/>
      <c r="X999" s="41"/>
      <c r="Y999" s="41"/>
      <c r="Z999" s="40"/>
      <c r="AA999" s="40"/>
      <c r="AB999" s="41"/>
      <c r="AC999" s="41"/>
      <c r="AD999" s="40"/>
      <c r="AE999" s="40"/>
      <c r="AF999" s="42"/>
      <c r="AG999" s="42"/>
      <c r="AH999" s="40"/>
      <c r="AI999" s="40"/>
      <c r="AJ999" s="42"/>
      <c r="AK999" s="42"/>
      <c r="AL999" s="40"/>
      <c r="AM999" s="40"/>
      <c r="AN999" s="40"/>
      <c r="AO999" s="40"/>
      <c r="AP999" s="40"/>
      <c r="AQ999" s="40"/>
      <c r="AR999" s="39"/>
      <c r="AS999" s="39"/>
      <c r="AT999" s="40"/>
      <c r="AU999" s="40"/>
      <c r="AV999" s="23"/>
    </row>
    <row r="1000" spans="1:48" ht="15.75" x14ac:dyDescent="0.25">
      <c r="A1000" s="44"/>
      <c r="B1000" s="23"/>
      <c r="C1000" s="23"/>
      <c r="D1000" s="39"/>
      <c r="E1000" s="39"/>
      <c r="F1000" s="40"/>
      <c r="G1000" s="40"/>
      <c r="H1000" s="41"/>
      <c r="I1000" s="39"/>
      <c r="J1000" s="40"/>
      <c r="K1000" s="40"/>
      <c r="L1000" s="41"/>
      <c r="M1000" s="39"/>
      <c r="N1000" s="40"/>
      <c r="O1000" s="40"/>
      <c r="P1000" s="39"/>
      <c r="Q1000" s="39"/>
      <c r="R1000" s="40"/>
      <c r="S1000" s="40"/>
      <c r="T1000" s="39"/>
      <c r="U1000" s="39"/>
      <c r="V1000" s="40"/>
      <c r="W1000" s="40"/>
      <c r="X1000" s="41"/>
      <c r="Y1000" s="41"/>
      <c r="Z1000" s="40"/>
      <c r="AA1000" s="40"/>
      <c r="AB1000" s="41"/>
      <c r="AC1000" s="41"/>
      <c r="AD1000" s="40"/>
      <c r="AE1000" s="40"/>
      <c r="AF1000" s="42"/>
      <c r="AG1000" s="42"/>
      <c r="AH1000" s="40"/>
      <c r="AI1000" s="40"/>
      <c r="AJ1000" s="42"/>
      <c r="AK1000" s="42"/>
      <c r="AL1000" s="40"/>
      <c r="AM1000" s="40"/>
      <c r="AN1000" s="40"/>
      <c r="AO1000" s="40"/>
      <c r="AP1000" s="40"/>
      <c r="AQ1000" s="40"/>
      <c r="AR1000" s="39"/>
      <c r="AS1000" s="39"/>
      <c r="AT1000" s="40"/>
      <c r="AU1000" s="40"/>
      <c r="AV1000" s="23"/>
    </row>
  </sheetData>
  <autoFilter ref="A1:AV55"/>
  <conditionalFormatting sqref="F2:G49 AH4:AI53 AL4:AM53 AH2:AH3 AL2:AL3">
    <cfRule type="cellIs" dxfId="2491" priority="73" operator="lessThan">
      <formula>0</formula>
    </cfRule>
  </conditionalFormatting>
  <conditionalFormatting sqref="F2:G49 AH4:AI53 AL4:AM53 AH2:AH3 AL2:AL3">
    <cfRule type="cellIs" dxfId="2490" priority="74" operator="greaterThanOrEqual">
      <formula>0</formula>
    </cfRule>
  </conditionalFormatting>
  <conditionalFormatting sqref="F53:G53">
    <cfRule type="cellIs" dxfId="2489" priority="77" operator="lessThan">
      <formula>0</formula>
    </cfRule>
  </conditionalFormatting>
  <conditionalFormatting sqref="F53:G53">
    <cfRule type="cellIs" dxfId="2488" priority="78" operator="greaterThanOrEqual">
      <formula>0</formula>
    </cfRule>
  </conditionalFormatting>
  <conditionalFormatting sqref="F50:G50">
    <cfRule type="cellIs" dxfId="2487" priority="79" operator="lessThan">
      <formula>0</formula>
    </cfRule>
  </conditionalFormatting>
  <conditionalFormatting sqref="F50:G50">
    <cfRule type="cellIs" dxfId="2486" priority="80" operator="greaterThanOrEqual">
      <formula>0</formula>
    </cfRule>
  </conditionalFormatting>
  <conditionalFormatting sqref="F51:G51">
    <cfRule type="cellIs" dxfId="2485" priority="81" operator="lessThan">
      <formula>0</formula>
    </cfRule>
  </conditionalFormatting>
  <conditionalFormatting sqref="F51:G51">
    <cfRule type="cellIs" dxfId="2484" priority="82" operator="greaterThanOrEqual">
      <formula>0</formula>
    </cfRule>
  </conditionalFormatting>
  <conditionalFormatting sqref="F52:G52">
    <cfRule type="cellIs" dxfId="2483" priority="83" operator="lessThan">
      <formula>0</formula>
    </cfRule>
  </conditionalFormatting>
  <conditionalFormatting sqref="F52:G52">
    <cfRule type="cellIs" dxfId="2482" priority="84" operator="greaterThanOrEqual">
      <formula>0</formula>
    </cfRule>
  </conditionalFormatting>
  <conditionalFormatting sqref="AM3">
    <cfRule type="cellIs" dxfId="2481" priority="87" operator="lessThan">
      <formula>0</formula>
    </cfRule>
  </conditionalFormatting>
  <conditionalFormatting sqref="AM3">
    <cfRule type="cellIs" dxfId="2480" priority="88" operator="greaterThanOrEqual">
      <formula>0</formula>
    </cfRule>
  </conditionalFormatting>
  <conditionalFormatting sqref="AI2">
    <cfRule type="cellIs" dxfId="2479" priority="89" operator="lessThan">
      <formula>0</formula>
    </cfRule>
  </conditionalFormatting>
  <conditionalFormatting sqref="AI2">
    <cfRule type="cellIs" dxfId="2478" priority="90" operator="greaterThanOrEqual">
      <formula>0</formula>
    </cfRule>
  </conditionalFormatting>
  <conditionalFormatting sqref="AM2">
    <cfRule type="cellIs" dxfId="2477" priority="91" operator="lessThan">
      <formula>0</formula>
    </cfRule>
  </conditionalFormatting>
  <conditionalFormatting sqref="AM2">
    <cfRule type="cellIs" dxfId="2476" priority="92" operator="greaterThanOrEqual">
      <formula>0</formula>
    </cfRule>
  </conditionalFormatting>
  <conditionalFormatting sqref="AI3">
    <cfRule type="cellIs" dxfId="2475" priority="95" operator="lessThan">
      <formula>0</formula>
    </cfRule>
  </conditionalFormatting>
  <conditionalFormatting sqref="AI3">
    <cfRule type="cellIs" dxfId="2474" priority="96" operator="greaterThanOrEqual">
      <formula>0</formula>
    </cfRule>
  </conditionalFormatting>
  <conditionalFormatting sqref="Z2:Z53">
    <cfRule type="cellIs" dxfId="2473" priority="69" operator="lessThan">
      <formula>0</formula>
    </cfRule>
    <cfRule type="cellIs" dxfId="2472" priority="70" operator="greaterThanOrEqual">
      <formula>0</formula>
    </cfRule>
  </conditionalFormatting>
  <conditionalFormatting sqref="AT2:AT53">
    <cfRule type="cellIs" dxfId="2471" priority="67" operator="lessThan">
      <formula>0</formula>
    </cfRule>
  </conditionalFormatting>
  <conditionalFormatting sqref="AT2:AT53">
    <cfRule type="cellIs" dxfId="2470" priority="68" operator="greaterThanOrEqual">
      <formula>0</formula>
    </cfRule>
  </conditionalFormatting>
  <conditionalFormatting sqref="AP2:AP53">
    <cfRule type="cellIs" dxfId="2469" priority="65" operator="lessThan">
      <formula>0</formula>
    </cfRule>
  </conditionalFormatting>
  <conditionalFormatting sqref="AP2:AP53">
    <cfRule type="cellIs" dxfId="2468" priority="66" operator="greaterThanOrEqual">
      <formula>0</formula>
    </cfRule>
  </conditionalFormatting>
  <conditionalFormatting sqref="AA4:AA53">
    <cfRule type="cellIs" dxfId="2467" priority="59" operator="lessThanOrEqual">
      <formula>0</formula>
    </cfRule>
  </conditionalFormatting>
  <conditionalFormatting sqref="AA4:AA53">
    <cfRule type="cellIs" dxfId="2466" priority="60" operator="greaterThan">
      <formula>0</formula>
    </cfRule>
  </conditionalFormatting>
  <conditionalFormatting sqref="AA2">
    <cfRule type="cellIs" dxfId="2465" priority="61" operator="lessThan">
      <formula>0</formula>
    </cfRule>
  </conditionalFormatting>
  <conditionalFormatting sqref="AA2">
    <cfRule type="cellIs" dxfId="2464" priority="62" operator="greaterThanOrEqual">
      <formula>0</formula>
    </cfRule>
  </conditionalFormatting>
  <conditionalFormatting sqref="AA3">
    <cfRule type="cellIs" dxfId="2463" priority="63" operator="lessThan">
      <formula>0</formula>
    </cfRule>
  </conditionalFormatting>
  <conditionalFormatting sqref="AA3">
    <cfRule type="cellIs" dxfId="2462" priority="64" operator="greaterThanOrEqual">
      <formula>0</formula>
    </cfRule>
  </conditionalFormatting>
  <conditionalFormatting sqref="AQ4:AQ53">
    <cfRule type="cellIs" dxfId="2461" priority="53" operator="lessThan">
      <formula>0</formula>
    </cfRule>
  </conditionalFormatting>
  <conditionalFormatting sqref="AQ4:AQ53">
    <cfRule type="cellIs" dxfId="2460" priority="54" operator="greaterThanOrEqual">
      <formula>0</formula>
    </cfRule>
  </conditionalFormatting>
  <conditionalFormatting sqref="AQ3">
    <cfRule type="cellIs" dxfId="2459" priority="55" operator="lessThan">
      <formula>0</formula>
    </cfRule>
  </conditionalFormatting>
  <conditionalFormatting sqref="AQ3">
    <cfRule type="cellIs" dxfId="2458" priority="56" operator="greaterThanOrEqual">
      <formula>0</formula>
    </cfRule>
  </conditionalFormatting>
  <conditionalFormatting sqref="AQ2">
    <cfRule type="cellIs" dxfId="2457" priority="57" operator="lessThan">
      <formula>0</formula>
    </cfRule>
  </conditionalFormatting>
  <conditionalFormatting sqref="AQ2">
    <cfRule type="cellIs" dxfId="2456" priority="58" operator="greaterThanOrEqual">
      <formula>0</formula>
    </cfRule>
  </conditionalFormatting>
  <conditionalFormatting sqref="AU4:AU53">
    <cfRule type="cellIs" dxfId="2455" priority="47" operator="lessThan">
      <formula>0</formula>
    </cfRule>
  </conditionalFormatting>
  <conditionalFormatting sqref="AU4:AU53">
    <cfRule type="cellIs" dxfId="2454" priority="48" operator="greaterThanOrEqual">
      <formula>0</formula>
    </cfRule>
  </conditionalFormatting>
  <conditionalFormatting sqref="AU3">
    <cfRule type="cellIs" dxfId="2453" priority="49" operator="lessThan">
      <formula>0</formula>
    </cfRule>
  </conditionalFormatting>
  <conditionalFormatting sqref="AU3">
    <cfRule type="cellIs" dxfId="2452" priority="50" operator="greaterThanOrEqual">
      <formula>0</formula>
    </cfRule>
  </conditionalFormatting>
  <conditionalFormatting sqref="AU2">
    <cfRule type="cellIs" dxfId="2451" priority="51" operator="lessThan">
      <formula>0</formula>
    </cfRule>
  </conditionalFormatting>
  <conditionalFormatting sqref="AU2">
    <cfRule type="cellIs" dxfId="2450" priority="52" operator="greaterThanOrEqual">
      <formula>0</formula>
    </cfRule>
  </conditionalFormatting>
  <conditionalFormatting sqref="N2:O53">
    <cfRule type="cellIs" dxfId="2449" priority="37" operator="lessThanOrEqual">
      <formula>0</formula>
    </cfRule>
  </conditionalFormatting>
  <conditionalFormatting sqref="N2:O53">
    <cfRule type="cellIs" dxfId="2448" priority="38" operator="greaterThan">
      <formula>0</formula>
    </cfRule>
  </conditionalFormatting>
  <conditionalFormatting sqref="J2:K53">
    <cfRule type="cellIs" dxfId="2447" priority="35" operator="lessThanOrEqual">
      <formula>0</formula>
    </cfRule>
  </conditionalFormatting>
  <conditionalFormatting sqref="J2:K53">
    <cfRule type="cellIs" dxfId="2446" priority="36" operator="greaterThan">
      <formula>0</formula>
    </cfRule>
  </conditionalFormatting>
  <conditionalFormatting sqref="AD2:AD53">
    <cfRule type="cellIs" dxfId="2445" priority="33" operator="lessThan">
      <formula>0</formula>
    </cfRule>
    <cfRule type="cellIs" dxfId="2444" priority="34" operator="greaterThanOrEqual">
      <formula>0</formula>
    </cfRule>
  </conditionalFormatting>
  <conditionalFormatting sqref="AE4:AE53">
    <cfRule type="cellIs" dxfId="2443" priority="27" operator="lessThanOrEqual">
      <formula>0</formula>
    </cfRule>
  </conditionalFormatting>
  <conditionalFormatting sqref="AE4:AE53">
    <cfRule type="cellIs" dxfId="2442" priority="28" operator="greaterThan">
      <formula>0</formula>
    </cfRule>
  </conditionalFormatting>
  <conditionalFormatting sqref="AE2">
    <cfRule type="cellIs" dxfId="2441" priority="29" operator="lessThan">
      <formula>0</formula>
    </cfRule>
  </conditionalFormatting>
  <conditionalFormatting sqref="AE2">
    <cfRule type="cellIs" dxfId="2440" priority="30" operator="greaterThanOrEqual">
      <formula>0</formula>
    </cfRule>
  </conditionalFormatting>
  <conditionalFormatting sqref="AE3">
    <cfRule type="cellIs" dxfId="2439" priority="31" operator="lessThan">
      <formula>0</formula>
    </cfRule>
  </conditionalFormatting>
  <conditionalFormatting sqref="AE3">
    <cfRule type="cellIs" dxfId="2438" priority="32" operator="greaterThanOrEqual">
      <formula>0</formula>
    </cfRule>
  </conditionalFormatting>
  <conditionalFormatting sqref="G54">
    <cfRule type="cellIs" dxfId="2437" priority="25" operator="lessThan">
      <formula>0</formula>
    </cfRule>
  </conditionalFormatting>
  <conditionalFormatting sqref="G54">
    <cfRule type="cellIs" dxfId="2436" priority="26" operator="greaterThanOrEqual">
      <formula>0</formula>
    </cfRule>
  </conditionalFormatting>
  <conditionalFormatting sqref="K54">
    <cfRule type="cellIs" dxfId="2435" priority="23" operator="lessThanOrEqual">
      <formula>0</formula>
    </cfRule>
  </conditionalFormatting>
  <conditionalFormatting sqref="K54">
    <cfRule type="cellIs" dxfId="2434" priority="24" operator="greaterThan">
      <formula>0</formula>
    </cfRule>
  </conditionalFormatting>
  <conditionalFormatting sqref="O54">
    <cfRule type="cellIs" dxfId="2433" priority="21" operator="lessThanOrEqual">
      <formula>0</formula>
    </cfRule>
  </conditionalFormatting>
  <conditionalFormatting sqref="O54">
    <cfRule type="cellIs" dxfId="2432" priority="22" operator="greaterThan">
      <formula>0</formula>
    </cfRule>
  </conditionalFormatting>
  <conditionalFormatting sqref="AA54">
    <cfRule type="cellIs" dxfId="2431" priority="19" operator="lessThanOrEqual">
      <formula>0</formula>
    </cfRule>
  </conditionalFormatting>
  <conditionalFormatting sqref="AA54">
    <cfRule type="cellIs" dxfId="2430" priority="20" operator="greaterThan">
      <formula>0</formula>
    </cfRule>
  </conditionalFormatting>
  <conditionalFormatting sqref="AI54">
    <cfRule type="cellIs" dxfId="2429" priority="17" operator="lessThan">
      <formula>0</formula>
    </cfRule>
  </conditionalFormatting>
  <conditionalFormatting sqref="AI54">
    <cfRule type="cellIs" dxfId="2428" priority="18" operator="greaterThanOrEqual">
      <formula>0</formula>
    </cfRule>
  </conditionalFormatting>
  <conditionalFormatting sqref="AM54">
    <cfRule type="cellIs" dxfId="2427" priority="15" operator="lessThan">
      <formula>0</formula>
    </cfRule>
  </conditionalFormatting>
  <conditionalFormatting sqref="AM54">
    <cfRule type="cellIs" dxfId="2426" priority="16" operator="greaterThanOrEqual">
      <formula>0</formula>
    </cfRule>
  </conditionalFormatting>
  <conditionalFormatting sqref="AQ54">
    <cfRule type="cellIs" dxfId="2425" priority="13" operator="lessThan">
      <formula>0</formula>
    </cfRule>
  </conditionalFormatting>
  <conditionalFormatting sqref="AQ54">
    <cfRule type="cellIs" dxfId="2424" priority="14" operator="greaterThanOrEqual">
      <formula>0</formula>
    </cfRule>
  </conditionalFormatting>
  <conditionalFormatting sqref="AU54">
    <cfRule type="cellIs" dxfId="2423" priority="11" operator="lessThan">
      <formula>0</formula>
    </cfRule>
  </conditionalFormatting>
  <conditionalFormatting sqref="AU54">
    <cfRule type="cellIs" dxfId="2422" priority="12" operator="greaterThanOrEqual">
      <formula>0</formula>
    </cfRule>
  </conditionalFormatting>
  <conditionalFormatting sqref="AE54">
    <cfRule type="cellIs" dxfId="2421" priority="9" operator="lessThanOrEqual">
      <formula>0</formula>
    </cfRule>
  </conditionalFormatting>
  <conditionalFormatting sqref="AE54">
    <cfRule type="cellIs" dxfId="2420" priority="10" operator="greaterThan">
      <formula>0</formula>
    </cfRule>
  </conditionalFormatting>
  <conditionalFormatting sqref="R2:S53">
    <cfRule type="cellIs" dxfId="2419" priority="7" operator="lessThanOrEqual">
      <formula>0</formula>
    </cfRule>
  </conditionalFormatting>
  <conditionalFormatting sqref="R2:S53">
    <cfRule type="cellIs" dxfId="2418" priority="8" operator="greaterThan">
      <formula>0</formula>
    </cfRule>
  </conditionalFormatting>
  <conditionalFormatting sqref="S54">
    <cfRule type="cellIs" dxfId="2417" priority="5" operator="lessThanOrEqual">
      <formula>0</formula>
    </cfRule>
  </conditionalFormatting>
  <conditionalFormatting sqref="S54">
    <cfRule type="cellIs" dxfId="2416" priority="6" operator="greaterThan">
      <formula>0</formula>
    </cfRule>
  </conditionalFormatting>
  <conditionalFormatting sqref="V2:W53">
    <cfRule type="cellIs" dxfId="2415" priority="3" operator="lessThanOrEqual">
      <formula>0</formula>
    </cfRule>
  </conditionalFormatting>
  <conditionalFormatting sqref="V2:W53">
    <cfRule type="cellIs" dxfId="2414" priority="4" operator="greaterThan">
      <formula>0</formula>
    </cfRule>
  </conditionalFormatting>
  <conditionalFormatting sqref="W54">
    <cfRule type="cellIs" dxfId="2413" priority="1" operator="lessThanOrEqual">
      <formula>0</formula>
    </cfRule>
  </conditionalFormatting>
  <conditionalFormatting sqref="W54">
    <cfRule type="cellIs" dxfId="2412" priority="2" operator="greaterThan">
      <formula>0</formula>
    </cfRule>
  </conditionalFormatting>
  <pageMargins left="0.75" right="0.75" top="1" bottom="1" header="0.5" footer="0.5"/>
  <pageSetup orientation="portrait" horizontalDpi="4294967292" vertic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55"/>
  <sheetViews>
    <sheetView topLeftCell="A34" workbookViewId="0">
      <selection activeCell="D51" sqref="D51"/>
    </sheetView>
  </sheetViews>
  <sheetFormatPr defaultColWidth="11" defaultRowHeight="18.75" x14ac:dyDescent="0.3"/>
  <cols>
    <col min="1" max="2" width="14" style="126" customWidth="1"/>
    <col min="3" max="3" width="15.5" style="131" bestFit="1" customWidth="1"/>
    <col min="4" max="4" width="13.5" style="131" bestFit="1" customWidth="1"/>
    <col min="5" max="5" width="16.625" style="139" bestFit="1" customWidth="1"/>
    <col min="6" max="6" width="14.125" style="121" bestFit="1" customWidth="1"/>
    <col min="7" max="7" width="10.875" style="121" bestFit="1" customWidth="1"/>
  </cols>
  <sheetData>
    <row r="1" spans="1:7" ht="23.25" x14ac:dyDescent="0.3">
      <c r="A1" s="457" t="s">
        <v>164</v>
      </c>
      <c r="B1" s="457"/>
      <c r="C1" s="457"/>
      <c r="D1" s="457"/>
      <c r="E1" s="457"/>
      <c r="F1" s="457"/>
    </row>
    <row r="2" spans="1:7" x14ac:dyDescent="0.25">
      <c r="A2" s="122" t="s">
        <v>19</v>
      </c>
      <c r="B2" s="122" t="s">
        <v>165</v>
      </c>
      <c r="C2" s="122" t="s">
        <v>160</v>
      </c>
      <c r="D2" s="123" t="s">
        <v>161</v>
      </c>
      <c r="E2" s="122" t="s">
        <v>163</v>
      </c>
      <c r="F2" s="122" t="s">
        <v>162</v>
      </c>
      <c r="G2" s="124"/>
    </row>
    <row r="3" spans="1:7" x14ac:dyDescent="0.3">
      <c r="A3" s="125">
        <v>1</v>
      </c>
      <c r="B3" s="125" t="s">
        <v>27</v>
      </c>
      <c r="C3" s="131">
        <v>23453</v>
      </c>
      <c r="D3" s="128">
        <v>21239.02</v>
      </c>
      <c r="E3" s="127">
        <f>C3-D3</f>
        <v>2213.9799999999996</v>
      </c>
      <c r="F3" s="129">
        <f>(C3-D3)/C3</f>
        <v>9.4400716326269549E-2</v>
      </c>
      <c r="G3" s="130"/>
    </row>
    <row r="4" spans="1:7" x14ac:dyDescent="0.3">
      <c r="A4" s="125">
        <v>1</v>
      </c>
      <c r="B4" s="125" t="s">
        <v>31</v>
      </c>
      <c r="C4" s="131">
        <v>9658</v>
      </c>
      <c r="D4" s="128">
        <v>8139.21</v>
      </c>
      <c r="E4" s="127">
        <f t="shared" ref="E4:E54" si="0">C4-D4</f>
        <v>1518.79</v>
      </c>
      <c r="F4" s="129">
        <f t="shared" ref="F4:F54" si="1">(C4-D4)/C4</f>
        <v>0.15725719610685443</v>
      </c>
      <c r="G4" s="130"/>
    </row>
    <row r="5" spans="1:7" x14ac:dyDescent="0.3">
      <c r="A5" s="125">
        <v>1</v>
      </c>
      <c r="B5" s="125" t="s">
        <v>32</v>
      </c>
      <c r="C5" s="131">
        <v>21813</v>
      </c>
      <c r="D5" s="128">
        <v>19920.810000000001</v>
      </c>
      <c r="E5" s="127">
        <f t="shared" si="0"/>
        <v>1892.1899999999987</v>
      </c>
      <c r="F5" s="129">
        <f t="shared" si="1"/>
        <v>8.6745977169577715E-2</v>
      </c>
      <c r="G5" s="130"/>
    </row>
    <row r="6" spans="1:7" x14ac:dyDescent="0.3">
      <c r="A6" s="203">
        <v>1</v>
      </c>
      <c r="B6" s="203" t="s">
        <v>33</v>
      </c>
      <c r="C6" s="204">
        <v>22915</v>
      </c>
      <c r="D6" s="205">
        <v>21471.5</v>
      </c>
      <c r="E6" s="206">
        <f t="shared" si="0"/>
        <v>1443.5</v>
      </c>
      <c r="F6" s="207">
        <f t="shared" si="1"/>
        <v>6.2993672267073975E-2</v>
      </c>
      <c r="G6" s="130"/>
    </row>
    <row r="7" spans="1:7" x14ac:dyDescent="0.3">
      <c r="A7" s="125">
        <v>2</v>
      </c>
      <c r="B7" s="125" t="s">
        <v>34</v>
      </c>
      <c r="C7" s="131">
        <v>27165</v>
      </c>
      <c r="D7" s="132">
        <v>22972.49</v>
      </c>
      <c r="E7" s="127">
        <f t="shared" si="0"/>
        <v>4192.5099999999984</v>
      </c>
      <c r="F7" s="129">
        <f t="shared" si="1"/>
        <v>0.15433498987667948</v>
      </c>
    </row>
    <row r="8" spans="1:7" x14ac:dyDescent="0.3">
      <c r="A8" s="125">
        <v>2</v>
      </c>
      <c r="B8" s="125" t="s">
        <v>35</v>
      </c>
      <c r="C8" s="131">
        <v>19784</v>
      </c>
      <c r="D8" s="128">
        <v>17769.04</v>
      </c>
      <c r="E8" s="127">
        <f t="shared" si="0"/>
        <v>2014.9599999999991</v>
      </c>
      <c r="F8" s="129">
        <f t="shared" si="1"/>
        <v>0.10184795794581475</v>
      </c>
      <c r="G8" s="130"/>
    </row>
    <row r="9" spans="1:7" x14ac:dyDescent="0.3">
      <c r="A9" s="125">
        <v>2</v>
      </c>
      <c r="B9" s="125" t="s">
        <v>36</v>
      </c>
      <c r="C9" s="131">
        <v>75527</v>
      </c>
      <c r="D9" s="128">
        <v>14304.5</v>
      </c>
      <c r="E9" s="127">
        <f t="shared" si="0"/>
        <v>61222.5</v>
      </c>
      <c r="F9" s="129">
        <f t="shared" si="1"/>
        <v>0.81060415480556625</v>
      </c>
      <c r="G9" s="130"/>
    </row>
    <row r="10" spans="1:7" x14ac:dyDescent="0.3">
      <c r="A10" s="203">
        <v>2</v>
      </c>
      <c r="B10" s="203" t="s">
        <v>37</v>
      </c>
      <c r="C10" s="206">
        <v>17401</v>
      </c>
      <c r="D10" s="205">
        <v>18627.650000000001</v>
      </c>
      <c r="E10" s="206">
        <f t="shared" si="0"/>
        <v>-1226.6500000000015</v>
      </c>
      <c r="F10" s="207">
        <f t="shared" si="1"/>
        <v>-7.0493075110625913E-2</v>
      </c>
      <c r="G10" s="130"/>
    </row>
    <row r="11" spans="1:7" x14ac:dyDescent="0.3">
      <c r="A11" s="125">
        <v>3</v>
      </c>
      <c r="B11" s="125" t="s">
        <v>39</v>
      </c>
      <c r="C11" s="131">
        <v>16157</v>
      </c>
      <c r="D11" s="132">
        <v>11875.42</v>
      </c>
      <c r="E11" s="127">
        <f t="shared" si="0"/>
        <v>4281.58</v>
      </c>
      <c r="F11" s="129">
        <f t="shared" si="1"/>
        <v>0.26499845268304761</v>
      </c>
    </row>
    <row r="12" spans="1:7" x14ac:dyDescent="0.3">
      <c r="A12" s="125">
        <v>3</v>
      </c>
      <c r="B12" s="125" t="s">
        <v>40</v>
      </c>
      <c r="C12" s="131">
        <v>63408</v>
      </c>
      <c r="D12" s="132">
        <v>55880.76</v>
      </c>
      <c r="E12" s="127">
        <f t="shared" si="0"/>
        <v>7527.239999999998</v>
      </c>
      <c r="F12" s="129">
        <f t="shared" si="1"/>
        <v>0.11871120363361087</v>
      </c>
    </row>
    <row r="13" spans="1:7" x14ac:dyDescent="0.3">
      <c r="A13" s="125">
        <v>3</v>
      </c>
      <c r="B13" s="125" t="s">
        <v>41</v>
      </c>
      <c r="C13" s="131">
        <v>46182</v>
      </c>
      <c r="D13" s="132">
        <v>43760.51</v>
      </c>
      <c r="E13" s="127">
        <f t="shared" si="0"/>
        <v>2421.489999999998</v>
      </c>
      <c r="F13" s="129">
        <f t="shared" si="1"/>
        <v>5.2433632151054482E-2</v>
      </c>
    </row>
    <row r="14" spans="1:7" x14ac:dyDescent="0.3">
      <c r="A14" s="203">
        <v>3</v>
      </c>
      <c r="B14" s="203" t="s">
        <v>42</v>
      </c>
      <c r="C14" s="204">
        <v>22258</v>
      </c>
      <c r="D14" s="208">
        <v>19232.59</v>
      </c>
      <c r="E14" s="206">
        <f t="shared" si="0"/>
        <v>3025.41</v>
      </c>
      <c r="F14" s="207">
        <f t="shared" si="1"/>
        <v>0.13592461137568515</v>
      </c>
    </row>
    <row r="15" spans="1:7" x14ac:dyDescent="0.3">
      <c r="A15" s="125">
        <v>4</v>
      </c>
      <c r="B15" s="125" t="s">
        <v>44</v>
      </c>
      <c r="C15" s="131">
        <v>27902</v>
      </c>
      <c r="D15" s="132">
        <v>20063.32</v>
      </c>
      <c r="E15" s="127">
        <f t="shared" si="0"/>
        <v>7838.68</v>
      </c>
      <c r="F15" s="129">
        <f t="shared" si="1"/>
        <v>0.28093613361049385</v>
      </c>
    </row>
    <row r="16" spans="1:7" x14ac:dyDescent="0.3">
      <c r="A16" s="125">
        <v>4</v>
      </c>
      <c r="B16" s="125" t="s">
        <v>45</v>
      </c>
      <c r="C16" s="131">
        <v>34338</v>
      </c>
      <c r="D16" s="132">
        <v>30965.360000000001</v>
      </c>
      <c r="E16" s="127">
        <f t="shared" si="0"/>
        <v>3372.6399999999994</v>
      </c>
      <c r="F16" s="129">
        <f t="shared" si="1"/>
        <v>9.8218882870289459E-2</v>
      </c>
    </row>
    <row r="17" spans="1:6" x14ac:dyDescent="0.3">
      <c r="A17" s="125">
        <v>4</v>
      </c>
      <c r="B17" s="125" t="s">
        <v>46</v>
      </c>
      <c r="C17" s="131">
        <f>Affiliate!D16</f>
        <v>15385</v>
      </c>
      <c r="D17" s="132">
        <v>13329.4</v>
      </c>
      <c r="E17" s="127">
        <f t="shared" si="0"/>
        <v>2055.6000000000004</v>
      </c>
      <c r="F17" s="129">
        <f t="shared" si="1"/>
        <v>0.13361065973350669</v>
      </c>
    </row>
    <row r="18" spans="1:6" x14ac:dyDescent="0.3">
      <c r="A18" s="203">
        <v>4</v>
      </c>
      <c r="B18" s="203" t="s">
        <v>47</v>
      </c>
      <c r="C18" s="204">
        <v>32339</v>
      </c>
      <c r="D18" s="208">
        <v>29822.799999999999</v>
      </c>
      <c r="E18" s="206">
        <f t="shared" si="0"/>
        <v>2516.2000000000007</v>
      </c>
      <c r="F18" s="207">
        <f t="shared" si="1"/>
        <v>7.7806982281455855E-2</v>
      </c>
    </row>
    <row r="19" spans="1:6" x14ac:dyDescent="0.3">
      <c r="A19" s="125">
        <v>5</v>
      </c>
      <c r="B19" s="125" t="s">
        <v>49</v>
      </c>
      <c r="C19" s="131">
        <v>18240</v>
      </c>
      <c r="D19" s="132">
        <v>17128.46</v>
      </c>
      <c r="E19" s="127">
        <f t="shared" si="0"/>
        <v>1111.5400000000009</v>
      </c>
      <c r="F19" s="129">
        <f t="shared" si="1"/>
        <v>6.0939692982456189E-2</v>
      </c>
    </row>
    <row r="20" spans="1:6" x14ac:dyDescent="0.3">
      <c r="A20" s="125">
        <v>5</v>
      </c>
      <c r="B20" s="125" t="s">
        <v>50</v>
      </c>
      <c r="C20" s="131">
        <v>91686</v>
      </c>
      <c r="D20" s="132">
        <v>16161.64</v>
      </c>
      <c r="E20" s="127">
        <f t="shared" si="0"/>
        <v>75524.36</v>
      </c>
      <c r="F20" s="129">
        <f t="shared" si="1"/>
        <v>0.82372837728769932</v>
      </c>
    </row>
    <row r="21" spans="1:6" x14ac:dyDescent="0.3">
      <c r="A21" s="125">
        <v>5</v>
      </c>
      <c r="B21" s="125" t="s">
        <v>51</v>
      </c>
      <c r="C21" s="131">
        <v>26376</v>
      </c>
      <c r="D21" s="132">
        <v>31160.55</v>
      </c>
      <c r="E21" s="127">
        <f t="shared" si="0"/>
        <v>-4784.5499999999993</v>
      </c>
      <c r="F21" s="129">
        <f t="shared" si="1"/>
        <v>-0.18139786169244765</v>
      </c>
    </row>
    <row r="22" spans="1:6" x14ac:dyDescent="0.3">
      <c r="A22" s="203">
        <v>5</v>
      </c>
      <c r="B22" s="203" t="s">
        <v>52</v>
      </c>
      <c r="C22" s="204">
        <v>11571</v>
      </c>
      <c r="D22" s="208">
        <v>13902.58</v>
      </c>
      <c r="E22" s="206">
        <f t="shared" si="0"/>
        <v>-2331.58</v>
      </c>
      <c r="F22" s="207">
        <f t="shared" si="1"/>
        <v>-0.20150203093941751</v>
      </c>
    </row>
    <row r="23" spans="1:6" x14ac:dyDescent="0.3">
      <c r="A23" s="125">
        <v>6</v>
      </c>
      <c r="B23" s="125" t="s">
        <v>54</v>
      </c>
      <c r="C23" s="131">
        <v>19617</v>
      </c>
      <c r="D23" s="132">
        <v>20247.759999999998</v>
      </c>
      <c r="E23" s="127">
        <f t="shared" si="0"/>
        <v>-630.7599999999984</v>
      </c>
      <c r="F23" s="129">
        <f t="shared" si="1"/>
        <v>-3.2153744201457835E-2</v>
      </c>
    </row>
    <row r="24" spans="1:6" x14ac:dyDescent="0.3">
      <c r="A24" s="125">
        <v>6</v>
      </c>
      <c r="B24" s="125" t="s">
        <v>55</v>
      </c>
      <c r="C24" s="131">
        <v>15709</v>
      </c>
      <c r="D24" s="132">
        <v>16631.830000000002</v>
      </c>
      <c r="E24" s="127">
        <f t="shared" si="0"/>
        <v>-922.83000000000175</v>
      </c>
      <c r="F24" s="129">
        <f t="shared" si="1"/>
        <v>-5.874530523903506E-2</v>
      </c>
    </row>
    <row r="25" spans="1:6" x14ac:dyDescent="0.3">
      <c r="A25" s="125">
        <v>6</v>
      </c>
      <c r="B25" s="125" t="s">
        <v>56</v>
      </c>
      <c r="C25" s="131">
        <v>14408</v>
      </c>
      <c r="D25" s="132">
        <v>21004.81</v>
      </c>
      <c r="E25" s="127">
        <f t="shared" si="0"/>
        <v>-6596.8100000000013</v>
      </c>
      <c r="F25" s="129">
        <f t="shared" si="1"/>
        <v>-0.45785744031093845</v>
      </c>
    </row>
    <row r="26" spans="1:6" x14ac:dyDescent="0.3">
      <c r="A26" s="203">
        <v>6</v>
      </c>
      <c r="B26" s="203" t="s">
        <v>57</v>
      </c>
      <c r="C26" s="204">
        <v>42858</v>
      </c>
      <c r="D26" s="208">
        <v>9309.4</v>
      </c>
      <c r="E26" s="206">
        <f t="shared" si="0"/>
        <v>33548.6</v>
      </c>
      <c r="F26" s="207">
        <f t="shared" si="1"/>
        <v>0.78278501096644726</v>
      </c>
    </row>
    <row r="27" spans="1:6" x14ac:dyDescent="0.3">
      <c r="A27" s="125">
        <v>7</v>
      </c>
      <c r="B27" s="125" t="s">
        <v>59</v>
      </c>
      <c r="C27" s="131">
        <v>13456</v>
      </c>
      <c r="D27" s="132">
        <v>11429.7</v>
      </c>
      <c r="E27" s="127">
        <f t="shared" si="0"/>
        <v>2026.2999999999993</v>
      </c>
      <c r="F27" s="129">
        <f t="shared" si="1"/>
        <v>0.15058709869203324</v>
      </c>
    </row>
    <row r="28" spans="1:6" x14ac:dyDescent="0.3">
      <c r="A28" s="125">
        <v>7</v>
      </c>
      <c r="B28" s="125" t="s">
        <v>60</v>
      </c>
      <c r="C28" s="131">
        <f>Affiliate!D27</f>
        <v>14237</v>
      </c>
      <c r="D28" s="132">
        <v>12237.17</v>
      </c>
      <c r="E28" s="127">
        <f t="shared" si="0"/>
        <v>1999.83</v>
      </c>
      <c r="F28" s="129">
        <f t="shared" si="1"/>
        <v>0.14046709278640163</v>
      </c>
    </row>
    <row r="29" spans="1:6" x14ac:dyDescent="0.3">
      <c r="A29" s="125">
        <v>7</v>
      </c>
      <c r="B29" s="125" t="s">
        <v>61</v>
      </c>
      <c r="C29" s="131">
        <f>Affiliate!D28</f>
        <v>16820</v>
      </c>
      <c r="D29" s="132">
        <v>14212.55</v>
      </c>
      <c r="E29" s="127">
        <f t="shared" si="0"/>
        <v>2607.4500000000007</v>
      </c>
      <c r="F29" s="129">
        <f t="shared" si="1"/>
        <v>0.15502080856123668</v>
      </c>
    </row>
    <row r="30" spans="1:6" x14ac:dyDescent="0.3">
      <c r="A30" s="203">
        <v>7</v>
      </c>
      <c r="B30" s="203" t="s">
        <v>62</v>
      </c>
      <c r="C30" s="204">
        <f>Affiliate!D29</f>
        <v>22953</v>
      </c>
      <c r="D30" s="208">
        <v>21377.94</v>
      </c>
      <c r="E30" s="206">
        <f t="shared" si="0"/>
        <v>1575.0600000000013</v>
      </c>
      <c r="F30" s="207">
        <f t="shared" si="1"/>
        <v>6.8621095281662589E-2</v>
      </c>
    </row>
    <row r="31" spans="1:6" x14ac:dyDescent="0.3">
      <c r="A31" s="125">
        <v>8</v>
      </c>
      <c r="B31" s="125" t="s">
        <v>64</v>
      </c>
      <c r="C31" s="131">
        <f>Affiliate!D30</f>
        <v>27040</v>
      </c>
      <c r="D31" s="132">
        <v>17193.48</v>
      </c>
      <c r="E31" s="127">
        <f t="shared" si="0"/>
        <v>9846.52</v>
      </c>
      <c r="F31" s="129">
        <f t="shared" si="1"/>
        <v>0.36414644970414201</v>
      </c>
    </row>
    <row r="32" spans="1:6" x14ac:dyDescent="0.3">
      <c r="A32" s="125">
        <v>8</v>
      </c>
      <c r="B32" s="125" t="s">
        <v>65</v>
      </c>
      <c r="C32" s="131">
        <f>Affiliate!D31</f>
        <v>33397</v>
      </c>
      <c r="D32" s="132">
        <v>7703.22</v>
      </c>
      <c r="E32" s="127">
        <f t="shared" si="0"/>
        <v>25693.78</v>
      </c>
      <c r="F32" s="129">
        <f t="shared" si="1"/>
        <v>0.76934395304967507</v>
      </c>
    </row>
    <row r="33" spans="1:7" x14ac:dyDescent="0.3">
      <c r="A33" s="125">
        <v>8</v>
      </c>
      <c r="B33" s="125" t="s">
        <v>66</v>
      </c>
      <c r="C33" s="131">
        <f>Affiliate!D32</f>
        <v>17403</v>
      </c>
      <c r="D33" s="132">
        <v>15969.5</v>
      </c>
      <c r="E33" s="127">
        <f t="shared" si="0"/>
        <v>1433.5</v>
      </c>
      <c r="F33" s="129">
        <f t="shared" si="1"/>
        <v>8.2370855599609258E-2</v>
      </c>
    </row>
    <row r="34" spans="1:7" x14ac:dyDescent="0.3">
      <c r="A34" s="203">
        <v>8</v>
      </c>
      <c r="B34" s="203" t="s">
        <v>67</v>
      </c>
      <c r="C34" s="204">
        <f>Affiliate!D33</f>
        <v>17274</v>
      </c>
      <c r="D34" s="208">
        <v>14712.02</v>
      </c>
      <c r="E34" s="206">
        <f t="shared" si="0"/>
        <v>2561.9799999999996</v>
      </c>
      <c r="F34" s="207">
        <f t="shared" si="1"/>
        <v>0.14831422947782794</v>
      </c>
    </row>
    <row r="35" spans="1:7" x14ac:dyDescent="0.3">
      <c r="A35" s="125">
        <v>9</v>
      </c>
      <c r="B35" s="125" t="s">
        <v>69</v>
      </c>
      <c r="C35" s="131">
        <f>Affiliate!D34</f>
        <v>31691</v>
      </c>
      <c r="D35" s="132">
        <v>29625.03</v>
      </c>
      <c r="E35" s="127">
        <f t="shared" si="0"/>
        <v>2065.9700000000012</v>
      </c>
      <c r="F35" s="129">
        <f t="shared" si="1"/>
        <v>6.5191063708939484E-2</v>
      </c>
    </row>
    <row r="36" spans="1:7" x14ac:dyDescent="0.3">
      <c r="A36" s="125">
        <v>9</v>
      </c>
      <c r="B36" s="125" t="s">
        <v>70</v>
      </c>
      <c r="C36" s="131">
        <f>Affiliate!D35</f>
        <v>26508</v>
      </c>
      <c r="D36" s="132">
        <v>27074.99</v>
      </c>
      <c r="E36" s="127">
        <f t="shared" si="0"/>
        <v>-566.9900000000016</v>
      </c>
      <c r="F36" s="129">
        <f t="shared" si="1"/>
        <v>-2.1389391881696151E-2</v>
      </c>
    </row>
    <row r="37" spans="1:7" x14ac:dyDescent="0.3">
      <c r="A37" s="125">
        <v>9</v>
      </c>
      <c r="B37" s="125" t="s">
        <v>71</v>
      </c>
      <c r="C37" s="131">
        <f>Affiliate!D36</f>
        <v>17884</v>
      </c>
      <c r="D37" s="132">
        <v>16470.98</v>
      </c>
      <c r="E37" s="127">
        <f t="shared" si="0"/>
        <v>1413.0200000000004</v>
      </c>
      <c r="F37" s="129">
        <f t="shared" si="1"/>
        <v>7.9010288526056835E-2</v>
      </c>
    </row>
    <row r="38" spans="1:7" x14ac:dyDescent="0.3">
      <c r="A38" s="203">
        <v>9</v>
      </c>
      <c r="B38" s="203" t="s">
        <v>72</v>
      </c>
      <c r="C38" s="204">
        <f>Affiliate!D37</f>
        <v>25069</v>
      </c>
      <c r="D38" s="208">
        <v>21150.16</v>
      </c>
      <c r="E38" s="206">
        <f t="shared" si="0"/>
        <v>3918.84</v>
      </c>
      <c r="F38" s="207">
        <f t="shared" si="1"/>
        <v>0.15632215086361642</v>
      </c>
    </row>
    <row r="39" spans="1:7" x14ac:dyDescent="0.3">
      <c r="A39" s="125">
        <v>10</v>
      </c>
      <c r="B39" s="125" t="s">
        <v>74</v>
      </c>
      <c r="C39" s="131">
        <f>Affiliate!D38</f>
        <v>32538</v>
      </c>
      <c r="D39" s="132">
        <v>32220.79</v>
      </c>
      <c r="E39" s="127">
        <f t="shared" si="0"/>
        <v>317.20999999999913</v>
      </c>
      <c r="F39" s="129">
        <f t="shared" si="1"/>
        <v>9.7489089679758788E-3</v>
      </c>
    </row>
    <row r="40" spans="1:7" x14ac:dyDescent="0.3">
      <c r="A40" s="125">
        <v>10</v>
      </c>
      <c r="B40" s="125" t="s">
        <v>75</v>
      </c>
      <c r="C40" s="131">
        <f>Affiliate!D39</f>
        <v>25384</v>
      </c>
      <c r="D40" s="132">
        <v>24659.99</v>
      </c>
      <c r="E40" s="127">
        <f t="shared" si="0"/>
        <v>724.0099999999984</v>
      </c>
      <c r="F40" s="129">
        <f t="shared" si="1"/>
        <v>2.8522297510242611E-2</v>
      </c>
    </row>
    <row r="41" spans="1:7" x14ac:dyDescent="0.3">
      <c r="A41" s="125">
        <v>10</v>
      </c>
      <c r="B41" s="125" t="s">
        <v>76</v>
      </c>
      <c r="C41" s="131">
        <f>Affiliate!D40</f>
        <v>84309</v>
      </c>
      <c r="D41" s="132">
        <v>25494</v>
      </c>
      <c r="E41" s="127">
        <f t="shared" si="0"/>
        <v>58815</v>
      </c>
      <c r="F41" s="129">
        <f t="shared" si="1"/>
        <v>0.69761235455289472</v>
      </c>
    </row>
    <row r="42" spans="1:7" x14ac:dyDescent="0.3">
      <c r="A42" s="203">
        <v>10</v>
      </c>
      <c r="B42" s="203" t="s">
        <v>77</v>
      </c>
      <c r="C42" s="204">
        <f>Affiliate!D41</f>
        <v>10865</v>
      </c>
      <c r="D42" s="208">
        <v>7388.48</v>
      </c>
      <c r="E42" s="206">
        <f t="shared" si="0"/>
        <v>3476.5200000000004</v>
      </c>
      <c r="F42" s="207">
        <f t="shared" si="1"/>
        <v>0.31997422917625407</v>
      </c>
    </row>
    <row r="43" spans="1:7" x14ac:dyDescent="0.3">
      <c r="A43" s="122">
        <v>11</v>
      </c>
      <c r="B43" s="125" t="s">
        <v>79</v>
      </c>
      <c r="C43" s="131">
        <f>Affiliate!D42</f>
        <v>49056</v>
      </c>
      <c r="D43" s="132">
        <v>3187.44</v>
      </c>
      <c r="E43" s="127">
        <f t="shared" si="0"/>
        <v>45868.56</v>
      </c>
      <c r="F43" s="129">
        <f t="shared" si="1"/>
        <v>0.93502446183953025</v>
      </c>
      <c r="G43" s="124"/>
    </row>
    <row r="44" spans="1:7" x14ac:dyDescent="0.3">
      <c r="A44" s="122">
        <v>11</v>
      </c>
      <c r="B44" s="125" t="s">
        <v>80</v>
      </c>
      <c r="C44" s="131">
        <f>Affiliate!D43</f>
        <v>25791</v>
      </c>
      <c r="D44" s="132">
        <v>24914.05</v>
      </c>
      <c r="E44" s="127">
        <f t="shared" si="0"/>
        <v>876.95000000000073</v>
      </c>
      <c r="F44" s="129">
        <f t="shared" si="1"/>
        <v>3.4002171300065942E-2</v>
      </c>
    </row>
    <row r="45" spans="1:7" x14ac:dyDescent="0.3">
      <c r="A45" s="122">
        <v>11</v>
      </c>
      <c r="B45" s="125" t="s">
        <v>81</v>
      </c>
      <c r="C45" s="131">
        <f>Affiliate!D44</f>
        <v>63276</v>
      </c>
      <c r="D45" s="132">
        <v>53746</v>
      </c>
      <c r="E45" s="127">
        <f t="shared" si="0"/>
        <v>9530</v>
      </c>
      <c r="F45" s="129">
        <f t="shared" si="1"/>
        <v>0.15061002591819964</v>
      </c>
    </row>
    <row r="46" spans="1:7" x14ac:dyDescent="0.3">
      <c r="A46" s="209">
        <v>11</v>
      </c>
      <c r="B46" s="203" t="s">
        <v>82</v>
      </c>
      <c r="C46" s="204">
        <f>Affiliate!D45</f>
        <v>57135</v>
      </c>
      <c r="D46" s="208">
        <v>57161.34</v>
      </c>
      <c r="E46" s="206">
        <f t="shared" si="0"/>
        <v>-26.339999999996508</v>
      </c>
      <c r="F46" s="207">
        <f t="shared" si="1"/>
        <v>-4.6101338934097328E-4</v>
      </c>
    </row>
    <row r="47" spans="1:7" x14ac:dyDescent="0.3">
      <c r="A47" s="125">
        <v>12</v>
      </c>
      <c r="B47" s="125" t="s">
        <v>84</v>
      </c>
      <c r="C47" s="131">
        <f>Affiliate!D46</f>
        <v>97018</v>
      </c>
      <c r="D47" s="128">
        <v>93770.28</v>
      </c>
      <c r="E47" s="127">
        <f t="shared" si="0"/>
        <v>3247.7200000000012</v>
      </c>
      <c r="F47" s="129">
        <f t="shared" si="1"/>
        <v>3.3475437547671578E-2</v>
      </c>
      <c r="G47" s="130"/>
    </row>
    <row r="48" spans="1:7" x14ac:dyDescent="0.3">
      <c r="A48" s="125">
        <v>12</v>
      </c>
      <c r="B48" s="125" t="s">
        <v>85</v>
      </c>
      <c r="C48" s="131">
        <f>Affiliate!D47</f>
        <v>41481</v>
      </c>
      <c r="D48" s="132">
        <v>42595.58</v>
      </c>
      <c r="E48" s="127">
        <f t="shared" si="0"/>
        <v>-1114.5800000000017</v>
      </c>
      <c r="F48" s="129">
        <f t="shared" si="1"/>
        <v>-2.6869651165593929E-2</v>
      </c>
    </row>
    <row r="49" spans="1:6" x14ac:dyDescent="0.3">
      <c r="A49" s="125">
        <v>12</v>
      </c>
      <c r="B49" s="125" t="s">
        <v>86</v>
      </c>
      <c r="C49" s="131">
        <f>Affiliate!D48</f>
        <v>109892</v>
      </c>
      <c r="D49" s="132">
        <v>98306.559999999998</v>
      </c>
      <c r="E49" s="127">
        <f t="shared" si="0"/>
        <v>11585.440000000002</v>
      </c>
      <c r="F49" s="129">
        <f t="shared" si="1"/>
        <v>0.10542569067812035</v>
      </c>
    </row>
    <row r="50" spans="1:6" x14ac:dyDescent="0.3">
      <c r="A50" s="203">
        <v>12</v>
      </c>
      <c r="B50" s="203" t="s">
        <v>87</v>
      </c>
      <c r="C50" s="204">
        <f>Affiliate!D49</f>
        <v>312551</v>
      </c>
      <c r="D50" s="208">
        <v>175241.68</v>
      </c>
      <c r="E50" s="206">
        <f t="shared" si="0"/>
        <v>137309.32</v>
      </c>
      <c r="F50" s="207">
        <f t="shared" si="1"/>
        <v>0.43931812728162767</v>
      </c>
    </row>
    <row r="51" spans="1:6" x14ac:dyDescent="0.3">
      <c r="A51" s="125">
        <v>13</v>
      </c>
      <c r="B51" s="125" t="s">
        <v>89</v>
      </c>
      <c r="C51" s="131">
        <f>Affiliate!D50</f>
        <v>0</v>
      </c>
      <c r="D51" s="132"/>
      <c r="E51" s="127">
        <f t="shared" si="0"/>
        <v>0</v>
      </c>
      <c r="F51" s="129" t="e">
        <f t="shared" si="1"/>
        <v>#DIV/0!</v>
      </c>
    </row>
    <row r="52" spans="1:6" x14ac:dyDescent="0.3">
      <c r="A52" s="125">
        <v>13</v>
      </c>
      <c r="B52" s="125" t="s">
        <v>90</v>
      </c>
      <c r="C52" s="131">
        <f>Affiliate!D51</f>
        <v>0</v>
      </c>
      <c r="D52" s="132"/>
      <c r="E52" s="127">
        <f t="shared" si="0"/>
        <v>0</v>
      </c>
      <c r="F52" s="129" t="e">
        <f t="shared" si="1"/>
        <v>#DIV/0!</v>
      </c>
    </row>
    <row r="53" spans="1:6" x14ac:dyDescent="0.3">
      <c r="A53" s="125">
        <v>13</v>
      </c>
      <c r="B53" s="125" t="s">
        <v>91</v>
      </c>
      <c r="C53" s="131">
        <f>Affiliate!D52</f>
        <v>0</v>
      </c>
      <c r="D53" s="132"/>
      <c r="E53" s="127">
        <f t="shared" si="0"/>
        <v>0</v>
      </c>
      <c r="F53" s="129" t="e">
        <f t="shared" si="1"/>
        <v>#DIV/0!</v>
      </c>
    </row>
    <row r="54" spans="1:6" x14ac:dyDescent="0.3">
      <c r="A54" s="125">
        <v>13</v>
      </c>
      <c r="B54" s="125" t="s">
        <v>92</v>
      </c>
      <c r="C54" s="131">
        <f>Affiliate!D53</f>
        <v>0</v>
      </c>
      <c r="D54" s="132"/>
      <c r="E54" s="127">
        <f t="shared" si="0"/>
        <v>0</v>
      </c>
      <c r="F54" s="129" t="e">
        <f t="shared" si="1"/>
        <v>#DIV/0!</v>
      </c>
    </row>
    <row r="55" spans="1:6" x14ac:dyDescent="0.3">
      <c r="A55" s="134" t="s">
        <v>28</v>
      </c>
      <c r="B55" s="134"/>
      <c r="C55" s="135"/>
      <c r="D55" s="136"/>
      <c r="E55" s="137">
        <f>C55-D55</f>
        <v>0</v>
      </c>
      <c r="F55" s="138" t="e">
        <f>E55/C55</f>
        <v>#DIV/0!</v>
      </c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O1269"/>
  <sheetViews>
    <sheetView zoomScale="53" zoomScaleNormal="53" workbookViewId="0">
      <pane ySplit="1" topLeftCell="A270" activePane="bottomLeft" state="frozen"/>
      <selection pane="bottomLeft" activeCell="F293" sqref="F293"/>
    </sheetView>
  </sheetViews>
  <sheetFormatPr defaultColWidth="13.5" defaultRowHeight="15" customHeight="1" outlineLevelCol="1" x14ac:dyDescent="0.25"/>
  <cols>
    <col min="1" max="1" width="12" bestFit="1" customWidth="1"/>
    <col min="2" max="2" width="9.375" bestFit="1" customWidth="1"/>
    <col min="3" max="3" width="13.5" bestFit="1" customWidth="1"/>
    <col min="4" max="4" width="52.5" bestFit="1" customWidth="1"/>
    <col min="5" max="5" width="10.125" customWidth="1"/>
    <col min="6" max="6" width="11" customWidth="1" outlineLevel="1"/>
    <col min="7" max="7" width="8.375" customWidth="1"/>
    <col min="8" max="8" width="10.375" customWidth="1"/>
    <col min="9" max="9" width="11.125" customWidth="1" outlineLevel="1"/>
    <col min="10" max="10" width="6.125" customWidth="1"/>
    <col min="11" max="11" width="11.875" customWidth="1"/>
    <col min="12" max="12" width="11.125" customWidth="1" outlineLevel="1"/>
    <col min="13" max="13" width="6.125" customWidth="1"/>
    <col min="14" max="14" width="14.375" customWidth="1"/>
    <col min="15" max="15" width="8.625" customWidth="1" outlineLevel="1"/>
    <col min="16" max="16" width="8.375" customWidth="1"/>
    <col min="17" max="17" width="10.125" customWidth="1"/>
    <col min="18" max="18" width="8.625" customWidth="1" outlineLevel="1"/>
    <col min="19" max="19" width="8.375" customWidth="1"/>
    <col min="20" max="20" width="7.75" customWidth="1"/>
    <col min="21" max="21" width="10.625" customWidth="1" outlineLevel="1"/>
    <col min="22" max="22" width="8.375" customWidth="1"/>
    <col min="23" max="23" width="9.5" customWidth="1"/>
    <col min="24" max="24" width="9.5" customWidth="1" outlineLevel="1"/>
    <col min="25" max="26" width="8.375" customWidth="1"/>
    <col min="27" max="27" width="8.375" customWidth="1" outlineLevel="1"/>
    <col min="28" max="28" width="8.375" customWidth="1"/>
    <col min="29" max="29" width="11.125" customWidth="1"/>
    <col min="30" max="30" width="14.375" customWidth="1" outlineLevel="1"/>
    <col min="31" max="31" width="8.375" customWidth="1"/>
    <col min="32" max="32" width="9.125" customWidth="1"/>
    <col min="33" max="33" width="9.125" customWidth="1" outlineLevel="1"/>
    <col min="34" max="34" width="8.375" customWidth="1"/>
    <col min="35" max="35" width="11" customWidth="1"/>
    <col min="36" max="36" width="13.625" customWidth="1" outlineLevel="1"/>
    <col min="37" max="37" width="8.375" customWidth="1"/>
    <col min="38" max="38" width="8.375" style="85" customWidth="1"/>
    <col min="39" max="39" width="8.375" style="85" customWidth="1" outlineLevel="1"/>
    <col min="40" max="40" width="8.375" customWidth="1"/>
    <col min="41" max="41" width="23.625" customWidth="1"/>
  </cols>
  <sheetData>
    <row r="1" spans="1:41" s="188" customFormat="1" ht="31.5" x14ac:dyDescent="0.25">
      <c r="A1" s="183" t="s">
        <v>19</v>
      </c>
      <c r="B1" s="183" t="s">
        <v>20</v>
      </c>
      <c r="C1" s="183" t="s">
        <v>21</v>
      </c>
      <c r="D1" s="183" t="s">
        <v>128</v>
      </c>
      <c r="E1" s="183" t="s">
        <v>1</v>
      </c>
      <c r="F1" s="183" t="s">
        <v>98</v>
      </c>
      <c r="G1" s="184" t="s">
        <v>24</v>
      </c>
      <c r="H1" s="183" t="s">
        <v>95</v>
      </c>
      <c r="I1" s="183" t="s">
        <v>99</v>
      </c>
      <c r="J1" s="184" t="s">
        <v>24</v>
      </c>
      <c r="K1" s="183" t="s">
        <v>144</v>
      </c>
      <c r="L1" s="183" t="s">
        <v>120</v>
      </c>
      <c r="M1" s="184" t="s">
        <v>24</v>
      </c>
      <c r="N1" s="183" t="s">
        <v>145</v>
      </c>
      <c r="O1" s="183" t="s">
        <v>100</v>
      </c>
      <c r="P1" s="184" t="s">
        <v>24</v>
      </c>
      <c r="Q1" s="183" t="s">
        <v>156</v>
      </c>
      <c r="R1" s="183" t="s">
        <v>100</v>
      </c>
      <c r="S1" s="184" t="s">
        <v>24</v>
      </c>
      <c r="T1" s="183" t="s">
        <v>4</v>
      </c>
      <c r="U1" s="183" t="s">
        <v>101</v>
      </c>
      <c r="V1" s="184" t="s">
        <v>24</v>
      </c>
      <c r="W1" s="183" t="s">
        <v>5</v>
      </c>
      <c r="X1" s="183" t="s">
        <v>102</v>
      </c>
      <c r="Y1" s="184" t="s">
        <v>24</v>
      </c>
      <c r="Z1" s="183" t="s">
        <v>6</v>
      </c>
      <c r="AA1" s="183" t="s">
        <v>103</v>
      </c>
      <c r="AB1" s="184" t="s">
        <v>24</v>
      </c>
      <c r="AC1" s="185" t="s">
        <v>97</v>
      </c>
      <c r="AD1" s="185" t="s">
        <v>107</v>
      </c>
      <c r="AE1" s="184" t="s">
        <v>24</v>
      </c>
      <c r="AF1" s="185" t="s">
        <v>7</v>
      </c>
      <c r="AG1" s="185" t="s">
        <v>104</v>
      </c>
      <c r="AH1" s="186" t="s">
        <v>24</v>
      </c>
      <c r="AI1" s="185" t="s">
        <v>25</v>
      </c>
      <c r="AJ1" s="185" t="s">
        <v>105</v>
      </c>
      <c r="AK1" s="184" t="s">
        <v>24</v>
      </c>
      <c r="AL1" s="187" t="s">
        <v>9</v>
      </c>
      <c r="AM1" s="187" t="s">
        <v>106</v>
      </c>
      <c r="AN1" s="184" t="s">
        <v>24</v>
      </c>
      <c r="AO1" s="183" t="s">
        <v>26</v>
      </c>
    </row>
    <row r="2" spans="1:41" ht="15.75" customHeight="1" x14ac:dyDescent="0.3">
      <c r="A2" s="49" t="s">
        <v>17</v>
      </c>
      <c r="B2" s="49" t="s">
        <v>27</v>
      </c>
      <c r="C2" s="50">
        <v>42734</v>
      </c>
      <c r="D2" s="50" t="s">
        <v>28</v>
      </c>
      <c r="E2" s="51">
        <f>SUM(E3:E7)</f>
        <v>93</v>
      </c>
      <c r="F2" s="51">
        <f>SUM(F3:F7)</f>
        <v>0</v>
      </c>
      <c r="G2" s="52" t="e">
        <f>(E2-F2)/F2</f>
        <v>#DIV/0!</v>
      </c>
      <c r="H2" s="51">
        <f>SUM(H3:H7)</f>
        <v>0</v>
      </c>
      <c r="I2" s="51">
        <f>SUM(I3:I7)</f>
        <v>0</v>
      </c>
      <c r="J2" s="52" t="e">
        <f>(H2-I2)/I2</f>
        <v>#DIV/0!</v>
      </c>
      <c r="K2" s="51">
        <f>H2*1.085</f>
        <v>0</v>
      </c>
      <c r="L2" s="51">
        <f>I2*1.085</f>
        <v>0</v>
      </c>
      <c r="M2" s="52" t="e">
        <f>(K2-L2)/L2</f>
        <v>#DIV/0!</v>
      </c>
      <c r="N2" s="53" t="e">
        <f>E2/H2</f>
        <v>#DIV/0!</v>
      </c>
      <c r="O2" s="53" t="e">
        <f>F2/I2</f>
        <v>#DIV/0!</v>
      </c>
      <c r="P2" s="52" t="e">
        <f>(N2-O2)/O2</f>
        <v>#DIV/0!</v>
      </c>
      <c r="Q2" s="53" t="e">
        <f>E2/K2</f>
        <v>#DIV/0!</v>
      </c>
      <c r="R2" s="53" t="e">
        <f>F2/L2</f>
        <v>#DIV/0!</v>
      </c>
      <c r="S2" s="52" t="e">
        <f>(Q2-R2)/R2</f>
        <v>#DIV/0!</v>
      </c>
      <c r="T2" s="56">
        <f>SUM(T3:T7)</f>
        <v>262</v>
      </c>
      <c r="U2" s="56">
        <f>SUM(U3:U7)</f>
        <v>0</v>
      </c>
      <c r="V2" s="52" t="e">
        <f>(T2-U2)/U2</f>
        <v>#DIV/0!</v>
      </c>
      <c r="W2" s="56">
        <f>SUM(W3:W7)</f>
        <v>1</v>
      </c>
      <c r="X2" s="56">
        <f>SUM(X3:X7)</f>
        <v>0</v>
      </c>
      <c r="Y2" s="52" t="e">
        <f>(W2-X2)/X2</f>
        <v>#DIV/0!</v>
      </c>
      <c r="Z2" s="54">
        <f>E2/W2</f>
        <v>93</v>
      </c>
      <c r="AA2" s="54" t="e">
        <f>F2/X2</f>
        <v>#DIV/0!</v>
      </c>
      <c r="AB2" s="52" t="e">
        <f>(Z2-AA2)/AA2</f>
        <v>#DIV/0!</v>
      </c>
      <c r="AC2" s="56">
        <f>SUM(AC3:AC7)</f>
        <v>0</v>
      </c>
      <c r="AD2" s="56">
        <f>SUM(AD3:AD7)</f>
        <v>0</v>
      </c>
      <c r="AE2" s="52" t="e">
        <f>(AD323-AD2)/AD2</f>
        <v>#DIV/0!</v>
      </c>
      <c r="AF2" s="56">
        <f>SUM(AF3:AF7)</f>
        <v>0</v>
      </c>
      <c r="AG2" s="56">
        <f>SUM(AG3:AG7)</f>
        <v>0</v>
      </c>
      <c r="AH2" s="67" t="e">
        <f>(AF2-AG2)/AG2</f>
        <v>#DIV/0!</v>
      </c>
      <c r="AI2" s="56">
        <f>SUM(AI3:AI7)</f>
        <v>0</v>
      </c>
      <c r="AJ2" s="56">
        <f>SUM(AJ3:AJ7)</f>
        <v>0</v>
      </c>
      <c r="AK2" s="52" t="e">
        <f>(AI2-AJ2)/AJ2</f>
        <v>#DIV/0!</v>
      </c>
      <c r="AL2" s="82" t="e">
        <f>AF2/AI2</f>
        <v>#DIV/0!</v>
      </c>
      <c r="AM2" s="82" t="e">
        <f>AG2/AJ2</f>
        <v>#DIV/0!</v>
      </c>
      <c r="AN2" s="52" t="e">
        <f t="shared" ref="AN2:AN323" si="0">(AL2-AM2)/AM2</f>
        <v>#DIV/0!</v>
      </c>
      <c r="AO2" s="68"/>
    </row>
    <row r="3" spans="1:41" s="96" customFormat="1" ht="15.75" customHeight="1" x14ac:dyDescent="0.3">
      <c r="A3" s="279"/>
      <c r="B3" s="279"/>
      <c r="C3" s="280"/>
      <c r="D3" s="280"/>
      <c r="E3" s="281"/>
      <c r="F3" s="281"/>
      <c r="G3" s="282"/>
      <c r="H3" s="281"/>
      <c r="I3" s="283"/>
      <c r="J3" s="282"/>
      <c r="K3" s="281"/>
      <c r="L3" s="281"/>
      <c r="M3" s="282"/>
      <c r="N3" s="283"/>
      <c r="O3" s="283"/>
      <c r="P3" s="282"/>
      <c r="Q3" s="283"/>
      <c r="R3" s="283"/>
      <c r="S3" s="282"/>
      <c r="T3" s="284"/>
      <c r="U3" s="284"/>
      <c r="V3" s="282"/>
      <c r="W3" s="284"/>
      <c r="X3" s="284"/>
      <c r="Y3" s="282"/>
      <c r="Z3" s="284"/>
      <c r="AA3" s="284"/>
      <c r="AB3" s="282"/>
      <c r="AC3" s="285"/>
      <c r="AD3" s="284"/>
      <c r="AE3" s="282"/>
      <c r="AF3" s="284"/>
      <c r="AG3" s="284"/>
      <c r="AH3" s="86"/>
      <c r="AI3" s="284"/>
      <c r="AJ3" s="284"/>
      <c r="AK3" s="282"/>
      <c r="AL3" s="286"/>
      <c r="AM3" s="286"/>
      <c r="AN3" s="282"/>
      <c r="AO3" s="86"/>
    </row>
    <row r="4" spans="1:41" s="96" customFormat="1" ht="15.75" customHeight="1" x14ac:dyDescent="0.3">
      <c r="A4" s="279"/>
      <c r="B4" s="279"/>
      <c r="C4" s="280"/>
      <c r="D4" s="280"/>
      <c r="E4" s="281"/>
      <c r="F4" s="281"/>
      <c r="G4" s="282"/>
      <c r="H4" s="281"/>
      <c r="I4" s="283"/>
      <c r="J4" s="282"/>
      <c r="K4" s="281"/>
      <c r="L4" s="281"/>
      <c r="M4" s="282"/>
      <c r="N4" s="283"/>
      <c r="O4" s="283"/>
      <c r="P4" s="282"/>
      <c r="Q4" s="283"/>
      <c r="R4" s="283"/>
      <c r="S4" s="282"/>
      <c r="T4" s="284"/>
      <c r="U4" s="284"/>
      <c r="V4" s="282"/>
      <c r="W4" s="284"/>
      <c r="X4" s="284"/>
      <c r="Y4" s="282"/>
      <c r="Z4" s="284"/>
      <c r="AA4" s="284"/>
      <c r="AB4" s="282"/>
      <c r="AC4" s="285"/>
      <c r="AD4" s="284"/>
      <c r="AE4" s="282"/>
      <c r="AF4" s="284"/>
      <c r="AG4" s="284"/>
      <c r="AH4" s="86"/>
      <c r="AI4" s="284"/>
      <c r="AJ4" s="284"/>
      <c r="AK4" s="282"/>
      <c r="AL4" s="286"/>
      <c r="AM4" s="286"/>
      <c r="AN4" s="282"/>
      <c r="AO4" s="86"/>
    </row>
    <row r="5" spans="1:41" s="96" customFormat="1" ht="15.75" customHeight="1" x14ac:dyDescent="0.3">
      <c r="A5" s="279"/>
      <c r="B5" s="279"/>
      <c r="C5" s="280"/>
      <c r="D5" s="280"/>
      <c r="E5" s="281"/>
      <c r="F5" s="281"/>
      <c r="G5" s="282"/>
      <c r="H5" s="281"/>
      <c r="I5" s="283"/>
      <c r="J5" s="282"/>
      <c r="K5" s="281"/>
      <c r="L5" s="281"/>
      <c r="M5" s="282"/>
      <c r="N5" s="283"/>
      <c r="O5" s="283"/>
      <c r="P5" s="282"/>
      <c r="Q5" s="283"/>
      <c r="R5" s="283"/>
      <c r="S5" s="282"/>
      <c r="T5" s="284"/>
      <c r="U5" s="284"/>
      <c r="V5" s="282"/>
      <c r="W5" s="284"/>
      <c r="X5" s="284"/>
      <c r="Y5" s="282"/>
      <c r="Z5" s="284"/>
      <c r="AA5" s="284"/>
      <c r="AB5" s="282"/>
      <c r="AC5" s="285"/>
      <c r="AD5" s="284"/>
      <c r="AE5" s="282"/>
      <c r="AF5" s="284"/>
      <c r="AG5" s="284"/>
      <c r="AH5" s="86"/>
      <c r="AI5" s="284"/>
      <c r="AJ5" s="284"/>
      <c r="AK5" s="282"/>
      <c r="AL5" s="286"/>
      <c r="AM5" s="286"/>
      <c r="AN5" s="282"/>
      <c r="AO5" s="86"/>
    </row>
    <row r="6" spans="1:41" s="96" customFormat="1" ht="15.75" customHeight="1" x14ac:dyDescent="0.3">
      <c r="A6" s="279"/>
      <c r="B6" s="279"/>
      <c r="C6" s="280"/>
      <c r="D6" s="280"/>
      <c r="E6" s="281"/>
      <c r="F6" s="281"/>
      <c r="G6" s="282"/>
      <c r="H6" s="281"/>
      <c r="I6" s="283"/>
      <c r="J6" s="282"/>
      <c r="K6" s="281"/>
      <c r="L6" s="281"/>
      <c r="M6" s="282"/>
      <c r="N6" s="283"/>
      <c r="O6" s="283"/>
      <c r="P6" s="282"/>
      <c r="Q6" s="283"/>
      <c r="R6" s="283"/>
      <c r="S6" s="282"/>
      <c r="T6" s="284"/>
      <c r="U6" s="284"/>
      <c r="V6" s="282"/>
      <c r="W6" s="284"/>
      <c r="X6" s="284"/>
      <c r="Y6" s="282"/>
      <c r="Z6" s="284"/>
      <c r="AA6" s="284"/>
      <c r="AB6" s="282"/>
      <c r="AC6" s="285"/>
      <c r="AD6" s="284"/>
      <c r="AE6" s="282"/>
      <c r="AF6" s="284"/>
      <c r="AG6" s="284"/>
      <c r="AH6" s="86"/>
      <c r="AI6" s="284"/>
      <c r="AJ6" s="284"/>
      <c r="AK6" s="282"/>
      <c r="AL6" s="286"/>
      <c r="AM6" s="286"/>
      <c r="AN6" s="282"/>
      <c r="AO6" s="86"/>
    </row>
    <row r="7" spans="1:41" s="96" customFormat="1" ht="15.75" customHeight="1" x14ac:dyDescent="0.3">
      <c r="A7" s="279"/>
      <c r="B7" s="279"/>
      <c r="C7" s="280"/>
      <c r="D7" s="297" t="s">
        <v>274</v>
      </c>
      <c r="E7" s="281">
        <v>93</v>
      </c>
      <c r="F7" s="281"/>
      <c r="G7" s="282"/>
      <c r="H7" s="281">
        <v>0</v>
      </c>
      <c r="I7" s="283"/>
      <c r="J7" s="282"/>
      <c r="K7" s="281">
        <f t="shared" ref="K7:K70" si="1">H7*1.085</f>
        <v>0</v>
      </c>
      <c r="L7" s="281"/>
      <c r="M7" s="282"/>
      <c r="N7" s="283" t="e">
        <f t="shared" ref="N7:N70" si="2">E7/H7</f>
        <v>#DIV/0!</v>
      </c>
      <c r="O7" s="283"/>
      <c r="P7" s="282"/>
      <c r="Q7" s="283" t="e">
        <f t="shared" ref="Q7:Q70" si="3">E7/K7</f>
        <v>#DIV/0!</v>
      </c>
      <c r="R7" s="283"/>
      <c r="S7" s="282"/>
      <c r="T7" s="284">
        <v>262</v>
      </c>
      <c r="U7" s="284"/>
      <c r="V7" s="282"/>
      <c r="W7" s="284">
        <v>1</v>
      </c>
      <c r="X7" s="284"/>
      <c r="Y7" s="282"/>
      <c r="Z7" s="284">
        <f t="shared" ref="Z7:Z70" si="4">E7/W7</f>
        <v>93</v>
      </c>
      <c r="AA7" s="284"/>
      <c r="AB7" s="282"/>
      <c r="AC7" s="285">
        <v>0</v>
      </c>
      <c r="AD7" s="284"/>
      <c r="AE7" s="282"/>
      <c r="AF7" s="284">
        <v>0</v>
      </c>
      <c r="AG7" s="284"/>
      <c r="AH7" s="86"/>
      <c r="AI7" s="284">
        <v>0</v>
      </c>
      <c r="AJ7" s="284"/>
      <c r="AK7" s="282"/>
      <c r="AL7" s="286" t="e">
        <f t="shared" ref="AL7:AL70" si="5">AF7/AI7</f>
        <v>#DIV/0!</v>
      </c>
      <c r="AM7" s="286"/>
      <c r="AN7" s="282"/>
      <c r="AO7" s="86"/>
    </row>
    <row r="8" spans="1:41" s="81" customFormat="1" ht="15.75" customHeight="1" x14ac:dyDescent="0.3">
      <c r="A8" s="49" t="s">
        <v>17</v>
      </c>
      <c r="B8" s="49" t="s">
        <v>31</v>
      </c>
      <c r="C8" s="50">
        <f>C2+7</f>
        <v>42741</v>
      </c>
      <c r="D8" s="50" t="s">
        <v>28</v>
      </c>
      <c r="E8" s="55">
        <f>SUM(E9:E13)</f>
        <v>123</v>
      </c>
      <c r="F8" s="55">
        <f>SUM(F9:F13)</f>
        <v>0</v>
      </c>
      <c r="G8" s="52" t="e">
        <f t="shared" ref="G8:G71" si="6">(E8-F8)/F8</f>
        <v>#DIV/0!</v>
      </c>
      <c r="H8" s="55">
        <f>SUM(H9:H13)</f>
        <v>0</v>
      </c>
      <c r="I8" s="55">
        <f>SUM(I9:I13)</f>
        <v>0</v>
      </c>
      <c r="J8" s="52" t="e">
        <f t="shared" ref="J8:J71" si="7">(H8-I8)/I8</f>
        <v>#DIV/0!</v>
      </c>
      <c r="K8" s="51">
        <f t="shared" si="1"/>
        <v>0</v>
      </c>
      <c r="L8" s="51">
        <f t="shared" ref="L8:L71" si="8">I8*1.085</f>
        <v>0</v>
      </c>
      <c r="M8" s="52" t="e">
        <f t="shared" ref="M8:M71" si="9">(K8-L8)/L8</f>
        <v>#DIV/0!</v>
      </c>
      <c r="N8" s="53" t="e">
        <f t="shared" si="2"/>
        <v>#DIV/0!</v>
      </c>
      <c r="O8" s="53" t="e">
        <f t="shared" ref="O8:O71" si="10">F8/I8</f>
        <v>#DIV/0!</v>
      </c>
      <c r="P8" s="52" t="e">
        <f t="shared" ref="P8:P71" si="11">(N8-O8)/O8</f>
        <v>#DIV/0!</v>
      </c>
      <c r="Q8" s="53" t="e">
        <f t="shared" si="3"/>
        <v>#DIV/0!</v>
      </c>
      <c r="R8" s="53" t="e">
        <f t="shared" ref="R8:R71" si="12">F8/L8</f>
        <v>#DIV/0!</v>
      </c>
      <c r="S8" s="52" t="e">
        <f t="shared" ref="S8:S71" si="13">(Q8-R8)/R8</f>
        <v>#DIV/0!</v>
      </c>
      <c r="T8" s="56">
        <f>SUM(T9:T13)</f>
        <v>109</v>
      </c>
      <c r="U8" s="56">
        <f>SUM(U9:U13)</f>
        <v>23</v>
      </c>
      <c r="V8" s="52">
        <f t="shared" ref="V8:V71" si="14">(T8-U8)/U8</f>
        <v>3.7391304347826089</v>
      </c>
      <c r="W8" s="56">
        <f>SUM(W9:W13)</f>
        <v>3</v>
      </c>
      <c r="X8" s="56">
        <f>SUM(X9:X13)</f>
        <v>0</v>
      </c>
      <c r="Y8" s="52" t="e">
        <f t="shared" ref="Y8:Y71" si="15">(W8-X8)/X8</f>
        <v>#DIV/0!</v>
      </c>
      <c r="Z8" s="51">
        <f t="shared" si="4"/>
        <v>41</v>
      </c>
      <c r="AA8" s="54" t="e">
        <f t="shared" ref="AA8:AA71" si="16">F8/X8</f>
        <v>#DIV/0!</v>
      </c>
      <c r="AB8" s="52" t="e">
        <f t="shared" ref="AB8:AB71" si="17">(Z8-AA8)/AA8</f>
        <v>#DIV/0!</v>
      </c>
      <c r="AC8" s="56">
        <f>SUM(AC9:AC13)</f>
        <v>0</v>
      </c>
      <c r="AD8" s="56">
        <f>SUM(AD9:AD13)</f>
        <v>0</v>
      </c>
      <c r="AE8" s="52" t="e">
        <f t="shared" ref="AE8:AE71" si="18">(AC8-AD8)/AD8</f>
        <v>#DIV/0!</v>
      </c>
      <c r="AF8" s="56">
        <f>SUM(AF9:AF13)</f>
        <v>0</v>
      </c>
      <c r="AG8" s="56">
        <f>SUM(AG9:AG13)</f>
        <v>0</v>
      </c>
      <c r="AH8" s="67" t="e">
        <f t="shared" ref="AH8:AH71" si="19">(AF8-AG8)/AG8</f>
        <v>#DIV/0!</v>
      </c>
      <c r="AI8" s="56">
        <f>SUM(AI9:AI13)</f>
        <v>0</v>
      </c>
      <c r="AJ8" s="56">
        <f>SUM(AJ9:AJ13)</f>
        <v>0</v>
      </c>
      <c r="AK8" s="52" t="e">
        <f t="shared" ref="AK8:AK71" si="20">(AI8-AJ8)/AJ8</f>
        <v>#DIV/0!</v>
      </c>
      <c r="AL8" s="82" t="e">
        <f t="shared" si="5"/>
        <v>#DIV/0!</v>
      </c>
      <c r="AM8" s="82" t="e">
        <f t="shared" ref="AM8:AM71" si="21">AG8/AJ8</f>
        <v>#DIV/0!</v>
      </c>
      <c r="AN8" s="52" t="e">
        <f t="shared" si="0"/>
        <v>#DIV/0!</v>
      </c>
      <c r="AO8" s="68"/>
    </row>
    <row r="9" spans="1:41" s="96" customFormat="1" ht="15.75" customHeight="1" x14ac:dyDescent="0.3">
      <c r="A9" s="279"/>
      <c r="B9" s="279"/>
      <c r="C9" s="280"/>
      <c r="D9" s="280"/>
      <c r="E9" s="281"/>
      <c r="F9" s="281"/>
      <c r="G9" s="282" t="e">
        <f t="shared" si="6"/>
        <v>#DIV/0!</v>
      </c>
      <c r="H9" s="281"/>
      <c r="I9" s="283"/>
      <c r="J9" s="282" t="e">
        <f t="shared" si="7"/>
        <v>#DIV/0!</v>
      </c>
      <c r="K9" s="281">
        <f t="shared" si="1"/>
        <v>0</v>
      </c>
      <c r="L9" s="281">
        <f t="shared" si="8"/>
        <v>0</v>
      </c>
      <c r="M9" s="282" t="e">
        <f t="shared" si="9"/>
        <v>#DIV/0!</v>
      </c>
      <c r="N9" s="283" t="e">
        <f t="shared" si="2"/>
        <v>#DIV/0!</v>
      </c>
      <c r="O9" s="283" t="e">
        <f t="shared" si="10"/>
        <v>#DIV/0!</v>
      </c>
      <c r="P9" s="282" t="e">
        <f t="shared" si="11"/>
        <v>#DIV/0!</v>
      </c>
      <c r="Q9" s="283" t="e">
        <f t="shared" si="3"/>
        <v>#DIV/0!</v>
      </c>
      <c r="R9" s="283" t="e">
        <f t="shared" si="12"/>
        <v>#DIV/0!</v>
      </c>
      <c r="S9" s="282" t="e">
        <f t="shared" si="13"/>
        <v>#DIV/0!</v>
      </c>
      <c r="T9" s="284"/>
      <c r="U9" s="284"/>
      <c r="V9" s="282" t="e">
        <f t="shared" si="14"/>
        <v>#DIV/0!</v>
      </c>
      <c r="W9" s="284"/>
      <c r="X9" s="284"/>
      <c r="Y9" s="282" t="e">
        <f t="shared" si="15"/>
        <v>#DIV/0!</v>
      </c>
      <c r="Z9" s="284" t="e">
        <f t="shared" si="4"/>
        <v>#DIV/0!</v>
      </c>
      <c r="AA9" s="284" t="e">
        <f t="shared" si="16"/>
        <v>#DIV/0!</v>
      </c>
      <c r="AB9" s="282" t="e">
        <f t="shared" si="17"/>
        <v>#DIV/0!</v>
      </c>
      <c r="AC9" s="285"/>
      <c r="AD9" s="284"/>
      <c r="AE9" s="282" t="e">
        <f t="shared" si="18"/>
        <v>#DIV/0!</v>
      </c>
      <c r="AF9" s="284"/>
      <c r="AG9" s="284"/>
      <c r="AH9" s="86" t="e">
        <f t="shared" si="19"/>
        <v>#DIV/0!</v>
      </c>
      <c r="AI9" s="284"/>
      <c r="AJ9" s="284"/>
      <c r="AK9" s="282" t="e">
        <f t="shared" si="20"/>
        <v>#DIV/0!</v>
      </c>
      <c r="AL9" s="286" t="e">
        <f t="shared" si="5"/>
        <v>#DIV/0!</v>
      </c>
      <c r="AM9" s="286" t="e">
        <f t="shared" si="21"/>
        <v>#DIV/0!</v>
      </c>
      <c r="AN9" s="282" t="e">
        <f t="shared" ref="AN9:AN19" si="22">(AL9-AM9)/AM9</f>
        <v>#DIV/0!</v>
      </c>
      <c r="AO9" s="86"/>
    </row>
    <row r="10" spans="1:41" s="96" customFormat="1" ht="15.75" customHeight="1" x14ac:dyDescent="0.3">
      <c r="A10" s="279"/>
      <c r="B10" s="279"/>
      <c r="C10" s="280"/>
      <c r="D10" s="280"/>
      <c r="E10" s="281"/>
      <c r="F10" s="281"/>
      <c r="G10" s="282" t="e">
        <f t="shared" si="6"/>
        <v>#DIV/0!</v>
      </c>
      <c r="H10" s="281"/>
      <c r="I10" s="283"/>
      <c r="J10" s="282" t="e">
        <f t="shared" si="7"/>
        <v>#DIV/0!</v>
      </c>
      <c r="K10" s="281">
        <f t="shared" si="1"/>
        <v>0</v>
      </c>
      <c r="L10" s="281">
        <f t="shared" si="8"/>
        <v>0</v>
      </c>
      <c r="M10" s="282" t="e">
        <f t="shared" si="9"/>
        <v>#DIV/0!</v>
      </c>
      <c r="N10" s="283" t="e">
        <f t="shared" si="2"/>
        <v>#DIV/0!</v>
      </c>
      <c r="O10" s="283" t="e">
        <f t="shared" si="10"/>
        <v>#DIV/0!</v>
      </c>
      <c r="P10" s="282" t="e">
        <f t="shared" si="11"/>
        <v>#DIV/0!</v>
      </c>
      <c r="Q10" s="283" t="e">
        <f t="shared" si="3"/>
        <v>#DIV/0!</v>
      </c>
      <c r="R10" s="283" t="e">
        <f t="shared" si="12"/>
        <v>#DIV/0!</v>
      </c>
      <c r="S10" s="282" t="e">
        <f t="shared" si="13"/>
        <v>#DIV/0!</v>
      </c>
      <c r="T10" s="284"/>
      <c r="U10" s="284"/>
      <c r="V10" s="282" t="e">
        <f t="shared" si="14"/>
        <v>#DIV/0!</v>
      </c>
      <c r="W10" s="284"/>
      <c r="X10" s="284"/>
      <c r="Y10" s="282" t="e">
        <f t="shared" si="15"/>
        <v>#DIV/0!</v>
      </c>
      <c r="Z10" s="284" t="e">
        <f t="shared" si="4"/>
        <v>#DIV/0!</v>
      </c>
      <c r="AA10" s="284" t="e">
        <f t="shared" si="16"/>
        <v>#DIV/0!</v>
      </c>
      <c r="AB10" s="282" t="e">
        <f t="shared" si="17"/>
        <v>#DIV/0!</v>
      </c>
      <c r="AC10" s="285"/>
      <c r="AD10" s="284"/>
      <c r="AE10" s="282" t="e">
        <f t="shared" si="18"/>
        <v>#DIV/0!</v>
      </c>
      <c r="AF10" s="284"/>
      <c r="AG10" s="284"/>
      <c r="AH10" s="86" t="e">
        <f t="shared" si="19"/>
        <v>#DIV/0!</v>
      </c>
      <c r="AI10" s="284"/>
      <c r="AJ10" s="284"/>
      <c r="AK10" s="282" t="e">
        <f t="shared" si="20"/>
        <v>#DIV/0!</v>
      </c>
      <c r="AL10" s="286" t="e">
        <f t="shared" si="5"/>
        <v>#DIV/0!</v>
      </c>
      <c r="AM10" s="286" t="e">
        <f t="shared" si="21"/>
        <v>#DIV/0!</v>
      </c>
      <c r="AN10" s="282" t="e">
        <f t="shared" si="22"/>
        <v>#DIV/0!</v>
      </c>
      <c r="AO10" s="86"/>
    </row>
    <row r="11" spans="1:41" s="96" customFormat="1" ht="15.75" customHeight="1" x14ac:dyDescent="0.3">
      <c r="A11" s="279"/>
      <c r="B11" s="279"/>
      <c r="C11" s="280"/>
      <c r="D11" s="280"/>
      <c r="E11" s="281"/>
      <c r="F11" s="281"/>
      <c r="G11" s="282" t="e">
        <f t="shared" si="6"/>
        <v>#DIV/0!</v>
      </c>
      <c r="H11" s="281"/>
      <c r="I11" s="283"/>
      <c r="J11" s="282" t="e">
        <f t="shared" si="7"/>
        <v>#DIV/0!</v>
      </c>
      <c r="K11" s="281">
        <f t="shared" si="1"/>
        <v>0</v>
      </c>
      <c r="L11" s="281">
        <f t="shared" si="8"/>
        <v>0</v>
      </c>
      <c r="M11" s="282" t="e">
        <f t="shared" si="9"/>
        <v>#DIV/0!</v>
      </c>
      <c r="N11" s="283" t="e">
        <f t="shared" si="2"/>
        <v>#DIV/0!</v>
      </c>
      <c r="O11" s="283" t="e">
        <f t="shared" si="10"/>
        <v>#DIV/0!</v>
      </c>
      <c r="P11" s="282" t="e">
        <f t="shared" si="11"/>
        <v>#DIV/0!</v>
      </c>
      <c r="Q11" s="283" t="e">
        <f t="shared" si="3"/>
        <v>#DIV/0!</v>
      </c>
      <c r="R11" s="283" t="e">
        <f t="shared" si="12"/>
        <v>#DIV/0!</v>
      </c>
      <c r="S11" s="282" t="e">
        <f t="shared" si="13"/>
        <v>#DIV/0!</v>
      </c>
      <c r="T11" s="284"/>
      <c r="U11" s="284"/>
      <c r="V11" s="282" t="e">
        <f t="shared" si="14"/>
        <v>#DIV/0!</v>
      </c>
      <c r="W11" s="284"/>
      <c r="X11" s="284"/>
      <c r="Y11" s="282" t="e">
        <f t="shared" si="15"/>
        <v>#DIV/0!</v>
      </c>
      <c r="Z11" s="284" t="e">
        <f t="shared" si="4"/>
        <v>#DIV/0!</v>
      </c>
      <c r="AA11" s="284" t="e">
        <f t="shared" si="16"/>
        <v>#DIV/0!</v>
      </c>
      <c r="AB11" s="282" t="e">
        <f t="shared" si="17"/>
        <v>#DIV/0!</v>
      </c>
      <c r="AC11" s="285"/>
      <c r="AD11" s="284"/>
      <c r="AE11" s="282" t="e">
        <f t="shared" si="18"/>
        <v>#DIV/0!</v>
      </c>
      <c r="AF11" s="284"/>
      <c r="AG11" s="284"/>
      <c r="AH11" s="86" t="e">
        <f t="shared" si="19"/>
        <v>#DIV/0!</v>
      </c>
      <c r="AI11" s="284"/>
      <c r="AJ11" s="284"/>
      <c r="AK11" s="282" t="e">
        <f t="shared" si="20"/>
        <v>#DIV/0!</v>
      </c>
      <c r="AL11" s="286" t="e">
        <f t="shared" si="5"/>
        <v>#DIV/0!</v>
      </c>
      <c r="AM11" s="286" t="e">
        <f t="shared" si="21"/>
        <v>#DIV/0!</v>
      </c>
      <c r="AN11" s="282" t="e">
        <f t="shared" si="22"/>
        <v>#DIV/0!</v>
      </c>
      <c r="AO11" s="86"/>
    </row>
    <row r="12" spans="1:41" s="96" customFormat="1" ht="15.75" customHeight="1" x14ac:dyDescent="0.3">
      <c r="A12" s="279"/>
      <c r="B12" s="279"/>
      <c r="C12" s="280"/>
      <c r="D12" s="280"/>
      <c r="E12" s="281"/>
      <c r="F12" s="281"/>
      <c r="G12" s="282" t="e">
        <f t="shared" si="6"/>
        <v>#DIV/0!</v>
      </c>
      <c r="H12" s="281"/>
      <c r="I12" s="283"/>
      <c r="J12" s="282" t="e">
        <f t="shared" si="7"/>
        <v>#DIV/0!</v>
      </c>
      <c r="K12" s="281">
        <f t="shared" si="1"/>
        <v>0</v>
      </c>
      <c r="L12" s="281">
        <f t="shared" si="8"/>
        <v>0</v>
      </c>
      <c r="M12" s="282" t="e">
        <f t="shared" si="9"/>
        <v>#DIV/0!</v>
      </c>
      <c r="N12" s="283" t="e">
        <f t="shared" si="2"/>
        <v>#DIV/0!</v>
      </c>
      <c r="O12" s="283" t="e">
        <f t="shared" si="10"/>
        <v>#DIV/0!</v>
      </c>
      <c r="P12" s="282" t="e">
        <f t="shared" si="11"/>
        <v>#DIV/0!</v>
      </c>
      <c r="Q12" s="283" t="e">
        <f t="shared" si="3"/>
        <v>#DIV/0!</v>
      </c>
      <c r="R12" s="283" t="e">
        <f t="shared" si="12"/>
        <v>#DIV/0!</v>
      </c>
      <c r="S12" s="282" t="e">
        <f t="shared" si="13"/>
        <v>#DIV/0!</v>
      </c>
      <c r="T12" s="284"/>
      <c r="U12" s="284"/>
      <c r="V12" s="282" t="e">
        <f t="shared" si="14"/>
        <v>#DIV/0!</v>
      </c>
      <c r="W12" s="284"/>
      <c r="X12" s="284"/>
      <c r="Y12" s="282" t="e">
        <f t="shared" si="15"/>
        <v>#DIV/0!</v>
      </c>
      <c r="Z12" s="284" t="e">
        <f t="shared" si="4"/>
        <v>#DIV/0!</v>
      </c>
      <c r="AA12" s="284" t="e">
        <f t="shared" si="16"/>
        <v>#DIV/0!</v>
      </c>
      <c r="AB12" s="282" t="e">
        <f t="shared" si="17"/>
        <v>#DIV/0!</v>
      </c>
      <c r="AC12" s="285"/>
      <c r="AD12" s="284"/>
      <c r="AE12" s="282" t="e">
        <f t="shared" si="18"/>
        <v>#DIV/0!</v>
      </c>
      <c r="AF12" s="284"/>
      <c r="AG12" s="284"/>
      <c r="AH12" s="86" t="e">
        <f t="shared" si="19"/>
        <v>#DIV/0!</v>
      </c>
      <c r="AI12" s="284"/>
      <c r="AJ12" s="284"/>
      <c r="AK12" s="282" t="e">
        <f t="shared" si="20"/>
        <v>#DIV/0!</v>
      </c>
      <c r="AL12" s="286" t="e">
        <f t="shared" si="5"/>
        <v>#DIV/0!</v>
      </c>
      <c r="AM12" s="286" t="e">
        <f t="shared" si="21"/>
        <v>#DIV/0!</v>
      </c>
      <c r="AN12" s="282" t="e">
        <f t="shared" si="22"/>
        <v>#DIV/0!</v>
      </c>
      <c r="AO12" s="86"/>
    </row>
    <row r="13" spans="1:41" s="96" customFormat="1" ht="15.75" customHeight="1" x14ac:dyDescent="0.3">
      <c r="A13" s="279"/>
      <c r="B13" s="279"/>
      <c r="C13" s="280"/>
      <c r="D13" s="297" t="s">
        <v>274</v>
      </c>
      <c r="E13" s="281">
        <v>123</v>
      </c>
      <c r="F13" s="281"/>
      <c r="G13" s="282" t="e">
        <f t="shared" si="6"/>
        <v>#DIV/0!</v>
      </c>
      <c r="H13" s="281">
        <v>0</v>
      </c>
      <c r="I13" s="283"/>
      <c r="J13" s="282" t="e">
        <f t="shared" si="7"/>
        <v>#DIV/0!</v>
      </c>
      <c r="K13" s="281">
        <f t="shared" si="1"/>
        <v>0</v>
      </c>
      <c r="L13" s="281">
        <f t="shared" si="8"/>
        <v>0</v>
      </c>
      <c r="M13" s="282" t="e">
        <f t="shared" si="9"/>
        <v>#DIV/0!</v>
      </c>
      <c r="N13" s="283" t="e">
        <f t="shared" si="2"/>
        <v>#DIV/0!</v>
      </c>
      <c r="O13" s="283" t="e">
        <f t="shared" si="10"/>
        <v>#DIV/0!</v>
      </c>
      <c r="P13" s="282" t="e">
        <f t="shared" si="11"/>
        <v>#DIV/0!</v>
      </c>
      <c r="Q13" s="283" t="e">
        <f t="shared" si="3"/>
        <v>#DIV/0!</v>
      </c>
      <c r="R13" s="283" t="e">
        <f t="shared" si="12"/>
        <v>#DIV/0!</v>
      </c>
      <c r="S13" s="282" t="e">
        <f t="shared" si="13"/>
        <v>#DIV/0!</v>
      </c>
      <c r="T13" s="284">
        <v>109</v>
      </c>
      <c r="U13" s="284">
        <v>23</v>
      </c>
      <c r="V13" s="282">
        <f t="shared" si="14"/>
        <v>3.7391304347826089</v>
      </c>
      <c r="W13" s="284">
        <v>3</v>
      </c>
      <c r="X13" s="284"/>
      <c r="Y13" s="282" t="e">
        <f t="shared" si="15"/>
        <v>#DIV/0!</v>
      </c>
      <c r="Z13" s="284">
        <f t="shared" si="4"/>
        <v>41</v>
      </c>
      <c r="AA13" s="284" t="e">
        <f t="shared" si="16"/>
        <v>#DIV/0!</v>
      </c>
      <c r="AB13" s="282" t="e">
        <f t="shared" si="17"/>
        <v>#DIV/0!</v>
      </c>
      <c r="AC13" s="285">
        <v>0</v>
      </c>
      <c r="AD13" s="284"/>
      <c r="AE13" s="282" t="e">
        <f t="shared" si="18"/>
        <v>#DIV/0!</v>
      </c>
      <c r="AF13" s="284">
        <v>0</v>
      </c>
      <c r="AG13" s="284"/>
      <c r="AH13" s="86" t="e">
        <f t="shared" si="19"/>
        <v>#DIV/0!</v>
      </c>
      <c r="AI13" s="284">
        <v>0</v>
      </c>
      <c r="AJ13" s="284"/>
      <c r="AK13" s="282" t="e">
        <f t="shared" si="20"/>
        <v>#DIV/0!</v>
      </c>
      <c r="AL13" s="286" t="e">
        <f t="shared" si="5"/>
        <v>#DIV/0!</v>
      </c>
      <c r="AM13" s="286" t="e">
        <f t="shared" si="21"/>
        <v>#DIV/0!</v>
      </c>
      <c r="AN13" s="282" t="e">
        <f t="shared" si="22"/>
        <v>#DIV/0!</v>
      </c>
      <c r="AO13" s="86"/>
    </row>
    <row r="14" spans="1:41" s="81" customFormat="1" ht="15.75" customHeight="1" x14ac:dyDescent="0.3">
      <c r="A14" s="49" t="s">
        <v>17</v>
      </c>
      <c r="B14" s="49" t="s">
        <v>32</v>
      </c>
      <c r="C14" s="50">
        <f>C8+7</f>
        <v>42748</v>
      </c>
      <c r="D14" s="50" t="s">
        <v>28</v>
      </c>
      <c r="E14" s="55">
        <f>SUM(E15:E19)</f>
        <v>447</v>
      </c>
      <c r="F14" s="55">
        <f>SUM(F15:F19)</f>
        <v>0</v>
      </c>
      <c r="G14" s="52" t="e">
        <f t="shared" si="6"/>
        <v>#DIV/0!</v>
      </c>
      <c r="H14" s="55">
        <f>SUM(H15:H19)</f>
        <v>4607</v>
      </c>
      <c r="I14" s="55">
        <f>SUM(I15:I19)</f>
        <v>0</v>
      </c>
      <c r="J14" s="52" t="e">
        <f t="shared" si="7"/>
        <v>#DIV/0!</v>
      </c>
      <c r="K14" s="51">
        <f t="shared" si="1"/>
        <v>4998.5950000000003</v>
      </c>
      <c r="L14" s="51">
        <f t="shared" si="8"/>
        <v>0</v>
      </c>
      <c r="M14" s="52" t="e">
        <f t="shared" si="9"/>
        <v>#DIV/0!</v>
      </c>
      <c r="N14" s="53">
        <f t="shared" si="2"/>
        <v>9.7026264380290855E-2</v>
      </c>
      <c r="O14" s="53" t="e">
        <f t="shared" si="10"/>
        <v>#DIV/0!</v>
      </c>
      <c r="P14" s="52" t="e">
        <f t="shared" si="11"/>
        <v>#DIV/0!</v>
      </c>
      <c r="Q14" s="53">
        <f t="shared" si="3"/>
        <v>8.9425128461097569E-2</v>
      </c>
      <c r="R14" s="53" t="e">
        <f t="shared" si="12"/>
        <v>#DIV/0!</v>
      </c>
      <c r="S14" s="52" t="e">
        <f t="shared" si="13"/>
        <v>#DIV/0!</v>
      </c>
      <c r="T14" s="56">
        <f>SUM(T15:T19)</f>
        <v>4738</v>
      </c>
      <c r="U14" s="56">
        <f>SUM(U15:U19)</f>
        <v>0</v>
      </c>
      <c r="V14" s="52" t="e">
        <f t="shared" si="14"/>
        <v>#DIV/0!</v>
      </c>
      <c r="W14" s="56">
        <f>SUM(W15:W19)</f>
        <v>5</v>
      </c>
      <c r="X14" s="56">
        <f>SUM(X15:X19)</f>
        <v>0</v>
      </c>
      <c r="Y14" s="52" t="e">
        <f t="shared" si="15"/>
        <v>#DIV/0!</v>
      </c>
      <c r="Z14" s="51">
        <f t="shared" si="4"/>
        <v>89.4</v>
      </c>
      <c r="AA14" s="54" t="e">
        <f t="shared" si="16"/>
        <v>#DIV/0!</v>
      </c>
      <c r="AB14" s="52" t="e">
        <f t="shared" si="17"/>
        <v>#DIV/0!</v>
      </c>
      <c r="AC14" s="56">
        <f>SUM(AC15:AC19)</f>
        <v>983819</v>
      </c>
      <c r="AD14" s="56">
        <f>SUM(AD15:AD19)</f>
        <v>0</v>
      </c>
      <c r="AE14" s="52" t="e">
        <f t="shared" si="18"/>
        <v>#DIV/0!</v>
      </c>
      <c r="AF14" s="56">
        <f>SUM(AF15:AF19)</f>
        <v>7337</v>
      </c>
      <c r="AG14" s="56">
        <f>SUM(AG15:AG19)</f>
        <v>0</v>
      </c>
      <c r="AH14" s="67" t="e">
        <f t="shared" si="19"/>
        <v>#DIV/0!</v>
      </c>
      <c r="AI14" s="56">
        <f>SUM(AI15:AI19)</f>
        <v>4557430</v>
      </c>
      <c r="AJ14" s="56">
        <f>SUM(AJ15:AJ19)</f>
        <v>0</v>
      </c>
      <c r="AK14" s="52" t="e">
        <f t="shared" si="20"/>
        <v>#DIV/0!</v>
      </c>
      <c r="AL14" s="82">
        <f t="shared" si="5"/>
        <v>1.6098985612505294E-3</v>
      </c>
      <c r="AM14" s="82" t="e">
        <f t="shared" si="21"/>
        <v>#DIV/0!</v>
      </c>
      <c r="AN14" s="52" t="e">
        <f t="shared" si="22"/>
        <v>#DIV/0!</v>
      </c>
      <c r="AO14" s="68" t="s">
        <v>124</v>
      </c>
    </row>
    <row r="15" spans="1:41" s="96" customFormat="1" ht="15.75" customHeight="1" x14ac:dyDescent="0.3">
      <c r="A15" s="279"/>
      <c r="B15" s="279"/>
      <c r="C15" s="280"/>
      <c r="D15" s="297" t="s">
        <v>131</v>
      </c>
      <c r="E15" s="281">
        <v>381</v>
      </c>
      <c r="F15" s="281"/>
      <c r="G15" s="282" t="e">
        <f t="shared" si="6"/>
        <v>#DIV/0!</v>
      </c>
      <c r="H15" s="281">
        <v>4607</v>
      </c>
      <c r="I15" s="283"/>
      <c r="J15" s="282" t="e">
        <f t="shared" si="7"/>
        <v>#DIV/0!</v>
      </c>
      <c r="K15" s="281">
        <f t="shared" si="1"/>
        <v>4998.5950000000003</v>
      </c>
      <c r="L15" s="281">
        <f t="shared" si="8"/>
        <v>0</v>
      </c>
      <c r="M15" s="282" t="e">
        <f t="shared" si="9"/>
        <v>#DIV/0!</v>
      </c>
      <c r="N15" s="283">
        <f t="shared" si="2"/>
        <v>8.2700238767093551E-2</v>
      </c>
      <c r="O15" s="283" t="e">
        <f t="shared" si="10"/>
        <v>#DIV/0!</v>
      </c>
      <c r="P15" s="282" t="e">
        <f t="shared" si="11"/>
        <v>#DIV/0!</v>
      </c>
      <c r="Q15" s="283">
        <f t="shared" si="3"/>
        <v>7.6221418218519396E-2</v>
      </c>
      <c r="R15" s="283" t="e">
        <f t="shared" si="12"/>
        <v>#DIV/0!</v>
      </c>
      <c r="S15" s="282" t="e">
        <f t="shared" si="13"/>
        <v>#DIV/0!</v>
      </c>
      <c r="T15" s="284">
        <v>4666</v>
      </c>
      <c r="U15" s="284"/>
      <c r="V15" s="282" t="e">
        <f t="shared" si="14"/>
        <v>#DIV/0!</v>
      </c>
      <c r="W15" s="284">
        <v>4</v>
      </c>
      <c r="X15" s="284"/>
      <c r="Y15" s="282" t="e">
        <f t="shared" si="15"/>
        <v>#DIV/0!</v>
      </c>
      <c r="Z15" s="284">
        <f t="shared" si="4"/>
        <v>95.25</v>
      </c>
      <c r="AA15" s="284" t="e">
        <f t="shared" si="16"/>
        <v>#DIV/0!</v>
      </c>
      <c r="AB15" s="282" t="e">
        <f t="shared" si="17"/>
        <v>#DIV/0!</v>
      </c>
      <c r="AC15" s="285">
        <v>983819</v>
      </c>
      <c r="AD15" s="284"/>
      <c r="AE15" s="282" t="e">
        <f t="shared" si="18"/>
        <v>#DIV/0!</v>
      </c>
      <c r="AF15" s="284">
        <v>7337</v>
      </c>
      <c r="AG15" s="284"/>
      <c r="AH15" s="86" t="e">
        <f t="shared" si="19"/>
        <v>#DIV/0!</v>
      </c>
      <c r="AI15" s="284">
        <v>4557430</v>
      </c>
      <c r="AJ15" s="284"/>
      <c r="AK15" s="282" t="e">
        <f t="shared" si="20"/>
        <v>#DIV/0!</v>
      </c>
      <c r="AL15" s="286">
        <f t="shared" si="5"/>
        <v>1.6098985612505294E-3</v>
      </c>
      <c r="AM15" s="286" t="e">
        <f t="shared" si="21"/>
        <v>#DIV/0!</v>
      </c>
      <c r="AN15" s="282" t="e">
        <f t="shared" si="22"/>
        <v>#DIV/0!</v>
      </c>
      <c r="AO15" s="86"/>
    </row>
    <row r="16" spans="1:41" s="96" customFormat="1" ht="15.75" customHeight="1" x14ac:dyDescent="0.3">
      <c r="A16" s="279"/>
      <c r="B16" s="279"/>
      <c r="C16" s="280"/>
      <c r="D16" s="280"/>
      <c r="E16" s="281"/>
      <c r="F16" s="281"/>
      <c r="G16" s="282" t="e">
        <f t="shared" si="6"/>
        <v>#DIV/0!</v>
      </c>
      <c r="H16" s="281"/>
      <c r="I16" s="283"/>
      <c r="J16" s="282" t="e">
        <f t="shared" si="7"/>
        <v>#DIV/0!</v>
      </c>
      <c r="K16" s="281">
        <f t="shared" si="1"/>
        <v>0</v>
      </c>
      <c r="L16" s="281">
        <f t="shared" si="8"/>
        <v>0</v>
      </c>
      <c r="M16" s="282" t="e">
        <f t="shared" si="9"/>
        <v>#DIV/0!</v>
      </c>
      <c r="N16" s="283" t="e">
        <f t="shared" si="2"/>
        <v>#DIV/0!</v>
      </c>
      <c r="O16" s="283" t="e">
        <f t="shared" si="10"/>
        <v>#DIV/0!</v>
      </c>
      <c r="P16" s="282" t="e">
        <f t="shared" si="11"/>
        <v>#DIV/0!</v>
      </c>
      <c r="Q16" s="283" t="e">
        <f t="shared" si="3"/>
        <v>#DIV/0!</v>
      </c>
      <c r="R16" s="283" t="e">
        <f t="shared" si="12"/>
        <v>#DIV/0!</v>
      </c>
      <c r="S16" s="282" t="e">
        <f t="shared" si="13"/>
        <v>#DIV/0!</v>
      </c>
      <c r="T16" s="284"/>
      <c r="U16" s="284"/>
      <c r="V16" s="282" t="e">
        <f t="shared" si="14"/>
        <v>#DIV/0!</v>
      </c>
      <c r="W16" s="284"/>
      <c r="X16" s="284"/>
      <c r="Y16" s="282" t="e">
        <f t="shared" si="15"/>
        <v>#DIV/0!</v>
      </c>
      <c r="Z16" s="284" t="e">
        <f t="shared" si="4"/>
        <v>#DIV/0!</v>
      </c>
      <c r="AA16" s="284" t="e">
        <f t="shared" si="16"/>
        <v>#DIV/0!</v>
      </c>
      <c r="AB16" s="282" t="e">
        <f t="shared" si="17"/>
        <v>#DIV/0!</v>
      </c>
      <c r="AC16" s="285"/>
      <c r="AD16" s="284"/>
      <c r="AE16" s="282" t="e">
        <f t="shared" si="18"/>
        <v>#DIV/0!</v>
      </c>
      <c r="AF16" s="284"/>
      <c r="AG16" s="284"/>
      <c r="AH16" s="86" t="e">
        <f t="shared" si="19"/>
        <v>#DIV/0!</v>
      </c>
      <c r="AI16" s="284"/>
      <c r="AJ16" s="284"/>
      <c r="AK16" s="282" t="e">
        <f t="shared" si="20"/>
        <v>#DIV/0!</v>
      </c>
      <c r="AL16" s="286" t="e">
        <f t="shared" si="5"/>
        <v>#DIV/0!</v>
      </c>
      <c r="AM16" s="286" t="e">
        <f t="shared" si="21"/>
        <v>#DIV/0!</v>
      </c>
      <c r="AN16" s="282" t="e">
        <f t="shared" si="22"/>
        <v>#DIV/0!</v>
      </c>
      <c r="AO16" s="86"/>
    </row>
    <row r="17" spans="1:41" s="96" customFormat="1" ht="15.75" customHeight="1" x14ac:dyDescent="0.3">
      <c r="A17" s="279"/>
      <c r="B17" s="279"/>
      <c r="C17" s="280"/>
      <c r="D17" s="280"/>
      <c r="E17" s="281"/>
      <c r="F17" s="281"/>
      <c r="G17" s="282" t="e">
        <f t="shared" si="6"/>
        <v>#DIV/0!</v>
      </c>
      <c r="H17" s="281"/>
      <c r="I17" s="283"/>
      <c r="J17" s="282" t="e">
        <f t="shared" si="7"/>
        <v>#DIV/0!</v>
      </c>
      <c r="K17" s="281">
        <f t="shared" si="1"/>
        <v>0</v>
      </c>
      <c r="L17" s="281">
        <f t="shared" si="8"/>
        <v>0</v>
      </c>
      <c r="M17" s="282" t="e">
        <f t="shared" si="9"/>
        <v>#DIV/0!</v>
      </c>
      <c r="N17" s="283" t="e">
        <f t="shared" si="2"/>
        <v>#DIV/0!</v>
      </c>
      <c r="O17" s="283" t="e">
        <f t="shared" si="10"/>
        <v>#DIV/0!</v>
      </c>
      <c r="P17" s="282" t="e">
        <f t="shared" si="11"/>
        <v>#DIV/0!</v>
      </c>
      <c r="Q17" s="283" t="e">
        <f t="shared" si="3"/>
        <v>#DIV/0!</v>
      </c>
      <c r="R17" s="283" t="e">
        <f t="shared" si="12"/>
        <v>#DIV/0!</v>
      </c>
      <c r="S17" s="282" t="e">
        <f t="shared" si="13"/>
        <v>#DIV/0!</v>
      </c>
      <c r="T17" s="284"/>
      <c r="U17" s="284"/>
      <c r="V17" s="282" t="e">
        <f t="shared" si="14"/>
        <v>#DIV/0!</v>
      </c>
      <c r="W17" s="284"/>
      <c r="X17" s="284"/>
      <c r="Y17" s="282" t="e">
        <f t="shared" si="15"/>
        <v>#DIV/0!</v>
      </c>
      <c r="Z17" s="284" t="e">
        <f t="shared" si="4"/>
        <v>#DIV/0!</v>
      </c>
      <c r="AA17" s="284" t="e">
        <f t="shared" si="16"/>
        <v>#DIV/0!</v>
      </c>
      <c r="AB17" s="282" t="e">
        <f t="shared" si="17"/>
        <v>#DIV/0!</v>
      </c>
      <c r="AC17" s="285"/>
      <c r="AD17" s="284"/>
      <c r="AE17" s="282" t="e">
        <f t="shared" si="18"/>
        <v>#DIV/0!</v>
      </c>
      <c r="AF17" s="284"/>
      <c r="AG17" s="284"/>
      <c r="AH17" s="86" t="e">
        <f t="shared" si="19"/>
        <v>#DIV/0!</v>
      </c>
      <c r="AI17" s="284"/>
      <c r="AJ17" s="284"/>
      <c r="AK17" s="282" t="e">
        <f t="shared" si="20"/>
        <v>#DIV/0!</v>
      </c>
      <c r="AL17" s="286" t="e">
        <f t="shared" si="5"/>
        <v>#DIV/0!</v>
      </c>
      <c r="AM17" s="286" t="e">
        <f t="shared" si="21"/>
        <v>#DIV/0!</v>
      </c>
      <c r="AN17" s="282" t="e">
        <f t="shared" si="22"/>
        <v>#DIV/0!</v>
      </c>
      <c r="AO17" s="86"/>
    </row>
    <row r="18" spans="1:41" s="96" customFormat="1" ht="15.75" customHeight="1" x14ac:dyDescent="0.3">
      <c r="A18" s="279"/>
      <c r="B18" s="279"/>
      <c r="C18" s="280"/>
      <c r="D18" s="280"/>
      <c r="E18" s="281"/>
      <c r="F18" s="281"/>
      <c r="G18" s="282" t="e">
        <f t="shared" si="6"/>
        <v>#DIV/0!</v>
      </c>
      <c r="H18" s="281"/>
      <c r="I18" s="283"/>
      <c r="J18" s="282" t="e">
        <f t="shared" si="7"/>
        <v>#DIV/0!</v>
      </c>
      <c r="K18" s="281">
        <f t="shared" si="1"/>
        <v>0</v>
      </c>
      <c r="L18" s="281">
        <f t="shared" si="8"/>
        <v>0</v>
      </c>
      <c r="M18" s="282" t="e">
        <f t="shared" si="9"/>
        <v>#DIV/0!</v>
      </c>
      <c r="N18" s="283" t="e">
        <f t="shared" si="2"/>
        <v>#DIV/0!</v>
      </c>
      <c r="O18" s="283" t="e">
        <f t="shared" si="10"/>
        <v>#DIV/0!</v>
      </c>
      <c r="P18" s="282" t="e">
        <f t="shared" si="11"/>
        <v>#DIV/0!</v>
      </c>
      <c r="Q18" s="283" t="e">
        <f t="shared" si="3"/>
        <v>#DIV/0!</v>
      </c>
      <c r="R18" s="283" t="e">
        <f t="shared" si="12"/>
        <v>#DIV/0!</v>
      </c>
      <c r="S18" s="282" t="e">
        <f t="shared" si="13"/>
        <v>#DIV/0!</v>
      </c>
      <c r="T18" s="284"/>
      <c r="U18" s="284"/>
      <c r="V18" s="282" t="e">
        <f t="shared" si="14"/>
        <v>#DIV/0!</v>
      </c>
      <c r="W18" s="284"/>
      <c r="X18" s="284"/>
      <c r="Y18" s="282" t="e">
        <f t="shared" si="15"/>
        <v>#DIV/0!</v>
      </c>
      <c r="Z18" s="284" t="e">
        <f t="shared" si="4"/>
        <v>#DIV/0!</v>
      </c>
      <c r="AA18" s="284" t="e">
        <f t="shared" si="16"/>
        <v>#DIV/0!</v>
      </c>
      <c r="AB18" s="282" t="e">
        <f t="shared" si="17"/>
        <v>#DIV/0!</v>
      </c>
      <c r="AC18" s="285"/>
      <c r="AD18" s="284"/>
      <c r="AE18" s="282" t="e">
        <f t="shared" si="18"/>
        <v>#DIV/0!</v>
      </c>
      <c r="AF18" s="284"/>
      <c r="AG18" s="284"/>
      <c r="AH18" s="86" t="e">
        <f t="shared" si="19"/>
        <v>#DIV/0!</v>
      </c>
      <c r="AI18" s="284"/>
      <c r="AJ18" s="284"/>
      <c r="AK18" s="282" t="e">
        <f t="shared" si="20"/>
        <v>#DIV/0!</v>
      </c>
      <c r="AL18" s="286" t="e">
        <f t="shared" si="5"/>
        <v>#DIV/0!</v>
      </c>
      <c r="AM18" s="286" t="e">
        <f t="shared" si="21"/>
        <v>#DIV/0!</v>
      </c>
      <c r="AN18" s="282" t="e">
        <f t="shared" si="22"/>
        <v>#DIV/0!</v>
      </c>
      <c r="AO18" s="86"/>
    </row>
    <row r="19" spans="1:41" s="96" customFormat="1" ht="15.75" customHeight="1" x14ac:dyDescent="0.3">
      <c r="A19" s="279"/>
      <c r="B19" s="279"/>
      <c r="C19" s="280"/>
      <c r="D19" s="297" t="s">
        <v>274</v>
      </c>
      <c r="E19" s="281">
        <v>66</v>
      </c>
      <c r="F19" s="281"/>
      <c r="G19" s="282" t="e">
        <f t="shared" si="6"/>
        <v>#DIV/0!</v>
      </c>
      <c r="H19" s="281">
        <v>0</v>
      </c>
      <c r="I19" s="283"/>
      <c r="J19" s="282" t="e">
        <f t="shared" si="7"/>
        <v>#DIV/0!</v>
      </c>
      <c r="K19" s="281">
        <f t="shared" si="1"/>
        <v>0</v>
      </c>
      <c r="L19" s="281">
        <f t="shared" si="8"/>
        <v>0</v>
      </c>
      <c r="M19" s="282" t="e">
        <f t="shared" si="9"/>
        <v>#DIV/0!</v>
      </c>
      <c r="N19" s="283" t="e">
        <f t="shared" si="2"/>
        <v>#DIV/0!</v>
      </c>
      <c r="O19" s="283" t="e">
        <f t="shared" si="10"/>
        <v>#DIV/0!</v>
      </c>
      <c r="P19" s="282" t="e">
        <f t="shared" si="11"/>
        <v>#DIV/0!</v>
      </c>
      <c r="Q19" s="283" t="e">
        <f t="shared" si="3"/>
        <v>#DIV/0!</v>
      </c>
      <c r="R19" s="283" t="e">
        <f t="shared" si="12"/>
        <v>#DIV/0!</v>
      </c>
      <c r="S19" s="282" t="e">
        <f t="shared" si="13"/>
        <v>#DIV/0!</v>
      </c>
      <c r="T19" s="284">
        <v>72</v>
      </c>
      <c r="U19" s="284">
        <v>0</v>
      </c>
      <c r="V19" s="282" t="e">
        <f t="shared" si="14"/>
        <v>#DIV/0!</v>
      </c>
      <c r="W19" s="284">
        <v>1</v>
      </c>
      <c r="X19" s="284"/>
      <c r="Y19" s="282" t="e">
        <f t="shared" si="15"/>
        <v>#DIV/0!</v>
      </c>
      <c r="Z19" s="284">
        <f t="shared" si="4"/>
        <v>66</v>
      </c>
      <c r="AA19" s="284" t="e">
        <f t="shared" si="16"/>
        <v>#DIV/0!</v>
      </c>
      <c r="AB19" s="282" t="e">
        <f t="shared" si="17"/>
        <v>#DIV/0!</v>
      </c>
      <c r="AC19" s="285">
        <v>0</v>
      </c>
      <c r="AD19" s="284"/>
      <c r="AE19" s="282" t="e">
        <f t="shared" si="18"/>
        <v>#DIV/0!</v>
      </c>
      <c r="AF19" s="284">
        <v>0</v>
      </c>
      <c r="AG19" s="284"/>
      <c r="AH19" s="86" t="e">
        <f t="shared" si="19"/>
        <v>#DIV/0!</v>
      </c>
      <c r="AI19" s="284">
        <v>0</v>
      </c>
      <c r="AJ19" s="284"/>
      <c r="AK19" s="282" t="e">
        <f t="shared" si="20"/>
        <v>#DIV/0!</v>
      </c>
      <c r="AL19" s="286" t="e">
        <f t="shared" si="5"/>
        <v>#DIV/0!</v>
      </c>
      <c r="AM19" s="286" t="e">
        <f t="shared" si="21"/>
        <v>#DIV/0!</v>
      </c>
      <c r="AN19" s="282" t="e">
        <f t="shared" si="22"/>
        <v>#DIV/0!</v>
      </c>
      <c r="AO19" s="86"/>
    </row>
    <row r="20" spans="1:41" s="81" customFormat="1" ht="15.75" customHeight="1" x14ac:dyDescent="0.3">
      <c r="A20" s="49" t="s">
        <v>17</v>
      </c>
      <c r="B20" s="49" t="s">
        <v>33</v>
      </c>
      <c r="C20" s="50">
        <f>C14+7</f>
        <v>42755</v>
      </c>
      <c r="D20" s="50" t="s">
        <v>28</v>
      </c>
      <c r="E20" s="55">
        <f>SUM(E21:E25)</f>
        <v>569</v>
      </c>
      <c r="F20" s="55">
        <f>SUM(F21:F25)</f>
        <v>0</v>
      </c>
      <c r="G20" s="52" t="e">
        <f t="shared" si="6"/>
        <v>#DIV/0!</v>
      </c>
      <c r="H20" s="55">
        <f>SUM(H21:H25)</f>
        <v>3912</v>
      </c>
      <c r="I20" s="55">
        <f>SUM(I21:I25)</f>
        <v>0</v>
      </c>
      <c r="J20" s="52" t="e">
        <f t="shared" si="7"/>
        <v>#DIV/0!</v>
      </c>
      <c r="K20" s="51">
        <f t="shared" si="1"/>
        <v>4244.5199999999995</v>
      </c>
      <c r="L20" s="51">
        <f t="shared" si="8"/>
        <v>0</v>
      </c>
      <c r="M20" s="52" t="e">
        <f t="shared" si="9"/>
        <v>#DIV/0!</v>
      </c>
      <c r="N20" s="53">
        <f t="shared" si="2"/>
        <v>0.14544989775051126</v>
      </c>
      <c r="O20" s="53" t="e">
        <f t="shared" si="10"/>
        <v>#DIV/0!</v>
      </c>
      <c r="P20" s="52" t="e">
        <f t="shared" si="11"/>
        <v>#DIV/0!</v>
      </c>
      <c r="Q20" s="53">
        <f t="shared" si="3"/>
        <v>0.13405520530001039</v>
      </c>
      <c r="R20" s="53" t="e">
        <f t="shared" si="12"/>
        <v>#DIV/0!</v>
      </c>
      <c r="S20" s="52" t="e">
        <f t="shared" si="13"/>
        <v>#DIV/0!</v>
      </c>
      <c r="T20" s="56">
        <f>SUM(T21:T25)</f>
        <v>4024</v>
      </c>
      <c r="U20" s="56">
        <f>SUM(U21:U25)</f>
        <v>17</v>
      </c>
      <c r="V20" s="52">
        <f t="shared" si="14"/>
        <v>235.70588235294119</v>
      </c>
      <c r="W20" s="56">
        <f>SUM(W21:W25)</f>
        <v>5</v>
      </c>
      <c r="X20" s="56">
        <f>SUM(X21:X25)</f>
        <v>0</v>
      </c>
      <c r="Y20" s="52" t="e">
        <f t="shared" si="15"/>
        <v>#DIV/0!</v>
      </c>
      <c r="Z20" s="51">
        <f t="shared" si="4"/>
        <v>113.8</v>
      </c>
      <c r="AA20" s="54" t="e">
        <f t="shared" si="16"/>
        <v>#DIV/0!</v>
      </c>
      <c r="AB20" s="52" t="e">
        <f t="shared" si="17"/>
        <v>#DIV/0!</v>
      </c>
      <c r="AC20" s="56">
        <f>SUM(AC21:AC25)</f>
        <v>190495</v>
      </c>
      <c r="AD20" s="56">
        <f>SUM(AD21:AD25)</f>
        <v>0</v>
      </c>
      <c r="AE20" s="52" t="e">
        <f t="shared" si="18"/>
        <v>#DIV/0!</v>
      </c>
      <c r="AF20" s="56">
        <f>SUM(AF21:AF25)</f>
        <v>4508</v>
      </c>
      <c r="AG20" s="56">
        <f>SUM(AG21:AG25)</f>
        <v>0</v>
      </c>
      <c r="AH20" s="67" t="e">
        <f t="shared" si="19"/>
        <v>#DIV/0!</v>
      </c>
      <c r="AI20" s="56">
        <f>SUM(AI21:AI25)</f>
        <v>286957</v>
      </c>
      <c r="AJ20" s="56">
        <f>SUM(AJ21:AJ25)</f>
        <v>0</v>
      </c>
      <c r="AK20" s="52" t="e">
        <f t="shared" si="20"/>
        <v>#DIV/0!</v>
      </c>
      <c r="AL20" s="82">
        <f t="shared" si="5"/>
        <v>1.5709670786912325E-2</v>
      </c>
      <c r="AM20" s="82" t="e">
        <f t="shared" si="21"/>
        <v>#DIV/0!</v>
      </c>
      <c r="AN20" s="52" t="e">
        <f t="shared" ref="AN20" si="23">(AL20-AM20)/AM20</f>
        <v>#DIV/0!</v>
      </c>
      <c r="AO20" s="81" t="s">
        <v>143</v>
      </c>
    </row>
    <row r="21" spans="1:41" s="96" customFormat="1" ht="15.75" customHeight="1" x14ac:dyDescent="0.3">
      <c r="A21" s="279"/>
      <c r="B21" s="279"/>
      <c r="C21" s="280"/>
      <c r="D21" s="297" t="s">
        <v>129</v>
      </c>
      <c r="E21" s="281">
        <v>569</v>
      </c>
      <c r="F21" s="281"/>
      <c r="G21" s="282" t="e">
        <f t="shared" si="6"/>
        <v>#DIV/0!</v>
      </c>
      <c r="H21" s="281">
        <v>3912</v>
      </c>
      <c r="I21" s="283"/>
      <c r="J21" s="282" t="e">
        <f t="shared" si="7"/>
        <v>#DIV/0!</v>
      </c>
      <c r="K21" s="281">
        <f t="shared" si="1"/>
        <v>4244.5199999999995</v>
      </c>
      <c r="L21" s="281">
        <f t="shared" si="8"/>
        <v>0</v>
      </c>
      <c r="M21" s="282" t="e">
        <f t="shared" si="9"/>
        <v>#DIV/0!</v>
      </c>
      <c r="N21" s="283">
        <f t="shared" si="2"/>
        <v>0.14544989775051126</v>
      </c>
      <c r="O21" s="283" t="e">
        <f t="shared" si="10"/>
        <v>#DIV/0!</v>
      </c>
      <c r="P21" s="282" t="e">
        <f t="shared" si="11"/>
        <v>#DIV/0!</v>
      </c>
      <c r="Q21" s="283">
        <f t="shared" si="3"/>
        <v>0.13405520530001039</v>
      </c>
      <c r="R21" s="283" t="e">
        <f t="shared" si="12"/>
        <v>#DIV/0!</v>
      </c>
      <c r="S21" s="282" t="e">
        <f t="shared" si="13"/>
        <v>#DIV/0!</v>
      </c>
      <c r="T21" s="284">
        <v>3933</v>
      </c>
      <c r="U21" s="284"/>
      <c r="V21" s="282" t="e">
        <f t="shared" si="14"/>
        <v>#DIV/0!</v>
      </c>
      <c r="W21" s="284">
        <v>5</v>
      </c>
      <c r="X21" s="284"/>
      <c r="Y21" s="282" t="e">
        <f t="shared" si="15"/>
        <v>#DIV/0!</v>
      </c>
      <c r="Z21" s="284">
        <f t="shared" si="4"/>
        <v>113.8</v>
      </c>
      <c r="AA21" s="284" t="e">
        <f t="shared" si="16"/>
        <v>#DIV/0!</v>
      </c>
      <c r="AB21" s="282" t="e">
        <f t="shared" si="17"/>
        <v>#DIV/0!</v>
      </c>
      <c r="AC21" s="285">
        <v>190495</v>
      </c>
      <c r="AD21" s="284"/>
      <c r="AE21" s="282" t="e">
        <f t="shared" si="18"/>
        <v>#DIV/0!</v>
      </c>
      <c r="AF21" s="284">
        <v>4508</v>
      </c>
      <c r="AG21" s="284"/>
      <c r="AH21" s="86" t="e">
        <f t="shared" si="19"/>
        <v>#DIV/0!</v>
      </c>
      <c r="AI21" s="284">
        <v>286957</v>
      </c>
      <c r="AJ21" s="284"/>
      <c r="AK21" s="282" t="e">
        <f t="shared" si="20"/>
        <v>#DIV/0!</v>
      </c>
      <c r="AL21" s="286">
        <f t="shared" si="5"/>
        <v>1.5709670786912325E-2</v>
      </c>
      <c r="AM21" s="286" t="e">
        <f t="shared" si="21"/>
        <v>#DIV/0!</v>
      </c>
      <c r="AN21" s="282" t="e">
        <f t="shared" ref="AN21:AN52" si="24">(AL21-AM21)/AM21</f>
        <v>#DIV/0!</v>
      </c>
      <c r="AO21" s="86"/>
    </row>
    <row r="22" spans="1:41" s="96" customFormat="1" ht="15.75" customHeight="1" x14ac:dyDescent="0.3">
      <c r="A22" s="279"/>
      <c r="B22" s="279"/>
      <c r="C22" s="280"/>
      <c r="D22" s="280"/>
      <c r="E22" s="281"/>
      <c r="F22" s="281"/>
      <c r="G22" s="282" t="e">
        <f t="shared" si="6"/>
        <v>#DIV/0!</v>
      </c>
      <c r="H22" s="281"/>
      <c r="I22" s="283"/>
      <c r="J22" s="282" t="e">
        <f t="shared" si="7"/>
        <v>#DIV/0!</v>
      </c>
      <c r="K22" s="281">
        <f t="shared" si="1"/>
        <v>0</v>
      </c>
      <c r="L22" s="281">
        <f t="shared" si="8"/>
        <v>0</v>
      </c>
      <c r="M22" s="282" t="e">
        <f t="shared" si="9"/>
        <v>#DIV/0!</v>
      </c>
      <c r="N22" s="283" t="e">
        <f t="shared" si="2"/>
        <v>#DIV/0!</v>
      </c>
      <c r="O22" s="283" t="e">
        <f t="shared" si="10"/>
        <v>#DIV/0!</v>
      </c>
      <c r="P22" s="282" t="e">
        <f t="shared" si="11"/>
        <v>#DIV/0!</v>
      </c>
      <c r="Q22" s="283" t="e">
        <f t="shared" si="3"/>
        <v>#DIV/0!</v>
      </c>
      <c r="R22" s="283" t="e">
        <f t="shared" si="12"/>
        <v>#DIV/0!</v>
      </c>
      <c r="S22" s="282" t="e">
        <f t="shared" si="13"/>
        <v>#DIV/0!</v>
      </c>
      <c r="T22" s="284"/>
      <c r="U22" s="284"/>
      <c r="V22" s="282" t="e">
        <f t="shared" si="14"/>
        <v>#DIV/0!</v>
      </c>
      <c r="W22" s="284"/>
      <c r="X22" s="284"/>
      <c r="Y22" s="282" t="e">
        <f t="shared" si="15"/>
        <v>#DIV/0!</v>
      </c>
      <c r="Z22" s="284" t="e">
        <f t="shared" si="4"/>
        <v>#DIV/0!</v>
      </c>
      <c r="AA22" s="284" t="e">
        <f t="shared" si="16"/>
        <v>#DIV/0!</v>
      </c>
      <c r="AB22" s="282" t="e">
        <f t="shared" si="17"/>
        <v>#DIV/0!</v>
      </c>
      <c r="AC22" s="285"/>
      <c r="AD22" s="284"/>
      <c r="AE22" s="282" t="e">
        <f t="shared" si="18"/>
        <v>#DIV/0!</v>
      </c>
      <c r="AF22" s="284"/>
      <c r="AG22" s="284"/>
      <c r="AH22" s="86" t="e">
        <f t="shared" si="19"/>
        <v>#DIV/0!</v>
      </c>
      <c r="AI22" s="284"/>
      <c r="AJ22" s="284"/>
      <c r="AK22" s="282" t="e">
        <f t="shared" si="20"/>
        <v>#DIV/0!</v>
      </c>
      <c r="AL22" s="286" t="e">
        <f t="shared" si="5"/>
        <v>#DIV/0!</v>
      </c>
      <c r="AM22" s="286" t="e">
        <f t="shared" si="21"/>
        <v>#DIV/0!</v>
      </c>
      <c r="AN22" s="282" t="e">
        <f t="shared" si="24"/>
        <v>#DIV/0!</v>
      </c>
      <c r="AO22" s="86"/>
    </row>
    <row r="23" spans="1:41" s="96" customFormat="1" ht="15.75" customHeight="1" x14ac:dyDescent="0.3">
      <c r="A23" s="279"/>
      <c r="B23" s="279"/>
      <c r="C23" s="280"/>
      <c r="D23" s="280"/>
      <c r="E23" s="281"/>
      <c r="F23" s="281"/>
      <c r="G23" s="282" t="e">
        <f t="shared" si="6"/>
        <v>#DIV/0!</v>
      </c>
      <c r="H23" s="281"/>
      <c r="I23" s="283"/>
      <c r="J23" s="282" t="e">
        <f t="shared" si="7"/>
        <v>#DIV/0!</v>
      </c>
      <c r="K23" s="281">
        <f t="shared" si="1"/>
        <v>0</v>
      </c>
      <c r="L23" s="281">
        <f t="shared" si="8"/>
        <v>0</v>
      </c>
      <c r="M23" s="282" t="e">
        <f t="shared" si="9"/>
        <v>#DIV/0!</v>
      </c>
      <c r="N23" s="283" t="e">
        <f t="shared" si="2"/>
        <v>#DIV/0!</v>
      </c>
      <c r="O23" s="283" t="e">
        <f t="shared" si="10"/>
        <v>#DIV/0!</v>
      </c>
      <c r="P23" s="282" t="e">
        <f t="shared" si="11"/>
        <v>#DIV/0!</v>
      </c>
      <c r="Q23" s="283" t="e">
        <f t="shared" si="3"/>
        <v>#DIV/0!</v>
      </c>
      <c r="R23" s="283" t="e">
        <f t="shared" si="12"/>
        <v>#DIV/0!</v>
      </c>
      <c r="S23" s="282" t="e">
        <f t="shared" si="13"/>
        <v>#DIV/0!</v>
      </c>
      <c r="T23" s="284"/>
      <c r="U23" s="284"/>
      <c r="V23" s="282" t="e">
        <f t="shared" si="14"/>
        <v>#DIV/0!</v>
      </c>
      <c r="W23" s="284"/>
      <c r="X23" s="284"/>
      <c r="Y23" s="282" t="e">
        <f t="shared" si="15"/>
        <v>#DIV/0!</v>
      </c>
      <c r="Z23" s="284" t="e">
        <f t="shared" si="4"/>
        <v>#DIV/0!</v>
      </c>
      <c r="AA23" s="284" t="e">
        <f t="shared" si="16"/>
        <v>#DIV/0!</v>
      </c>
      <c r="AB23" s="282" t="e">
        <f t="shared" si="17"/>
        <v>#DIV/0!</v>
      </c>
      <c r="AC23" s="285"/>
      <c r="AD23" s="284"/>
      <c r="AE23" s="282" t="e">
        <f t="shared" si="18"/>
        <v>#DIV/0!</v>
      </c>
      <c r="AF23" s="284"/>
      <c r="AG23" s="284"/>
      <c r="AH23" s="86" t="e">
        <f t="shared" si="19"/>
        <v>#DIV/0!</v>
      </c>
      <c r="AI23" s="284"/>
      <c r="AJ23" s="284"/>
      <c r="AK23" s="282" t="e">
        <f t="shared" si="20"/>
        <v>#DIV/0!</v>
      </c>
      <c r="AL23" s="286" t="e">
        <f t="shared" si="5"/>
        <v>#DIV/0!</v>
      </c>
      <c r="AM23" s="286" t="e">
        <f t="shared" si="21"/>
        <v>#DIV/0!</v>
      </c>
      <c r="AN23" s="282" t="e">
        <f t="shared" si="24"/>
        <v>#DIV/0!</v>
      </c>
      <c r="AO23" s="86"/>
    </row>
    <row r="24" spans="1:41" s="96" customFormat="1" ht="15.75" customHeight="1" x14ac:dyDescent="0.3">
      <c r="A24" s="279"/>
      <c r="B24" s="279"/>
      <c r="C24" s="280"/>
      <c r="D24" s="280"/>
      <c r="E24" s="281"/>
      <c r="F24" s="281"/>
      <c r="G24" s="282" t="e">
        <f t="shared" si="6"/>
        <v>#DIV/0!</v>
      </c>
      <c r="H24" s="281"/>
      <c r="I24" s="283"/>
      <c r="J24" s="282" t="e">
        <f t="shared" si="7"/>
        <v>#DIV/0!</v>
      </c>
      <c r="K24" s="281">
        <f t="shared" si="1"/>
        <v>0</v>
      </c>
      <c r="L24" s="281">
        <f t="shared" si="8"/>
        <v>0</v>
      </c>
      <c r="M24" s="282" t="e">
        <f t="shared" si="9"/>
        <v>#DIV/0!</v>
      </c>
      <c r="N24" s="283" t="e">
        <f t="shared" si="2"/>
        <v>#DIV/0!</v>
      </c>
      <c r="O24" s="283" t="e">
        <f t="shared" si="10"/>
        <v>#DIV/0!</v>
      </c>
      <c r="P24" s="282" t="e">
        <f t="shared" si="11"/>
        <v>#DIV/0!</v>
      </c>
      <c r="Q24" s="283" t="e">
        <f t="shared" si="3"/>
        <v>#DIV/0!</v>
      </c>
      <c r="R24" s="283" t="e">
        <f t="shared" si="12"/>
        <v>#DIV/0!</v>
      </c>
      <c r="S24" s="282" t="e">
        <f t="shared" si="13"/>
        <v>#DIV/0!</v>
      </c>
      <c r="T24" s="284"/>
      <c r="U24" s="284"/>
      <c r="V24" s="282" t="e">
        <f t="shared" si="14"/>
        <v>#DIV/0!</v>
      </c>
      <c r="W24" s="284"/>
      <c r="X24" s="284"/>
      <c r="Y24" s="282" t="e">
        <f t="shared" si="15"/>
        <v>#DIV/0!</v>
      </c>
      <c r="Z24" s="284" t="e">
        <f t="shared" si="4"/>
        <v>#DIV/0!</v>
      </c>
      <c r="AA24" s="284" t="e">
        <f t="shared" si="16"/>
        <v>#DIV/0!</v>
      </c>
      <c r="AB24" s="282" t="e">
        <f t="shared" si="17"/>
        <v>#DIV/0!</v>
      </c>
      <c r="AC24" s="285"/>
      <c r="AD24" s="284"/>
      <c r="AE24" s="282" t="e">
        <f t="shared" si="18"/>
        <v>#DIV/0!</v>
      </c>
      <c r="AF24" s="284"/>
      <c r="AG24" s="284"/>
      <c r="AH24" s="86" t="e">
        <f t="shared" si="19"/>
        <v>#DIV/0!</v>
      </c>
      <c r="AI24" s="284"/>
      <c r="AJ24" s="284"/>
      <c r="AK24" s="282" t="e">
        <f t="shared" si="20"/>
        <v>#DIV/0!</v>
      </c>
      <c r="AL24" s="286" t="e">
        <f t="shared" si="5"/>
        <v>#DIV/0!</v>
      </c>
      <c r="AM24" s="286" t="e">
        <f t="shared" si="21"/>
        <v>#DIV/0!</v>
      </c>
      <c r="AN24" s="282" t="e">
        <f t="shared" si="24"/>
        <v>#DIV/0!</v>
      </c>
      <c r="AO24" s="86"/>
    </row>
    <row r="25" spans="1:41" s="357" customFormat="1" ht="15.75" customHeight="1" x14ac:dyDescent="0.3">
      <c r="A25" s="347"/>
      <c r="B25" s="347"/>
      <c r="C25" s="348"/>
      <c r="D25" s="349" t="s">
        <v>274</v>
      </c>
      <c r="E25" s="350">
        <v>0</v>
      </c>
      <c r="F25" s="350"/>
      <c r="G25" s="351" t="e">
        <f t="shared" si="6"/>
        <v>#DIV/0!</v>
      </c>
      <c r="H25" s="350">
        <v>0</v>
      </c>
      <c r="I25" s="352"/>
      <c r="J25" s="351" t="e">
        <f t="shared" si="7"/>
        <v>#DIV/0!</v>
      </c>
      <c r="K25" s="350">
        <f t="shared" si="1"/>
        <v>0</v>
      </c>
      <c r="L25" s="350">
        <f t="shared" si="8"/>
        <v>0</v>
      </c>
      <c r="M25" s="351" t="e">
        <f t="shared" si="9"/>
        <v>#DIV/0!</v>
      </c>
      <c r="N25" s="352" t="e">
        <f t="shared" si="2"/>
        <v>#DIV/0!</v>
      </c>
      <c r="O25" s="352" t="e">
        <f t="shared" si="10"/>
        <v>#DIV/0!</v>
      </c>
      <c r="P25" s="351" t="e">
        <f t="shared" si="11"/>
        <v>#DIV/0!</v>
      </c>
      <c r="Q25" s="352" t="e">
        <f t="shared" si="3"/>
        <v>#DIV/0!</v>
      </c>
      <c r="R25" s="352" t="e">
        <f t="shared" si="12"/>
        <v>#DIV/0!</v>
      </c>
      <c r="S25" s="351" t="e">
        <f t="shared" si="13"/>
        <v>#DIV/0!</v>
      </c>
      <c r="T25" s="353">
        <v>91</v>
      </c>
      <c r="U25" s="353">
        <v>17</v>
      </c>
      <c r="V25" s="351">
        <f t="shared" si="14"/>
        <v>4.3529411764705879</v>
      </c>
      <c r="W25" s="353">
        <v>0</v>
      </c>
      <c r="X25" s="353"/>
      <c r="Y25" s="351" t="e">
        <f t="shared" si="15"/>
        <v>#DIV/0!</v>
      </c>
      <c r="Z25" s="353" t="e">
        <f t="shared" si="4"/>
        <v>#DIV/0!</v>
      </c>
      <c r="AA25" s="353" t="e">
        <f t="shared" si="16"/>
        <v>#DIV/0!</v>
      </c>
      <c r="AB25" s="351" t="e">
        <f t="shared" si="17"/>
        <v>#DIV/0!</v>
      </c>
      <c r="AC25" s="354">
        <v>0</v>
      </c>
      <c r="AD25" s="353"/>
      <c r="AE25" s="351" t="e">
        <f t="shared" si="18"/>
        <v>#DIV/0!</v>
      </c>
      <c r="AF25" s="353">
        <v>0</v>
      </c>
      <c r="AG25" s="353"/>
      <c r="AH25" s="355" t="e">
        <f t="shared" si="19"/>
        <v>#DIV/0!</v>
      </c>
      <c r="AI25" s="353">
        <v>0</v>
      </c>
      <c r="AJ25" s="353"/>
      <c r="AK25" s="351" t="e">
        <f t="shared" si="20"/>
        <v>#DIV/0!</v>
      </c>
      <c r="AL25" s="356" t="e">
        <f t="shared" si="5"/>
        <v>#DIV/0!</v>
      </c>
      <c r="AM25" s="356" t="e">
        <f t="shared" si="21"/>
        <v>#DIV/0!</v>
      </c>
      <c r="AN25" s="351" t="e">
        <f t="shared" si="24"/>
        <v>#DIV/0!</v>
      </c>
      <c r="AO25" s="355"/>
    </row>
    <row r="26" spans="1:41" s="81" customFormat="1" ht="15.75" customHeight="1" x14ac:dyDescent="0.3">
      <c r="A26" s="49" t="s">
        <v>18</v>
      </c>
      <c r="B26" s="49" t="s">
        <v>34</v>
      </c>
      <c r="C26" s="50">
        <f>C20+7</f>
        <v>42762</v>
      </c>
      <c r="D26" s="50" t="s">
        <v>28</v>
      </c>
      <c r="E26" s="55">
        <f>SUM(E27:E31)</f>
        <v>25</v>
      </c>
      <c r="F26" s="55">
        <f>SUM(F27:F31)</f>
        <v>0</v>
      </c>
      <c r="G26" s="52" t="e">
        <f t="shared" si="6"/>
        <v>#DIV/0!</v>
      </c>
      <c r="H26" s="55">
        <f>SUM(H27:H31)</f>
        <v>0</v>
      </c>
      <c r="I26" s="55">
        <f>SUM(I27:I31)</f>
        <v>0</v>
      </c>
      <c r="J26" s="52" t="e">
        <f t="shared" si="7"/>
        <v>#DIV/0!</v>
      </c>
      <c r="K26" s="51">
        <f t="shared" si="1"/>
        <v>0</v>
      </c>
      <c r="L26" s="51">
        <f t="shared" si="8"/>
        <v>0</v>
      </c>
      <c r="M26" s="52" t="e">
        <f t="shared" si="9"/>
        <v>#DIV/0!</v>
      </c>
      <c r="N26" s="53" t="e">
        <f t="shared" si="2"/>
        <v>#DIV/0!</v>
      </c>
      <c r="O26" s="53" t="e">
        <f t="shared" si="10"/>
        <v>#DIV/0!</v>
      </c>
      <c r="P26" s="52" t="e">
        <f t="shared" si="11"/>
        <v>#DIV/0!</v>
      </c>
      <c r="Q26" s="53" t="e">
        <f t="shared" si="3"/>
        <v>#DIV/0!</v>
      </c>
      <c r="R26" s="53" t="e">
        <f t="shared" si="12"/>
        <v>#DIV/0!</v>
      </c>
      <c r="S26" s="52" t="e">
        <f t="shared" si="13"/>
        <v>#DIV/0!</v>
      </c>
      <c r="T26" s="56">
        <f>SUM(T27:T31)</f>
        <v>46</v>
      </c>
      <c r="U26" s="56">
        <f>SUM(U27:U31)</f>
        <v>3</v>
      </c>
      <c r="V26" s="52">
        <f t="shared" si="14"/>
        <v>14.333333333333334</v>
      </c>
      <c r="W26" s="56">
        <f>SUM(W27:W31)</f>
        <v>1</v>
      </c>
      <c r="X26" s="56">
        <f>SUM(X27:X31)</f>
        <v>0</v>
      </c>
      <c r="Y26" s="52" t="e">
        <f t="shared" si="15"/>
        <v>#DIV/0!</v>
      </c>
      <c r="Z26" s="51">
        <f t="shared" si="4"/>
        <v>25</v>
      </c>
      <c r="AA26" s="54" t="e">
        <f t="shared" si="16"/>
        <v>#DIV/0!</v>
      </c>
      <c r="AB26" s="52" t="e">
        <f t="shared" si="17"/>
        <v>#DIV/0!</v>
      </c>
      <c r="AC26" s="56">
        <f>SUM(AC27:AC31)</f>
        <v>0</v>
      </c>
      <c r="AD26" s="56">
        <f>SUM(AD27:AD31)</f>
        <v>0</v>
      </c>
      <c r="AE26" s="52" t="e">
        <f t="shared" si="18"/>
        <v>#DIV/0!</v>
      </c>
      <c r="AF26" s="56">
        <f>SUM(AF27:AF31)</f>
        <v>0</v>
      </c>
      <c r="AG26" s="56">
        <f>SUM(AG27:AG31)</f>
        <v>0</v>
      </c>
      <c r="AH26" s="67" t="e">
        <f t="shared" si="19"/>
        <v>#DIV/0!</v>
      </c>
      <c r="AI26" s="56">
        <f>SUM(AI27:AI31)</f>
        <v>0</v>
      </c>
      <c r="AJ26" s="56">
        <f>SUM(AJ27:AJ31)</f>
        <v>0</v>
      </c>
      <c r="AK26" s="52" t="e">
        <f t="shared" si="20"/>
        <v>#DIV/0!</v>
      </c>
      <c r="AL26" s="82" t="e">
        <f t="shared" si="5"/>
        <v>#DIV/0!</v>
      </c>
      <c r="AM26" s="82" t="e">
        <f t="shared" si="21"/>
        <v>#DIV/0!</v>
      </c>
      <c r="AN26" s="52" t="e">
        <f t="shared" si="24"/>
        <v>#DIV/0!</v>
      </c>
    </row>
    <row r="27" spans="1:41" s="96" customFormat="1" ht="15.75" customHeight="1" x14ac:dyDescent="0.3">
      <c r="A27" s="279"/>
      <c r="B27" s="279"/>
      <c r="C27" s="280"/>
      <c r="D27" s="280"/>
      <c r="E27" s="281"/>
      <c r="F27" s="281"/>
      <c r="G27" s="282" t="e">
        <f t="shared" si="6"/>
        <v>#DIV/0!</v>
      </c>
      <c r="H27" s="281"/>
      <c r="I27" s="283"/>
      <c r="J27" s="282" t="e">
        <f t="shared" si="7"/>
        <v>#DIV/0!</v>
      </c>
      <c r="K27" s="281">
        <f t="shared" si="1"/>
        <v>0</v>
      </c>
      <c r="L27" s="281">
        <f t="shared" si="8"/>
        <v>0</v>
      </c>
      <c r="M27" s="282" t="e">
        <f t="shared" si="9"/>
        <v>#DIV/0!</v>
      </c>
      <c r="N27" s="283" t="e">
        <f t="shared" si="2"/>
        <v>#DIV/0!</v>
      </c>
      <c r="O27" s="283" t="e">
        <f t="shared" si="10"/>
        <v>#DIV/0!</v>
      </c>
      <c r="P27" s="282" t="e">
        <f t="shared" si="11"/>
        <v>#DIV/0!</v>
      </c>
      <c r="Q27" s="283" t="e">
        <f t="shared" si="3"/>
        <v>#DIV/0!</v>
      </c>
      <c r="R27" s="283" t="e">
        <f t="shared" si="12"/>
        <v>#DIV/0!</v>
      </c>
      <c r="S27" s="282" t="e">
        <f t="shared" si="13"/>
        <v>#DIV/0!</v>
      </c>
      <c r="T27" s="284"/>
      <c r="U27" s="284"/>
      <c r="V27" s="282" t="e">
        <f t="shared" si="14"/>
        <v>#DIV/0!</v>
      </c>
      <c r="W27" s="284"/>
      <c r="X27" s="284"/>
      <c r="Y27" s="282" t="e">
        <f t="shared" si="15"/>
        <v>#DIV/0!</v>
      </c>
      <c r="Z27" s="284" t="e">
        <f t="shared" si="4"/>
        <v>#DIV/0!</v>
      </c>
      <c r="AA27" s="284" t="e">
        <f t="shared" si="16"/>
        <v>#DIV/0!</v>
      </c>
      <c r="AB27" s="282" t="e">
        <f t="shared" si="17"/>
        <v>#DIV/0!</v>
      </c>
      <c r="AC27" s="285"/>
      <c r="AD27" s="284"/>
      <c r="AE27" s="282" t="e">
        <f t="shared" si="18"/>
        <v>#DIV/0!</v>
      </c>
      <c r="AF27" s="284"/>
      <c r="AG27" s="284"/>
      <c r="AH27" s="86" t="e">
        <f t="shared" si="19"/>
        <v>#DIV/0!</v>
      </c>
      <c r="AI27" s="284"/>
      <c r="AJ27" s="284"/>
      <c r="AK27" s="282" t="e">
        <f t="shared" si="20"/>
        <v>#DIV/0!</v>
      </c>
      <c r="AL27" s="286" t="e">
        <f t="shared" si="5"/>
        <v>#DIV/0!</v>
      </c>
      <c r="AM27" s="286" t="e">
        <f t="shared" si="21"/>
        <v>#DIV/0!</v>
      </c>
      <c r="AN27" s="282" t="e">
        <f t="shared" si="24"/>
        <v>#DIV/0!</v>
      </c>
      <c r="AO27" s="86"/>
    </row>
    <row r="28" spans="1:41" s="96" customFormat="1" ht="15.75" customHeight="1" x14ac:dyDescent="0.3">
      <c r="A28" s="279"/>
      <c r="B28" s="279"/>
      <c r="C28" s="280"/>
      <c r="D28" s="280"/>
      <c r="E28" s="281"/>
      <c r="F28" s="281"/>
      <c r="G28" s="282" t="e">
        <f t="shared" si="6"/>
        <v>#DIV/0!</v>
      </c>
      <c r="H28" s="281"/>
      <c r="I28" s="283"/>
      <c r="J28" s="282" t="e">
        <f t="shared" si="7"/>
        <v>#DIV/0!</v>
      </c>
      <c r="K28" s="281">
        <f t="shared" si="1"/>
        <v>0</v>
      </c>
      <c r="L28" s="281">
        <f t="shared" si="8"/>
        <v>0</v>
      </c>
      <c r="M28" s="282" t="e">
        <f t="shared" si="9"/>
        <v>#DIV/0!</v>
      </c>
      <c r="N28" s="283" t="e">
        <f t="shared" si="2"/>
        <v>#DIV/0!</v>
      </c>
      <c r="O28" s="283" t="e">
        <f t="shared" si="10"/>
        <v>#DIV/0!</v>
      </c>
      <c r="P28" s="282" t="e">
        <f t="shared" si="11"/>
        <v>#DIV/0!</v>
      </c>
      <c r="Q28" s="283" t="e">
        <f t="shared" si="3"/>
        <v>#DIV/0!</v>
      </c>
      <c r="R28" s="283" t="e">
        <f t="shared" si="12"/>
        <v>#DIV/0!</v>
      </c>
      <c r="S28" s="282" t="e">
        <f t="shared" si="13"/>
        <v>#DIV/0!</v>
      </c>
      <c r="T28" s="284"/>
      <c r="U28" s="284"/>
      <c r="V28" s="282" t="e">
        <f t="shared" si="14"/>
        <v>#DIV/0!</v>
      </c>
      <c r="W28" s="284"/>
      <c r="X28" s="284"/>
      <c r="Y28" s="282" t="e">
        <f t="shared" si="15"/>
        <v>#DIV/0!</v>
      </c>
      <c r="Z28" s="284" t="e">
        <f t="shared" si="4"/>
        <v>#DIV/0!</v>
      </c>
      <c r="AA28" s="284" t="e">
        <f t="shared" si="16"/>
        <v>#DIV/0!</v>
      </c>
      <c r="AB28" s="282" t="e">
        <f t="shared" si="17"/>
        <v>#DIV/0!</v>
      </c>
      <c r="AC28" s="285"/>
      <c r="AD28" s="284"/>
      <c r="AE28" s="282" t="e">
        <f t="shared" si="18"/>
        <v>#DIV/0!</v>
      </c>
      <c r="AF28" s="284"/>
      <c r="AG28" s="284"/>
      <c r="AH28" s="86" t="e">
        <f t="shared" si="19"/>
        <v>#DIV/0!</v>
      </c>
      <c r="AI28" s="284"/>
      <c r="AJ28" s="284"/>
      <c r="AK28" s="282" t="e">
        <f t="shared" si="20"/>
        <v>#DIV/0!</v>
      </c>
      <c r="AL28" s="286" t="e">
        <f t="shared" si="5"/>
        <v>#DIV/0!</v>
      </c>
      <c r="AM28" s="286" t="e">
        <f t="shared" si="21"/>
        <v>#DIV/0!</v>
      </c>
      <c r="AN28" s="282" t="e">
        <f t="shared" si="24"/>
        <v>#DIV/0!</v>
      </c>
      <c r="AO28" s="86"/>
    </row>
    <row r="29" spans="1:41" s="96" customFormat="1" ht="15.75" customHeight="1" x14ac:dyDescent="0.3">
      <c r="A29" s="279"/>
      <c r="B29" s="279"/>
      <c r="C29" s="280"/>
      <c r="D29" s="280"/>
      <c r="E29" s="281"/>
      <c r="F29" s="281"/>
      <c r="G29" s="282" t="e">
        <f t="shared" si="6"/>
        <v>#DIV/0!</v>
      </c>
      <c r="H29" s="281"/>
      <c r="I29" s="283"/>
      <c r="J29" s="282" t="e">
        <f t="shared" si="7"/>
        <v>#DIV/0!</v>
      </c>
      <c r="K29" s="281">
        <f t="shared" si="1"/>
        <v>0</v>
      </c>
      <c r="L29" s="281">
        <f t="shared" si="8"/>
        <v>0</v>
      </c>
      <c r="M29" s="282" t="e">
        <f t="shared" si="9"/>
        <v>#DIV/0!</v>
      </c>
      <c r="N29" s="283" t="e">
        <f t="shared" si="2"/>
        <v>#DIV/0!</v>
      </c>
      <c r="O29" s="283" t="e">
        <f t="shared" si="10"/>
        <v>#DIV/0!</v>
      </c>
      <c r="P29" s="282" t="e">
        <f t="shared" si="11"/>
        <v>#DIV/0!</v>
      </c>
      <c r="Q29" s="283" t="e">
        <f t="shared" si="3"/>
        <v>#DIV/0!</v>
      </c>
      <c r="R29" s="283" t="e">
        <f t="shared" si="12"/>
        <v>#DIV/0!</v>
      </c>
      <c r="S29" s="282" t="e">
        <f t="shared" si="13"/>
        <v>#DIV/0!</v>
      </c>
      <c r="T29" s="284"/>
      <c r="U29" s="284"/>
      <c r="V29" s="282" t="e">
        <f t="shared" si="14"/>
        <v>#DIV/0!</v>
      </c>
      <c r="W29" s="284"/>
      <c r="X29" s="284"/>
      <c r="Y29" s="282" t="e">
        <f t="shared" si="15"/>
        <v>#DIV/0!</v>
      </c>
      <c r="Z29" s="284" t="e">
        <f t="shared" si="4"/>
        <v>#DIV/0!</v>
      </c>
      <c r="AA29" s="284" t="e">
        <f t="shared" si="16"/>
        <v>#DIV/0!</v>
      </c>
      <c r="AB29" s="282" t="e">
        <f t="shared" si="17"/>
        <v>#DIV/0!</v>
      </c>
      <c r="AC29" s="285"/>
      <c r="AD29" s="284"/>
      <c r="AE29" s="282" t="e">
        <f t="shared" si="18"/>
        <v>#DIV/0!</v>
      </c>
      <c r="AF29" s="284"/>
      <c r="AG29" s="284"/>
      <c r="AH29" s="86" t="e">
        <f t="shared" si="19"/>
        <v>#DIV/0!</v>
      </c>
      <c r="AI29" s="284"/>
      <c r="AJ29" s="284"/>
      <c r="AK29" s="282" t="e">
        <f t="shared" si="20"/>
        <v>#DIV/0!</v>
      </c>
      <c r="AL29" s="286" t="e">
        <f t="shared" si="5"/>
        <v>#DIV/0!</v>
      </c>
      <c r="AM29" s="286" t="e">
        <f t="shared" si="21"/>
        <v>#DIV/0!</v>
      </c>
      <c r="AN29" s="282" t="e">
        <f t="shared" si="24"/>
        <v>#DIV/0!</v>
      </c>
      <c r="AO29" s="86"/>
    </row>
    <row r="30" spans="1:41" s="96" customFormat="1" ht="15.75" customHeight="1" x14ac:dyDescent="0.3">
      <c r="A30" s="279"/>
      <c r="B30" s="279"/>
      <c r="C30" s="280"/>
      <c r="D30" s="280"/>
      <c r="E30" s="281"/>
      <c r="F30" s="281"/>
      <c r="G30" s="282" t="e">
        <f t="shared" si="6"/>
        <v>#DIV/0!</v>
      </c>
      <c r="H30" s="281"/>
      <c r="I30" s="283"/>
      <c r="J30" s="282" t="e">
        <f t="shared" si="7"/>
        <v>#DIV/0!</v>
      </c>
      <c r="K30" s="281">
        <f t="shared" si="1"/>
        <v>0</v>
      </c>
      <c r="L30" s="281">
        <f t="shared" si="8"/>
        <v>0</v>
      </c>
      <c r="M30" s="282" t="e">
        <f t="shared" si="9"/>
        <v>#DIV/0!</v>
      </c>
      <c r="N30" s="283" t="e">
        <f t="shared" si="2"/>
        <v>#DIV/0!</v>
      </c>
      <c r="O30" s="283" t="e">
        <f t="shared" si="10"/>
        <v>#DIV/0!</v>
      </c>
      <c r="P30" s="282" t="e">
        <f t="shared" si="11"/>
        <v>#DIV/0!</v>
      </c>
      <c r="Q30" s="283" t="e">
        <f t="shared" si="3"/>
        <v>#DIV/0!</v>
      </c>
      <c r="R30" s="283" t="e">
        <f t="shared" si="12"/>
        <v>#DIV/0!</v>
      </c>
      <c r="S30" s="282" t="e">
        <f t="shared" si="13"/>
        <v>#DIV/0!</v>
      </c>
      <c r="T30" s="284"/>
      <c r="U30" s="284"/>
      <c r="V30" s="282" t="e">
        <f t="shared" si="14"/>
        <v>#DIV/0!</v>
      </c>
      <c r="W30" s="284"/>
      <c r="X30" s="284"/>
      <c r="Y30" s="282" t="e">
        <f t="shared" si="15"/>
        <v>#DIV/0!</v>
      </c>
      <c r="Z30" s="284" t="e">
        <f t="shared" si="4"/>
        <v>#DIV/0!</v>
      </c>
      <c r="AA30" s="284" t="e">
        <f t="shared" si="16"/>
        <v>#DIV/0!</v>
      </c>
      <c r="AB30" s="282" t="e">
        <f t="shared" si="17"/>
        <v>#DIV/0!</v>
      </c>
      <c r="AC30" s="285"/>
      <c r="AD30" s="284"/>
      <c r="AE30" s="282" t="e">
        <f t="shared" si="18"/>
        <v>#DIV/0!</v>
      </c>
      <c r="AF30" s="284"/>
      <c r="AG30" s="284"/>
      <c r="AH30" s="86" t="e">
        <f t="shared" si="19"/>
        <v>#DIV/0!</v>
      </c>
      <c r="AI30" s="284"/>
      <c r="AJ30" s="284"/>
      <c r="AK30" s="282" t="e">
        <f t="shared" si="20"/>
        <v>#DIV/0!</v>
      </c>
      <c r="AL30" s="286" t="e">
        <f t="shared" si="5"/>
        <v>#DIV/0!</v>
      </c>
      <c r="AM30" s="286" t="e">
        <f t="shared" si="21"/>
        <v>#DIV/0!</v>
      </c>
      <c r="AN30" s="282" t="e">
        <f t="shared" si="24"/>
        <v>#DIV/0!</v>
      </c>
      <c r="AO30" s="86"/>
    </row>
    <row r="31" spans="1:41" s="96" customFormat="1" ht="15.75" customHeight="1" x14ac:dyDescent="0.3">
      <c r="A31" s="279"/>
      <c r="B31" s="279"/>
      <c r="C31" s="280"/>
      <c r="D31" s="297" t="s">
        <v>274</v>
      </c>
      <c r="E31" s="281">
        <v>25</v>
      </c>
      <c r="F31" s="281"/>
      <c r="G31" s="282" t="e">
        <f t="shared" si="6"/>
        <v>#DIV/0!</v>
      </c>
      <c r="H31" s="281">
        <v>0</v>
      </c>
      <c r="I31" s="283"/>
      <c r="J31" s="282" t="e">
        <f t="shared" si="7"/>
        <v>#DIV/0!</v>
      </c>
      <c r="K31" s="281">
        <f t="shared" si="1"/>
        <v>0</v>
      </c>
      <c r="L31" s="281">
        <f t="shared" si="8"/>
        <v>0</v>
      </c>
      <c r="M31" s="282" t="e">
        <f t="shared" si="9"/>
        <v>#DIV/0!</v>
      </c>
      <c r="N31" s="283" t="e">
        <f t="shared" si="2"/>
        <v>#DIV/0!</v>
      </c>
      <c r="O31" s="283" t="e">
        <f t="shared" si="10"/>
        <v>#DIV/0!</v>
      </c>
      <c r="P31" s="282" t="e">
        <f t="shared" si="11"/>
        <v>#DIV/0!</v>
      </c>
      <c r="Q31" s="283" t="e">
        <f t="shared" si="3"/>
        <v>#DIV/0!</v>
      </c>
      <c r="R31" s="283" t="e">
        <f t="shared" si="12"/>
        <v>#DIV/0!</v>
      </c>
      <c r="S31" s="282" t="e">
        <f t="shared" si="13"/>
        <v>#DIV/0!</v>
      </c>
      <c r="T31" s="284">
        <v>46</v>
      </c>
      <c r="U31" s="284">
        <v>3</v>
      </c>
      <c r="V31" s="282">
        <f t="shared" si="14"/>
        <v>14.333333333333334</v>
      </c>
      <c r="W31" s="284">
        <v>1</v>
      </c>
      <c r="X31" s="284">
        <v>0</v>
      </c>
      <c r="Y31" s="282" t="e">
        <f t="shared" si="15"/>
        <v>#DIV/0!</v>
      </c>
      <c r="Z31" s="284">
        <f t="shared" si="4"/>
        <v>25</v>
      </c>
      <c r="AA31" s="284" t="e">
        <f t="shared" si="16"/>
        <v>#DIV/0!</v>
      </c>
      <c r="AB31" s="282" t="e">
        <f t="shared" si="17"/>
        <v>#DIV/0!</v>
      </c>
      <c r="AC31" s="285">
        <v>0</v>
      </c>
      <c r="AD31" s="284"/>
      <c r="AE31" s="282" t="e">
        <f t="shared" si="18"/>
        <v>#DIV/0!</v>
      </c>
      <c r="AF31" s="284">
        <v>0</v>
      </c>
      <c r="AG31" s="284"/>
      <c r="AH31" s="86" t="e">
        <f t="shared" si="19"/>
        <v>#DIV/0!</v>
      </c>
      <c r="AI31" s="284">
        <v>0</v>
      </c>
      <c r="AJ31" s="284"/>
      <c r="AK31" s="282" t="e">
        <f t="shared" si="20"/>
        <v>#DIV/0!</v>
      </c>
      <c r="AL31" s="286" t="e">
        <f t="shared" si="5"/>
        <v>#DIV/0!</v>
      </c>
      <c r="AM31" s="286" t="e">
        <f t="shared" si="21"/>
        <v>#DIV/0!</v>
      </c>
      <c r="AN31" s="282" t="e">
        <f t="shared" si="24"/>
        <v>#DIV/0!</v>
      </c>
      <c r="AO31" s="86"/>
    </row>
    <row r="32" spans="1:41" s="81" customFormat="1" ht="15.75" customHeight="1" x14ac:dyDescent="0.3">
      <c r="A32" s="49" t="s">
        <v>18</v>
      </c>
      <c r="B32" s="49" t="s">
        <v>35</v>
      </c>
      <c r="C32" s="50">
        <f>C26+7</f>
        <v>42769</v>
      </c>
      <c r="D32" s="50" t="s">
        <v>28</v>
      </c>
      <c r="E32" s="55">
        <f>SUM(E33:E37)</f>
        <v>68</v>
      </c>
      <c r="F32" s="55">
        <f>SUM(F33:F37)</f>
        <v>225</v>
      </c>
      <c r="G32" s="52">
        <f t="shared" si="6"/>
        <v>-0.69777777777777783</v>
      </c>
      <c r="H32" s="55">
        <f>SUM(H33:H37)</f>
        <v>0</v>
      </c>
      <c r="I32" s="55">
        <f>SUM(I33:I37)</f>
        <v>5000</v>
      </c>
      <c r="J32" s="52">
        <f t="shared" si="7"/>
        <v>-1</v>
      </c>
      <c r="K32" s="51">
        <f t="shared" si="1"/>
        <v>0</v>
      </c>
      <c r="L32" s="51">
        <f t="shared" si="8"/>
        <v>5425</v>
      </c>
      <c r="M32" s="52">
        <f t="shared" si="9"/>
        <v>-1</v>
      </c>
      <c r="N32" s="53" t="e">
        <f t="shared" si="2"/>
        <v>#DIV/0!</v>
      </c>
      <c r="O32" s="53">
        <f t="shared" si="10"/>
        <v>4.4999999999999998E-2</v>
      </c>
      <c r="P32" s="52" t="e">
        <f t="shared" si="11"/>
        <v>#DIV/0!</v>
      </c>
      <c r="Q32" s="53" t="e">
        <f t="shared" si="3"/>
        <v>#DIV/0!</v>
      </c>
      <c r="R32" s="53">
        <f t="shared" si="12"/>
        <v>4.1474654377880185E-2</v>
      </c>
      <c r="S32" s="52" t="e">
        <f t="shared" si="13"/>
        <v>#DIV/0!</v>
      </c>
      <c r="T32" s="56">
        <f>SUM(T33:T37)</f>
        <v>48</v>
      </c>
      <c r="U32" s="56">
        <f>SUM(U33:U37)</f>
        <v>961</v>
      </c>
      <c r="V32" s="52">
        <f t="shared" si="14"/>
        <v>-0.95005202913631637</v>
      </c>
      <c r="W32" s="56">
        <f>SUM(W33:W37)</f>
        <v>1</v>
      </c>
      <c r="X32" s="56">
        <f>SUM(X33:X37)</f>
        <v>2</v>
      </c>
      <c r="Y32" s="52">
        <f t="shared" si="15"/>
        <v>-0.5</v>
      </c>
      <c r="Z32" s="51">
        <f t="shared" si="4"/>
        <v>68</v>
      </c>
      <c r="AA32" s="54">
        <f t="shared" si="16"/>
        <v>112.5</v>
      </c>
      <c r="AB32" s="52">
        <f t="shared" si="17"/>
        <v>-0.39555555555555555</v>
      </c>
      <c r="AC32" s="56">
        <f>SUM(AC33:AC37)</f>
        <v>0</v>
      </c>
      <c r="AD32" s="56">
        <f>SUM(AD33:AD37)</f>
        <v>511597</v>
      </c>
      <c r="AE32" s="52">
        <f t="shared" si="18"/>
        <v>-1</v>
      </c>
      <c r="AF32" s="56">
        <f>SUM(AF33:AF37)</f>
        <v>0</v>
      </c>
      <c r="AG32" s="56">
        <f>SUM(AG33:AG37)</f>
        <v>2502</v>
      </c>
      <c r="AH32" s="67">
        <f t="shared" si="19"/>
        <v>-1</v>
      </c>
      <c r="AI32" s="56">
        <f>SUM(AI33:AI37)</f>
        <v>0</v>
      </c>
      <c r="AJ32" s="56">
        <f>SUM(AJ33:AJ37)</f>
        <v>673115</v>
      </c>
      <c r="AK32" s="52">
        <f t="shared" si="20"/>
        <v>-1</v>
      </c>
      <c r="AL32" s="82" t="e">
        <f t="shared" si="5"/>
        <v>#DIV/0!</v>
      </c>
      <c r="AM32" s="82">
        <f t="shared" si="21"/>
        <v>3.717046864205968E-3</v>
      </c>
      <c r="AN32" s="52" t="e">
        <f t="shared" si="24"/>
        <v>#DIV/0!</v>
      </c>
      <c r="AO32" s="96"/>
    </row>
    <row r="33" spans="1:41" s="96" customFormat="1" ht="15.75" customHeight="1" x14ac:dyDescent="0.3">
      <c r="A33" s="279"/>
      <c r="B33" s="279"/>
      <c r="C33" s="280"/>
      <c r="D33" s="280"/>
      <c r="E33" s="281"/>
      <c r="F33" s="281"/>
      <c r="G33" s="282" t="e">
        <f t="shared" si="6"/>
        <v>#DIV/0!</v>
      </c>
      <c r="H33" s="281"/>
      <c r="I33" s="283"/>
      <c r="J33" s="282" t="e">
        <f t="shared" si="7"/>
        <v>#DIV/0!</v>
      </c>
      <c r="K33" s="281">
        <f t="shared" si="1"/>
        <v>0</v>
      </c>
      <c r="L33" s="281">
        <f t="shared" si="8"/>
        <v>0</v>
      </c>
      <c r="M33" s="282" t="e">
        <f t="shared" si="9"/>
        <v>#DIV/0!</v>
      </c>
      <c r="N33" s="283" t="e">
        <f t="shared" si="2"/>
        <v>#DIV/0!</v>
      </c>
      <c r="O33" s="283" t="e">
        <f t="shared" si="10"/>
        <v>#DIV/0!</v>
      </c>
      <c r="P33" s="282" t="e">
        <f t="shared" si="11"/>
        <v>#DIV/0!</v>
      </c>
      <c r="Q33" s="283" t="e">
        <f t="shared" si="3"/>
        <v>#DIV/0!</v>
      </c>
      <c r="R33" s="283" t="e">
        <f t="shared" si="12"/>
        <v>#DIV/0!</v>
      </c>
      <c r="S33" s="282" t="e">
        <f t="shared" si="13"/>
        <v>#DIV/0!</v>
      </c>
      <c r="T33" s="284"/>
      <c r="U33" s="284"/>
      <c r="V33" s="282" t="e">
        <f t="shared" si="14"/>
        <v>#DIV/0!</v>
      </c>
      <c r="W33" s="284"/>
      <c r="X33" s="284"/>
      <c r="Y33" s="282" t="e">
        <f t="shared" si="15"/>
        <v>#DIV/0!</v>
      </c>
      <c r="Z33" s="284" t="e">
        <f t="shared" si="4"/>
        <v>#DIV/0!</v>
      </c>
      <c r="AA33" s="284" t="e">
        <f t="shared" si="16"/>
        <v>#DIV/0!</v>
      </c>
      <c r="AB33" s="282" t="e">
        <f t="shared" si="17"/>
        <v>#DIV/0!</v>
      </c>
      <c r="AC33" s="285"/>
      <c r="AD33" s="284"/>
      <c r="AE33" s="282" t="e">
        <f t="shared" si="18"/>
        <v>#DIV/0!</v>
      </c>
      <c r="AF33" s="284"/>
      <c r="AG33" s="284"/>
      <c r="AH33" s="86" t="e">
        <f t="shared" si="19"/>
        <v>#DIV/0!</v>
      </c>
      <c r="AI33" s="284"/>
      <c r="AJ33" s="284"/>
      <c r="AK33" s="282" t="e">
        <f t="shared" si="20"/>
        <v>#DIV/0!</v>
      </c>
      <c r="AL33" s="286" t="e">
        <f t="shared" si="5"/>
        <v>#DIV/0!</v>
      </c>
      <c r="AM33" s="286" t="e">
        <f t="shared" si="21"/>
        <v>#DIV/0!</v>
      </c>
      <c r="AN33" s="282" t="e">
        <f t="shared" si="24"/>
        <v>#DIV/0!</v>
      </c>
      <c r="AO33" s="86"/>
    </row>
    <row r="34" spans="1:41" s="96" customFormat="1" ht="15.75" customHeight="1" x14ac:dyDescent="0.3">
      <c r="A34" s="279"/>
      <c r="B34" s="279"/>
      <c r="C34" s="280"/>
      <c r="D34" s="280"/>
      <c r="E34" s="281"/>
      <c r="F34" s="281"/>
      <c r="G34" s="282" t="e">
        <f t="shared" si="6"/>
        <v>#DIV/0!</v>
      </c>
      <c r="H34" s="281"/>
      <c r="I34" s="283"/>
      <c r="J34" s="282" t="e">
        <f t="shared" si="7"/>
        <v>#DIV/0!</v>
      </c>
      <c r="K34" s="281">
        <f t="shared" si="1"/>
        <v>0</v>
      </c>
      <c r="L34" s="281">
        <f t="shared" si="8"/>
        <v>0</v>
      </c>
      <c r="M34" s="282" t="e">
        <f t="shared" si="9"/>
        <v>#DIV/0!</v>
      </c>
      <c r="N34" s="283" t="e">
        <f t="shared" si="2"/>
        <v>#DIV/0!</v>
      </c>
      <c r="O34" s="283" t="e">
        <f t="shared" si="10"/>
        <v>#DIV/0!</v>
      </c>
      <c r="P34" s="282" t="e">
        <f t="shared" si="11"/>
        <v>#DIV/0!</v>
      </c>
      <c r="Q34" s="283" t="e">
        <f t="shared" si="3"/>
        <v>#DIV/0!</v>
      </c>
      <c r="R34" s="283" t="e">
        <f t="shared" si="12"/>
        <v>#DIV/0!</v>
      </c>
      <c r="S34" s="282" t="e">
        <f t="shared" si="13"/>
        <v>#DIV/0!</v>
      </c>
      <c r="T34" s="284"/>
      <c r="U34" s="284"/>
      <c r="V34" s="282" t="e">
        <f t="shared" si="14"/>
        <v>#DIV/0!</v>
      </c>
      <c r="W34" s="284"/>
      <c r="X34" s="284"/>
      <c r="Y34" s="282" t="e">
        <f t="shared" si="15"/>
        <v>#DIV/0!</v>
      </c>
      <c r="Z34" s="284" t="e">
        <f t="shared" si="4"/>
        <v>#DIV/0!</v>
      </c>
      <c r="AA34" s="284" t="e">
        <f t="shared" si="16"/>
        <v>#DIV/0!</v>
      </c>
      <c r="AB34" s="282" t="e">
        <f t="shared" si="17"/>
        <v>#DIV/0!</v>
      </c>
      <c r="AC34" s="285"/>
      <c r="AD34" s="284"/>
      <c r="AE34" s="282" t="e">
        <f t="shared" si="18"/>
        <v>#DIV/0!</v>
      </c>
      <c r="AF34" s="284"/>
      <c r="AG34" s="284"/>
      <c r="AH34" s="86" t="e">
        <f t="shared" si="19"/>
        <v>#DIV/0!</v>
      </c>
      <c r="AI34" s="284"/>
      <c r="AJ34" s="284"/>
      <c r="AK34" s="282" t="e">
        <f t="shared" si="20"/>
        <v>#DIV/0!</v>
      </c>
      <c r="AL34" s="286" t="e">
        <f t="shared" si="5"/>
        <v>#DIV/0!</v>
      </c>
      <c r="AM34" s="286" t="e">
        <f t="shared" si="21"/>
        <v>#DIV/0!</v>
      </c>
      <c r="AN34" s="282" t="e">
        <f t="shared" si="24"/>
        <v>#DIV/0!</v>
      </c>
      <c r="AO34" s="86"/>
    </row>
    <row r="35" spans="1:41" s="96" customFormat="1" ht="15.75" customHeight="1" x14ac:dyDescent="0.3">
      <c r="A35" s="279"/>
      <c r="B35" s="279"/>
      <c r="C35" s="280"/>
      <c r="D35" s="280"/>
      <c r="E35" s="281"/>
      <c r="F35" s="281"/>
      <c r="G35" s="282" t="e">
        <f t="shared" si="6"/>
        <v>#DIV/0!</v>
      </c>
      <c r="H35" s="281"/>
      <c r="I35" s="283"/>
      <c r="J35" s="282" t="e">
        <f t="shared" si="7"/>
        <v>#DIV/0!</v>
      </c>
      <c r="K35" s="281">
        <f t="shared" si="1"/>
        <v>0</v>
      </c>
      <c r="L35" s="281">
        <f t="shared" si="8"/>
        <v>0</v>
      </c>
      <c r="M35" s="282" t="e">
        <f t="shared" si="9"/>
        <v>#DIV/0!</v>
      </c>
      <c r="N35" s="283" t="e">
        <f t="shared" si="2"/>
        <v>#DIV/0!</v>
      </c>
      <c r="O35" s="283" t="e">
        <f t="shared" si="10"/>
        <v>#DIV/0!</v>
      </c>
      <c r="P35" s="282" t="e">
        <f t="shared" si="11"/>
        <v>#DIV/0!</v>
      </c>
      <c r="Q35" s="283" t="e">
        <f t="shared" si="3"/>
        <v>#DIV/0!</v>
      </c>
      <c r="R35" s="283" t="e">
        <f t="shared" si="12"/>
        <v>#DIV/0!</v>
      </c>
      <c r="S35" s="282" t="e">
        <f t="shared" si="13"/>
        <v>#DIV/0!</v>
      </c>
      <c r="T35" s="284"/>
      <c r="U35" s="284"/>
      <c r="V35" s="282" t="e">
        <f t="shared" si="14"/>
        <v>#DIV/0!</v>
      </c>
      <c r="W35" s="284"/>
      <c r="X35" s="284"/>
      <c r="Y35" s="282" t="e">
        <f t="shared" si="15"/>
        <v>#DIV/0!</v>
      </c>
      <c r="Z35" s="284" t="e">
        <f t="shared" si="4"/>
        <v>#DIV/0!</v>
      </c>
      <c r="AA35" s="284" t="e">
        <f t="shared" si="16"/>
        <v>#DIV/0!</v>
      </c>
      <c r="AB35" s="282" t="e">
        <f t="shared" si="17"/>
        <v>#DIV/0!</v>
      </c>
      <c r="AC35" s="285"/>
      <c r="AD35" s="284"/>
      <c r="AE35" s="282" t="e">
        <f t="shared" si="18"/>
        <v>#DIV/0!</v>
      </c>
      <c r="AF35" s="284"/>
      <c r="AG35" s="284"/>
      <c r="AH35" s="86" t="e">
        <f t="shared" si="19"/>
        <v>#DIV/0!</v>
      </c>
      <c r="AI35" s="284"/>
      <c r="AJ35" s="284"/>
      <c r="AK35" s="282" t="e">
        <f t="shared" si="20"/>
        <v>#DIV/0!</v>
      </c>
      <c r="AL35" s="286" t="e">
        <f t="shared" si="5"/>
        <v>#DIV/0!</v>
      </c>
      <c r="AM35" s="286" t="e">
        <f t="shared" si="21"/>
        <v>#DIV/0!</v>
      </c>
      <c r="AN35" s="282" t="e">
        <f t="shared" si="24"/>
        <v>#DIV/0!</v>
      </c>
      <c r="AO35" s="86"/>
    </row>
    <row r="36" spans="1:41" s="96" customFormat="1" ht="15.75" customHeight="1" x14ac:dyDescent="0.3">
      <c r="A36" s="279"/>
      <c r="B36" s="279"/>
      <c r="C36" s="280"/>
      <c r="D36" s="280"/>
      <c r="E36" s="281"/>
      <c r="F36" s="281"/>
      <c r="G36" s="282" t="e">
        <f t="shared" si="6"/>
        <v>#DIV/0!</v>
      </c>
      <c r="H36" s="281"/>
      <c r="I36" s="283"/>
      <c r="J36" s="282" t="e">
        <f t="shared" si="7"/>
        <v>#DIV/0!</v>
      </c>
      <c r="K36" s="281">
        <f t="shared" si="1"/>
        <v>0</v>
      </c>
      <c r="L36" s="281">
        <f t="shared" si="8"/>
        <v>0</v>
      </c>
      <c r="M36" s="282" t="e">
        <f t="shared" si="9"/>
        <v>#DIV/0!</v>
      </c>
      <c r="N36" s="283" t="e">
        <f t="shared" si="2"/>
        <v>#DIV/0!</v>
      </c>
      <c r="O36" s="283" t="e">
        <f t="shared" si="10"/>
        <v>#DIV/0!</v>
      </c>
      <c r="P36" s="282" t="e">
        <f t="shared" si="11"/>
        <v>#DIV/0!</v>
      </c>
      <c r="Q36" s="283" t="e">
        <f t="shared" si="3"/>
        <v>#DIV/0!</v>
      </c>
      <c r="R36" s="283" t="e">
        <f t="shared" si="12"/>
        <v>#DIV/0!</v>
      </c>
      <c r="S36" s="282" t="e">
        <f t="shared" si="13"/>
        <v>#DIV/0!</v>
      </c>
      <c r="T36" s="284"/>
      <c r="U36" s="284"/>
      <c r="V36" s="282" t="e">
        <f t="shared" si="14"/>
        <v>#DIV/0!</v>
      </c>
      <c r="W36" s="284"/>
      <c r="X36" s="284"/>
      <c r="Y36" s="282" t="e">
        <f t="shared" si="15"/>
        <v>#DIV/0!</v>
      </c>
      <c r="Z36" s="284" t="e">
        <f t="shared" si="4"/>
        <v>#DIV/0!</v>
      </c>
      <c r="AA36" s="284" t="e">
        <f t="shared" si="16"/>
        <v>#DIV/0!</v>
      </c>
      <c r="AB36" s="282" t="e">
        <f t="shared" si="17"/>
        <v>#DIV/0!</v>
      </c>
      <c r="AC36" s="285"/>
      <c r="AD36" s="284"/>
      <c r="AE36" s="282" t="e">
        <f t="shared" si="18"/>
        <v>#DIV/0!</v>
      </c>
      <c r="AF36" s="284"/>
      <c r="AG36" s="284"/>
      <c r="AH36" s="86" t="e">
        <f t="shared" si="19"/>
        <v>#DIV/0!</v>
      </c>
      <c r="AI36" s="284"/>
      <c r="AJ36" s="284"/>
      <c r="AK36" s="282" t="e">
        <f t="shared" si="20"/>
        <v>#DIV/0!</v>
      </c>
      <c r="AL36" s="286" t="e">
        <f t="shared" si="5"/>
        <v>#DIV/0!</v>
      </c>
      <c r="AM36" s="286" t="e">
        <f t="shared" si="21"/>
        <v>#DIV/0!</v>
      </c>
      <c r="AN36" s="282" t="e">
        <f t="shared" si="24"/>
        <v>#DIV/0!</v>
      </c>
      <c r="AO36" s="86"/>
    </row>
    <row r="37" spans="1:41" s="96" customFormat="1" ht="15.75" customHeight="1" x14ac:dyDescent="0.3">
      <c r="A37" s="279"/>
      <c r="B37" s="279"/>
      <c r="C37" s="280"/>
      <c r="D37" s="297" t="s">
        <v>274</v>
      </c>
      <c r="E37" s="281">
        <v>68</v>
      </c>
      <c r="F37" s="281">
        <v>225</v>
      </c>
      <c r="G37" s="282">
        <f t="shared" si="6"/>
        <v>-0.69777777777777783</v>
      </c>
      <c r="H37" s="281">
        <v>0</v>
      </c>
      <c r="I37" s="283">
        <v>5000</v>
      </c>
      <c r="J37" s="282">
        <f t="shared" si="7"/>
        <v>-1</v>
      </c>
      <c r="K37" s="281">
        <f t="shared" si="1"/>
        <v>0</v>
      </c>
      <c r="L37" s="281">
        <f t="shared" si="8"/>
        <v>5425</v>
      </c>
      <c r="M37" s="282">
        <f t="shared" si="9"/>
        <v>-1</v>
      </c>
      <c r="N37" s="283" t="e">
        <f t="shared" si="2"/>
        <v>#DIV/0!</v>
      </c>
      <c r="O37" s="283">
        <f t="shared" si="10"/>
        <v>4.4999999999999998E-2</v>
      </c>
      <c r="P37" s="282" t="e">
        <f t="shared" si="11"/>
        <v>#DIV/0!</v>
      </c>
      <c r="Q37" s="283" t="e">
        <f t="shared" si="3"/>
        <v>#DIV/0!</v>
      </c>
      <c r="R37" s="283">
        <f t="shared" si="12"/>
        <v>4.1474654377880185E-2</v>
      </c>
      <c r="S37" s="282" t="e">
        <f t="shared" si="13"/>
        <v>#DIV/0!</v>
      </c>
      <c r="T37" s="284">
        <v>48</v>
      </c>
      <c r="U37" s="284">
        <v>961</v>
      </c>
      <c r="V37" s="282">
        <f t="shared" si="14"/>
        <v>-0.95005202913631637</v>
      </c>
      <c r="W37" s="284">
        <v>1</v>
      </c>
      <c r="X37" s="284">
        <v>2</v>
      </c>
      <c r="Y37" s="282">
        <f t="shared" si="15"/>
        <v>-0.5</v>
      </c>
      <c r="Z37" s="284">
        <f t="shared" si="4"/>
        <v>68</v>
      </c>
      <c r="AA37" s="284">
        <f t="shared" si="16"/>
        <v>112.5</v>
      </c>
      <c r="AB37" s="282">
        <f t="shared" si="17"/>
        <v>-0.39555555555555555</v>
      </c>
      <c r="AC37" s="285">
        <v>0</v>
      </c>
      <c r="AD37" s="284">
        <v>511597</v>
      </c>
      <c r="AE37" s="282">
        <f t="shared" si="18"/>
        <v>-1</v>
      </c>
      <c r="AF37" s="284">
        <v>0</v>
      </c>
      <c r="AG37" s="284">
        <v>2502</v>
      </c>
      <c r="AH37" s="86">
        <f t="shared" si="19"/>
        <v>-1</v>
      </c>
      <c r="AI37" s="284">
        <v>0</v>
      </c>
      <c r="AJ37" s="284">
        <v>673115</v>
      </c>
      <c r="AK37" s="282">
        <f t="shared" si="20"/>
        <v>-1</v>
      </c>
      <c r="AL37" s="286" t="e">
        <f t="shared" si="5"/>
        <v>#DIV/0!</v>
      </c>
      <c r="AM37" s="286">
        <f t="shared" si="21"/>
        <v>3.717046864205968E-3</v>
      </c>
      <c r="AN37" s="282" t="e">
        <f t="shared" si="24"/>
        <v>#DIV/0!</v>
      </c>
      <c r="AO37" s="86"/>
    </row>
    <row r="38" spans="1:41" s="81" customFormat="1" ht="15.75" customHeight="1" x14ac:dyDescent="0.3">
      <c r="A38" s="49" t="s">
        <v>18</v>
      </c>
      <c r="B38" s="49" t="s">
        <v>36</v>
      </c>
      <c r="C38" s="50">
        <f>C32+7</f>
        <v>42776</v>
      </c>
      <c r="D38" s="50" t="s">
        <v>28</v>
      </c>
      <c r="E38" s="55">
        <f>SUM(E39:E43)</f>
        <v>354</v>
      </c>
      <c r="F38" s="55">
        <f>SUM(F39:F43)</f>
        <v>0</v>
      </c>
      <c r="G38" s="52" t="e">
        <f t="shared" si="6"/>
        <v>#DIV/0!</v>
      </c>
      <c r="H38" s="55">
        <f>SUM(H39:H43)</f>
        <v>0</v>
      </c>
      <c r="I38" s="55">
        <f>SUM(I39:I43)</f>
        <v>0</v>
      </c>
      <c r="J38" s="52" t="e">
        <f t="shared" si="7"/>
        <v>#DIV/0!</v>
      </c>
      <c r="K38" s="51">
        <f t="shared" si="1"/>
        <v>0</v>
      </c>
      <c r="L38" s="51">
        <f t="shared" si="8"/>
        <v>0</v>
      </c>
      <c r="M38" s="52" t="e">
        <f t="shared" si="9"/>
        <v>#DIV/0!</v>
      </c>
      <c r="N38" s="53" t="e">
        <f t="shared" si="2"/>
        <v>#DIV/0!</v>
      </c>
      <c r="O38" s="53" t="e">
        <f t="shared" si="10"/>
        <v>#DIV/0!</v>
      </c>
      <c r="P38" s="52" t="e">
        <f t="shared" si="11"/>
        <v>#DIV/0!</v>
      </c>
      <c r="Q38" s="53" t="e">
        <f t="shared" si="3"/>
        <v>#DIV/0!</v>
      </c>
      <c r="R38" s="53" t="e">
        <f t="shared" si="12"/>
        <v>#DIV/0!</v>
      </c>
      <c r="S38" s="52" t="e">
        <f t="shared" si="13"/>
        <v>#DIV/0!</v>
      </c>
      <c r="T38" s="56">
        <f>SUM(T39:T43)</f>
        <v>43</v>
      </c>
      <c r="U38" s="56">
        <f>SUM(U39:U43)</f>
        <v>31</v>
      </c>
      <c r="V38" s="52">
        <f t="shared" si="14"/>
        <v>0.38709677419354838</v>
      </c>
      <c r="W38" s="56">
        <f>SUM(W39:W43)</f>
        <v>2</v>
      </c>
      <c r="X38" s="56">
        <f>SUM(X39:X43)</f>
        <v>0</v>
      </c>
      <c r="Y38" s="52" t="e">
        <f t="shared" si="15"/>
        <v>#DIV/0!</v>
      </c>
      <c r="Z38" s="51">
        <f t="shared" si="4"/>
        <v>177</v>
      </c>
      <c r="AA38" s="54" t="e">
        <f t="shared" si="16"/>
        <v>#DIV/0!</v>
      </c>
      <c r="AB38" s="52" t="e">
        <f t="shared" si="17"/>
        <v>#DIV/0!</v>
      </c>
      <c r="AC38" s="56">
        <f>SUM(AC39:AC43)</f>
        <v>0</v>
      </c>
      <c r="AD38" s="56">
        <f>SUM(AD39:AD43)</f>
        <v>0</v>
      </c>
      <c r="AE38" s="52" t="e">
        <f t="shared" si="18"/>
        <v>#DIV/0!</v>
      </c>
      <c r="AF38" s="56">
        <f>SUM(AF39:AF43)</f>
        <v>0</v>
      </c>
      <c r="AG38" s="56">
        <f>SUM(AG39:AG43)</f>
        <v>0</v>
      </c>
      <c r="AH38" s="67" t="e">
        <f t="shared" si="19"/>
        <v>#DIV/0!</v>
      </c>
      <c r="AI38" s="56">
        <f>SUM(AI39:AI43)</f>
        <v>0</v>
      </c>
      <c r="AJ38" s="56">
        <f>SUM(AJ39:AJ43)</f>
        <v>0</v>
      </c>
      <c r="AK38" s="52" t="e">
        <f t="shared" si="20"/>
        <v>#DIV/0!</v>
      </c>
      <c r="AL38" s="82" t="e">
        <f t="shared" si="5"/>
        <v>#DIV/0!</v>
      </c>
      <c r="AM38" s="82" t="e">
        <f t="shared" si="21"/>
        <v>#DIV/0!</v>
      </c>
      <c r="AN38" s="52" t="e">
        <f t="shared" si="24"/>
        <v>#DIV/0!</v>
      </c>
      <c r="AO38" s="86"/>
    </row>
    <row r="39" spans="1:41" s="96" customFormat="1" ht="15.75" customHeight="1" x14ac:dyDescent="0.3">
      <c r="A39" s="279"/>
      <c r="B39" s="279"/>
      <c r="C39" s="280"/>
      <c r="D39" s="280"/>
      <c r="E39" s="281"/>
      <c r="F39" s="281"/>
      <c r="G39" s="282" t="e">
        <f t="shared" si="6"/>
        <v>#DIV/0!</v>
      </c>
      <c r="H39" s="281"/>
      <c r="I39" s="283"/>
      <c r="J39" s="282" t="e">
        <f t="shared" si="7"/>
        <v>#DIV/0!</v>
      </c>
      <c r="K39" s="281">
        <f t="shared" si="1"/>
        <v>0</v>
      </c>
      <c r="L39" s="281">
        <f t="shared" si="8"/>
        <v>0</v>
      </c>
      <c r="M39" s="282" t="e">
        <f t="shared" si="9"/>
        <v>#DIV/0!</v>
      </c>
      <c r="N39" s="283" t="e">
        <f t="shared" si="2"/>
        <v>#DIV/0!</v>
      </c>
      <c r="O39" s="283" t="e">
        <f t="shared" si="10"/>
        <v>#DIV/0!</v>
      </c>
      <c r="P39" s="282" t="e">
        <f t="shared" si="11"/>
        <v>#DIV/0!</v>
      </c>
      <c r="Q39" s="283" t="e">
        <f t="shared" si="3"/>
        <v>#DIV/0!</v>
      </c>
      <c r="R39" s="283" t="e">
        <f t="shared" si="12"/>
        <v>#DIV/0!</v>
      </c>
      <c r="S39" s="282" t="e">
        <f t="shared" si="13"/>
        <v>#DIV/0!</v>
      </c>
      <c r="T39" s="284"/>
      <c r="U39" s="284"/>
      <c r="V39" s="282" t="e">
        <f t="shared" si="14"/>
        <v>#DIV/0!</v>
      </c>
      <c r="W39" s="284"/>
      <c r="X39" s="284"/>
      <c r="Y39" s="282" t="e">
        <f t="shared" si="15"/>
        <v>#DIV/0!</v>
      </c>
      <c r="Z39" s="284" t="e">
        <f t="shared" si="4"/>
        <v>#DIV/0!</v>
      </c>
      <c r="AA39" s="284" t="e">
        <f t="shared" si="16"/>
        <v>#DIV/0!</v>
      </c>
      <c r="AB39" s="282" t="e">
        <f t="shared" si="17"/>
        <v>#DIV/0!</v>
      </c>
      <c r="AC39" s="285"/>
      <c r="AD39" s="284"/>
      <c r="AE39" s="282" t="e">
        <f t="shared" si="18"/>
        <v>#DIV/0!</v>
      </c>
      <c r="AF39" s="284"/>
      <c r="AG39" s="284"/>
      <c r="AH39" s="86" t="e">
        <f t="shared" si="19"/>
        <v>#DIV/0!</v>
      </c>
      <c r="AI39" s="284"/>
      <c r="AJ39" s="284"/>
      <c r="AK39" s="282" t="e">
        <f t="shared" si="20"/>
        <v>#DIV/0!</v>
      </c>
      <c r="AL39" s="286" t="e">
        <f t="shared" si="5"/>
        <v>#DIV/0!</v>
      </c>
      <c r="AM39" s="286" t="e">
        <f t="shared" si="21"/>
        <v>#DIV/0!</v>
      </c>
      <c r="AN39" s="282" t="e">
        <f t="shared" si="24"/>
        <v>#DIV/0!</v>
      </c>
      <c r="AO39" s="86"/>
    </row>
    <row r="40" spans="1:41" s="96" customFormat="1" ht="15.75" customHeight="1" x14ac:dyDescent="0.3">
      <c r="A40" s="279"/>
      <c r="B40" s="279"/>
      <c r="C40" s="280"/>
      <c r="D40" s="280"/>
      <c r="E40" s="281"/>
      <c r="F40" s="281"/>
      <c r="G40" s="282" t="e">
        <f t="shared" si="6"/>
        <v>#DIV/0!</v>
      </c>
      <c r="H40" s="281"/>
      <c r="I40" s="283"/>
      <c r="J40" s="282" t="e">
        <f t="shared" si="7"/>
        <v>#DIV/0!</v>
      </c>
      <c r="K40" s="281">
        <f t="shared" si="1"/>
        <v>0</v>
      </c>
      <c r="L40" s="281">
        <f t="shared" si="8"/>
        <v>0</v>
      </c>
      <c r="M40" s="282" t="e">
        <f t="shared" si="9"/>
        <v>#DIV/0!</v>
      </c>
      <c r="N40" s="283" t="e">
        <f t="shared" si="2"/>
        <v>#DIV/0!</v>
      </c>
      <c r="O40" s="283" t="e">
        <f t="shared" si="10"/>
        <v>#DIV/0!</v>
      </c>
      <c r="P40" s="282" t="e">
        <f t="shared" si="11"/>
        <v>#DIV/0!</v>
      </c>
      <c r="Q40" s="283" t="e">
        <f t="shared" si="3"/>
        <v>#DIV/0!</v>
      </c>
      <c r="R40" s="283" t="e">
        <f t="shared" si="12"/>
        <v>#DIV/0!</v>
      </c>
      <c r="S40" s="282" t="e">
        <f t="shared" si="13"/>
        <v>#DIV/0!</v>
      </c>
      <c r="T40" s="284"/>
      <c r="U40" s="284"/>
      <c r="V40" s="282" t="e">
        <f t="shared" si="14"/>
        <v>#DIV/0!</v>
      </c>
      <c r="W40" s="284"/>
      <c r="X40" s="284"/>
      <c r="Y40" s="282" t="e">
        <f t="shared" si="15"/>
        <v>#DIV/0!</v>
      </c>
      <c r="Z40" s="284" t="e">
        <f t="shared" si="4"/>
        <v>#DIV/0!</v>
      </c>
      <c r="AA40" s="284" t="e">
        <f t="shared" si="16"/>
        <v>#DIV/0!</v>
      </c>
      <c r="AB40" s="282" t="e">
        <f t="shared" si="17"/>
        <v>#DIV/0!</v>
      </c>
      <c r="AC40" s="285"/>
      <c r="AD40" s="284"/>
      <c r="AE40" s="282" t="e">
        <f t="shared" si="18"/>
        <v>#DIV/0!</v>
      </c>
      <c r="AF40" s="284"/>
      <c r="AG40" s="284"/>
      <c r="AH40" s="86" t="e">
        <f t="shared" si="19"/>
        <v>#DIV/0!</v>
      </c>
      <c r="AI40" s="284"/>
      <c r="AJ40" s="284"/>
      <c r="AK40" s="282" t="e">
        <f t="shared" si="20"/>
        <v>#DIV/0!</v>
      </c>
      <c r="AL40" s="286" t="e">
        <f t="shared" si="5"/>
        <v>#DIV/0!</v>
      </c>
      <c r="AM40" s="286" t="e">
        <f t="shared" si="21"/>
        <v>#DIV/0!</v>
      </c>
      <c r="AN40" s="282" t="e">
        <f t="shared" si="24"/>
        <v>#DIV/0!</v>
      </c>
      <c r="AO40" s="86"/>
    </row>
    <row r="41" spans="1:41" s="96" customFormat="1" ht="15.75" customHeight="1" x14ac:dyDescent="0.3">
      <c r="A41" s="279"/>
      <c r="B41" s="279"/>
      <c r="C41" s="280"/>
      <c r="D41" s="280"/>
      <c r="E41" s="281"/>
      <c r="F41" s="281"/>
      <c r="G41" s="282" t="e">
        <f t="shared" si="6"/>
        <v>#DIV/0!</v>
      </c>
      <c r="H41" s="281"/>
      <c r="I41" s="283"/>
      <c r="J41" s="282" t="e">
        <f t="shared" si="7"/>
        <v>#DIV/0!</v>
      </c>
      <c r="K41" s="281">
        <f t="shared" si="1"/>
        <v>0</v>
      </c>
      <c r="L41" s="281">
        <f t="shared" si="8"/>
        <v>0</v>
      </c>
      <c r="M41" s="282" t="e">
        <f t="shared" si="9"/>
        <v>#DIV/0!</v>
      </c>
      <c r="N41" s="283" t="e">
        <f t="shared" si="2"/>
        <v>#DIV/0!</v>
      </c>
      <c r="O41" s="283" t="e">
        <f t="shared" si="10"/>
        <v>#DIV/0!</v>
      </c>
      <c r="P41" s="282" t="e">
        <f t="shared" si="11"/>
        <v>#DIV/0!</v>
      </c>
      <c r="Q41" s="283" t="e">
        <f t="shared" si="3"/>
        <v>#DIV/0!</v>
      </c>
      <c r="R41" s="283" t="e">
        <f t="shared" si="12"/>
        <v>#DIV/0!</v>
      </c>
      <c r="S41" s="282" t="e">
        <f t="shared" si="13"/>
        <v>#DIV/0!</v>
      </c>
      <c r="T41" s="284"/>
      <c r="U41" s="284"/>
      <c r="V41" s="282" t="e">
        <f t="shared" si="14"/>
        <v>#DIV/0!</v>
      </c>
      <c r="W41" s="284"/>
      <c r="X41" s="284"/>
      <c r="Y41" s="282" t="e">
        <f t="shared" si="15"/>
        <v>#DIV/0!</v>
      </c>
      <c r="Z41" s="284" t="e">
        <f t="shared" si="4"/>
        <v>#DIV/0!</v>
      </c>
      <c r="AA41" s="284" t="e">
        <f t="shared" si="16"/>
        <v>#DIV/0!</v>
      </c>
      <c r="AB41" s="282" t="e">
        <f t="shared" si="17"/>
        <v>#DIV/0!</v>
      </c>
      <c r="AC41" s="285"/>
      <c r="AD41" s="284"/>
      <c r="AE41" s="282" t="e">
        <f t="shared" si="18"/>
        <v>#DIV/0!</v>
      </c>
      <c r="AF41" s="284"/>
      <c r="AG41" s="284"/>
      <c r="AH41" s="86" t="e">
        <f t="shared" si="19"/>
        <v>#DIV/0!</v>
      </c>
      <c r="AI41" s="284"/>
      <c r="AJ41" s="284"/>
      <c r="AK41" s="282" t="e">
        <f t="shared" si="20"/>
        <v>#DIV/0!</v>
      </c>
      <c r="AL41" s="286" t="e">
        <f t="shared" si="5"/>
        <v>#DIV/0!</v>
      </c>
      <c r="AM41" s="286" t="e">
        <f t="shared" si="21"/>
        <v>#DIV/0!</v>
      </c>
      <c r="AN41" s="282" t="e">
        <f t="shared" si="24"/>
        <v>#DIV/0!</v>
      </c>
      <c r="AO41" s="86"/>
    </row>
    <row r="42" spans="1:41" s="96" customFormat="1" ht="15.75" customHeight="1" x14ac:dyDescent="0.3">
      <c r="A42" s="279"/>
      <c r="B42" s="279"/>
      <c r="C42" s="280"/>
      <c r="D42" s="280"/>
      <c r="E42" s="281"/>
      <c r="F42" s="281"/>
      <c r="G42" s="282" t="e">
        <f t="shared" si="6"/>
        <v>#DIV/0!</v>
      </c>
      <c r="H42" s="281"/>
      <c r="I42" s="283"/>
      <c r="J42" s="282" t="e">
        <f t="shared" si="7"/>
        <v>#DIV/0!</v>
      </c>
      <c r="K42" s="281">
        <f t="shared" si="1"/>
        <v>0</v>
      </c>
      <c r="L42" s="281">
        <f t="shared" si="8"/>
        <v>0</v>
      </c>
      <c r="M42" s="282" t="e">
        <f t="shared" si="9"/>
        <v>#DIV/0!</v>
      </c>
      <c r="N42" s="283" t="e">
        <f t="shared" si="2"/>
        <v>#DIV/0!</v>
      </c>
      <c r="O42" s="283" t="e">
        <f t="shared" si="10"/>
        <v>#DIV/0!</v>
      </c>
      <c r="P42" s="282" t="e">
        <f t="shared" si="11"/>
        <v>#DIV/0!</v>
      </c>
      <c r="Q42" s="283" t="e">
        <f t="shared" si="3"/>
        <v>#DIV/0!</v>
      </c>
      <c r="R42" s="283" t="e">
        <f t="shared" si="12"/>
        <v>#DIV/0!</v>
      </c>
      <c r="S42" s="282" t="e">
        <f t="shared" si="13"/>
        <v>#DIV/0!</v>
      </c>
      <c r="T42" s="284"/>
      <c r="U42" s="284"/>
      <c r="V42" s="282" t="e">
        <f t="shared" si="14"/>
        <v>#DIV/0!</v>
      </c>
      <c r="W42" s="284"/>
      <c r="X42" s="284"/>
      <c r="Y42" s="282" t="e">
        <f t="shared" si="15"/>
        <v>#DIV/0!</v>
      </c>
      <c r="Z42" s="284" t="e">
        <f t="shared" si="4"/>
        <v>#DIV/0!</v>
      </c>
      <c r="AA42" s="284" t="e">
        <f t="shared" si="16"/>
        <v>#DIV/0!</v>
      </c>
      <c r="AB42" s="282" t="e">
        <f t="shared" si="17"/>
        <v>#DIV/0!</v>
      </c>
      <c r="AC42" s="285"/>
      <c r="AD42" s="284"/>
      <c r="AE42" s="282" t="e">
        <f t="shared" si="18"/>
        <v>#DIV/0!</v>
      </c>
      <c r="AF42" s="284"/>
      <c r="AG42" s="284"/>
      <c r="AH42" s="86" t="e">
        <f t="shared" si="19"/>
        <v>#DIV/0!</v>
      </c>
      <c r="AI42" s="284"/>
      <c r="AJ42" s="284"/>
      <c r="AK42" s="282" t="e">
        <f t="shared" si="20"/>
        <v>#DIV/0!</v>
      </c>
      <c r="AL42" s="286" t="e">
        <f t="shared" si="5"/>
        <v>#DIV/0!</v>
      </c>
      <c r="AM42" s="286" t="e">
        <f t="shared" si="21"/>
        <v>#DIV/0!</v>
      </c>
      <c r="AN42" s="282" t="e">
        <f t="shared" si="24"/>
        <v>#DIV/0!</v>
      </c>
      <c r="AO42" s="86"/>
    </row>
    <row r="43" spans="1:41" s="96" customFormat="1" ht="15.75" customHeight="1" x14ac:dyDescent="0.3">
      <c r="A43" s="279"/>
      <c r="B43" s="279"/>
      <c r="C43" s="280"/>
      <c r="D43" s="297" t="s">
        <v>274</v>
      </c>
      <c r="E43" s="281">
        <v>354</v>
      </c>
      <c r="F43" s="281">
        <v>0</v>
      </c>
      <c r="G43" s="282" t="e">
        <f t="shared" si="6"/>
        <v>#DIV/0!</v>
      </c>
      <c r="H43" s="281">
        <v>0</v>
      </c>
      <c r="I43" s="283">
        <v>0</v>
      </c>
      <c r="J43" s="282" t="e">
        <f t="shared" si="7"/>
        <v>#DIV/0!</v>
      </c>
      <c r="K43" s="281">
        <f t="shared" si="1"/>
        <v>0</v>
      </c>
      <c r="L43" s="281">
        <f t="shared" si="8"/>
        <v>0</v>
      </c>
      <c r="M43" s="282" t="e">
        <f t="shared" si="9"/>
        <v>#DIV/0!</v>
      </c>
      <c r="N43" s="283" t="e">
        <f t="shared" si="2"/>
        <v>#DIV/0!</v>
      </c>
      <c r="O43" s="283" t="e">
        <f t="shared" si="10"/>
        <v>#DIV/0!</v>
      </c>
      <c r="P43" s="282" t="e">
        <f t="shared" si="11"/>
        <v>#DIV/0!</v>
      </c>
      <c r="Q43" s="283" t="e">
        <f t="shared" si="3"/>
        <v>#DIV/0!</v>
      </c>
      <c r="R43" s="283" t="e">
        <f t="shared" si="12"/>
        <v>#DIV/0!</v>
      </c>
      <c r="S43" s="282" t="e">
        <f t="shared" si="13"/>
        <v>#DIV/0!</v>
      </c>
      <c r="T43" s="284">
        <v>43</v>
      </c>
      <c r="U43" s="284">
        <v>31</v>
      </c>
      <c r="V43" s="282">
        <f t="shared" si="14"/>
        <v>0.38709677419354838</v>
      </c>
      <c r="W43" s="284">
        <v>2</v>
      </c>
      <c r="X43" s="284">
        <v>0</v>
      </c>
      <c r="Y43" s="282" t="e">
        <f t="shared" si="15"/>
        <v>#DIV/0!</v>
      </c>
      <c r="Z43" s="284">
        <f t="shared" si="4"/>
        <v>177</v>
      </c>
      <c r="AA43" s="284" t="e">
        <f t="shared" si="16"/>
        <v>#DIV/0!</v>
      </c>
      <c r="AB43" s="282" t="e">
        <f t="shared" si="17"/>
        <v>#DIV/0!</v>
      </c>
      <c r="AC43" s="285">
        <v>0</v>
      </c>
      <c r="AD43" s="284">
        <v>0</v>
      </c>
      <c r="AE43" s="282" t="e">
        <f t="shared" si="18"/>
        <v>#DIV/0!</v>
      </c>
      <c r="AF43" s="284">
        <v>0</v>
      </c>
      <c r="AG43" s="284">
        <v>0</v>
      </c>
      <c r="AH43" s="86" t="e">
        <f t="shared" si="19"/>
        <v>#DIV/0!</v>
      </c>
      <c r="AI43" s="284">
        <v>0</v>
      </c>
      <c r="AJ43" s="284">
        <v>0</v>
      </c>
      <c r="AK43" s="282" t="e">
        <f t="shared" si="20"/>
        <v>#DIV/0!</v>
      </c>
      <c r="AL43" s="286" t="e">
        <f t="shared" si="5"/>
        <v>#DIV/0!</v>
      </c>
      <c r="AM43" s="286" t="e">
        <f t="shared" si="21"/>
        <v>#DIV/0!</v>
      </c>
      <c r="AN43" s="282" t="e">
        <f t="shared" si="24"/>
        <v>#DIV/0!</v>
      </c>
      <c r="AO43" s="86"/>
    </row>
    <row r="44" spans="1:41" s="81" customFormat="1" ht="15.75" customHeight="1" x14ac:dyDescent="0.3">
      <c r="A44" s="49" t="s">
        <v>18</v>
      </c>
      <c r="B44" s="49" t="s">
        <v>37</v>
      </c>
      <c r="C44" s="50">
        <f>C38+7</f>
        <v>42783</v>
      </c>
      <c r="D44" s="50" t="s">
        <v>28</v>
      </c>
      <c r="E44" s="55">
        <f>SUM(E45:E49)</f>
        <v>0</v>
      </c>
      <c r="F44" s="55">
        <f>SUM(F45:F49)</f>
        <v>0</v>
      </c>
      <c r="G44" s="52" t="e">
        <f t="shared" si="6"/>
        <v>#DIV/0!</v>
      </c>
      <c r="H44" s="55">
        <f>SUM(H45:H49)</f>
        <v>0</v>
      </c>
      <c r="I44" s="55">
        <f>SUM(I45:I49)</f>
        <v>0</v>
      </c>
      <c r="J44" s="52" t="e">
        <f t="shared" si="7"/>
        <v>#DIV/0!</v>
      </c>
      <c r="K44" s="51">
        <f t="shared" si="1"/>
        <v>0</v>
      </c>
      <c r="L44" s="51">
        <f t="shared" si="8"/>
        <v>0</v>
      </c>
      <c r="M44" s="52" t="e">
        <f t="shared" si="9"/>
        <v>#DIV/0!</v>
      </c>
      <c r="N44" s="53" t="e">
        <f t="shared" si="2"/>
        <v>#DIV/0!</v>
      </c>
      <c r="O44" s="53" t="e">
        <f t="shared" si="10"/>
        <v>#DIV/0!</v>
      </c>
      <c r="P44" s="52" t="e">
        <f t="shared" si="11"/>
        <v>#DIV/0!</v>
      </c>
      <c r="Q44" s="53" t="e">
        <f t="shared" si="3"/>
        <v>#DIV/0!</v>
      </c>
      <c r="R44" s="53" t="e">
        <f t="shared" si="12"/>
        <v>#DIV/0!</v>
      </c>
      <c r="S44" s="52" t="e">
        <f t="shared" si="13"/>
        <v>#DIV/0!</v>
      </c>
      <c r="T44" s="56">
        <f>SUM(T45:T49)</f>
        <v>14</v>
      </c>
      <c r="U44" s="56">
        <f>SUM(U45:U49)</f>
        <v>5</v>
      </c>
      <c r="V44" s="52">
        <f t="shared" si="14"/>
        <v>1.8</v>
      </c>
      <c r="W44" s="56">
        <f>SUM(W45:W49)</f>
        <v>0</v>
      </c>
      <c r="X44" s="56">
        <f>SUM(X45:X49)</f>
        <v>0</v>
      </c>
      <c r="Y44" s="52" t="e">
        <f t="shared" si="15"/>
        <v>#DIV/0!</v>
      </c>
      <c r="Z44" s="51" t="e">
        <f t="shared" si="4"/>
        <v>#DIV/0!</v>
      </c>
      <c r="AA44" s="54" t="e">
        <f t="shared" si="16"/>
        <v>#DIV/0!</v>
      </c>
      <c r="AB44" s="52" t="e">
        <f t="shared" si="17"/>
        <v>#DIV/0!</v>
      </c>
      <c r="AC44" s="56">
        <f>SUM(AC45:AC49)</f>
        <v>0</v>
      </c>
      <c r="AD44" s="56">
        <f>SUM(AD45:AD49)</f>
        <v>0</v>
      </c>
      <c r="AE44" s="52" t="e">
        <f t="shared" si="18"/>
        <v>#DIV/0!</v>
      </c>
      <c r="AF44" s="56">
        <f>SUM(AF45:AF49)</f>
        <v>0</v>
      </c>
      <c r="AG44" s="56">
        <f>SUM(AG45:AG49)</f>
        <v>0</v>
      </c>
      <c r="AH44" s="67" t="e">
        <f t="shared" si="19"/>
        <v>#DIV/0!</v>
      </c>
      <c r="AI44" s="56">
        <f>SUM(AI45:AI49)</f>
        <v>0</v>
      </c>
      <c r="AJ44" s="56">
        <f>SUM(AJ45:AJ49)</f>
        <v>0</v>
      </c>
      <c r="AK44" s="52" t="e">
        <f t="shared" si="20"/>
        <v>#DIV/0!</v>
      </c>
      <c r="AL44" s="82" t="e">
        <f t="shared" si="5"/>
        <v>#DIV/0!</v>
      </c>
      <c r="AM44" s="82" t="e">
        <f t="shared" si="21"/>
        <v>#DIV/0!</v>
      </c>
      <c r="AN44" s="52" t="e">
        <f t="shared" si="24"/>
        <v>#DIV/0!</v>
      </c>
      <c r="AO44" s="68"/>
    </row>
    <row r="45" spans="1:41" s="96" customFormat="1" ht="15.75" customHeight="1" x14ac:dyDescent="0.3">
      <c r="A45" s="279"/>
      <c r="B45" s="279"/>
      <c r="C45" s="280"/>
      <c r="D45" s="280"/>
      <c r="E45" s="281"/>
      <c r="F45" s="281"/>
      <c r="G45" s="282" t="e">
        <f t="shared" si="6"/>
        <v>#DIV/0!</v>
      </c>
      <c r="H45" s="281"/>
      <c r="I45" s="283"/>
      <c r="J45" s="282" t="e">
        <f t="shared" si="7"/>
        <v>#DIV/0!</v>
      </c>
      <c r="K45" s="281">
        <f t="shared" si="1"/>
        <v>0</v>
      </c>
      <c r="L45" s="281">
        <f t="shared" si="8"/>
        <v>0</v>
      </c>
      <c r="M45" s="282" t="e">
        <f t="shared" si="9"/>
        <v>#DIV/0!</v>
      </c>
      <c r="N45" s="283" t="e">
        <f t="shared" si="2"/>
        <v>#DIV/0!</v>
      </c>
      <c r="O45" s="283" t="e">
        <f t="shared" si="10"/>
        <v>#DIV/0!</v>
      </c>
      <c r="P45" s="282" t="e">
        <f t="shared" si="11"/>
        <v>#DIV/0!</v>
      </c>
      <c r="Q45" s="283" t="e">
        <f t="shared" si="3"/>
        <v>#DIV/0!</v>
      </c>
      <c r="R45" s="283" t="e">
        <f t="shared" si="12"/>
        <v>#DIV/0!</v>
      </c>
      <c r="S45" s="282" t="e">
        <f t="shared" si="13"/>
        <v>#DIV/0!</v>
      </c>
      <c r="T45" s="284"/>
      <c r="U45" s="284"/>
      <c r="V45" s="282" t="e">
        <f t="shared" si="14"/>
        <v>#DIV/0!</v>
      </c>
      <c r="W45" s="284"/>
      <c r="X45" s="284"/>
      <c r="Y45" s="282" t="e">
        <f t="shared" si="15"/>
        <v>#DIV/0!</v>
      </c>
      <c r="Z45" s="284" t="e">
        <f t="shared" si="4"/>
        <v>#DIV/0!</v>
      </c>
      <c r="AA45" s="284" t="e">
        <f t="shared" si="16"/>
        <v>#DIV/0!</v>
      </c>
      <c r="AB45" s="282" t="e">
        <f t="shared" si="17"/>
        <v>#DIV/0!</v>
      </c>
      <c r="AC45" s="285"/>
      <c r="AD45" s="284"/>
      <c r="AE45" s="282" t="e">
        <f t="shared" si="18"/>
        <v>#DIV/0!</v>
      </c>
      <c r="AF45" s="284"/>
      <c r="AG45" s="284"/>
      <c r="AH45" s="86" t="e">
        <f t="shared" si="19"/>
        <v>#DIV/0!</v>
      </c>
      <c r="AI45" s="284"/>
      <c r="AJ45" s="284"/>
      <c r="AK45" s="282" t="e">
        <f t="shared" si="20"/>
        <v>#DIV/0!</v>
      </c>
      <c r="AL45" s="286" t="e">
        <f t="shared" si="5"/>
        <v>#DIV/0!</v>
      </c>
      <c r="AM45" s="286" t="e">
        <f t="shared" si="21"/>
        <v>#DIV/0!</v>
      </c>
      <c r="AN45" s="282" t="e">
        <f t="shared" si="24"/>
        <v>#DIV/0!</v>
      </c>
      <c r="AO45" s="86"/>
    </row>
    <row r="46" spans="1:41" s="96" customFormat="1" ht="15.75" customHeight="1" x14ac:dyDescent="0.3">
      <c r="A46" s="279"/>
      <c r="B46" s="279"/>
      <c r="C46" s="280"/>
      <c r="D46" s="280"/>
      <c r="E46" s="281"/>
      <c r="F46" s="281"/>
      <c r="G46" s="282" t="e">
        <f t="shared" si="6"/>
        <v>#DIV/0!</v>
      </c>
      <c r="H46" s="281"/>
      <c r="I46" s="283"/>
      <c r="J46" s="282" t="e">
        <f t="shared" si="7"/>
        <v>#DIV/0!</v>
      </c>
      <c r="K46" s="281">
        <f t="shared" si="1"/>
        <v>0</v>
      </c>
      <c r="L46" s="281">
        <f t="shared" si="8"/>
        <v>0</v>
      </c>
      <c r="M46" s="282" t="e">
        <f t="shared" si="9"/>
        <v>#DIV/0!</v>
      </c>
      <c r="N46" s="283" t="e">
        <f t="shared" si="2"/>
        <v>#DIV/0!</v>
      </c>
      <c r="O46" s="283" t="e">
        <f t="shared" si="10"/>
        <v>#DIV/0!</v>
      </c>
      <c r="P46" s="282" t="e">
        <f t="shared" si="11"/>
        <v>#DIV/0!</v>
      </c>
      <c r="Q46" s="283" t="e">
        <f t="shared" si="3"/>
        <v>#DIV/0!</v>
      </c>
      <c r="R46" s="283" t="e">
        <f t="shared" si="12"/>
        <v>#DIV/0!</v>
      </c>
      <c r="S46" s="282" t="e">
        <f t="shared" si="13"/>
        <v>#DIV/0!</v>
      </c>
      <c r="T46" s="284"/>
      <c r="U46" s="284"/>
      <c r="V46" s="282" t="e">
        <f t="shared" si="14"/>
        <v>#DIV/0!</v>
      </c>
      <c r="W46" s="284"/>
      <c r="X46" s="284"/>
      <c r="Y46" s="282" t="e">
        <f t="shared" si="15"/>
        <v>#DIV/0!</v>
      </c>
      <c r="Z46" s="284" t="e">
        <f t="shared" si="4"/>
        <v>#DIV/0!</v>
      </c>
      <c r="AA46" s="284" t="e">
        <f t="shared" si="16"/>
        <v>#DIV/0!</v>
      </c>
      <c r="AB46" s="282" t="e">
        <f t="shared" si="17"/>
        <v>#DIV/0!</v>
      </c>
      <c r="AC46" s="285"/>
      <c r="AD46" s="284"/>
      <c r="AE46" s="282" t="e">
        <f t="shared" si="18"/>
        <v>#DIV/0!</v>
      </c>
      <c r="AF46" s="284"/>
      <c r="AG46" s="284"/>
      <c r="AH46" s="86" t="e">
        <f t="shared" si="19"/>
        <v>#DIV/0!</v>
      </c>
      <c r="AI46" s="284"/>
      <c r="AJ46" s="284"/>
      <c r="AK46" s="282" t="e">
        <f t="shared" si="20"/>
        <v>#DIV/0!</v>
      </c>
      <c r="AL46" s="286" t="e">
        <f t="shared" si="5"/>
        <v>#DIV/0!</v>
      </c>
      <c r="AM46" s="286" t="e">
        <f t="shared" si="21"/>
        <v>#DIV/0!</v>
      </c>
      <c r="AN46" s="282" t="e">
        <f t="shared" si="24"/>
        <v>#DIV/0!</v>
      </c>
      <c r="AO46" s="86"/>
    </row>
    <row r="47" spans="1:41" s="96" customFormat="1" ht="15.75" customHeight="1" x14ac:dyDescent="0.3">
      <c r="A47" s="279"/>
      <c r="B47" s="279"/>
      <c r="C47" s="280"/>
      <c r="D47" s="280"/>
      <c r="E47" s="281"/>
      <c r="F47" s="281"/>
      <c r="G47" s="282" t="e">
        <f t="shared" si="6"/>
        <v>#DIV/0!</v>
      </c>
      <c r="H47" s="281"/>
      <c r="I47" s="283"/>
      <c r="J47" s="282" t="e">
        <f t="shared" si="7"/>
        <v>#DIV/0!</v>
      </c>
      <c r="K47" s="281">
        <f t="shared" si="1"/>
        <v>0</v>
      </c>
      <c r="L47" s="281">
        <f t="shared" si="8"/>
        <v>0</v>
      </c>
      <c r="M47" s="282" t="e">
        <f t="shared" si="9"/>
        <v>#DIV/0!</v>
      </c>
      <c r="N47" s="283" t="e">
        <f t="shared" si="2"/>
        <v>#DIV/0!</v>
      </c>
      <c r="O47" s="283" t="e">
        <f t="shared" si="10"/>
        <v>#DIV/0!</v>
      </c>
      <c r="P47" s="282" t="e">
        <f t="shared" si="11"/>
        <v>#DIV/0!</v>
      </c>
      <c r="Q47" s="283" t="e">
        <f t="shared" si="3"/>
        <v>#DIV/0!</v>
      </c>
      <c r="R47" s="283" t="e">
        <f t="shared" si="12"/>
        <v>#DIV/0!</v>
      </c>
      <c r="S47" s="282" t="e">
        <f t="shared" si="13"/>
        <v>#DIV/0!</v>
      </c>
      <c r="T47" s="284"/>
      <c r="U47" s="284"/>
      <c r="V47" s="282" t="e">
        <f t="shared" si="14"/>
        <v>#DIV/0!</v>
      </c>
      <c r="W47" s="284"/>
      <c r="X47" s="284"/>
      <c r="Y47" s="282" t="e">
        <f t="shared" si="15"/>
        <v>#DIV/0!</v>
      </c>
      <c r="Z47" s="284" t="e">
        <f t="shared" si="4"/>
        <v>#DIV/0!</v>
      </c>
      <c r="AA47" s="284" t="e">
        <f t="shared" si="16"/>
        <v>#DIV/0!</v>
      </c>
      <c r="AB47" s="282" t="e">
        <f t="shared" si="17"/>
        <v>#DIV/0!</v>
      </c>
      <c r="AC47" s="285"/>
      <c r="AD47" s="284"/>
      <c r="AE47" s="282" t="e">
        <f t="shared" si="18"/>
        <v>#DIV/0!</v>
      </c>
      <c r="AF47" s="284"/>
      <c r="AG47" s="284"/>
      <c r="AH47" s="86" t="e">
        <f t="shared" si="19"/>
        <v>#DIV/0!</v>
      </c>
      <c r="AI47" s="284"/>
      <c r="AJ47" s="284"/>
      <c r="AK47" s="282" t="e">
        <f t="shared" si="20"/>
        <v>#DIV/0!</v>
      </c>
      <c r="AL47" s="286" t="e">
        <f t="shared" si="5"/>
        <v>#DIV/0!</v>
      </c>
      <c r="AM47" s="286" t="e">
        <f t="shared" si="21"/>
        <v>#DIV/0!</v>
      </c>
      <c r="AN47" s="282" t="e">
        <f t="shared" si="24"/>
        <v>#DIV/0!</v>
      </c>
      <c r="AO47" s="86"/>
    </row>
    <row r="48" spans="1:41" s="96" customFormat="1" ht="15.75" customHeight="1" x14ac:dyDescent="0.3">
      <c r="A48" s="279"/>
      <c r="B48" s="279"/>
      <c r="C48" s="280"/>
      <c r="D48" s="280"/>
      <c r="E48" s="281"/>
      <c r="F48" s="281"/>
      <c r="G48" s="282" t="e">
        <f t="shared" si="6"/>
        <v>#DIV/0!</v>
      </c>
      <c r="H48" s="281"/>
      <c r="I48" s="283"/>
      <c r="J48" s="282" t="e">
        <f t="shared" si="7"/>
        <v>#DIV/0!</v>
      </c>
      <c r="K48" s="281">
        <f t="shared" si="1"/>
        <v>0</v>
      </c>
      <c r="L48" s="281">
        <f t="shared" si="8"/>
        <v>0</v>
      </c>
      <c r="M48" s="282" t="e">
        <f t="shared" si="9"/>
        <v>#DIV/0!</v>
      </c>
      <c r="N48" s="283" t="e">
        <f t="shared" si="2"/>
        <v>#DIV/0!</v>
      </c>
      <c r="O48" s="283" t="e">
        <f t="shared" si="10"/>
        <v>#DIV/0!</v>
      </c>
      <c r="P48" s="282" t="e">
        <f t="shared" si="11"/>
        <v>#DIV/0!</v>
      </c>
      <c r="Q48" s="283" t="e">
        <f t="shared" si="3"/>
        <v>#DIV/0!</v>
      </c>
      <c r="R48" s="283" t="e">
        <f t="shared" si="12"/>
        <v>#DIV/0!</v>
      </c>
      <c r="S48" s="282" t="e">
        <f t="shared" si="13"/>
        <v>#DIV/0!</v>
      </c>
      <c r="T48" s="284"/>
      <c r="U48" s="284"/>
      <c r="V48" s="282" t="e">
        <f t="shared" si="14"/>
        <v>#DIV/0!</v>
      </c>
      <c r="W48" s="284"/>
      <c r="X48" s="284"/>
      <c r="Y48" s="282" t="e">
        <f t="shared" si="15"/>
        <v>#DIV/0!</v>
      </c>
      <c r="Z48" s="284" t="e">
        <f t="shared" si="4"/>
        <v>#DIV/0!</v>
      </c>
      <c r="AA48" s="284" t="e">
        <f t="shared" si="16"/>
        <v>#DIV/0!</v>
      </c>
      <c r="AB48" s="282" t="e">
        <f t="shared" si="17"/>
        <v>#DIV/0!</v>
      </c>
      <c r="AC48" s="285"/>
      <c r="AD48" s="284"/>
      <c r="AE48" s="282" t="e">
        <f t="shared" si="18"/>
        <v>#DIV/0!</v>
      </c>
      <c r="AF48" s="284"/>
      <c r="AG48" s="284"/>
      <c r="AH48" s="86" t="e">
        <f t="shared" si="19"/>
        <v>#DIV/0!</v>
      </c>
      <c r="AI48" s="284"/>
      <c r="AJ48" s="284"/>
      <c r="AK48" s="282" t="e">
        <f t="shared" si="20"/>
        <v>#DIV/0!</v>
      </c>
      <c r="AL48" s="286" t="e">
        <f t="shared" si="5"/>
        <v>#DIV/0!</v>
      </c>
      <c r="AM48" s="286" t="e">
        <f t="shared" si="21"/>
        <v>#DIV/0!</v>
      </c>
      <c r="AN48" s="282" t="e">
        <f t="shared" si="24"/>
        <v>#DIV/0!</v>
      </c>
      <c r="AO48" s="86"/>
    </row>
    <row r="49" spans="1:41" s="357" customFormat="1" ht="15.75" customHeight="1" x14ac:dyDescent="0.3">
      <c r="A49" s="347"/>
      <c r="B49" s="347"/>
      <c r="C49" s="348"/>
      <c r="D49" s="349" t="s">
        <v>274</v>
      </c>
      <c r="E49" s="350">
        <v>0</v>
      </c>
      <c r="F49" s="350"/>
      <c r="G49" s="351" t="e">
        <f t="shared" si="6"/>
        <v>#DIV/0!</v>
      </c>
      <c r="H49" s="350">
        <v>0</v>
      </c>
      <c r="I49" s="352"/>
      <c r="J49" s="351" t="e">
        <f t="shared" si="7"/>
        <v>#DIV/0!</v>
      </c>
      <c r="K49" s="350">
        <f t="shared" si="1"/>
        <v>0</v>
      </c>
      <c r="L49" s="350">
        <f t="shared" si="8"/>
        <v>0</v>
      </c>
      <c r="M49" s="351" t="e">
        <f t="shared" si="9"/>
        <v>#DIV/0!</v>
      </c>
      <c r="N49" s="352" t="e">
        <f t="shared" si="2"/>
        <v>#DIV/0!</v>
      </c>
      <c r="O49" s="352" t="e">
        <f t="shared" si="10"/>
        <v>#DIV/0!</v>
      </c>
      <c r="P49" s="351" t="e">
        <f t="shared" si="11"/>
        <v>#DIV/0!</v>
      </c>
      <c r="Q49" s="352" t="e">
        <f t="shared" si="3"/>
        <v>#DIV/0!</v>
      </c>
      <c r="R49" s="352" t="e">
        <f t="shared" si="12"/>
        <v>#DIV/0!</v>
      </c>
      <c r="S49" s="351" t="e">
        <f t="shared" si="13"/>
        <v>#DIV/0!</v>
      </c>
      <c r="T49" s="353">
        <v>14</v>
      </c>
      <c r="U49" s="353">
        <v>5</v>
      </c>
      <c r="V49" s="351">
        <f t="shared" si="14"/>
        <v>1.8</v>
      </c>
      <c r="W49" s="353">
        <v>0</v>
      </c>
      <c r="X49" s="353"/>
      <c r="Y49" s="351" t="e">
        <f t="shared" si="15"/>
        <v>#DIV/0!</v>
      </c>
      <c r="Z49" s="353" t="e">
        <f t="shared" si="4"/>
        <v>#DIV/0!</v>
      </c>
      <c r="AA49" s="353" t="e">
        <f t="shared" si="16"/>
        <v>#DIV/0!</v>
      </c>
      <c r="AB49" s="351" t="e">
        <f t="shared" si="17"/>
        <v>#DIV/0!</v>
      </c>
      <c r="AC49" s="354">
        <v>0</v>
      </c>
      <c r="AD49" s="353"/>
      <c r="AE49" s="351" t="e">
        <f t="shared" si="18"/>
        <v>#DIV/0!</v>
      </c>
      <c r="AF49" s="353">
        <v>0</v>
      </c>
      <c r="AG49" s="353"/>
      <c r="AH49" s="355" t="e">
        <f t="shared" si="19"/>
        <v>#DIV/0!</v>
      </c>
      <c r="AI49" s="353">
        <v>0</v>
      </c>
      <c r="AJ49" s="353"/>
      <c r="AK49" s="351" t="e">
        <f t="shared" si="20"/>
        <v>#DIV/0!</v>
      </c>
      <c r="AL49" s="356" t="e">
        <f t="shared" si="5"/>
        <v>#DIV/0!</v>
      </c>
      <c r="AM49" s="356" t="e">
        <f t="shared" si="21"/>
        <v>#DIV/0!</v>
      </c>
      <c r="AN49" s="351" t="e">
        <f t="shared" si="24"/>
        <v>#DIV/0!</v>
      </c>
      <c r="AO49" s="355"/>
    </row>
    <row r="50" spans="1:41" s="81" customFormat="1" ht="15.75" customHeight="1" x14ac:dyDescent="0.3">
      <c r="A50" s="49" t="s">
        <v>38</v>
      </c>
      <c r="B50" s="49" t="s">
        <v>39</v>
      </c>
      <c r="C50" s="50">
        <f>C44+7</f>
        <v>42790</v>
      </c>
      <c r="D50" s="50" t="s">
        <v>28</v>
      </c>
      <c r="E50" s="55">
        <f>SUM(E51:E55)</f>
        <v>58</v>
      </c>
      <c r="F50" s="55">
        <f>SUM(F51:F55)</f>
        <v>0</v>
      </c>
      <c r="G50" s="52" t="e">
        <f t="shared" si="6"/>
        <v>#DIV/0!</v>
      </c>
      <c r="H50" s="55">
        <f>SUM(H51:H55)</f>
        <v>10782</v>
      </c>
      <c r="I50" s="55">
        <f>SUM(I51:I55)</f>
        <v>0</v>
      </c>
      <c r="J50" s="52" t="e">
        <f t="shared" si="7"/>
        <v>#DIV/0!</v>
      </c>
      <c r="K50" s="51">
        <f t="shared" si="1"/>
        <v>11698.47</v>
      </c>
      <c r="L50" s="51">
        <f t="shared" si="8"/>
        <v>0</v>
      </c>
      <c r="M50" s="52" t="e">
        <f t="shared" si="9"/>
        <v>#DIV/0!</v>
      </c>
      <c r="N50" s="53">
        <f t="shared" si="2"/>
        <v>5.379335930254127E-3</v>
      </c>
      <c r="O50" s="53" t="e">
        <f t="shared" si="10"/>
        <v>#DIV/0!</v>
      </c>
      <c r="P50" s="52" t="e">
        <f t="shared" si="11"/>
        <v>#DIV/0!</v>
      </c>
      <c r="Q50" s="53">
        <f t="shared" si="3"/>
        <v>4.9579132997733897E-3</v>
      </c>
      <c r="R50" s="53" t="e">
        <f t="shared" si="12"/>
        <v>#DIV/0!</v>
      </c>
      <c r="S50" s="52" t="e">
        <f t="shared" si="13"/>
        <v>#DIV/0!</v>
      </c>
      <c r="T50" s="56">
        <f>SUM(T51:T55)</f>
        <v>3910</v>
      </c>
      <c r="U50" s="56">
        <f>SUM(U51:U55)</f>
        <v>5</v>
      </c>
      <c r="V50" s="52">
        <f t="shared" si="14"/>
        <v>781</v>
      </c>
      <c r="W50" s="56">
        <f>SUM(W51:W55)</f>
        <v>2</v>
      </c>
      <c r="X50" s="56">
        <f>SUM(X51:X55)</f>
        <v>0</v>
      </c>
      <c r="Y50" s="52" t="e">
        <f t="shared" si="15"/>
        <v>#DIV/0!</v>
      </c>
      <c r="Z50" s="51">
        <f t="shared" si="4"/>
        <v>29</v>
      </c>
      <c r="AA50" s="54" t="e">
        <f t="shared" si="16"/>
        <v>#DIV/0!</v>
      </c>
      <c r="AB50" s="52" t="e">
        <f t="shared" si="17"/>
        <v>#DIV/0!</v>
      </c>
      <c r="AC50" s="56">
        <f>SUM(AC51:AC55)</f>
        <v>1190702</v>
      </c>
      <c r="AD50" s="56">
        <f>SUM(AD51:AD55)</f>
        <v>0</v>
      </c>
      <c r="AE50" s="52" t="e">
        <f t="shared" si="18"/>
        <v>#DIV/0!</v>
      </c>
      <c r="AF50" s="56">
        <f>SUM(AF51:AF55)</f>
        <v>13265</v>
      </c>
      <c r="AG50" s="56">
        <f>SUM(AG51:AG55)</f>
        <v>0</v>
      </c>
      <c r="AH50" s="67" t="e">
        <f t="shared" si="19"/>
        <v>#DIV/0!</v>
      </c>
      <c r="AI50" s="56">
        <f>SUM(AI51:AI55)</f>
        <v>3264767</v>
      </c>
      <c r="AJ50" s="56">
        <f>SUM(AJ51:AJ55)</f>
        <v>0</v>
      </c>
      <c r="AK50" s="52" t="e">
        <f t="shared" si="20"/>
        <v>#DIV/0!</v>
      </c>
      <c r="AL50" s="82">
        <f t="shared" si="5"/>
        <v>4.0630770894216958E-3</v>
      </c>
      <c r="AM50" s="82" t="e">
        <f t="shared" si="21"/>
        <v>#DIV/0!</v>
      </c>
      <c r="AN50" s="52" t="e">
        <f t="shared" si="24"/>
        <v>#DIV/0!</v>
      </c>
      <c r="AO50" s="68" t="s">
        <v>168</v>
      </c>
    </row>
    <row r="51" spans="1:41" s="96" customFormat="1" ht="15.75" customHeight="1" x14ac:dyDescent="0.3">
      <c r="A51" s="279"/>
      <c r="B51" s="279"/>
      <c r="C51" s="280"/>
      <c r="D51" s="297" t="s">
        <v>275</v>
      </c>
      <c r="E51" s="281">
        <v>0</v>
      </c>
      <c r="F51" s="281"/>
      <c r="G51" s="282" t="e">
        <f t="shared" si="6"/>
        <v>#DIV/0!</v>
      </c>
      <c r="H51" s="281">
        <v>10782</v>
      </c>
      <c r="I51" s="283"/>
      <c r="J51" s="282" t="e">
        <f t="shared" si="7"/>
        <v>#DIV/0!</v>
      </c>
      <c r="K51" s="281">
        <f t="shared" si="1"/>
        <v>11698.47</v>
      </c>
      <c r="L51" s="281">
        <f t="shared" si="8"/>
        <v>0</v>
      </c>
      <c r="M51" s="282" t="e">
        <f t="shared" si="9"/>
        <v>#DIV/0!</v>
      </c>
      <c r="N51" s="283">
        <f t="shared" si="2"/>
        <v>0</v>
      </c>
      <c r="O51" s="283" t="e">
        <f t="shared" si="10"/>
        <v>#DIV/0!</v>
      </c>
      <c r="P51" s="282" t="e">
        <f t="shared" si="11"/>
        <v>#DIV/0!</v>
      </c>
      <c r="Q51" s="283">
        <f t="shared" si="3"/>
        <v>0</v>
      </c>
      <c r="R51" s="283" t="e">
        <f t="shared" si="12"/>
        <v>#DIV/0!</v>
      </c>
      <c r="S51" s="282" t="e">
        <f t="shared" si="13"/>
        <v>#DIV/0!</v>
      </c>
      <c r="T51" s="284">
        <v>3887</v>
      </c>
      <c r="U51" s="284">
        <v>0</v>
      </c>
      <c r="V51" s="282" t="e">
        <f t="shared" si="14"/>
        <v>#DIV/0!</v>
      </c>
      <c r="W51" s="284">
        <v>0</v>
      </c>
      <c r="X51" s="284">
        <v>0</v>
      </c>
      <c r="Y51" s="282" t="e">
        <f t="shared" si="15"/>
        <v>#DIV/0!</v>
      </c>
      <c r="Z51" s="284" t="e">
        <f t="shared" si="4"/>
        <v>#DIV/0!</v>
      </c>
      <c r="AA51" s="284" t="e">
        <f t="shared" si="16"/>
        <v>#DIV/0!</v>
      </c>
      <c r="AB51" s="282" t="e">
        <f t="shared" si="17"/>
        <v>#DIV/0!</v>
      </c>
      <c r="AC51" s="285">
        <v>1190702</v>
      </c>
      <c r="AD51" s="284"/>
      <c r="AE51" s="282" t="e">
        <f t="shared" si="18"/>
        <v>#DIV/0!</v>
      </c>
      <c r="AF51" s="284">
        <v>13265</v>
      </c>
      <c r="AG51" s="284"/>
      <c r="AH51" s="86" t="e">
        <f t="shared" si="19"/>
        <v>#DIV/0!</v>
      </c>
      <c r="AI51" s="284">
        <v>3264767</v>
      </c>
      <c r="AJ51" s="284"/>
      <c r="AK51" s="282" t="e">
        <f t="shared" si="20"/>
        <v>#DIV/0!</v>
      </c>
      <c r="AL51" s="286">
        <f t="shared" si="5"/>
        <v>4.0630770894216958E-3</v>
      </c>
      <c r="AM51" s="286" t="e">
        <f t="shared" si="21"/>
        <v>#DIV/0!</v>
      </c>
      <c r="AN51" s="282" t="e">
        <f t="shared" si="24"/>
        <v>#DIV/0!</v>
      </c>
      <c r="AO51" s="86"/>
    </row>
    <row r="52" spans="1:41" s="96" customFormat="1" ht="15.75" customHeight="1" x14ac:dyDescent="0.3">
      <c r="A52" s="279"/>
      <c r="B52" s="279"/>
      <c r="C52" s="280"/>
      <c r="D52" s="280"/>
      <c r="E52" s="281"/>
      <c r="F52" s="281"/>
      <c r="G52" s="282" t="e">
        <f t="shared" si="6"/>
        <v>#DIV/0!</v>
      </c>
      <c r="H52" s="281"/>
      <c r="I52" s="283"/>
      <c r="J52" s="282" t="e">
        <f t="shared" si="7"/>
        <v>#DIV/0!</v>
      </c>
      <c r="K52" s="281">
        <f t="shared" si="1"/>
        <v>0</v>
      </c>
      <c r="L52" s="281">
        <f t="shared" si="8"/>
        <v>0</v>
      </c>
      <c r="M52" s="282" t="e">
        <f t="shared" si="9"/>
        <v>#DIV/0!</v>
      </c>
      <c r="N52" s="283" t="e">
        <f t="shared" si="2"/>
        <v>#DIV/0!</v>
      </c>
      <c r="O52" s="283" t="e">
        <f t="shared" si="10"/>
        <v>#DIV/0!</v>
      </c>
      <c r="P52" s="282" t="e">
        <f t="shared" si="11"/>
        <v>#DIV/0!</v>
      </c>
      <c r="Q52" s="283" t="e">
        <f t="shared" si="3"/>
        <v>#DIV/0!</v>
      </c>
      <c r="R52" s="283" t="e">
        <f t="shared" si="12"/>
        <v>#DIV/0!</v>
      </c>
      <c r="S52" s="282" t="e">
        <f t="shared" si="13"/>
        <v>#DIV/0!</v>
      </c>
      <c r="T52" s="284"/>
      <c r="U52" s="284"/>
      <c r="V52" s="282" t="e">
        <f t="shared" si="14"/>
        <v>#DIV/0!</v>
      </c>
      <c r="W52" s="284"/>
      <c r="X52" s="284"/>
      <c r="Y52" s="282" t="e">
        <f t="shared" si="15"/>
        <v>#DIV/0!</v>
      </c>
      <c r="Z52" s="284" t="e">
        <f t="shared" si="4"/>
        <v>#DIV/0!</v>
      </c>
      <c r="AA52" s="284" t="e">
        <f t="shared" si="16"/>
        <v>#DIV/0!</v>
      </c>
      <c r="AB52" s="282" t="e">
        <f t="shared" si="17"/>
        <v>#DIV/0!</v>
      </c>
      <c r="AC52" s="285"/>
      <c r="AD52" s="284"/>
      <c r="AE52" s="282" t="e">
        <f t="shared" si="18"/>
        <v>#DIV/0!</v>
      </c>
      <c r="AF52" s="284"/>
      <c r="AG52" s="284"/>
      <c r="AH52" s="86" t="e">
        <f t="shared" si="19"/>
        <v>#DIV/0!</v>
      </c>
      <c r="AI52" s="284"/>
      <c r="AJ52" s="284"/>
      <c r="AK52" s="282" t="e">
        <f t="shared" si="20"/>
        <v>#DIV/0!</v>
      </c>
      <c r="AL52" s="286" t="e">
        <f t="shared" si="5"/>
        <v>#DIV/0!</v>
      </c>
      <c r="AM52" s="286" t="e">
        <f t="shared" si="21"/>
        <v>#DIV/0!</v>
      </c>
      <c r="AN52" s="282" t="e">
        <f t="shared" si="24"/>
        <v>#DIV/0!</v>
      </c>
      <c r="AO52" s="86"/>
    </row>
    <row r="53" spans="1:41" s="96" customFormat="1" ht="15.75" customHeight="1" x14ac:dyDescent="0.3">
      <c r="A53" s="279"/>
      <c r="B53" s="279"/>
      <c r="C53" s="280"/>
      <c r="D53" s="280"/>
      <c r="E53" s="281"/>
      <c r="F53" s="281"/>
      <c r="G53" s="282" t="e">
        <f t="shared" si="6"/>
        <v>#DIV/0!</v>
      </c>
      <c r="H53" s="281"/>
      <c r="I53" s="283"/>
      <c r="J53" s="282" t="e">
        <f t="shared" si="7"/>
        <v>#DIV/0!</v>
      </c>
      <c r="K53" s="281">
        <f t="shared" si="1"/>
        <v>0</v>
      </c>
      <c r="L53" s="281">
        <f t="shared" si="8"/>
        <v>0</v>
      </c>
      <c r="M53" s="282" t="e">
        <f t="shared" si="9"/>
        <v>#DIV/0!</v>
      </c>
      <c r="N53" s="283" t="e">
        <f t="shared" si="2"/>
        <v>#DIV/0!</v>
      </c>
      <c r="O53" s="283" t="e">
        <f t="shared" si="10"/>
        <v>#DIV/0!</v>
      </c>
      <c r="P53" s="282" t="e">
        <f t="shared" si="11"/>
        <v>#DIV/0!</v>
      </c>
      <c r="Q53" s="283" t="e">
        <f t="shared" si="3"/>
        <v>#DIV/0!</v>
      </c>
      <c r="R53" s="283" t="e">
        <f t="shared" si="12"/>
        <v>#DIV/0!</v>
      </c>
      <c r="S53" s="282" t="e">
        <f t="shared" si="13"/>
        <v>#DIV/0!</v>
      </c>
      <c r="T53" s="284"/>
      <c r="U53" s="284"/>
      <c r="V53" s="282" t="e">
        <f t="shared" si="14"/>
        <v>#DIV/0!</v>
      </c>
      <c r="W53" s="284"/>
      <c r="X53" s="284"/>
      <c r="Y53" s="282" t="e">
        <f t="shared" si="15"/>
        <v>#DIV/0!</v>
      </c>
      <c r="Z53" s="284" t="e">
        <f t="shared" si="4"/>
        <v>#DIV/0!</v>
      </c>
      <c r="AA53" s="284" t="e">
        <f t="shared" si="16"/>
        <v>#DIV/0!</v>
      </c>
      <c r="AB53" s="282" t="e">
        <f t="shared" si="17"/>
        <v>#DIV/0!</v>
      </c>
      <c r="AC53" s="285"/>
      <c r="AD53" s="284"/>
      <c r="AE53" s="282" t="e">
        <f t="shared" si="18"/>
        <v>#DIV/0!</v>
      </c>
      <c r="AF53" s="284"/>
      <c r="AG53" s="284"/>
      <c r="AH53" s="86" t="e">
        <f t="shared" si="19"/>
        <v>#DIV/0!</v>
      </c>
      <c r="AI53" s="284"/>
      <c r="AJ53" s="284"/>
      <c r="AK53" s="282" t="e">
        <f t="shared" si="20"/>
        <v>#DIV/0!</v>
      </c>
      <c r="AL53" s="286" t="e">
        <f t="shared" si="5"/>
        <v>#DIV/0!</v>
      </c>
      <c r="AM53" s="286" t="e">
        <f t="shared" si="21"/>
        <v>#DIV/0!</v>
      </c>
      <c r="AN53" s="282" t="e">
        <f t="shared" ref="AN53:AN72" si="25">(AL53-AM53)/AM53</f>
        <v>#DIV/0!</v>
      </c>
      <c r="AO53" s="86"/>
    </row>
    <row r="54" spans="1:41" s="96" customFormat="1" ht="15.75" customHeight="1" x14ac:dyDescent="0.3">
      <c r="A54" s="279"/>
      <c r="B54" s="279"/>
      <c r="C54" s="280"/>
      <c r="D54" s="280"/>
      <c r="E54" s="281"/>
      <c r="F54" s="281"/>
      <c r="G54" s="282" t="e">
        <f t="shared" si="6"/>
        <v>#DIV/0!</v>
      </c>
      <c r="H54" s="281"/>
      <c r="I54" s="283"/>
      <c r="J54" s="282" t="e">
        <f t="shared" si="7"/>
        <v>#DIV/0!</v>
      </c>
      <c r="K54" s="281">
        <f t="shared" si="1"/>
        <v>0</v>
      </c>
      <c r="L54" s="281">
        <f t="shared" si="8"/>
        <v>0</v>
      </c>
      <c r="M54" s="282" t="e">
        <f t="shared" si="9"/>
        <v>#DIV/0!</v>
      </c>
      <c r="N54" s="283" t="e">
        <f t="shared" si="2"/>
        <v>#DIV/0!</v>
      </c>
      <c r="O54" s="283" t="e">
        <f t="shared" si="10"/>
        <v>#DIV/0!</v>
      </c>
      <c r="P54" s="282" t="e">
        <f t="shared" si="11"/>
        <v>#DIV/0!</v>
      </c>
      <c r="Q54" s="283" t="e">
        <f t="shared" si="3"/>
        <v>#DIV/0!</v>
      </c>
      <c r="R54" s="283" t="e">
        <f t="shared" si="12"/>
        <v>#DIV/0!</v>
      </c>
      <c r="S54" s="282" t="e">
        <f t="shared" si="13"/>
        <v>#DIV/0!</v>
      </c>
      <c r="T54" s="284"/>
      <c r="U54" s="284"/>
      <c r="V54" s="282" t="e">
        <f t="shared" si="14"/>
        <v>#DIV/0!</v>
      </c>
      <c r="W54" s="284"/>
      <c r="X54" s="284"/>
      <c r="Y54" s="282" t="e">
        <f t="shared" si="15"/>
        <v>#DIV/0!</v>
      </c>
      <c r="Z54" s="284" t="e">
        <f t="shared" si="4"/>
        <v>#DIV/0!</v>
      </c>
      <c r="AA54" s="284" t="e">
        <f t="shared" si="16"/>
        <v>#DIV/0!</v>
      </c>
      <c r="AB54" s="282" t="e">
        <f t="shared" si="17"/>
        <v>#DIV/0!</v>
      </c>
      <c r="AC54" s="285"/>
      <c r="AD54" s="284"/>
      <c r="AE54" s="282" t="e">
        <f t="shared" si="18"/>
        <v>#DIV/0!</v>
      </c>
      <c r="AF54" s="284"/>
      <c r="AG54" s="284"/>
      <c r="AH54" s="86" t="e">
        <f t="shared" si="19"/>
        <v>#DIV/0!</v>
      </c>
      <c r="AI54" s="284"/>
      <c r="AJ54" s="284"/>
      <c r="AK54" s="282" t="e">
        <f t="shared" si="20"/>
        <v>#DIV/0!</v>
      </c>
      <c r="AL54" s="286" t="e">
        <f t="shared" si="5"/>
        <v>#DIV/0!</v>
      </c>
      <c r="AM54" s="286" t="e">
        <f t="shared" si="21"/>
        <v>#DIV/0!</v>
      </c>
      <c r="AN54" s="282" t="e">
        <f t="shared" si="25"/>
        <v>#DIV/0!</v>
      </c>
      <c r="AO54" s="86"/>
    </row>
    <row r="55" spans="1:41" s="96" customFormat="1" ht="15.75" customHeight="1" x14ac:dyDescent="0.3">
      <c r="A55" s="279"/>
      <c r="B55" s="279"/>
      <c r="C55" s="280"/>
      <c r="D55" s="297" t="s">
        <v>274</v>
      </c>
      <c r="E55" s="281">
        <v>58</v>
      </c>
      <c r="F55" s="281"/>
      <c r="G55" s="282" t="e">
        <f t="shared" si="6"/>
        <v>#DIV/0!</v>
      </c>
      <c r="H55" s="281">
        <v>0</v>
      </c>
      <c r="I55" s="283"/>
      <c r="J55" s="282" t="e">
        <f t="shared" si="7"/>
        <v>#DIV/0!</v>
      </c>
      <c r="K55" s="281">
        <f t="shared" si="1"/>
        <v>0</v>
      </c>
      <c r="L55" s="281">
        <f t="shared" si="8"/>
        <v>0</v>
      </c>
      <c r="M55" s="282" t="e">
        <f t="shared" si="9"/>
        <v>#DIV/0!</v>
      </c>
      <c r="N55" s="283" t="e">
        <f t="shared" si="2"/>
        <v>#DIV/0!</v>
      </c>
      <c r="O55" s="283" t="e">
        <f t="shared" si="10"/>
        <v>#DIV/0!</v>
      </c>
      <c r="P55" s="282" t="e">
        <f t="shared" si="11"/>
        <v>#DIV/0!</v>
      </c>
      <c r="Q55" s="283" t="e">
        <f t="shared" si="3"/>
        <v>#DIV/0!</v>
      </c>
      <c r="R55" s="283" t="e">
        <f t="shared" si="12"/>
        <v>#DIV/0!</v>
      </c>
      <c r="S55" s="282" t="e">
        <f t="shared" si="13"/>
        <v>#DIV/0!</v>
      </c>
      <c r="T55" s="284">
        <v>23</v>
      </c>
      <c r="U55" s="284">
        <v>5</v>
      </c>
      <c r="V55" s="282">
        <f t="shared" si="14"/>
        <v>3.6</v>
      </c>
      <c r="W55" s="284">
        <v>2</v>
      </c>
      <c r="X55" s="284">
        <v>0</v>
      </c>
      <c r="Y55" s="282" t="e">
        <f t="shared" si="15"/>
        <v>#DIV/0!</v>
      </c>
      <c r="Z55" s="284">
        <f t="shared" si="4"/>
        <v>29</v>
      </c>
      <c r="AA55" s="284" t="e">
        <f t="shared" si="16"/>
        <v>#DIV/0!</v>
      </c>
      <c r="AB55" s="282" t="e">
        <f t="shared" si="17"/>
        <v>#DIV/0!</v>
      </c>
      <c r="AC55" s="285">
        <v>0</v>
      </c>
      <c r="AD55" s="284"/>
      <c r="AE55" s="282" t="e">
        <f t="shared" si="18"/>
        <v>#DIV/0!</v>
      </c>
      <c r="AF55" s="284">
        <v>0</v>
      </c>
      <c r="AG55" s="284"/>
      <c r="AH55" s="86" t="e">
        <f t="shared" si="19"/>
        <v>#DIV/0!</v>
      </c>
      <c r="AI55" s="284">
        <v>0</v>
      </c>
      <c r="AJ55" s="284"/>
      <c r="AK55" s="282" t="e">
        <f t="shared" si="20"/>
        <v>#DIV/0!</v>
      </c>
      <c r="AL55" s="286" t="e">
        <f t="shared" si="5"/>
        <v>#DIV/0!</v>
      </c>
      <c r="AM55" s="286" t="e">
        <f t="shared" si="21"/>
        <v>#DIV/0!</v>
      </c>
      <c r="AN55" s="282" t="e">
        <f t="shared" si="25"/>
        <v>#DIV/0!</v>
      </c>
      <c r="AO55" s="86"/>
    </row>
    <row r="56" spans="1:41" s="81" customFormat="1" ht="15.75" customHeight="1" x14ac:dyDescent="0.3">
      <c r="A56" s="49" t="s">
        <v>38</v>
      </c>
      <c r="B56" s="49" t="s">
        <v>40</v>
      </c>
      <c r="C56" s="50">
        <v>42797</v>
      </c>
      <c r="D56" s="50" t="s">
        <v>28</v>
      </c>
      <c r="E56" s="55">
        <f>SUM(E57:E61)</f>
        <v>265</v>
      </c>
      <c r="F56" s="55">
        <f>SUM(F57:F61)</f>
        <v>0</v>
      </c>
      <c r="G56" s="52" t="e">
        <f t="shared" si="6"/>
        <v>#DIV/0!</v>
      </c>
      <c r="H56" s="55">
        <f>SUM(H57:H61)</f>
        <v>10684</v>
      </c>
      <c r="I56" s="55">
        <f>SUM(I57:I61)</f>
        <v>0</v>
      </c>
      <c r="J56" s="52" t="e">
        <f t="shared" si="7"/>
        <v>#DIV/0!</v>
      </c>
      <c r="K56" s="51">
        <f t="shared" si="1"/>
        <v>11592.14</v>
      </c>
      <c r="L56" s="51">
        <f t="shared" si="8"/>
        <v>0</v>
      </c>
      <c r="M56" s="52" t="e">
        <f t="shared" si="9"/>
        <v>#DIV/0!</v>
      </c>
      <c r="N56" s="53">
        <f t="shared" si="2"/>
        <v>2.4803444402845376E-2</v>
      </c>
      <c r="O56" s="53" t="e">
        <f t="shared" si="10"/>
        <v>#DIV/0!</v>
      </c>
      <c r="P56" s="52" t="e">
        <f t="shared" si="11"/>
        <v>#DIV/0!</v>
      </c>
      <c r="Q56" s="53">
        <f t="shared" si="3"/>
        <v>2.2860317421977305E-2</v>
      </c>
      <c r="R56" s="53" t="e">
        <f t="shared" si="12"/>
        <v>#DIV/0!</v>
      </c>
      <c r="S56" s="52" t="e">
        <f t="shared" si="13"/>
        <v>#DIV/0!</v>
      </c>
      <c r="T56" s="56">
        <f>SUM(T57:T61)</f>
        <v>5877</v>
      </c>
      <c r="U56" s="56">
        <f>SUM(U57:U61)</f>
        <v>1</v>
      </c>
      <c r="V56" s="52">
        <f t="shared" si="14"/>
        <v>5876</v>
      </c>
      <c r="W56" s="56">
        <f>SUM(W57:W61)</f>
        <v>3</v>
      </c>
      <c r="X56" s="56">
        <f>SUM(X57:X61)</f>
        <v>0</v>
      </c>
      <c r="Y56" s="52" t="e">
        <f t="shared" si="15"/>
        <v>#DIV/0!</v>
      </c>
      <c r="Z56" s="51">
        <f t="shared" si="4"/>
        <v>88.333333333333329</v>
      </c>
      <c r="AA56" s="54" t="e">
        <f t="shared" si="16"/>
        <v>#DIV/0!</v>
      </c>
      <c r="AB56" s="52" t="e">
        <f t="shared" si="17"/>
        <v>#DIV/0!</v>
      </c>
      <c r="AC56" s="56">
        <f>SUM(AC57:AC61)</f>
        <v>1195477</v>
      </c>
      <c r="AD56" s="56">
        <f>SUM(AD57:AD61)</f>
        <v>0</v>
      </c>
      <c r="AE56" s="52" t="e">
        <f t="shared" si="18"/>
        <v>#DIV/0!</v>
      </c>
      <c r="AF56" s="56">
        <f>SUM(AF57:AF61)</f>
        <v>12395</v>
      </c>
      <c r="AG56" s="56">
        <f>SUM(AG57:AG61)</f>
        <v>0</v>
      </c>
      <c r="AH56" s="67" t="e">
        <f t="shared" si="19"/>
        <v>#DIV/0!</v>
      </c>
      <c r="AI56" s="56">
        <f>SUM(AI57:AI61)</f>
        <v>3377293</v>
      </c>
      <c r="AJ56" s="56">
        <f>SUM(AJ57:AJ61)</f>
        <v>0</v>
      </c>
      <c r="AK56" s="52" t="e">
        <f t="shared" si="20"/>
        <v>#DIV/0!</v>
      </c>
      <c r="AL56" s="82">
        <f t="shared" si="5"/>
        <v>3.6700991000780804E-3</v>
      </c>
      <c r="AM56" s="82" t="e">
        <f t="shared" si="21"/>
        <v>#DIV/0!</v>
      </c>
      <c r="AN56" s="52" t="e">
        <f t="shared" si="25"/>
        <v>#DIV/0!</v>
      </c>
      <c r="AO56" s="68" t="s">
        <v>168</v>
      </c>
    </row>
    <row r="57" spans="1:41" s="96" customFormat="1" ht="15.75" customHeight="1" x14ac:dyDescent="0.3">
      <c r="A57" s="279"/>
      <c r="B57" s="279"/>
      <c r="C57" s="280"/>
      <c r="D57" s="297" t="s">
        <v>275</v>
      </c>
      <c r="E57" s="281">
        <v>265</v>
      </c>
      <c r="F57" s="281">
        <v>0</v>
      </c>
      <c r="G57" s="282" t="e">
        <f t="shared" si="6"/>
        <v>#DIV/0!</v>
      </c>
      <c r="H57" s="281">
        <v>10684</v>
      </c>
      <c r="I57" s="283"/>
      <c r="J57" s="282" t="e">
        <f t="shared" si="7"/>
        <v>#DIV/0!</v>
      </c>
      <c r="K57" s="281">
        <f t="shared" si="1"/>
        <v>11592.14</v>
      </c>
      <c r="L57" s="281">
        <f t="shared" si="8"/>
        <v>0</v>
      </c>
      <c r="M57" s="282" t="e">
        <f t="shared" si="9"/>
        <v>#DIV/0!</v>
      </c>
      <c r="N57" s="283">
        <f t="shared" si="2"/>
        <v>2.4803444402845376E-2</v>
      </c>
      <c r="O57" s="283" t="e">
        <f t="shared" si="10"/>
        <v>#DIV/0!</v>
      </c>
      <c r="P57" s="282" t="e">
        <f t="shared" si="11"/>
        <v>#DIV/0!</v>
      </c>
      <c r="Q57" s="283">
        <f t="shared" si="3"/>
        <v>2.2860317421977305E-2</v>
      </c>
      <c r="R57" s="283" t="e">
        <f t="shared" si="12"/>
        <v>#DIV/0!</v>
      </c>
      <c r="S57" s="282" t="e">
        <f t="shared" si="13"/>
        <v>#DIV/0!</v>
      </c>
      <c r="T57" s="284">
        <v>5815</v>
      </c>
      <c r="U57" s="284"/>
      <c r="V57" s="282" t="e">
        <f t="shared" si="14"/>
        <v>#DIV/0!</v>
      </c>
      <c r="W57" s="284">
        <v>3</v>
      </c>
      <c r="X57" s="284"/>
      <c r="Y57" s="282" t="e">
        <f t="shared" si="15"/>
        <v>#DIV/0!</v>
      </c>
      <c r="Z57" s="284">
        <f t="shared" si="4"/>
        <v>88.333333333333329</v>
      </c>
      <c r="AA57" s="284" t="e">
        <f t="shared" si="16"/>
        <v>#DIV/0!</v>
      </c>
      <c r="AB57" s="282" t="e">
        <f t="shared" si="17"/>
        <v>#DIV/0!</v>
      </c>
      <c r="AC57" s="285">
        <v>1195477</v>
      </c>
      <c r="AD57" s="284"/>
      <c r="AE57" s="282" t="e">
        <f t="shared" si="18"/>
        <v>#DIV/0!</v>
      </c>
      <c r="AF57" s="284">
        <v>12395</v>
      </c>
      <c r="AG57" s="284"/>
      <c r="AH57" s="86" t="e">
        <f t="shared" si="19"/>
        <v>#DIV/0!</v>
      </c>
      <c r="AI57" s="284">
        <v>3377293</v>
      </c>
      <c r="AJ57" s="284"/>
      <c r="AK57" s="282" t="e">
        <f t="shared" si="20"/>
        <v>#DIV/0!</v>
      </c>
      <c r="AL57" s="286">
        <f t="shared" si="5"/>
        <v>3.6700991000780804E-3</v>
      </c>
      <c r="AM57" s="286" t="e">
        <f t="shared" si="21"/>
        <v>#DIV/0!</v>
      </c>
      <c r="AN57" s="282" t="e">
        <f t="shared" si="25"/>
        <v>#DIV/0!</v>
      </c>
      <c r="AO57" s="86"/>
    </row>
    <row r="58" spans="1:41" s="96" customFormat="1" ht="15.75" customHeight="1" x14ac:dyDescent="0.3">
      <c r="A58" s="279"/>
      <c r="B58" s="279"/>
      <c r="C58" s="280"/>
      <c r="D58" s="280"/>
      <c r="E58" s="281"/>
      <c r="F58" s="281"/>
      <c r="G58" s="282" t="e">
        <f t="shared" si="6"/>
        <v>#DIV/0!</v>
      </c>
      <c r="H58" s="281"/>
      <c r="I58" s="283"/>
      <c r="J58" s="282" t="e">
        <f t="shared" si="7"/>
        <v>#DIV/0!</v>
      </c>
      <c r="K58" s="281">
        <f t="shared" si="1"/>
        <v>0</v>
      </c>
      <c r="L58" s="281">
        <f t="shared" si="8"/>
        <v>0</v>
      </c>
      <c r="M58" s="282" t="e">
        <f t="shared" si="9"/>
        <v>#DIV/0!</v>
      </c>
      <c r="N58" s="283" t="e">
        <f t="shared" si="2"/>
        <v>#DIV/0!</v>
      </c>
      <c r="O58" s="283" t="e">
        <f t="shared" si="10"/>
        <v>#DIV/0!</v>
      </c>
      <c r="P58" s="282" t="e">
        <f t="shared" si="11"/>
        <v>#DIV/0!</v>
      </c>
      <c r="Q58" s="283" t="e">
        <f t="shared" si="3"/>
        <v>#DIV/0!</v>
      </c>
      <c r="R58" s="283" t="e">
        <f t="shared" si="12"/>
        <v>#DIV/0!</v>
      </c>
      <c r="S58" s="282" t="e">
        <f t="shared" si="13"/>
        <v>#DIV/0!</v>
      </c>
      <c r="T58" s="284"/>
      <c r="U58" s="284"/>
      <c r="V58" s="282" t="e">
        <f t="shared" si="14"/>
        <v>#DIV/0!</v>
      </c>
      <c r="W58" s="284"/>
      <c r="X58" s="284"/>
      <c r="Y58" s="282" t="e">
        <f t="shared" si="15"/>
        <v>#DIV/0!</v>
      </c>
      <c r="Z58" s="284" t="e">
        <f t="shared" si="4"/>
        <v>#DIV/0!</v>
      </c>
      <c r="AA58" s="284" t="e">
        <f t="shared" si="16"/>
        <v>#DIV/0!</v>
      </c>
      <c r="AB58" s="282" t="e">
        <f t="shared" si="17"/>
        <v>#DIV/0!</v>
      </c>
      <c r="AC58" s="285"/>
      <c r="AD58" s="284"/>
      <c r="AE58" s="282" t="e">
        <f t="shared" si="18"/>
        <v>#DIV/0!</v>
      </c>
      <c r="AF58" s="284"/>
      <c r="AG58" s="284"/>
      <c r="AH58" s="86" t="e">
        <f t="shared" si="19"/>
        <v>#DIV/0!</v>
      </c>
      <c r="AI58" s="284"/>
      <c r="AJ58" s="284"/>
      <c r="AK58" s="282" t="e">
        <f t="shared" si="20"/>
        <v>#DIV/0!</v>
      </c>
      <c r="AL58" s="286" t="e">
        <f t="shared" si="5"/>
        <v>#DIV/0!</v>
      </c>
      <c r="AM58" s="286" t="e">
        <f t="shared" si="21"/>
        <v>#DIV/0!</v>
      </c>
      <c r="AN58" s="282" t="e">
        <f t="shared" si="25"/>
        <v>#DIV/0!</v>
      </c>
      <c r="AO58" s="86"/>
    </row>
    <row r="59" spans="1:41" s="96" customFormat="1" ht="15.75" customHeight="1" x14ac:dyDescent="0.3">
      <c r="A59" s="279"/>
      <c r="B59" s="279"/>
      <c r="C59" s="280"/>
      <c r="D59" s="280"/>
      <c r="E59" s="281"/>
      <c r="F59" s="281"/>
      <c r="G59" s="282" t="e">
        <f t="shared" si="6"/>
        <v>#DIV/0!</v>
      </c>
      <c r="H59" s="281"/>
      <c r="I59" s="283"/>
      <c r="J59" s="282" t="e">
        <f t="shared" si="7"/>
        <v>#DIV/0!</v>
      </c>
      <c r="K59" s="281">
        <f t="shared" si="1"/>
        <v>0</v>
      </c>
      <c r="L59" s="281">
        <f t="shared" si="8"/>
        <v>0</v>
      </c>
      <c r="M59" s="282" t="e">
        <f t="shared" si="9"/>
        <v>#DIV/0!</v>
      </c>
      <c r="N59" s="283" t="e">
        <f t="shared" si="2"/>
        <v>#DIV/0!</v>
      </c>
      <c r="O59" s="283" t="e">
        <f t="shared" si="10"/>
        <v>#DIV/0!</v>
      </c>
      <c r="P59" s="282" t="e">
        <f t="shared" si="11"/>
        <v>#DIV/0!</v>
      </c>
      <c r="Q59" s="283" t="e">
        <f t="shared" si="3"/>
        <v>#DIV/0!</v>
      </c>
      <c r="R59" s="283" t="e">
        <f t="shared" si="12"/>
        <v>#DIV/0!</v>
      </c>
      <c r="S59" s="282" t="e">
        <f t="shared" si="13"/>
        <v>#DIV/0!</v>
      </c>
      <c r="T59" s="284"/>
      <c r="U59" s="284"/>
      <c r="V59" s="282" t="e">
        <f t="shared" si="14"/>
        <v>#DIV/0!</v>
      </c>
      <c r="W59" s="284"/>
      <c r="X59" s="284"/>
      <c r="Y59" s="282" t="e">
        <f t="shared" si="15"/>
        <v>#DIV/0!</v>
      </c>
      <c r="Z59" s="284" t="e">
        <f t="shared" si="4"/>
        <v>#DIV/0!</v>
      </c>
      <c r="AA59" s="284" t="e">
        <f t="shared" si="16"/>
        <v>#DIV/0!</v>
      </c>
      <c r="AB59" s="282" t="e">
        <f t="shared" si="17"/>
        <v>#DIV/0!</v>
      </c>
      <c r="AC59" s="285"/>
      <c r="AD59" s="284"/>
      <c r="AE59" s="282" t="e">
        <f t="shared" si="18"/>
        <v>#DIV/0!</v>
      </c>
      <c r="AF59" s="284"/>
      <c r="AG59" s="284"/>
      <c r="AH59" s="86" t="e">
        <f t="shared" si="19"/>
        <v>#DIV/0!</v>
      </c>
      <c r="AI59" s="284"/>
      <c r="AJ59" s="284"/>
      <c r="AK59" s="282" t="e">
        <f t="shared" si="20"/>
        <v>#DIV/0!</v>
      </c>
      <c r="AL59" s="286" t="e">
        <f t="shared" si="5"/>
        <v>#DIV/0!</v>
      </c>
      <c r="AM59" s="286" t="e">
        <f t="shared" si="21"/>
        <v>#DIV/0!</v>
      </c>
      <c r="AN59" s="282" t="e">
        <f t="shared" si="25"/>
        <v>#DIV/0!</v>
      </c>
      <c r="AO59" s="86"/>
    </row>
    <row r="60" spans="1:41" s="96" customFormat="1" ht="15.75" customHeight="1" x14ac:dyDescent="0.3">
      <c r="A60" s="279"/>
      <c r="B60" s="279"/>
      <c r="C60" s="280"/>
      <c r="D60" s="280"/>
      <c r="E60" s="281"/>
      <c r="F60" s="281"/>
      <c r="G60" s="282" t="e">
        <f t="shared" si="6"/>
        <v>#DIV/0!</v>
      </c>
      <c r="H60" s="281"/>
      <c r="I60" s="283"/>
      <c r="J60" s="282" t="e">
        <f t="shared" si="7"/>
        <v>#DIV/0!</v>
      </c>
      <c r="K60" s="281">
        <f t="shared" si="1"/>
        <v>0</v>
      </c>
      <c r="L60" s="281">
        <f t="shared" si="8"/>
        <v>0</v>
      </c>
      <c r="M60" s="282" t="e">
        <f t="shared" si="9"/>
        <v>#DIV/0!</v>
      </c>
      <c r="N60" s="283" t="e">
        <f t="shared" si="2"/>
        <v>#DIV/0!</v>
      </c>
      <c r="O60" s="283" t="e">
        <f t="shared" si="10"/>
        <v>#DIV/0!</v>
      </c>
      <c r="P60" s="282" t="e">
        <f t="shared" si="11"/>
        <v>#DIV/0!</v>
      </c>
      <c r="Q60" s="283" t="e">
        <f t="shared" si="3"/>
        <v>#DIV/0!</v>
      </c>
      <c r="R60" s="283" t="e">
        <f t="shared" si="12"/>
        <v>#DIV/0!</v>
      </c>
      <c r="S60" s="282" t="e">
        <f t="shared" si="13"/>
        <v>#DIV/0!</v>
      </c>
      <c r="T60" s="284"/>
      <c r="U60" s="284"/>
      <c r="V60" s="282" t="e">
        <f t="shared" si="14"/>
        <v>#DIV/0!</v>
      </c>
      <c r="W60" s="284"/>
      <c r="X60" s="284"/>
      <c r="Y60" s="282" t="e">
        <f t="shared" si="15"/>
        <v>#DIV/0!</v>
      </c>
      <c r="Z60" s="284" t="e">
        <f t="shared" si="4"/>
        <v>#DIV/0!</v>
      </c>
      <c r="AA60" s="284" t="e">
        <f t="shared" si="16"/>
        <v>#DIV/0!</v>
      </c>
      <c r="AB60" s="282" t="e">
        <f t="shared" si="17"/>
        <v>#DIV/0!</v>
      </c>
      <c r="AC60" s="285"/>
      <c r="AD60" s="284"/>
      <c r="AE60" s="282" t="e">
        <f t="shared" si="18"/>
        <v>#DIV/0!</v>
      </c>
      <c r="AF60" s="284"/>
      <c r="AG60" s="284"/>
      <c r="AH60" s="86" t="e">
        <f t="shared" si="19"/>
        <v>#DIV/0!</v>
      </c>
      <c r="AI60" s="284"/>
      <c r="AJ60" s="284"/>
      <c r="AK60" s="282" t="e">
        <f t="shared" si="20"/>
        <v>#DIV/0!</v>
      </c>
      <c r="AL60" s="286" t="e">
        <f t="shared" si="5"/>
        <v>#DIV/0!</v>
      </c>
      <c r="AM60" s="286" t="e">
        <f t="shared" si="21"/>
        <v>#DIV/0!</v>
      </c>
      <c r="AN60" s="282" t="e">
        <f t="shared" si="25"/>
        <v>#DIV/0!</v>
      </c>
      <c r="AO60" s="86"/>
    </row>
    <row r="61" spans="1:41" s="96" customFormat="1" ht="15.75" customHeight="1" x14ac:dyDescent="0.3">
      <c r="A61" s="279"/>
      <c r="B61" s="279"/>
      <c r="C61" s="280"/>
      <c r="D61" s="297" t="s">
        <v>274</v>
      </c>
      <c r="E61" s="281">
        <v>0</v>
      </c>
      <c r="F61" s="281"/>
      <c r="G61" s="282" t="e">
        <f t="shared" si="6"/>
        <v>#DIV/0!</v>
      </c>
      <c r="H61" s="281">
        <v>0</v>
      </c>
      <c r="I61" s="283"/>
      <c r="J61" s="282" t="e">
        <f t="shared" si="7"/>
        <v>#DIV/0!</v>
      </c>
      <c r="K61" s="281">
        <f t="shared" si="1"/>
        <v>0</v>
      </c>
      <c r="L61" s="281">
        <f t="shared" si="8"/>
        <v>0</v>
      </c>
      <c r="M61" s="282" t="e">
        <f t="shared" si="9"/>
        <v>#DIV/0!</v>
      </c>
      <c r="N61" s="283" t="e">
        <f t="shared" si="2"/>
        <v>#DIV/0!</v>
      </c>
      <c r="O61" s="283" t="e">
        <f t="shared" si="10"/>
        <v>#DIV/0!</v>
      </c>
      <c r="P61" s="282" t="e">
        <f t="shared" si="11"/>
        <v>#DIV/0!</v>
      </c>
      <c r="Q61" s="283" t="e">
        <f t="shared" si="3"/>
        <v>#DIV/0!</v>
      </c>
      <c r="R61" s="283" t="e">
        <f t="shared" si="12"/>
        <v>#DIV/0!</v>
      </c>
      <c r="S61" s="282" t="e">
        <f t="shared" si="13"/>
        <v>#DIV/0!</v>
      </c>
      <c r="T61" s="284">
        <v>62</v>
      </c>
      <c r="U61" s="284">
        <v>1</v>
      </c>
      <c r="V61" s="282">
        <f t="shared" si="14"/>
        <v>61</v>
      </c>
      <c r="W61" s="284">
        <v>0</v>
      </c>
      <c r="X61" s="284"/>
      <c r="Y61" s="282" t="e">
        <f t="shared" si="15"/>
        <v>#DIV/0!</v>
      </c>
      <c r="Z61" s="284" t="e">
        <f t="shared" si="4"/>
        <v>#DIV/0!</v>
      </c>
      <c r="AA61" s="284" t="e">
        <f t="shared" si="16"/>
        <v>#DIV/0!</v>
      </c>
      <c r="AB61" s="282" t="e">
        <f t="shared" si="17"/>
        <v>#DIV/0!</v>
      </c>
      <c r="AC61" s="285">
        <v>0</v>
      </c>
      <c r="AD61" s="284"/>
      <c r="AE61" s="282" t="e">
        <f t="shared" si="18"/>
        <v>#DIV/0!</v>
      </c>
      <c r="AF61" s="284">
        <v>0</v>
      </c>
      <c r="AG61" s="284"/>
      <c r="AH61" s="86" t="e">
        <f t="shared" si="19"/>
        <v>#DIV/0!</v>
      </c>
      <c r="AI61" s="284">
        <v>0</v>
      </c>
      <c r="AJ61" s="284"/>
      <c r="AK61" s="282" t="e">
        <f t="shared" si="20"/>
        <v>#DIV/0!</v>
      </c>
      <c r="AL61" s="286" t="e">
        <f t="shared" si="5"/>
        <v>#DIV/0!</v>
      </c>
      <c r="AM61" s="286" t="e">
        <f t="shared" si="21"/>
        <v>#DIV/0!</v>
      </c>
      <c r="AN61" s="282" t="e">
        <f t="shared" si="25"/>
        <v>#DIV/0!</v>
      </c>
      <c r="AO61" s="86"/>
    </row>
    <row r="62" spans="1:41" s="81" customFormat="1" ht="15.75" customHeight="1" x14ac:dyDescent="0.3">
      <c r="A62" s="49" t="s">
        <v>38</v>
      </c>
      <c r="B62" s="49" t="s">
        <v>41</v>
      </c>
      <c r="C62" s="50">
        <f>C56+7</f>
        <v>42804</v>
      </c>
      <c r="D62" s="50" t="s">
        <v>28</v>
      </c>
      <c r="E62" s="55">
        <f>SUM(E63:E67)</f>
        <v>314</v>
      </c>
      <c r="F62" s="55">
        <f>SUM(F63:F67)</f>
        <v>0</v>
      </c>
      <c r="G62" s="52" t="e">
        <f t="shared" si="6"/>
        <v>#DIV/0!</v>
      </c>
      <c r="H62" s="55">
        <f>SUM(H63:H67)</f>
        <v>1407</v>
      </c>
      <c r="I62" s="55">
        <f>SUM(I63:I67)</f>
        <v>0</v>
      </c>
      <c r="J62" s="52" t="e">
        <f t="shared" si="7"/>
        <v>#DIV/0!</v>
      </c>
      <c r="K62" s="51">
        <f t="shared" si="1"/>
        <v>1526.595</v>
      </c>
      <c r="L62" s="51">
        <f t="shared" si="8"/>
        <v>0</v>
      </c>
      <c r="M62" s="52" t="e">
        <f t="shared" si="9"/>
        <v>#DIV/0!</v>
      </c>
      <c r="N62" s="53">
        <f t="shared" si="2"/>
        <v>0.22316986496090974</v>
      </c>
      <c r="O62" s="53" t="e">
        <f t="shared" si="10"/>
        <v>#DIV/0!</v>
      </c>
      <c r="P62" s="52" t="e">
        <f t="shared" si="11"/>
        <v>#DIV/0!</v>
      </c>
      <c r="Q62" s="53">
        <f t="shared" si="3"/>
        <v>0.20568651148470943</v>
      </c>
      <c r="R62" s="53" t="e">
        <f t="shared" si="12"/>
        <v>#DIV/0!</v>
      </c>
      <c r="S62" s="52" t="e">
        <f t="shared" si="13"/>
        <v>#DIV/0!</v>
      </c>
      <c r="T62" s="56">
        <f>SUM(T63:T67)</f>
        <v>1020</v>
      </c>
      <c r="U62" s="56">
        <f>SUM(U63:U67)</f>
        <v>3</v>
      </c>
      <c r="V62" s="52">
        <f t="shared" si="14"/>
        <v>339</v>
      </c>
      <c r="W62" s="56">
        <f>SUM(W63:W67)</f>
        <v>3</v>
      </c>
      <c r="X62" s="56">
        <f>SUM(X63:X67)</f>
        <v>0</v>
      </c>
      <c r="Y62" s="52" t="e">
        <f t="shared" si="15"/>
        <v>#DIV/0!</v>
      </c>
      <c r="Z62" s="51">
        <f t="shared" si="4"/>
        <v>104.66666666666667</v>
      </c>
      <c r="AA62" s="54" t="e">
        <f t="shared" si="16"/>
        <v>#DIV/0!</v>
      </c>
      <c r="AB62" s="52" t="e">
        <f t="shared" si="17"/>
        <v>#DIV/0!</v>
      </c>
      <c r="AC62" s="56">
        <f>SUM(AC63:AC67)</f>
        <v>378253</v>
      </c>
      <c r="AD62" s="56">
        <f>SUM(AD63:AD67)</f>
        <v>0</v>
      </c>
      <c r="AE62" s="52" t="e">
        <f t="shared" si="18"/>
        <v>#DIV/0!</v>
      </c>
      <c r="AF62" s="56">
        <f>SUM(AF63:AF67)</f>
        <v>1417</v>
      </c>
      <c r="AG62" s="56">
        <f>SUM(AG63:AG67)</f>
        <v>0</v>
      </c>
      <c r="AH62" s="67" t="e">
        <f t="shared" si="19"/>
        <v>#DIV/0!</v>
      </c>
      <c r="AI62" s="56">
        <f>SUM(AI63:AI67)</f>
        <v>430819</v>
      </c>
      <c r="AJ62" s="56">
        <f>SUM(AJ63:AJ67)</f>
        <v>0</v>
      </c>
      <c r="AK62" s="52" t="e">
        <f t="shared" si="20"/>
        <v>#DIV/0!</v>
      </c>
      <c r="AL62" s="82">
        <f t="shared" si="5"/>
        <v>3.2890842790127641E-3</v>
      </c>
      <c r="AM62" s="82" t="e">
        <f t="shared" si="21"/>
        <v>#DIV/0!</v>
      </c>
      <c r="AN62" s="52" t="e">
        <f t="shared" si="25"/>
        <v>#DIV/0!</v>
      </c>
      <c r="AO62" s="68" t="s">
        <v>168</v>
      </c>
    </row>
    <row r="63" spans="1:41" s="96" customFormat="1" ht="15.75" customHeight="1" x14ac:dyDescent="0.3">
      <c r="A63" s="279"/>
      <c r="B63" s="279"/>
      <c r="C63" s="280"/>
      <c r="D63" s="297" t="s">
        <v>275</v>
      </c>
      <c r="E63" s="281">
        <v>314</v>
      </c>
      <c r="F63" s="281"/>
      <c r="G63" s="282" t="e">
        <f t="shared" si="6"/>
        <v>#DIV/0!</v>
      </c>
      <c r="H63" s="281">
        <v>1407</v>
      </c>
      <c r="I63" s="283"/>
      <c r="J63" s="282" t="e">
        <f t="shared" si="7"/>
        <v>#DIV/0!</v>
      </c>
      <c r="K63" s="281">
        <f t="shared" si="1"/>
        <v>1526.595</v>
      </c>
      <c r="L63" s="281">
        <f t="shared" si="8"/>
        <v>0</v>
      </c>
      <c r="M63" s="282" t="e">
        <f t="shared" si="9"/>
        <v>#DIV/0!</v>
      </c>
      <c r="N63" s="283">
        <f t="shared" si="2"/>
        <v>0.22316986496090974</v>
      </c>
      <c r="O63" s="283" t="e">
        <f t="shared" si="10"/>
        <v>#DIV/0!</v>
      </c>
      <c r="P63" s="282" t="e">
        <f t="shared" si="11"/>
        <v>#DIV/0!</v>
      </c>
      <c r="Q63" s="283">
        <f t="shared" si="3"/>
        <v>0.20568651148470943</v>
      </c>
      <c r="R63" s="283" t="e">
        <f t="shared" si="12"/>
        <v>#DIV/0!</v>
      </c>
      <c r="S63" s="282" t="e">
        <f t="shared" si="13"/>
        <v>#DIV/0!</v>
      </c>
      <c r="T63" s="284">
        <v>839</v>
      </c>
      <c r="U63" s="284"/>
      <c r="V63" s="282" t="e">
        <f t="shared" si="14"/>
        <v>#DIV/0!</v>
      </c>
      <c r="W63" s="284">
        <v>3</v>
      </c>
      <c r="X63" s="284"/>
      <c r="Y63" s="282" t="e">
        <f t="shared" si="15"/>
        <v>#DIV/0!</v>
      </c>
      <c r="Z63" s="284">
        <f t="shared" si="4"/>
        <v>104.66666666666667</v>
      </c>
      <c r="AA63" s="284" t="e">
        <f t="shared" si="16"/>
        <v>#DIV/0!</v>
      </c>
      <c r="AB63" s="282" t="e">
        <f t="shared" si="17"/>
        <v>#DIV/0!</v>
      </c>
      <c r="AC63" s="285">
        <v>378253</v>
      </c>
      <c r="AD63" s="284"/>
      <c r="AE63" s="282" t="e">
        <f t="shared" si="18"/>
        <v>#DIV/0!</v>
      </c>
      <c r="AF63" s="284">
        <v>1417</v>
      </c>
      <c r="AG63" s="284"/>
      <c r="AH63" s="86" t="e">
        <f t="shared" si="19"/>
        <v>#DIV/0!</v>
      </c>
      <c r="AI63" s="284">
        <v>430819</v>
      </c>
      <c r="AJ63" s="284"/>
      <c r="AK63" s="282" t="e">
        <f t="shared" si="20"/>
        <v>#DIV/0!</v>
      </c>
      <c r="AL63" s="286">
        <f t="shared" si="5"/>
        <v>3.2890842790127641E-3</v>
      </c>
      <c r="AM63" s="286" t="e">
        <f t="shared" si="21"/>
        <v>#DIV/0!</v>
      </c>
      <c r="AN63" s="282" t="e">
        <f t="shared" si="25"/>
        <v>#DIV/0!</v>
      </c>
      <c r="AO63" s="86"/>
    </row>
    <row r="64" spans="1:41" s="96" customFormat="1" ht="15.75" customHeight="1" x14ac:dyDescent="0.3">
      <c r="A64" s="279"/>
      <c r="B64" s="279"/>
      <c r="C64" s="280"/>
      <c r="D64" s="280"/>
      <c r="E64" s="281"/>
      <c r="F64" s="281"/>
      <c r="G64" s="282" t="e">
        <f t="shared" si="6"/>
        <v>#DIV/0!</v>
      </c>
      <c r="H64" s="281"/>
      <c r="I64" s="283"/>
      <c r="J64" s="282" t="e">
        <f t="shared" si="7"/>
        <v>#DIV/0!</v>
      </c>
      <c r="K64" s="281">
        <f t="shared" si="1"/>
        <v>0</v>
      </c>
      <c r="L64" s="281">
        <f t="shared" si="8"/>
        <v>0</v>
      </c>
      <c r="M64" s="282" t="e">
        <f t="shared" si="9"/>
        <v>#DIV/0!</v>
      </c>
      <c r="N64" s="283" t="e">
        <f t="shared" si="2"/>
        <v>#DIV/0!</v>
      </c>
      <c r="O64" s="283" t="e">
        <f t="shared" si="10"/>
        <v>#DIV/0!</v>
      </c>
      <c r="P64" s="282" t="e">
        <f t="shared" si="11"/>
        <v>#DIV/0!</v>
      </c>
      <c r="Q64" s="283" t="e">
        <f t="shared" si="3"/>
        <v>#DIV/0!</v>
      </c>
      <c r="R64" s="283" t="e">
        <f t="shared" si="12"/>
        <v>#DIV/0!</v>
      </c>
      <c r="S64" s="282" t="e">
        <f t="shared" si="13"/>
        <v>#DIV/0!</v>
      </c>
      <c r="T64" s="284"/>
      <c r="U64" s="284"/>
      <c r="V64" s="282" t="e">
        <f t="shared" si="14"/>
        <v>#DIV/0!</v>
      </c>
      <c r="W64" s="284"/>
      <c r="X64" s="284"/>
      <c r="Y64" s="282" t="e">
        <f t="shared" si="15"/>
        <v>#DIV/0!</v>
      </c>
      <c r="Z64" s="284" t="e">
        <f t="shared" si="4"/>
        <v>#DIV/0!</v>
      </c>
      <c r="AA64" s="284" t="e">
        <f t="shared" si="16"/>
        <v>#DIV/0!</v>
      </c>
      <c r="AB64" s="282" t="e">
        <f t="shared" si="17"/>
        <v>#DIV/0!</v>
      </c>
      <c r="AC64" s="285"/>
      <c r="AD64" s="284"/>
      <c r="AE64" s="282" t="e">
        <f t="shared" si="18"/>
        <v>#DIV/0!</v>
      </c>
      <c r="AF64" s="284"/>
      <c r="AG64" s="284"/>
      <c r="AH64" s="86" t="e">
        <f t="shared" si="19"/>
        <v>#DIV/0!</v>
      </c>
      <c r="AI64" s="284"/>
      <c r="AJ64" s="284"/>
      <c r="AK64" s="282" t="e">
        <f t="shared" si="20"/>
        <v>#DIV/0!</v>
      </c>
      <c r="AL64" s="286" t="e">
        <f t="shared" si="5"/>
        <v>#DIV/0!</v>
      </c>
      <c r="AM64" s="286" t="e">
        <f t="shared" si="21"/>
        <v>#DIV/0!</v>
      </c>
      <c r="AN64" s="282" t="e">
        <f t="shared" si="25"/>
        <v>#DIV/0!</v>
      </c>
      <c r="AO64" s="86"/>
    </row>
    <row r="65" spans="1:41" s="96" customFormat="1" ht="15.75" customHeight="1" x14ac:dyDescent="0.3">
      <c r="A65" s="279"/>
      <c r="B65" s="279"/>
      <c r="C65" s="280"/>
      <c r="D65" s="280"/>
      <c r="E65" s="281"/>
      <c r="F65" s="281"/>
      <c r="G65" s="282" t="e">
        <f t="shared" si="6"/>
        <v>#DIV/0!</v>
      </c>
      <c r="H65" s="281"/>
      <c r="I65" s="283"/>
      <c r="J65" s="282" t="e">
        <f t="shared" si="7"/>
        <v>#DIV/0!</v>
      </c>
      <c r="K65" s="281">
        <f t="shared" si="1"/>
        <v>0</v>
      </c>
      <c r="L65" s="281">
        <f t="shared" si="8"/>
        <v>0</v>
      </c>
      <c r="M65" s="282" t="e">
        <f t="shared" si="9"/>
        <v>#DIV/0!</v>
      </c>
      <c r="N65" s="283" t="e">
        <f t="shared" si="2"/>
        <v>#DIV/0!</v>
      </c>
      <c r="O65" s="283" t="e">
        <f t="shared" si="10"/>
        <v>#DIV/0!</v>
      </c>
      <c r="P65" s="282" t="e">
        <f t="shared" si="11"/>
        <v>#DIV/0!</v>
      </c>
      <c r="Q65" s="283" t="e">
        <f t="shared" si="3"/>
        <v>#DIV/0!</v>
      </c>
      <c r="R65" s="283" t="e">
        <f t="shared" si="12"/>
        <v>#DIV/0!</v>
      </c>
      <c r="S65" s="282" t="e">
        <f t="shared" si="13"/>
        <v>#DIV/0!</v>
      </c>
      <c r="T65" s="284"/>
      <c r="U65" s="284"/>
      <c r="V65" s="282" t="e">
        <f t="shared" si="14"/>
        <v>#DIV/0!</v>
      </c>
      <c r="W65" s="284"/>
      <c r="X65" s="284"/>
      <c r="Y65" s="282" t="e">
        <f t="shared" si="15"/>
        <v>#DIV/0!</v>
      </c>
      <c r="Z65" s="284" t="e">
        <f t="shared" si="4"/>
        <v>#DIV/0!</v>
      </c>
      <c r="AA65" s="284" t="e">
        <f t="shared" si="16"/>
        <v>#DIV/0!</v>
      </c>
      <c r="AB65" s="282" t="e">
        <f t="shared" si="17"/>
        <v>#DIV/0!</v>
      </c>
      <c r="AC65" s="285"/>
      <c r="AD65" s="284"/>
      <c r="AE65" s="282" t="e">
        <f t="shared" si="18"/>
        <v>#DIV/0!</v>
      </c>
      <c r="AF65" s="284"/>
      <c r="AG65" s="284"/>
      <c r="AH65" s="86" t="e">
        <f t="shared" si="19"/>
        <v>#DIV/0!</v>
      </c>
      <c r="AI65" s="284"/>
      <c r="AJ65" s="284"/>
      <c r="AK65" s="282" t="e">
        <f t="shared" si="20"/>
        <v>#DIV/0!</v>
      </c>
      <c r="AL65" s="286" t="e">
        <f t="shared" si="5"/>
        <v>#DIV/0!</v>
      </c>
      <c r="AM65" s="286" t="e">
        <f t="shared" si="21"/>
        <v>#DIV/0!</v>
      </c>
      <c r="AN65" s="282" t="e">
        <f t="shared" si="25"/>
        <v>#DIV/0!</v>
      </c>
      <c r="AO65" s="86"/>
    </row>
    <row r="66" spans="1:41" s="96" customFormat="1" ht="15.75" customHeight="1" x14ac:dyDescent="0.3">
      <c r="A66" s="279"/>
      <c r="B66" s="279"/>
      <c r="C66" s="280"/>
      <c r="D66" s="280"/>
      <c r="E66" s="281"/>
      <c r="F66" s="281"/>
      <c r="G66" s="282" t="e">
        <f t="shared" si="6"/>
        <v>#DIV/0!</v>
      </c>
      <c r="H66" s="281"/>
      <c r="I66" s="283"/>
      <c r="J66" s="282" t="e">
        <f t="shared" si="7"/>
        <v>#DIV/0!</v>
      </c>
      <c r="K66" s="281">
        <f t="shared" si="1"/>
        <v>0</v>
      </c>
      <c r="L66" s="281">
        <f t="shared" si="8"/>
        <v>0</v>
      </c>
      <c r="M66" s="282" t="e">
        <f t="shared" si="9"/>
        <v>#DIV/0!</v>
      </c>
      <c r="N66" s="283" t="e">
        <f t="shared" si="2"/>
        <v>#DIV/0!</v>
      </c>
      <c r="O66" s="283" t="e">
        <f t="shared" si="10"/>
        <v>#DIV/0!</v>
      </c>
      <c r="P66" s="282" t="e">
        <f t="shared" si="11"/>
        <v>#DIV/0!</v>
      </c>
      <c r="Q66" s="283" t="e">
        <f t="shared" si="3"/>
        <v>#DIV/0!</v>
      </c>
      <c r="R66" s="283" t="e">
        <f t="shared" si="12"/>
        <v>#DIV/0!</v>
      </c>
      <c r="S66" s="282" t="e">
        <f t="shared" si="13"/>
        <v>#DIV/0!</v>
      </c>
      <c r="T66" s="284"/>
      <c r="U66" s="284"/>
      <c r="V66" s="282" t="e">
        <f t="shared" si="14"/>
        <v>#DIV/0!</v>
      </c>
      <c r="W66" s="284"/>
      <c r="X66" s="284"/>
      <c r="Y66" s="282" t="e">
        <f t="shared" si="15"/>
        <v>#DIV/0!</v>
      </c>
      <c r="Z66" s="284" t="e">
        <f t="shared" si="4"/>
        <v>#DIV/0!</v>
      </c>
      <c r="AA66" s="284" t="e">
        <f t="shared" si="16"/>
        <v>#DIV/0!</v>
      </c>
      <c r="AB66" s="282" t="e">
        <f t="shared" si="17"/>
        <v>#DIV/0!</v>
      </c>
      <c r="AC66" s="285"/>
      <c r="AD66" s="284"/>
      <c r="AE66" s="282" t="e">
        <f t="shared" si="18"/>
        <v>#DIV/0!</v>
      </c>
      <c r="AF66" s="284"/>
      <c r="AG66" s="284"/>
      <c r="AH66" s="86" t="e">
        <f t="shared" si="19"/>
        <v>#DIV/0!</v>
      </c>
      <c r="AI66" s="284"/>
      <c r="AJ66" s="284"/>
      <c r="AK66" s="282" t="e">
        <f t="shared" si="20"/>
        <v>#DIV/0!</v>
      </c>
      <c r="AL66" s="286" t="e">
        <f t="shared" si="5"/>
        <v>#DIV/0!</v>
      </c>
      <c r="AM66" s="286" t="e">
        <f t="shared" si="21"/>
        <v>#DIV/0!</v>
      </c>
      <c r="AN66" s="282" t="e">
        <f t="shared" si="25"/>
        <v>#DIV/0!</v>
      </c>
      <c r="AO66" s="86"/>
    </row>
    <row r="67" spans="1:41" s="96" customFormat="1" ht="15.75" customHeight="1" x14ac:dyDescent="0.3">
      <c r="A67" s="279"/>
      <c r="B67" s="279"/>
      <c r="C67" s="280"/>
      <c r="D67" s="297" t="s">
        <v>274</v>
      </c>
      <c r="E67" s="281">
        <v>0</v>
      </c>
      <c r="F67" s="281"/>
      <c r="G67" s="282" t="e">
        <f t="shared" si="6"/>
        <v>#DIV/0!</v>
      </c>
      <c r="H67" s="281">
        <v>0</v>
      </c>
      <c r="I67" s="283"/>
      <c r="J67" s="282" t="e">
        <f t="shared" si="7"/>
        <v>#DIV/0!</v>
      </c>
      <c r="K67" s="281">
        <f t="shared" si="1"/>
        <v>0</v>
      </c>
      <c r="L67" s="281">
        <f t="shared" si="8"/>
        <v>0</v>
      </c>
      <c r="M67" s="282" t="e">
        <f t="shared" si="9"/>
        <v>#DIV/0!</v>
      </c>
      <c r="N67" s="283" t="e">
        <f t="shared" si="2"/>
        <v>#DIV/0!</v>
      </c>
      <c r="O67" s="283" t="e">
        <f t="shared" si="10"/>
        <v>#DIV/0!</v>
      </c>
      <c r="P67" s="282" t="e">
        <f t="shared" si="11"/>
        <v>#DIV/0!</v>
      </c>
      <c r="Q67" s="283" t="e">
        <f t="shared" si="3"/>
        <v>#DIV/0!</v>
      </c>
      <c r="R67" s="283" t="e">
        <f t="shared" si="12"/>
        <v>#DIV/0!</v>
      </c>
      <c r="S67" s="282" t="e">
        <f t="shared" si="13"/>
        <v>#DIV/0!</v>
      </c>
      <c r="T67" s="284">
        <v>181</v>
      </c>
      <c r="U67" s="284">
        <v>3</v>
      </c>
      <c r="V67" s="282">
        <f t="shared" si="14"/>
        <v>59.333333333333336</v>
      </c>
      <c r="W67" s="284">
        <v>0</v>
      </c>
      <c r="X67" s="284"/>
      <c r="Y67" s="282" t="e">
        <f t="shared" si="15"/>
        <v>#DIV/0!</v>
      </c>
      <c r="Z67" s="284" t="e">
        <f t="shared" si="4"/>
        <v>#DIV/0!</v>
      </c>
      <c r="AA67" s="284" t="e">
        <f t="shared" si="16"/>
        <v>#DIV/0!</v>
      </c>
      <c r="AB67" s="282" t="e">
        <f t="shared" si="17"/>
        <v>#DIV/0!</v>
      </c>
      <c r="AC67" s="285"/>
      <c r="AD67" s="284"/>
      <c r="AE67" s="282" t="e">
        <f t="shared" si="18"/>
        <v>#DIV/0!</v>
      </c>
      <c r="AF67" s="284"/>
      <c r="AG67" s="284"/>
      <c r="AH67" s="86" t="e">
        <f t="shared" si="19"/>
        <v>#DIV/0!</v>
      </c>
      <c r="AI67" s="284"/>
      <c r="AJ67" s="284"/>
      <c r="AK67" s="282" t="e">
        <f t="shared" si="20"/>
        <v>#DIV/0!</v>
      </c>
      <c r="AL67" s="286" t="e">
        <f t="shared" si="5"/>
        <v>#DIV/0!</v>
      </c>
      <c r="AM67" s="286" t="e">
        <f t="shared" si="21"/>
        <v>#DIV/0!</v>
      </c>
      <c r="AN67" s="282" t="e">
        <f t="shared" si="25"/>
        <v>#DIV/0!</v>
      </c>
      <c r="AO67" s="86"/>
    </row>
    <row r="68" spans="1:41" s="81" customFormat="1" ht="15.75" customHeight="1" x14ac:dyDescent="0.3">
      <c r="A68" s="49" t="s">
        <v>38</v>
      </c>
      <c r="B68" s="49" t="s">
        <v>42</v>
      </c>
      <c r="C68" s="50">
        <f>C62+7</f>
        <v>42811</v>
      </c>
      <c r="D68" s="50" t="s">
        <v>28</v>
      </c>
      <c r="E68" s="55">
        <f>SUM(E69:E73)</f>
        <v>24</v>
      </c>
      <c r="F68" s="55">
        <f>SUM(F69:F73)</f>
        <v>0</v>
      </c>
      <c r="G68" s="52" t="e">
        <f t="shared" si="6"/>
        <v>#DIV/0!</v>
      </c>
      <c r="H68" s="55">
        <f>SUM(H69:H73)</f>
        <v>0</v>
      </c>
      <c r="I68" s="55">
        <f>SUM(I69:I73)</f>
        <v>0</v>
      </c>
      <c r="J68" s="52" t="e">
        <f t="shared" si="7"/>
        <v>#DIV/0!</v>
      </c>
      <c r="K68" s="51">
        <f t="shared" si="1"/>
        <v>0</v>
      </c>
      <c r="L68" s="51">
        <f t="shared" si="8"/>
        <v>0</v>
      </c>
      <c r="M68" s="52" t="e">
        <f t="shared" si="9"/>
        <v>#DIV/0!</v>
      </c>
      <c r="N68" s="53" t="e">
        <f t="shared" si="2"/>
        <v>#DIV/0!</v>
      </c>
      <c r="O68" s="53" t="e">
        <f t="shared" si="10"/>
        <v>#DIV/0!</v>
      </c>
      <c r="P68" s="52" t="e">
        <f t="shared" si="11"/>
        <v>#DIV/0!</v>
      </c>
      <c r="Q68" s="53" t="e">
        <f t="shared" si="3"/>
        <v>#DIV/0!</v>
      </c>
      <c r="R68" s="53" t="e">
        <f t="shared" si="12"/>
        <v>#DIV/0!</v>
      </c>
      <c r="S68" s="52" t="e">
        <f t="shared" si="13"/>
        <v>#DIV/0!</v>
      </c>
      <c r="T68" s="56">
        <f>SUM(T69:T73)</f>
        <v>269</v>
      </c>
      <c r="U68" s="56">
        <f>SUM(U69:U73)</f>
        <v>62</v>
      </c>
      <c r="V68" s="52">
        <f t="shared" si="14"/>
        <v>3.338709677419355</v>
      </c>
      <c r="W68" s="56">
        <f>SUM(W69:W73)</f>
        <v>1</v>
      </c>
      <c r="X68" s="56">
        <f>SUM(X69:X73)</f>
        <v>0</v>
      </c>
      <c r="Y68" s="52" t="e">
        <f t="shared" si="15"/>
        <v>#DIV/0!</v>
      </c>
      <c r="Z68" s="51">
        <f t="shared" si="4"/>
        <v>24</v>
      </c>
      <c r="AA68" s="54" t="e">
        <f t="shared" si="16"/>
        <v>#DIV/0!</v>
      </c>
      <c r="AB68" s="52" t="e">
        <f t="shared" si="17"/>
        <v>#DIV/0!</v>
      </c>
      <c r="AC68" s="56">
        <f>SUM(AC69:AC73)</f>
        <v>0</v>
      </c>
      <c r="AD68" s="56">
        <f>SUM(AD69:AD73)</f>
        <v>0</v>
      </c>
      <c r="AE68" s="52" t="e">
        <f t="shared" si="18"/>
        <v>#DIV/0!</v>
      </c>
      <c r="AF68" s="56">
        <f>SUM(AF69:AF73)</f>
        <v>0</v>
      </c>
      <c r="AG68" s="56">
        <f>SUM(AG69:AG73)</f>
        <v>0</v>
      </c>
      <c r="AH68" s="67" t="e">
        <f t="shared" si="19"/>
        <v>#DIV/0!</v>
      </c>
      <c r="AI68" s="56">
        <f>SUM(AI69:AI73)</f>
        <v>0</v>
      </c>
      <c r="AJ68" s="56">
        <f>SUM(AJ69:AJ73)</f>
        <v>0</v>
      </c>
      <c r="AK68" s="52" t="e">
        <f t="shared" si="20"/>
        <v>#DIV/0!</v>
      </c>
      <c r="AL68" s="82" t="e">
        <f t="shared" si="5"/>
        <v>#DIV/0!</v>
      </c>
      <c r="AM68" s="82" t="e">
        <f t="shared" si="21"/>
        <v>#DIV/0!</v>
      </c>
      <c r="AN68" s="52" t="e">
        <f t="shared" si="25"/>
        <v>#DIV/0!</v>
      </c>
      <c r="AO68" s="68"/>
    </row>
    <row r="69" spans="1:41" s="96" customFormat="1" ht="15.75" customHeight="1" x14ac:dyDescent="0.3">
      <c r="A69" s="279"/>
      <c r="B69" s="279"/>
      <c r="C69" s="280"/>
      <c r="D69" s="280"/>
      <c r="E69" s="281"/>
      <c r="F69" s="281"/>
      <c r="G69" s="282" t="e">
        <f t="shared" si="6"/>
        <v>#DIV/0!</v>
      </c>
      <c r="H69" s="281"/>
      <c r="I69" s="283"/>
      <c r="J69" s="282" t="e">
        <f t="shared" si="7"/>
        <v>#DIV/0!</v>
      </c>
      <c r="K69" s="281">
        <f t="shared" si="1"/>
        <v>0</v>
      </c>
      <c r="L69" s="281">
        <f t="shared" si="8"/>
        <v>0</v>
      </c>
      <c r="M69" s="282" t="e">
        <f t="shared" si="9"/>
        <v>#DIV/0!</v>
      </c>
      <c r="N69" s="283" t="e">
        <f t="shared" si="2"/>
        <v>#DIV/0!</v>
      </c>
      <c r="O69" s="283" t="e">
        <f t="shared" si="10"/>
        <v>#DIV/0!</v>
      </c>
      <c r="P69" s="282" t="e">
        <f t="shared" si="11"/>
        <v>#DIV/0!</v>
      </c>
      <c r="Q69" s="283" t="e">
        <f t="shared" si="3"/>
        <v>#DIV/0!</v>
      </c>
      <c r="R69" s="283" t="e">
        <f t="shared" si="12"/>
        <v>#DIV/0!</v>
      </c>
      <c r="S69" s="282" t="e">
        <f t="shared" si="13"/>
        <v>#DIV/0!</v>
      </c>
      <c r="T69" s="284"/>
      <c r="U69" s="284"/>
      <c r="V69" s="282" t="e">
        <f t="shared" si="14"/>
        <v>#DIV/0!</v>
      </c>
      <c r="W69" s="284"/>
      <c r="X69" s="284"/>
      <c r="Y69" s="282" t="e">
        <f t="shared" si="15"/>
        <v>#DIV/0!</v>
      </c>
      <c r="Z69" s="284" t="e">
        <f t="shared" si="4"/>
        <v>#DIV/0!</v>
      </c>
      <c r="AA69" s="284" t="e">
        <f t="shared" si="16"/>
        <v>#DIV/0!</v>
      </c>
      <c r="AB69" s="282" t="e">
        <f t="shared" si="17"/>
        <v>#DIV/0!</v>
      </c>
      <c r="AC69" s="285"/>
      <c r="AD69" s="284"/>
      <c r="AE69" s="282" t="e">
        <f t="shared" si="18"/>
        <v>#DIV/0!</v>
      </c>
      <c r="AF69" s="284"/>
      <c r="AG69" s="284"/>
      <c r="AH69" s="86" t="e">
        <f t="shared" si="19"/>
        <v>#DIV/0!</v>
      </c>
      <c r="AI69" s="284"/>
      <c r="AJ69" s="284"/>
      <c r="AK69" s="282" t="e">
        <f t="shared" si="20"/>
        <v>#DIV/0!</v>
      </c>
      <c r="AL69" s="286" t="e">
        <f t="shared" si="5"/>
        <v>#DIV/0!</v>
      </c>
      <c r="AM69" s="286" t="e">
        <f t="shared" si="21"/>
        <v>#DIV/0!</v>
      </c>
      <c r="AN69" s="282" t="e">
        <f t="shared" si="25"/>
        <v>#DIV/0!</v>
      </c>
      <c r="AO69" s="86"/>
    </row>
    <row r="70" spans="1:41" s="96" customFormat="1" ht="15.75" customHeight="1" x14ac:dyDescent="0.3">
      <c r="A70" s="279"/>
      <c r="B70" s="279"/>
      <c r="C70" s="280"/>
      <c r="D70" s="280"/>
      <c r="E70" s="281"/>
      <c r="F70" s="281"/>
      <c r="G70" s="282" t="e">
        <f t="shared" si="6"/>
        <v>#DIV/0!</v>
      </c>
      <c r="H70" s="281"/>
      <c r="I70" s="283"/>
      <c r="J70" s="282" t="e">
        <f t="shared" si="7"/>
        <v>#DIV/0!</v>
      </c>
      <c r="K70" s="281">
        <f t="shared" si="1"/>
        <v>0</v>
      </c>
      <c r="L70" s="281">
        <f t="shared" si="8"/>
        <v>0</v>
      </c>
      <c r="M70" s="282" t="e">
        <f t="shared" si="9"/>
        <v>#DIV/0!</v>
      </c>
      <c r="N70" s="283" t="e">
        <f t="shared" si="2"/>
        <v>#DIV/0!</v>
      </c>
      <c r="O70" s="283" t="e">
        <f t="shared" si="10"/>
        <v>#DIV/0!</v>
      </c>
      <c r="P70" s="282" t="e">
        <f t="shared" si="11"/>
        <v>#DIV/0!</v>
      </c>
      <c r="Q70" s="283" t="e">
        <f t="shared" si="3"/>
        <v>#DIV/0!</v>
      </c>
      <c r="R70" s="283" t="e">
        <f t="shared" si="12"/>
        <v>#DIV/0!</v>
      </c>
      <c r="S70" s="282" t="e">
        <f t="shared" si="13"/>
        <v>#DIV/0!</v>
      </c>
      <c r="T70" s="284"/>
      <c r="U70" s="284"/>
      <c r="V70" s="282" t="e">
        <f t="shared" si="14"/>
        <v>#DIV/0!</v>
      </c>
      <c r="W70" s="284"/>
      <c r="X70" s="284"/>
      <c r="Y70" s="282" t="e">
        <f t="shared" si="15"/>
        <v>#DIV/0!</v>
      </c>
      <c r="Z70" s="284" t="e">
        <f t="shared" si="4"/>
        <v>#DIV/0!</v>
      </c>
      <c r="AA70" s="284" t="e">
        <f t="shared" si="16"/>
        <v>#DIV/0!</v>
      </c>
      <c r="AB70" s="282" t="e">
        <f t="shared" si="17"/>
        <v>#DIV/0!</v>
      </c>
      <c r="AC70" s="285"/>
      <c r="AD70" s="284"/>
      <c r="AE70" s="282" t="e">
        <f t="shared" si="18"/>
        <v>#DIV/0!</v>
      </c>
      <c r="AF70" s="284"/>
      <c r="AG70" s="284"/>
      <c r="AH70" s="86" t="e">
        <f t="shared" si="19"/>
        <v>#DIV/0!</v>
      </c>
      <c r="AI70" s="284"/>
      <c r="AJ70" s="284"/>
      <c r="AK70" s="282" t="e">
        <f t="shared" si="20"/>
        <v>#DIV/0!</v>
      </c>
      <c r="AL70" s="286" t="e">
        <f t="shared" si="5"/>
        <v>#DIV/0!</v>
      </c>
      <c r="AM70" s="286" t="e">
        <f t="shared" si="21"/>
        <v>#DIV/0!</v>
      </c>
      <c r="AN70" s="282" t="e">
        <f t="shared" si="25"/>
        <v>#DIV/0!</v>
      </c>
      <c r="AO70" s="86"/>
    </row>
    <row r="71" spans="1:41" s="96" customFormat="1" ht="15.75" customHeight="1" x14ac:dyDescent="0.3">
      <c r="A71" s="279"/>
      <c r="B71" s="279"/>
      <c r="C71" s="280"/>
      <c r="D71" s="280"/>
      <c r="E71" s="281"/>
      <c r="F71" s="281"/>
      <c r="G71" s="282" t="e">
        <f t="shared" si="6"/>
        <v>#DIV/0!</v>
      </c>
      <c r="H71" s="281"/>
      <c r="I71" s="283"/>
      <c r="J71" s="282" t="e">
        <f t="shared" si="7"/>
        <v>#DIV/0!</v>
      </c>
      <c r="K71" s="281">
        <f t="shared" ref="K71:K134" si="26">H71*1.085</f>
        <v>0</v>
      </c>
      <c r="L71" s="281">
        <f t="shared" si="8"/>
        <v>0</v>
      </c>
      <c r="M71" s="282" t="e">
        <f t="shared" si="9"/>
        <v>#DIV/0!</v>
      </c>
      <c r="N71" s="283" t="e">
        <f t="shared" ref="N71:N134" si="27">E71/H71</f>
        <v>#DIV/0!</v>
      </c>
      <c r="O71" s="283" t="e">
        <f t="shared" si="10"/>
        <v>#DIV/0!</v>
      </c>
      <c r="P71" s="282" t="e">
        <f t="shared" si="11"/>
        <v>#DIV/0!</v>
      </c>
      <c r="Q71" s="283" t="e">
        <f t="shared" ref="Q71:Q134" si="28">E71/K71</f>
        <v>#DIV/0!</v>
      </c>
      <c r="R71" s="283" t="e">
        <f t="shared" si="12"/>
        <v>#DIV/0!</v>
      </c>
      <c r="S71" s="282" t="e">
        <f t="shared" si="13"/>
        <v>#DIV/0!</v>
      </c>
      <c r="T71" s="284"/>
      <c r="U71" s="284"/>
      <c r="V71" s="282" t="e">
        <f t="shared" si="14"/>
        <v>#DIV/0!</v>
      </c>
      <c r="W71" s="284"/>
      <c r="X71" s="284"/>
      <c r="Y71" s="282" t="e">
        <f t="shared" si="15"/>
        <v>#DIV/0!</v>
      </c>
      <c r="Z71" s="284" t="e">
        <f t="shared" ref="Z71:Z134" si="29">E71/W71</f>
        <v>#DIV/0!</v>
      </c>
      <c r="AA71" s="284" t="e">
        <f t="shared" si="16"/>
        <v>#DIV/0!</v>
      </c>
      <c r="AB71" s="282" t="e">
        <f t="shared" si="17"/>
        <v>#DIV/0!</v>
      </c>
      <c r="AC71" s="285"/>
      <c r="AD71" s="284"/>
      <c r="AE71" s="282" t="e">
        <f t="shared" si="18"/>
        <v>#DIV/0!</v>
      </c>
      <c r="AF71" s="284"/>
      <c r="AG71" s="284"/>
      <c r="AH71" s="86" t="e">
        <f t="shared" si="19"/>
        <v>#DIV/0!</v>
      </c>
      <c r="AI71" s="284"/>
      <c r="AJ71" s="284"/>
      <c r="AK71" s="282" t="e">
        <f t="shared" si="20"/>
        <v>#DIV/0!</v>
      </c>
      <c r="AL71" s="286" t="e">
        <f t="shared" ref="AL71:AL134" si="30">AF71/AI71</f>
        <v>#DIV/0!</v>
      </c>
      <c r="AM71" s="286" t="e">
        <f t="shared" si="21"/>
        <v>#DIV/0!</v>
      </c>
      <c r="AN71" s="282" t="e">
        <f t="shared" si="25"/>
        <v>#DIV/0!</v>
      </c>
      <c r="AO71" s="86"/>
    </row>
    <row r="72" spans="1:41" s="96" customFormat="1" ht="15.75" customHeight="1" x14ac:dyDescent="0.3">
      <c r="A72" s="279"/>
      <c r="B72" s="279"/>
      <c r="C72" s="280"/>
      <c r="D72" s="280"/>
      <c r="E72" s="281"/>
      <c r="F72" s="281"/>
      <c r="G72" s="282" t="e">
        <f t="shared" ref="G72:G135" si="31">(E72-F72)/F72</f>
        <v>#DIV/0!</v>
      </c>
      <c r="H72" s="281"/>
      <c r="I72" s="283"/>
      <c r="J72" s="282" t="e">
        <f t="shared" ref="J72:J135" si="32">(H72-I72)/I72</f>
        <v>#DIV/0!</v>
      </c>
      <c r="K72" s="281">
        <f t="shared" si="26"/>
        <v>0</v>
      </c>
      <c r="L72" s="281">
        <f t="shared" ref="L72:L135" si="33">I72*1.085</f>
        <v>0</v>
      </c>
      <c r="M72" s="282" t="e">
        <f t="shared" ref="M72:M135" si="34">(K72-L72)/L72</f>
        <v>#DIV/0!</v>
      </c>
      <c r="N72" s="283" t="e">
        <f t="shared" si="27"/>
        <v>#DIV/0!</v>
      </c>
      <c r="O72" s="283" t="e">
        <f t="shared" ref="O72:O135" si="35">F72/I72</f>
        <v>#DIV/0!</v>
      </c>
      <c r="P72" s="282" t="e">
        <f t="shared" ref="P72:P135" si="36">(N72-O72)/O72</f>
        <v>#DIV/0!</v>
      </c>
      <c r="Q72" s="283" t="e">
        <f t="shared" si="28"/>
        <v>#DIV/0!</v>
      </c>
      <c r="R72" s="283" t="e">
        <f t="shared" ref="R72:R135" si="37">F72/L72</f>
        <v>#DIV/0!</v>
      </c>
      <c r="S72" s="282" t="e">
        <f t="shared" ref="S72:S135" si="38">(Q72-R72)/R72</f>
        <v>#DIV/0!</v>
      </c>
      <c r="T72" s="284"/>
      <c r="U72" s="284"/>
      <c r="V72" s="282" t="e">
        <f t="shared" ref="V72:V135" si="39">(T72-U72)/U72</f>
        <v>#DIV/0!</v>
      </c>
      <c r="W72" s="284"/>
      <c r="X72" s="284"/>
      <c r="Y72" s="282" t="e">
        <f t="shared" ref="Y72:Y135" si="40">(W72-X72)/X72</f>
        <v>#DIV/0!</v>
      </c>
      <c r="Z72" s="284" t="e">
        <f t="shared" si="29"/>
        <v>#DIV/0!</v>
      </c>
      <c r="AA72" s="284" t="e">
        <f t="shared" ref="AA72:AA135" si="41">F72/X72</f>
        <v>#DIV/0!</v>
      </c>
      <c r="AB72" s="282" t="e">
        <f t="shared" ref="AB72:AB135" si="42">(Z72-AA72)/AA72</f>
        <v>#DIV/0!</v>
      </c>
      <c r="AC72" s="285"/>
      <c r="AD72" s="284"/>
      <c r="AE72" s="282" t="e">
        <f t="shared" ref="AE72:AE135" si="43">(AC72-AD72)/AD72</f>
        <v>#DIV/0!</v>
      </c>
      <c r="AF72" s="284"/>
      <c r="AG72" s="284"/>
      <c r="AH72" s="86" t="e">
        <f t="shared" ref="AH72:AH135" si="44">(AF72-AG72)/AG72</f>
        <v>#DIV/0!</v>
      </c>
      <c r="AI72" s="284"/>
      <c r="AJ72" s="284"/>
      <c r="AK72" s="282" t="e">
        <f t="shared" ref="AK72:AK135" si="45">(AI72-AJ72)/AJ72</f>
        <v>#DIV/0!</v>
      </c>
      <c r="AL72" s="286" t="e">
        <f t="shared" si="30"/>
        <v>#DIV/0!</v>
      </c>
      <c r="AM72" s="286" t="e">
        <f t="shared" ref="AM72:AM135" si="46">AG72/AJ72</f>
        <v>#DIV/0!</v>
      </c>
      <c r="AN72" s="282" t="e">
        <f t="shared" si="25"/>
        <v>#DIV/0!</v>
      </c>
      <c r="AO72" s="86"/>
    </row>
    <row r="73" spans="1:41" s="357" customFormat="1" ht="15.75" customHeight="1" x14ac:dyDescent="0.3">
      <c r="A73" s="347"/>
      <c r="B73" s="347"/>
      <c r="C73" s="348"/>
      <c r="D73" s="349" t="s">
        <v>274</v>
      </c>
      <c r="E73" s="350">
        <v>24</v>
      </c>
      <c r="F73" s="350"/>
      <c r="G73" s="351" t="e">
        <f t="shared" si="31"/>
        <v>#DIV/0!</v>
      </c>
      <c r="H73" s="350">
        <v>0</v>
      </c>
      <c r="I73" s="352"/>
      <c r="J73" s="351" t="e">
        <f t="shared" si="32"/>
        <v>#DIV/0!</v>
      </c>
      <c r="K73" s="350">
        <f t="shared" si="26"/>
        <v>0</v>
      </c>
      <c r="L73" s="350">
        <f t="shared" si="33"/>
        <v>0</v>
      </c>
      <c r="M73" s="351" t="e">
        <f t="shared" si="34"/>
        <v>#DIV/0!</v>
      </c>
      <c r="N73" s="352" t="e">
        <f t="shared" si="27"/>
        <v>#DIV/0!</v>
      </c>
      <c r="O73" s="352" t="e">
        <f t="shared" si="35"/>
        <v>#DIV/0!</v>
      </c>
      <c r="P73" s="351" t="e">
        <f t="shared" si="36"/>
        <v>#DIV/0!</v>
      </c>
      <c r="Q73" s="352" t="e">
        <f t="shared" si="28"/>
        <v>#DIV/0!</v>
      </c>
      <c r="R73" s="352" t="e">
        <f t="shared" si="37"/>
        <v>#DIV/0!</v>
      </c>
      <c r="S73" s="351" t="e">
        <f t="shared" si="38"/>
        <v>#DIV/0!</v>
      </c>
      <c r="T73" s="353">
        <v>269</v>
      </c>
      <c r="U73" s="353">
        <v>62</v>
      </c>
      <c r="V73" s="351">
        <f t="shared" si="39"/>
        <v>3.338709677419355</v>
      </c>
      <c r="W73" s="353">
        <v>1</v>
      </c>
      <c r="X73" s="353"/>
      <c r="Y73" s="351" t="e">
        <f t="shared" si="40"/>
        <v>#DIV/0!</v>
      </c>
      <c r="Z73" s="353">
        <f t="shared" si="29"/>
        <v>24</v>
      </c>
      <c r="AA73" s="353" t="e">
        <f t="shared" si="41"/>
        <v>#DIV/0!</v>
      </c>
      <c r="AB73" s="351" t="e">
        <f t="shared" si="42"/>
        <v>#DIV/0!</v>
      </c>
      <c r="AC73" s="354"/>
      <c r="AD73" s="353"/>
      <c r="AE73" s="351" t="e">
        <f t="shared" si="43"/>
        <v>#DIV/0!</v>
      </c>
      <c r="AF73" s="353"/>
      <c r="AG73" s="353"/>
      <c r="AH73" s="355" t="e">
        <f t="shared" si="44"/>
        <v>#DIV/0!</v>
      </c>
      <c r="AI73" s="353"/>
      <c r="AJ73" s="353"/>
      <c r="AK73" s="351" t="e">
        <f t="shared" si="45"/>
        <v>#DIV/0!</v>
      </c>
      <c r="AL73" s="356" t="e">
        <f t="shared" si="30"/>
        <v>#DIV/0!</v>
      </c>
      <c r="AM73" s="356" t="e">
        <f t="shared" si="46"/>
        <v>#DIV/0!</v>
      </c>
      <c r="AN73" s="351" t="e">
        <f t="shared" ref="AN73:AN136" si="47">(AL73-AM73)/AM73</f>
        <v>#DIV/0!</v>
      </c>
      <c r="AO73" s="355"/>
    </row>
    <row r="74" spans="1:41" s="81" customFormat="1" ht="15.75" customHeight="1" x14ac:dyDescent="0.3">
      <c r="A74" s="49" t="s">
        <v>43</v>
      </c>
      <c r="B74" s="49" t="s">
        <v>44</v>
      </c>
      <c r="C74" s="50">
        <f>C68+7</f>
        <v>42818</v>
      </c>
      <c r="D74" s="50" t="s">
        <v>28</v>
      </c>
      <c r="E74" s="55">
        <f>SUM(E75:E79)</f>
        <v>0</v>
      </c>
      <c r="F74" s="55">
        <f>SUM(F75:F79)</f>
        <v>0</v>
      </c>
      <c r="G74" s="52" t="e">
        <f t="shared" si="31"/>
        <v>#DIV/0!</v>
      </c>
      <c r="H74" s="55">
        <f>SUM(H75:H79)</f>
        <v>0</v>
      </c>
      <c r="I74" s="55">
        <f>SUM(I75:I79)</f>
        <v>0</v>
      </c>
      <c r="J74" s="52" t="e">
        <f t="shared" si="32"/>
        <v>#DIV/0!</v>
      </c>
      <c r="K74" s="51">
        <f t="shared" si="26"/>
        <v>0</v>
      </c>
      <c r="L74" s="51">
        <f t="shared" si="33"/>
        <v>0</v>
      </c>
      <c r="M74" s="52" t="e">
        <f t="shared" si="34"/>
        <v>#DIV/0!</v>
      </c>
      <c r="N74" s="53" t="e">
        <f t="shared" si="27"/>
        <v>#DIV/0!</v>
      </c>
      <c r="O74" s="53" t="e">
        <f t="shared" si="35"/>
        <v>#DIV/0!</v>
      </c>
      <c r="P74" s="52" t="e">
        <f t="shared" si="36"/>
        <v>#DIV/0!</v>
      </c>
      <c r="Q74" s="53" t="e">
        <f t="shared" si="28"/>
        <v>#DIV/0!</v>
      </c>
      <c r="R74" s="53" t="e">
        <f t="shared" si="37"/>
        <v>#DIV/0!</v>
      </c>
      <c r="S74" s="52" t="e">
        <f t="shared" si="38"/>
        <v>#DIV/0!</v>
      </c>
      <c r="T74" s="56">
        <f>SUM(T75:T79)</f>
        <v>311</v>
      </c>
      <c r="U74" s="56">
        <f>SUM(U75:U79)</f>
        <v>89</v>
      </c>
      <c r="V74" s="52">
        <f t="shared" si="39"/>
        <v>2.49438202247191</v>
      </c>
      <c r="W74" s="56">
        <f>SUM(W75:W79)</f>
        <v>0</v>
      </c>
      <c r="X74" s="56">
        <f>SUM(X75:X79)</f>
        <v>0</v>
      </c>
      <c r="Y74" s="52" t="e">
        <f t="shared" si="40"/>
        <v>#DIV/0!</v>
      </c>
      <c r="Z74" s="51" t="e">
        <f t="shared" si="29"/>
        <v>#DIV/0!</v>
      </c>
      <c r="AA74" s="54" t="e">
        <f t="shared" si="41"/>
        <v>#DIV/0!</v>
      </c>
      <c r="AB74" s="52" t="e">
        <f t="shared" si="42"/>
        <v>#DIV/0!</v>
      </c>
      <c r="AC74" s="56">
        <f>SUM(AC75:AC79)</f>
        <v>0</v>
      </c>
      <c r="AD74" s="56">
        <f>SUM(AD75:AD79)</f>
        <v>0</v>
      </c>
      <c r="AE74" s="52" t="e">
        <f t="shared" si="43"/>
        <v>#DIV/0!</v>
      </c>
      <c r="AF74" s="56">
        <f>SUM(AF75:AF79)</f>
        <v>0</v>
      </c>
      <c r="AG74" s="56">
        <f>SUM(AG75:AG79)</f>
        <v>0</v>
      </c>
      <c r="AH74" s="67" t="e">
        <f t="shared" si="44"/>
        <v>#DIV/0!</v>
      </c>
      <c r="AI74" s="56">
        <f>SUM(AI75:AI79)</f>
        <v>0</v>
      </c>
      <c r="AJ74" s="56">
        <f>SUM(AJ75:AJ79)</f>
        <v>0</v>
      </c>
      <c r="AK74" s="52" t="e">
        <f t="shared" si="45"/>
        <v>#DIV/0!</v>
      </c>
      <c r="AL74" s="82" t="e">
        <f t="shared" si="30"/>
        <v>#DIV/0!</v>
      </c>
      <c r="AM74" s="82" t="e">
        <f t="shared" si="46"/>
        <v>#DIV/0!</v>
      </c>
      <c r="AN74" s="52" t="e">
        <f>(AL74-AM74)/AM74</f>
        <v>#DIV/0!</v>
      </c>
      <c r="AO74" s="86"/>
    </row>
    <row r="75" spans="1:41" s="96" customFormat="1" ht="15.75" customHeight="1" x14ac:dyDescent="0.3">
      <c r="A75" s="279"/>
      <c r="B75" s="279"/>
      <c r="C75" s="280"/>
      <c r="D75" s="280"/>
      <c r="E75" s="281"/>
      <c r="F75" s="281"/>
      <c r="G75" s="282" t="e">
        <f t="shared" si="31"/>
        <v>#DIV/0!</v>
      </c>
      <c r="H75" s="281"/>
      <c r="I75" s="283"/>
      <c r="J75" s="282" t="e">
        <f t="shared" si="32"/>
        <v>#DIV/0!</v>
      </c>
      <c r="K75" s="281">
        <f t="shared" si="26"/>
        <v>0</v>
      </c>
      <c r="L75" s="281">
        <f t="shared" si="33"/>
        <v>0</v>
      </c>
      <c r="M75" s="282" t="e">
        <f t="shared" si="34"/>
        <v>#DIV/0!</v>
      </c>
      <c r="N75" s="283" t="e">
        <f t="shared" si="27"/>
        <v>#DIV/0!</v>
      </c>
      <c r="O75" s="283" t="e">
        <f t="shared" si="35"/>
        <v>#DIV/0!</v>
      </c>
      <c r="P75" s="282" t="e">
        <f t="shared" si="36"/>
        <v>#DIV/0!</v>
      </c>
      <c r="Q75" s="283" t="e">
        <f t="shared" si="28"/>
        <v>#DIV/0!</v>
      </c>
      <c r="R75" s="283" t="e">
        <f t="shared" si="37"/>
        <v>#DIV/0!</v>
      </c>
      <c r="S75" s="282" t="e">
        <f t="shared" si="38"/>
        <v>#DIV/0!</v>
      </c>
      <c r="T75" s="284"/>
      <c r="U75" s="284"/>
      <c r="V75" s="282" t="e">
        <f t="shared" si="39"/>
        <v>#DIV/0!</v>
      </c>
      <c r="W75" s="284"/>
      <c r="X75" s="284"/>
      <c r="Y75" s="282" t="e">
        <f t="shared" si="40"/>
        <v>#DIV/0!</v>
      </c>
      <c r="Z75" s="284" t="e">
        <f t="shared" si="29"/>
        <v>#DIV/0!</v>
      </c>
      <c r="AA75" s="284" t="e">
        <f t="shared" si="41"/>
        <v>#DIV/0!</v>
      </c>
      <c r="AB75" s="282" t="e">
        <f t="shared" si="42"/>
        <v>#DIV/0!</v>
      </c>
      <c r="AC75" s="285"/>
      <c r="AD75" s="284"/>
      <c r="AE75" s="282" t="e">
        <f t="shared" si="43"/>
        <v>#DIV/0!</v>
      </c>
      <c r="AF75" s="284"/>
      <c r="AG75" s="284"/>
      <c r="AH75" s="86" t="e">
        <f t="shared" si="44"/>
        <v>#DIV/0!</v>
      </c>
      <c r="AI75" s="284"/>
      <c r="AJ75" s="284"/>
      <c r="AK75" s="282" t="e">
        <f t="shared" si="45"/>
        <v>#DIV/0!</v>
      </c>
      <c r="AL75" s="286" t="e">
        <f t="shared" si="30"/>
        <v>#DIV/0!</v>
      </c>
      <c r="AM75" s="286" t="e">
        <f t="shared" si="46"/>
        <v>#DIV/0!</v>
      </c>
      <c r="AN75" s="282" t="e">
        <f t="shared" si="47"/>
        <v>#DIV/0!</v>
      </c>
      <c r="AO75" s="86"/>
    </row>
    <row r="76" spans="1:41" s="96" customFormat="1" ht="15.75" customHeight="1" x14ac:dyDescent="0.3">
      <c r="A76" s="279"/>
      <c r="B76" s="279"/>
      <c r="C76" s="280"/>
      <c r="D76" s="280"/>
      <c r="E76" s="281"/>
      <c r="F76" s="281"/>
      <c r="G76" s="282" t="e">
        <f t="shared" si="31"/>
        <v>#DIV/0!</v>
      </c>
      <c r="H76" s="281"/>
      <c r="I76" s="283"/>
      <c r="J76" s="282" t="e">
        <f t="shared" si="32"/>
        <v>#DIV/0!</v>
      </c>
      <c r="K76" s="281">
        <f t="shared" si="26"/>
        <v>0</v>
      </c>
      <c r="L76" s="281">
        <f t="shared" si="33"/>
        <v>0</v>
      </c>
      <c r="M76" s="282" t="e">
        <f t="shared" si="34"/>
        <v>#DIV/0!</v>
      </c>
      <c r="N76" s="283" t="e">
        <f t="shared" si="27"/>
        <v>#DIV/0!</v>
      </c>
      <c r="O76" s="283" t="e">
        <f t="shared" si="35"/>
        <v>#DIV/0!</v>
      </c>
      <c r="P76" s="282" t="e">
        <f t="shared" si="36"/>
        <v>#DIV/0!</v>
      </c>
      <c r="Q76" s="283" t="e">
        <f t="shared" si="28"/>
        <v>#DIV/0!</v>
      </c>
      <c r="R76" s="283" t="e">
        <f t="shared" si="37"/>
        <v>#DIV/0!</v>
      </c>
      <c r="S76" s="282" t="e">
        <f t="shared" si="38"/>
        <v>#DIV/0!</v>
      </c>
      <c r="T76" s="284"/>
      <c r="U76" s="284"/>
      <c r="V76" s="282" t="e">
        <f t="shared" si="39"/>
        <v>#DIV/0!</v>
      </c>
      <c r="W76" s="284"/>
      <c r="X76" s="284"/>
      <c r="Y76" s="282" t="e">
        <f t="shared" si="40"/>
        <v>#DIV/0!</v>
      </c>
      <c r="Z76" s="284" t="e">
        <f t="shared" si="29"/>
        <v>#DIV/0!</v>
      </c>
      <c r="AA76" s="284" t="e">
        <f t="shared" si="41"/>
        <v>#DIV/0!</v>
      </c>
      <c r="AB76" s="282" t="e">
        <f t="shared" si="42"/>
        <v>#DIV/0!</v>
      </c>
      <c r="AC76" s="285"/>
      <c r="AD76" s="284"/>
      <c r="AE76" s="282" t="e">
        <f t="shared" si="43"/>
        <v>#DIV/0!</v>
      </c>
      <c r="AF76" s="284"/>
      <c r="AG76" s="284"/>
      <c r="AH76" s="86" t="e">
        <f t="shared" si="44"/>
        <v>#DIV/0!</v>
      </c>
      <c r="AI76" s="284"/>
      <c r="AJ76" s="284"/>
      <c r="AK76" s="282" t="e">
        <f t="shared" si="45"/>
        <v>#DIV/0!</v>
      </c>
      <c r="AL76" s="286" t="e">
        <f t="shared" si="30"/>
        <v>#DIV/0!</v>
      </c>
      <c r="AM76" s="286" t="e">
        <f t="shared" si="46"/>
        <v>#DIV/0!</v>
      </c>
      <c r="AN76" s="282" t="e">
        <f t="shared" si="47"/>
        <v>#DIV/0!</v>
      </c>
      <c r="AO76" s="86"/>
    </row>
    <row r="77" spans="1:41" s="96" customFormat="1" ht="15.75" customHeight="1" x14ac:dyDescent="0.3">
      <c r="A77" s="279"/>
      <c r="B77" s="279"/>
      <c r="C77" s="280"/>
      <c r="D77" s="280"/>
      <c r="E77" s="281"/>
      <c r="F77" s="281"/>
      <c r="G77" s="282" t="e">
        <f t="shared" si="31"/>
        <v>#DIV/0!</v>
      </c>
      <c r="H77" s="281"/>
      <c r="I77" s="283"/>
      <c r="J77" s="282" t="e">
        <f t="shared" si="32"/>
        <v>#DIV/0!</v>
      </c>
      <c r="K77" s="281">
        <f t="shared" si="26"/>
        <v>0</v>
      </c>
      <c r="L77" s="281">
        <f t="shared" si="33"/>
        <v>0</v>
      </c>
      <c r="M77" s="282" t="e">
        <f t="shared" si="34"/>
        <v>#DIV/0!</v>
      </c>
      <c r="N77" s="283" t="e">
        <f t="shared" si="27"/>
        <v>#DIV/0!</v>
      </c>
      <c r="O77" s="283" t="e">
        <f t="shared" si="35"/>
        <v>#DIV/0!</v>
      </c>
      <c r="P77" s="282" t="e">
        <f t="shared" si="36"/>
        <v>#DIV/0!</v>
      </c>
      <c r="Q77" s="283" t="e">
        <f t="shared" si="28"/>
        <v>#DIV/0!</v>
      </c>
      <c r="R77" s="283" t="e">
        <f t="shared" si="37"/>
        <v>#DIV/0!</v>
      </c>
      <c r="S77" s="282" t="e">
        <f t="shared" si="38"/>
        <v>#DIV/0!</v>
      </c>
      <c r="T77" s="284"/>
      <c r="U77" s="284"/>
      <c r="V77" s="282" t="e">
        <f t="shared" si="39"/>
        <v>#DIV/0!</v>
      </c>
      <c r="W77" s="284"/>
      <c r="X77" s="284"/>
      <c r="Y77" s="282" t="e">
        <f t="shared" si="40"/>
        <v>#DIV/0!</v>
      </c>
      <c r="Z77" s="284" t="e">
        <f t="shared" si="29"/>
        <v>#DIV/0!</v>
      </c>
      <c r="AA77" s="284" t="e">
        <f t="shared" si="41"/>
        <v>#DIV/0!</v>
      </c>
      <c r="AB77" s="282" t="e">
        <f t="shared" si="42"/>
        <v>#DIV/0!</v>
      </c>
      <c r="AC77" s="285"/>
      <c r="AD77" s="284"/>
      <c r="AE77" s="282" t="e">
        <f t="shared" si="43"/>
        <v>#DIV/0!</v>
      </c>
      <c r="AF77" s="284"/>
      <c r="AG77" s="284"/>
      <c r="AH77" s="86" t="e">
        <f t="shared" si="44"/>
        <v>#DIV/0!</v>
      </c>
      <c r="AI77" s="284"/>
      <c r="AJ77" s="284"/>
      <c r="AK77" s="282" t="e">
        <f t="shared" si="45"/>
        <v>#DIV/0!</v>
      </c>
      <c r="AL77" s="286" t="e">
        <f t="shared" si="30"/>
        <v>#DIV/0!</v>
      </c>
      <c r="AM77" s="286" t="e">
        <f t="shared" si="46"/>
        <v>#DIV/0!</v>
      </c>
      <c r="AN77" s="282" t="e">
        <f t="shared" si="47"/>
        <v>#DIV/0!</v>
      </c>
      <c r="AO77" s="86"/>
    </row>
    <row r="78" spans="1:41" s="96" customFormat="1" ht="15.75" customHeight="1" x14ac:dyDescent="0.3">
      <c r="A78" s="279"/>
      <c r="B78" s="279"/>
      <c r="C78" s="280"/>
      <c r="D78" s="280"/>
      <c r="E78" s="281"/>
      <c r="F78" s="281"/>
      <c r="G78" s="282" t="e">
        <f t="shared" si="31"/>
        <v>#DIV/0!</v>
      </c>
      <c r="H78" s="281"/>
      <c r="I78" s="283"/>
      <c r="J78" s="282" t="e">
        <f t="shared" si="32"/>
        <v>#DIV/0!</v>
      </c>
      <c r="K78" s="281">
        <f t="shared" si="26"/>
        <v>0</v>
      </c>
      <c r="L78" s="281">
        <f t="shared" si="33"/>
        <v>0</v>
      </c>
      <c r="M78" s="282" t="e">
        <f t="shared" si="34"/>
        <v>#DIV/0!</v>
      </c>
      <c r="N78" s="283" t="e">
        <f t="shared" si="27"/>
        <v>#DIV/0!</v>
      </c>
      <c r="O78" s="283" t="e">
        <f t="shared" si="35"/>
        <v>#DIV/0!</v>
      </c>
      <c r="P78" s="282" t="e">
        <f t="shared" si="36"/>
        <v>#DIV/0!</v>
      </c>
      <c r="Q78" s="283" t="e">
        <f t="shared" si="28"/>
        <v>#DIV/0!</v>
      </c>
      <c r="R78" s="283" t="e">
        <f t="shared" si="37"/>
        <v>#DIV/0!</v>
      </c>
      <c r="S78" s="282" t="e">
        <f t="shared" si="38"/>
        <v>#DIV/0!</v>
      </c>
      <c r="T78" s="284"/>
      <c r="U78" s="284"/>
      <c r="V78" s="282" t="e">
        <f t="shared" si="39"/>
        <v>#DIV/0!</v>
      </c>
      <c r="W78" s="284"/>
      <c r="X78" s="284"/>
      <c r="Y78" s="282" t="e">
        <f t="shared" si="40"/>
        <v>#DIV/0!</v>
      </c>
      <c r="Z78" s="284" t="e">
        <f t="shared" si="29"/>
        <v>#DIV/0!</v>
      </c>
      <c r="AA78" s="284" t="e">
        <f t="shared" si="41"/>
        <v>#DIV/0!</v>
      </c>
      <c r="AB78" s="282" t="e">
        <f t="shared" si="42"/>
        <v>#DIV/0!</v>
      </c>
      <c r="AC78" s="285"/>
      <c r="AD78" s="284"/>
      <c r="AE78" s="282" t="e">
        <f t="shared" si="43"/>
        <v>#DIV/0!</v>
      </c>
      <c r="AF78" s="284"/>
      <c r="AG78" s="284"/>
      <c r="AH78" s="86" t="e">
        <f t="shared" si="44"/>
        <v>#DIV/0!</v>
      </c>
      <c r="AI78" s="284"/>
      <c r="AJ78" s="284"/>
      <c r="AK78" s="282" t="e">
        <f t="shared" si="45"/>
        <v>#DIV/0!</v>
      </c>
      <c r="AL78" s="286" t="e">
        <f t="shared" si="30"/>
        <v>#DIV/0!</v>
      </c>
      <c r="AM78" s="286" t="e">
        <f t="shared" si="46"/>
        <v>#DIV/0!</v>
      </c>
      <c r="AN78" s="282" t="e">
        <f t="shared" si="47"/>
        <v>#DIV/0!</v>
      </c>
      <c r="AO78" s="86"/>
    </row>
    <row r="79" spans="1:41" s="96" customFormat="1" ht="15.75" customHeight="1" x14ac:dyDescent="0.3">
      <c r="A79" s="279"/>
      <c r="B79" s="279"/>
      <c r="C79" s="280"/>
      <c r="D79" s="297" t="s">
        <v>274</v>
      </c>
      <c r="E79" s="281">
        <v>0</v>
      </c>
      <c r="F79" s="281"/>
      <c r="G79" s="282" t="e">
        <f t="shared" si="31"/>
        <v>#DIV/0!</v>
      </c>
      <c r="H79" s="281">
        <v>0</v>
      </c>
      <c r="I79" s="283"/>
      <c r="J79" s="282" t="e">
        <f t="shared" si="32"/>
        <v>#DIV/0!</v>
      </c>
      <c r="K79" s="281">
        <f t="shared" si="26"/>
        <v>0</v>
      </c>
      <c r="L79" s="281">
        <f t="shared" si="33"/>
        <v>0</v>
      </c>
      <c r="M79" s="282" t="e">
        <f t="shared" si="34"/>
        <v>#DIV/0!</v>
      </c>
      <c r="N79" s="283" t="e">
        <f t="shared" si="27"/>
        <v>#DIV/0!</v>
      </c>
      <c r="O79" s="283" t="e">
        <f t="shared" si="35"/>
        <v>#DIV/0!</v>
      </c>
      <c r="P79" s="282" t="e">
        <f t="shared" si="36"/>
        <v>#DIV/0!</v>
      </c>
      <c r="Q79" s="283" t="e">
        <f t="shared" si="28"/>
        <v>#DIV/0!</v>
      </c>
      <c r="R79" s="283" t="e">
        <f t="shared" si="37"/>
        <v>#DIV/0!</v>
      </c>
      <c r="S79" s="282" t="e">
        <f t="shared" si="38"/>
        <v>#DIV/0!</v>
      </c>
      <c r="T79" s="284">
        <v>311</v>
      </c>
      <c r="U79" s="284">
        <v>89</v>
      </c>
      <c r="V79" s="282">
        <f t="shared" si="39"/>
        <v>2.49438202247191</v>
      </c>
      <c r="W79" s="284">
        <v>0</v>
      </c>
      <c r="X79" s="284"/>
      <c r="Y79" s="282" t="e">
        <f t="shared" si="40"/>
        <v>#DIV/0!</v>
      </c>
      <c r="Z79" s="284" t="e">
        <f t="shared" si="29"/>
        <v>#DIV/0!</v>
      </c>
      <c r="AA79" s="284" t="e">
        <f t="shared" si="41"/>
        <v>#DIV/0!</v>
      </c>
      <c r="AB79" s="282" t="e">
        <f t="shared" si="42"/>
        <v>#DIV/0!</v>
      </c>
      <c r="AC79" s="285"/>
      <c r="AD79" s="284"/>
      <c r="AE79" s="282" t="e">
        <f t="shared" si="43"/>
        <v>#DIV/0!</v>
      </c>
      <c r="AF79" s="284"/>
      <c r="AG79" s="284"/>
      <c r="AH79" s="86" t="e">
        <f t="shared" si="44"/>
        <v>#DIV/0!</v>
      </c>
      <c r="AI79" s="284"/>
      <c r="AJ79" s="284"/>
      <c r="AK79" s="282" t="e">
        <f t="shared" si="45"/>
        <v>#DIV/0!</v>
      </c>
      <c r="AL79" s="286" t="e">
        <f t="shared" si="30"/>
        <v>#DIV/0!</v>
      </c>
      <c r="AM79" s="286" t="e">
        <f t="shared" si="46"/>
        <v>#DIV/0!</v>
      </c>
      <c r="AN79" s="282" t="e">
        <f t="shared" si="47"/>
        <v>#DIV/0!</v>
      </c>
      <c r="AO79" s="86"/>
    </row>
    <row r="80" spans="1:41" s="81" customFormat="1" ht="15.75" customHeight="1" x14ac:dyDescent="0.3">
      <c r="A80" s="49" t="s">
        <v>43</v>
      </c>
      <c r="B80" s="49" t="s">
        <v>45</v>
      </c>
      <c r="C80" s="50">
        <f>C74+7</f>
        <v>42825</v>
      </c>
      <c r="D80" s="50" t="s">
        <v>28</v>
      </c>
      <c r="E80" s="55">
        <f>SUM(E81:E85)</f>
        <v>0</v>
      </c>
      <c r="F80" s="55">
        <f>SUM(F81:F85)</f>
        <v>0</v>
      </c>
      <c r="G80" s="52" t="e">
        <f t="shared" si="31"/>
        <v>#DIV/0!</v>
      </c>
      <c r="H80" s="55">
        <f>SUM(H81:H85)</f>
        <v>4335</v>
      </c>
      <c r="I80" s="55">
        <f>SUM(I81:I85)</f>
        <v>1021.31</v>
      </c>
      <c r="J80" s="52">
        <f t="shared" si="32"/>
        <v>3.2445486678873214</v>
      </c>
      <c r="K80" s="51">
        <f t="shared" si="26"/>
        <v>4703.4749999999995</v>
      </c>
      <c r="L80" s="51">
        <f t="shared" si="33"/>
        <v>1108.1213499999999</v>
      </c>
      <c r="M80" s="52">
        <f t="shared" si="34"/>
        <v>3.244548667887321</v>
      </c>
      <c r="N80" s="53">
        <f t="shared" si="27"/>
        <v>0</v>
      </c>
      <c r="O80" s="53">
        <f t="shared" si="35"/>
        <v>0</v>
      </c>
      <c r="P80" s="52" t="e">
        <f t="shared" si="36"/>
        <v>#DIV/0!</v>
      </c>
      <c r="Q80" s="53">
        <f t="shared" si="28"/>
        <v>0</v>
      </c>
      <c r="R80" s="53">
        <f t="shared" si="37"/>
        <v>0</v>
      </c>
      <c r="S80" s="52" t="e">
        <f t="shared" si="38"/>
        <v>#DIV/0!</v>
      </c>
      <c r="T80" s="56">
        <f>SUM(T81:T85)</f>
        <v>825</v>
      </c>
      <c r="U80" s="56">
        <f>SUM(U81:U85)</f>
        <v>440</v>
      </c>
      <c r="V80" s="52">
        <f t="shared" si="39"/>
        <v>0.875</v>
      </c>
      <c r="W80" s="56">
        <f>SUM(W81:W85)</f>
        <v>0</v>
      </c>
      <c r="X80" s="56">
        <f>SUM(X81:X85)</f>
        <v>0</v>
      </c>
      <c r="Y80" s="52" t="e">
        <f t="shared" si="40"/>
        <v>#DIV/0!</v>
      </c>
      <c r="Z80" s="51" t="e">
        <f t="shared" si="29"/>
        <v>#DIV/0!</v>
      </c>
      <c r="AA80" s="54" t="e">
        <f t="shared" si="41"/>
        <v>#DIV/0!</v>
      </c>
      <c r="AB80" s="52" t="e">
        <f t="shared" si="42"/>
        <v>#DIV/0!</v>
      </c>
      <c r="AC80" s="56">
        <f>SUM(AC81:AC85)</f>
        <v>496118</v>
      </c>
      <c r="AD80" s="56">
        <f>SUM(AD81:AD85)</f>
        <v>115409</v>
      </c>
      <c r="AE80" s="52">
        <f t="shared" si="43"/>
        <v>3.2987808576454176</v>
      </c>
      <c r="AF80" s="56">
        <f>SUM(AF81:AF85)</f>
        <v>6685</v>
      </c>
      <c r="AG80" s="56">
        <f>SUM(AG81:AG85)</f>
        <v>1261</v>
      </c>
      <c r="AH80" s="67">
        <f t="shared" si="44"/>
        <v>4.3013481363996826</v>
      </c>
      <c r="AI80" s="56">
        <f>SUM(AI81:AI85)</f>
        <v>902048</v>
      </c>
      <c r="AJ80" s="56">
        <f>SUM(AJ81:AJ85)</f>
        <v>155175</v>
      </c>
      <c r="AK80" s="52">
        <f t="shared" si="45"/>
        <v>4.8131013371999352</v>
      </c>
      <c r="AL80" s="82">
        <f t="shared" si="30"/>
        <v>7.410913831636454E-3</v>
      </c>
      <c r="AM80" s="82">
        <f t="shared" si="46"/>
        <v>8.1263090059610112E-3</v>
      </c>
      <c r="AN80" s="52">
        <f>(AL80-AM80)/AM80</f>
        <v>-8.8034453747671021E-2</v>
      </c>
      <c r="AO80" s="86" t="s">
        <v>187</v>
      </c>
    </row>
    <row r="81" spans="1:41" s="96" customFormat="1" ht="15.75" customHeight="1" x14ac:dyDescent="0.3">
      <c r="A81" s="279"/>
      <c r="B81" s="279"/>
      <c r="C81" s="280"/>
      <c r="D81" s="297" t="s">
        <v>187</v>
      </c>
      <c r="E81" s="281">
        <v>0</v>
      </c>
      <c r="F81" s="281"/>
      <c r="G81" s="282" t="e">
        <f t="shared" si="31"/>
        <v>#DIV/0!</v>
      </c>
      <c r="H81" s="281">
        <v>4335</v>
      </c>
      <c r="I81" s="283"/>
      <c r="J81" s="282" t="e">
        <f t="shared" si="32"/>
        <v>#DIV/0!</v>
      </c>
      <c r="K81" s="281">
        <f t="shared" si="26"/>
        <v>4703.4749999999995</v>
      </c>
      <c r="L81" s="281">
        <f t="shared" si="33"/>
        <v>0</v>
      </c>
      <c r="M81" s="282" t="e">
        <f t="shared" si="34"/>
        <v>#DIV/0!</v>
      </c>
      <c r="N81" s="283">
        <f t="shared" si="27"/>
        <v>0</v>
      </c>
      <c r="O81" s="283" t="e">
        <f t="shared" si="35"/>
        <v>#DIV/0!</v>
      </c>
      <c r="P81" s="282" t="e">
        <f t="shared" si="36"/>
        <v>#DIV/0!</v>
      </c>
      <c r="Q81" s="283">
        <f t="shared" si="28"/>
        <v>0</v>
      </c>
      <c r="R81" s="283" t="e">
        <f t="shared" si="37"/>
        <v>#DIV/0!</v>
      </c>
      <c r="S81" s="282" t="e">
        <f t="shared" si="38"/>
        <v>#DIV/0!</v>
      </c>
      <c r="T81" s="284">
        <v>0</v>
      </c>
      <c r="U81" s="284">
        <v>0</v>
      </c>
      <c r="V81" s="282" t="e">
        <f t="shared" si="39"/>
        <v>#DIV/0!</v>
      </c>
      <c r="W81" s="284">
        <v>0</v>
      </c>
      <c r="X81" s="284"/>
      <c r="Y81" s="282" t="e">
        <f t="shared" si="40"/>
        <v>#DIV/0!</v>
      </c>
      <c r="Z81" s="284" t="e">
        <f t="shared" si="29"/>
        <v>#DIV/0!</v>
      </c>
      <c r="AA81" s="284" t="e">
        <f t="shared" si="41"/>
        <v>#DIV/0!</v>
      </c>
      <c r="AB81" s="282" t="e">
        <f t="shared" si="42"/>
        <v>#DIV/0!</v>
      </c>
      <c r="AC81" s="285">
        <v>496118</v>
      </c>
      <c r="AD81" s="284"/>
      <c r="AE81" s="282" t="e">
        <f t="shared" si="43"/>
        <v>#DIV/0!</v>
      </c>
      <c r="AF81" s="284">
        <v>6685</v>
      </c>
      <c r="AG81" s="284"/>
      <c r="AH81" s="86" t="e">
        <f t="shared" si="44"/>
        <v>#DIV/0!</v>
      </c>
      <c r="AI81" s="284">
        <v>902048</v>
      </c>
      <c r="AJ81" s="284"/>
      <c r="AK81" s="282" t="e">
        <f t="shared" si="45"/>
        <v>#DIV/0!</v>
      </c>
      <c r="AL81" s="286">
        <f t="shared" si="30"/>
        <v>7.410913831636454E-3</v>
      </c>
      <c r="AM81" s="286" t="e">
        <f t="shared" si="46"/>
        <v>#DIV/0!</v>
      </c>
      <c r="AN81" s="282" t="e">
        <f t="shared" si="47"/>
        <v>#DIV/0!</v>
      </c>
      <c r="AO81" s="86"/>
    </row>
    <row r="82" spans="1:41" s="96" customFormat="1" ht="15.75" customHeight="1" x14ac:dyDescent="0.3">
      <c r="A82" s="279"/>
      <c r="B82" s="279"/>
      <c r="C82" s="280"/>
      <c r="D82" s="280"/>
      <c r="E82" s="281"/>
      <c r="F82" s="281"/>
      <c r="G82" s="282" t="e">
        <f t="shared" si="31"/>
        <v>#DIV/0!</v>
      </c>
      <c r="H82" s="281"/>
      <c r="I82" s="283"/>
      <c r="J82" s="282" t="e">
        <f t="shared" si="32"/>
        <v>#DIV/0!</v>
      </c>
      <c r="K82" s="281">
        <f t="shared" si="26"/>
        <v>0</v>
      </c>
      <c r="L82" s="281">
        <f t="shared" si="33"/>
        <v>0</v>
      </c>
      <c r="M82" s="282" t="e">
        <f t="shared" si="34"/>
        <v>#DIV/0!</v>
      </c>
      <c r="N82" s="283" t="e">
        <f t="shared" si="27"/>
        <v>#DIV/0!</v>
      </c>
      <c r="O82" s="283" t="e">
        <f t="shared" si="35"/>
        <v>#DIV/0!</v>
      </c>
      <c r="P82" s="282" t="e">
        <f t="shared" si="36"/>
        <v>#DIV/0!</v>
      </c>
      <c r="Q82" s="283" t="e">
        <f t="shared" si="28"/>
        <v>#DIV/0!</v>
      </c>
      <c r="R82" s="283" t="e">
        <f t="shared" si="37"/>
        <v>#DIV/0!</v>
      </c>
      <c r="S82" s="282" t="e">
        <f t="shared" si="38"/>
        <v>#DIV/0!</v>
      </c>
      <c r="T82" s="284"/>
      <c r="U82" s="284"/>
      <c r="V82" s="282" t="e">
        <f t="shared" si="39"/>
        <v>#DIV/0!</v>
      </c>
      <c r="W82" s="284"/>
      <c r="X82" s="284"/>
      <c r="Y82" s="282" t="e">
        <f t="shared" si="40"/>
        <v>#DIV/0!</v>
      </c>
      <c r="Z82" s="284" t="e">
        <f t="shared" si="29"/>
        <v>#DIV/0!</v>
      </c>
      <c r="AA82" s="284" t="e">
        <f t="shared" si="41"/>
        <v>#DIV/0!</v>
      </c>
      <c r="AB82" s="282" t="e">
        <f t="shared" si="42"/>
        <v>#DIV/0!</v>
      </c>
      <c r="AC82" s="285"/>
      <c r="AD82" s="284"/>
      <c r="AE82" s="282" t="e">
        <f t="shared" si="43"/>
        <v>#DIV/0!</v>
      </c>
      <c r="AF82" s="284"/>
      <c r="AG82" s="284"/>
      <c r="AH82" s="86" t="e">
        <f t="shared" si="44"/>
        <v>#DIV/0!</v>
      </c>
      <c r="AI82" s="284"/>
      <c r="AJ82" s="284"/>
      <c r="AK82" s="282" t="e">
        <f t="shared" si="45"/>
        <v>#DIV/0!</v>
      </c>
      <c r="AL82" s="286" t="e">
        <f t="shared" si="30"/>
        <v>#DIV/0!</v>
      </c>
      <c r="AM82" s="286" t="e">
        <f t="shared" si="46"/>
        <v>#DIV/0!</v>
      </c>
      <c r="AN82" s="282" t="e">
        <f t="shared" si="47"/>
        <v>#DIV/0!</v>
      </c>
      <c r="AO82" s="86"/>
    </row>
    <row r="83" spans="1:41" s="96" customFormat="1" ht="15.75" customHeight="1" x14ac:dyDescent="0.3">
      <c r="A83" s="279"/>
      <c r="B83" s="279"/>
      <c r="C83" s="280"/>
      <c r="D83" s="280"/>
      <c r="E83" s="281"/>
      <c r="F83" s="281"/>
      <c r="G83" s="282" t="e">
        <f t="shared" si="31"/>
        <v>#DIV/0!</v>
      </c>
      <c r="H83" s="281"/>
      <c r="I83" s="283"/>
      <c r="J83" s="282" t="e">
        <f t="shared" si="32"/>
        <v>#DIV/0!</v>
      </c>
      <c r="K83" s="281">
        <f t="shared" si="26"/>
        <v>0</v>
      </c>
      <c r="L83" s="281">
        <f t="shared" si="33"/>
        <v>0</v>
      </c>
      <c r="M83" s="282" t="e">
        <f t="shared" si="34"/>
        <v>#DIV/0!</v>
      </c>
      <c r="N83" s="283" t="e">
        <f t="shared" si="27"/>
        <v>#DIV/0!</v>
      </c>
      <c r="O83" s="283" t="e">
        <f t="shared" si="35"/>
        <v>#DIV/0!</v>
      </c>
      <c r="P83" s="282" t="e">
        <f t="shared" si="36"/>
        <v>#DIV/0!</v>
      </c>
      <c r="Q83" s="283" t="e">
        <f t="shared" si="28"/>
        <v>#DIV/0!</v>
      </c>
      <c r="R83" s="283" t="e">
        <f t="shared" si="37"/>
        <v>#DIV/0!</v>
      </c>
      <c r="S83" s="282" t="e">
        <f t="shared" si="38"/>
        <v>#DIV/0!</v>
      </c>
      <c r="T83" s="284"/>
      <c r="U83" s="284"/>
      <c r="V83" s="282" t="e">
        <f t="shared" si="39"/>
        <v>#DIV/0!</v>
      </c>
      <c r="W83" s="284"/>
      <c r="X83" s="284"/>
      <c r="Y83" s="282" t="e">
        <f t="shared" si="40"/>
        <v>#DIV/0!</v>
      </c>
      <c r="Z83" s="284" t="e">
        <f t="shared" si="29"/>
        <v>#DIV/0!</v>
      </c>
      <c r="AA83" s="284" t="e">
        <f t="shared" si="41"/>
        <v>#DIV/0!</v>
      </c>
      <c r="AB83" s="282" t="e">
        <f t="shared" si="42"/>
        <v>#DIV/0!</v>
      </c>
      <c r="AC83" s="285"/>
      <c r="AD83" s="284"/>
      <c r="AE83" s="282" t="e">
        <f t="shared" si="43"/>
        <v>#DIV/0!</v>
      </c>
      <c r="AF83" s="284"/>
      <c r="AG83" s="284"/>
      <c r="AH83" s="86" t="e">
        <f t="shared" si="44"/>
        <v>#DIV/0!</v>
      </c>
      <c r="AI83" s="284"/>
      <c r="AJ83" s="284"/>
      <c r="AK83" s="282" t="e">
        <f t="shared" si="45"/>
        <v>#DIV/0!</v>
      </c>
      <c r="AL83" s="286" t="e">
        <f t="shared" si="30"/>
        <v>#DIV/0!</v>
      </c>
      <c r="AM83" s="286" t="e">
        <f t="shared" si="46"/>
        <v>#DIV/0!</v>
      </c>
      <c r="AN83" s="282" t="e">
        <f t="shared" si="47"/>
        <v>#DIV/0!</v>
      </c>
      <c r="AO83" s="86"/>
    </row>
    <row r="84" spans="1:41" s="96" customFormat="1" ht="15.75" customHeight="1" x14ac:dyDescent="0.3">
      <c r="A84" s="279"/>
      <c r="B84" s="279"/>
      <c r="C84" s="280"/>
      <c r="D84" s="280"/>
      <c r="E84" s="281"/>
      <c r="F84" s="281"/>
      <c r="G84" s="282" t="e">
        <f t="shared" si="31"/>
        <v>#DIV/0!</v>
      </c>
      <c r="H84" s="281"/>
      <c r="I84" s="283"/>
      <c r="J84" s="282" t="e">
        <f t="shared" si="32"/>
        <v>#DIV/0!</v>
      </c>
      <c r="K84" s="281">
        <f t="shared" si="26"/>
        <v>0</v>
      </c>
      <c r="L84" s="281">
        <f t="shared" si="33"/>
        <v>0</v>
      </c>
      <c r="M84" s="282" t="e">
        <f t="shared" si="34"/>
        <v>#DIV/0!</v>
      </c>
      <c r="N84" s="283" t="e">
        <f t="shared" si="27"/>
        <v>#DIV/0!</v>
      </c>
      <c r="O84" s="283" t="e">
        <f t="shared" si="35"/>
        <v>#DIV/0!</v>
      </c>
      <c r="P84" s="282" t="e">
        <f t="shared" si="36"/>
        <v>#DIV/0!</v>
      </c>
      <c r="Q84" s="283" t="e">
        <f t="shared" si="28"/>
        <v>#DIV/0!</v>
      </c>
      <c r="R84" s="283" t="e">
        <f t="shared" si="37"/>
        <v>#DIV/0!</v>
      </c>
      <c r="S84" s="282" t="e">
        <f t="shared" si="38"/>
        <v>#DIV/0!</v>
      </c>
      <c r="T84" s="284"/>
      <c r="U84" s="284"/>
      <c r="V84" s="282" t="e">
        <f t="shared" si="39"/>
        <v>#DIV/0!</v>
      </c>
      <c r="W84" s="284"/>
      <c r="X84" s="284"/>
      <c r="Y84" s="282" t="e">
        <f t="shared" si="40"/>
        <v>#DIV/0!</v>
      </c>
      <c r="Z84" s="284" t="e">
        <f t="shared" si="29"/>
        <v>#DIV/0!</v>
      </c>
      <c r="AA84" s="284" t="e">
        <f t="shared" si="41"/>
        <v>#DIV/0!</v>
      </c>
      <c r="AB84" s="282" t="e">
        <f t="shared" si="42"/>
        <v>#DIV/0!</v>
      </c>
      <c r="AC84" s="285"/>
      <c r="AD84" s="284"/>
      <c r="AE84" s="282" t="e">
        <f t="shared" si="43"/>
        <v>#DIV/0!</v>
      </c>
      <c r="AF84" s="284"/>
      <c r="AG84" s="284"/>
      <c r="AH84" s="86" t="e">
        <f t="shared" si="44"/>
        <v>#DIV/0!</v>
      </c>
      <c r="AI84" s="284"/>
      <c r="AJ84" s="284"/>
      <c r="AK84" s="282" t="e">
        <f t="shared" si="45"/>
        <v>#DIV/0!</v>
      </c>
      <c r="AL84" s="286" t="e">
        <f t="shared" si="30"/>
        <v>#DIV/0!</v>
      </c>
      <c r="AM84" s="286" t="e">
        <f t="shared" si="46"/>
        <v>#DIV/0!</v>
      </c>
      <c r="AN84" s="282" t="e">
        <f t="shared" si="47"/>
        <v>#DIV/0!</v>
      </c>
      <c r="AO84" s="86"/>
    </row>
    <row r="85" spans="1:41" s="96" customFormat="1" ht="15.75" customHeight="1" x14ac:dyDescent="0.3">
      <c r="A85" s="279"/>
      <c r="B85" s="279"/>
      <c r="C85" s="280"/>
      <c r="D85" s="297" t="s">
        <v>274</v>
      </c>
      <c r="E85" s="281">
        <v>0</v>
      </c>
      <c r="F85" s="281"/>
      <c r="G85" s="282" t="e">
        <f t="shared" si="31"/>
        <v>#DIV/0!</v>
      </c>
      <c r="H85" s="281">
        <v>0</v>
      </c>
      <c r="I85" s="283">
        <v>1021.31</v>
      </c>
      <c r="J85" s="282">
        <f t="shared" si="32"/>
        <v>-1</v>
      </c>
      <c r="K85" s="281">
        <f t="shared" si="26"/>
        <v>0</v>
      </c>
      <c r="L85" s="281">
        <f t="shared" si="33"/>
        <v>1108.1213499999999</v>
      </c>
      <c r="M85" s="282">
        <f t="shared" si="34"/>
        <v>-1</v>
      </c>
      <c r="N85" s="283" t="e">
        <f t="shared" si="27"/>
        <v>#DIV/0!</v>
      </c>
      <c r="O85" s="283">
        <f t="shared" si="35"/>
        <v>0</v>
      </c>
      <c r="P85" s="282" t="e">
        <f t="shared" si="36"/>
        <v>#DIV/0!</v>
      </c>
      <c r="Q85" s="283" t="e">
        <f t="shared" si="28"/>
        <v>#DIV/0!</v>
      </c>
      <c r="R85" s="283">
        <f t="shared" si="37"/>
        <v>0</v>
      </c>
      <c r="S85" s="282" t="e">
        <f t="shared" si="38"/>
        <v>#DIV/0!</v>
      </c>
      <c r="T85" s="284">
        <v>825</v>
      </c>
      <c r="U85" s="284">
        <v>440</v>
      </c>
      <c r="V85" s="282">
        <f t="shared" si="39"/>
        <v>0.875</v>
      </c>
      <c r="W85" s="284">
        <v>0</v>
      </c>
      <c r="X85" s="284"/>
      <c r="Y85" s="282" t="e">
        <f t="shared" si="40"/>
        <v>#DIV/0!</v>
      </c>
      <c r="Z85" s="284" t="e">
        <f t="shared" si="29"/>
        <v>#DIV/0!</v>
      </c>
      <c r="AA85" s="284" t="e">
        <f t="shared" si="41"/>
        <v>#DIV/0!</v>
      </c>
      <c r="AB85" s="282" t="e">
        <f t="shared" si="42"/>
        <v>#DIV/0!</v>
      </c>
      <c r="AC85" s="285">
        <v>0</v>
      </c>
      <c r="AD85" s="284">
        <v>115409</v>
      </c>
      <c r="AE85" s="282">
        <f t="shared" si="43"/>
        <v>-1</v>
      </c>
      <c r="AF85" s="284">
        <v>0</v>
      </c>
      <c r="AG85" s="284">
        <v>1261</v>
      </c>
      <c r="AH85" s="86">
        <f t="shared" si="44"/>
        <v>-1</v>
      </c>
      <c r="AI85" s="284">
        <v>0</v>
      </c>
      <c r="AJ85" s="284">
        <v>155175</v>
      </c>
      <c r="AK85" s="282">
        <f t="shared" si="45"/>
        <v>-1</v>
      </c>
      <c r="AL85" s="286" t="e">
        <f t="shared" si="30"/>
        <v>#DIV/0!</v>
      </c>
      <c r="AM85" s="286">
        <f t="shared" si="46"/>
        <v>8.1263090059610112E-3</v>
      </c>
      <c r="AN85" s="282" t="e">
        <f t="shared" si="47"/>
        <v>#DIV/0!</v>
      </c>
      <c r="AO85" s="86"/>
    </row>
    <row r="86" spans="1:41" s="81" customFormat="1" ht="15.75" customHeight="1" x14ac:dyDescent="0.3">
      <c r="A86" s="49" t="s">
        <v>43</v>
      </c>
      <c r="B86" s="49" t="s">
        <v>46</v>
      </c>
      <c r="C86" s="50">
        <f>C80+7</f>
        <v>42832</v>
      </c>
      <c r="D86" s="50" t="s">
        <v>28</v>
      </c>
      <c r="E86" s="55">
        <f>SUM(E87:E91)</f>
        <v>0</v>
      </c>
      <c r="F86" s="55">
        <f>SUM(F87:F91)</f>
        <v>0</v>
      </c>
      <c r="G86" s="52" t="e">
        <f t="shared" si="31"/>
        <v>#DIV/0!</v>
      </c>
      <c r="H86" s="55">
        <f>SUM(H87:H91)</f>
        <v>0</v>
      </c>
      <c r="I86" s="55">
        <f>SUM(I87:I91)</f>
        <v>2537.7399999999998</v>
      </c>
      <c r="J86" s="52">
        <f t="shared" si="32"/>
        <v>-1</v>
      </c>
      <c r="K86" s="51">
        <f t="shared" si="26"/>
        <v>0</v>
      </c>
      <c r="L86" s="51">
        <f t="shared" si="33"/>
        <v>2753.4478999999997</v>
      </c>
      <c r="M86" s="52">
        <f t="shared" si="34"/>
        <v>-1</v>
      </c>
      <c r="N86" s="53" t="e">
        <f t="shared" si="27"/>
        <v>#DIV/0!</v>
      </c>
      <c r="O86" s="53">
        <f t="shared" si="35"/>
        <v>0</v>
      </c>
      <c r="P86" s="52" t="e">
        <f t="shared" si="36"/>
        <v>#DIV/0!</v>
      </c>
      <c r="Q86" s="53" t="e">
        <f t="shared" si="28"/>
        <v>#DIV/0!</v>
      </c>
      <c r="R86" s="53">
        <f t="shared" si="37"/>
        <v>0</v>
      </c>
      <c r="S86" s="52" t="e">
        <f t="shared" si="38"/>
        <v>#DIV/0!</v>
      </c>
      <c r="T86" s="56">
        <f>SUM(T87:T91)</f>
        <v>6</v>
      </c>
      <c r="U86" s="56">
        <f>SUM(U87:U91)</f>
        <v>814</v>
      </c>
      <c r="V86" s="52">
        <f t="shared" si="39"/>
        <v>-0.99262899262899262</v>
      </c>
      <c r="W86" s="56">
        <f>SUM(W87:W91)</f>
        <v>0</v>
      </c>
      <c r="X86" s="56">
        <f>SUM(X87:X91)</f>
        <v>0</v>
      </c>
      <c r="Y86" s="52" t="e">
        <f t="shared" si="40"/>
        <v>#DIV/0!</v>
      </c>
      <c r="Z86" s="51" t="e">
        <f t="shared" si="29"/>
        <v>#DIV/0!</v>
      </c>
      <c r="AA86" s="54" t="e">
        <f t="shared" si="41"/>
        <v>#DIV/0!</v>
      </c>
      <c r="AB86" s="52" t="e">
        <f t="shared" si="42"/>
        <v>#DIV/0!</v>
      </c>
      <c r="AC86" s="56">
        <f>SUM(AC87:AC91)</f>
        <v>0</v>
      </c>
      <c r="AD86" s="56">
        <f>SUM(AD87:AD91)</f>
        <v>260564</v>
      </c>
      <c r="AE86" s="52">
        <f t="shared" si="43"/>
        <v>-1</v>
      </c>
      <c r="AF86" s="56">
        <f>SUM(AF87:AF91)</f>
        <v>0</v>
      </c>
      <c r="AG86" s="56">
        <f>SUM(AG87:AG91)</f>
        <v>3920</v>
      </c>
      <c r="AH86" s="67">
        <f t="shared" si="44"/>
        <v>-1</v>
      </c>
      <c r="AI86" s="56">
        <f>SUM(AI87:AI91)</f>
        <v>0</v>
      </c>
      <c r="AJ86" s="56">
        <f>SUM(AJ87:AJ91)</f>
        <v>480468</v>
      </c>
      <c r="AK86" s="52">
        <f t="shared" si="45"/>
        <v>-1</v>
      </c>
      <c r="AL86" s="82" t="e">
        <f t="shared" si="30"/>
        <v>#DIV/0!</v>
      </c>
      <c r="AM86" s="82">
        <f t="shared" si="46"/>
        <v>8.1587119225421875E-3</v>
      </c>
      <c r="AN86" s="52" t="e">
        <f>(AL86-AM86)/AM86</f>
        <v>#DIV/0!</v>
      </c>
      <c r="AO86" s="68"/>
    </row>
    <row r="87" spans="1:41" s="96" customFormat="1" ht="15.75" customHeight="1" x14ac:dyDescent="0.3">
      <c r="A87" s="279"/>
      <c r="B87" s="279"/>
      <c r="C87" s="280"/>
      <c r="D87" s="280"/>
      <c r="E87" s="281"/>
      <c r="F87" s="281"/>
      <c r="G87" s="282" t="e">
        <f t="shared" si="31"/>
        <v>#DIV/0!</v>
      </c>
      <c r="H87" s="281"/>
      <c r="I87" s="283"/>
      <c r="J87" s="282" t="e">
        <f t="shared" si="32"/>
        <v>#DIV/0!</v>
      </c>
      <c r="K87" s="281">
        <f t="shared" si="26"/>
        <v>0</v>
      </c>
      <c r="L87" s="281">
        <f t="shared" si="33"/>
        <v>0</v>
      </c>
      <c r="M87" s="282" t="e">
        <f t="shared" si="34"/>
        <v>#DIV/0!</v>
      </c>
      <c r="N87" s="283" t="e">
        <f t="shared" si="27"/>
        <v>#DIV/0!</v>
      </c>
      <c r="O87" s="283" t="e">
        <f t="shared" si="35"/>
        <v>#DIV/0!</v>
      </c>
      <c r="P87" s="282" t="e">
        <f t="shared" si="36"/>
        <v>#DIV/0!</v>
      </c>
      <c r="Q87" s="283" t="e">
        <f t="shared" si="28"/>
        <v>#DIV/0!</v>
      </c>
      <c r="R87" s="283" t="e">
        <f t="shared" si="37"/>
        <v>#DIV/0!</v>
      </c>
      <c r="S87" s="282" t="e">
        <f t="shared" si="38"/>
        <v>#DIV/0!</v>
      </c>
      <c r="T87" s="284"/>
      <c r="U87" s="284"/>
      <c r="V87" s="282" t="e">
        <f t="shared" si="39"/>
        <v>#DIV/0!</v>
      </c>
      <c r="W87" s="284"/>
      <c r="X87" s="284"/>
      <c r="Y87" s="282" t="e">
        <f t="shared" si="40"/>
        <v>#DIV/0!</v>
      </c>
      <c r="Z87" s="284" t="e">
        <f t="shared" si="29"/>
        <v>#DIV/0!</v>
      </c>
      <c r="AA87" s="284" t="e">
        <f t="shared" si="41"/>
        <v>#DIV/0!</v>
      </c>
      <c r="AB87" s="282" t="e">
        <f t="shared" si="42"/>
        <v>#DIV/0!</v>
      </c>
      <c r="AC87" s="285"/>
      <c r="AD87" s="284"/>
      <c r="AE87" s="282" t="e">
        <f t="shared" si="43"/>
        <v>#DIV/0!</v>
      </c>
      <c r="AF87" s="284"/>
      <c r="AG87" s="284"/>
      <c r="AH87" s="86" t="e">
        <f t="shared" si="44"/>
        <v>#DIV/0!</v>
      </c>
      <c r="AI87" s="284"/>
      <c r="AJ87" s="284"/>
      <c r="AK87" s="282" t="e">
        <f t="shared" si="45"/>
        <v>#DIV/0!</v>
      </c>
      <c r="AL87" s="286" t="e">
        <f t="shared" si="30"/>
        <v>#DIV/0!</v>
      </c>
      <c r="AM87" s="286" t="e">
        <f t="shared" si="46"/>
        <v>#DIV/0!</v>
      </c>
      <c r="AN87" s="282" t="e">
        <f t="shared" si="47"/>
        <v>#DIV/0!</v>
      </c>
      <c r="AO87" s="86"/>
    </row>
    <row r="88" spans="1:41" s="96" customFormat="1" ht="15.75" customHeight="1" x14ac:dyDescent="0.3">
      <c r="A88" s="279"/>
      <c r="B88" s="279"/>
      <c r="C88" s="280"/>
      <c r="D88" s="280"/>
      <c r="E88" s="281"/>
      <c r="F88" s="281"/>
      <c r="G88" s="282" t="e">
        <f t="shared" si="31"/>
        <v>#DIV/0!</v>
      </c>
      <c r="H88" s="281"/>
      <c r="I88" s="283"/>
      <c r="J88" s="282" t="e">
        <f t="shared" si="32"/>
        <v>#DIV/0!</v>
      </c>
      <c r="K88" s="281">
        <f t="shared" si="26"/>
        <v>0</v>
      </c>
      <c r="L88" s="281">
        <f t="shared" si="33"/>
        <v>0</v>
      </c>
      <c r="M88" s="282" t="e">
        <f t="shared" si="34"/>
        <v>#DIV/0!</v>
      </c>
      <c r="N88" s="283" t="e">
        <f t="shared" si="27"/>
        <v>#DIV/0!</v>
      </c>
      <c r="O88" s="283" t="e">
        <f t="shared" si="35"/>
        <v>#DIV/0!</v>
      </c>
      <c r="P88" s="282" t="e">
        <f t="shared" si="36"/>
        <v>#DIV/0!</v>
      </c>
      <c r="Q88" s="283" t="e">
        <f t="shared" si="28"/>
        <v>#DIV/0!</v>
      </c>
      <c r="R88" s="283" t="e">
        <f t="shared" si="37"/>
        <v>#DIV/0!</v>
      </c>
      <c r="S88" s="282" t="e">
        <f t="shared" si="38"/>
        <v>#DIV/0!</v>
      </c>
      <c r="T88" s="284"/>
      <c r="U88" s="284"/>
      <c r="V88" s="282" t="e">
        <f t="shared" si="39"/>
        <v>#DIV/0!</v>
      </c>
      <c r="W88" s="284"/>
      <c r="X88" s="284"/>
      <c r="Y88" s="282" t="e">
        <f t="shared" si="40"/>
        <v>#DIV/0!</v>
      </c>
      <c r="Z88" s="284" t="e">
        <f t="shared" si="29"/>
        <v>#DIV/0!</v>
      </c>
      <c r="AA88" s="284" t="e">
        <f t="shared" si="41"/>
        <v>#DIV/0!</v>
      </c>
      <c r="AB88" s="282" t="e">
        <f t="shared" si="42"/>
        <v>#DIV/0!</v>
      </c>
      <c r="AC88" s="285"/>
      <c r="AD88" s="284"/>
      <c r="AE88" s="282" t="e">
        <f t="shared" si="43"/>
        <v>#DIV/0!</v>
      </c>
      <c r="AF88" s="284"/>
      <c r="AG88" s="284"/>
      <c r="AH88" s="86" t="e">
        <f t="shared" si="44"/>
        <v>#DIV/0!</v>
      </c>
      <c r="AI88" s="284"/>
      <c r="AJ88" s="284"/>
      <c r="AK88" s="282" t="e">
        <f t="shared" si="45"/>
        <v>#DIV/0!</v>
      </c>
      <c r="AL88" s="286" t="e">
        <f t="shared" si="30"/>
        <v>#DIV/0!</v>
      </c>
      <c r="AM88" s="286" t="e">
        <f t="shared" si="46"/>
        <v>#DIV/0!</v>
      </c>
      <c r="AN88" s="282" t="e">
        <f t="shared" si="47"/>
        <v>#DIV/0!</v>
      </c>
      <c r="AO88" s="86"/>
    </row>
    <row r="89" spans="1:41" s="96" customFormat="1" ht="15.75" customHeight="1" x14ac:dyDescent="0.3">
      <c r="A89" s="279"/>
      <c r="B89" s="279"/>
      <c r="C89" s="280"/>
      <c r="D89" s="280"/>
      <c r="E89" s="281"/>
      <c r="F89" s="281"/>
      <c r="G89" s="282" t="e">
        <f t="shared" si="31"/>
        <v>#DIV/0!</v>
      </c>
      <c r="H89" s="281"/>
      <c r="I89" s="283"/>
      <c r="J89" s="282" t="e">
        <f t="shared" si="32"/>
        <v>#DIV/0!</v>
      </c>
      <c r="K89" s="281">
        <f t="shared" si="26"/>
        <v>0</v>
      </c>
      <c r="L89" s="281">
        <f t="shared" si="33"/>
        <v>0</v>
      </c>
      <c r="M89" s="282" t="e">
        <f t="shared" si="34"/>
        <v>#DIV/0!</v>
      </c>
      <c r="N89" s="283" t="e">
        <f t="shared" si="27"/>
        <v>#DIV/0!</v>
      </c>
      <c r="O89" s="283" t="e">
        <f t="shared" si="35"/>
        <v>#DIV/0!</v>
      </c>
      <c r="P89" s="282" t="e">
        <f t="shared" si="36"/>
        <v>#DIV/0!</v>
      </c>
      <c r="Q89" s="283" t="e">
        <f t="shared" si="28"/>
        <v>#DIV/0!</v>
      </c>
      <c r="R89" s="283" t="e">
        <f t="shared" si="37"/>
        <v>#DIV/0!</v>
      </c>
      <c r="S89" s="282" t="e">
        <f t="shared" si="38"/>
        <v>#DIV/0!</v>
      </c>
      <c r="T89" s="284"/>
      <c r="U89" s="284"/>
      <c r="V89" s="282" t="e">
        <f t="shared" si="39"/>
        <v>#DIV/0!</v>
      </c>
      <c r="W89" s="284"/>
      <c r="X89" s="284"/>
      <c r="Y89" s="282" t="e">
        <f t="shared" si="40"/>
        <v>#DIV/0!</v>
      </c>
      <c r="Z89" s="284" t="e">
        <f t="shared" si="29"/>
        <v>#DIV/0!</v>
      </c>
      <c r="AA89" s="284" t="e">
        <f t="shared" si="41"/>
        <v>#DIV/0!</v>
      </c>
      <c r="AB89" s="282" t="e">
        <f t="shared" si="42"/>
        <v>#DIV/0!</v>
      </c>
      <c r="AC89" s="285"/>
      <c r="AD89" s="284"/>
      <c r="AE89" s="282" t="e">
        <f t="shared" si="43"/>
        <v>#DIV/0!</v>
      </c>
      <c r="AF89" s="284"/>
      <c r="AG89" s="284"/>
      <c r="AH89" s="86" t="e">
        <f t="shared" si="44"/>
        <v>#DIV/0!</v>
      </c>
      <c r="AI89" s="284"/>
      <c r="AJ89" s="284"/>
      <c r="AK89" s="282" t="e">
        <f t="shared" si="45"/>
        <v>#DIV/0!</v>
      </c>
      <c r="AL89" s="286" t="e">
        <f t="shared" si="30"/>
        <v>#DIV/0!</v>
      </c>
      <c r="AM89" s="286" t="e">
        <f t="shared" si="46"/>
        <v>#DIV/0!</v>
      </c>
      <c r="AN89" s="282" t="e">
        <f t="shared" si="47"/>
        <v>#DIV/0!</v>
      </c>
      <c r="AO89" s="86"/>
    </row>
    <row r="90" spans="1:41" s="96" customFormat="1" ht="15.75" customHeight="1" x14ac:dyDescent="0.3">
      <c r="A90" s="279"/>
      <c r="B90" s="279"/>
      <c r="C90" s="280"/>
      <c r="D90" s="280"/>
      <c r="E90" s="281"/>
      <c r="F90" s="281"/>
      <c r="G90" s="282" t="e">
        <f t="shared" si="31"/>
        <v>#DIV/0!</v>
      </c>
      <c r="H90" s="281"/>
      <c r="I90" s="283"/>
      <c r="J90" s="282" t="e">
        <f t="shared" si="32"/>
        <v>#DIV/0!</v>
      </c>
      <c r="K90" s="281">
        <f t="shared" si="26"/>
        <v>0</v>
      </c>
      <c r="L90" s="281">
        <f t="shared" si="33"/>
        <v>0</v>
      </c>
      <c r="M90" s="282" t="e">
        <f t="shared" si="34"/>
        <v>#DIV/0!</v>
      </c>
      <c r="N90" s="283" t="e">
        <f t="shared" si="27"/>
        <v>#DIV/0!</v>
      </c>
      <c r="O90" s="283" t="e">
        <f t="shared" si="35"/>
        <v>#DIV/0!</v>
      </c>
      <c r="P90" s="282" t="e">
        <f t="shared" si="36"/>
        <v>#DIV/0!</v>
      </c>
      <c r="Q90" s="283" t="e">
        <f t="shared" si="28"/>
        <v>#DIV/0!</v>
      </c>
      <c r="R90" s="283" t="e">
        <f t="shared" si="37"/>
        <v>#DIV/0!</v>
      </c>
      <c r="S90" s="282" t="e">
        <f t="shared" si="38"/>
        <v>#DIV/0!</v>
      </c>
      <c r="T90" s="284"/>
      <c r="U90" s="284"/>
      <c r="V90" s="282" t="e">
        <f t="shared" si="39"/>
        <v>#DIV/0!</v>
      </c>
      <c r="W90" s="284"/>
      <c r="X90" s="284"/>
      <c r="Y90" s="282" t="e">
        <f t="shared" si="40"/>
        <v>#DIV/0!</v>
      </c>
      <c r="Z90" s="284" t="e">
        <f t="shared" si="29"/>
        <v>#DIV/0!</v>
      </c>
      <c r="AA90" s="284" t="e">
        <f t="shared" si="41"/>
        <v>#DIV/0!</v>
      </c>
      <c r="AB90" s="282" t="e">
        <f t="shared" si="42"/>
        <v>#DIV/0!</v>
      </c>
      <c r="AC90" s="285"/>
      <c r="AD90" s="284"/>
      <c r="AE90" s="282" t="e">
        <f t="shared" si="43"/>
        <v>#DIV/0!</v>
      </c>
      <c r="AF90" s="284"/>
      <c r="AG90" s="284"/>
      <c r="AH90" s="86" t="e">
        <f t="shared" si="44"/>
        <v>#DIV/0!</v>
      </c>
      <c r="AI90" s="284"/>
      <c r="AJ90" s="284"/>
      <c r="AK90" s="282" t="e">
        <f t="shared" si="45"/>
        <v>#DIV/0!</v>
      </c>
      <c r="AL90" s="286" t="e">
        <f t="shared" si="30"/>
        <v>#DIV/0!</v>
      </c>
      <c r="AM90" s="286" t="e">
        <f t="shared" si="46"/>
        <v>#DIV/0!</v>
      </c>
      <c r="AN90" s="282" t="e">
        <f t="shared" si="47"/>
        <v>#DIV/0!</v>
      </c>
      <c r="AO90" s="86"/>
    </row>
    <row r="91" spans="1:41" s="96" customFormat="1" ht="15.75" customHeight="1" x14ac:dyDescent="0.3">
      <c r="A91" s="279"/>
      <c r="B91" s="279"/>
      <c r="C91" s="280"/>
      <c r="D91" s="297" t="s">
        <v>274</v>
      </c>
      <c r="E91" s="281">
        <v>0</v>
      </c>
      <c r="F91" s="281"/>
      <c r="G91" s="282" t="e">
        <f t="shared" si="31"/>
        <v>#DIV/0!</v>
      </c>
      <c r="H91" s="281">
        <v>0</v>
      </c>
      <c r="I91" s="283">
        <v>2537.7399999999998</v>
      </c>
      <c r="J91" s="282">
        <f t="shared" si="32"/>
        <v>-1</v>
      </c>
      <c r="K91" s="281">
        <f t="shared" si="26"/>
        <v>0</v>
      </c>
      <c r="L91" s="281">
        <f t="shared" si="33"/>
        <v>2753.4478999999997</v>
      </c>
      <c r="M91" s="282">
        <f t="shared" si="34"/>
        <v>-1</v>
      </c>
      <c r="N91" s="283" t="e">
        <f t="shared" si="27"/>
        <v>#DIV/0!</v>
      </c>
      <c r="O91" s="283">
        <f t="shared" si="35"/>
        <v>0</v>
      </c>
      <c r="P91" s="282" t="e">
        <f t="shared" si="36"/>
        <v>#DIV/0!</v>
      </c>
      <c r="Q91" s="283" t="e">
        <f t="shared" si="28"/>
        <v>#DIV/0!</v>
      </c>
      <c r="R91" s="283">
        <f t="shared" si="37"/>
        <v>0</v>
      </c>
      <c r="S91" s="282" t="e">
        <f t="shared" si="38"/>
        <v>#DIV/0!</v>
      </c>
      <c r="T91" s="284">
        <v>6</v>
      </c>
      <c r="U91" s="284">
        <v>814</v>
      </c>
      <c r="V91" s="282">
        <f t="shared" si="39"/>
        <v>-0.99262899262899262</v>
      </c>
      <c r="W91" s="284">
        <v>0</v>
      </c>
      <c r="X91" s="284">
        <v>0</v>
      </c>
      <c r="Y91" s="282" t="e">
        <f t="shared" si="40"/>
        <v>#DIV/0!</v>
      </c>
      <c r="Z91" s="284" t="e">
        <f t="shared" si="29"/>
        <v>#DIV/0!</v>
      </c>
      <c r="AA91" s="284" t="e">
        <f t="shared" si="41"/>
        <v>#DIV/0!</v>
      </c>
      <c r="AB91" s="282" t="e">
        <f t="shared" si="42"/>
        <v>#DIV/0!</v>
      </c>
      <c r="AC91" s="285">
        <v>0</v>
      </c>
      <c r="AD91" s="284">
        <v>260564</v>
      </c>
      <c r="AE91" s="282">
        <f t="shared" si="43"/>
        <v>-1</v>
      </c>
      <c r="AF91" s="284">
        <v>0</v>
      </c>
      <c r="AG91" s="284">
        <v>3920</v>
      </c>
      <c r="AH91" s="86">
        <f t="shared" si="44"/>
        <v>-1</v>
      </c>
      <c r="AI91" s="284">
        <v>0</v>
      </c>
      <c r="AJ91" s="284">
        <v>480468</v>
      </c>
      <c r="AK91" s="282">
        <f t="shared" si="45"/>
        <v>-1</v>
      </c>
      <c r="AL91" s="286" t="e">
        <f t="shared" si="30"/>
        <v>#DIV/0!</v>
      </c>
      <c r="AM91" s="286">
        <f t="shared" si="46"/>
        <v>8.1587119225421875E-3</v>
      </c>
      <c r="AN91" s="282" t="e">
        <f t="shared" si="47"/>
        <v>#DIV/0!</v>
      </c>
      <c r="AO91" s="86"/>
    </row>
    <row r="92" spans="1:41" s="81" customFormat="1" ht="15.75" customHeight="1" x14ac:dyDescent="0.3">
      <c r="A92" s="49" t="s">
        <v>43</v>
      </c>
      <c r="B92" s="49" t="s">
        <v>47</v>
      </c>
      <c r="C92" s="50">
        <f>C86+7</f>
        <v>42839</v>
      </c>
      <c r="D92" s="50" t="s">
        <v>28</v>
      </c>
      <c r="E92" s="55">
        <f>SUM(E93:E97)</f>
        <v>0</v>
      </c>
      <c r="F92" s="55">
        <f>SUM(F93:F97)</f>
        <v>0</v>
      </c>
      <c r="G92" s="52" t="e">
        <f t="shared" si="31"/>
        <v>#DIV/0!</v>
      </c>
      <c r="H92" s="55">
        <f>SUM(H93:H97)</f>
        <v>0</v>
      </c>
      <c r="I92" s="55">
        <f>SUM(I93:I97)</f>
        <v>1450.53</v>
      </c>
      <c r="J92" s="52">
        <f t="shared" si="32"/>
        <v>-1</v>
      </c>
      <c r="K92" s="51">
        <f t="shared" si="26"/>
        <v>0</v>
      </c>
      <c r="L92" s="51">
        <f t="shared" si="33"/>
        <v>1573.8250499999999</v>
      </c>
      <c r="M92" s="52">
        <f t="shared" si="34"/>
        <v>-1</v>
      </c>
      <c r="N92" s="53" t="e">
        <f t="shared" si="27"/>
        <v>#DIV/0!</v>
      </c>
      <c r="O92" s="53">
        <f t="shared" si="35"/>
        <v>0</v>
      </c>
      <c r="P92" s="52" t="e">
        <f t="shared" si="36"/>
        <v>#DIV/0!</v>
      </c>
      <c r="Q92" s="53" t="e">
        <f t="shared" si="28"/>
        <v>#DIV/0!</v>
      </c>
      <c r="R92" s="53">
        <f t="shared" si="37"/>
        <v>0</v>
      </c>
      <c r="S92" s="52" t="e">
        <f t="shared" si="38"/>
        <v>#DIV/0!</v>
      </c>
      <c r="T92" s="56">
        <f>SUM(T93:T97)</f>
        <v>141</v>
      </c>
      <c r="U92" s="56">
        <f>SUM(U93:U97)</f>
        <v>433</v>
      </c>
      <c r="V92" s="52">
        <f t="shared" si="39"/>
        <v>-0.67436489607390304</v>
      </c>
      <c r="W92" s="56">
        <f>SUM(W93:W97)</f>
        <v>0</v>
      </c>
      <c r="X92" s="56">
        <f>SUM(X93:X97)</f>
        <v>0</v>
      </c>
      <c r="Y92" s="52" t="e">
        <f t="shared" si="40"/>
        <v>#DIV/0!</v>
      </c>
      <c r="Z92" s="51" t="e">
        <f t="shared" si="29"/>
        <v>#DIV/0!</v>
      </c>
      <c r="AA92" s="54" t="e">
        <f t="shared" si="41"/>
        <v>#DIV/0!</v>
      </c>
      <c r="AB92" s="52" t="e">
        <f t="shared" si="42"/>
        <v>#DIV/0!</v>
      </c>
      <c r="AC92" s="56">
        <f>SUM(AC93:AC97)</f>
        <v>0</v>
      </c>
      <c r="AD92" s="56">
        <f>SUM(AD93:AD97)</f>
        <v>119923</v>
      </c>
      <c r="AE92" s="52">
        <f t="shared" si="43"/>
        <v>-1</v>
      </c>
      <c r="AF92" s="56">
        <f>SUM(AF93:AF97)</f>
        <v>0</v>
      </c>
      <c r="AG92" s="56">
        <f>SUM(AG93:AG97)</f>
        <v>1406</v>
      </c>
      <c r="AH92" s="67">
        <f t="shared" si="44"/>
        <v>-1</v>
      </c>
      <c r="AI92" s="56">
        <f>SUM(AI93:AI97)</f>
        <v>0</v>
      </c>
      <c r="AJ92" s="56">
        <f>SUM(AJ93:AJ97)</f>
        <v>168729</v>
      </c>
      <c r="AK92" s="52">
        <f t="shared" si="45"/>
        <v>-1</v>
      </c>
      <c r="AL92" s="82" t="e">
        <f t="shared" si="30"/>
        <v>#DIV/0!</v>
      </c>
      <c r="AM92" s="82">
        <f t="shared" si="46"/>
        <v>8.3328888335733632E-3</v>
      </c>
      <c r="AN92" s="52" t="e">
        <f>(AL92-AM92)/AM92</f>
        <v>#DIV/0!</v>
      </c>
      <c r="AO92" s="68"/>
    </row>
    <row r="93" spans="1:41" s="96" customFormat="1" ht="15.75" customHeight="1" x14ac:dyDescent="0.3">
      <c r="A93" s="279"/>
      <c r="B93" s="279"/>
      <c r="C93" s="280"/>
      <c r="D93" s="280"/>
      <c r="E93" s="281"/>
      <c r="F93" s="281"/>
      <c r="G93" s="282" t="e">
        <f t="shared" si="31"/>
        <v>#DIV/0!</v>
      </c>
      <c r="H93" s="281"/>
      <c r="I93" s="283"/>
      <c r="J93" s="282" t="e">
        <f t="shared" si="32"/>
        <v>#DIV/0!</v>
      </c>
      <c r="K93" s="281">
        <f t="shared" si="26"/>
        <v>0</v>
      </c>
      <c r="L93" s="281">
        <f t="shared" si="33"/>
        <v>0</v>
      </c>
      <c r="M93" s="282" t="e">
        <f t="shared" si="34"/>
        <v>#DIV/0!</v>
      </c>
      <c r="N93" s="283" t="e">
        <f t="shared" si="27"/>
        <v>#DIV/0!</v>
      </c>
      <c r="O93" s="283" t="e">
        <f t="shared" si="35"/>
        <v>#DIV/0!</v>
      </c>
      <c r="P93" s="282" t="e">
        <f t="shared" si="36"/>
        <v>#DIV/0!</v>
      </c>
      <c r="Q93" s="283" t="e">
        <f t="shared" si="28"/>
        <v>#DIV/0!</v>
      </c>
      <c r="R93" s="283" t="e">
        <f t="shared" si="37"/>
        <v>#DIV/0!</v>
      </c>
      <c r="S93" s="282" t="e">
        <f t="shared" si="38"/>
        <v>#DIV/0!</v>
      </c>
      <c r="T93" s="284"/>
      <c r="U93" s="284"/>
      <c r="V93" s="282" t="e">
        <f t="shared" si="39"/>
        <v>#DIV/0!</v>
      </c>
      <c r="W93" s="284"/>
      <c r="X93" s="284"/>
      <c r="Y93" s="282" t="e">
        <f t="shared" si="40"/>
        <v>#DIV/0!</v>
      </c>
      <c r="Z93" s="284" t="e">
        <f t="shared" si="29"/>
        <v>#DIV/0!</v>
      </c>
      <c r="AA93" s="284" t="e">
        <f t="shared" si="41"/>
        <v>#DIV/0!</v>
      </c>
      <c r="AB93" s="282" t="e">
        <f t="shared" si="42"/>
        <v>#DIV/0!</v>
      </c>
      <c r="AC93" s="285"/>
      <c r="AD93" s="284"/>
      <c r="AE93" s="282" t="e">
        <f t="shared" si="43"/>
        <v>#DIV/0!</v>
      </c>
      <c r="AF93" s="284"/>
      <c r="AG93" s="284"/>
      <c r="AH93" s="86" t="e">
        <f t="shared" si="44"/>
        <v>#DIV/0!</v>
      </c>
      <c r="AI93" s="284"/>
      <c r="AJ93" s="284"/>
      <c r="AK93" s="282" t="e">
        <f t="shared" si="45"/>
        <v>#DIV/0!</v>
      </c>
      <c r="AL93" s="286" t="e">
        <f t="shared" si="30"/>
        <v>#DIV/0!</v>
      </c>
      <c r="AM93" s="286" t="e">
        <f t="shared" si="46"/>
        <v>#DIV/0!</v>
      </c>
      <c r="AN93" s="282" t="e">
        <f t="shared" si="47"/>
        <v>#DIV/0!</v>
      </c>
      <c r="AO93" s="86"/>
    </row>
    <row r="94" spans="1:41" s="96" customFormat="1" ht="15.75" customHeight="1" x14ac:dyDescent="0.3">
      <c r="A94" s="279"/>
      <c r="B94" s="279"/>
      <c r="C94" s="280"/>
      <c r="D94" s="280"/>
      <c r="E94" s="281"/>
      <c r="F94" s="281"/>
      <c r="G94" s="282" t="e">
        <f t="shared" si="31"/>
        <v>#DIV/0!</v>
      </c>
      <c r="H94" s="281"/>
      <c r="I94" s="283"/>
      <c r="J94" s="282" t="e">
        <f t="shared" si="32"/>
        <v>#DIV/0!</v>
      </c>
      <c r="K94" s="281">
        <f t="shared" si="26"/>
        <v>0</v>
      </c>
      <c r="L94" s="281">
        <f t="shared" si="33"/>
        <v>0</v>
      </c>
      <c r="M94" s="282" t="e">
        <f t="shared" si="34"/>
        <v>#DIV/0!</v>
      </c>
      <c r="N94" s="283" t="e">
        <f t="shared" si="27"/>
        <v>#DIV/0!</v>
      </c>
      <c r="O94" s="283" t="e">
        <f t="shared" si="35"/>
        <v>#DIV/0!</v>
      </c>
      <c r="P94" s="282" t="e">
        <f t="shared" si="36"/>
        <v>#DIV/0!</v>
      </c>
      <c r="Q94" s="283" t="e">
        <f t="shared" si="28"/>
        <v>#DIV/0!</v>
      </c>
      <c r="R94" s="283" t="e">
        <f t="shared" si="37"/>
        <v>#DIV/0!</v>
      </c>
      <c r="S94" s="282" t="e">
        <f t="shared" si="38"/>
        <v>#DIV/0!</v>
      </c>
      <c r="T94" s="284"/>
      <c r="U94" s="284"/>
      <c r="V94" s="282" t="e">
        <f t="shared" si="39"/>
        <v>#DIV/0!</v>
      </c>
      <c r="W94" s="284"/>
      <c r="X94" s="284"/>
      <c r="Y94" s="282" t="e">
        <f t="shared" si="40"/>
        <v>#DIV/0!</v>
      </c>
      <c r="Z94" s="284" t="e">
        <f t="shared" si="29"/>
        <v>#DIV/0!</v>
      </c>
      <c r="AA94" s="284" t="e">
        <f t="shared" si="41"/>
        <v>#DIV/0!</v>
      </c>
      <c r="AB94" s="282" t="e">
        <f t="shared" si="42"/>
        <v>#DIV/0!</v>
      </c>
      <c r="AC94" s="285"/>
      <c r="AD94" s="284"/>
      <c r="AE94" s="282" t="e">
        <f t="shared" si="43"/>
        <v>#DIV/0!</v>
      </c>
      <c r="AF94" s="284"/>
      <c r="AG94" s="284"/>
      <c r="AH94" s="86" t="e">
        <f t="shared" si="44"/>
        <v>#DIV/0!</v>
      </c>
      <c r="AI94" s="284"/>
      <c r="AJ94" s="284"/>
      <c r="AK94" s="282" t="e">
        <f t="shared" si="45"/>
        <v>#DIV/0!</v>
      </c>
      <c r="AL94" s="286" t="e">
        <f t="shared" si="30"/>
        <v>#DIV/0!</v>
      </c>
      <c r="AM94" s="286" t="e">
        <f t="shared" si="46"/>
        <v>#DIV/0!</v>
      </c>
      <c r="AN94" s="282" t="e">
        <f t="shared" si="47"/>
        <v>#DIV/0!</v>
      </c>
      <c r="AO94" s="86"/>
    </row>
    <row r="95" spans="1:41" s="96" customFormat="1" ht="15.75" customHeight="1" x14ac:dyDescent="0.3">
      <c r="A95" s="279"/>
      <c r="B95" s="279"/>
      <c r="C95" s="280"/>
      <c r="D95" s="280"/>
      <c r="E95" s="281"/>
      <c r="F95" s="281"/>
      <c r="G95" s="282" t="e">
        <f t="shared" si="31"/>
        <v>#DIV/0!</v>
      </c>
      <c r="H95" s="281"/>
      <c r="I95" s="283"/>
      <c r="J95" s="282" t="e">
        <f t="shared" si="32"/>
        <v>#DIV/0!</v>
      </c>
      <c r="K95" s="281">
        <f t="shared" si="26"/>
        <v>0</v>
      </c>
      <c r="L95" s="281">
        <f t="shared" si="33"/>
        <v>0</v>
      </c>
      <c r="M95" s="282" t="e">
        <f t="shared" si="34"/>
        <v>#DIV/0!</v>
      </c>
      <c r="N95" s="283" t="e">
        <f t="shared" si="27"/>
        <v>#DIV/0!</v>
      </c>
      <c r="O95" s="283" t="e">
        <f t="shared" si="35"/>
        <v>#DIV/0!</v>
      </c>
      <c r="P95" s="282" t="e">
        <f t="shared" si="36"/>
        <v>#DIV/0!</v>
      </c>
      <c r="Q95" s="283" t="e">
        <f t="shared" si="28"/>
        <v>#DIV/0!</v>
      </c>
      <c r="R95" s="283" t="e">
        <f t="shared" si="37"/>
        <v>#DIV/0!</v>
      </c>
      <c r="S95" s="282" t="e">
        <f t="shared" si="38"/>
        <v>#DIV/0!</v>
      </c>
      <c r="T95" s="284"/>
      <c r="U95" s="284"/>
      <c r="V95" s="282" t="e">
        <f t="shared" si="39"/>
        <v>#DIV/0!</v>
      </c>
      <c r="W95" s="284"/>
      <c r="X95" s="284"/>
      <c r="Y95" s="282" t="e">
        <f t="shared" si="40"/>
        <v>#DIV/0!</v>
      </c>
      <c r="Z95" s="284" t="e">
        <f t="shared" si="29"/>
        <v>#DIV/0!</v>
      </c>
      <c r="AA95" s="284" t="e">
        <f t="shared" si="41"/>
        <v>#DIV/0!</v>
      </c>
      <c r="AB95" s="282" t="e">
        <f t="shared" si="42"/>
        <v>#DIV/0!</v>
      </c>
      <c r="AC95" s="285"/>
      <c r="AD95" s="284"/>
      <c r="AE95" s="282" t="e">
        <f t="shared" si="43"/>
        <v>#DIV/0!</v>
      </c>
      <c r="AF95" s="284"/>
      <c r="AG95" s="284"/>
      <c r="AH95" s="86" t="e">
        <f t="shared" si="44"/>
        <v>#DIV/0!</v>
      </c>
      <c r="AI95" s="284"/>
      <c r="AJ95" s="284"/>
      <c r="AK95" s="282" t="e">
        <f t="shared" si="45"/>
        <v>#DIV/0!</v>
      </c>
      <c r="AL95" s="286" t="e">
        <f t="shared" si="30"/>
        <v>#DIV/0!</v>
      </c>
      <c r="AM95" s="286" t="e">
        <f t="shared" si="46"/>
        <v>#DIV/0!</v>
      </c>
      <c r="AN95" s="282" t="e">
        <f t="shared" si="47"/>
        <v>#DIV/0!</v>
      </c>
      <c r="AO95" s="86"/>
    </row>
    <row r="96" spans="1:41" s="96" customFormat="1" ht="15.75" customHeight="1" x14ac:dyDescent="0.3">
      <c r="A96" s="279"/>
      <c r="B96" s="279"/>
      <c r="C96" s="280"/>
      <c r="D96" s="280"/>
      <c r="E96" s="281"/>
      <c r="F96" s="281"/>
      <c r="G96" s="282" t="e">
        <f t="shared" si="31"/>
        <v>#DIV/0!</v>
      </c>
      <c r="H96" s="281"/>
      <c r="I96" s="283"/>
      <c r="J96" s="282" t="e">
        <f t="shared" si="32"/>
        <v>#DIV/0!</v>
      </c>
      <c r="K96" s="281">
        <f t="shared" si="26"/>
        <v>0</v>
      </c>
      <c r="L96" s="281">
        <f t="shared" si="33"/>
        <v>0</v>
      </c>
      <c r="M96" s="282" t="e">
        <f t="shared" si="34"/>
        <v>#DIV/0!</v>
      </c>
      <c r="N96" s="283" t="e">
        <f t="shared" si="27"/>
        <v>#DIV/0!</v>
      </c>
      <c r="O96" s="283" t="e">
        <f t="shared" si="35"/>
        <v>#DIV/0!</v>
      </c>
      <c r="P96" s="282" t="e">
        <f t="shared" si="36"/>
        <v>#DIV/0!</v>
      </c>
      <c r="Q96" s="283" t="e">
        <f t="shared" si="28"/>
        <v>#DIV/0!</v>
      </c>
      <c r="R96" s="283" t="e">
        <f t="shared" si="37"/>
        <v>#DIV/0!</v>
      </c>
      <c r="S96" s="282" t="e">
        <f t="shared" si="38"/>
        <v>#DIV/0!</v>
      </c>
      <c r="T96" s="284"/>
      <c r="U96" s="284"/>
      <c r="V96" s="282" t="e">
        <f t="shared" si="39"/>
        <v>#DIV/0!</v>
      </c>
      <c r="W96" s="284"/>
      <c r="X96" s="284"/>
      <c r="Y96" s="282" t="e">
        <f t="shared" si="40"/>
        <v>#DIV/0!</v>
      </c>
      <c r="Z96" s="284" t="e">
        <f t="shared" si="29"/>
        <v>#DIV/0!</v>
      </c>
      <c r="AA96" s="284" t="e">
        <f t="shared" si="41"/>
        <v>#DIV/0!</v>
      </c>
      <c r="AB96" s="282" t="e">
        <f t="shared" si="42"/>
        <v>#DIV/0!</v>
      </c>
      <c r="AC96" s="285"/>
      <c r="AD96" s="284"/>
      <c r="AE96" s="282" t="e">
        <f t="shared" si="43"/>
        <v>#DIV/0!</v>
      </c>
      <c r="AF96" s="284"/>
      <c r="AG96" s="284"/>
      <c r="AH96" s="86" t="e">
        <f t="shared" si="44"/>
        <v>#DIV/0!</v>
      </c>
      <c r="AI96" s="284"/>
      <c r="AJ96" s="284"/>
      <c r="AK96" s="282" t="e">
        <f t="shared" si="45"/>
        <v>#DIV/0!</v>
      </c>
      <c r="AL96" s="286" t="e">
        <f t="shared" si="30"/>
        <v>#DIV/0!</v>
      </c>
      <c r="AM96" s="286" t="e">
        <f t="shared" si="46"/>
        <v>#DIV/0!</v>
      </c>
      <c r="AN96" s="282" t="e">
        <f t="shared" si="47"/>
        <v>#DIV/0!</v>
      </c>
      <c r="AO96" s="86"/>
    </row>
    <row r="97" spans="1:41" s="357" customFormat="1" ht="15.75" customHeight="1" x14ac:dyDescent="0.3">
      <c r="A97" s="347"/>
      <c r="B97" s="347"/>
      <c r="C97" s="348"/>
      <c r="D97" s="349" t="s">
        <v>274</v>
      </c>
      <c r="E97" s="350">
        <v>0</v>
      </c>
      <c r="F97" s="350"/>
      <c r="G97" s="351" t="e">
        <f t="shared" si="31"/>
        <v>#DIV/0!</v>
      </c>
      <c r="H97" s="350">
        <v>0</v>
      </c>
      <c r="I97" s="352">
        <v>1450.53</v>
      </c>
      <c r="J97" s="351">
        <f t="shared" si="32"/>
        <v>-1</v>
      </c>
      <c r="K97" s="350">
        <f t="shared" si="26"/>
        <v>0</v>
      </c>
      <c r="L97" s="350">
        <f t="shared" si="33"/>
        <v>1573.8250499999999</v>
      </c>
      <c r="M97" s="351">
        <f t="shared" si="34"/>
        <v>-1</v>
      </c>
      <c r="N97" s="352" t="e">
        <f t="shared" si="27"/>
        <v>#DIV/0!</v>
      </c>
      <c r="O97" s="352">
        <f t="shared" si="35"/>
        <v>0</v>
      </c>
      <c r="P97" s="351" t="e">
        <f t="shared" si="36"/>
        <v>#DIV/0!</v>
      </c>
      <c r="Q97" s="352" t="e">
        <f t="shared" si="28"/>
        <v>#DIV/0!</v>
      </c>
      <c r="R97" s="352">
        <f t="shared" si="37"/>
        <v>0</v>
      </c>
      <c r="S97" s="351" t="e">
        <f t="shared" si="38"/>
        <v>#DIV/0!</v>
      </c>
      <c r="T97" s="353">
        <v>141</v>
      </c>
      <c r="U97" s="353">
        <v>433</v>
      </c>
      <c r="V97" s="351">
        <f t="shared" si="39"/>
        <v>-0.67436489607390304</v>
      </c>
      <c r="W97" s="353">
        <v>0</v>
      </c>
      <c r="X97" s="353">
        <v>0</v>
      </c>
      <c r="Y97" s="351" t="e">
        <f t="shared" si="40"/>
        <v>#DIV/0!</v>
      </c>
      <c r="Z97" s="353" t="e">
        <f t="shared" si="29"/>
        <v>#DIV/0!</v>
      </c>
      <c r="AA97" s="353" t="e">
        <f t="shared" si="41"/>
        <v>#DIV/0!</v>
      </c>
      <c r="AB97" s="351" t="e">
        <f t="shared" si="42"/>
        <v>#DIV/0!</v>
      </c>
      <c r="AC97" s="354">
        <v>0</v>
      </c>
      <c r="AD97" s="353">
        <v>119923</v>
      </c>
      <c r="AE97" s="351">
        <f t="shared" si="43"/>
        <v>-1</v>
      </c>
      <c r="AF97" s="353">
        <v>0</v>
      </c>
      <c r="AG97" s="353">
        <v>1406</v>
      </c>
      <c r="AH97" s="355">
        <f t="shared" si="44"/>
        <v>-1</v>
      </c>
      <c r="AI97" s="353">
        <v>0</v>
      </c>
      <c r="AJ97" s="353">
        <v>168729</v>
      </c>
      <c r="AK97" s="351">
        <f t="shared" si="45"/>
        <v>-1</v>
      </c>
      <c r="AL97" s="356" t="e">
        <f t="shared" si="30"/>
        <v>#DIV/0!</v>
      </c>
      <c r="AM97" s="356">
        <f t="shared" si="46"/>
        <v>8.3328888335733632E-3</v>
      </c>
      <c r="AN97" s="351" t="e">
        <f t="shared" si="47"/>
        <v>#DIV/0!</v>
      </c>
      <c r="AO97" s="355"/>
    </row>
    <row r="98" spans="1:41" s="81" customFormat="1" ht="15.75" customHeight="1" x14ac:dyDescent="0.3">
      <c r="A98" s="49" t="s">
        <v>48</v>
      </c>
      <c r="B98" s="49" t="s">
        <v>49</v>
      </c>
      <c r="C98" s="50">
        <f>C92+7</f>
        <v>42846</v>
      </c>
      <c r="D98" s="50" t="s">
        <v>28</v>
      </c>
      <c r="E98" s="55">
        <f>SUM(E99:E103)</f>
        <v>0</v>
      </c>
      <c r="F98" s="55">
        <f>SUM(F99:F103)</f>
        <v>0</v>
      </c>
      <c r="G98" s="52" t="e">
        <f t="shared" si="31"/>
        <v>#DIV/0!</v>
      </c>
      <c r="H98" s="55">
        <f>SUM(H99:H103)</f>
        <v>0</v>
      </c>
      <c r="I98" s="55">
        <f>SUM(I99:I103)</f>
        <v>0</v>
      </c>
      <c r="J98" s="52" t="e">
        <f t="shared" si="32"/>
        <v>#DIV/0!</v>
      </c>
      <c r="K98" s="51">
        <f t="shared" si="26"/>
        <v>0</v>
      </c>
      <c r="L98" s="51">
        <f t="shared" si="33"/>
        <v>0</v>
      </c>
      <c r="M98" s="52" t="e">
        <f t="shared" si="34"/>
        <v>#DIV/0!</v>
      </c>
      <c r="N98" s="53" t="e">
        <f t="shared" si="27"/>
        <v>#DIV/0!</v>
      </c>
      <c r="O98" s="53" t="e">
        <f t="shared" si="35"/>
        <v>#DIV/0!</v>
      </c>
      <c r="P98" s="52" t="e">
        <f t="shared" si="36"/>
        <v>#DIV/0!</v>
      </c>
      <c r="Q98" s="53" t="e">
        <f t="shared" si="28"/>
        <v>#DIV/0!</v>
      </c>
      <c r="R98" s="53" t="e">
        <f t="shared" si="37"/>
        <v>#DIV/0!</v>
      </c>
      <c r="S98" s="52" t="e">
        <f t="shared" si="38"/>
        <v>#DIV/0!</v>
      </c>
      <c r="T98" s="56">
        <f>SUM(T99:T103)</f>
        <v>329</v>
      </c>
      <c r="U98" s="56">
        <f>SUM(U99:U103)</f>
        <v>41</v>
      </c>
      <c r="V98" s="52">
        <f t="shared" si="39"/>
        <v>7.024390243902439</v>
      </c>
      <c r="W98" s="56">
        <f>SUM(W99:W103)</f>
        <v>0</v>
      </c>
      <c r="X98" s="56">
        <f>SUM(X99:X103)</f>
        <v>0</v>
      </c>
      <c r="Y98" s="52" t="e">
        <f t="shared" si="40"/>
        <v>#DIV/0!</v>
      </c>
      <c r="Z98" s="51" t="e">
        <f t="shared" si="29"/>
        <v>#DIV/0!</v>
      </c>
      <c r="AA98" s="54" t="e">
        <f t="shared" si="41"/>
        <v>#DIV/0!</v>
      </c>
      <c r="AB98" s="52" t="e">
        <f t="shared" si="42"/>
        <v>#DIV/0!</v>
      </c>
      <c r="AC98" s="56">
        <f>SUM(AC99:AC103)</f>
        <v>0</v>
      </c>
      <c r="AD98" s="56">
        <f>SUM(AD99:AD103)</f>
        <v>0</v>
      </c>
      <c r="AE98" s="52" t="e">
        <f t="shared" si="43"/>
        <v>#DIV/0!</v>
      </c>
      <c r="AF98" s="56">
        <f>SUM(AF99:AF103)</f>
        <v>0</v>
      </c>
      <c r="AG98" s="56">
        <f>SUM(AG99:AG103)</f>
        <v>0</v>
      </c>
      <c r="AH98" s="67" t="e">
        <f t="shared" si="44"/>
        <v>#DIV/0!</v>
      </c>
      <c r="AI98" s="56">
        <f>SUM(AI99:AI103)</f>
        <v>0</v>
      </c>
      <c r="AJ98" s="56">
        <f>SUM(AJ99:AJ103)</f>
        <v>0</v>
      </c>
      <c r="AK98" s="52" t="e">
        <f t="shared" si="45"/>
        <v>#DIV/0!</v>
      </c>
      <c r="AL98" s="82" t="e">
        <f t="shared" si="30"/>
        <v>#DIV/0!</v>
      </c>
      <c r="AM98" s="82" t="e">
        <f t="shared" si="46"/>
        <v>#DIV/0!</v>
      </c>
      <c r="AN98" s="52" t="e">
        <f>(AL98-AM98)/AM98</f>
        <v>#DIV/0!</v>
      </c>
    </row>
    <row r="99" spans="1:41" s="96" customFormat="1" ht="15.75" customHeight="1" x14ac:dyDescent="0.3">
      <c r="A99" s="279"/>
      <c r="B99" s="279"/>
      <c r="C99" s="280"/>
      <c r="D99" s="280"/>
      <c r="E99" s="281"/>
      <c r="F99" s="281"/>
      <c r="G99" s="282" t="e">
        <f t="shared" si="31"/>
        <v>#DIV/0!</v>
      </c>
      <c r="H99" s="281"/>
      <c r="I99" s="283"/>
      <c r="J99" s="282" t="e">
        <f t="shared" si="32"/>
        <v>#DIV/0!</v>
      </c>
      <c r="K99" s="281">
        <f t="shared" si="26"/>
        <v>0</v>
      </c>
      <c r="L99" s="281">
        <f t="shared" si="33"/>
        <v>0</v>
      </c>
      <c r="M99" s="282" t="e">
        <f t="shared" si="34"/>
        <v>#DIV/0!</v>
      </c>
      <c r="N99" s="283" t="e">
        <f t="shared" si="27"/>
        <v>#DIV/0!</v>
      </c>
      <c r="O99" s="283" t="e">
        <f t="shared" si="35"/>
        <v>#DIV/0!</v>
      </c>
      <c r="P99" s="282" t="e">
        <f t="shared" si="36"/>
        <v>#DIV/0!</v>
      </c>
      <c r="Q99" s="283" t="e">
        <f t="shared" si="28"/>
        <v>#DIV/0!</v>
      </c>
      <c r="R99" s="283" t="e">
        <f t="shared" si="37"/>
        <v>#DIV/0!</v>
      </c>
      <c r="S99" s="282" t="e">
        <f t="shared" si="38"/>
        <v>#DIV/0!</v>
      </c>
      <c r="T99" s="284"/>
      <c r="U99" s="284"/>
      <c r="V99" s="282" t="e">
        <f t="shared" si="39"/>
        <v>#DIV/0!</v>
      </c>
      <c r="W99" s="284"/>
      <c r="X99" s="284"/>
      <c r="Y99" s="282" t="e">
        <f t="shared" si="40"/>
        <v>#DIV/0!</v>
      </c>
      <c r="Z99" s="284" t="e">
        <f t="shared" si="29"/>
        <v>#DIV/0!</v>
      </c>
      <c r="AA99" s="284" t="e">
        <f t="shared" si="41"/>
        <v>#DIV/0!</v>
      </c>
      <c r="AB99" s="282" t="e">
        <f t="shared" si="42"/>
        <v>#DIV/0!</v>
      </c>
      <c r="AC99" s="285"/>
      <c r="AD99" s="284"/>
      <c r="AE99" s="282" t="e">
        <f t="shared" si="43"/>
        <v>#DIV/0!</v>
      </c>
      <c r="AF99" s="284"/>
      <c r="AG99" s="284"/>
      <c r="AH99" s="86" t="e">
        <f t="shared" si="44"/>
        <v>#DIV/0!</v>
      </c>
      <c r="AI99" s="284"/>
      <c r="AJ99" s="284"/>
      <c r="AK99" s="282" t="e">
        <f t="shared" si="45"/>
        <v>#DIV/0!</v>
      </c>
      <c r="AL99" s="286" t="e">
        <f t="shared" si="30"/>
        <v>#DIV/0!</v>
      </c>
      <c r="AM99" s="286" t="e">
        <f t="shared" si="46"/>
        <v>#DIV/0!</v>
      </c>
      <c r="AN99" s="282" t="e">
        <f t="shared" si="47"/>
        <v>#DIV/0!</v>
      </c>
      <c r="AO99" s="86"/>
    </row>
    <row r="100" spans="1:41" s="96" customFormat="1" ht="15.75" customHeight="1" x14ac:dyDescent="0.3">
      <c r="A100" s="279"/>
      <c r="B100" s="279"/>
      <c r="C100" s="280"/>
      <c r="D100" s="280"/>
      <c r="E100" s="281"/>
      <c r="F100" s="281"/>
      <c r="G100" s="282" t="e">
        <f t="shared" si="31"/>
        <v>#DIV/0!</v>
      </c>
      <c r="H100" s="281"/>
      <c r="I100" s="283"/>
      <c r="J100" s="282" t="e">
        <f t="shared" si="32"/>
        <v>#DIV/0!</v>
      </c>
      <c r="K100" s="281">
        <f t="shared" si="26"/>
        <v>0</v>
      </c>
      <c r="L100" s="281">
        <f t="shared" si="33"/>
        <v>0</v>
      </c>
      <c r="M100" s="282" t="e">
        <f t="shared" si="34"/>
        <v>#DIV/0!</v>
      </c>
      <c r="N100" s="283" t="e">
        <f t="shared" si="27"/>
        <v>#DIV/0!</v>
      </c>
      <c r="O100" s="283" t="e">
        <f t="shared" si="35"/>
        <v>#DIV/0!</v>
      </c>
      <c r="P100" s="282" t="e">
        <f t="shared" si="36"/>
        <v>#DIV/0!</v>
      </c>
      <c r="Q100" s="283" t="e">
        <f t="shared" si="28"/>
        <v>#DIV/0!</v>
      </c>
      <c r="R100" s="283" t="e">
        <f t="shared" si="37"/>
        <v>#DIV/0!</v>
      </c>
      <c r="S100" s="282" t="e">
        <f t="shared" si="38"/>
        <v>#DIV/0!</v>
      </c>
      <c r="T100" s="284"/>
      <c r="U100" s="284"/>
      <c r="V100" s="282" t="e">
        <f t="shared" si="39"/>
        <v>#DIV/0!</v>
      </c>
      <c r="W100" s="284"/>
      <c r="X100" s="284"/>
      <c r="Y100" s="282" t="e">
        <f t="shared" si="40"/>
        <v>#DIV/0!</v>
      </c>
      <c r="Z100" s="284" t="e">
        <f t="shared" si="29"/>
        <v>#DIV/0!</v>
      </c>
      <c r="AA100" s="284" t="e">
        <f t="shared" si="41"/>
        <v>#DIV/0!</v>
      </c>
      <c r="AB100" s="282" t="e">
        <f t="shared" si="42"/>
        <v>#DIV/0!</v>
      </c>
      <c r="AC100" s="285"/>
      <c r="AD100" s="284"/>
      <c r="AE100" s="282" t="e">
        <f t="shared" si="43"/>
        <v>#DIV/0!</v>
      </c>
      <c r="AF100" s="284"/>
      <c r="AG100" s="284"/>
      <c r="AH100" s="86" t="e">
        <f t="shared" si="44"/>
        <v>#DIV/0!</v>
      </c>
      <c r="AI100" s="284"/>
      <c r="AJ100" s="284"/>
      <c r="AK100" s="282" t="e">
        <f t="shared" si="45"/>
        <v>#DIV/0!</v>
      </c>
      <c r="AL100" s="286" t="e">
        <f t="shared" si="30"/>
        <v>#DIV/0!</v>
      </c>
      <c r="AM100" s="286" t="e">
        <f t="shared" si="46"/>
        <v>#DIV/0!</v>
      </c>
      <c r="AN100" s="282" t="e">
        <f t="shared" si="47"/>
        <v>#DIV/0!</v>
      </c>
      <c r="AO100" s="86"/>
    </row>
    <row r="101" spans="1:41" s="96" customFormat="1" ht="15.75" customHeight="1" x14ac:dyDescent="0.3">
      <c r="A101" s="279"/>
      <c r="B101" s="279"/>
      <c r="C101" s="280"/>
      <c r="D101" s="280"/>
      <c r="E101" s="281"/>
      <c r="F101" s="281"/>
      <c r="G101" s="282" t="e">
        <f t="shared" si="31"/>
        <v>#DIV/0!</v>
      </c>
      <c r="H101" s="281"/>
      <c r="I101" s="283"/>
      <c r="J101" s="282" t="e">
        <f t="shared" si="32"/>
        <v>#DIV/0!</v>
      </c>
      <c r="K101" s="281">
        <f t="shared" si="26"/>
        <v>0</v>
      </c>
      <c r="L101" s="281">
        <f t="shared" si="33"/>
        <v>0</v>
      </c>
      <c r="M101" s="282" t="e">
        <f t="shared" si="34"/>
        <v>#DIV/0!</v>
      </c>
      <c r="N101" s="283" t="e">
        <f t="shared" si="27"/>
        <v>#DIV/0!</v>
      </c>
      <c r="O101" s="283" t="e">
        <f t="shared" si="35"/>
        <v>#DIV/0!</v>
      </c>
      <c r="P101" s="282" t="e">
        <f t="shared" si="36"/>
        <v>#DIV/0!</v>
      </c>
      <c r="Q101" s="283" t="e">
        <f t="shared" si="28"/>
        <v>#DIV/0!</v>
      </c>
      <c r="R101" s="283" t="e">
        <f t="shared" si="37"/>
        <v>#DIV/0!</v>
      </c>
      <c r="S101" s="282" t="e">
        <f t="shared" si="38"/>
        <v>#DIV/0!</v>
      </c>
      <c r="T101" s="284"/>
      <c r="U101" s="284"/>
      <c r="V101" s="282" t="e">
        <f t="shared" si="39"/>
        <v>#DIV/0!</v>
      </c>
      <c r="W101" s="284"/>
      <c r="X101" s="284"/>
      <c r="Y101" s="282" t="e">
        <f t="shared" si="40"/>
        <v>#DIV/0!</v>
      </c>
      <c r="Z101" s="284" t="e">
        <f t="shared" si="29"/>
        <v>#DIV/0!</v>
      </c>
      <c r="AA101" s="284" t="e">
        <f t="shared" si="41"/>
        <v>#DIV/0!</v>
      </c>
      <c r="AB101" s="282" t="e">
        <f t="shared" si="42"/>
        <v>#DIV/0!</v>
      </c>
      <c r="AC101" s="285"/>
      <c r="AD101" s="284"/>
      <c r="AE101" s="282" t="e">
        <f t="shared" si="43"/>
        <v>#DIV/0!</v>
      </c>
      <c r="AF101" s="284"/>
      <c r="AG101" s="284"/>
      <c r="AH101" s="86" t="e">
        <f t="shared" si="44"/>
        <v>#DIV/0!</v>
      </c>
      <c r="AI101" s="284"/>
      <c r="AJ101" s="284"/>
      <c r="AK101" s="282" t="e">
        <f t="shared" si="45"/>
        <v>#DIV/0!</v>
      </c>
      <c r="AL101" s="286" t="e">
        <f t="shared" si="30"/>
        <v>#DIV/0!</v>
      </c>
      <c r="AM101" s="286" t="e">
        <f t="shared" si="46"/>
        <v>#DIV/0!</v>
      </c>
      <c r="AN101" s="282" t="e">
        <f t="shared" si="47"/>
        <v>#DIV/0!</v>
      </c>
      <c r="AO101" s="86"/>
    </row>
    <row r="102" spans="1:41" s="96" customFormat="1" ht="15.75" customHeight="1" x14ac:dyDescent="0.3">
      <c r="A102" s="279"/>
      <c r="B102" s="279"/>
      <c r="C102" s="280"/>
      <c r="D102" s="280"/>
      <c r="E102" s="281"/>
      <c r="F102" s="281"/>
      <c r="G102" s="282" t="e">
        <f t="shared" si="31"/>
        <v>#DIV/0!</v>
      </c>
      <c r="H102" s="281"/>
      <c r="I102" s="283"/>
      <c r="J102" s="282" t="e">
        <f t="shared" si="32"/>
        <v>#DIV/0!</v>
      </c>
      <c r="K102" s="281">
        <f t="shared" si="26"/>
        <v>0</v>
      </c>
      <c r="L102" s="281">
        <f t="shared" si="33"/>
        <v>0</v>
      </c>
      <c r="M102" s="282" t="e">
        <f t="shared" si="34"/>
        <v>#DIV/0!</v>
      </c>
      <c r="N102" s="283" t="e">
        <f t="shared" si="27"/>
        <v>#DIV/0!</v>
      </c>
      <c r="O102" s="283" t="e">
        <f t="shared" si="35"/>
        <v>#DIV/0!</v>
      </c>
      <c r="P102" s="282" t="e">
        <f t="shared" si="36"/>
        <v>#DIV/0!</v>
      </c>
      <c r="Q102" s="283" t="e">
        <f t="shared" si="28"/>
        <v>#DIV/0!</v>
      </c>
      <c r="R102" s="283" t="e">
        <f t="shared" si="37"/>
        <v>#DIV/0!</v>
      </c>
      <c r="S102" s="282" t="e">
        <f t="shared" si="38"/>
        <v>#DIV/0!</v>
      </c>
      <c r="T102" s="284"/>
      <c r="U102" s="284"/>
      <c r="V102" s="282" t="e">
        <f t="shared" si="39"/>
        <v>#DIV/0!</v>
      </c>
      <c r="W102" s="284"/>
      <c r="X102" s="284"/>
      <c r="Y102" s="282" t="e">
        <f t="shared" si="40"/>
        <v>#DIV/0!</v>
      </c>
      <c r="Z102" s="284" t="e">
        <f t="shared" si="29"/>
        <v>#DIV/0!</v>
      </c>
      <c r="AA102" s="284" t="e">
        <f t="shared" si="41"/>
        <v>#DIV/0!</v>
      </c>
      <c r="AB102" s="282" t="e">
        <f t="shared" si="42"/>
        <v>#DIV/0!</v>
      </c>
      <c r="AC102" s="285"/>
      <c r="AD102" s="284"/>
      <c r="AE102" s="282" t="e">
        <f t="shared" si="43"/>
        <v>#DIV/0!</v>
      </c>
      <c r="AF102" s="284"/>
      <c r="AG102" s="284"/>
      <c r="AH102" s="86" t="e">
        <f t="shared" si="44"/>
        <v>#DIV/0!</v>
      </c>
      <c r="AI102" s="284"/>
      <c r="AJ102" s="284"/>
      <c r="AK102" s="282" t="e">
        <f t="shared" si="45"/>
        <v>#DIV/0!</v>
      </c>
      <c r="AL102" s="286" t="e">
        <f t="shared" si="30"/>
        <v>#DIV/0!</v>
      </c>
      <c r="AM102" s="286" t="e">
        <f t="shared" si="46"/>
        <v>#DIV/0!</v>
      </c>
      <c r="AN102" s="282" t="e">
        <f t="shared" si="47"/>
        <v>#DIV/0!</v>
      </c>
      <c r="AO102" s="86"/>
    </row>
    <row r="103" spans="1:41" s="96" customFormat="1" ht="15.75" customHeight="1" x14ac:dyDescent="0.3">
      <c r="A103" s="279"/>
      <c r="B103" s="279"/>
      <c r="C103" s="280"/>
      <c r="D103" s="297" t="s">
        <v>274</v>
      </c>
      <c r="E103" s="281">
        <v>0</v>
      </c>
      <c r="F103" s="281"/>
      <c r="G103" s="282" t="e">
        <f t="shared" si="31"/>
        <v>#DIV/0!</v>
      </c>
      <c r="H103" s="281">
        <v>0</v>
      </c>
      <c r="I103" s="283"/>
      <c r="J103" s="282" t="e">
        <f t="shared" si="32"/>
        <v>#DIV/0!</v>
      </c>
      <c r="K103" s="281">
        <f t="shared" si="26"/>
        <v>0</v>
      </c>
      <c r="L103" s="281">
        <f t="shared" si="33"/>
        <v>0</v>
      </c>
      <c r="M103" s="282" t="e">
        <f t="shared" si="34"/>
        <v>#DIV/0!</v>
      </c>
      <c r="N103" s="283" t="e">
        <f t="shared" si="27"/>
        <v>#DIV/0!</v>
      </c>
      <c r="O103" s="283" t="e">
        <f t="shared" si="35"/>
        <v>#DIV/0!</v>
      </c>
      <c r="P103" s="282" t="e">
        <f t="shared" si="36"/>
        <v>#DIV/0!</v>
      </c>
      <c r="Q103" s="283" t="e">
        <f t="shared" si="28"/>
        <v>#DIV/0!</v>
      </c>
      <c r="R103" s="283" t="e">
        <f t="shared" si="37"/>
        <v>#DIV/0!</v>
      </c>
      <c r="S103" s="282" t="e">
        <f t="shared" si="38"/>
        <v>#DIV/0!</v>
      </c>
      <c r="T103" s="284">
        <v>329</v>
      </c>
      <c r="U103" s="284">
        <v>41</v>
      </c>
      <c r="V103" s="282">
        <f t="shared" si="39"/>
        <v>7.024390243902439</v>
      </c>
      <c r="W103" s="284">
        <v>0</v>
      </c>
      <c r="X103" s="284">
        <v>0</v>
      </c>
      <c r="Y103" s="282" t="e">
        <f t="shared" si="40"/>
        <v>#DIV/0!</v>
      </c>
      <c r="Z103" s="284" t="e">
        <f t="shared" si="29"/>
        <v>#DIV/0!</v>
      </c>
      <c r="AA103" s="284" t="e">
        <f t="shared" si="41"/>
        <v>#DIV/0!</v>
      </c>
      <c r="AB103" s="282" t="e">
        <f t="shared" si="42"/>
        <v>#DIV/0!</v>
      </c>
      <c r="AC103" s="285">
        <v>0</v>
      </c>
      <c r="AD103" s="284">
        <v>0</v>
      </c>
      <c r="AE103" s="282" t="e">
        <f t="shared" si="43"/>
        <v>#DIV/0!</v>
      </c>
      <c r="AF103" s="284">
        <v>0</v>
      </c>
      <c r="AG103" s="284">
        <v>0</v>
      </c>
      <c r="AH103" s="86" t="e">
        <f t="shared" si="44"/>
        <v>#DIV/0!</v>
      </c>
      <c r="AI103" s="284">
        <v>0</v>
      </c>
      <c r="AJ103" s="284">
        <v>0</v>
      </c>
      <c r="AK103" s="282" t="e">
        <f t="shared" si="45"/>
        <v>#DIV/0!</v>
      </c>
      <c r="AL103" s="286" t="e">
        <f t="shared" si="30"/>
        <v>#DIV/0!</v>
      </c>
      <c r="AM103" s="286" t="e">
        <f t="shared" si="46"/>
        <v>#DIV/0!</v>
      </c>
      <c r="AN103" s="282" t="e">
        <f t="shared" si="47"/>
        <v>#DIV/0!</v>
      </c>
      <c r="AO103" s="86"/>
    </row>
    <row r="104" spans="1:41" s="81" customFormat="1" ht="15.75" customHeight="1" x14ac:dyDescent="0.3">
      <c r="A104" s="49" t="s">
        <v>48</v>
      </c>
      <c r="B104" s="49" t="s">
        <v>50</v>
      </c>
      <c r="C104" s="50">
        <f>C98+7</f>
        <v>42853</v>
      </c>
      <c r="D104" s="50" t="s">
        <v>28</v>
      </c>
      <c r="E104" s="55">
        <f>SUM(E105:E109)</f>
        <v>2748</v>
      </c>
      <c r="F104" s="55">
        <f>SUM(F105:F109)</f>
        <v>0</v>
      </c>
      <c r="G104" s="52" t="e">
        <f t="shared" si="31"/>
        <v>#DIV/0!</v>
      </c>
      <c r="H104" s="55">
        <f>SUM(H105:H109)</f>
        <v>7994</v>
      </c>
      <c r="I104" s="55">
        <f>SUM(I105:I109)</f>
        <v>0</v>
      </c>
      <c r="J104" s="52" t="e">
        <f t="shared" si="32"/>
        <v>#DIV/0!</v>
      </c>
      <c r="K104" s="51">
        <f t="shared" si="26"/>
        <v>8673.49</v>
      </c>
      <c r="L104" s="51">
        <f t="shared" si="33"/>
        <v>0</v>
      </c>
      <c r="M104" s="52" t="e">
        <f t="shared" si="34"/>
        <v>#DIV/0!</v>
      </c>
      <c r="N104" s="53">
        <f t="shared" si="27"/>
        <v>0.34375781836377284</v>
      </c>
      <c r="O104" s="53" t="e">
        <f t="shared" si="35"/>
        <v>#DIV/0!</v>
      </c>
      <c r="P104" s="52" t="e">
        <f t="shared" si="36"/>
        <v>#DIV/0!</v>
      </c>
      <c r="Q104" s="53">
        <f t="shared" si="28"/>
        <v>0.3168274823629243</v>
      </c>
      <c r="R104" s="53" t="e">
        <f t="shared" si="37"/>
        <v>#DIV/0!</v>
      </c>
      <c r="S104" s="52" t="e">
        <f t="shared" si="38"/>
        <v>#DIV/0!</v>
      </c>
      <c r="T104" s="56">
        <f>SUM(T105:T109)</f>
        <v>11813</v>
      </c>
      <c r="U104" s="56">
        <f>SUM(U105:U109)</f>
        <v>4</v>
      </c>
      <c r="V104" s="52">
        <f t="shared" si="39"/>
        <v>2952.25</v>
      </c>
      <c r="W104" s="56">
        <f>SUM(W105:W109)</f>
        <v>23</v>
      </c>
      <c r="X104" s="56">
        <f>SUM(X105:X109)</f>
        <v>0</v>
      </c>
      <c r="Y104" s="52" t="e">
        <f t="shared" si="40"/>
        <v>#DIV/0!</v>
      </c>
      <c r="Z104" s="51">
        <f t="shared" si="29"/>
        <v>119.47826086956522</v>
      </c>
      <c r="AA104" s="54" t="e">
        <f t="shared" si="41"/>
        <v>#DIV/0!</v>
      </c>
      <c r="AB104" s="52" t="e">
        <f t="shared" si="42"/>
        <v>#DIV/0!</v>
      </c>
      <c r="AC104" s="56">
        <f>SUM(AC105:AC109)</f>
        <v>486225</v>
      </c>
      <c r="AD104" s="56">
        <f>SUM(AD105:AD109)</f>
        <v>0</v>
      </c>
      <c r="AE104" s="52" t="e">
        <f t="shared" si="43"/>
        <v>#DIV/0!</v>
      </c>
      <c r="AF104" s="56">
        <f>SUM(AF105:AF109)</f>
        <v>13078</v>
      </c>
      <c r="AG104" s="56">
        <f>SUM(AG105:AG109)</f>
        <v>0</v>
      </c>
      <c r="AH104" s="67" t="e">
        <f t="shared" si="44"/>
        <v>#DIV/0!</v>
      </c>
      <c r="AI104" s="56">
        <f>SUM(AI105:AI109)</f>
        <v>826124</v>
      </c>
      <c r="AJ104" s="56">
        <f>SUM(AJ105:AJ109)</f>
        <v>0</v>
      </c>
      <c r="AK104" s="52" t="e">
        <f t="shared" si="45"/>
        <v>#DIV/0!</v>
      </c>
      <c r="AL104" s="82">
        <f t="shared" si="30"/>
        <v>1.5830553282558068E-2</v>
      </c>
      <c r="AM104" s="82" t="e">
        <f t="shared" si="46"/>
        <v>#DIV/0!</v>
      </c>
      <c r="AN104" s="52" t="e">
        <f>(AL104-AM104)/AM104</f>
        <v>#DIV/0!</v>
      </c>
      <c r="AO104" s="211" t="s">
        <v>201</v>
      </c>
    </row>
    <row r="105" spans="1:41" s="96" customFormat="1" ht="15.75" customHeight="1" x14ac:dyDescent="0.3">
      <c r="A105" s="279"/>
      <c r="B105" s="279"/>
      <c r="C105" s="280"/>
      <c r="D105" s="297" t="s">
        <v>193</v>
      </c>
      <c r="E105" s="281">
        <v>2259</v>
      </c>
      <c r="F105" s="281"/>
      <c r="G105" s="282" t="e">
        <f t="shared" si="31"/>
        <v>#DIV/0!</v>
      </c>
      <c r="H105" s="281">
        <v>4998</v>
      </c>
      <c r="I105" s="283"/>
      <c r="J105" s="282" t="e">
        <f t="shared" si="32"/>
        <v>#DIV/0!</v>
      </c>
      <c r="K105" s="281">
        <f t="shared" si="26"/>
        <v>5422.83</v>
      </c>
      <c r="L105" s="281">
        <f t="shared" si="33"/>
        <v>0</v>
      </c>
      <c r="M105" s="282" t="e">
        <f t="shared" si="34"/>
        <v>#DIV/0!</v>
      </c>
      <c r="N105" s="283">
        <f t="shared" si="27"/>
        <v>0.45198079231692678</v>
      </c>
      <c r="O105" s="283" t="e">
        <f t="shared" si="35"/>
        <v>#DIV/0!</v>
      </c>
      <c r="P105" s="282" t="e">
        <f t="shared" si="36"/>
        <v>#DIV/0!</v>
      </c>
      <c r="Q105" s="283">
        <f t="shared" si="28"/>
        <v>0.41657215881744403</v>
      </c>
      <c r="R105" s="283" t="e">
        <f t="shared" si="37"/>
        <v>#DIV/0!</v>
      </c>
      <c r="S105" s="282" t="e">
        <f t="shared" si="38"/>
        <v>#DIV/0!</v>
      </c>
      <c r="T105" s="284">
        <v>6526</v>
      </c>
      <c r="U105" s="284"/>
      <c r="V105" s="282" t="e">
        <f t="shared" si="39"/>
        <v>#DIV/0!</v>
      </c>
      <c r="W105" s="284">
        <v>17</v>
      </c>
      <c r="X105" s="284"/>
      <c r="Y105" s="282" t="e">
        <f t="shared" si="40"/>
        <v>#DIV/0!</v>
      </c>
      <c r="Z105" s="284">
        <f t="shared" si="29"/>
        <v>132.88235294117646</v>
      </c>
      <c r="AA105" s="284" t="e">
        <f t="shared" si="41"/>
        <v>#DIV/0!</v>
      </c>
      <c r="AB105" s="282" t="e">
        <f t="shared" si="42"/>
        <v>#DIV/0!</v>
      </c>
      <c r="AC105" s="237">
        <v>268291</v>
      </c>
      <c r="AD105" s="284"/>
      <c r="AE105" s="282" t="e">
        <f t="shared" si="43"/>
        <v>#DIV/0!</v>
      </c>
      <c r="AF105" s="284">
        <v>7348</v>
      </c>
      <c r="AG105" s="284"/>
      <c r="AH105" s="86" t="e">
        <f t="shared" si="44"/>
        <v>#DIV/0!</v>
      </c>
      <c r="AI105" s="237">
        <v>449789</v>
      </c>
      <c r="AJ105" s="284"/>
      <c r="AK105" s="282" t="e">
        <f t="shared" si="45"/>
        <v>#DIV/0!</v>
      </c>
      <c r="AL105" s="286">
        <f t="shared" si="30"/>
        <v>1.6336548915157997E-2</v>
      </c>
      <c r="AM105" s="286" t="e">
        <f t="shared" si="46"/>
        <v>#DIV/0!</v>
      </c>
      <c r="AN105" s="282" t="e">
        <f t="shared" si="47"/>
        <v>#DIV/0!</v>
      </c>
      <c r="AO105" s="86"/>
    </row>
    <row r="106" spans="1:41" s="96" customFormat="1" ht="15.75" customHeight="1" x14ac:dyDescent="0.3">
      <c r="A106" s="279"/>
      <c r="B106" s="279"/>
      <c r="C106" s="280"/>
      <c r="D106" s="297" t="s">
        <v>276</v>
      </c>
      <c r="E106" s="281">
        <v>489</v>
      </c>
      <c r="F106" s="281"/>
      <c r="G106" s="282" t="e">
        <f t="shared" si="31"/>
        <v>#DIV/0!</v>
      </c>
      <c r="H106" s="281">
        <v>2996</v>
      </c>
      <c r="I106" s="283"/>
      <c r="J106" s="282" t="e">
        <f t="shared" si="32"/>
        <v>#DIV/0!</v>
      </c>
      <c r="K106" s="281">
        <f t="shared" si="26"/>
        <v>3250.66</v>
      </c>
      <c r="L106" s="281">
        <f t="shared" si="33"/>
        <v>0</v>
      </c>
      <c r="M106" s="282" t="e">
        <f t="shared" si="34"/>
        <v>#DIV/0!</v>
      </c>
      <c r="N106" s="283">
        <f t="shared" si="27"/>
        <v>0.16321762349799732</v>
      </c>
      <c r="O106" s="283" t="e">
        <f t="shared" si="35"/>
        <v>#DIV/0!</v>
      </c>
      <c r="P106" s="282" t="e">
        <f t="shared" si="36"/>
        <v>#DIV/0!</v>
      </c>
      <c r="Q106" s="283">
        <f t="shared" si="28"/>
        <v>0.1504309893990759</v>
      </c>
      <c r="R106" s="283" t="e">
        <f t="shared" si="37"/>
        <v>#DIV/0!</v>
      </c>
      <c r="S106" s="282" t="e">
        <f t="shared" si="38"/>
        <v>#DIV/0!</v>
      </c>
      <c r="T106" s="284">
        <v>5287</v>
      </c>
      <c r="U106" s="284"/>
      <c r="V106" s="282" t="e">
        <f t="shared" si="39"/>
        <v>#DIV/0!</v>
      </c>
      <c r="W106" s="284">
        <v>6</v>
      </c>
      <c r="X106" s="284"/>
      <c r="Y106" s="282" t="e">
        <f t="shared" si="40"/>
        <v>#DIV/0!</v>
      </c>
      <c r="Z106" s="284">
        <f t="shared" si="29"/>
        <v>81.5</v>
      </c>
      <c r="AA106" s="284" t="e">
        <f t="shared" si="41"/>
        <v>#DIV/0!</v>
      </c>
      <c r="AB106" s="282" t="e">
        <f t="shared" si="42"/>
        <v>#DIV/0!</v>
      </c>
      <c r="AC106" s="156">
        <v>217934</v>
      </c>
      <c r="AD106" s="284"/>
      <c r="AE106" s="282" t="e">
        <f t="shared" si="43"/>
        <v>#DIV/0!</v>
      </c>
      <c r="AF106" s="284">
        <v>5730</v>
      </c>
      <c r="AG106" s="284"/>
      <c r="AH106" s="86" t="e">
        <f t="shared" si="44"/>
        <v>#DIV/0!</v>
      </c>
      <c r="AI106" s="156">
        <v>376335</v>
      </c>
      <c r="AJ106" s="284"/>
      <c r="AK106" s="282" t="e">
        <f t="shared" si="45"/>
        <v>#DIV/0!</v>
      </c>
      <c r="AL106" s="286">
        <f t="shared" si="30"/>
        <v>1.5225796165650285E-2</v>
      </c>
      <c r="AM106" s="286" t="e">
        <f t="shared" si="46"/>
        <v>#DIV/0!</v>
      </c>
      <c r="AN106" s="282" t="e">
        <f t="shared" si="47"/>
        <v>#DIV/0!</v>
      </c>
      <c r="AO106" s="86"/>
    </row>
    <row r="107" spans="1:41" s="96" customFormat="1" ht="15.75" customHeight="1" x14ac:dyDescent="0.3">
      <c r="A107" s="279"/>
      <c r="B107" s="279"/>
      <c r="C107" s="280"/>
      <c r="D107" s="280"/>
      <c r="E107" s="281"/>
      <c r="F107" s="281"/>
      <c r="G107" s="282" t="e">
        <f t="shared" si="31"/>
        <v>#DIV/0!</v>
      </c>
      <c r="H107" s="281"/>
      <c r="I107" s="283"/>
      <c r="J107" s="282" t="e">
        <f t="shared" si="32"/>
        <v>#DIV/0!</v>
      </c>
      <c r="K107" s="281">
        <f t="shared" si="26"/>
        <v>0</v>
      </c>
      <c r="L107" s="281">
        <f t="shared" si="33"/>
        <v>0</v>
      </c>
      <c r="M107" s="282" t="e">
        <f t="shared" si="34"/>
        <v>#DIV/0!</v>
      </c>
      <c r="N107" s="283" t="e">
        <f t="shared" si="27"/>
        <v>#DIV/0!</v>
      </c>
      <c r="O107" s="283" t="e">
        <f t="shared" si="35"/>
        <v>#DIV/0!</v>
      </c>
      <c r="P107" s="282" t="e">
        <f t="shared" si="36"/>
        <v>#DIV/0!</v>
      </c>
      <c r="Q107" s="283" t="e">
        <f t="shared" si="28"/>
        <v>#DIV/0!</v>
      </c>
      <c r="R107" s="283" t="e">
        <f t="shared" si="37"/>
        <v>#DIV/0!</v>
      </c>
      <c r="S107" s="282" t="e">
        <f t="shared" si="38"/>
        <v>#DIV/0!</v>
      </c>
      <c r="T107" s="284"/>
      <c r="U107" s="284"/>
      <c r="V107" s="282" t="e">
        <f t="shared" si="39"/>
        <v>#DIV/0!</v>
      </c>
      <c r="W107" s="284"/>
      <c r="X107" s="284"/>
      <c r="Y107" s="282" t="e">
        <f t="shared" si="40"/>
        <v>#DIV/0!</v>
      </c>
      <c r="Z107" s="284" t="e">
        <f t="shared" si="29"/>
        <v>#DIV/0!</v>
      </c>
      <c r="AA107" s="284" t="e">
        <f t="shared" si="41"/>
        <v>#DIV/0!</v>
      </c>
      <c r="AB107" s="282" t="e">
        <f t="shared" si="42"/>
        <v>#DIV/0!</v>
      </c>
      <c r="AC107" s="285"/>
      <c r="AD107" s="284"/>
      <c r="AE107" s="282" t="e">
        <f t="shared" si="43"/>
        <v>#DIV/0!</v>
      </c>
      <c r="AF107" s="284"/>
      <c r="AG107" s="284"/>
      <c r="AH107" s="86" t="e">
        <f t="shared" si="44"/>
        <v>#DIV/0!</v>
      </c>
      <c r="AI107" s="284"/>
      <c r="AJ107" s="284"/>
      <c r="AK107" s="282" t="e">
        <f t="shared" si="45"/>
        <v>#DIV/0!</v>
      </c>
      <c r="AL107" s="286" t="e">
        <f t="shared" si="30"/>
        <v>#DIV/0!</v>
      </c>
      <c r="AM107" s="286" t="e">
        <f t="shared" si="46"/>
        <v>#DIV/0!</v>
      </c>
      <c r="AN107" s="282" t="e">
        <f t="shared" si="47"/>
        <v>#DIV/0!</v>
      </c>
      <c r="AO107" s="86"/>
    </row>
    <row r="108" spans="1:41" s="96" customFormat="1" ht="15.75" customHeight="1" x14ac:dyDescent="0.3">
      <c r="A108" s="279"/>
      <c r="B108" s="279"/>
      <c r="C108" s="280"/>
      <c r="D108" s="280"/>
      <c r="E108" s="281"/>
      <c r="F108" s="281"/>
      <c r="G108" s="282" t="e">
        <f t="shared" si="31"/>
        <v>#DIV/0!</v>
      </c>
      <c r="H108" s="281"/>
      <c r="I108" s="283"/>
      <c r="J108" s="282" t="e">
        <f t="shared" si="32"/>
        <v>#DIV/0!</v>
      </c>
      <c r="K108" s="281">
        <f t="shared" si="26"/>
        <v>0</v>
      </c>
      <c r="L108" s="281">
        <f t="shared" si="33"/>
        <v>0</v>
      </c>
      <c r="M108" s="282" t="e">
        <f t="shared" si="34"/>
        <v>#DIV/0!</v>
      </c>
      <c r="N108" s="283" t="e">
        <f t="shared" si="27"/>
        <v>#DIV/0!</v>
      </c>
      <c r="O108" s="283" t="e">
        <f t="shared" si="35"/>
        <v>#DIV/0!</v>
      </c>
      <c r="P108" s="282" t="e">
        <f t="shared" si="36"/>
        <v>#DIV/0!</v>
      </c>
      <c r="Q108" s="283" t="e">
        <f t="shared" si="28"/>
        <v>#DIV/0!</v>
      </c>
      <c r="R108" s="283" t="e">
        <f t="shared" si="37"/>
        <v>#DIV/0!</v>
      </c>
      <c r="S108" s="282" t="e">
        <f t="shared" si="38"/>
        <v>#DIV/0!</v>
      </c>
      <c r="T108" s="284"/>
      <c r="U108" s="284"/>
      <c r="V108" s="282" t="e">
        <f t="shared" si="39"/>
        <v>#DIV/0!</v>
      </c>
      <c r="W108" s="284"/>
      <c r="X108" s="284"/>
      <c r="Y108" s="282" t="e">
        <f t="shared" si="40"/>
        <v>#DIV/0!</v>
      </c>
      <c r="Z108" s="284" t="e">
        <f t="shared" si="29"/>
        <v>#DIV/0!</v>
      </c>
      <c r="AA108" s="284" t="e">
        <f t="shared" si="41"/>
        <v>#DIV/0!</v>
      </c>
      <c r="AB108" s="282" t="e">
        <f t="shared" si="42"/>
        <v>#DIV/0!</v>
      </c>
      <c r="AC108" s="285"/>
      <c r="AD108" s="284"/>
      <c r="AE108" s="282" t="e">
        <f t="shared" si="43"/>
        <v>#DIV/0!</v>
      </c>
      <c r="AF108" s="284"/>
      <c r="AG108" s="284"/>
      <c r="AH108" s="86" t="e">
        <f t="shared" si="44"/>
        <v>#DIV/0!</v>
      </c>
      <c r="AI108" s="284"/>
      <c r="AJ108" s="284"/>
      <c r="AK108" s="282" t="e">
        <f t="shared" si="45"/>
        <v>#DIV/0!</v>
      </c>
      <c r="AL108" s="286" t="e">
        <f t="shared" si="30"/>
        <v>#DIV/0!</v>
      </c>
      <c r="AM108" s="286" t="e">
        <f t="shared" si="46"/>
        <v>#DIV/0!</v>
      </c>
      <c r="AN108" s="282" t="e">
        <f t="shared" si="47"/>
        <v>#DIV/0!</v>
      </c>
      <c r="AO108" s="86"/>
    </row>
    <row r="109" spans="1:41" s="96" customFormat="1" ht="15.75" customHeight="1" x14ac:dyDescent="0.3">
      <c r="A109" s="279"/>
      <c r="B109" s="279"/>
      <c r="C109" s="280"/>
      <c r="D109" s="297" t="s">
        <v>274</v>
      </c>
      <c r="E109" s="281">
        <v>0</v>
      </c>
      <c r="F109" s="281"/>
      <c r="G109" s="282" t="e">
        <f t="shared" si="31"/>
        <v>#DIV/0!</v>
      </c>
      <c r="H109" s="281">
        <v>0</v>
      </c>
      <c r="I109" s="283"/>
      <c r="J109" s="282" t="e">
        <f t="shared" si="32"/>
        <v>#DIV/0!</v>
      </c>
      <c r="K109" s="281">
        <f t="shared" si="26"/>
        <v>0</v>
      </c>
      <c r="L109" s="281">
        <f t="shared" si="33"/>
        <v>0</v>
      </c>
      <c r="M109" s="282" t="e">
        <f t="shared" si="34"/>
        <v>#DIV/0!</v>
      </c>
      <c r="N109" s="283" t="e">
        <f t="shared" si="27"/>
        <v>#DIV/0!</v>
      </c>
      <c r="O109" s="283" t="e">
        <f t="shared" si="35"/>
        <v>#DIV/0!</v>
      </c>
      <c r="P109" s="282" t="e">
        <f t="shared" si="36"/>
        <v>#DIV/0!</v>
      </c>
      <c r="Q109" s="283" t="e">
        <f t="shared" si="28"/>
        <v>#DIV/0!</v>
      </c>
      <c r="R109" s="283" t="e">
        <f t="shared" si="37"/>
        <v>#DIV/0!</v>
      </c>
      <c r="S109" s="282" t="e">
        <f t="shared" si="38"/>
        <v>#DIV/0!</v>
      </c>
      <c r="T109" s="284">
        <v>0</v>
      </c>
      <c r="U109" s="284">
        <v>4</v>
      </c>
      <c r="V109" s="282">
        <f t="shared" si="39"/>
        <v>-1</v>
      </c>
      <c r="W109" s="284">
        <v>0</v>
      </c>
      <c r="X109" s="284"/>
      <c r="Y109" s="282" t="e">
        <f t="shared" si="40"/>
        <v>#DIV/0!</v>
      </c>
      <c r="Z109" s="284" t="e">
        <f t="shared" si="29"/>
        <v>#DIV/0!</v>
      </c>
      <c r="AA109" s="284" t="e">
        <f t="shared" si="41"/>
        <v>#DIV/0!</v>
      </c>
      <c r="AB109" s="282" t="e">
        <f t="shared" si="42"/>
        <v>#DIV/0!</v>
      </c>
      <c r="AC109" s="285">
        <v>0</v>
      </c>
      <c r="AD109" s="284"/>
      <c r="AE109" s="282" t="e">
        <f t="shared" si="43"/>
        <v>#DIV/0!</v>
      </c>
      <c r="AF109" s="284">
        <v>0</v>
      </c>
      <c r="AG109" s="284"/>
      <c r="AH109" s="86" t="e">
        <f t="shared" si="44"/>
        <v>#DIV/0!</v>
      </c>
      <c r="AI109" s="284">
        <v>0</v>
      </c>
      <c r="AJ109" s="284"/>
      <c r="AK109" s="282" t="e">
        <f t="shared" si="45"/>
        <v>#DIV/0!</v>
      </c>
      <c r="AL109" s="286" t="e">
        <f t="shared" si="30"/>
        <v>#DIV/0!</v>
      </c>
      <c r="AM109" s="286" t="e">
        <f t="shared" si="46"/>
        <v>#DIV/0!</v>
      </c>
      <c r="AN109" s="282" t="e">
        <f t="shared" si="47"/>
        <v>#DIV/0!</v>
      </c>
      <c r="AO109" s="86"/>
    </row>
    <row r="110" spans="1:41" s="81" customFormat="1" ht="15.75" customHeight="1" x14ac:dyDescent="0.3">
      <c r="A110" s="49" t="s">
        <v>48</v>
      </c>
      <c r="B110" s="49" t="s">
        <v>51</v>
      </c>
      <c r="C110" s="50">
        <f>C104+7</f>
        <v>42860</v>
      </c>
      <c r="D110" s="50" t="s">
        <v>28</v>
      </c>
      <c r="E110" s="55">
        <f>SUM(E111:E115)</f>
        <v>39</v>
      </c>
      <c r="F110" s="55">
        <f>SUM(F111:F115)</f>
        <v>0</v>
      </c>
      <c r="G110" s="52" t="e">
        <f t="shared" si="31"/>
        <v>#DIV/0!</v>
      </c>
      <c r="H110" s="55">
        <f>SUM(H111:H115)</f>
        <v>0</v>
      </c>
      <c r="I110" s="55">
        <f>SUM(I111:I115)</f>
        <v>0</v>
      </c>
      <c r="J110" s="52" t="e">
        <f t="shared" si="32"/>
        <v>#DIV/0!</v>
      </c>
      <c r="K110" s="51">
        <f t="shared" si="26"/>
        <v>0</v>
      </c>
      <c r="L110" s="51">
        <f t="shared" si="33"/>
        <v>0</v>
      </c>
      <c r="M110" s="52" t="e">
        <f t="shared" si="34"/>
        <v>#DIV/0!</v>
      </c>
      <c r="N110" s="53" t="e">
        <f t="shared" si="27"/>
        <v>#DIV/0!</v>
      </c>
      <c r="O110" s="53" t="e">
        <f t="shared" si="35"/>
        <v>#DIV/0!</v>
      </c>
      <c r="P110" s="52" t="e">
        <f t="shared" si="36"/>
        <v>#DIV/0!</v>
      </c>
      <c r="Q110" s="53" t="e">
        <f t="shared" si="28"/>
        <v>#DIV/0!</v>
      </c>
      <c r="R110" s="53" t="e">
        <f t="shared" si="37"/>
        <v>#DIV/0!</v>
      </c>
      <c r="S110" s="52" t="e">
        <f t="shared" si="38"/>
        <v>#DIV/0!</v>
      </c>
      <c r="T110" s="56">
        <f>SUM(T111:T115)</f>
        <v>60</v>
      </c>
      <c r="U110" s="56">
        <f>SUM(U111:U115)</f>
        <v>6</v>
      </c>
      <c r="V110" s="52">
        <f t="shared" si="39"/>
        <v>9</v>
      </c>
      <c r="W110" s="56">
        <f>SUM(W111:W115)</f>
        <v>1</v>
      </c>
      <c r="X110" s="56">
        <f>SUM(X111:X115)</f>
        <v>0</v>
      </c>
      <c r="Y110" s="52" t="e">
        <f t="shared" si="40"/>
        <v>#DIV/0!</v>
      </c>
      <c r="Z110" s="51">
        <f t="shared" si="29"/>
        <v>39</v>
      </c>
      <c r="AA110" s="54" t="e">
        <f t="shared" si="41"/>
        <v>#DIV/0!</v>
      </c>
      <c r="AB110" s="52" t="e">
        <f t="shared" si="42"/>
        <v>#DIV/0!</v>
      </c>
      <c r="AC110" s="56">
        <f>SUM(AC111:AC115)</f>
        <v>0</v>
      </c>
      <c r="AD110" s="56">
        <f>SUM(AD111:AD115)</f>
        <v>0</v>
      </c>
      <c r="AE110" s="52" t="e">
        <f t="shared" si="43"/>
        <v>#DIV/0!</v>
      </c>
      <c r="AF110" s="56">
        <f>SUM(AF111:AF115)</f>
        <v>0</v>
      </c>
      <c r="AG110" s="56">
        <f>SUM(AG111:AG115)</f>
        <v>0</v>
      </c>
      <c r="AH110" s="67" t="e">
        <f t="shared" si="44"/>
        <v>#DIV/0!</v>
      </c>
      <c r="AI110" s="56">
        <f>SUM(AI111:AI115)</f>
        <v>0</v>
      </c>
      <c r="AJ110" s="56">
        <f>SUM(AJ111:AJ115)</f>
        <v>0</v>
      </c>
      <c r="AK110" s="52" t="e">
        <f t="shared" si="45"/>
        <v>#DIV/0!</v>
      </c>
      <c r="AL110" s="82" t="e">
        <f t="shared" si="30"/>
        <v>#DIV/0!</v>
      </c>
      <c r="AM110" s="82" t="e">
        <f t="shared" si="46"/>
        <v>#DIV/0!</v>
      </c>
      <c r="AN110" s="52" t="e">
        <f>(AL110-AM110)/AM110</f>
        <v>#DIV/0!</v>
      </c>
      <c r="AO110" s="96"/>
    </row>
    <row r="111" spans="1:41" s="96" customFormat="1" ht="15.75" customHeight="1" x14ac:dyDescent="0.3">
      <c r="A111" s="279"/>
      <c r="B111" s="279"/>
      <c r="C111" s="280"/>
      <c r="D111" s="280"/>
      <c r="E111" s="281"/>
      <c r="F111" s="281"/>
      <c r="G111" s="282" t="e">
        <f t="shared" si="31"/>
        <v>#DIV/0!</v>
      </c>
      <c r="H111" s="281"/>
      <c r="I111" s="283"/>
      <c r="J111" s="282" t="e">
        <f t="shared" si="32"/>
        <v>#DIV/0!</v>
      </c>
      <c r="K111" s="281">
        <f t="shared" si="26"/>
        <v>0</v>
      </c>
      <c r="L111" s="281">
        <f t="shared" si="33"/>
        <v>0</v>
      </c>
      <c r="M111" s="282" t="e">
        <f t="shared" si="34"/>
        <v>#DIV/0!</v>
      </c>
      <c r="N111" s="283" t="e">
        <f t="shared" si="27"/>
        <v>#DIV/0!</v>
      </c>
      <c r="O111" s="283" t="e">
        <f t="shared" si="35"/>
        <v>#DIV/0!</v>
      </c>
      <c r="P111" s="282" t="e">
        <f t="shared" si="36"/>
        <v>#DIV/0!</v>
      </c>
      <c r="Q111" s="283" t="e">
        <f t="shared" si="28"/>
        <v>#DIV/0!</v>
      </c>
      <c r="R111" s="283" t="e">
        <f t="shared" si="37"/>
        <v>#DIV/0!</v>
      </c>
      <c r="S111" s="282" t="e">
        <f t="shared" si="38"/>
        <v>#DIV/0!</v>
      </c>
      <c r="T111" s="284"/>
      <c r="U111" s="284"/>
      <c r="V111" s="282" t="e">
        <f t="shared" si="39"/>
        <v>#DIV/0!</v>
      </c>
      <c r="W111" s="284"/>
      <c r="X111" s="284"/>
      <c r="Y111" s="282" t="e">
        <f t="shared" si="40"/>
        <v>#DIV/0!</v>
      </c>
      <c r="Z111" s="284" t="e">
        <f t="shared" si="29"/>
        <v>#DIV/0!</v>
      </c>
      <c r="AA111" s="284" t="e">
        <f t="shared" si="41"/>
        <v>#DIV/0!</v>
      </c>
      <c r="AB111" s="282" t="e">
        <f t="shared" si="42"/>
        <v>#DIV/0!</v>
      </c>
      <c r="AC111" s="285"/>
      <c r="AD111" s="284"/>
      <c r="AE111" s="282" t="e">
        <f t="shared" si="43"/>
        <v>#DIV/0!</v>
      </c>
      <c r="AF111" s="284"/>
      <c r="AG111" s="284"/>
      <c r="AH111" s="86" t="e">
        <f t="shared" si="44"/>
        <v>#DIV/0!</v>
      </c>
      <c r="AI111" s="284"/>
      <c r="AJ111" s="284"/>
      <c r="AK111" s="282" t="e">
        <f t="shared" si="45"/>
        <v>#DIV/0!</v>
      </c>
      <c r="AL111" s="286" t="e">
        <f t="shared" si="30"/>
        <v>#DIV/0!</v>
      </c>
      <c r="AM111" s="286" t="e">
        <f t="shared" si="46"/>
        <v>#DIV/0!</v>
      </c>
      <c r="AN111" s="282" t="e">
        <f t="shared" si="47"/>
        <v>#DIV/0!</v>
      </c>
      <c r="AO111" s="86"/>
    </row>
    <row r="112" spans="1:41" s="96" customFormat="1" ht="15.75" customHeight="1" x14ac:dyDescent="0.3">
      <c r="A112" s="279"/>
      <c r="B112" s="279"/>
      <c r="C112" s="280"/>
      <c r="D112" s="280"/>
      <c r="E112" s="281"/>
      <c r="F112" s="281"/>
      <c r="G112" s="282" t="e">
        <f t="shared" si="31"/>
        <v>#DIV/0!</v>
      </c>
      <c r="H112" s="281"/>
      <c r="I112" s="283"/>
      <c r="J112" s="282" t="e">
        <f t="shared" si="32"/>
        <v>#DIV/0!</v>
      </c>
      <c r="K112" s="281">
        <f t="shared" si="26"/>
        <v>0</v>
      </c>
      <c r="L112" s="281">
        <f t="shared" si="33"/>
        <v>0</v>
      </c>
      <c r="M112" s="282" t="e">
        <f t="shared" si="34"/>
        <v>#DIV/0!</v>
      </c>
      <c r="N112" s="283" t="e">
        <f t="shared" si="27"/>
        <v>#DIV/0!</v>
      </c>
      <c r="O112" s="283" t="e">
        <f t="shared" si="35"/>
        <v>#DIV/0!</v>
      </c>
      <c r="P112" s="282" t="e">
        <f t="shared" si="36"/>
        <v>#DIV/0!</v>
      </c>
      <c r="Q112" s="283" t="e">
        <f t="shared" si="28"/>
        <v>#DIV/0!</v>
      </c>
      <c r="R112" s="283" t="e">
        <f t="shared" si="37"/>
        <v>#DIV/0!</v>
      </c>
      <c r="S112" s="282" t="e">
        <f t="shared" si="38"/>
        <v>#DIV/0!</v>
      </c>
      <c r="T112" s="284"/>
      <c r="U112" s="284"/>
      <c r="V112" s="282" t="e">
        <f t="shared" si="39"/>
        <v>#DIV/0!</v>
      </c>
      <c r="W112" s="284"/>
      <c r="X112" s="284"/>
      <c r="Y112" s="282" t="e">
        <f t="shared" si="40"/>
        <v>#DIV/0!</v>
      </c>
      <c r="Z112" s="284" t="e">
        <f t="shared" si="29"/>
        <v>#DIV/0!</v>
      </c>
      <c r="AA112" s="284" t="e">
        <f t="shared" si="41"/>
        <v>#DIV/0!</v>
      </c>
      <c r="AB112" s="282" t="e">
        <f t="shared" si="42"/>
        <v>#DIV/0!</v>
      </c>
      <c r="AC112" s="285"/>
      <c r="AD112" s="284"/>
      <c r="AE112" s="282" t="e">
        <f t="shared" si="43"/>
        <v>#DIV/0!</v>
      </c>
      <c r="AF112" s="284"/>
      <c r="AG112" s="284"/>
      <c r="AH112" s="86" t="e">
        <f t="shared" si="44"/>
        <v>#DIV/0!</v>
      </c>
      <c r="AI112" s="284"/>
      <c r="AJ112" s="284"/>
      <c r="AK112" s="282" t="e">
        <f t="shared" si="45"/>
        <v>#DIV/0!</v>
      </c>
      <c r="AL112" s="286" t="e">
        <f t="shared" si="30"/>
        <v>#DIV/0!</v>
      </c>
      <c r="AM112" s="286" t="e">
        <f t="shared" si="46"/>
        <v>#DIV/0!</v>
      </c>
      <c r="AN112" s="282" t="e">
        <f t="shared" si="47"/>
        <v>#DIV/0!</v>
      </c>
      <c r="AO112" s="86"/>
    </row>
    <row r="113" spans="1:41" s="96" customFormat="1" ht="15.75" customHeight="1" x14ac:dyDescent="0.3">
      <c r="A113" s="279"/>
      <c r="B113" s="279"/>
      <c r="C113" s="280"/>
      <c r="D113" s="280"/>
      <c r="E113" s="281"/>
      <c r="F113" s="281"/>
      <c r="G113" s="282" t="e">
        <f t="shared" si="31"/>
        <v>#DIV/0!</v>
      </c>
      <c r="H113" s="281"/>
      <c r="I113" s="283"/>
      <c r="J113" s="282" t="e">
        <f t="shared" si="32"/>
        <v>#DIV/0!</v>
      </c>
      <c r="K113" s="281">
        <f t="shared" si="26"/>
        <v>0</v>
      </c>
      <c r="L113" s="281">
        <f t="shared" si="33"/>
        <v>0</v>
      </c>
      <c r="M113" s="282" t="e">
        <f t="shared" si="34"/>
        <v>#DIV/0!</v>
      </c>
      <c r="N113" s="283" t="e">
        <f t="shared" si="27"/>
        <v>#DIV/0!</v>
      </c>
      <c r="O113" s="283" t="e">
        <f t="shared" si="35"/>
        <v>#DIV/0!</v>
      </c>
      <c r="P113" s="282" t="e">
        <f t="shared" si="36"/>
        <v>#DIV/0!</v>
      </c>
      <c r="Q113" s="283" t="e">
        <f t="shared" si="28"/>
        <v>#DIV/0!</v>
      </c>
      <c r="R113" s="283" t="e">
        <f t="shared" si="37"/>
        <v>#DIV/0!</v>
      </c>
      <c r="S113" s="282" t="e">
        <f t="shared" si="38"/>
        <v>#DIV/0!</v>
      </c>
      <c r="T113" s="284"/>
      <c r="U113" s="284"/>
      <c r="V113" s="282" t="e">
        <f t="shared" si="39"/>
        <v>#DIV/0!</v>
      </c>
      <c r="W113" s="284"/>
      <c r="X113" s="284"/>
      <c r="Y113" s="282" t="e">
        <f t="shared" si="40"/>
        <v>#DIV/0!</v>
      </c>
      <c r="Z113" s="284" t="e">
        <f t="shared" si="29"/>
        <v>#DIV/0!</v>
      </c>
      <c r="AA113" s="284" t="e">
        <f t="shared" si="41"/>
        <v>#DIV/0!</v>
      </c>
      <c r="AB113" s="282" t="e">
        <f t="shared" si="42"/>
        <v>#DIV/0!</v>
      </c>
      <c r="AC113" s="285"/>
      <c r="AD113" s="284"/>
      <c r="AE113" s="282" t="e">
        <f t="shared" si="43"/>
        <v>#DIV/0!</v>
      </c>
      <c r="AF113" s="284"/>
      <c r="AG113" s="284"/>
      <c r="AH113" s="86" t="e">
        <f t="shared" si="44"/>
        <v>#DIV/0!</v>
      </c>
      <c r="AI113" s="284"/>
      <c r="AJ113" s="284"/>
      <c r="AK113" s="282" t="e">
        <f t="shared" si="45"/>
        <v>#DIV/0!</v>
      </c>
      <c r="AL113" s="286" t="e">
        <f t="shared" si="30"/>
        <v>#DIV/0!</v>
      </c>
      <c r="AM113" s="286" t="e">
        <f t="shared" si="46"/>
        <v>#DIV/0!</v>
      </c>
      <c r="AN113" s="282" t="e">
        <f t="shared" si="47"/>
        <v>#DIV/0!</v>
      </c>
      <c r="AO113" s="86"/>
    </row>
    <row r="114" spans="1:41" s="96" customFormat="1" ht="15.75" customHeight="1" x14ac:dyDescent="0.3">
      <c r="A114" s="279"/>
      <c r="B114" s="279"/>
      <c r="C114" s="280"/>
      <c r="D114" s="280"/>
      <c r="E114" s="281"/>
      <c r="F114" s="281"/>
      <c r="G114" s="282" t="e">
        <f t="shared" si="31"/>
        <v>#DIV/0!</v>
      </c>
      <c r="H114" s="281"/>
      <c r="I114" s="283"/>
      <c r="J114" s="282" t="e">
        <f t="shared" si="32"/>
        <v>#DIV/0!</v>
      </c>
      <c r="K114" s="281">
        <f t="shared" si="26"/>
        <v>0</v>
      </c>
      <c r="L114" s="281">
        <f t="shared" si="33"/>
        <v>0</v>
      </c>
      <c r="M114" s="282" t="e">
        <f t="shared" si="34"/>
        <v>#DIV/0!</v>
      </c>
      <c r="N114" s="283" t="e">
        <f t="shared" si="27"/>
        <v>#DIV/0!</v>
      </c>
      <c r="O114" s="283" t="e">
        <f t="shared" si="35"/>
        <v>#DIV/0!</v>
      </c>
      <c r="P114" s="282" t="e">
        <f t="shared" si="36"/>
        <v>#DIV/0!</v>
      </c>
      <c r="Q114" s="283" t="e">
        <f t="shared" si="28"/>
        <v>#DIV/0!</v>
      </c>
      <c r="R114" s="283" t="e">
        <f t="shared" si="37"/>
        <v>#DIV/0!</v>
      </c>
      <c r="S114" s="282" t="e">
        <f t="shared" si="38"/>
        <v>#DIV/0!</v>
      </c>
      <c r="T114" s="284"/>
      <c r="U114" s="284"/>
      <c r="V114" s="282" t="e">
        <f t="shared" si="39"/>
        <v>#DIV/0!</v>
      </c>
      <c r="W114" s="284"/>
      <c r="X114" s="284"/>
      <c r="Y114" s="282" t="e">
        <f t="shared" si="40"/>
        <v>#DIV/0!</v>
      </c>
      <c r="Z114" s="284" t="e">
        <f t="shared" si="29"/>
        <v>#DIV/0!</v>
      </c>
      <c r="AA114" s="284" t="e">
        <f t="shared" si="41"/>
        <v>#DIV/0!</v>
      </c>
      <c r="AB114" s="282" t="e">
        <f t="shared" si="42"/>
        <v>#DIV/0!</v>
      </c>
      <c r="AC114" s="285"/>
      <c r="AD114" s="284"/>
      <c r="AE114" s="282" t="e">
        <f t="shared" si="43"/>
        <v>#DIV/0!</v>
      </c>
      <c r="AF114" s="284"/>
      <c r="AG114" s="284"/>
      <c r="AH114" s="86" t="e">
        <f t="shared" si="44"/>
        <v>#DIV/0!</v>
      </c>
      <c r="AI114" s="284"/>
      <c r="AJ114" s="284"/>
      <c r="AK114" s="282" t="e">
        <f t="shared" si="45"/>
        <v>#DIV/0!</v>
      </c>
      <c r="AL114" s="286" t="e">
        <f t="shared" si="30"/>
        <v>#DIV/0!</v>
      </c>
      <c r="AM114" s="286" t="e">
        <f t="shared" si="46"/>
        <v>#DIV/0!</v>
      </c>
      <c r="AN114" s="282" t="e">
        <f t="shared" si="47"/>
        <v>#DIV/0!</v>
      </c>
      <c r="AO114" s="86"/>
    </row>
    <row r="115" spans="1:41" s="96" customFormat="1" ht="15.75" customHeight="1" x14ac:dyDescent="0.3">
      <c r="A115" s="279"/>
      <c r="B115" s="279"/>
      <c r="C115" s="280"/>
      <c r="D115" s="297" t="s">
        <v>274</v>
      </c>
      <c r="E115" s="281">
        <v>39</v>
      </c>
      <c r="F115" s="281"/>
      <c r="G115" s="282" t="e">
        <f t="shared" si="31"/>
        <v>#DIV/0!</v>
      </c>
      <c r="H115" s="281">
        <v>0</v>
      </c>
      <c r="I115" s="283"/>
      <c r="J115" s="282" t="e">
        <f t="shared" si="32"/>
        <v>#DIV/0!</v>
      </c>
      <c r="K115" s="281">
        <f t="shared" si="26"/>
        <v>0</v>
      </c>
      <c r="L115" s="281">
        <f t="shared" si="33"/>
        <v>0</v>
      </c>
      <c r="M115" s="282" t="e">
        <f t="shared" si="34"/>
        <v>#DIV/0!</v>
      </c>
      <c r="N115" s="283" t="e">
        <f t="shared" si="27"/>
        <v>#DIV/0!</v>
      </c>
      <c r="O115" s="283" t="e">
        <f t="shared" si="35"/>
        <v>#DIV/0!</v>
      </c>
      <c r="P115" s="282" t="e">
        <f t="shared" si="36"/>
        <v>#DIV/0!</v>
      </c>
      <c r="Q115" s="283" t="e">
        <f t="shared" si="28"/>
        <v>#DIV/0!</v>
      </c>
      <c r="R115" s="283" t="e">
        <f t="shared" si="37"/>
        <v>#DIV/0!</v>
      </c>
      <c r="S115" s="282" t="e">
        <f t="shared" si="38"/>
        <v>#DIV/0!</v>
      </c>
      <c r="T115" s="284">
        <v>60</v>
      </c>
      <c r="U115" s="284">
        <v>6</v>
      </c>
      <c r="V115" s="282">
        <f t="shared" si="39"/>
        <v>9</v>
      </c>
      <c r="W115" s="284">
        <v>1</v>
      </c>
      <c r="X115" s="284"/>
      <c r="Y115" s="282" t="e">
        <f t="shared" si="40"/>
        <v>#DIV/0!</v>
      </c>
      <c r="Z115" s="284">
        <f t="shared" si="29"/>
        <v>39</v>
      </c>
      <c r="AA115" s="284" t="e">
        <f t="shared" si="41"/>
        <v>#DIV/0!</v>
      </c>
      <c r="AB115" s="282" t="e">
        <f t="shared" si="42"/>
        <v>#DIV/0!</v>
      </c>
      <c r="AC115" s="285">
        <v>0</v>
      </c>
      <c r="AD115" s="284"/>
      <c r="AE115" s="282" t="e">
        <f t="shared" si="43"/>
        <v>#DIV/0!</v>
      </c>
      <c r="AF115" s="284">
        <v>0</v>
      </c>
      <c r="AG115" s="284"/>
      <c r="AH115" s="86" t="e">
        <f t="shared" si="44"/>
        <v>#DIV/0!</v>
      </c>
      <c r="AI115" s="284">
        <v>0</v>
      </c>
      <c r="AJ115" s="284"/>
      <c r="AK115" s="282" t="e">
        <f t="shared" si="45"/>
        <v>#DIV/0!</v>
      </c>
      <c r="AL115" s="286" t="e">
        <f t="shared" si="30"/>
        <v>#DIV/0!</v>
      </c>
      <c r="AM115" s="286" t="e">
        <f t="shared" si="46"/>
        <v>#DIV/0!</v>
      </c>
      <c r="AN115" s="282" t="e">
        <f t="shared" si="47"/>
        <v>#DIV/0!</v>
      </c>
      <c r="AO115" s="86"/>
    </row>
    <row r="116" spans="1:41" s="81" customFormat="1" ht="15.75" customHeight="1" x14ac:dyDescent="0.3">
      <c r="A116" s="49" t="s">
        <v>48</v>
      </c>
      <c r="B116" s="49" t="s">
        <v>52</v>
      </c>
      <c r="C116" s="50">
        <f>C110+7</f>
        <v>42867</v>
      </c>
      <c r="D116" s="50" t="s">
        <v>28</v>
      </c>
      <c r="E116" s="55">
        <f>SUM(E117:E121)</f>
        <v>0</v>
      </c>
      <c r="F116" s="55">
        <f>SUM(F117:F121)</f>
        <v>598</v>
      </c>
      <c r="G116" s="52">
        <f t="shared" si="31"/>
        <v>-1</v>
      </c>
      <c r="H116" s="55">
        <f>SUM(H117:H121)</f>
        <v>0</v>
      </c>
      <c r="I116" s="55">
        <f>SUM(I117:I121)</f>
        <v>5000</v>
      </c>
      <c r="J116" s="52">
        <f t="shared" si="32"/>
        <v>-1</v>
      </c>
      <c r="K116" s="51">
        <f t="shared" si="26"/>
        <v>0</v>
      </c>
      <c r="L116" s="51">
        <f t="shared" si="33"/>
        <v>5425</v>
      </c>
      <c r="M116" s="52">
        <f t="shared" si="34"/>
        <v>-1</v>
      </c>
      <c r="N116" s="53" t="e">
        <f t="shared" si="27"/>
        <v>#DIV/0!</v>
      </c>
      <c r="O116" s="53">
        <f t="shared" si="35"/>
        <v>0.1196</v>
      </c>
      <c r="P116" s="52" t="e">
        <f t="shared" si="36"/>
        <v>#DIV/0!</v>
      </c>
      <c r="Q116" s="53" t="e">
        <f t="shared" si="28"/>
        <v>#DIV/0!</v>
      </c>
      <c r="R116" s="53">
        <f t="shared" si="37"/>
        <v>0.11023041474654378</v>
      </c>
      <c r="S116" s="52" t="e">
        <f t="shared" si="38"/>
        <v>#DIV/0!</v>
      </c>
      <c r="T116" s="56">
        <f>SUM(T117:T121)</f>
        <v>34</v>
      </c>
      <c r="U116" s="56">
        <f>SUM(U117:U121)</f>
        <v>651</v>
      </c>
      <c r="V116" s="52">
        <f t="shared" si="39"/>
        <v>-0.94777265745007677</v>
      </c>
      <c r="W116" s="56">
        <f>SUM(W117:W121)</f>
        <v>0</v>
      </c>
      <c r="X116" s="56">
        <f>SUM(X117:X121)</f>
        <v>5</v>
      </c>
      <c r="Y116" s="52">
        <f t="shared" si="40"/>
        <v>-1</v>
      </c>
      <c r="Z116" s="51" t="e">
        <f t="shared" si="29"/>
        <v>#DIV/0!</v>
      </c>
      <c r="AA116" s="54">
        <f t="shared" si="41"/>
        <v>119.6</v>
      </c>
      <c r="AB116" s="52" t="e">
        <f t="shared" si="42"/>
        <v>#DIV/0!</v>
      </c>
      <c r="AC116" s="56">
        <f>SUM(AC117:AC121)</f>
        <v>0</v>
      </c>
      <c r="AD116" s="56">
        <f>SUM(AD117:AD121)</f>
        <v>407871</v>
      </c>
      <c r="AE116" s="52">
        <f t="shared" si="43"/>
        <v>-1</v>
      </c>
      <c r="AF116" s="56">
        <f>SUM(AF117:AF121)</f>
        <v>0</v>
      </c>
      <c r="AG116" s="56">
        <f>SUM(AG117:AG121)</f>
        <v>2982</v>
      </c>
      <c r="AH116" s="67">
        <f t="shared" si="44"/>
        <v>-1</v>
      </c>
      <c r="AI116" s="56">
        <f>SUM(AI117:AI121)</f>
        <v>0</v>
      </c>
      <c r="AJ116" s="56">
        <f>SUM(AJ117:AJ121)</f>
        <v>670740</v>
      </c>
      <c r="AK116" s="52">
        <f t="shared" si="45"/>
        <v>-1</v>
      </c>
      <c r="AL116" s="82" t="e">
        <f t="shared" si="30"/>
        <v>#DIV/0!</v>
      </c>
      <c r="AM116" s="82">
        <f t="shared" si="46"/>
        <v>4.4458359423919852E-3</v>
      </c>
      <c r="AN116" s="52" t="e">
        <f>(AL116-AM116)/AM116</f>
        <v>#DIV/0!</v>
      </c>
      <c r="AO116" s="68"/>
    </row>
    <row r="117" spans="1:41" s="96" customFormat="1" ht="15.75" customHeight="1" x14ac:dyDescent="0.3">
      <c r="A117" s="279"/>
      <c r="B117" s="279"/>
      <c r="C117" s="280"/>
      <c r="D117" s="280"/>
      <c r="E117" s="281"/>
      <c r="F117" s="281"/>
      <c r="G117" s="282" t="e">
        <f t="shared" si="31"/>
        <v>#DIV/0!</v>
      </c>
      <c r="H117" s="281"/>
      <c r="I117" s="283"/>
      <c r="J117" s="282" t="e">
        <f t="shared" si="32"/>
        <v>#DIV/0!</v>
      </c>
      <c r="K117" s="281">
        <f t="shared" si="26"/>
        <v>0</v>
      </c>
      <c r="L117" s="281">
        <f t="shared" si="33"/>
        <v>0</v>
      </c>
      <c r="M117" s="282" t="e">
        <f t="shared" si="34"/>
        <v>#DIV/0!</v>
      </c>
      <c r="N117" s="283" t="e">
        <f t="shared" si="27"/>
        <v>#DIV/0!</v>
      </c>
      <c r="O117" s="283" t="e">
        <f t="shared" si="35"/>
        <v>#DIV/0!</v>
      </c>
      <c r="P117" s="282" t="e">
        <f t="shared" si="36"/>
        <v>#DIV/0!</v>
      </c>
      <c r="Q117" s="283" t="e">
        <f t="shared" si="28"/>
        <v>#DIV/0!</v>
      </c>
      <c r="R117" s="283" t="e">
        <f t="shared" si="37"/>
        <v>#DIV/0!</v>
      </c>
      <c r="S117" s="282" t="e">
        <f t="shared" si="38"/>
        <v>#DIV/0!</v>
      </c>
      <c r="T117" s="284"/>
      <c r="U117" s="284"/>
      <c r="V117" s="282" t="e">
        <f t="shared" si="39"/>
        <v>#DIV/0!</v>
      </c>
      <c r="W117" s="284"/>
      <c r="X117" s="284"/>
      <c r="Y117" s="282" t="e">
        <f t="shared" si="40"/>
        <v>#DIV/0!</v>
      </c>
      <c r="Z117" s="284" t="e">
        <f t="shared" si="29"/>
        <v>#DIV/0!</v>
      </c>
      <c r="AA117" s="284" t="e">
        <f t="shared" si="41"/>
        <v>#DIV/0!</v>
      </c>
      <c r="AB117" s="282" t="e">
        <f t="shared" si="42"/>
        <v>#DIV/0!</v>
      </c>
      <c r="AC117" s="285"/>
      <c r="AD117" s="284"/>
      <c r="AE117" s="282" t="e">
        <f t="shared" si="43"/>
        <v>#DIV/0!</v>
      </c>
      <c r="AF117" s="284"/>
      <c r="AG117" s="284"/>
      <c r="AH117" s="86" t="e">
        <f t="shared" si="44"/>
        <v>#DIV/0!</v>
      </c>
      <c r="AI117" s="284"/>
      <c r="AJ117" s="284"/>
      <c r="AK117" s="282" t="e">
        <f t="shared" si="45"/>
        <v>#DIV/0!</v>
      </c>
      <c r="AL117" s="286" t="e">
        <f t="shared" si="30"/>
        <v>#DIV/0!</v>
      </c>
      <c r="AM117" s="286" t="e">
        <f t="shared" si="46"/>
        <v>#DIV/0!</v>
      </c>
      <c r="AN117" s="282" t="e">
        <f t="shared" si="47"/>
        <v>#DIV/0!</v>
      </c>
      <c r="AO117" s="86"/>
    </row>
    <row r="118" spans="1:41" s="96" customFormat="1" ht="15.75" customHeight="1" x14ac:dyDescent="0.3">
      <c r="A118" s="279"/>
      <c r="B118" s="279"/>
      <c r="C118" s="280"/>
      <c r="D118" s="280"/>
      <c r="E118" s="281"/>
      <c r="F118" s="281"/>
      <c r="G118" s="282" t="e">
        <f t="shared" si="31"/>
        <v>#DIV/0!</v>
      </c>
      <c r="H118" s="281"/>
      <c r="I118" s="283"/>
      <c r="J118" s="282" t="e">
        <f t="shared" si="32"/>
        <v>#DIV/0!</v>
      </c>
      <c r="K118" s="281">
        <f t="shared" si="26"/>
        <v>0</v>
      </c>
      <c r="L118" s="281">
        <f t="shared" si="33"/>
        <v>0</v>
      </c>
      <c r="M118" s="282" t="e">
        <f t="shared" si="34"/>
        <v>#DIV/0!</v>
      </c>
      <c r="N118" s="283" t="e">
        <f t="shared" si="27"/>
        <v>#DIV/0!</v>
      </c>
      <c r="O118" s="283" t="e">
        <f t="shared" si="35"/>
        <v>#DIV/0!</v>
      </c>
      <c r="P118" s="282" t="e">
        <f t="shared" si="36"/>
        <v>#DIV/0!</v>
      </c>
      <c r="Q118" s="283" t="e">
        <f t="shared" si="28"/>
        <v>#DIV/0!</v>
      </c>
      <c r="R118" s="283" t="e">
        <f t="shared" si="37"/>
        <v>#DIV/0!</v>
      </c>
      <c r="S118" s="282" t="e">
        <f t="shared" si="38"/>
        <v>#DIV/0!</v>
      </c>
      <c r="T118" s="284"/>
      <c r="U118" s="284"/>
      <c r="V118" s="282" t="e">
        <f t="shared" si="39"/>
        <v>#DIV/0!</v>
      </c>
      <c r="W118" s="284"/>
      <c r="X118" s="284"/>
      <c r="Y118" s="282" t="e">
        <f t="shared" si="40"/>
        <v>#DIV/0!</v>
      </c>
      <c r="Z118" s="284" t="e">
        <f t="shared" si="29"/>
        <v>#DIV/0!</v>
      </c>
      <c r="AA118" s="284" t="e">
        <f t="shared" si="41"/>
        <v>#DIV/0!</v>
      </c>
      <c r="AB118" s="282" t="e">
        <f t="shared" si="42"/>
        <v>#DIV/0!</v>
      </c>
      <c r="AC118" s="285"/>
      <c r="AD118" s="284"/>
      <c r="AE118" s="282" t="e">
        <f t="shared" si="43"/>
        <v>#DIV/0!</v>
      </c>
      <c r="AF118" s="284"/>
      <c r="AG118" s="284"/>
      <c r="AH118" s="86" t="e">
        <f t="shared" si="44"/>
        <v>#DIV/0!</v>
      </c>
      <c r="AI118" s="284"/>
      <c r="AJ118" s="284"/>
      <c r="AK118" s="282" t="e">
        <f t="shared" si="45"/>
        <v>#DIV/0!</v>
      </c>
      <c r="AL118" s="286" t="e">
        <f t="shared" si="30"/>
        <v>#DIV/0!</v>
      </c>
      <c r="AM118" s="286" t="e">
        <f t="shared" si="46"/>
        <v>#DIV/0!</v>
      </c>
      <c r="AN118" s="282" t="e">
        <f t="shared" si="47"/>
        <v>#DIV/0!</v>
      </c>
      <c r="AO118" s="86"/>
    </row>
    <row r="119" spans="1:41" s="96" customFormat="1" ht="15.75" customHeight="1" x14ac:dyDescent="0.3">
      <c r="A119" s="279"/>
      <c r="B119" s="279"/>
      <c r="C119" s="280"/>
      <c r="D119" s="280"/>
      <c r="E119" s="281"/>
      <c r="F119" s="281"/>
      <c r="G119" s="282" t="e">
        <f t="shared" si="31"/>
        <v>#DIV/0!</v>
      </c>
      <c r="H119" s="281"/>
      <c r="I119" s="283"/>
      <c r="J119" s="282" t="e">
        <f t="shared" si="32"/>
        <v>#DIV/0!</v>
      </c>
      <c r="K119" s="281">
        <f t="shared" si="26"/>
        <v>0</v>
      </c>
      <c r="L119" s="281">
        <f t="shared" si="33"/>
        <v>0</v>
      </c>
      <c r="M119" s="282" t="e">
        <f t="shared" si="34"/>
        <v>#DIV/0!</v>
      </c>
      <c r="N119" s="283" t="e">
        <f t="shared" si="27"/>
        <v>#DIV/0!</v>
      </c>
      <c r="O119" s="283" t="e">
        <f t="shared" si="35"/>
        <v>#DIV/0!</v>
      </c>
      <c r="P119" s="282" t="e">
        <f t="shared" si="36"/>
        <v>#DIV/0!</v>
      </c>
      <c r="Q119" s="283" t="e">
        <f t="shared" si="28"/>
        <v>#DIV/0!</v>
      </c>
      <c r="R119" s="283" t="e">
        <f t="shared" si="37"/>
        <v>#DIV/0!</v>
      </c>
      <c r="S119" s="282" t="e">
        <f t="shared" si="38"/>
        <v>#DIV/0!</v>
      </c>
      <c r="T119" s="284"/>
      <c r="U119" s="284"/>
      <c r="V119" s="282" t="e">
        <f t="shared" si="39"/>
        <v>#DIV/0!</v>
      </c>
      <c r="W119" s="284"/>
      <c r="X119" s="284"/>
      <c r="Y119" s="282" t="e">
        <f t="shared" si="40"/>
        <v>#DIV/0!</v>
      </c>
      <c r="Z119" s="284" t="e">
        <f t="shared" si="29"/>
        <v>#DIV/0!</v>
      </c>
      <c r="AA119" s="284" t="e">
        <f t="shared" si="41"/>
        <v>#DIV/0!</v>
      </c>
      <c r="AB119" s="282" t="e">
        <f t="shared" si="42"/>
        <v>#DIV/0!</v>
      </c>
      <c r="AC119" s="285"/>
      <c r="AD119" s="284"/>
      <c r="AE119" s="282" t="e">
        <f t="shared" si="43"/>
        <v>#DIV/0!</v>
      </c>
      <c r="AF119" s="284"/>
      <c r="AG119" s="284"/>
      <c r="AH119" s="86" t="e">
        <f t="shared" si="44"/>
        <v>#DIV/0!</v>
      </c>
      <c r="AI119" s="284"/>
      <c r="AJ119" s="284"/>
      <c r="AK119" s="282" t="e">
        <f t="shared" si="45"/>
        <v>#DIV/0!</v>
      </c>
      <c r="AL119" s="286" t="e">
        <f t="shared" si="30"/>
        <v>#DIV/0!</v>
      </c>
      <c r="AM119" s="286" t="e">
        <f t="shared" si="46"/>
        <v>#DIV/0!</v>
      </c>
      <c r="AN119" s="282" t="e">
        <f t="shared" si="47"/>
        <v>#DIV/0!</v>
      </c>
      <c r="AO119" s="86"/>
    </row>
    <row r="120" spans="1:41" s="96" customFormat="1" ht="15.75" customHeight="1" x14ac:dyDescent="0.3">
      <c r="A120" s="279"/>
      <c r="B120" s="279"/>
      <c r="C120" s="280"/>
      <c r="D120" s="280"/>
      <c r="E120" s="281"/>
      <c r="F120" s="281"/>
      <c r="G120" s="282" t="e">
        <f t="shared" si="31"/>
        <v>#DIV/0!</v>
      </c>
      <c r="H120" s="281"/>
      <c r="I120" s="283"/>
      <c r="J120" s="282" t="e">
        <f t="shared" si="32"/>
        <v>#DIV/0!</v>
      </c>
      <c r="K120" s="281">
        <f t="shared" si="26"/>
        <v>0</v>
      </c>
      <c r="L120" s="281">
        <f t="shared" si="33"/>
        <v>0</v>
      </c>
      <c r="M120" s="282" t="e">
        <f t="shared" si="34"/>
        <v>#DIV/0!</v>
      </c>
      <c r="N120" s="283" t="e">
        <f t="shared" si="27"/>
        <v>#DIV/0!</v>
      </c>
      <c r="O120" s="283" t="e">
        <f t="shared" si="35"/>
        <v>#DIV/0!</v>
      </c>
      <c r="P120" s="282" t="e">
        <f t="shared" si="36"/>
        <v>#DIV/0!</v>
      </c>
      <c r="Q120" s="283" t="e">
        <f t="shared" si="28"/>
        <v>#DIV/0!</v>
      </c>
      <c r="R120" s="283" t="e">
        <f t="shared" si="37"/>
        <v>#DIV/0!</v>
      </c>
      <c r="S120" s="282" t="e">
        <f t="shared" si="38"/>
        <v>#DIV/0!</v>
      </c>
      <c r="T120" s="284"/>
      <c r="U120" s="284"/>
      <c r="V120" s="282" t="e">
        <f t="shared" si="39"/>
        <v>#DIV/0!</v>
      </c>
      <c r="W120" s="284"/>
      <c r="X120" s="284"/>
      <c r="Y120" s="282" t="e">
        <f t="shared" si="40"/>
        <v>#DIV/0!</v>
      </c>
      <c r="Z120" s="284" t="e">
        <f t="shared" si="29"/>
        <v>#DIV/0!</v>
      </c>
      <c r="AA120" s="284" t="e">
        <f t="shared" si="41"/>
        <v>#DIV/0!</v>
      </c>
      <c r="AB120" s="282" t="e">
        <f t="shared" si="42"/>
        <v>#DIV/0!</v>
      </c>
      <c r="AC120" s="285"/>
      <c r="AD120" s="284"/>
      <c r="AE120" s="282" t="e">
        <f t="shared" si="43"/>
        <v>#DIV/0!</v>
      </c>
      <c r="AF120" s="284"/>
      <c r="AG120" s="284"/>
      <c r="AH120" s="86" t="e">
        <f t="shared" si="44"/>
        <v>#DIV/0!</v>
      </c>
      <c r="AI120" s="284"/>
      <c r="AJ120" s="284"/>
      <c r="AK120" s="282" t="e">
        <f t="shared" si="45"/>
        <v>#DIV/0!</v>
      </c>
      <c r="AL120" s="286" t="e">
        <f t="shared" si="30"/>
        <v>#DIV/0!</v>
      </c>
      <c r="AM120" s="286" t="e">
        <f t="shared" si="46"/>
        <v>#DIV/0!</v>
      </c>
      <c r="AN120" s="282" t="e">
        <f t="shared" si="47"/>
        <v>#DIV/0!</v>
      </c>
      <c r="AO120" s="86"/>
    </row>
    <row r="121" spans="1:41" s="357" customFormat="1" ht="15.75" customHeight="1" x14ac:dyDescent="0.3">
      <c r="A121" s="347"/>
      <c r="B121" s="347"/>
      <c r="C121" s="348"/>
      <c r="D121" s="349" t="s">
        <v>274</v>
      </c>
      <c r="E121" s="350">
        <v>0</v>
      </c>
      <c r="F121" s="350">
        <v>598</v>
      </c>
      <c r="G121" s="351">
        <f t="shared" si="31"/>
        <v>-1</v>
      </c>
      <c r="H121" s="350">
        <v>0</v>
      </c>
      <c r="I121" s="352">
        <v>5000</v>
      </c>
      <c r="J121" s="351">
        <f t="shared" si="32"/>
        <v>-1</v>
      </c>
      <c r="K121" s="350">
        <f t="shared" si="26"/>
        <v>0</v>
      </c>
      <c r="L121" s="350">
        <f t="shared" si="33"/>
        <v>5425</v>
      </c>
      <c r="M121" s="351">
        <f t="shared" si="34"/>
        <v>-1</v>
      </c>
      <c r="N121" s="352" t="e">
        <f t="shared" si="27"/>
        <v>#DIV/0!</v>
      </c>
      <c r="O121" s="352">
        <f t="shared" si="35"/>
        <v>0.1196</v>
      </c>
      <c r="P121" s="351" t="e">
        <f t="shared" si="36"/>
        <v>#DIV/0!</v>
      </c>
      <c r="Q121" s="352" t="e">
        <f t="shared" si="28"/>
        <v>#DIV/0!</v>
      </c>
      <c r="R121" s="352">
        <f t="shared" si="37"/>
        <v>0.11023041474654378</v>
      </c>
      <c r="S121" s="351" t="e">
        <f t="shared" si="38"/>
        <v>#DIV/0!</v>
      </c>
      <c r="T121" s="353">
        <v>34</v>
      </c>
      <c r="U121" s="353">
        <v>651</v>
      </c>
      <c r="V121" s="351">
        <f t="shared" si="39"/>
        <v>-0.94777265745007677</v>
      </c>
      <c r="W121" s="353">
        <v>0</v>
      </c>
      <c r="X121" s="353">
        <v>5</v>
      </c>
      <c r="Y121" s="351">
        <f t="shared" si="40"/>
        <v>-1</v>
      </c>
      <c r="Z121" s="353" t="e">
        <f t="shared" si="29"/>
        <v>#DIV/0!</v>
      </c>
      <c r="AA121" s="353">
        <f t="shared" si="41"/>
        <v>119.6</v>
      </c>
      <c r="AB121" s="351" t="e">
        <f t="shared" si="42"/>
        <v>#DIV/0!</v>
      </c>
      <c r="AC121" s="354">
        <v>0</v>
      </c>
      <c r="AD121" s="353">
        <v>407871</v>
      </c>
      <c r="AE121" s="351">
        <f t="shared" si="43"/>
        <v>-1</v>
      </c>
      <c r="AF121" s="353">
        <v>0</v>
      </c>
      <c r="AG121" s="353">
        <v>2982</v>
      </c>
      <c r="AH121" s="355">
        <f t="shared" si="44"/>
        <v>-1</v>
      </c>
      <c r="AI121" s="353">
        <v>0</v>
      </c>
      <c r="AJ121" s="353">
        <v>670740</v>
      </c>
      <c r="AK121" s="351">
        <f t="shared" si="45"/>
        <v>-1</v>
      </c>
      <c r="AL121" s="356" t="e">
        <f t="shared" si="30"/>
        <v>#DIV/0!</v>
      </c>
      <c r="AM121" s="356">
        <f t="shared" si="46"/>
        <v>4.4458359423919852E-3</v>
      </c>
      <c r="AN121" s="351" t="e">
        <f t="shared" si="47"/>
        <v>#DIV/0!</v>
      </c>
      <c r="AO121" s="355"/>
    </row>
    <row r="122" spans="1:41" s="81" customFormat="1" ht="15.75" customHeight="1" x14ac:dyDescent="0.3">
      <c r="A122" s="49" t="s">
        <v>53</v>
      </c>
      <c r="B122" s="49" t="s">
        <v>54</v>
      </c>
      <c r="C122" s="50">
        <f>C116+7</f>
        <v>42874</v>
      </c>
      <c r="D122" s="50" t="s">
        <v>28</v>
      </c>
      <c r="E122" s="55">
        <f>SUM(E123:E127)</f>
        <v>0</v>
      </c>
      <c r="F122" s="55">
        <f>SUM(F123:F127)</f>
        <v>199</v>
      </c>
      <c r="G122" s="52">
        <f t="shared" si="31"/>
        <v>-1</v>
      </c>
      <c r="H122" s="55">
        <f>SUM(H123:H127)</f>
        <v>0</v>
      </c>
      <c r="I122" s="55">
        <f>SUM(I123:I127)</f>
        <v>6076.97</v>
      </c>
      <c r="J122" s="52">
        <f t="shared" si="32"/>
        <v>-1</v>
      </c>
      <c r="K122" s="51">
        <f t="shared" si="26"/>
        <v>0</v>
      </c>
      <c r="L122" s="51">
        <f t="shared" si="33"/>
        <v>6593.5124500000002</v>
      </c>
      <c r="M122" s="52">
        <f t="shared" si="34"/>
        <v>-1</v>
      </c>
      <c r="N122" s="53" t="e">
        <f t="shared" si="27"/>
        <v>#DIV/0!</v>
      </c>
      <c r="O122" s="53">
        <f t="shared" si="35"/>
        <v>3.274658258967874E-2</v>
      </c>
      <c r="P122" s="52" t="e">
        <f t="shared" si="36"/>
        <v>#DIV/0!</v>
      </c>
      <c r="Q122" s="53" t="e">
        <f t="shared" si="28"/>
        <v>#DIV/0!</v>
      </c>
      <c r="R122" s="53">
        <f t="shared" si="37"/>
        <v>3.0181182110302983E-2</v>
      </c>
      <c r="S122" s="52" t="e">
        <f t="shared" si="38"/>
        <v>#DIV/0!</v>
      </c>
      <c r="T122" s="56">
        <f>SUM(T123:T127)</f>
        <v>28</v>
      </c>
      <c r="U122" s="56">
        <f>SUM(U123:U127)</f>
        <v>3700</v>
      </c>
      <c r="V122" s="52">
        <f t="shared" si="39"/>
        <v>-0.9924324324324324</v>
      </c>
      <c r="W122" s="56">
        <f>SUM(W123:W127)</f>
        <v>0</v>
      </c>
      <c r="X122" s="56">
        <f>SUM(X123:X127)</f>
        <v>1</v>
      </c>
      <c r="Y122" s="52">
        <f t="shared" si="40"/>
        <v>-1</v>
      </c>
      <c r="Z122" s="51" t="e">
        <f t="shared" si="29"/>
        <v>#DIV/0!</v>
      </c>
      <c r="AA122" s="54">
        <f t="shared" si="41"/>
        <v>199</v>
      </c>
      <c r="AB122" s="52" t="e">
        <f t="shared" si="42"/>
        <v>#DIV/0!</v>
      </c>
      <c r="AC122" s="56">
        <f>SUM(AC123:AC127)</f>
        <v>0</v>
      </c>
      <c r="AD122" s="56">
        <f>SUM(AD123:AD127)</f>
        <v>478714</v>
      </c>
      <c r="AE122" s="52">
        <f t="shared" si="43"/>
        <v>-1</v>
      </c>
      <c r="AF122" s="56">
        <f>SUM(AF123:AF127)</f>
        <v>0</v>
      </c>
      <c r="AG122" s="56">
        <f>SUM(AG123:AG127)</f>
        <v>6783</v>
      </c>
      <c r="AH122" s="67">
        <f t="shared" si="44"/>
        <v>-1</v>
      </c>
      <c r="AI122" s="56">
        <f>SUM(AI123:AI127)</f>
        <v>0</v>
      </c>
      <c r="AJ122" s="56">
        <f>SUM(AJ123:AJ127)</f>
        <v>981912</v>
      </c>
      <c r="AK122" s="52">
        <f t="shared" si="45"/>
        <v>-1</v>
      </c>
      <c r="AL122" s="82" t="e">
        <f t="shared" si="30"/>
        <v>#DIV/0!</v>
      </c>
      <c r="AM122" s="82">
        <f t="shared" si="46"/>
        <v>6.9079510180138342E-3</v>
      </c>
      <c r="AN122" s="52" t="e">
        <f>(AL122-AM122)/AM122</f>
        <v>#DIV/0!</v>
      </c>
      <c r="AO122" s="86"/>
    </row>
    <row r="123" spans="1:41" s="96" customFormat="1" ht="15.75" customHeight="1" x14ac:dyDescent="0.3">
      <c r="A123" s="279"/>
      <c r="B123" s="279"/>
      <c r="C123" s="280"/>
      <c r="D123" s="280"/>
      <c r="E123" s="281"/>
      <c r="F123" s="281"/>
      <c r="G123" s="282" t="e">
        <f t="shared" si="31"/>
        <v>#DIV/0!</v>
      </c>
      <c r="H123" s="281"/>
      <c r="I123" s="283"/>
      <c r="J123" s="282" t="e">
        <f t="shared" si="32"/>
        <v>#DIV/0!</v>
      </c>
      <c r="K123" s="281">
        <f t="shared" si="26"/>
        <v>0</v>
      </c>
      <c r="L123" s="281">
        <f t="shared" si="33"/>
        <v>0</v>
      </c>
      <c r="M123" s="282" t="e">
        <f t="shared" si="34"/>
        <v>#DIV/0!</v>
      </c>
      <c r="N123" s="283" t="e">
        <f t="shared" si="27"/>
        <v>#DIV/0!</v>
      </c>
      <c r="O123" s="283" t="e">
        <f t="shared" si="35"/>
        <v>#DIV/0!</v>
      </c>
      <c r="P123" s="282" t="e">
        <f t="shared" si="36"/>
        <v>#DIV/0!</v>
      </c>
      <c r="Q123" s="283" t="e">
        <f t="shared" si="28"/>
        <v>#DIV/0!</v>
      </c>
      <c r="R123" s="283" t="e">
        <f t="shared" si="37"/>
        <v>#DIV/0!</v>
      </c>
      <c r="S123" s="282" t="e">
        <f t="shared" si="38"/>
        <v>#DIV/0!</v>
      </c>
      <c r="T123" s="284"/>
      <c r="U123" s="284"/>
      <c r="V123" s="282" t="e">
        <f t="shared" si="39"/>
        <v>#DIV/0!</v>
      </c>
      <c r="W123" s="284"/>
      <c r="X123" s="284"/>
      <c r="Y123" s="282" t="e">
        <f t="shared" si="40"/>
        <v>#DIV/0!</v>
      </c>
      <c r="Z123" s="284" t="e">
        <f t="shared" si="29"/>
        <v>#DIV/0!</v>
      </c>
      <c r="AA123" s="284" t="e">
        <f t="shared" si="41"/>
        <v>#DIV/0!</v>
      </c>
      <c r="AB123" s="282" t="e">
        <f t="shared" si="42"/>
        <v>#DIV/0!</v>
      </c>
      <c r="AC123" s="285"/>
      <c r="AD123" s="284"/>
      <c r="AE123" s="282" t="e">
        <f t="shared" si="43"/>
        <v>#DIV/0!</v>
      </c>
      <c r="AF123" s="284"/>
      <c r="AG123" s="284"/>
      <c r="AH123" s="86" t="e">
        <f t="shared" si="44"/>
        <v>#DIV/0!</v>
      </c>
      <c r="AI123" s="284"/>
      <c r="AJ123" s="284"/>
      <c r="AK123" s="282" t="e">
        <f t="shared" si="45"/>
        <v>#DIV/0!</v>
      </c>
      <c r="AL123" s="286" t="e">
        <f t="shared" si="30"/>
        <v>#DIV/0!</v>
      </c>
      <c r="AM123" s="286" t="e">
        <f t="shared" si="46"/>
        <v>#DIV/0!</v>
      </c>
      <c r="AN123" s="282" t="e">
        <f t="shared" si="47"/>
        <v>#DIV/0!</v>
      </c>
      <c r="AO123" s="86"/>
    </row>
    <row r="124" spans="1:41" s="96" customFormat="1" ht="15.75" customHeight="1" x14ac:dyDescent="0.3">
      <c r="A124" s="279"/>
      <c r="B124" s="279"/>
      <c r="C124" s="280"/>
      <c r="D124" s="280"/>
      <c r="E124" s="281"/>
      <c r="F124" s="281"/>
      <c r="G124" s="282" t="e">
        <f t="shared" si="31"/>
        <v>#DIV/0!</v>
      </c>
      <c r="H124" s="281"/>
      <c r="I124" s="283"/>
      <c r="J124" s="282" t="e">
        <f t="shared" si="32"/>
        <v>#DIV/0!</v>
      </c>
      <c r="K124" s="281">
        <f t="shared" si="26"/>
        <v>0</v>
      </c>
      <c r="L124" s="281">
        <f t="shared" si="33"/>
        <v>0</v>
      </c>
      <c r="M124" s="282" t="e">
        <f t="shared" si="34"/>
        <v>#DIV/0!</v>
      </c>
      <c r="N124" s="283" t="e">
        <f t="shared" si="27"/>
        <v>#DIV/0!</v>
      </c>
      <c r="O124" s="283" t="e">
        <f t="shared" si="35"/>
        <v>#DIV/0!</v>
      </c>
      <c r="P124" s="282" t="e">
        <f t="shared" si="36"/>
        <v>#DIV/0!</v>
      </c>
      <c r="Q124" s="283" t="e">
        <f t="shared" si="28"/>
        <v>#DIV/0!</v>
      </c>
      <c r="R124" s="283" t="e">
        <f t="shared" si="37"/>
        <v>#DIV/0!</v>
      </c>
      <c r="S124" s="282" t="e">
        <f t="shared" si="38"/>
        <v>#DIV/0!</v>
      </c>
      <c r="T124" s="284"/>
      <c r="U124" s="284"/>
      <c r="V124" s="282" t="e">
        <f t="shared" si="39"/>
        <v>#DIV/0!</v>
      </c>
      <c r="W124" s="284"/>
      <c r="X124" s="284"/>
      <c r="Y124" s="282" t="e">
        <f t="shared" si="40"/>
        <v>#DIV/0!</v>
      </c>
      <c r="Z124" s="284" t="e">
        <f t="shared" si="29"/>
        <v>#DIV/0!</v>
      </c>
      <c r="AA124" s="284" t="e">
        <f t="shared" si="41"/>
        <v>#DIV/0!</v>
      </c>
      <c r="AB124" s="282" t="e">
        <f t="shared" si="42"/>
        <v>#DIV/0!</v>
      </c>
      <c r="AC124" s="285"/>
      <c r="AD124" s="284"/>
      <c r="AE124" s="282" t="e">
        <f t="shared" si="43"/>
        <v>#DIV/0!</v>
      </c>
      <c r="AF124" s="284"/>
      <c r="AG124" s="284"/>
      <c r="AH124" s="86" t="e">
        <f t="shared" si="44"/>
        <v>#DIV/0!</v>
      </c>
      <c r="AI124" s="284"/>
      <c r="AJ124" s="284"/>
      <c r="AK124" s="282" t="e">
        <f t="shared" si="45"/>
        <v>#DIV/0!</v>
      </c>
      <c r="AL124" s="286" t="e">
        <f t="shared" si="30"/>
        <v>#DIV/0!</v>
      </c>
      <c r="AM124" s="286" t="e">
        <f t="shared" si="46"/>
        <v>#DIV/0!</v>
      </c>
      <c r="AN124" s="282" t="e">
        <f t="shared" si="47"/>
        <v>#DIV/0!</v>
      </c>
      <c r="AO124" s="86"/>
    </row>
    <row r="125" spans="1:41" s="96" customFormat="1" ht="15.75" customHeight="1" x14ac:dyDescent="0.3">
      <c r="A125" s="279"/>
      <c r="B125" s="279"/>
      <c r="C125" s="280"/>
      <c r="D125" s="280"/>
      <c r="E125" s="281"/>
      <c r="F125" s="281"/>
      <c r="G125" s="282" t="e">
        <f t="shared" si="31"/>
        <v>#DIV/0!</v>
      </c>
      <c r="H125" s="281"/>
      <c r="I125" s="283"/>
      <c r="J125" s="282" t="e">
        <f t="shared" si="32"/>
        <v>#DIV/0!</v>
      </c>
      <c r="K125" s="281">
        <f t="shared" si="26"/>
        <v>0</v>
      </c>
      <c r="L125" s="281">
        <f t="shared" si="33"/>
        <v>0</v>
      </c>
      <c r="M125" s="282" t="e">
        <f t="shared" si="34"/>
        <v>#DIV/0!</v>
      </c>
      <c r="N125" s="283" t="e">
        <f t="shared" si="27"/>
        <v>#DIV/0!</v>
      </c>
      <c r="O125" s="283" t="e">
        <f t="shared" si="35"/>
        <v>#DIV/0!</v>
      </c>
      <c r="P125" s="282" t="e">
        <f t="shared" si="36"/>
        <v>#DIV/0!</v>
      </c>
      <c r="Q125" s="283" t="e">
        <f t="shared" si="28"/>
        <v>#DIV/0!</v>
      </c>
      <c r="R125" s="283" t="e">
        <f t="shared" si="37"/>
        <v>#DIV/0!</v>
      </c>
      <c r="S125" s="282" t="e">
        <f t="shared" si="38"/>
        <v>#DIV/0!</v>
      </c>
      <c r="T125" s="284"/>
      <c r="U125" s="284"/>
      <c r="V125" s="282" t="e">
        <f t="shared" si="39"/>
        <v>#DIV/0!</v>
      </c>
      <c r="W125" s="284"/>
      <c r="X125" s="284"/>
      <c r="Y125" s="282" t="e">
        <f t="shared" si="40"/>
        <v>#DIV/0!</v>
      </c>
      <c r="Z125" s="284" t="e">
        <f t="shared" si="29"/>
        <v>#DIV/0!</v>
      </c>
      <c r="AA125" s="284" t="e">
        <f t="shared" si="41"/>
        <v>#DIV/0!</v>
      </c>
      <c r="AB125" s="282" t="e">
        <f t="shared" si="42"/>
        <v>#DIV/0!</v>
      </c>
      <c r="AC125" s="285"/>
      <c r="AD125" s="284"/>
      <c r="AE125" s="282" t="e">
        <f t="shared" si="43"/>
        <v>#DIV/0!</v>
      </c>
      <c r="AF125" s="284"/>
      <c r="AG125" s="284"/>
      <c r="AH125" s="86" t="e">
        <f t="shared" si="44"/>
        <v>#DIV/0!</v>
      </c>
      <c r="AI125" s="284"/>
      <c r="AJ125" s="284"/>
      <c r="AK125" s="282" t="e">
        <f t="shared" si="45"/>
        <v>#DIV/0!</v>
      </c>
      <c r="AL125" s="286" t="e">
        <f t="shared" si="30"/>
        <v>#DIV/0!</v>
      </c>
      <c r="AM125" s="286" t="e">
        <f t="shared" si="46"/>
        <v>#DIV/0!</v>
      </c>
      <c r="AN125" s="282" t="e">
        <f t="shared" si="47"/>
        <v>#DIV/0!</v>
      </c>
      <c r="AO125" s="86"/>
    </row>
    <row r="126" spans="1:41" s="96" customFormat="1" ht="15.75" customHeight="1" x14ac:dyDescent="0.3">
      <c r="A126" s="279"/>
      <c r="B126" s="279"/>
      <c r="C126" s="280"/>
      <c r="D126" s="280"/>
      <c r="E126" s="281"/>
      <c r="F126" s="281"/>
      <c r="G126" s="282" t="e">
        <f t="shared" si="31"/>
        <v>#DIV/0!</v>
      </c>
      <c r="H126" s="281"/>
      <c r="I126" s="283"/>
      <c r="J126" s="282" t="e">
        <f t="shared" si="32"/>
        <v>#DIV/0!</v>
      </c>
      <c r="K126" s="281">
        <f t="shared" si="26"/>
        <v>0</v>
      </c>
      <c r="L126" s="281">
        <f t="shared" si="33"/>
        <v>0</v>
      </c>
      <c r="M126" s="282" t="e">
        <f t="shared" si="34"/>
        <v>#DIV/0!</v>
      </c>
      <c r="N126" s="283" t="e">
        <f t="shared" si="27"/>
        <v>#DIV/0!</v>
      </c>
      <c r="O126" s="283" t="e">
        <f t="shared" si="35"/>
        <v>#DIV/0!</v>
      </c>
      <c r="P126" s="282" t="e">
        <f t="shared" si="36"/>
        <v>#DIV/0!</v>
      </c>
      <c r="Q126" s="283" t="e">
        <f t="shared" si="28"/>
        <v>#DIV/0!</v>
      </c>
      <c r="R126" s="283" t="e">
        <f t="shared" si="37"/>
        <v>#DIV/0!</v>
      </c>
      <c r="S126" s="282" t="e">
        <f t="shared" si="38"/>
        <v>#DIV/0!</v>
      </c>
      <c r="T126" s="284"/>
      <c r="U126" s="284"/>
      <c r="V126" s="282" t="e">
        <f t="shared" si="39"/>
        <v>#DIV/0!</v>
      </c>
      <c r="W126" s="284"/>
      <c r="X126" s="284"/>
      <c r="Y126" s="282" t="e">
        <f t="shared" si="40"/>
        <v>#DIV/0!</v>
      </c>
      <c r="Z126" s="284" t="e">
        <f t="shared" si="29"/>
        <v>#DIV/0!</v>
      </c>
      <c r="AA126" s="284" t="e">
        <f t="shared" si="41"/>
        <v>#DIV/0!</v>
      </c>
      <c r="AB126" s="282" t="e">
        <f t="shared" si="42"/>
        <v>#DIV/0!</v>
      </c>
      <c r="AC126" s="285"/>
      <c r="AD126" s="284"/>
      <c r="AE126" s="282" t="e">
        <f t="shared" si="43"/>
        <v>#DIV/0!</v>
      </c>
      <c r="AF126" s="284"/>
      <c r="AG126" s="284"/>
      <c r="AH126" s="86" t="e">
        <f t="shared" si="44"/>
        <v>#DIV/0!</v>
      </c>
      <c r="AI126" s="284"/>
      <c r="AJ126" s="284"/>
      <c r="AK126" s="282" t="e">
        <f t="shared" si="45"/>
        <v>#DIV/0!</v>
      </c>
      <c r="AL126" s="286" t="e">
        <f t="shared" si="30"/>
        <v>#DIV/0!</v>
      </c>
      <c r="AM126" s="286" t="e">
        <f t="shared" si="46"/>
        <v>#DIV/0!</v>
      </c>
      <c r="AN126" s="282" t="e">
        <f t="shared" si="47"/>
        <v>#DIV/0!</v>
      </c>
      <c r="AO126" s="86"/>
    </row>
    <row r="127" spans="1:41" s="96" customFormat="1" ht="15.75" customHeight="1" x14ac:dyDescent="0.3">
      <c r="A127" s="279"/>
      <c r="B127" s="279"/>
      <c r="C127" s="280"/>
      <c r="D127" s="297" t="s">
        <v>274</v>
      </c>
      <c r="E127" s="281">
        <v>0</v>
      </c>
      <c r="F127" s="281">
        <v>199</v>
      </c>
      <c r="G127" s="282">
        <f t="shared" si="31"/>
        <v>-1</v>
      </c>
      <c r="H127" s="281">
        <v>0</v>
      </c>
      <c r="I127" s="283">
        <v>6076.97</v>
      </c>
      <c r="J127" s="282">
        <f t="shared" si="32"/>
        <v>-1</v>
      </c>
      <c r="K127" s="281">
        <f t="shared" si="26"/>
        <v>0</v>
      </c>
      <c r="L127" s="281">
        <f t="shared" si="33"/>
        <v>6593.5124500000002</v>
      </c>
      <c r="M127" s="282">
        <f t="shared" si="34"/>
        <v>-1</v>
      </c>
      <c r="N127" s="283" t="e">
        <f t="shared" si="27"/>
        <v>#DIV/0!</v>
      </c>
      <c r="O127" s="283">
        <f t="shared" si="35"/>
        <v>3.274658258967874E-2</v>
      </c>
      <c r="P127" s="282" t="e">
        <f t="shared" si="36"/>
        <v>#DIV/0!</v>
      </c>
      <c r="Q127" s="283" t="e">
        <f t="shared" si="28"/>
        <v>#DIV/0!</v>
      </c>
      <c r="R127" s="283">
        <f t="shared" si="37"/>
        <v>3.0181182110302983E-2</v>
      </c>
      <c r="S127" s="282" t="e">
        <f t="shared" si="38"/>
        <v>#DIV/0!</v>
      </c>
      <c r="T127" s="284">
        <v>28</v>
      </c>
      <c r="U127" s="284">
        <v>3700</v>
      </c>
      <c r="V127" s="282">
        <f t="shared" si="39"/>
        <v>-0.9924324324324324</v>
      </c>
      <c r="W127" s="284">
        <v>0</v>
      </c>
      <c r="X127" s="284">
        <v>1</v>
      </c>
      <c r="Y127" s="282">
        <f t="shared" si="40"/>
        <v>-1</v>
      </c>
      <c r="Z127" s="284" t="e">
        <f t="shared" si="29"/>
        <v>#DIV/0!</v>
      </c>
      <c r="AA127" s="284">
        <f t="shared" si="41"/>
        <v>199</v>
      </c>
      <c r="AB127" s="282" t="e">
        <f t="shared" si="42"/>
        <v>#DIV/0!</v>
      </c>
      <c r="AC127" s="285">
        <v>0</v>
      </c>
      <c r="AD127" s="284">
        <v>478714</v>
      </c>
      <c r="AE127" s="282">
        <f t="shared" si="43"/>
        <v>-1</v>
      </c>
      <c r="AF127" s="284">
        <v>0</v>
      </c>
      <c r="AG127" s="284">
        <v>6783</v>
      </c>
      <c r="AH127" s="86">
        <f t="shared" si="44"/>
        <v>-1</v>
      </c>
      <c r="AI127" s="284">
        <v>0</v>
      </c>
      <c r="AJ127" s="284">
        <v>981912</v>
      </c>
      <c r="AK127" s="282">
        <f t="shared" si="45"/>
        <v>-1</v>
      </c>
      <c r="AL127" s="286" t="e">
        <f t="shared" si="30"/>
        <v>#DIV/0!</v>
      </c>
      <c r="AM127" s="286">
        <f t="shared" si="46"/>
        <v>6.9079510180138342E-3</v>
      </c>
      <c r="AN127" s="282" t="e">
        <f t="shared" si="47"/>
        <v>#DIV/0!</v>
      </c>
      <c r="AO127" s="86"/>
    </row>
    <row r="128" spans="1:41" s="81" customFormat="1" ht="15.75" customHeight="1" x14ac:dyDescent="0.3">
      <c r="A128" s="49" t="s">
        <v>53</v>
      </c>
      <c r="B128" s="49" t="s">
        <v>55</v>
      </c>
      <c r="C128" s="50">
        <f>C122+7</f>
        <v>42881</v>
      </c>
      <c r="D128" s="50" t="s">
        <v>28</v>
      </c>
      <c r="E128" s="55">
        <f>SUM(E129:E133)</f>
        <v>0</v>
      </c>
      <c r="F128" s="55">
        <f>SUM(F129:F133)</f>
        <v>0</v>
      </c>
      <c r="G128" s="52" t="e">
        <f t="shared" si="31"/>
        <v>#DIV/0!</v>
      </c>
      <c r="H128" s="55">
        <f>SUM(H129:H133)</f>
        <v>0</v>
      </c>
      <c r="I128" s="55">
        <f>SUM(I129:I133)</f>
        <v>771.92</v>
      </c>
      <c r="J128" s="52">
        <f t="shared" si="32"/>
        <v>-1</v>
      </c>
      <c r="K128" s="51">
        <f t="shared" si="26"/>
        <v>0</v>
      </c>
      <c r="L128" s="51">
        <f t="shared" si="33"/>
        <v>837.53319999999997</v>
      </c>
      <c r="M128" s="52">
        <f t="shared" si="34"/>
        <v>-1</v>
      </c>
      <c r="N128" s="53" t="e">
        <f t="shared" si="27"/>
        <v>#DIV/0!</v>
      </c>
      <c r="O128" s="53">
        <f t="shared" si="35"/>
        <v>0</v>
      </c>
      <c r="P128" s="52" t="e">
        <f t="shared" si="36"/>
        <v>#DIV/0!</v>
      </c>
      <c r="Q128" s="53" t="e">
        <f t="shared" si="28"/>
        <v>#DIV/0!</v>
      </c>
      <c r="R128" s="53">
        <f t="shared" si="37"/>
        <v>0</v>
      </c>
      <c r="S128" s="52" t="e">
        <f t="shared" si="38"/>
        <v>#DIV/0!</v>
      </c>
      <c r="T128" s="56">
        <f>SUM(T129:T133)</f>
        <v>6</v>
      </c>
      <c r="U128" s="56">
        <f>SUM(U129:U133)</f>
        <v>500</v>
      </c>
      <c r="V128" s="52">
        <f t="shared" si="39"/>
        <v>-0.98799999999999999</v>
      </c>
      <c r="W128" s="56">
        <f>SUM(W129:W133)</f>
        <v>0</v>
      </c>
      <c r="X128" s="56">
        <f>SUM(X129:X133)</f>
        <v>0</v>
      </c>
      <c r="Y128" s="52" t="e">
        <f t="shared" si="40"/>
        <v>#DIV/0!</v>
      </c>
      <c r="Z128" s="51" t="e">
        <f t="shared" si="29"/>
        <v>#DIV/0!</v>
      </c>
      <c r="AA128" s="54" t="e">
        <f t="shared" si="41"/>
        <v>#DIV/0!</v>
      </c>
      <c r="AB128" s="52" t="e">
        <f t="shared" si="42"/>
        <v>#DIV/0!</v>
      </c>
      <c r="AC128" s="56">
        <f>SUM(AC129:AC133)</f>
        <v>0</v>
      </c>
      <c r="AD128" s="56">
        <f>SUM(AD129:AD133)</f>
        <v>108480</v>
      </c>
      <c r="AE128" s="52">
        <f t="shared" si="43"/>
        <v>-1</v>
      </c>
      <c r="AF128" s="56">
        <f>SUM(AF129:AF133)</f>
        <v>0</v>
      </c>
      <c r="AG128" s="56">
        <f>SUM(AG129:AG133)</f>
        <v>825</v>
      </c>
      <c r="AH128" s="67">
        <f t="shared" si="44"/>
        <v>-1</v>
      </c>
      <c r="AI128" s="56">
        <f>SUM(AI129:AI133)</f>
        <v>0</v>
      </c>
      <c r="AJ128" s="56">
        <f>SUM(AJ129:AJ133)</f>
        <v>117960</v>
      </c>
      <c r="AK128" s="52">
        <f t="shared" si="45"/>
        <v>-1</v>
      </c>
      <c r="AL128" s="82" t="e">
        <f t="shared" si="30"/>
        <v>#DIV/0!</v>
      </c>
      <c r="AM128" s="82">
        <f t="shared" si="46"/>
        <v>6.9938962360122075E-3</v>
      </c>
      <c r="AN128" s="52" t="e">
        <f>(AL128-AM128)/AM128</f>
        <v>#DIV/0!</v>
      </c>
      <c r="AO128" s="86"/>
    </row>
    <row r="129" spans="1:41" s="96" customFormat="1" ht="15.75" customHeight="1" x14ac:dyDescent="0.3">
      <c r="A129" s="279"/>
      <c r="B129" s="279"/>
      <c r="C129" s="280"/>
      <c r="D129" s="280"/>
      <c r="E129" s="281"/>
      <c r="F129" s="281"/>
      <c r="G129" s="282" t="e">
        <f t="shared" si="31"/>
        <v>#DIV/0!</v>
      </c>
      <c r="H129" s="281"/>
      <c r="I129" s="283"/>
      <c r="J129" s="282" t="e">
        <f t="shared" si="32"/>
        <v>#DIV/0!</v>
      </c>
      <c r="K129" s="281">
        <f t="shared" si="26"/>
        <v>0</v>
      </c>
      <c r="L129" s="281">
        <f t="shared" si="33"/>
        <v>0</v>
      </c>
      <c r="M129" s="282" t="e">
        <f t="shared" si="34"/>
        <v>#DIV/0!</v>
      </c>
      <c r="N129" s="283" t="e">
        <f t="shared" si="27"/>
        <v>#DIV/0!</v>
      </c>
      <c r="O129" s="283" t="e">
        <f t="shared" si="35"/>
        <v>#DIV/0!</v>
      </c>
      <c r="P129" s="282" t="e">
        <f t="shared" si="36"/>
        <v>#DIV/0!</v>
      </c>
      <c r="Q129" s="283" t="e">
        <f t="shared" si="28"/>
        <v>#DIV/0!</v>
      </c>
      <c r="R129" s="283" t="e">
        <f t="shared" si="37"/>
        <v>#DIV/0!</v>
      </c>
      <c r="S129" s="282" t="e">
        <f t="shared" si="38"/>
        <v>#DIV/0!</v>
      </c>
      <c r="T129" s="284"/>
      <c r="U129" s="284"/>
      <c r="V129" s="282" t="e">
        <f t="shared" si="39"/>
        <v>#DIV/0!</v>
      </c>
      <c r="W129" s="284"/>
      <c r="X129" s="284"/>
      <c r="Y129" s="282" t="e">
        <f t="shared" si="40"/>
        <v>#DIV/0!</v>
      </c>
      <c r="Z129" s="284" t="e">
        <f t="shared" si="29"/>
        <v>#DIV/0!</v>
      </c>
      <c r="AA129" s="284" t="e">
        <f t="shared" si="41"/>
        <v>#DIV/0!</v>
      </c>
      <c r="AB129" s="282" t="e">
        <f t="shared" si="42"/>
        <v>#DIV/0!</v>
      </c>
      <c r="AC129" s="285"/>
      <c r="AD129" s="284"/>
      <c r="AE129" s="282" t="e">
        <f t="shared" si="43"/>
        <v>#DIV/0!</v>
      </c>
      <c r="AF129" s="284"/>
      <c r="AG129" s="284"/>
      <c r="AH129" s="86" t="e">
        <f t="shared" si="44"/>
        <v>#DIV/0!</v>
      </c>
      <c r="AI129" s="284"/>
      <c r="AJ129" s="284"/>
      <c r="AK129" s="282" t="e">
        <f t="shared" si="45"/>
        <v>#DIV/0!</v>
      </c>
      <c r="AL129" s="286" t="e">
        <f t="shared" si="30"/>
        <v>#DIV/0!</v>
      </c>
      <c r="AM129" s="286" t="e">
        <f t="shared" si="46"/>
        <v>#DIV/0!</v>
      </c>
      <c r="AN129" s="282" t="e">
        <f t="shared" si="47"/>
        <v>#DIV/0!</v>
      </c>
      <c r="AO129" s="86"/>
    </row>
    <row r="130" spans="1:41" s="96" customFormat="1" ht="15.75" customHeight="1" x14ac:dyDescent="0.3">
      <c r="A130" s="279"/>
      <c r="B130" s="279"/>
      <c r="C130" s="280"/>
      <c r="D130" s="280"/>
      <c r="E130" s="281"/>
      <c r="F130" s="281"/>
      <c r="G130" s="282" t="e">
        <f t="shared" si="31"/>
        <v>#DIV/0!</v>
      </c>
      <c r="H130" s="281"/>
      <c r="I130" s="283"/>
      <c r="J130" s="282" t="e">
        <f t="shared" si="32"/>
        <v>#DIV/0!</v>
      </c>
      <c r="K130" s="281">
        <f t="shared" si="26"/>
        <v>0</v>
      </c>
      <c r="L130" s="281">
        <f t="shared" si="33"/>
        <v>0</v>
      </c>
      <c r="M130" s="282" t="e">
        <f t="shared" si="34"/>
        <v>#DIV/0!</v>
      </c>
      <c r="N130" s="283" t="e">
        <f t="shared" si="27"/>
        <v>#DIV/0!</v>
      </c>
      <c r="O130" s="283" t="e">
        <f t="shared" si="35"/>
        <v>#DIV/0!</v>
      </c>
      <c r="P130" s="282" t="e">
        <f t="shared" si="36"/>
        <v>#DIV/0!</v>
      </c>
      <c r="Q130" s="283" t="e">
        <f t="shared" si="28"/>
        <v>#DIV/0!</v>
      </c>
      <c r="R130" s="283" t="e">
        <f t="shared" si="37"/>
        <v>#DIV/0!</v>
      </c>
      <c r="S130" s="282" t="e">
        <f t="shared" si="38"/>
        <v>#DIV/0!</v>
      </c>
      <c r="T130" s="284"/>
      <c r="U130" s="284"/>
      <c r="V130" s="282" t="e">
        <f t="shared" si="39"/>
        <v>#DIV/0!</v>
      </c>
      <c r="W130" s="284"/>
      <c r="X130" s="284"/>
      <c r="Y130" s="282" t="e">
        <f t="shared" si="40"/>
        <v>#DIV/0!</v>
      </c>
      <c r="Z130" s="284" t="e">
        <f t="shared" si="29"/>
        <v>#DIV/0!</v>
      </c>
      <c r="AA130" s="284" t="e">
        <f t="shared" si="41"/>
        <v>#DIV/0!</v>
      </c>
      <c r="AB130" s="282" t="e">
        <f t="shared" si="42"/>
        <v>#DIV/0!</v>
      </c>
      <c r="AC130" s="285"/>
      <c r="AD130" s="284"/>
      <c r="AE130" s="282" t="e">
        <f t="shared" si="43"/>
        <v>#DIV/0!</v>
      </c>
      <c r="AF130" s="284"/>
      <c r="AG130" s="284"/>
      <c r="AH130" s="86" t="e">
        <f t="shared" si="44"/>
        <v>#DIV/0!</v>
      </c>
      <c r="AI130" s="284"/>
      <c r="AJ130" s="284"/>
      <c r="AK130" s="282" t="e">
        <f t="shared" si="45"/>
        <v>#DIV/0!</v>
      </c>
      <c r="AL130" s="286" t="e">
        <f t="shared" si="30"/>
        <v>#DIV/0!</v>
      </c>
      <c r="AM130" s="286" t="e">
        <f t="shared" si="46"/>
        <v>#DIV/0!</v>
      </c>
      <c r="AN130" s="282" t="e">
        <f t="shared" si="47"/>
        <v>#DIV/0!</v>
      </c>
      <c r="AO130" s="86"/>
    </row>
    <row r="131" spans="1:41" s="96" customFormat="1" ht="15.75" customHeight="1" x14ac:dyDescent="0.3">
      <c r="A131" s="279"/>
      <c r="B131" s="279"/>
      <c r="C131" s="280"/>
      <c r="D131" s="280"/>
      <c r="E131" s="281"/>
      <c r="F131" s="281"/>
      <c r="G131" s="282" t="e">
        <f t="shared" si="31"/>
        <v>#DIV/0!</v>
      </c>
      <c r="H131" s="281"/>
      <c r="I131" s="283"/>
      <c r="J131" s="282" t="e">
        <f t="shared" si="32"/>
        <v>#DIV/0!</v>
      </c>
      <c r="K131" s="281">
        <f t="shared" si="26"/>
        <v>0</v>
      </c>
      <c r="L131" s="281">
        <f t="shared" si="33"/>
        <v>0</v>
      </c>
      <c r="M131" s="282" t="e">
        <f t="shared" si="34"/>
        <v>#DIV/0!</v>
      </c>
      <c r="N131" s="283" t="e">
        <f t="shared" si="27"/>
        <v>#DIV/0!</v>
      </c>
      <c r="O131" s="283" t="e">
        <f t="shared" si="35"/>
        <v>#DIV/0!</v>
      </c>
      <c r="P131" s="282" t="e">
        <f t="shared" si="36"/>
        <v>#DIV/0!</v>
      </c>
      <c r="Q131" s="283" t="e">
        <f t="shared" si="28"/>
        <v>#DIV/0!</v>
      </c>
      <c r="R131" s="283" t="e">
        <f t="shared" si="37"/>
        <v>#DIV/0!</v>
      </c>
      <c r="S131" s="282" t="e">
        <f t="shared" si="38"/>
        <v>#DIV/0!</v>
      </c>
      <c r="T131" s="284"/>
      <c r="U131" s="284"/>
      <c r="V131" s="282" t="e">
        <f t="shared" si="39"/>
        <v>#DIV/0!</v>
      </c>
      <c r="W131" s="284"/>
      <c r="X131" s="284"/>
      <c r="Y131" s="282" t="e">
        <f t="shared" si="40"/>
        <v>#DIV/0!</v>
      </c>
      <c r="Z131" s="284" t="e">
        <f t="shared" si="29"/>
        <v>#DIV/0!</v>
      </c>
      <c r="AA131" s="284" t="e">
        <f t="shared" si="41"/>
        <v>#DIV/0!</v>
      </c>
      <c r="AB131" s="282" t="e">
        <f t="shared" si="42"/>
        <v>#DIV/0!</v>
      </c>
      <c r="AC131" s="285"/>
      <c r="AD131" s="284"/>
      <c r="AE131" s="282" t="e">
        <f t="shared" si="43"/>
        <v>#DIV/0!</v>
      </c>
      <c r="AF131" s="284"/>
      <c r="AG131" s="284"/>
      <c r="AH131" s="86" t="e">
        <f t="shared" si="44"/>
        <v>#DIV/0!</v>
      </c>
      <c r="AI131" s="284"/>
      <c r="AJ131" s="284"/>
      <c r="AK131" s="282" t="e">
        <f t="shared" si="45"/>
        <v>#DIV/0!</v>
      </c>
      <c r="AL131" s="286" t="e">
        <f t="shared" si="30"/>
        <v>#DIV/0!</v>
      </c>
      <c r="AM131" s="286" t="e">
        <f t="shared" si="46"/>
        <v>#DIV/0!</v>
      </c>
      <c r="AN131" s="282" t="e">
        <f t="shared" si="47"/>
        <v>#DIV/0!</v>
      </c>
      <c r="AO131" s="86"/>
    </row>
    <row r="132" spans="1:41" s="96" customFormat="1" ht="15.75" customHeight="1" x14ac:dyDescent="0.3">
      <c r="A132" s="279"/>
      <c r="B132" s="279"/>
      <c r="C132" s="280"/>
      <c r="D132" s="280"/>
      <c r="E132" s="281"/>
      <c r="F132" s="281"/>
      <c r="G132" s="282" t="e">
        <f t="shared" si="31"/>
        <v>#DIV/0!</v>
      </c>
      <c r="H132" s="281"/>
      <c r="I132" s="283"/>
      <c r="J132" s="282" t="e">
        <f t="shared" si="32"/>
        <v>#DIV/0!</v>
      </c>
      <c r="K132" s="281">
        <f t="shared" si="26"/>
        <v>0</v>
      </c>
      <c r="L132" s="281">
        <f t="shared" si="33"/>
        <v>0</v>
      </c>
      <c r="M132" s="282" t="e">
        <f t="shared" si="34"/>
        <v>#DIV/0!</v>
      </c>
      <c r="N132" s="283" t="e">
        <f t="shared" si="27"/>
        <v>#DIV/0!</v>
      </c>
      <c r="O132" s="283" t="e">
        <f t="shared" si="35"/>
        <v>#DIV/0!</v>
      </c>
      <c r="P132" s="282" t="e">
        <f t="shared" si="36"/>
        <v>#DIV/0!</v>
      </c>
      <c r="Q132" s="283" t="e">
        <f t="shared" si="28"/>
        <v>#DIV/0!</v>
      </c>
      <c r="R132" s="283" t="e">
        <f t="shared" si="37"/>
        <v>#DIV/0!</v>
      </c>
      <c r="S132" s="282" t="e">
        <f t="shared" si="38"/>
        <v>#DIV/0!</v>
      </c>
      <c r="T132" s="284"/>
      <c r="U132" s="284"/>
      <c r="V132" s="282" t="e">
        <f t="shared" si="39"/>
        <v>#DIV/0!</v>
      </c>
      <c r="W132" s="284"/>
      <c r="X132" s="284"/>
      <c r="Y132" s="282" t="e">
        <f t="shared" si="40"/>
        <v>#DIV/0!</v>
      </c>
      <c r="Z132" s="284" t="e">
        <f t="shared" si="29"/>
        <v>#DIV/0!</v>
      </c>
      <c r="AA132" s="284" t="e">
        <f t="shared" si="41"/>
        <v>#DIV/0!</v>
      </c>
      <c r="AB132" s="282" t="e">
        <f t="shared" si="42"/>
        <v>#DIV/0!</v>
      </c>
      <c r="AC132" s="285"/>
      <c r="AD132" s="284"/>
      <c r="AE132" s="282" t="e">
        <f t="shared" si="43"/>
        <v>#DIV/0!</v>
      </c>
      <c r="AF132" s="284"/>
      <c r="AG132" s="284"/>
      <c r="AH132" s="86" t="e">
        <f t="shared" si="44"/>
        <v>#DIV/0!</v>
      </c>
      <c r="AI132" s="284"/>
      <c r="AJ132" s="284"/>
      <c r="AK132" s="282" t="e">
        <f t="shared" si="45"/>
        <v>#DIV/0!</v>
      </c>
      <c r="AL132" s="286" t="e">
        <f t="shared" si="30"/>
        <v>#DIV/0!</v>
      </c>
      <c r="AM132" s="286" t="e">
        <f t="shared" si="46"/>
        <v>#DIV/0!</v>
      </c>
      <c r="AN132" s="282" t="e">
        <f t="shared" si="47"/>
        <v>#DIV/0!</v>
      </c>
      <c r="AO132" s="86"/>
    </row>
    <row r="133" spans="1:41" s="96" customFormat="1" ht="15.75" customHeight="1" x14ac:dyDescent="0.3">
      <c r="A133" s="279"/>
      <c r="B133" s="279"/>
      <c r="C133" s="280"/>
      <c r="D133" s="297" t="s">
        <v>274</v>
      </c>
      <c r="E133" s="281">
        <v>0</v>
      </c>
      <c r="F133" s="281">
        <v>0</v>
      </c>
      <c r="G133" s="282" t="e">
        <f t="shared" si="31"/>
        <v>#DIV/0!</v>
      </c>
      <c r="H133" s="281">
        <v>0</v>
      </c>
      <c r="I133" s="283">
        <v>771.92</v>
      </c>
      <c r="J133" s="282">
        <f t="shared" si="32"/>
        <v>-1</v>
      </c>
      <c r="K133" s="281">
        <f t="shared" si="26"/>
        <v>0</v>
      </c>
      <c r="L133" s="281">
        <f t="shared" si="33"/>
        <v>837.53319999999997</v>
      </c>
      <c r="M133" s="282">
        <f t="shared" si="34"/>
        <v>-1</v>
      </c>
      <c r="N133" s="283" t="e">
        <f t="shared" si="27"/>
        <v>#DIV/0!</v>
      </c>
      <c r="O133" s="283">
        <f t="shared" si="35"/>
        <v>0</v>
      </c>
      <c r="P133" s="282" t="e">
        <f t="shared" si="36"/>
        <v>#DIV/0!</v>
      </c>
      <c r="Q133" s="283" t="e">
        <f t="shared" si="28"/>
        <v>#DIV/0!</v>
      </c>
      <c r="R133" s="283">
        <f t="shared" si="37"/>
        <v>0</v>
      </c>
      <c r="S133" s="282" t="e">
        <f t="shared" si="38"/>
        <v>#DIV/0!</v>
      </c>
      <c r="T133" s="284">
        <v>6</v>
      </c>
      <c r="U133" s="284">
        <v>500</v>
      </c>
      <c r="V133" s="282">
        <f t="shared" si="39"/>
        <v>-0.98799999999999999</v>
      </c>
      <c r="W133" s="284">
        <v>0</v>
      </c>
      <c r="X133" s="284">
        <v>0</v>
      </c>
      <c r="Y133" s="282" t="e">
        <f t="shared" si="40"/>
        <v>#DIV/0!</v>
      </c>
      <c r="Z133" s="284" t="e">
        <f t="shared" si="29"/>
        <v>#DIV/0!</v>
      </c>
      <c r="AA133" s="284" t="e">
        <f t="shared" si="41"/>
        <v>#DIV/0!</v>
      </c>
      <c r="AB133" s="282" t="e">
        <f t="shared" si="42"/>
        <v>#DIV/0!</v>
      </c>
      <c r="AC133" s="285">
        <v>0</v>
      </c>
      <c r="AD133" s="284">
        <v>108480</v>
      </c>
      <c r="AE133" s="282">
        <f t="shared" si="43"/>
        <v>-1</v>
      </c>
      <c r="AF133" s="284">
        <v>0</v>
      </c>
      <c r="AG133" s="284">
        <v>825</v>
      </c>
      <c r="AH133" s="86">
        <f t="shared" si="44"/>
        <v>-1</v>
      </c>
      <c r="AI133" s="284">
        <v>0</v>
      </c>
      <c r="AJ133" s="284">
        <v>117960</v>
      </c>
      <c r="AK133" s="282">
        <f t="shared" si="45"/>
        <v>-1</v>
      </c>
      <c r="AL133" s="286" t="e">
        <f t="shared" si="30"/>
        <v>#DIV/0!</v>
      </c>
      <c r="AM133" s="286">
        <f t="shared" si="46"/>
        <v>6.9938962360122075E-3</v>
      </c>
      <c r="AN133" s="282" t="e">
        <f t="shared" si="47"/>
        <v>#DIV/0!</v>
      </c>
      <c r="AO133" s="86"/>
    </row>
    <row r="134" spans="1:41" s="81" customFormat="1" ht="15.75" customHeight="1" x14ac:dyDescent="0.3">
      <c r="A134" s="49" t="s">
        <v>53</v>
      </c>
      <c r="B134" s="49" t="s">
        <v>56</v>
      </c>
      <c r="C134" s="50">
        <f>C128+7</f>
        <v>42888</v>
      </c>
      <c r="D134" s="50" t="s">
        <v>28</v>
      </c>
      <c r="E134" s="55">
        <f>SUM(E135:E139)</f>
        <v>0</v>
      </c>
      <c r="F134" s="55">
        <f>SUM(F135:F139)</f>
        <v>0</v>
      </c>
      <c r="G134" s="52" t="e">
        <f t="shared" si="31"/>
        <v>#DIV/0!</v>
      </c>
      <c r="H134" s="55">
        <f>SUM(H135:H139)</f>
        <v>0</v>
      </c>
      <c r="I134" s="55">
        <f>SUM(I135:I139)</f>
        <v>4874.72</v>
      </c>
      <c r="J134" s="52">
        <f t="shared" si="32"/>
        <v>-1</v>
      </c>
      <c r="K134" s="51">
        <f t="shared" si="26"/>
        <v>0</v>
      </c>
      <c r="L134" s="51">
        <f t="shared" si="33"/>
        <v>5289.0712000000003</v>
      </c>
      <c r="M134" s="52">
        <f t="shared" si="34"/>
        <v>-1</v>
      </c>
      <c r="N134" s="53" t="e">
        <f t="shared" si="27"/>
        <v>#DIV/0!</v>
      </c>
      <c r="O134" s="53">
        <f t="shared" si="35"/>
        <v>0</v>
      </c>
      <c r="P134" s="52" t="e">
        <f t="shared" si="36"/>
        <v>#DIV/0!</v>
      </c>
      <c r="Q134" s="53" t="e">
        <f t="shared" si="28"/>
        <v>#DIV/0!</v>
      </c>
      <c r="R134" s="53">
        <f t="shared" si="37"/>
        <v>0</v>
      </c>
      <c r="S134" s="52" t="e">
        <f t="shared" si="38"/>
        <v>#DIV/0!</v>
      </c>
      <c r="T134" s="56">
        <f>SUM(T135:T139)</f>
        <v>490</v>
      </c>
      <c r="U134" s="56">
        <f>SUM(U135:U139)</f>
        <v>6</v>
      </c>
      <c r="V134" s="52">
        <f t="shared" si="39"/>
        <v>80.666666666666671</v>
      </c>
      <c r="W134" s="56">
        <f>SUM(W135:W139)</f>
        <v>0</v>
      </c>
      <c r="X134" s="56">
        <f>SUM(X135:X139)</f>
        <v>0</v>
      </c>
      <c r="Y134" s="52" t="e">
        <f t="shared" si="40"/>
        <v>#DIV/0!</v>
      </c>
      <c r="Z134" s="51" t="e">
        <f t="shared" si="29"/>
        <v>#DIV/0!</v>
      </c>
      <c r="AA134" s="54" t="e">
        <f t="shared" si="41"/>
        <v>#DIV/0!</v>
      </c>
      <c r="AB134" s="52" t="e">
        <f t="shared" si="42"/>
        <v>#DIV/0!</v>
      </c>
      <c r="AC134" s="56">
        <f>SUM(AC135:AC139)</f>
        <v>0</v>
      </c>
      <c r="AD134" s="56">
        <f>SUM(AD135:AD139)</f>
        <v>559612</v>
      </c>
      <c r="AE134" s="52">
        <f t="shared" si="43"/>
        <v>-1</v>
      </c>
      <c r="AF134" s="56">
        <f>SUM(AF135:AF139)</f>
        <v>0</v>
      </c>
      <c r="AG134" s="56">
        <f>SUM(AG135:AG139)</f>
        <v>10160</v>
      </c>
      <c r="AH134" s="67">
        <f t="shared" si="44"/>
        <v>-1</v>
      </c>
      <c r="AI134" s="56">
        <f>SUM(AI135:AI139)</f>
        <v>0</v>
      </c>
      <c r="AJ134" s="56">
        <f>SUM(AJ135:AJ139)</f>
        <v>1577027</v>
      </c>
      <c r="AK134" s="52">
        <f t="shared" si="45"/>
        <v>-1</v>
      </c>
      <c r="AL134" s="82" t="e">
        <f t="shared" si="30"/>
        <v>#DIV/0!</v>
      </c>
      <c r="AM134" s="82">
        <f t="shared" si="46"/>
        <v>6.4425022526564228E-3</v>
      </c>
      <c r="AN134" s="52" t="e">
        <f>(AL134-AM134)/AM134</f>
        <v>#DIV/0!</v>
      </c>
      <c r="AO134" s="86"/>
    </row>
    <row r="135" spans="1:41" s="96" customFormat="1" ht="15.75" customHeight="1" x14ac:dyDescent="0.3">
      <c r="A135" s="279"/>
      <c r="B135" s="279"/>
      <c r="C135" s="280"/>
      <c r="D135" s="280"/>
      <c r="E135" s="281"/>
      <c r="F135" s="281"/>
      <c r="G135" s="282" t="e">
        <f t="shared" si="31"/>
        <v>#DIV/0!</v>
      </c>
      <c r="H135" s="281"/>
      <c r="I135" s="283"/>
      <c r="J135" s="282" t="e">
        <f t="shared" si="32"/>
        <v>#DIV/0!</v>
      </c>
      <c r="K135" s="281">
        <f t="shared" ref="K135:K198" si="48">H135*1.085</f>
        <v>0</v>
      </c>
      <c r="L135" s="281">
        <f t="shared" si="33"/>
        <v>0</v>
      </c>
      <c r="M135" s="282" t="e">
        <f t="shared" si="34"/>
        <v>#DIV/0!</v>
      </c>
      <c r="N135" s="283" t="e">
        <f t="shared" ref="N135:N198" si="49">E135/H135</f>
        <v>#DIV/0!</v>
      </c>
      <c r="O135" s="283" t="e">
        <f t="shared" si="35"/>
        <v>#DIV/0!</v>
      </c>
      <c r="P135" s="282" t="e">
        <f t="shared" si="36"/>
        <v>#DIV/0!</v>
      </c>
      <c r="Q135" s="283" t="e">
        <f t="shared" ref="Q135:Q198" si="50">E135/K135</f>
        <v>#DIV/0!</v>
      </c>
      <c r="R135" s="283" t="e">
        <f t="shared" si="37"/>
        <v>#DIV/0!</v>
      </c>
      <c r="S135" s="282" t="e">
        <f t="shared" si="38"/>
        <v>#DIV/0!</v>
      </c>
      <c r="T135" s="284"/>
      <c r="U135" s="284"/>
      <c r="V135" s="282" t="e">
        <f t="shared" si="39"/>
        <v>#DIV/0!</v>
      </c>
      <c r="W135" s="284"/>
      <c r="X135" s="284"/>
      <c r="Y135" s="282" t="e">
        <f t="shared" si="40"/>
        <v>#DIV/0!</v>
      </c>
      <c r="Z135" s="284" t="e">
        <f t="shared" ref="Z135:Z198" si="51">E135/W135</f>
        <v>#DIV/0!</v>
      </c>
      <c r="AA135" s="284" t="e">
        <f t="shared" si="41"/>
        <v>#DIV/0!</v>
      </c>
      <c r="AB135" s="282" t="e">
        <f t="shared" si="42"/>
        <v>#DIV/0!</v>
      </c>
      <c r="AC135" s="285"/>
      <c r="AD135" s="284"/>
      <c r="AE135" s="282" t="e">
        <f t="shared" si="43"/>
        <v>#DIV/0!</v>
      </c>
      <c r="AF135" s="284"/>
      <c r="AG135" s="284"/>
      <c r="AH135" s="86" t="e">
        <f t="shared" si="44"/>
        <v>#DIV/0!</v>
      </c>
      <c r="AI135" s="284"/>
      <c r="AJ135" s="284"/>
      <c r="AK135" s="282" t="e">
        <f t="shared" si="45"/>
        <v>#DIV/0!</v>
      </c>
      <c r="AL135" s="286" t="e">
        <f t="shared" ref="AL135:AL198" si="52">AF135/AI135</f>
        <v>#DIV/0!</v>
      </c>
      <c r="AM135" s="286" t="e">
        <f t="shared" si="46"/>
        <v>#DIV/0!</v>
      </c>
      <c r="AN135" s="282" t="e">
        <f t="shared" si="47"/>
        <v>#DIV/0!</v>
      </c>
      <c r="AO135" s="86"/>
    </row>
    <row r="136" spans="1:41" s="96" customFormat="1" ht="15.75" customHeight="1" x14ac:dyDescent="0.3">
      <c r="A136" s="279"/>
      <c r="B136" s="279"/>
      <c r="C136" s="280"/>
      <c r="D136" s="280"/>
      <c r="E136" s="281"/>
      <c r="F136" s="281"/>
      <c r="G136" s="282" t="e">
        <f t="shared" ref="G136:G199" si="53">(E136-F136)/F136</f>
        <v>#DIV/0!</v>
      </c>
      <c r="H136" s="281"/>
      <c r="I136" s="283"/>
      <c r="J136" s="282" t="e">
        <f t="shared" ref="J136:J199" si="54">(H136-I136)/I136</f>
        <v>#DIV/0!</v>
      </c>
      <c r="K136" s="281">
        <f t="shared" si="48"/>
        <v>0</v>
      </c>
      <c r="L136" s="281">
        <f t="shared" ref="L136:L199" si="55">I136*1.085</f>
        <v>0</v>
      </c>
      <c r="M136" s="282" t="e">
        <f t="shared" ref="M136:M199" si="56">(K136-L136)/L136</f>
        <v>#DIV/0!</v>
      </c>
      <c r="N136" s="283" t="e">
        <f t="shared" si="49"/>
        <v>#DIV/0!</v>
      </c>
      <c r="O136" s="283" t="e">
        <f t="shared" ref="O136:O199" si="57">F136/I136</f>
        <v>#DIV/0!</v>
      </c>
      <c r="P136" s="282" t="e">
        <f t="shared" ref="P136:P199" si="58">(N136-O136)/O136</f>
        <v>#DIV/0!</v>
      </c>
      <c r="Q136" s="283" t="e">
        <f t="shared" si="50"/>
        <v>#DIV/0!</v>
      </c>
      <c r="R136" s="283" t="e">
        <f t="shared" ref="R136:R199" si="59">F136/L136</f>
        <v>#DIV/0!</v>
      </c>
      <c r="S136" s="282" t="e">
        <f t="shared" ref="S136:S199" si="60">(Q136-R136)/R136</f>
        <v>#DIV/0!</v>
      </c>
      <c r="T136" s="284"/>
      <c r="U136" s="284"/>
      <c r="V136" s="282" t="e">
        <f t="shared" ref="V136:V199" si="61">(T136-U136)/U136</f>
        <v>#DIV/0!</v>
      </c>
      <c r="W136" s="284"/>
      <c r="X136" s="284"/>
      <c r="Y136" s="282" t="e">
        <f t="shared" ref="Y136:Y199" si="62">(W136-X136)/X136</f>
        <v>#DIV/0!</v>
      </c>
      <c r="Z136" s="284" t="e">
        <f t="shared" si="51"/>
        <v>#DIV/0!</v>
      </c>
      <c r="AA136" s="284" t="e">
        <f t="shared" ref="AA136:AA199" si="63">F136/X136</f>
        <v>#DIV/0!</v>
      </c>
      <c r="AB136" s="282" t="e">
        <f t="shared" ref="AB136:AB199" si="64">(Z136-AA136)/AA136</f>
        <v>#DIV/0!</v>
      </c>
      <c r="AC136" s="285"/>
      <c r="AD136" s="284"/>
      <c r="AE136" s="282" t="e">
        <f t="shared" ref="AE136:AE199" si="65">(AC136-AD136)/AD136</f>
        <v>#DIV/0!</v>
      </c>
      <c r="AF136" s="284"/>
      <c r="AG136" s="284"/>
      <c r="AH136" s="86" t="e">
        <f t="shared" ref="AH136:AH199" si="66">(AF136-AG136)/AG136</f>
        <v>#DIV/0!</v>
      </c>
      <c r="AI136" s="284"/>
      <c r="AJ136" s="284"/>
      <c r="AK136" s="282" t="e">
        <f t="shared" ref="AK136:AK199" si="67">(AI136-AJ136)/AJ136</f>
        <v>#DIV/0!</v>
      </c>
      <c r="AL136" s="286" t="e">
        <f t="shared" si="52"/>
        <v>#DIV/0!</v>
      </c>
      <c r="AM136" s="286" t="e">
        <f t="shared" ref="AM136:AM199" si="68">AG136/AJ136</f>
        <v>#DIV/0!</v>
      </c>
      <c r="AN136" s="282" t="e">
        <f t="shared" si="47"/>
        <v>#DIV/0!</v>
      </c>
      <c r="AO136" s="86"/>
    </row>
    <row r="137" spans="1:41" s="96" customFormat="1" ht="15.75" customHeight="1" x14ac:dyDescent="0.3">
      <c r="A137" s="279"/>
      <c r="B137" s="279"/>
      <c r="C137" s="280"/>
      <c r="D137" s="280"/>
      <c r="E137" s="281"/>
      <c r="F137" s="281"/>
      <c r="G137" s="282" t="e">
        <f t="shared" si="53"/>
        <v>#DIV/0!</v>
      </c>
      <c r="H137" s="281"/>
      <c r="I137" s="283"/>
      <c r="J137" s="282" t="e">
        <f t="shared" si="54"/>
        <v>#DIV/0!</v>
      </c>
      <c r="K137" s="281">
        <f t="shared" si="48"/>
        <v>0</v>
      </c>
      <c r="L137" s="281">
        <f t="shared" si="55"/>
        <v>0</v>
      </c>
      <c r="M137" s="282" t="e">
        <f t="shared" si="56"/>
        <v>#DIV/0!</v>
      </c>
      <c r="N137" s="283" t="e">
        <f t="shared" si="49"/>
        <v>#DIV/0!</v>
      </c>
      <c r="O137" s="283" t="e">
        <f t="shared" si="57"/>
        <v>#DIV/0!</v>
      </c>
      <c r="P137" s="282" t="e">
        <f t="shared" si="58"/>
        <v>#DIV/0!</v>
      </c>
      <c r="Q137" s="283" t="e">
        <f t="shared" si="50"/>
        <v>#DIV/0!</v>
      </c>
      <c r="R137" s="283" t="e">
        <f t="shared" si="59"/>
        <v>#DIV/0!</v>
      </c>
      <c r="S137" s="282" t="e">
        <f t="shared" si="60"/>
        <v>#DIV/0!</v>
      </c>
      <c r="T137" s="284"/>
      <c r="U137" s="284"/>
      <c r="V137" s="282" t="e">
        <f t="shared" si="61"/>
        <v>#DIV/0!</v>
      </c>
      <c r="W137" s="284"/>
      <c r="X137" s="284"/>
      <c r="Y137" s="282" t="e">
        <f t="shared" si="62"/>
        <v>#DIV/0!</v>
      </c>
      <c r="Z137" s="284" t="e">
        <f t="shared" si="51"/>
        <v>#DIV/0!</v>
      </c>
      <c r="AA137" s="284" t="e">
        <f t="shared" si="63"/>
        <v>#DIV/0!</v>
      </c>
      <c r="AB137" s="282" t="e">
        <f t="shared" si="64"/>
        <v>#DIV/0!</v>
      </c>
      <c r="AC137" s="285"/>
      <c r="AD137" s="284"/>
      <c r="AE137" s="282" t="e">
        <f t="shared" si="65"/>
        <v>#DIV/0!</v>
      </c>
      <c r="AF137" s="284"/>
      <c r="AG137" s="284"/>
      <c r="AH137" s="86" t="e">
        <f t="shared" si="66"/>
        <v>#DIV/0!</v>
      </c>
      <c r="AI137" s="284"/>
      <c r="AJ137" s="284"/>
      <c r="AK137" s="282" t="e">
        <f t="shared" si="67"/>
        <v>#DIV/0!</v>
      </c>
      <c r="AL137" s="286" t="e">
        <f t="shared" si="52"/>
        <v>#DIV/0!</v>
      </c>
      <c r="AM137" s="286" t="e">
        <f t="shared" si="68"/>
        <v>#DIV/0!</v>
      </c>
      <c r="AN137" s="282" t="e">
        <f t="shared" ref="AN137:AN199" si="69">(AL137-AM137)/AM137</f>
        <v>#DIV/0!</v>
      </c>
      <c r="AO137" s="86"/>
    </row>
    <row r="138" spans="1:41" s="96" customFormat="1" ht="15.75" customHeight="1" x14ac:dyDescent="0.3">
      <c r="A138" s="279"/>
      <c r="B138" s="279"/>
      <c r="C138" s="280"/>
      <c r="D138" s="280"/>
      <c r="E138" s="281"/>
      <c r="F138" s="281"/>
      <c r="G138" s="282" t="e">
        <f t="shared" si="53"/>
        <v>#DIV/0!</v>
      </c>
      <c r="H138" s="281"/>
      <c r="I138" s="283"/>
      <c r="J138" s="282" t="e">
        <f t="shared" si="54"/>
        <v>#DIV/0!</v>
      </c>
      <c r="K138" s="281">
        <f t="shared" si="48"/>
        <v>0</v>
      </c>
      <c r="L138" s="281">
        <f t="shared" si="55"/>
        <v>0</v>
      </c>
      <c r="M138" s="282" t="e">
        <f t="shared" si="56"/>
        <v>#DIV/0!</v>
      </c>
      <c r="N138" s="283" t="e">
        <f t="shared" si="49"/>
        <v>#DIV/0!</v>
      </c>
      <c r="O138" s="283" t="e">
        <f t="shared" si="57"/>
        <v>#DIV/0!</v>
      </c>
      <c r="P138" s="282" t="e">
        <f t="shared" si="58"/>
        <v>#DIV/0!</v>
      </c>
      <c r="Q138" s="283" t="e">
        <f t="shared" si="50"/>
        <v>#DIV/0!</v>
      </c>
      <c r="R138" s="283" t="e">
        <f t="shared" si="59"/>
        <v>#DIV/0!</v>
      </c>
      <c r="S138" s="282" t="e">
        <f t="shared" si="60"/>
        <v>#DIV/0!</v>
      </c>
      <c r="T138" s="284"/>
      <c r="U138" s="284"/>
      <c r="V138" s="282" t="e">
        <f t="shared" si="61"/>
        <v>#DIV/0!</v>
      </c>
      <c r="W138" s="284"/>
      <c r="X138" s="284"/>
      <c r="Y138" s="282" t="e">
        <f t="shared" si="62"/>
        <v>#DIV/0!</v>
      </c>
      <c r="Z138" s="284" t="e">
        <f t="shared" si="51"/>
        <v>#DIV/0!</v>
      </c>
      <c r="AA138" s="284" t="e">
        <f t="shared" si="63"/>
        <v>#DIV/0!</v>
      </c>
      <c r="AB138" s="282" t="e">
        <f t="shared" si="64"/>
        <v>#DIV/0!</v>
      </c>
      <c r="AC138" s="285"/>
      <c r="AD138" s="284"/>
      <c r="AE138" s="282" t="e">
        <f t="shared" si="65"/>
        <v>#DIV/0!</v>
      </c>
      <c r="AF138" s="284"/>
      <c r="AG138" s="284"/>
      <c r="AH138" s="86" t="e">
        <f t="shared" si="66"/>
        <v>#DIV/0!</v>
      </c>
      <c r="AI138" s="284"/>
      <c r="AJ138" s="284"/>
      <c r="AK138" s="282" t="e">
        <f t="shared" si="67"/>
        <v>#DIV/0!</v>
      </c>
      <c r="AL138" s="286" t="e">
        <f t="shared" si="52"/>
        <v>#DIV/0!</v>
      </c>
      <c r="AM138" s="286" t="e">
        <f t="shared" si="68"/>
        <v>#DIV/0!</v>
      </c>
      <c r="AN138" s="282" t="e">
        <f t="shared" si="69"/>
        <v>#DIV/0!</v>
      </c>
      <c r="AO138" s="86"/>
    </row>
    <row r="139" spans="1:41" s="96" customFormat="1" ht="15.75" customHeight="1" x14ac:dyDescent="0.3">
      <c r="A139" s="279"/>
      <c r="B139" s="279"/>
      <c r="C139" s="280"/>
      <c r="D139" s="297" t="s">
        <v>274</v>
      </c>
      <c r="E139" s="281">
        <v>0</v>
      </c>
      <c r="F139" s="281">
        <v>0</v>
      </c>
      <c r="G139" s="282" t="e">
        <f t="shared" si="53"/>
        <v>#DIV/0!</v>
      </c>
      <c r="H139" s="281">
        <v>0</v>
      </c>
      <c r="I139" s="283">
        <v>4874.72</v>
      </c>
      <c r="J139" s="282">
        <f t="shared" si="54"/>
        <v>-1</v>
      </c>
      <c r="K139" s="281">
        <f t="shared" si="48"/>
        <v>0</v>
      </c>
      <c r="L139" s="281">
        <f t="shared" si="55"/>
        <v>5289.0712000000003</v>
      </c>
      <c r="M139" s="282">
        <f t="shared" si="56"/>
        <v>-1</v>
      </c>
      <c r="N139" s="283" t="e">
        <f t="shared" si="49"/>
        <v>#DIV/0!</v>
      </c>
      <c r="O139" s="283">
        <f t="shared" si="57"/>
        <v>0</v>
      </c>
      <c r="P139" s="282" t="e">
        <f t="shared" si="58"/>
        <v>#DIV/0!</v>
      </c>
      <c r="Q139" s="283" t="e">
        <f t="shared" si="50"/>
        <v>#DIV/0!</v>
      </c>
      <c r="R139" s="283">
        <f t="shared" si="59"/>
        <v>0</v>
      </c>
      <c r="S139" s="282" t="e">
        <f t="shared" si="60"/>
        <v>#DIV/0!</v>
      </c>
      <c r="T139" s="284">
        <v>490</v>
      </c>
      <c r="U139" s="284">
        <v>6</v>
      </c>
      <c r="V139" s="282">
        <f t="shared" si="61"/>
        <v>80.666666666666671</v>
      </c>
      <c r="W139" s="284">
        <v>0</v>
      </c>
      <c r="X139" s="284">
        <v>0</v>
      </c>
      <c r="Y139" s="282" t="e">
        <f t="shared" si="62"/>
        <v>#DIV/0!</v>
      </c>
      <c r="Z139" s="284" t="e">
        <f t="shared" si="51"/>
        <v>#DIV/0!</v>
      </c>
      <c r="AA139" s="284" t="e">
        <f t="shared" si="63"/>
        <v>#DIV/0!</v>
      </c>
      <c r="AB139" s="282" t="e">
        <f t="shared" si="64"/>
        <v>#DIV/0!</v>
      </c>
      <c r="AC139" s="285">
        <v>0</v>
      </c>
      <c r="AD139" s="284">
        <v>559612</v>
      </c>
      <c r="AE139" s="282">
        <f t="shared" si="65"/>
        <v>-1</v>
      </c>
      <c r="AF139" s="284">
        <v>0</v>
      </c>
      <c r="AG139" s="284">
        <v>10160</v>
      </c>
      <c r="AH139" s="86">
        <f t="shared" si="66"/>
        <v>-1</v>
      </c>
      <c r="AI139" s="284">
        <v>0</v>
      </c>
      <c r="AJ139" s="284">
        <v>1577027</v>
      </c>
      <c r="AK139" s="282">
        <f t="shared" si="67"/>
        <v>-1</v>
      </c>
      <c r="AL139" s="286" t="e">
        <f t="shared" si="52"/>
        <v>#DIV/0!</v>
      </c>
      <c r="AM139" s="286">
        <f t="shared" si="68"/>
        <v>6.4425022526564228E-3</v>
      </c>
      <c r="AN139" s="282" t="e">
        <f t="shared" si="69"/>
        <v>#DIV/0!</v>
      </c>
      <c r="AO139" s="86"/>
    </row>
    <row r="140" spans="1:41" s="81" customFormat="1" ht="15.75" customHeight="1" x14ac:dyDescent="0.3">
      <c r="A140" s="49" t="s">
        <v>53</v>
      </c>
      <c r="B140" s="49" t="s">
        <v>57</v>
      </c>
      <c r="C140" s="50">
        <f>C134+7</f>
        <v>42895</v>
      </c>
      <c r="D140" s="50" t="s">
        <v>28</v>
      </c>
      <c r="E140" s="55">
        <f>SUM(E141:E145)</f>
        <v>917</v>
      </c>
      <c r="F140" s="55">
        <f>SUM(F141:F145)</f>
        <v>0</v>
      </c>
      <c r="G140" s="52" t="e">
        <f t="shared" si="53"/>
        <v>#DIV/0!</v>
      </c>
      <c r="H140" s="55">
        <f>SUM(H141:H145)</f>
        <v>3143</v>
      </c>
      <c r="I140" s="55">
        <f>SUM(I141:I145)</f>
        <v>0</v>
      </c>
      <c r="J140" s="52" t="e">
        <f t="shared" si="54"/>
        <v>#DIV/0!</v>
      </c>
      <c r="K140" s="51">
        <f t="shared" si="48"/>
        <v>3410.1549999999997</v>
      </c>
      <c r="L140" s="51">
        <f t="shared" si="55"/>
        <v>0</v>
      </c>
      <c r="M140" s="52" t="e">
        <f t="shared" si="56"/>
        <v>#DIV/0!</v>
      </c>
      <c r="N140" s="53">
        <f t="shared" si="49"/>
        <v>0.29175946547884185</v>
      </c>
      <c r="O140" s="53" t="e">
        <f t="shared" si="57"/>
        <v>#DIV/0!</v>
      </c>
      <c r="P140" s="52" t="e">
        <f t="shared" si="58"/>
        <v>#DIV/0!</v>
      </c>
      <c r="Q140" s="53">
        <f t="shared" si="50"/>
        <v>0.26890273316022295</v>
      </c>
      <c r="R140" s="53" t="e">
        <f t="shared" si="59"/>
        <v>#DIV/0!</v>
      </c>
      <c r="S140" s="52" t="e">
        <f t="shared" si="60"/>
        <v>#DIV/0!</v>
      </c>
      <c r="T140" s="56">
        <f>SUM(T141:T145)</f>
        <v>2175</v>
      </c>
      <c r="U140" s="56">
        <f>SUM(U141:U145)</f>
        <v>6</v>
      </c>
      <c r="V140" s="52">
        <f t="shared" si="61"/>
        <v>361.5</v>
      </c>
      <c r="W140" s="56">
        <f>SUM(W141:W145)</f>
        <v>7</v>
      </c>
      <c r="X140" s="56">
        <f>SUM(X141:X145)</f>
        <v>0</v>
      </c>
      <c r="Y140" s="52" t="e">
        <f t="shared" si="62"/>
        <v>#DIV/0!</v>
      </c>
      <c r="Z140" s="51">
        <f t="shared" si="51"/>
        <v>131</v>
      </c>
      <c r="AA140" s="54" t="e">
        <f t="shared" si="63"/>
        <v>#DIV/0!</v>
      </c>
      <c r="AB140" s="52" t="e">
        <f t="shared" si="64"/>
        <v>#DIV/0!</v>
      </c>
      <c r="AC140" s="56">
        <f>SUM(AC141:AC145)</f>
        <v>97210</v>
      </c>
      <c r="AD140" s="56">
        <f>SUM(AD141:AD145)</f>
        <v>0</v>
      </c>
      <c r="AE140" s="52" t="e">
        <f t="shared" si="65"/>
        <v>#DIV/0!</v>
      </c>
      <c r="AF140" s="56">
        <f>SUM(AF141:AF145)</f>
        <v>3172</v>
      </c>
      <c r="AG140" s="56">
        <f>SUM(AG141:AG145)</f>
        <v>0</v>
      </c>
      <c r="AH140" s="67" t="e">
        <f t="shared" si="66"/>
        <v>#DIV/0!</v>
      </c>
      <c r="AI140" s="56">
        <f>SUM(AI141:AI145)</f>
        <v>177167</v>
      </c>
      <c r="AJ140" s="56">
        <f>SUM(AJ141:AJ145)</f>
        <v>0</v>
      </c>
      <c r="AK140" s="52" t="e">
        <f t="shared" si="67"/>
        <v>#DIV/0!</v>
      </c>
      <c r="AL140" s="82">
        <f t="shared" si="52"/>
        <v>1.7904011469404572E-2</v>
      </c>
      <c r="AM140" s="82" t="e">
        <f t="shared" si="68"/>
        <v>#DIV/0!</v>
      </c>
      <c r="AN140" s="52" t="e">
        <f>(AL140-AM140)/AM140</f>
        <v>#DIV/0!</v>
      </c>
      <c r="AO140" s="68" t="s">
        <v>229</v>
      </c>
    </row>
    <row r="141" spans="1:41" s="96" customFormat="1" ht="15.75" customHeight="1" x14ac:dyDescent="0.3">
      <c r="A141" s="279"/>
      <c r="B141" s="279"/>
      <c r="C141" s="280"/>
      <c r="D141" s="297" t="s">
        <v>193</v>
      </c>
      <c r="E141" s="281">
        <v>917</v>
      </c>
      <c r="F141" s="281"/>
      <c r="G141" s="282" t="e">
        <f t="shared" si="53"/>
        <v>#DIV/0!</v>
      </c>
      <c r="H141" s="281">
        <v>3143</v>
      </c>
      <c r="I141" s="283"/>
      <c r="J141" s="282" t="e">
        <f t="shared" si="54"/>
        <v>#DIV/0!</v>
      </c>
      <c r="K141" s="281">
        <f t="shared" si="48"/>
        <v>3410.1549999999997</v>
      </c>
      <c r="L141" s="281">
        <f t="shared" si="55"/>
        <v>0</v>
      </c>
      <c r="M141" s="282" t="e">
        <f t="shared" si="56"/>
        <v>#DIV/0!</v>
      </c>
      <c r="N141" s="283">
        <f t="shared" si="49"/>
        <v>0.29175946547884185</v>
      </c>
      <c r="O141" s="283" t="e">
        <f t="shared" si="57"/>
        <v>#DIV/0!</v>
      </c>
      <c r="P141" s="282" t="e">
        <f t="shared" si="58"/>
        <v>#DIV/0!</v>
      </c>
      <c r="Q141" s="283">
        <f t="shared" si="50"/>
        <v>0.26890273316022295</v>
      </c>
      <c r="R141" s="283" t="e">
        <f t="shared" si="59"/>
        <v>#DIV/0!</v>
      </c>
      <c r="S141" s="282" t="e">
        <f t="shared" si="60"/>
        <v>#DIV/0!</v>
      </c>
      <c r="T141" s="284">
        <v>1979</v>
      </c>
      <c r="U141" s="284"/>
      <c r="V141" s="282" t="e">
        <f t="shared" si="61"/>
        <v>#DIV/0!</v>
      </c>
      <c r="W141" s="284">
        <v>7</v>
      </c>
      <c r="X141" s="284"/>
      <c r="Y141" s="282" t="e">
        <f t="shared" si="62"/>
        <v>#DIV/0!</v>
      </c>
      <c r="Z141" s="284">
        <f t="shared" si="51"/>
        <v>131</v>
      </c>
      <c r="AA141" s="284" t="e">
        <f t="shared" si="63"/>
        <v>#DIV/0!</v>
      </c>
      <c r="AB141" s="282" t="e">
        <f t="shared" si="64"/>
        <v>#DIV/0!</v>
      </c>
      <c r="AC141" s="285">
        <v>97210</v>
      </c>
      <c r="AD141" s="284"/>
      <c r="AE141" s="282" t="e">
        <f t="shared" si="65"/>
        <v>#DIV/0!</v>
      </c>
      <c r="AF141" s="284">
        <v>3172</v>
      </c>
      <c r="AG141" s="284"/>
      <c r="AH141" s="86" t="e">
        <f t="shared" si="66"/>
        <v>#DIV/0!</v>
      </c>
      <c r="AI141" s="284">
        <v>177167</v>
      </c>
      <c r="AJ141" s="284"/>
      <c r="AK141" s="282" t="e">
        <f t="shared" si="67"/>
        <v>#DIV/0!</v>
      </c>
      <c r="AL141" s="286">
        <f t="shared" si="52"/>
        <v>1.7904011469404572E-2</v>
      </c>
      <c r="AM141" s="286" t="e">
        <f t="shared" si="68"/>
        <v>#DIV/0!</v>
      </c>
      <c r="AN141" s="282" t="e">
        <f t="shared" si="69"/>
        <v>#DIV/0!</v>
      </c>
      <c r="AO141" s="86"/>
    </row>
    <row r="142" spans="1:41" s="96" customFormat="1" ht="15.75" customHeight="1" x14ac:dyDescent="0.3">
      <c r="A142" s="279"/>
      <c r="B142" s="279"/>
      <c r="C142" s="280"/>
      <c r="D142" s="280"/>
      <c r="E142" s="281"/>
      <c r="F142" s="281"/>
      <c r="G142" s="282" t="e">
        <f t="shared" si="53"/>
        <v>#DIV/0!</v>
      </c>
      <c r="H142" s="281"/>
      <c r="I142" s="283"/>
      <c r="J142" s="282" t="e">
        <f t="shared" si="54"/>
        <v>#DIV/0!</v>
      </c>
      <c r="K142" s="281">
        <f t="shared" si="48"/>
        <v>0</v>
      </c>
      <c r="L142" s="281">
        <f t="shared" si="55"/>
        <v>0</v>
      </c>
      <c r="M142" s="282" t="e">
        <f t="shared" si="56"/>
        <v>#DIV/0!</v>
      </c>
      <c r="N142" s="283" t="e">
        <f t="shared" si="49"/>
        <v>#DIV/0!</v>
      </c>
      <c r="O142" s="283" t="e">
        <f t="shared" si="57"/>
        <v>#DIV/0!</v>
      </c>
      <c r="P142" s="282" t="e">
        <f t="shared" si="58"/>
        <v>#DIV/0!</v>
      </c>
      <c r="Q142" s="283" t="e">
        <f t="shared" si="50"/>
        <v>#DIV/0!</v>
      </c>
      <c r="R142" s="283" t="e">
        <f t="shared" si="59"/>
        <v>#DIV/0!</v>
      </c>
      <c r="S142" s="282" t="e">
        <f t="shared" si="60"/>
        <v>#DIV/0!</v>
      </c>
      <c r="T142" s="284"/>
      <c r="U142" s="284"/>
      <c r="V142" s="282" t="e">
        <f t="shared" si="61"/>
        <v>#DIV/0!</v>
      </c>
      <c r="W142" s="284"/>
      <c r="X142" s="284"/>
      <c r="Y142" s="282" t="e">
        <f t="shared" si="62"/>
        <v>#DIV/0!</v>
      </c>
      <c r="Z142" s="284" t="e">
        <f t="shared" si="51"/>
        <v>#DIV/0!</v>
      </c>
      <c r="AA142" s="284" t="e">
        <f t="shared" si="63"/>
        <v>#DIV/0!</v>
      </c>
      <c r="AB142" s="282" t="e">
        <f t="shared" si="64"/>
        <v>#DIV/0!</v>
      </c>
      <c r="AC142" s="285"/>
      <c r="AD142" s="284"/>
      <c r="AE142" s="282" t="e">
        <f t="shared" si="65"/>
        <v>#DIV/0!</v>
      </c>
      <c r="AF142" s="284"/>
      <c r="AG142" s="284"/>
      <c r="AH142" s="86" t="e">
        <f t="shared" si="66"/>
        <v>#DIV/0!</v>
      </c>
      <c r="AI142" s="284"/>
      <c r="AJ142" s="284"/>
      <c r="AK142" s="282" t="e">
        <f t="shared" si="67"/>
        <v>#DIV/0!</v>
      </c>
      <c r="AL142" s="286" t="e">
        <f t="shared" si="52"/>
        <v>#DIV/0!</v>
      </c>
      <c r="AM142" s="286" t="e">
        <f t="shared" si="68"/>
        <v>#DIV/0!</v>
      </c>
      <c r="AN142" s="282" t="e">
        <f t="shared" si="69"/>
        <v>#DIV/0!</v>
      </c>
      <c r="AO142" s="86"/>
    </row>
    <row r="143" spans="1:41" s="96" customFormat="1" ht="15.75" customHeight="1" x14ac:dyDescent="0.3">
      <c r="A143" s="279"/>
      <c r="B143" s="279"/>
      <c r="C143" s="280"/>
      <c r="D143" s="280"/>
      <c r="E143" s="281"/>
      <c r="F143" s="281"/>
      <c r="G143" s="282" t="e">
        <f t="shared" si="53"/>
        <v>#DIV/0!</v>
      </c>
      <c r="H143" s="281"/>
      <c r="I143" s="283"/>
      <c r="J143" s="282" t="e">
        <f t="shared" si="54"/>
        <v>#DIV/0!</v>
      </c>
      <c r="K143" s="281">
        <f t="shared" si="48"/>
        <v>0</v>
      </c>
      <c r="L143" s="281">
        <f t="shared" si="55"/>
        <v>0</v>
      </c>
      <c r="M143" s="282" t="e">
        <f t="shared" si="56"/>
        <v>#DIV/0!</v>
      </c>
      <c r="N143" s="283" t="e">
        <f t="shared" si="49"/>
        <v>#DIV/0!</v>
      </c>
      <c r="O143" s="283" t="e">
        <f t="shared" si="57"/>
        <v>#DIV/0!</v>
      </c>
      <c r="P143" s="282" t="e">
        <f t="shared" si="58"/>
        <v>#DIV/0!</v>
      </c>
      <c r="Q143" s="283" t="e">
        <f t="shared" si="50"/>
        <v>#DIV/0!</v>
      </c>
      <c r="R143" s="283" t="e">
        <f t="shared" si="59"/>
        <v>#DIV/0!</v>
      </c>
      <c r="S143" s="282" t="e">
        <f t="shared" si="60"/>
        <v>#DIV/0!</v>
      </c>
      <c r="T143" s="284"/>
      <c r="U143" s="284"/>
      <c r="V143" s="282" t="e">
        <f t="shared" si="61"/>
        <v>#DIV/0!</v>
      </c>
      <c r="W143" s="284"/>
      <c r="X143" s="284"/>
      <c r="Y143" s="282" t="e">
        <f t="shared" si="62"/>
        <v>#DIV/0!</v>
      </c>
      <c r="Z143" s="284" t="e">
        <f t="shared" si="51"/>
        <v>#DIV/0!</v>
      </c>
      <c r="AA143" s="284" t="e">
        <f t="shared" si="63"/>
        <v>#DIV/0!</v>
      </c>
      <c r="AB143" s="282" t="e">
        <f t="shared" si="64"/>
        <v>#DIV/0!</v>
      </c>
      <c r="AC143" s="285"/>
      <c r="AD143" s="284"/>
      <c r="AE143" s="282" t="e">
        <f t="shared" si="65"/>
        <v>#DIV/0!</v>
      </c>
      <c r="AF143" s="284"/>
      <c r="AG143" s="284"/>
      <c r="AH143" s="86" t="e">
        <f t="shared" si="66"/>
        <v>#DIV/0!</v>
      </c>
      <c r="AI143" s="284"/>
      <c r="AJ143" s="284"/>
      <c r="AK143" s="282" t="e">
        <f t="shared" si="67"/>
        <v>#DIV/0!</v>
      </c>
      <c r="AL143" s="286" t="e">
        <f t="shared" si="52"/>
        <v>#DIV/0!</v>
      </c>
      <c r="AM143" s="286" t="e">
        <f t="shared" si="68"/>
        <v>#DIV/0!</v>
      </c>
      <c r="AN143" s="282" t="e">
        <f t="shared" si="69"/>
        <v>#DIV/0!</v>
      </c>
      <c r="AO143" s="86"/>
    </row>
    <row r="144" spans="1:41" s="96" customFormat="1" ht="15.75" customHeight="1" x14ac:dyDescent="0.3">
      <c r="A144" s="279"/>
      <c r="B144" s="279"/>
      <c r="C144" s="280"/>
      <c r="D144" s="280"/>
      <c r="E144" s="281"/>
      <c r="F144" s="281"/>
      <c r="G144" s="282" t="e">
        <f t="shared" si="53"/>
        <v>#DIV/0!</v>
      </c>
      <c r="H144" s="281"/>
      <c r="I144" s="283"/>
      <c r="J144" s="282" t="e">
        <f t="shared" si="54"/>
        <v>#DIV/0!</v>
      </c>
      <c r="K144" s="281">
        <f t="shared" si="48"/>
        <v>0</v>
      </c>
      <c r="L144" s="281">
        <f t="shared" si="55"/>
        <v>0</v>
      </c>
      <c r="M144" s="282" t="e">
        <f t="shared" si="56"/>
        <v>#DIV/0!</v>
      </c>
      <c r="N144" s="283" t="e">
        <f t="shared" si="49"/>
        <v>#DIV/0!</v>
      </c>
      <c r="O144" s="283" t="e">
        <f t="shared" si="57"/>
        <v>#DIV/0!</v>
      </c>
      <c r="P144" s="282" t="e">
        <f t="shared" si="58"/>
        <v>#DIV/0!</v>
      </c>
      <c r="Q144" s="283" t="e">
        <f t="shared" si="50"/>
        <v>#DIV/0!</v>
      </c>
      <c r="R144" s="283" t="e">
        <f t="shared" si="59"/>
        <v>#DIV/0!</v>
      </c>
      <c r="S144" s="282" t="e">
        <f t="shared" si="60"/>
        <v>#DIV/0!</v>
      </c>
      <c r="T144" s="284"/>
      <c r="U144" s="284"/>
      <c r="V144" s="282" t="e">
        <f t="shared" si="61"/>
        <v>#DIV/0!</v>
      </c>
      <c r="W144" s="284"/>
      <c r="X144" s="284"/>
      <c r="Y144" s="282" t="e">
        <f t="shared" si="62"/>
        <v>#DIV/0!</v>
      </c>
      <c r="Z144" s="284" t="e">
        <f t="shared" si="51"/>
        <v>#DIV/0!</v>
      </c>
      <c r="AA144" s="284" t="e">
        <f t="shared" si="63"/>
        <v>#DIV/0!</v>
      </c>
      <c r="AB144" s="282" t="e">
        <f t="shared" si="64"/>
        <v>#DIV/0!</v>
      </c>
      <c r="AC144" s="285"/>
      <c r="AD144" s="284"/>
      <c r="AE144" s="282" t="e">
        <f t="shared" si="65"/>
        <v>#DIV/0!</v>
      </c>
      <c r="AF144" s="284"/>
      <c r="AG144" s="284"/>
      <c r="AH144" s="86" t="e">
        <f t="shared" si="66"/>
        <v>#DIV/0!</v>
      </c>
      <c r="AI144" s="284"/>
      <c r="AJ144" s="284"/>
      <c r="AK144" s="282" t="e">
        <f t="shared" si="67"/>
        <v>#DIV/0!</v>
      </c>
      <c r="AL144" s="286" t="e">
        <f t="shared" si="52"/>
        <v>#DIV/0!</v>
      </c>
      <c r="AM144" s="286" t="e">
        <f t="shared" si="68"/>
        <v>#DIV/0!</v>
      </c>
      <c r="AN144" s="282" t="e">
        <f t="shared" si="69"/>
        <v>#DIV/0!</v>
      </c>
      <c r="AO144" s="86"/>
    </row>
    <row r="145" spans="1:41" s="357" customFormat="1" ht="15.75" customHeight="1" x14ac:dyDescent="0.3">
      <c r="A145" s="347"/>
      <c r="B145" s="347"/>
      <c r="C145" s="348"/>
      <c r="D145" s="349" t="s">
        <v>274</v>
      </c>
      <c r="E145" s="350">
        <v>0</v>
      </c>
      <c r="F145" s="350"/>
      <c r="G145" s="351" t="e">
        <f t="shared" si="53"/>
        <v>#DIV/0!</v>
      </c>
      <c r="H145" s="350"/>
      <c r="I145" s="352"/>
      <c r="J145" s="351" t="e">
        <f t="shared" si="54"/>
        <v>#DIV/0!</v>
      </c>
      <c r="K145" s="350">
        <f t="shared" si="48"/>
        <v>0</v>
      </c>
      <c r="L145" s="350">
        <f t="shared" si="55"/>
        <v>0</v>
      </c>
      <c r="M145" s="351" t="e">
        <f t="shared" si="56"/>
        <v>#DIV/0!</v>
      </c>
      <c r="N145" s="352" t="e">
        <f t="shared" si="49"/>
        <v>#DIV/0!</v>
      </c>
      <c r="O145" s="352" t="e">
        <f t="shared" si="57"/>
        <v>#DIV/0!</v>
      </c>
      <c r="P145" s="351" t="e">
        <f t="shared" si="58"/>
        <v>#DIV/0!</v>
      </c>
      <c r="Q145" s="352" t="e">
        <f t="shared" si="50"/>
        <v>#DIV/0!</v>
      </c>
      <c r="R145" s="352" t="e">
        <f t="shared" si="59"/>
        <v>#DIV/0!</v>
      </c>
      <c r="S145" s="351" t="e">
        <f t="shared" si="60"/>
        <v>#DIV/0!</v>
      </c>
      <c r="T145" s="353">
        <v>196</v>
      </c>
      <c r="U145" s="353">
        <v>6</v>
      </c>
      <c r="V145" s="351">
        <f t="shared" si="61"/>
        <v>31.666666666666668</v>
      </c>
      <c r="W145" s="353">
        <v>0</v>
      </c>
      <c r="X145" s="353">
        <v>0</v>
      </c>
      <c r="Y145" s="351" t="e">
        <f t="shared" si="62"/>
        <v>#DIV/0!</v>
      </c>
      <c r="Z145" s="353" t="e">
        <f t="shared" si="51"/>
        <v>#DIV/0!</v>
      </c>
      <c r="AA145" s="353" t="e">
        <f t="shared" si="63"/>
        <v>#DIV/0!</v>
      </c>
      <c r="AB145" s="351" t="e">
        <f t="shared" si="64"/>
        <v>#DIV/0!</v>
      </c>
      <c r="AC145" s="354"/>
      <c r="AD145" s="353">
        <v>0</v>
      </c>
      <c r="AE145" s="351" t="e">
        <f t="shared" si="65"/>
        <v>#DIV/0!</v>
      </c>
      <c r="AF145" s="353">
        <v>0</v>
      </c>
      <c r="AG145" s="353">
        <v>0</v>
      </c>
      <c r="AH145" s="355" t="e">
        <f t="shared" si="66"/>
        <v>#DIV/0!</v>
      </c>
      <c r="AI145" s="353">
        <v>0</v>
      </c>
      <c r="AJ145" s="353">
        <v>0</v>
      </c>
      <c r="AK145" s="351" t="e">
        <f t="shared" si="67"/>
        <v>#DIV/0!</v>
      </c>
      <c r="AL145" s="356" t="e">
        <f t="shared" si="52"/>
        <v>#DIV/0!</v>
      </c>
      <c r="AM145" s="356" t="e">
        <f t="shared" si="68"/>
        <v>#DIV/0!</v>
      </c>
      <c r="AN145" s="351" t="e">
        <f t="shared" si="69"/>
        <v>#DIV/0!</v>
      </c>
      <c r="AO145" s="355"/>
    </row>
    <row r="146" spans="1:41" s="81" customFormat="1" ht="15.75" customHeight="1" x14ac:dyDescent="0.3">
      <c r="A146" s="49" t="s">
        <v>58</v>
      </c>
      <c r="B146" s="49" t="s">
        <v>59</v>
      </c>
      <c r="C146" s="50">
        <f>C140+7</f>
        <v>42902</v>
      </c>
      <c r="D146" s="50" t="s">
        <v>28</v>
      </c>
      <c r="E146" s="55">
        <f>SUM(E147:E151)</f>
        <v>0</v>
      </c>
      <c r="F146" s="55">
        <f>SUM(F147:F151)</f>
        <v>0</v>
      </c>
      <c r="G146" s="52" t="e">
        <f t="shared" si="53"/>
        <v>#DIV/0!</v>
      </c>
      <c r="H146" s="55">
        <f>SUM(H147:H151)</f>
        <v>0</v>
      </c>
      <c r="I146" s="55">
        <f>SUM(I147:I151)</f>
        <v>0</v>
      </c>
      <c r="J146" s="52" t="e">
        <f t="shared" si="54"/>
        <v>#DIV/0!</v>
      </c>
      <c r="K146" s="51">
        <f t="shared" si="48"/>
        <v>0</v>
      </c>
      <c r="L146" s="51">
        <f t="shared" si="55"/>
        <v>0</v>
      </c>
      <c r="M146" s="52" t="e">
        <f t="shared" si="56"/>
        <v>#DIV/0!</v>
      </c>
      <c r="N146" s="53" t="e">
        <f t="shared" si="49"/>
        <v>#DIV/0!</v>
      </c>
      <c r="O146" s="53" t="e">
        <f t="shared" si="57"/>
        <v>#DIV/0!</v>
      </c>
      <c r="P146" s="52" t="e">
        <f t="shared" si="58"/>
        <v>#DIV/0!</v>
      </c>
      <c r="Q146" s="53" t="e">
        <f t="shared" si="50"/>
        <v>#DIV/0!</v>
      </c>
      <c r="R146" s="53" t="e">
        <f t="shared" si="59"/>
        <v>#DIV/0!</v>
      </c>
      <c r="S146" s="52" t="e">
        <f t="shared" si="60"/>
        <v>#DIV/0!</v>
      </c>
      <c r="T146" s="56">
        <f>SUM(T147:T151)</f>
        <v>50</v>
      </c>
      <c r="U146" s="56">
        <f>SUM(U147:U151)</f>
        <v>0</v>
      </c>
      <c r="V146" s="52" t="e">
        <f t="shared" si="61"/>
        <v>#DIV/0!</v>
      </c>
      <c r="W146" s="56">
        <f>SUM(W147:W151)</f>
        <v>0</v>
      </c>
      <c r="X146" s="56">
        <f>SUM(X147:X151)</f>
        <v>0</v>
      </c>
      <c r="Y146" s="52" t="e">
        <f t="shared" si="62"/>
        <v>#DIV/0!</v>
      </c>
      <c r="Z146" s="51" t="e">
        <f t="shared" si="51"/>
        <v>#DIV/0!</v>
      </c>
      <c r="AA146" s="54" t="e">
        <f t="shared" si="63"/>
        <v>#DIV/0!</v>
      </c>
      <c r="AB146" s="52" t="e">
        <f t="shared" si="64"/>
        <v>#DIV/0!</v>
      </c>
      <c r="AC146" s="56">
        <f>SUM(AC147:AC151)</f>
        <v>0</v>
      </c>
      <c r="AD146" s="56">
        <f>SUM(AD147:AD151)</f>
        <v>0</v>
      </c>
      <c r="AE146" s="52" t="e">
        <f t="shared" si="65"/>
        <v>#DIV/0!</v>
      </c>
      <c r="AF146" s="56">
        <f>SUM(AF147:AF151)</f>
        <v>0</v>
      </c>
      <c r="AG146" s="56">
        <f>SUM(AG147:AG151)</f>
        <v>0</v>
      </c>
      <c r="AH146" s="67" t="e">
        <f t="shared" si="66"/>
        <v>#DIV/0!</v>
      </c>
      <c r="AI146" s="56">
        <f>SUM(AI147:AI151)</f>
        <v>0</v>
      </c>
      <c r="AJ146" s="56">
        <f>SUM(AJ147:AJ151)</f>
        <v>0</v>
      </c>
      <c r="AK146" s="52" t="e">
        <f t="shared" si="67"/>
        <v>#DIV/0!</v>
      </c>
      <c r="AL146" s="82" t="e">
        <f t="shared" si="52"/>
        <v>#DIV/0!</v>
      </c>
      <c r="AM146" s="82" t="e">
        <f t="shared" si="68"/>
        <v>#DIV/0!</v>
      </c>
      <c r="AN146" s="52" t="e">
        <f>(AL146-AM146)/AM146</f>
        <v>#DIV/0!</v>
      </c>
      <c r="AO146" s="86"/>
    </row>
    <row r="147" spans="1:41" s="96" customFormat="1" ht="15.75" customHeight="1" x14ac:dyDescent="0.3">
      <c r="A147" s="279"/>
      <c r="B147" s="279"/>
      <c r="C147" s="280"/>
      <c r="D147" s="280"/>
      <c r="E147" s="281"/>
      <c r="F147" s="281"/>
      <c r="G147" s="282" t="e">
        <f t="shared" si="53"/>
        <v>#DIV/0!</v>
      </c>
      <c r="H147" s="281"/>
      <c r="I147" s="283"/>
      <c r="J147" s="282" t="e">
        <f t="shared" si="54"/>
        <v>#DIV/0!</v>
      </c>
      <c r="K147" s="281">
        <f t="shared" si="48"/>
        <v>0</v>
      </c>
      <c r="L147" s="281">
        <f t="shared" si="55"/>
        <v>0</v>
      </c>
      <c r="M147" s="282" t="e">
        <f t="shared" si="56"/>
        <v>#DIV/0!</v>
      </c>
      <c r="N147" s="283" t="e">
        <f t="shared" si="49"/>
        <v>#DIV/0!</v>
      </c>
      <c r="O147" s="283" t="e">
        <f t="shared" si="57"/>
        <v>#DIV/0!</v>
      </c>
      <c r="P147" s="282" t="e">
        <f t="shared" si="58"/>
        <v>#DIV/0!</v>
      </c>
      <c r="Q147" s="283" t="e">
        <f t="shared" si="50"/>
        <v>#DIV/0!</v>
      </c>
      <c r="R147" s="283" t="e">
        <f t="shared" si="59"/>
        <v>#DIV/0!</v>
      </c>
      <c r="S147" s="282" t="e">
        <f t="shared" si="60"/>
        <v>#DIV/0!</v>
      </c>
      <c r="T147" s="284"/>
      <c r="U147" s="284"/>
      <c r="V147" s="282" t="e">
        <f t="shared" si="61"/>
        <v>#DIV/0!</v>
      </c>
      <c r="W147" s="284"/>
      <c r="X147" s="284"/>
      <c r="Y147" s="282" t="e">
        <f t="shared" si="62"/>
        <v>#DIV/0!</v>
      </c>
      <c r="Z147" s="284" t="e">
        <f t="shared" si="51"/>
        <v>#DIV/0!</v>
      </c>
      <c r="AA147" s="284" t="e">
        <f t="shared" si="63"/>
        <v>#DIV/0!</v>
      </c>
      <c r="AB147" s="282" t="e">
        <f t="shared" si="64"/>
        <v>#DIV/0!</v>
      </c>
      <c r="AC147" s="285"/>
      <c r="AD147" s="284"/>
      <c r="AE147" s="282" t="e">
        <f t="shared" si="65"/>
        <v>#DIV/0!</v>
      </c>
      <c r="AF147" s="284"/>
      <c r="AG147" s="284"/>
      <c r="AH147" s="86" t="e">
        <f t="shared" si="66"/>
        <v>#DIV/0!</v>
      </c>
      <c r="AI147" s="284"/>
      <c r="AJ147" s="284"/>
      <c r="AK147" s="282" t="e">
        <f t="shared" si="67"/>
        <v>#DIV/0!</v>
      </c>
      <c r="AL147" s="286" t="e">
        <f t="shared" si="52"/>
        <v>#DIV/0!</v>
      </c>
      <c r="AM147" s="286" t="e">
        <f t="shared" si="68"/>
        <v>#DIV/0!</v>
      </c>
      <c r="AN147" s="282" t="e">
        <f t="shared" si="69"/>
        <v>#DIV/0!</v>
      </c>
      <c r="AO147" s="86"/>
    </row>
    <row r="148" spans="1:41" s="96" customFormat="1" ht="15.75" customHeight="1" x14ac:dyDescent="0.3">
      <c r="A148" s="279"/>
      <c r="B148" s="279"/>
      <c r="C148" s="280"/>
      <c r="D148" s="280"/>
      <c r="E148" s="281"/>
      <c r="F148" s="281"/>
      <c r="G148" s="282" t="e">
        <f t="shared" si="53"/>
        <v>#DIV/0!</v>
      </c>
      <c r="H148" s="281"/>
      <c r="I148" s="283"/>
      <c r="J148" s="282" t="e">
        <f t="shared" si="54"/>
        <v>#DIV/0!</v>
      </c>
      <c r="K148" s="281">
        <f t="shared" si="48"/>
        <v>0</v>
      </c>
      <c r="L148" s="281">
        <f t="shared" si="55"/>
        <v>0</v>
      </c>
      <c r="M148" s="282" t="e">
        <f t="shared" si="56"/>
        <v>#DIV/0!</v>
      </c>
      <c r="N148" s="283" t="e">
        <f t="shared" si="49"/>
        <v>#DIV/0!</v>
      </c>
      <c r="O148" s="283" t="e">
        <f t="shared" si="57"/>
        <v>#DIV/0!</v>
      </c>
      <c r="P148" s="282" t="e">
        <f t="shared" si="58"/>
        <v>#DIV/0!</v>
      </c>
      <c r="Q148" s="283" t="e">
        <f t="shared" si="50"/>
        <v>#DIV/0!</v>
      </c>
      <c r="R148" s="283" t="e">
        <f t="shared" si="59"/>
        <v>#DIV/0!</v>
      </c>
      <c r="S148" s="282" t="e">
        <f t="shared" si="60"/>
        <v>#DIV/0!</v>
      </c>
      <c r="T148" s="284"/>
      <c r="U148" s="284"/>
      <c r="V148" s="282" t="e">
        <f t="shared" si="61"/>
        <v>#DIV/0!</v>
      </c>
      <c r="W148" s="284"/>
      <c r="X148" s="284"/>
      <c r="Y148" s="282" t="e">
        <f t="shared" si="62"/>
        <v>#DIV/0!</v>
      </c>
      <c r="Z148" s="284" t="e">
        <f t="shared" si="51"/>
        <v>#DIV/0!</v>
      </c>
      <c r="AA148" s="284" t="e">
        <f t="shared" si="63"/>
        <v>#DIV/0!</v>
      </c>
      <c r="AB148" s="282" t="e">
        <f t="shared" si="64"/>
        <v>#DIV/0!</v>
      </c>
      <c r="AC148" s="285"/>
      <c r="AD148" s="284"/>
      <c r="AE148" s="282" t="e">
        <f t="shared" si="65"/>
        <v>#DIV/0!</v>
      </c>
      <c r="AF148" s="284"/>
      <c r="AG148" s="284"/>
      <c r="AH148" s="86" t="e">
        <f t="shared" si="66"/>
        <v>#DIV/0!</v>
      </c>
      <c r="AI148" s="284"/>
      <c r="AJ148" s="284"/>
      <c r="AK148" s="282" t="e">
        <f t="shared" si="67"/>
        <v>#DIV/0!</v>
      </c>
      <c r="AL148" s="286" t="e">
        <f t="shared" si="52"/>
        <v>#DIV/0!</v>
      </c>
      <c r="AM148" s="286" t="e">
        <f t="shared" si="68"/>
        <v>#DIV/0!</v>
      </c>
      <c r="AN148" s="282" t="e">
        <f t="shared" si="69"/>
        <v>#DIV/0!</v>
      </c>
      <c r="AO148" s="86"/>
    </row>
    <row r="149" spans="1:41" s="96" customFormat="1" ht="15.75" customHeight="1" x14ac:dyDescent="0.3">
      <c r="A149" s="279"/>
      <c r="B149" s="279"/>
      <c r="C149" s="280"/>
      <c r="D149" s="280"/>
      <c r="E149" s="281"/>
      <c r="F149" s="281"/>
      <c r="G149" s="282" t="e">
        <f t="shared" si="53"/>
        <v>#DIV/0!</v>
      </c>
      <c r="H149" s="281"/>
      <c r="I149" s="283"/>
      <c r="J149" s="282" t="e">
        <f t="shared" si="54"/>
        <v>#DIV/0!</v>
      </c>
      <c r="K149" s="281">
        <f t="shared" si="48"/>
        <v>0</v>
      </c>
      <c r="L149" s="281">
        <f t="shared" si="55"/>
        <v>0</v>
      </c>
      <c r="M149" s="282" t="e">
        <f t="shared" si="56"/>
        <v>#DIV/0!</v>
      </c>
      <c r="N149" s="283" t="e">
        <f t="shared" si="49"/>
        <v>#DIV/0!</v>
      </c>
      <c r="O149" s="283" t="e">
        <f t="shared" si="57"/>
        <v>#DIV/0!</v>
      </c>
      <c r="P149" s="282" t="e">
        <f t="shared" si="58"/>
        <v>#DIV/0!</v>
      </c>
      <c r="Q149" s="283" t="e">
        <f t="shared" si="50"/>
        <v>#DIV/0!</v>
      </c>
      <c r="R149" s="283" t="e">
        <f t="shared" si="59"/>
        <v>#DIV/0!</v>
      </c>
      <c r="S149" s="282" t="e">
        <f t="shared" si="60"/>
        <v>#DIV/0!</v>
      </c>
      <c r="T149" s="284"/>
      <c r="U149" s="284"/>
      <c r="V149" s="282" t="e">
        <f t="shared" si="61"/>
        <v>#DIV/0!</v>
      </c>
      <c r="W149" s="284"/>
      <c r="X149" s="284"/>
      <c r="Y149" s="282" t="e">
        <f t="shared" si="62"/>
        <v>#DIV/0!</v>
      </c>
      <c r="Z149" s="284" t="e">
        <f t="shared" si="51"/>
        <v>#DIV/0!</v>
      </c>
      <c r="AA149" s="284" t="e">
        <f t="shared" si="63"/>
        <v>#DIV/0!</v>
      </c>
      <c r="AB149" s="282" t="e">
        <f t="shared" si="64"/>
        <v>#DIV/0!</v>
      </c>
      <c r="AC149" s="285"/>
      <c r="AD149" s="284"/>
      <c r="AE149" s="282" t="e">
        <f t="shared" si="65"/>
        <v>#DIV/0!</v>
      </c>
      <c r="AF149" s="284"/>
      <c r="AG149" s="284"/>
      <c r="AH149" s="86" t="e">
        <f t="shared" si="66"/>
        <v>#DIV/0!</v>
      </c>
      <c r="AI149" s="284"/>
      <c r="AJ149" s="284"/>
      <c r="AK149" s="282" t="e">
        <f t="shared" si="67"/>
        <v>#DIV/0!</v>
      </c>
      <c r="AL149" s="286" t="e">
        <f t="shared" si="52"/>
        <v>#DIV/0!</v>
      </c>
      <c r="AM149" s="286" t="e">
        <f t="shared" si="68"/>
        <v>#DIV/0!</v>
      </c>
      <c r="AN149" s="282" t="e">
        <f t="shared" si="69"/>
        <v>#DIV/0!</v>
      </c>
      <c r="AO149" s="86"/>
    </row>
    <row r="150" spans="1:41" s="96" customFormat="1" ht="15.75" customHeight="1" x14ac:dyDescent="0.3">
      <c r="A150" s="279"/>
      <c r="B150" s="279"/>
      <c r="C150" s="280"/>
      <c r="D150" s="280"/>
      <c r="E150" s="281"/>
      <c r="F150" s="281"/>
      <c r="G150" s="282" t="e">
        <f t="shared" si="53"/>
        <v>#DIV/0!</v>
      </c>
      <c r="H150" s="281"/>
      <c r="I150" s="283"/>
      <c r="J150" s="282" t="e">
        <f t="shared" si="54"/>
        <v>#DIV/0!</v>
      </c>
      <c r="K150" s="281">
        <f t="shared" si="48"/>
        <v>0</v>
      </c>
      <c r="L150" s="281">
        <f t="shared" si="55"/>
        <v>0</v>
      </c>
      <c r="M150" s="282" t="e">
        <f t="shared" si="56"/>
        <v>#DIV/0!</v>
      </c>
      <c r="N150" s="283" t="e">
        <f t="shared" si="49"/>
        <v>#DIV/0!</v>
      </c>
      <c r="O150" s="283" t="e">
        <f t="shared" si="57"/>
        <v>#DIV/0!</v>
      </c>
      <c r="P150" s="282" t="e">
        <f t="shared" si="58"/>
        <v>#DIV/0!</v>
      </c>
      <c r="Q150" s="283" t="e">
        <f t="shared" si="50"/>
        <v>#DIV/0!</v>
      </c>
      <c r="R150" s="283" t="e">
        <f t="shared" si="59"/>
        <v>#DIV/0!</v>
      </c>
      <c r="S150" s="282" t="e">
        <f t="shared" si="60"/>
        <v>#DIV/0!</v>
      </c>
      <c r="T150" s="284"/>
      <c r="U150" s="284"/>
      <c r="V150" s="282" t="e">
        <f t="shared" si="61"/>
        <v>#DIV/0!</v>
      </c>
      <c r="W150" s="284"/>
      <c r="X150" s="284"/>
      <c r="Y150" s="282" t="e">
        <f t="shared" si="62"/>
        <v>#DIV/0!</v>
      </c>
      <c r="Z150" s="284" t="e">
        <f t="shared" si="51"/>
        <v>#DIV/0!</v>
      </c>
      <c r="AA150" s="284" t="e">
        <f t="shared" si="63"/>
        <v>#DIV/0!</v>
      </c>
      <c r="AB150" s="282" t="e">
        <f t="shared" si="64"/>
        <v>#DIV/0!</v>
      </c>
      <c r="AC150" s="285"/>
      <c r="AD150" s="284"/>
      <c r="AE150" s="282" t="e">
        <f t="shared" si="65"/>
        <v>#DIV/0!</v>
      </c>
      <c r="AF150" s="284"/>
      <c r="AG150" s="284"/>
      <c r="AH150" s="86" t="e">
        <f t="shared" si="66"/>
        <v>#DIV/0!</v>
      </c>
      <c r="AI150" s="284"/>
      <c r="AJ150" s="284"/>
      <c r="AK150" s="282" t="e">
        <f t="shared" si="67"/>
        <v>#DIV/0!</v>
      </c>
      <c r="AL150" s="286" t="e">
        <f t="shared" si="52"/>
        <v>#DIV/0!</v>
      </c>
      <c r="AM150" s="286" t="e">
        <f t="shared" si="68"/>
        <v>#DIV/0!</v>
      </c>
      <c r="AN150" s="282" t="e">
        <f t="shared" si="69"/>
        <v>#DIV/0!</v>
      </c>
      <c r="AO150" s="86"/>
    </row>
    <row r="151" spans="1:41" s="96" customFormat="1" ht="15.75" customHeight="1" x14ac:dyDescent="0.3">
      <c r="A151" s="279"/>
      <c r="B151" s="279"/>
      <c r="C151" s="280"/>
      <c r="D151" s="297" t="s">
        <v>274</v>
      </c>
      <c r="E151" s="281">
        <v>0</v>
      </c>
      <c r="F151" s="281">
        <v>0</v>
      </c>
      <c r="G151" s="282" t="e">
        <f t="shared" si="53"/>
        <v>#DIV/0!</v>
      </c>
      <c r="H151" s="281">
        <v>0</v>
      </c>
      <c r="I151" s="283">
        <v>0</v>
      </c>
      <c r="J151" s="282" t="e">
        <f t="shared" si="54"/>
        <v>#DIV/0!</v>
      </c>
      <c r="K151" s="281">
        <f t="shared" si="48"/>
        <v>0</v>
      </c>
      <c r="L151" s="281">
        <f t="shared" si="55"/>
        <v>0</v>
      </c>
      <c r="M151" s="282" t="e">
        <f t="shared" si="56"/>
        <v>#DIV/0!</v>
      </c>
      <c r="N151" s="283" t="e">
        <f t="shared" si="49"/>
        <v>#DIV/0!</v>
      </c>
      <c r="O151" s="283" t="e">
        <f t="shared" si="57"/>
        <v>#DIV/0!</v>
      </c>
      <c r="P151" s="282" t="e">
        <f t="shared" si="58"/>
        <v>#DIV/0!</v>
      </c>
      <c r="Q151" s="283" t="e">
        <f t="shared" si="50"/>
        <v>#DIV/0!</v>
      </c>
      <c r="R151" s="283" t="e">
        <f t="shared" si="59"/>
        <v>#DIV/0!</v>
      </c>
      <c r="S151" s="282" t="e">
        <f t="shared" si="60"/>
        <v>#DIV/0!</v>
      </c>
      <c r="T151" s="284">
        <v>50</v>
      </c>
      <c r="U151" s="284">
        <v>0</v>
      </c>
      <c r="V151" s="282" t="e">
        <f t="shared" si="61"/>
        <v>#DIV/0!</v>
      </c>
      <c r="W151" s="284">
        <v>0</v>
      </c>
      <c r="X151" s="284">
        <v>0</v>
      </c>
      <c r="Y151" s="282" t="e">
        <f t="shared" si="62"/>
        <v>#DIV/0!</v>
      </c>
      <c r="Z151" s="284" t="e">
        <f t="shared" si="51"/>
        <v>#DIV/0!</v>
      </c>
      <c r="AA151" s="284" t="e">
        <f t="shared" si="63"/>
        <v>#DIV/0!</v>
      </c>
      <c r="AB151" s="282" t="e">
        <f t="shared" si="64"/>
        <v>#DIV/0!</v>
      </c>
      <c r="AC151" s="285">
        <v>0</v>
      </c>
      <c r="AD151" s="284">
        <v>0</v>
      </c>
      <c r="AE151" s="282" t="e">
        <f t="shared" si="65"/>
        <v>#DIV/0!</v>
      </c>
      <c r="AF151" s="284"/>
      <c r="AG151" s="284"/>
      <c r="AH151" s="86" t="e">
        <f t="shared" si="66"/>
        <v>#DIV/0!</v>
      </c>
      <c r="AI151" s="284"/>
      <c r="AJ151" s="284"/>
      <c r="AK151" s="282" t="e">
        <f t="shared" si="67"/>
        <v>#DIV/0!</v>
      </c>
      <c r="AL151" s="286" t="e">
        <f t="shared" si="52"/>
        <v>#DIV/0!</v>
      </c>
      <c r="AM151" s="286" t="e">
        <f t="shared" si="68"/>
        <v>#DIV/0!</v>
      </c>
      <c r="AN151" s="282" t="e">
        <f t="shared" si="69"/>
        <v>#DIV/0!</v>
      </c>
      <c r="AO151" s="86"/>
    </row>
    <row r="152" spans="1:41" s="81" customFormat="1" ht="15.75" customHeight="1" x14ac:dyDescent="0.3">
      <c r="A152" s="49" t="s">
        <v>58</v>
      </c>
      <c r="B152" s="49" t="s">
        <v>60</v>
      </c>
      <c r="C152" s="50">
        <f>C146+7</f>
        <v>42909</v>
      </c>
      <c r="D152" s="50" t="s">
        <v>28</v>
      </c>
      <c r="E152" s="55">
        <f>SUM(E153:E157)</f>
        <v>0</v>
      </c>
      <c r="F152" s="55">
        <f>SUM(F153:F157)</f>
        <v>0</v>
      </c>
      <c r="G152" s="52" t="e">
        <f t="shared" si="53"/>
        <v>#DIV/0!</v>
      </c>
      <c r="H152" s="55">
        <f>SUM(H153:H157)</f>
        <v>5526</v>
      </c>
      <c r="I152" s="55">
        <f>SUM(I153:I157)</f>
        <v>0</v>
      </c>
      <c r="J152" s="52" t="e">
        <f t="shared" si="54"/>
        <v>#DIV/0!</v>
      </c>
      <c r="K152" s="51">
        <f t="shared" si="48"/>
        <v>5995.71</v>
      </c>
      <c r="L152" s="51">
        <f t="shared" si="55"/>
        <v>0</v>
      </c>
      <c r="M152" s="52" t="e">
        <f t="shared" si="56"/>
        <v>#DIV/0!</v>
      </c>
      <c r="N152" s="53">
        <f t="shared" si="49"/>
        <v>0</v>
      </c>
      <c r="O152" s="53" t="e">
        <f t="shared" si="57"/>
        <v>#DIV/0!</v>
      </c>
      <c r="P152" s="52" t="e">
        <f t="shared" si="58"/>
        <v>#DIV/0!</v>
      </c>
      <c r="Q152" s="53">
        <f t="shared" si="50"/>
        <v>0</v>
      </c>
      <c r="R152" s="53" t="e">
        <f t="shared" si="59"/>
        <v>#DIV/0!</v>
      </c>
      <c r="S152" s="52" t="e">
        <f t="shared" si="60"/>
        <v>#DIV/0!</v>
      </c>
      <c r="T152" s="56">
        <f>SUM(T153:T157)</f>
        <v>94</v>
      </c>
      <c r="U152" s="56">
        <f>SUM(U153:U157)</f>
        <v>0</v>
      </c>
      <c r="V152" s="52" t="e">
        <f t="shared" si="61"/>
        <v>#DIV/0!</v>
      </c>
      <c r="W152" s="56">
        <f>SUM(W153:W157)</f>
        <v>0</v>
      </c>
      <c r="X152" s="56">
        <f>SUM(X153:X157)</f>
        <v>0</v>
      </c>
      <c r="Y152" s="52" t="e">
        <f t="shared" si="62"/>
        <v>#DIV/0!</v>
      </c>
      <c r="Z152" s="51" t="e">
        <f t="shared" si="51"/>
        <v>#DIV/0!</v>
      </c>
      <c r="AA152" s="54" t="e">
        <f t="shared" si="63"/>
        <v>#DIV/0!</v>
      </c>
      <c r="AB152" s="52" t="e">
        <f t="shared" si="64"/>
        <v>#DIV/0!</v>
      </c>
      <c r="AC152" s="56">
        <f>SUM(AC153:AC157)</f>
        <v>182670</v>
      </c>
      <c r="AD152" s="56">
        <f>SUM(AD153:AD157)</f>
        <v>0</v>
      </c>
      <c r="AE152" s="52" t="e">
        <f t="shared" si="65"/>
        <v>#DIV/0!</v>
      </c>
      <c r="AF152" s="56">
        <f>SUM(AF153:AF157)</f>
        <v>5488</v>
      </c>
      <c r="AG152" s="56">
        <f>SUM(AG153:AG157)</f>
        <v>0</v>
      </c>
      <c r="AH152" s="67" t="e">
        <f t="shared" si="66"/>
        <v>#DIV/0!</v>
      </c>
      <c r="AI152" s="56">
        <f>SUM(AI153:AI157)</f>
        <v>571766</v>
      </c>
      <c r="AJ152" s="56">
        <f>SUM(AJ153:AJ157)</f>
        <v>0</v>
      </c>
      <c r="AK152" s="52" t="e">
        <f t="shared" si="67"/>
        <v>#DIV/0!</v>
      </c>
      <c r="AL152" s="82">
        <f t="shared" si="52"/>
        <v>9.5983321848448488E-3</v>
      </c>
      <c r="AM152" s="82" t="e">
        <f t="shared" si="68"/>
        <v>#DIV/0!</v>
      </c>
      <c r="AN152" s="52" t="e">
        <f>(AL152-AM152)/AM152</f>
        <v>#DIV/0!</v>
      </c>
      <c r="AO152" s="86" t="s">
        <v>187</v>
      </c>
    </row>
    <row r="153" spans="1:41" s="96" customFormat="1" ht="15.75" customHeight="1" x14ac:dyDescent="0.3">
      <c r="A153" s="279"/>
      <c r="B153" s="279"/>
      <c r="C153" s="280"/>
      <c r="D153" s="297" t="s">
        <v>187</v>
      </c>
      <c r="E153" s="281">
        <v>0</v>
      </c>
      <c r="F153" s="281">
        <v>0</v>
      </c>
      <c r="G153" s="282" t="e">
        <f t="shared" si="53"/>
        <v>#DIV/0!</v>
      </c>
      <c r="H153" s="281">
        <v>5526</v>
      </c>
      <c r="I153" s="283"/>
      <c r="J153" s="282" t="e">
        <f t="shared" si="54"/>
        <v>#DIV/0!</v>
      </c>
      <c r="K153" s="281">
        <f t="shared" si="48"/>
        <v>5995.71</v>
      </c>
      <c r="L153" s="281">
        <f t="shared" si="55"/>
        <v>0</v>
      </c>
      <c r="M153" s="282" t="e">
        <f t="shared" si="56"/>
        <v>#DIV/0!</v>
      </c>
      <c r="N153" s="283">
        <f t="shared" si="49"/>
        <v>0</v>
      </c>
      <c r="O153" s="283" t="e">
        <f t="shared" si="57"/>
        <v>#DIV/0!</v>
      </c>
      <c r="P153" s="282" t="e">
        <f t="shared" si="58"/>
        <v>#DIV/0!</v>
      </c>
      <c r="Q153" s="283">
        <f t="shared" si="50"/>
        <v>0</v>
      </c>
      <c r="R153" s="283" t="e">
        <f t="shared" si="59"/>
        <v>#DIV/0!</v>
      </c>
      <c r="S153" s="282" t="e">
        <f t="shared" si="60"/>
        <v>#DIV/0!</v>
      </c>
      <c r="T153" s="284">
        <v>0</v>
      </c>
      <c r="U153" s="284"/>
      <c r="V153" s="282" t="e">
        <f t="shared" si="61"/>
        <v>#DIV/0!</v>
      </c>
      <c r="W153" s="284"/>
      <c r="X153" s="284"/>
      <c r="Y153" s="282" t="e">
        <f t="shared" si="62"/>
        <v>#DIV/0!</v>
      </c>
      <c r="Z153" s="284" t="e">
        <f t="shared" si="51"/>
        <v>#DIV/0!</v>
      </c>
      <c r="AA153" s="284" t="e">
        <f t="shared" si="63"/>
        <v>#DIV/0!</v>
      </c>
      <c r="AB153" s="282" t="e">
        <f t="shared" si="64"/>
        <v>#DIV/0!</v>
      </c>
      <c r="AC153" s="285">
        <v>182670</v>
      </c>
      <c r="AD153" s="284"/>
      <c r="AE153" s="282" t="e">
        <f t="shared" si="65"/>
        <v>#DIV/0!</v>
      </c>
      <c r="AF153" s="284">
        <v>5488</v>
      </c>
      <c r="AG153" s="284"/>
      <c r="AH153" s="86" t="e">
        <f t="shared" si="66"/>
        <v>#DIV/0!</v>
      </c>
      <c r="AI153" s="284">
        <v>571766</v>
      </c>
      <c r="AJ153" s="284"/>
      <c r="AK153" s="282" t="e">
        <f t="shared" si="67"/>
        <v>#DIV/0!</v>
      </c>
      <c r="AL153" s="286">
        <f t="shared" si="52"/>
        <v>9.5983321848448488E-3</v>
      </c>
      <c r="AM153" s="286" t="e">
        <f t="shared" si="68"/>
        <v>#DIV/0!</v>
      </c>
      <c r="AN153" s="282" t="e">
        <f t="shared" si="69"/>
        <v>#DIV/0!</v>
      </c>
      <c r="AO153" s="86"/>
    </row>
    <row r="154" spans="1:41" s="96" customFormat="1" ht="15.75" customHeight="1" x14ac:dyDescent="0.3">
      <c r="A154" s="279"/>
      <c r="B154" s="279"/>
      <c r="C154" s="280"/>
      <c r="D154" s="280"/>
      <c r="E154" s="281"/>
      <c r="F154" s="281"/>
      <c r="G154" s="282" t="e">
        <f t="shared" si="53"/>
        <v>#DIV/0!</v>
      </c>
      <c r="H154" s="281"/>
      <c r="I154" s="283"/>
      <c r="J154" s="282" t="e">
        <f t="shared" si="54"/>
        <v>#DIV/0!</v>
      </c>
      <c r="K154" s="281">
        <f t="shared" si="48"/>
        <v>0</v>
      </c>
      <c r="L154" s="281">
        <f t="shared" si="55"/>
        <v>0</v>
      </c>
      <c r="M154" s="282" t="e">
        <f t="shared" si="56"/>
        <v>#DIV/0!</v>
      </c>
      <c r="N154" s="283" t="e">
        <f t="shared" si="49"/>
        <v>#DIV/0!</v>
      </c>
      <c r="O154" s="283" t="e">
        <f t="shared" si="57"/>
        <v>#DIV/0!</v>
      </c>
      <c r="P154" s="282" t="e">
        <f t="shared" si="58"/>
        <v>#DIV/0!</v>
      </c>
      <c r="Q154" s="283" t="e">
        <f t="shared" si="50"/>
        <v>#DIV/0!</v>
      </c>
      <c r="R154" s="283" t="e">
        <f t="shared" si="59"/>
        <v>#DIV/0!</v>
      </c>
      <c r="S154" s="282" t="e">
        <f t="shared" si="60"/>
        <v>#DIV/0!</v>
      </c>
      <c r="T154" s="284"/>
      <c r="U154" s="284"/>
      <c r="V154" s="282" t="e">
        <f t="shared" si="61"/>
        <v>#DIV/0!</v>
      </c>
      <c r="W154" s="284"/>
      <c r="X154" s="284"/>
      <c r="Y154" s="282" t="e">
        <f t="shared" si="62"/>
        <v>#DIV/0!</v>
      </c>
      <c r="Z154" s="284" t="e">
        <f t="shared" si="51"/>
        <v>#DIV/0!</v>
      </c>
      <c r="AA154" s="284" t="e">
        <f t="shared" si="63"/>
        <v>#DIV/0!</v>
      </c>
      <c r="AB154" s="282" t="e">
        <f t="shared" si="64"/>
        <v>#DIV/0!</v>
      </c>
      <c r="AC154" s="285"/>
      <c r="AD154" s="284"/>
      <c r="AE154" s="282" t="e">
        <f t="shared" si="65"/>
        <v>#DIV/0!</v>
      </c>
      <c r="AF154" s="284"/>
      <c r="AG154" s="284"/>
      <c r="AH154" s="86" t="e">
        <f t="shared" si="66"/>
        <v>#DIV/0!</v>
      </c>
      <c r="AI154" s="284"/>
      <c r="AJ154" s="284"/>
      <c r="AK154" s="282" t="e">
        <f t="shared" si="67"/>
        <v>#DIV/0!</v>
      </c>
      <c r="AL154" s="286" t="e">
        <f t="shared" si="52"/>
        <v>#DIV/0!</v>
      </c>
      <c r="AM154" s="286" t="e">
        <f t="shared" si="68"/>
        <v>#DIV/0!</v>
      </c>
      <c r="AN154" s="282" t="e">
        <f t="shared" si="69"/>
        <v>#DIV/0!</v>
      </c>
      <c r="AO154" s="86"/>
    </row>
    <row r="155" spans="1:41" s="96" customFormat="1" ht="15.75" customHeight="1" x14ac:dyDescent="0.3">
      <c r="A155" s="279"/>
      <c r="B155" s="279"/>
      <c r="C155" s="280"/>
      <c r="D155" s="280"/>
      <c r="E155" s="281"/>
      <c r="F155" s="281"/>
      <c r="G155" s="282" t="e">
        <f t="shared" si="53"/>
        <v>#DIV/0!</v>
      </c>
      <c r="H155" s="281"/>
      <c r="I155" s="283"/>
      <c r="J155" s="282" t="e">
        <f t="shared" si="54"/>
        <v>#DIV/0!</v>
      </c>
      <c r="K155" s="281">
        <f t="shared" si="48"/>
        <v>0</v>
      </c>
      <c r="L155" s="281">
        <f t="shared" si="55"/>
        <v>0</v>
      </c>
      <c r="M155" s="282" t="e">
        <f t="shared" si="56"/>
        <v>#DIV/0!</v>
      </c>
      <c r="N155" s="283" t="e">
        <f t="shared" si="49"/>
        <v>#DIV/0!</v>
      </c>
      <c r="O155" s="283" t="e">
        <f t="shared" si="57"/>
        <v>#DIV/0!</v>
      </c>
      <c r="P155" s="282" t="e">
        <f t="shared" si="58"/>
        <v>#DIV/0!</v>
      </c>
      <c r="Q155" s="283" t="e">
        <f t="shared" si="50"/>
        <v>#DIV/0!</v>
      </c>
      <c r="R155" s="283" t="e">
        <f t="shared" si="59"/>
        <v>#DIV/0!</v>
      </c>
      <c r="S155" s="282" t="e">
        <f t="shared" si="60"/>
        <v>#DIV/0!</v>
      </c>
      <c r="T155" s="284"/>
      <c r="U155" s="284"/>
      <c r="V155" s="282" t="e">
        <f t="shared" si="61"/>
        <v>#DIV/0!</v>
      </c>
      <c r="W155" s="284"/>
      <c r="X155" s="284"/>
      <c r="Y155" s="282" t="e">
        <f t="shared" si="62"/>
        <v>#DIV/0!</v>
      </c>
      <c r="Z155" s="284" t="e">
        <f t="shared" si="51"/>
        <v>#DIV/0!</v>
      </c>
      <c r="AA155" s="284" t="e">
        <f t="shared" si="63"/>
        <v>#DIV/0!</v>
      </c>
      <c r="AB155" s="282" t="e">
        <f t="shared" si="64"/>
        <v>#DIV/0!</v>
      </c>
      <c r="AC155" s="285"/>
      <c r="AD155" s="284"/>
      <c r="AE155" s="282" t="e">
        <f t="shared" si="65"/>
        <v>#DIV/0!</v>
      </c>
      <c r="AF155" s="284"/>
      <c r="AG155" s="284"/>
      <c r="AH155" s="86" t="e">
        <f t="shared" si="66"/>
        <v>#DIV/0!</v>
      </c>
      <c r="AI155" s="284"/>
      <c r="AJ155" s="284"/>
      <c r="AK155" s="282" t="e">
        <f t="shared" si="67"/>
        <v>#DIV/0!</v>
      </c>
      <c r="AL155" s="286" t="e">
        <f t="shared" si="52"/>
        <v>#DIV/0!</v>
      </c>
      <c r="AM155" s="286" t="e">
        <f t="shared" si="68"/>
        <v>#DIV/0!</v>
      </c>
      <c r="AN155" s="282" t="e">
        <f t="shared" si="69"/>
        <v>#DIV/0!</v>
      </c>
      <c r="AO155" s="86"/>
    </row>
    <row r="156" spans="1:41" s="96" customFormat="1" ht="15.75" customHeight="1" x14ac:dyDescent="0.3">
      <c r="A156" s="279"/>
      <c r="B156" s="279"/>
      <c r="C156" s="280"/>
      <c r="D156" s="280"/>
      <c r="E156" s="281"/>
      <c r="F156" s="281"/>
      <c r="G156" s="282" t="e">
        <f t="shared" si="53"/>
        <v>#DIV/0!</v>
      </c>
      <c r="H156" s="281"/>
      <c r="I156" s="283"/>
      <c r="J156" s="282" t="e">
        <f t="shared" si="54"/>
        <v>#DIV/0!</v>
      </c>
      <c r="K156" s="281">
        <f t="shared" si="48"/>
        <v>0</v>
      </c>
      <c r="L156" s="281">
        <f t="shared" si="55"/>
        <v>0</v>
      </c>
      <c r="M156" s="282" t="e">
        <f t="shared" si="56"/>
        <v>#DIV/0!</v>
      </c>
      <c r="N156" s="283" t="e">
        <f t="shared" si="49"/>
        <v>#DIV/0!</v>
      </c>
      <c r="O156" s="283" t="e">
        <f t="shared" si="57"/>
        <v>#DIV/0!</v>
      </c>
      <c r="P156" s="282" t="e">
        <f t="shared" si="58"/>
        <v>#DIV/0!</v>
      </c>
      <c r="Q156" s="283" t="e">
        <f t="shared" si="50"/>
        <v>#DIV/0!</v>
      </c>
      <c r="R156" s="283" t="e">
        <f t="shared" si="59"/>
        <v>#DIV/0!</v>
      </c>
      <c r="S156" s="282" t="e">
        <f t="shared" si="60"/>
        <v>#DIV/0!</v>
      </c>
      <c r="T156" s="284"/>
      <c r="U156" s="284"/>
      <c r="V156" s="282" t="e">
        <f t="shared" si="61"/>
        <v>#DIV/0!</v>
      </c>
      <c r="W156" s="284"/>
      <c r="X156" s="284"/>
      <c r="Y156" s="282" t="e">
        <f t="shared" si="62"/>
        <v>#DIV/0!</v>
      </c>
      <c r="Z156" s="284" t="e">
        <f t="shared" si="51"/>
        <v>#DIV/0!</v>
      </c>
      <c r="AA156" s="284" t="e">
        <f t="shared" si="63"/>
        <v>#DIV/0!</v>
      </c>
      <c r="AB156" s="282" t="e">
        <f t="shared" si="64"/>
        <v>#DIV/0!</v>
      </c>
      <c r="AC156" s="285"/>
      <c r="AD156" s="284"/>
      <c r="AE156" s="282" t="e">
        <f t="shared" si="65"/>
        <v>#DIV/0!</v>
      </c>
      <c r="AF156" s="284"/>
      <c r="AG156" s="284"/>
      <c r="AH156" s="86" t="e">
        <f t="shared" si="66"/>
        <v>#DIV/0!</v>
      </c>
      <c r="AI156" s="284"/>
      <c r="AJ156" s="284"/>
      <c r="AK156" s="282" t="e">
        <f t="shared" si="67"/>
        <v>#DIV/0!</v>
      </c>
      <c r="AL156" s="286" t="e">
        <f t="shared" si="52"/>
        <v>#DIV/0!</v>
      </c>
      <c r="AM156" s="286" t="e">
        <f t="shared" si="68"/>
        <v>#DIV/0!</v>
      </c>
      <c r="AN156" s="282" t="e">
        <f t="shared" si="69"/>
        <v>#DIV/0!</v>
      </c>
      <c r="AO156" s="86"/>
    </row>
    <row r="157" spans="1:41" s="96" customFormat="1" ht="15.75" customHeight="1" x14ac:dyDescent="0.3">
      <c r="A157" s="279"/>
      <c r="B157" s="279"/>
      <c r="C157" s="280"/>
      <c r="D157" s="297" t="s">
        <v>274</v>
      </c>
      <c r="E157" s="281">
        <v>0</v>
      </c>
      <c r="F157" s="281">
        <v>0</v>
      </c>
      <c r="G157" s="282" t="e">
        <f t="shared" si="53"/>
        <v>#DIV/0!</v>
      </c>
      <c r="H157" s="281">
        <v>0</v>
      </c>
      <c r="I157" s="283"/>
      <c r="J157" s="282" t="e">
        <f t="shared" si="54"/>
        <v>#DIV/0!</v>
      </c>
      <c r="K157" s="281">
        <f t="shared" si="48"/>
        <v>0</v>
      </c>
      <c r="L157" s="281">
        <f t="shared" si="55"/>
        <v>0</v>
      </c>
      <c r="M157" s="282" t="e">
        <f t="shared" si="56"/>
        <v>#DIV/0!</v>
      </c>
      <c r="N157" s="283" t="e">
        <f t="shared" si="49"/>
        <v>#DIV/0!</v>
      </c>
      <c r="O157" s="283" t="e">
        <f t="shared" si="57"/>
        <v>#DIV/0!</v>
      </c>
      <c r="P157" s="282" t="e">
        <f t="shared" si="58"/>
        <v>#DIV/0!</v>
      </c>
      <c r="Q157" s="283" t="e">
        <f t="shared" si="50"/>
        <v>#DIV/0!</v>
      </c>
      <c r="R157" s="283" t="e">
        <f t="shared" si="59"/>
        <v>#DIV/0!</v>
      </c>
      <c r="S157" s="282" t="e">
        <f t="shared" si="60"/>
        <v>#DIV/0!</v>
      </c>
      <c r="T157" s="284">
        <v>94</v>
      </c>
      <c r="U157" s="284">
        <v>0</v>
      </c>
      <c r="V157" s="282" t="e">
        <f t="shared" si="61"/>
        <v>#DIV/0!</v>
      </c>
      <c r="W157" s="284">
        <v>0</v>
      </c>
      <c r="X157" s="284">
        <v>0</v>
      </c>
      <c r="Y157" s="282" t="e">
        <f t="shared" si="62"/>
        <v>#DIV/0!</v>
      </c>
      <c r="Z157" s="284" t="e">
        <f t="shared" si="51"/>
        <v>#DIV/0!</v>
      </c>
      <c r="AA157" s="284" t="e">
        <f t="shared" si="63"/>
        <v>#DIV/0!</v>
      </c>
      <c r="AB157" s="282" t="e">
        <f t="shared" si="64"/>
        <v>#DIV/0!</v>
      </c>
      <c r="AC157" s="285">
        <v>0</v>
      </c>
      <c r="AD157" s="284"/>
      <c r="AE157" s="282" t="e">
        <f t="shared" si="65"/>
        <v>#DIV/0!</v>
      </c>
      <c r="AF157" s="284">
        <v>0</v>
      </c>
      <c r="AG157" s="284"/>
      <c r="AH157" s="86" t="e">
        <f t="shared" si="66"/>
        <v>#DIV/0!</v>
      </c>
      <c r="AI157" s="284">
        <v>0</v>
      </c>
      <c r="AJ157" s="284"/>
      <c r="AK157" s="282" t="e">
        <f t="shared" si="67"/>
        <v>#DIV/0!</v>
      </c>
      <c r="AL157" s="286" t="e">
        <f t="shared" si="52"/>
        <v>#DIV/0!</v>
      </c>
      <c r="AM157" s="286" t="e">
        <f t="shared" si="68"/>
        <v>#DIV/0!</v>
      </c>
      <c r="AN157" s="282" t="e">
        <f t="shared" si="69"/>
        <v>#DIV/0!</v>
      </c>
      <c r="AO157" s="86"/>
    </row>
    <row r="158" spans="1:41" s="81" customFormat="1" ht="15.75" customHeight="1" x14ac:dyDescent="0.3">
      <c r="A158" s="49" t="s">
        <v>58</v>
      </c>
      <c r="B158" s="49" t="s">
        <v>61</v>
      </c>
      <c r="C158" s="50">
        <f>C152+7</f>
        <v>42916</v>
      </c>
      <c r="D158" s="50" t="s">
        <v>28</v>
      </c>
      <c r="E158" s="55">
        <f>SUM(E159:E163)</f>
        <v>0</v>
      </c>
      <c r="F158" s="55">
        <f>SUM(F159:F163)</f>
        <v>0</v>
      </c>
      <c r="G158" s="52" t="e">
        <f t="shared" si="53"/>
        <v>#DIV/0!</v>
      </c>
      <c r="H158" s="55">
        <f>SUM(H159:H163)</f>
        <v>0</v>
      </c>
      <c r="I158" s="55">
        <f>SUM(I159:I163)</f>
        <v>0</v>
      </c>
      <c r="J158" s="52" t="e">
        <f t="shared" si="54"/>
        <v>#DIV/0!</v>
      </c>
      <c r="K158" s="51">
        <f t="shared" si="48"/>
        <v>0</v>
      </c>
      <c r="L158" s="51">
        <f t="shared" si="55"/>
        <v>0</v>
      </c>
      <c r="M158" s="52" t="e">
        <f t="shared" si="56"/>
        <v>#DIV/0!</v>
      </c>
      <c r="N158" s="53" t="e">
        <f t="shared" si="49"/>
        <v>#DIV/0!</v>
      </c>
      <c r="O158" s="53" t="e">
        <f t="shared" si="57"/>
        <v>#DIV/0!</v>
      </c>
      <c r="P158" s="52" t="e">
        <f t="shared" si="58"/>
        <v>#DIV/0!</v>
      </c>
      <c r="Q158" s="53" t="e">
        <f t="shared" si="50"/>
        <v>#DIV/0!</v>
      </c>
      <c r="R158" s="53" t="e">
        <f t="shared" si="59"/>
        <v>#DIV/0!</v>
      </c>
      <c r="S158" s="52" t="e">
        <f t="shared" si="60"/>
        <v>#DIV/0!</v>
      </c>
      <c r="T158" s="56">
        <f>SUM(T159:T163)</f>
        <v>40</v>
      </c>
      <c r="U158" s="56">
        <f>SUM(U159:U163)</f>
        <v>0</v>
      </c>
      <c r="V158" s="52" t="e">
        <f t="shared" si="61"/>
        <v>#DIV/0!</v>
      </c>
      <c r="W158" s="56">
        <f>SUM(W159:W163)</f>
        <v>0</v>
      </c>
      <c r="X158" s="56">
        <f>SUM(X159:X163)</f>
        <v>0</v>
      </c>
      <c r="Y158" s="52" t="e">
        <f t="shared" si="62"/>
        <v>#DIV/0!</v>
      </c>
      <c r="Z158" s="51" t="e">
        <f t="shared" si="51"/>
        <v>#DIV/0!</v>
      </c>
      <c r="AA158" s="54" t="e">
        <f t="shared" si="63"/>
        <v>#DIV/0!</v>
      </c>
      <c r="AB158" s="52" t="e">
        <f t="shared" si="64"/>
        <v>#DIV/0!</v>
      </c>
      <c r="AC158" s="56">
        <f>SUM(AC159:AC163)</f>
        <v>0</v>
      </c>
      <c r="AD158" s="56">
        <f>SUM(AD159:AD163)</f>
        <v>0</v>
      </c>
      <c r="AE158" s="52" t="e">
        <f t="shared" si="65"/>
        <v>#DIV/0!</v>
      </c>
      <c r="AF158" s="56">
        <f>SUM(AF159:AF163)</f>
        <v>0</v>
      </c>
      <c r="AG158" s="56">
        <f>SUM(AG159:AG163)</f>
        <v>0</v>
      </c>
      <c r="AH158" s="67" t="e">
        <f t="shared" si="66"/>
        <v>#DIV/0!</v>
      </c>
      <c r="AI158" s="56">
        <f>SUM(AI159:AI163)</f>
        <v>0</v>
      </c>
      <c r="AJ158" s="56">
        <f>SUM(AJ159:AJ163)</f>
        <v>0</v>
      </c>
      <c r="AK158" s="52" t="e">
        <f t="shared" si="67"/>
        <v>#DIV/0!</v>
      </c>
      <c r="AL158" s="82" t="e">
        <f t="shared" si="52"/>
        <v>#DIV/0!</v>
      </c>
      <c r="AM158" s="82" t="e">
        <f t="shared" si="68"/>
        <v>#DIV/0!</v>
      </c>
      <c r="AN158" s="52" t="e">
        <f>(AL158-AM158)/AM158</f>
        <v>#DIV/0!</v>
      </c>
      <c r="AO158" s="68"/>
    </row>
    <row r="159" spans="1:41" s="96" customFormat="1" ht="15.75" customHeight="1" x14ac:dyDescent="0.3">
      <c r="A159" s="279"/>
      <c r="B159" s="279"/>
      <c r="C159" s="280"/>
      <c r="D159" s="280"/>
      <c r="E159" s="281"/>
      <c r="F159" s="281"/>
      <c r="G159" s="282" t="e">
        <f t="shared" si="53"/>
        <v>#DIV/0!</v>
      </c>
      <c r="H159" s="281"/>
      <c r="I159" s="283"/>
      <c r="J159" s="282" t="e">
        <f t="shared" si="54"/>
        <v>#DIV/0!</v>
      </c>
      <c r="K159" s="281">
        <f t="shared" si="48"/>
        <v>0</v>
      </c>
      <c r="L159" s="281">
        <f t="shared" si="55"/>
        <v>0</v>
      </c>
      <c r="M159" s="282" t="e">
        <f t="shared" si="56"/>
        <v>#DIV/0!</v>
      </c>
      <c r="N159" s="283" t="e">
        <f t="shared" si="49"/>
        <v>#DIV/0!</v>
      </c>
      <c r="O159" s="283" t="e">
        <f t="shared" si="57"/>
        <v>#DIV/0!</v>
      </c>
      <c r="P159" s="282" t="e">
        <f t="shared" si="58"/>
        <v>#DIV/0!</v>
      </c>
      <c r="Q159" s="283" t="e">
        <f t="shared" si="50"/>
        <v>#DIV/0!</v>
      </c>
      <c r="R159" s="283" t="e">
        <f t="shared" si="59"/>
        <v>#DIV/0!</v>
      </c>
      <c r="S159" s="282" t="e">
        <f t="shared" si="60"/>
        <v>#DIV/0!</v>
      </c>
      <c r="T159" s="284"/>
      <c r="U159" s="284"/>
      <c r="V159" s="282" t="e">
        <f t="shared" si="61"/>
        <v>#DIV/0!</v>
      </c>
      <c r="W159" s="284"/>
      <c r="X159" s="284"/>
      <c r="Y159" s="282" t="e">
        <f t="shared" si="62"/>
        <v>#DIV/0!</v>
      </c>
      <c r="Z159" s="284" t="e">
        <f t="shared" si="51"/>
        <v>#DIV/0!</v>
      </c>
      <c r="AA159" s="284" t="e">
        <f t="shared" si="63"/>
        <v>#DIV/0!</v>
      </c>
      <c r="AB159" s="282" t="e">
        <f t="shared" si="64"/>
        <v>#DIV/0!</v>
      </c>
      <c r="AC159" s="285"/>
      <c r="AD159" s="284"/>
      <c r="AE159" s="282" t="e">
        <f t="shared" si="65"/>
        <v>#DIV/0!</v>
      </c>
      <c r="AF159" s="284"/>
      <c r="AG159" s="284"/>
      <c r="AH159" s="86" t="e">
        <f t="shared" si="66"/>
        <v>#DIV/0!</v>
      </c>
      <c r="AI159" s="284"/>
      <c r="AJ159" s="284"/>
      <c r="AK159" s="282" t="e">
        <f t="shared" si="67"/>
        <v>#DIV/0!</v>
      </c>
      <c r="AL159" s="286" t="e">
        <f t="shared" si="52"/>
        <v>#DIV/0!</v>
      </c>
      <c r="AM159" s="286" t="e">
        <f t="shared" si="68"/>
        <v>#DIV/0!</v>
      </c>
      <c r="AN159" s="282" t="e">
        <f t="shared" si="69"/>
        <v>#DIV/0!</v>
      </c>
      <c r="AO159" s="86"/>
    </row>
    <row r="160" spans="1:41" s="96" customFormat="1" ht="15.75" customHeight="1" x14ac:dyDescent="0.3">
      <c r="A160" s="279"/>
      <c r="B160" s="279"/>
      <c r="C160" s="280"/>
      <c r="D160" s="280"/>
      <c r="E160" s="281"/>
      <c r="F160" s="281"/>
      <c r="G160" s="282" t="e">
        <f t="shared" si="53"/>
        <v>#DIV/0!</v>
      </c>
      <c r="H160" s="281"/>
      <c r="I160" s="283"/>
      <c r="J160" s="282" t="e">
        <f t="shared" si="54"/>
        <v>#DIV/0!</v>
      </c>
      <c r="K160" s="281">
        <f t="shared" si="48"/>
        <v>0</v>
      </c>
      <c r="L160" s="281">
        <f t="shared" si="55"/>
        <v>0</v>
      </c>
      <c r="M160" s="282" t="e">
        <f t="shared" si="56"/>
        <v>#DIV/0!</v>
      </c>
      <c r="N160" s="283" t="e">
        <f t="shared" si="49"/>
        <v>#DIV/0!</v>
      </c>
      <c r="O160" s="283" t="e">
        <f t="shared" si="57"/>
        <v>#DIV/0!</v>
      </c>
      <c r="P160" s="282" t="e">
        <f t="shared" si="58"/>
        <v>#DIV/0!</v>
      </c>
      <c r="Q160" s="283" t="e">
        <f t="shared" si="50"/>
        <v>#DIV/0!</v>
      </c>
      <c r="R160" s="283" t="e">
        <f t="shared" si="59"/>
        <v>#DIV/0!</v>
      </c>
      <c r="S160" s="282" t="e">
        <f t="shared" si="60"/>
        <v>#DIV/0!</v>
      </c>
      <c r="T160" s="284"/>
      <c r="U160" s="284"/>
      <c r="V160" s="282" t="e">
        <f t="shared" si="61"/>
        <v>#DIV/0!</v>
      </c>
      <c r="W160" s="284"/>
      <c r="X160" s="284"/>
      <c r="Y160" s="282" t="e">
        <f t="shared" si="62"/>
        <v>#DIV/0!</v>
      </c>
      <c r="Z160" s="284" t="e">
        <f t="shared" si="51"/>
        <v>#DIV/0!</v>
      </c>
      <c r="AA160" s="284" t="e">
        <f t="shared" si="63"/>
        <v>#DIV/0!</v>
      </c>
      <c r="AB160" s="282" t="e">
        <f t="shared" si="64"/>
        <v>#DIV/0!</v>
      </c>
      <c r="AC160" s="285"/>
      <c r="AD160" s="284"/>
      <c r="AE160" s="282" t="e">
        <f t="shared" si="65"/>
        <v>#DIV/0!</v>
      </c>
      <c r="AF160" s="284"/>
      <c r="AG160" s="284"/>
      <c r="AH160" s="86" t="e">
        <f t="shared" si="66"/>
        <v>#DIV/0!</v>
      </c>
      <c r="AI160" s="284"/>
      <c r="AJ160" s="284"/>
      <c r="AK160" s="282" t="e">
        <f t="shared" si="67"/>
        <v>#DIV/0!</v>
      </c>
      <c r="AL160" s="286" t="e">
        <f t="shared" si="52"/>
        <v>#DIV/0!</v>
      </c>
      <c r="AM160" s="286" t="e">
        <f t="shared" si="68"/>
        <v>#DIV/0!</v>
      </c>
      <c r="AN160" s="282" t="e">
        <f t="shared" si="69"/>
        <v>#DIV/0!</v>
      </c>
      <c r="AO160" s="86"/>
    </row>
    <row r="161" spans="1:41" s="96" customFormat="1" ht="15.75" customHeight="1" x14ac:dyDescent="0.3">
      <c r="A161" s="279"/>
      <c r="B161" s="279"/>
      <c r="C161" s="280"/>
      <c r="D161" s="280"/>
      <c r="E161" s="281"/>
      <c r="F161" s="281"/>
      <c r="G161" s="282" t="e">
        <f t="shared" si="53"/>
        <v>#DIV/0!</v>
      </c>
      <c r="H161" s="281"/>
      <c r="I161" s="283"/>
      <c r="J161" s="282" t="e">
        <f t="shared" si="54"/>
        <v>#DIV/0!</v>
      </c>
      <c r="K161" s="281">
        <f t="shared" si="48"/>
        <v>0</v>
      </c>
      <c r="L161" s="281">
        <f t="shared" si="55"/>
        <v>0</v>
      </c>
      <c r="M161" s="282" t="e">
        <f t="shared" si="56"/>
        <v>#DIV/0!</v>
      </c>
      <c r="N161" s="283" t="e">
        <f t="shared" si="49"/>
        <v>#DIV/0!</v>
      </c>
      <c r="O161" s="283" t="e">
        <f t="shared" si="57"/>
        <v>#DIV/0!</v>
      </c>
      <c r="P161" s="282" t="e">
        <f t="shared" si="58"/>
        <v>#DIV/0!</v>
      </c>
      <c r="Q161" s="283" t="e">
        <f t="shared" si="50"/>
        <v>#DIV/0!</v>
      </c>
      <c r="R161" s="283" t="e">
        <f t="shared" si="59"/>
        <v>#DIV/0!</v>
      </c>
      <c r="S161" s="282" t="e">
        <f t="shared" si="60"/>
        <v>#DIV/0!</v>
      </c>
      <c r="T161" s="284"/>
      <c r="U161" s="284"/>
      <c r="V161" s="282" t="e">
        <f t="shared" si="61"/>
        <v>#DIV/0!</v>
      </c>
      <c r="W161" s="284"/>
      <c r="X161" s="284"/>
      <c r="Y161" s="282" t="e">
        <f t="shared" si="62"/>
        <v>#DIV/0!</v>
      </c>
      <c r="Z161" s="284" t="e">
        <f t="shared" si="51"/>
        <v>#DIV/0!</v>
      </c>
      <c r="AA161" s="284" t="e">
        <f t="shared" si="63"/>
        <v>#DIV/0!</v>
      </c>
      <c r="AB161" s="282" t="e">
        <f t="shared" si="64"/>
        <v>#DIV/0!</v>
      </c>
      <c r="AC161" s="285"/>
      <c r="AD161" s="284"/>
      <c r="AE161" s="282" t="e">
        <f t="shared" si="65"/>
        <v>#DIV/0!</v>
      </c>
      <c r="AF161" s="284"/>
      <c r="AG161" s="284"/>
      <c r="AH161" s="86" t="e">
        <f t="shared" si="66"/>
        <v>#DIV/0!</v>
      </c>
      <c r="AI161" s="284"/>
      <c r="AJ161" s="284"/>
      <c r="AK161" s="282" t="e">
        <f t="shared" si="67"/>
        <v>#DIV/0!</v>
      </c>
      <c r="AL161" s="286" t="e">
        <f t="shared" si="52"/>
        <v>#DIV/0!</v>
      </c>
      <c r="AM161" s="286" t="e">
        <f t="shared" si="68"/>
        <v>#DIV/0!</v>
      </c>
      <c r="AN161" s="282" t="e">
        <f t="shared" si="69"/>
        <v>#DIV/0!</v>
      </c>
      <c r="AO161" s="86"/>
    </row>
    <row r="162" spans="1:41" s="96" customFormat="1" ht="15.75" customHeight="1" x14ac:dyDescent="0.3">
      <c r="A162" s="279"/>
      <c r="B162" s="279"/>
      <c r="C162" s="280"/>
      <c r="D162" s="280"/>
      <c r="E162" s="281"/>
      <c r="F162" s="281"/>
      <c r="G162" s="282" t="e">
        <f t="shared" si="53"/>
        <v>#DIV/0!</v>
      </c>
      <c r="H162" s="281"/>
      <c r="I162" s="283"/>
      <c r="J162" s="282" t="e">
        <f t="shared" si="54"/>
        <v>#DIV/0!</v>
      </c>
      <c r="K162" s="281">
        <f t="shared" si="48"/>
        <v>0</v>
      </c>
      <c r="L162" s="281">
        <f t="shared" si="55"/>
        <v>0</v>
      </c>
      <c r="M162" s="282" t="e">
        <f t="shared" si="56"/>
        <v>#DIV/0!</v>
      </c>
      <c r="N162" s="283" t="e">
        <f t="shared" si="49"/>
        <v>#DIV/0!</v>
      </c>
      <c r="O162" s="283" t="e">
        <f t="shared" si="57"/>
        <v>#DIV/0!</v>
      </c>
      <c r="P162" s="282" t="e">
        <f t="shared" si="58"/>
        <v>#DIV/0!</v>
      </c>
      <c r="Q162" s="283" t="e">
        <f t="shared" si="50"/>
        <v>#DIV/0!</v>
      </c>
      <c r="R162" s="283" t="e">
        <f t="shared" si="59"/>
        <v>#DIV/0!</v>
      </c>
      <c r="S162" s="282" t="e">
        <f t="shared" si="60"/>
        <v>#DIV/0!</v>
      </c>
      <c r="T162" s="284"/>
      <c r="U162" s="284"/>
      <c r="V162" s="282" t="e">
        <f t="shared" si="61"/>
        <v>#DIV/0!</v>
      </c>
      <c r="W162" s="284"/>
      <c r="X162" s="284"/>
      <c r="Y162" s="282" t="e">
        <f t="shared" si="62"/>
        <v>#DIV/0!</v>
      </c>
      <c r="Z162" s="284" t="e">
        <f t="shared" si="51"/>
        <v>#DIV/0!</v>
      </c>
      <c r="AA162" s="284" t="e">
        <f t="shared" si="63"/>
        <v>#DIV/0!</v>
      </c>
      <c r="AB162" s="282" t="e">
        <f t="shared" si="64"/>
        <v>#DIV/0!</v>
      </c>
      <c r="AC162" s="285"/>
      <c r="AD162" s="284"/>
      <c r="AE162" s="282" t="e">
        <f t="shared" si="65"/>
        <v>#DIV/0!</v>
      </c>
      <c r="AF162" s="284"/>
      <c r="AG162" s="284"/>
      <c r="AH162" s="86" t="e">
        <f t="shared" si="66"/>
        <v>#DIV/0!</v>
      </c>
      <c r="AI162" s="284"/>
      <c r="AJ162" s="284"/>
      <c r="AK162" s="282" t="e">
        <f t="shared" si="67"/>
        <v>#DIV/0!</v>
      </c>
      <c r="AL162" s="286" t="e">
        <f t="shared" si="52"/>
        <v>#DIV/0!</v>
      </c>
      <c r="AM162" s="286" t="e">
        <f t="shared" si="68"/>
        <v>#DIV/0!</v>
      </c>
      <c r="AN162" s="282" t="e">
        <f t="shared" si="69"/>
        <v>#DIV/0!</v>
      </c>
      <c r="AO162" s="86"/>
    </row>
    <row r="163" spans="1:41" s="96" customFormat="1" ht="15.75" customHeight="1" x14ac:dyDescent="0.3">
      <c r="A163" s="279"/>
      <c r="B163" s="279"/>
      <c r="C163" s="280"/>
      <c r="D163" s="297" t="s">
        <v>274</v>
      </c>
      <c r="E163" s="281">
        <v>0</v>
      </c>
      <c r="F163" s="281">
        <v>0</v>
      </c>
      <c r="G163" s="282" t="e">
        <f t="shared" si="53"/>
        <v>#DIV/0!</v>
      </c>
      <c r="H163" s="281">
        <v>0</v>
      </c>
      <c r="I163" s="283">
        <v>0</v>
      </c>
      <c r="J163" s="282" t="e">
        <f t="shared" si="54"/>
        <v>#DIV/0!</v>
      </c>
      <c r="K163" s="281">
        <f t="shared" si="48"/>
        <v>0</v>
      </c>
      <c r="L163" s="281">
        <f t="shared" si="55"/>
        <v>0</v>
      </c>
      <c r="M163" s="282" t="e">
        <f t="shared" si="56"/>
        <v>#DIV/0!</v>
      </c>
      <c r="N163" s="283" t="e">
        <f t="shared" si="49"/>
        <v>#DIV/0!</v>
      </c>
      <c r="O163" s="283" t="e">
        <f t="shared" si="57"/>
        <v>#DIV/0!</v>
      </c>
      <c r="P163" s="282" t="e">
        <f t="shared" si="58"/>
        <v>#DIV/0!</v>
      </c>
      <c r="Q163" s="283" t="e">
        <f t="shared" si="50"/>
        <v>#DIV/0!</v>
      </c>
      <c r="R163" s="283" t="e">
        <f t="shared" si="59"/>
        <v>#DIV/0!</v>
      </c>
      <c r="S163" s="282" t="e">
        <f t="shared" si="60"/>
        <v>#DIV/0!</v>
      </c>
      <c r="T163" s="284">
        <v>40</v>
      </c>
      <c r="U163" s="284">
        <v>0</v>
      </c>
      <c r="V163" s="282" t="e">
        <f t="shared" si="61"/>
        <v>#DIV/0!</v>
      </c>
      <c r="W163" s="284">
        <v>0</v>
      </c>
      <c r="X163" s="284">
        <v>0</v>
      </c>
      <c r="Y163" s="282" t="e">
        <f t="shared" si="62"/>
        <v>#DIV/0!</v>
      </c>
      <c r="Z163" s="284" t="e">
        <f t="shared" si="51"/>
        <v>#DIV/0!</v>
      </c>
      <c r="AA163" s="284" t="e">
        <f t="shared" si="63"/>
        <v>#DIV/0!</v>
      </c>
      <c r="AB163" s="282" t="e">
        <f t="shared" si="64"/>
        <v>#DIV/0!</v>
      </c>
      <c r="AC163" s="285">
        <v>0</v>
      </c>
      <c r="AD163" s="284"/>
      <c r="AE163" s="282" t="e">
        <f t="shared" si="65"/>
        <v>#DIV/0!</v>
      </c>
      <c r="AF163" s="284"/>
      <c r="AG163" s="284"/>
      <c r="AH163" s="86" t="e">
        <f t="shared" si="66"/>
        <v>#DIV/0!</v>
      </c>
      <c r="AI163" s="284"/>
      <c r="AJ163" s="284"/>
      <c r="AK163" s="282" t="e">
        <f t="shared" si="67"/>
        <v>#DIV/0!</v>
      </c>
      <c r="AL163" s="286" t="e">
        <f t="shared" si="52"/>
        <v>#DIV/0!</v>
      </c>
      <c r="AM163" s="286" t="e">
        <f t="shared" si="68"/>
        <v>#DIV/0!</v>
      </c>
      <c r="AN163" s="282" t="e">
        <f t="shared" si="69"/>
        <v>#DIV/0!</v>
      </c>
      <c r="AO163" s="86"/>
    </row>
    <row r="164" spans="1:41" s="81" customFormat="1" ht="15.75" customHeight="1" x14ac:dyDescent="0.3">
      <c r="A164" s="49" t="s">
        <v>58</v>
      </c>
      <c r="B164" s="49" t="s">
        <v>62</v>
      </c>
      <c r="C164" s="50">
        <f>C158+7</f>
        <v>42923</v>
      </c>
      <c r="D164" s="50" t="s">
        <v>28</v>
      </c>
      <c r="E164" s="55">
        <f>SUM(E165:E169)</f>
        <v>0</v>
      </c>
      <c r="F164" s="55">
        <f>SUM(F165:F169)</f>
        <v>692</v>
      </c>
      <c r="G164" s="52">
        <f t="shared" si="53"/>
        <v>-1</v>
      </c>
      <c r="H164" s="55">
        <f>SUM(H165:H169)</f>
        <v>0</v>
      </c>
      <c r="I164" s="55">
        <f>SUM(I165:I169)</f>
        <v>4108.17</v>
      </c>
      <c r="J164" s="52">
        <f t="shared" si="54"/>
        <v>-1</v>
      </c>
      <c r="K164" s="51">
        <f t="shared" si="48"/>
        <v>0</v>
      </c>
      <c r="L164" s="51">
        <f t="shared" si="55"/>
        <v>4457.36445</v>
      </c>
      <c r="M164" s="52">
        <f t="shared" si="56"/>
        <v>-1</v>
      </c>
      <c r="N164" s="53" t="e">
        <f t="shared" si="49"/>
        <v>#DIV/0!</v>
      </c>
      <c r="O164" s="53">
        <f t="shared" si="57"/>
        <v>0.16844483066669588</v>
      </c>
      <c r="P164" s="52" t="e">
        <f t="shared" si="58"/>
        <v>#DIV/0!</v>
      </c>
      <c r="Q164" s="53" t="e">
        <f t="shared" si="50"/>
        <v>#DIV/0!</v>
      </c>
      <c r="R164" s="53">
        <f t="shared" si="59"/>
        <v>0.15524869185870588</v>
      </c>
      <c r="S164" s="52" t="e">
        <f t="shared" si="60"/>
        <v>#DIV/0!</v>
      </c>
      <c r="T164" s="56">
        <f>SUM(T165:T169)</f>
        <v>34</v>
      </c>
      <c r="U164" s="56">
        <f>SUM(U165:U169)</f>
        <v>2205</v>
      </c>
      <c r="V164" s="52">
        <f t="shared" si="61"/>
        <v>-0.98458049886621313</v>
      </c>
      <c r="W164" s="56">
        <f>SUM(W165:W169)</f>
        <v>0</v>
      </c>
      <c r="X164" s="56">
        <f>SUM(X165:X169)</f>
        <v>7</v>
      </c>
      <c r="Y164" s="52">
        <f t="shared" si="62"/>
        <v>-1</v>
      </c>
      <c r="Z164" s="51" t="e">
        <f t="shared" si="51"/>
        <v>#DIV/0!</v>
      </c>
      <c r="AA164" s="54">
        <f t="shared" si="63"/>
        <v>98.857142857142861</v>
      </c>
      <c r="AB164" s="52" t="e">
        <f t="shared" si="64"/>
        <v>#DIV/0!</v>
      </c>
      <c r="AC164" s="56">
        <f>SUM(AC165:AC169)</f>
        <v>0</v>
      </c>
      <c r="AD164" s="56">
        <f>SUM(AD165:AD169)</f>
        <v>333432</v>
      </c>
      <c r="AE164" s="52">
        <f t="shared" si="65"/>
        <v>-1</v>
      </c>
      <c r="AF164" s="56">
        <f>SUM(AF165:AF169)</f>
        <v>0</v>
      </c>
      <c r="AG164" s="56">
        <f>SUM(AG165:AG169)</f>
        <v>3442</v>
      </c>
      <c r="AH164" s="67">
        <f t="shared" si="66"/>
        <v>-1</v>
      </c>
      <c r="AI164" s="56">
        <f>SUM(AI165:AI169)</f>
        <v>0</v>
      </c>
      <c r="AJ164" s="56">
        <f>SUM(AJ165:AJ169)</f>
        <v>867680</v>
      </c>
      <c r="AK164" s="52">
        <f t="shared" si="67"/>
        <v>-1</v>
      </c>
      <c r="AL164" s="82" t="e">
        <f t="shared" si="52"/>
        <v>#DIV/0!</v>
      </c>
      <c r="AM164" s="82">
        <f t="shared" si="68"/>
        <v>3.9669002397197126E-3</v>
      </c>
      <c r="AN164" s="52" t="e">
        <f>(AL164-AM164)/AM164</f>
        <v>#DIV/0!</v>
      </c>
      <c r="AO164" s="68"/>
    </row>
    <row r="165" spans="1:41" s="96" customFormat="1" ht="15.75" customHeight="1" x14ac:dyDescent="0.3">
      <c r="A165" s="279"/>
      <c r="B165" s="279"/>
      <c r="C165" s="280"/>
      <c r="D165" s="280"/>
      <c r="E165" s="281"/>
      <c r="F165" s="281"/>
      <c r="G165" s="282" t="e">
        <f t="shared" si="53"/>
        <v>#DIV/0!</v>
      </c>
      <c r="H165" s="281"/>
      <c r="I165" s="283"/>
      <c r="J165" s="282" t="e">
        <f t="shared" si="54"/>
        <v>#DIV/0!</v>
      </c>
      <c r="K165" s="281">
        <f t="shared" si="48"/>
        <v>0</v>
      </c>
      <c r="L165" s="281">
        <f t="shared" si="55"/>
        <v>0</v>
      </c>
      <c r="M165" s="282" t="e">
        <f t="shared" si="56"/>
        <v>#DIV/0!</v>
      </c>
      <c r="N165" s="283" t="e">
        <f t="shared" si="49"/>
        <v>#DIV/0!</v>
      </c>
      <c r="O165" s="283" t="e">
        <f t="shared" si="57"/>
        <v>#DIV/0!</v>
      </c>
      <c r="P165" s="282" t="e">
        <f t="shared" si="58"/>
        <v>#DIV/0!</v>
      </c>
      <c r="Q165" s="283" t="e">
        <f t="shared" si="50"/>
        <v>#DIV/0!</v>
      </c>
      <c r="R165" s="283" t="e">
        <f t="shared" si="59"/>
        <v>#DIV/0!</v>
      </c>
      <c r="S165" s="282" t="e">
        <f t="shared" si="60"/>
        <v>#DIV/0!</v>
      </c>
      <c r="T165" s="284"/>
      <c r="U165" s="284"/>
      <c r="V165" s="282" t="e">
        <f t="shared" si="61"/>
        <v>#DIV/0!</v>
      </c>
      <c r="W165" s="284"/>
      <c r="X165" s="284"/>
      <c r="Y165" s="282" t="e">
        <f t="shared" si="62"/>
        <v>#DIV/0!</v>
      </c>
      <c r="Z165" s="284" t="e">
        <f t="shared" si="51"/>
        <v>#DIV/0!</v>
      </c>
      <c r="AA165" s="284" t="e">
        <f t="shared" si="63"/>
        <v>#DIV/0!</v>
      </c>
      <c r="AB165" s="282" t="e">
        <f t="shared" si="64"/>
        <v>#DIV/0!</v>
      </c>
      <c r="AC165" s="285"/>
      <c r="AD165" s="284"/>
      <c r="AE165" s="282" t="e">
        <f t="shared" si="65"/>
        <v>#DIV/0!</v>
      </c>
      <c r="AF165" s="284"/>
      <c r="AG165" s="284"/>
      <c r="AH165" s="86" t="e">
        <f t="shared" si="66"/>
        <v>#DIV/0!</v>
      </c>
      <c r="AI165" s="284"/>
      <c r="AJ165" s="284"/>
      <c r="AK165" s="282" t="e">
        <f t="shared" si="67"/>
        <v>#DIV/0!</v>
      </c>
      <c r="AL165" s="286" t="e">
        <f t="shared" si="52"/>
        <v>#DIV/0!</v>
      </c>
      <c r="AM165" s="286" t="e">
        <f t="shared" si="68"/>
        <v>#DIV/0!</v>
      </c>
      <c r="AN165" s="282" t="e">
        <f t="shared" si="69"/>
        <v>#DIV/0!</v>
      </c>
      <c r="AO165" s="86"/>
    </row>
    <row r="166" spans="1:41" s="96" customFormat="1" ht="15.75" customHeight="1" x14ac:dyDescent="0.3">
      <c r="A166" s="279"/>
      <c r="B166" s="279"/>
      <c r="C166" s="280"/>
      <c r="D166" s="280"/>
      <c r="E166" s="281"/>
      <c r="F166" s="281"/>
      <c r="G166" s="282" t="e">
        <f t="shared" si="53"/>
        <v>#DIV/0!</v>
      </c>
      <c r="H166" s="281"/>
      <c r="I166" s="283"/>
      <c r="J166" s="282" t="e">
        <f t="shared" si="54"/>
        <v>#DIV/0!</v>
      </c>
      <c r="K166" s="281">
        <f t="shared" si="48"/>
        <v>0</v>
      </c>
      <c r="L166" s="281">
        <f t="shared" si="55"/>
        <v>0</v>
      </c>
      <c r="M166" s="282" t="e">
        <f t="shared" si="56"/>
        <v>#DIV/0!</v>
      </c>
      <c r="N166" s="283" t="e">
        <f t="shared" si="49"/>
        <v>#DIV/0!</v>
      </c>
      <c r="O166" s="283" t="e">
        <f t="shared" si="57"/>
        <v>#DIV/0!</v>
      </c>
      <c r="P166" s="282" t="e">
        <f t="shared" si="58"/>
        <v>#DIV/0!</v>
      </c>
      <c r="Q166" s="283" t="e">
        <f t="shared" si="50"/>
        <v>#DIV/0!</v>
      </c>
      <c r="R166" s="283" t="e">
        <f t="shared" si="59"/>
        <v>#DIV/0!</v>
      </c>
      <c r="S166" s="282" t="e">
        <f t="shared" si="60"/>
        <v>#DIV/0!</v>
      </c>
      <c r="T166" s="284"/>
      <c r="U166" s="284"/>
      <c r="V166" s="282" t="e">
        <f t="shared" si="61"/>
        <v>#DIV/0!</v>
      </c>
      <c r="W166" s="284"/>
      <c r="X166" s="284"/>
      <c r="Y166" s="282" t="e">
        <f t="shared" si="62"/>
        <v>#DIV/0!</v>
      </c>
      <c r="Z166" s="284" t="e">
        <f t="shared" si="51"/>
        <v>#DIV/0!</v>
      </c>
      <c r="AA166" s="284" t="e">
        <f t="shared" si="63"/>
        <v>#DIV/0!</v>
      </c>
      <c r="AB166" s="282" t="e">
        <f t="shared" si="64"/>
        <v>#DIV/0!</v>
      </c>
      <c r="AC166" s="285"/>
      <c r="AD166" s="284"/>
      <c r="AE166" s="282" t="e">
        <f t="shared" si="65"/>
        <v>#DIV/0!</v>
      </c>
      <c r="AF166" s="284"/>
      <c r="AG166" s="284"/>
      <c r="AH166" s="86" t="e">
        <f t="shared" si="66"/>
        <v>#DIV/0!</v>
      </c>
      <c r="AI166" s="284"/>
      <c r="AJ166" s="284"/>
      <c r="AK166" s="282" t="e">
        <f t="shared" si="67"/>
        <v>#DIV/0!</v>
      </c>
      <c r="AL166" s="286" t="e">
        <f t="shared" si="52"/>
        <v>#DIV/0!</v>
      </c>
      <c r="AM166" s="286" t="e">
        <f t="shared" si="68"/>
        <v>#DIV/0!</v>
      </c>
      <c r="AN166" s="282" t="e">
        <f t="shared" si="69"/>
        <v>#DIV/0!</v>
      </c>
      <c r="AO166" s="86"/>
    </row>
    <row r="167" spans="1:41" s="96" customFormat="1" ht="15.75" customHeight="1" x14ac:dyDescent="0.3">
      <c r="A167" s="279"/>
      <c r="B167" s="279"/>
      <c r="C167" s="280"/>
      <c r="D167" s="280"/>
      <c r="E167" s="281"/>
      <c r="F167" s="281"/>
      <c r="G167" s="282" t="e">
        <f t="shared" si="53"/>
        <v>#DIV/0!</v>
      </c>
      <c r="H167" s="281"/>
      <c r="I167" s="283"/>
      <c r="J167" s="282" t="e">
        <f t="shared" si="54"/>
        <v>#DIV/0!</v>
      </c>
      <c r="K167" s="281">
        <f t="shared" si="48"/>
        <v>0</v>
      </c>
      <c r="L167" s="281">
        <f t="shared" si="55"/>
        <v>0</v>
      </c>
      <c r="M167" s="282" t="e">
        <f t="shared" si="56"/>
        <v>#DIV/0!</v>
      </c>
      <c r="N167" s="283" t="e">
        <f t="shared" si="49"/>
        <v>#DIV/0!</v>
      </c>
      <c r="O167" s="283" t="e">
        <f t="shared" si="57"/>
        <v>#DIV/0!</v>
      </c>
      <c r="P167" s="282" t="e">
        <f t="shared" si="58"/>
        <v>#DIV/0!</v>
      </c>
      <c r="Q167" s="283" t="e">
        <f t="shared" si="50"/>
        <v>#DIV/0!</v>
      </c>
      <c r="R167" s="283" t="e">
        <f t="shared" si="59"/>
        <v>#DIV/0!</v>
      </c>
      <c r="S167" s="282" t="e">
        <f t="shared" si="60"/>
        <v>#DIV/0!</v>
      </c>
      <c r="T167" s="284"/>
      <c r="U167" s="284"/>
      <c r="V167" s="282" t="e">
        <f t="shared" si="61"/>
        <v>#DIV/0!</v>
      </c>
      <c r="W167" s="284"/>
      <c r="X167" s="284"/>
      <c r="Y167" s="282" t="e">
        <f t="shared" si="62"/>
        <v>#DIV/0!</v>
      </c>
      <c r="Z167" s="284" t="e">
        <f t="shared" si="51"/>
        <v>#DIV/0!</v>
      </c>
      <c r="AA167" s="284" t="e">
        <f t="shared" si="63"/>
        <v>#DIV/0!</v>
      </c>
      <c r="AB167" s="282" t="e">
        <f t="shared" si="64"/>
        <v>#DIV/0!</v>
      </c>
      <c r="AC167" s="285"/>
      <c r="AD167" s="284"/>
      <c r="AE167" s="282" t="e">
        <f t="shared" si="65"/>
        <v>#DIV/0!</v>
      </c>
      <c r="AF167" s="284"/>
      <c r="AG167" s="284"/>
      <c r="AH167" s="86" t="e">
        <f t="shared" si="66"/>
        <v>#DIV/0!</v>
      </c>
      <c r="AI167" s="284"/>
      <c r="AJ167" s="284"/>
      <c r="AK167" s="282" t="e">
        <f t="shared" si="67"/>
        <v>#DIV/0!</v>
      </c>
      <c r="AL167" s="286" t="e">
        <f t="shared" si="52"/>
        <v>#DIV/0!</v>
      </c>
      <c r="AM167" s="286" t="e">
        <f t="shared" si="68"/>
        <v>#DIV/0!</v>
      </c>
      <c r="AN167" s="282" t="e">
        <f t="shared" si="69"/>
        <v>#DIV/0!</v>
      </c>
      <c r="AO167" s="86"/>
    </row>
    <row r="168" spans="1:41" s="96" customFormat="1" ht="15.75" customHeight="1" x14ac:dyDescent="0.3">
      <c r="A168" s="279"/>
      <c r="B168" s="279"/>
      <c r="C168" s="280"/>
      <c r="D168" s="280"/>
      <c r="E168" s="281"/>
      <c r="F168" s="281"/>
      <c r="G168" s="282" t="e">
        <f t="shared" si="53"/>
        <v>#DIV/0!</v>
      </c>
      <c r="H168" s="281"/>
      <c r="I168" s="283"/>
      <c r="J168" s="282" t="e">
        <f t="shared" si="54"/>
        <v>#DIV/0!</v>
      </c>
      <c r="K168" s="281">
        <f t="shared" si="48"/>
        <v>0</v>
      </c>
      <c r="L168" s="281">
        <f t="shared" si="55"/>
        <v>0</v>
      </c>
      <c r="M168" s="282" t="e">
        <f t="shared" si="56"/>
        <v>#DIV/0!</v>
      </c>
      <c r="N168" s="283" t="e">
        <f t="shared" si="49"/>
        <v>#DIV/0!</v>
      </c>
      <c r="O168" s="283" t="e">
        <f t="shared" si="57"/>
        <v>#DIV/0!</v>
      </c>
      <c r="P168" s="282" t="e">
        <f t="shared" si="58"/>
        <v>#DIV/0!</v>
      </c>
      <c r="Q168" s="283" t="e">
        <f t="shared" si="50"/>
        <v>#DIV/0!</v>
      </c>
      <c r="R168" s="283" t="e">
        <f t="shared" si="59"/>
        <v>#DIV/0!</v>
      </c>
      <c r="S168" s="282" t="e">
        <f t="shared" si="60"/>
        <v>#DIV/0!</v>
      </c>
      <c r="T168" s="284"/>
      <c r="U168" s="284"/>
      <c r="V168" s="282" t="e">
        <f t="shared" si="61"/>
        <v>#DIV/0!</v>
      </c>
      <c r="W168" s="284"/>
      <c r="X168" s="284"/>
      <c r="Y168" s="282" t="e">
        <f t="shared" si="62"/>
        <v>#DIV/0!</v>
      </c>
      <c r="Z168" s="284" t="e">
        <f t="shared" si="51"/>
        <v>#DIV/0!</v>
      </c>
      <c r="AA168" s="284" t="e">
        <f t="shared" si="63"/>
        <v>#DIV/0!</v>
      </c>
      <c r="AB168" s="282" t="e">
        <f t="shared" si="64"/>
        <v>#DIV/0!</v>
      </c>
      <c r="AC168" s="285"/>
      <c r="AD168" s="284"/>
      <c r="AE168" s="282" t="e">
        <f t="shared" si="65"/>
        <v>#DIV/0!</v>
      </c>
      <c r="AF168" s="284"/>
      <c r="AG168" s="284"/>
      <c r="AH168" s="86" t="e">
        <f t="shared" si="66"/>
        <v>#DIV/0!</v>
      </c>
      <c r="AI168" s="284"/>
      <c r="AJ168" s="284"/>
      <c r="AK168" s="282" t="e">
        <f t="shared" si="67"/>
        <v>#DIV/0!</v>
      </c>
      <c r="AL168" s="286" t="e">
        <f t="shared" si="52"/>
        <v>#DIV/0!</v>
      </c>
      <c r="AM168" s="286" t="e">
        <f t="shared" si="68"/>
        <v>#DIV/0!</v>
      </c>
      <c r="AN168" s="282" t="e">
        <f t="shared" si="69"/>
        <v>#DIV/0!</v>
      </c>
      <c r="AO168" s="86"/>
    </row>
    <row r="169" spans="1:41" s="357" customFormat="1" ht="15.75" customHeight="1" x14ac:dyDescent="0.3">
      <c r="A169" s="347"/>
      <c r="B169" s="347"/>
      <c r="C169" s="348"/>
      <c r="D169" s="349" t="s">
        <v>274</v>
      </c>
      <c r="E169" s="350">
        <v>0</v>
      </c>
      <c r="F169" s="350">
        <v>692</v>
      </c>
      <c r="G169" s="351">
        <f t="shared" si="53"/>
        <v>-1</v>
      </c>
      <c r="H169" s="350">
        <v>0</v>
      </c>
      <c r="I169" s="352">
        <v>4108.17</v>
      </c>
      <c r="J169" s="351">
        <f t="shared" si="54"/>
        <v>-1</v>
      </c>
      <c r="K169" s="350">
        <f t="shared" si="48"/>
        <v>0</v>
      </c>
      <c r="L169" s="350">
        <f t="shared" si="55"/>
        <v>4457.36445</v>
      </c>
      <c r="M169" s="351">
        <f t="shared" si="56"/>
        <v>-1</v>
      </c>
      <c r="N169" s="352" t="e">
        <f t="shared" si="49"/>
        <v>#DIV/0!</v>
      </c>
      <c r="O169" s="352">
        <f t="shared" si="57"/>
        <v>0.16844483066669588</v>
      </c>
      <c r="P169" s="351" t="e">
        <f t="shared" si="58"/>
        <v>#DIV/0!</v>
      </c>
      <c r="Q169" s="352" t="e">
        <f t="shared" si="50"/>
        <v>#DIV/0!</v>
      </c>
      <c r="R169" s="352">
        <f t="shared" si="59"/>
        <v>0.15524869185870588</v>
      </c>
      <c r="S169" s="351" t="e">
        <f t="shared" si="60"/>
        <v>#DIV/0!</v>
      </c>
      <c r="T169" s="353">
        <v>34</v>
      </c>
      <c r="U169" s="353">
        <v>2205</v>
      </c>
      <c r="V169" s="351">
        <f t="shared" si="61"/>
        <v>-0.98458049886621313</v>
      </c>
      <c r="W169" s="353">
        <v>0</v>
      </c>
      <c r="X169" s="353">
        <v>7</v>
      </c>
      <c r="Y169" s="351">
        <f t="shared" si="62"/>
        <v>-1</v>
      </c>
      <c r="Z169" s="353" t="e">
        <f t="shared" si="51"/>
        <v>#DIV/0!</v>
      </c>
      <c r="AA169" s="353">
        <f t="shared" si="63"/>
        <v>98.857142857142861</v>
      </c>
      <c r="AB169" s="351" t="e">
        <f t="shared" si="64"/>
        <v>#DIV/0!</v>
      </c>
      <c r="AC169" s="354">
        <v>0</v>
      </c>
      <c r="AD169" s="353">
        <v>333432</v>
      </c>
      <c r="AE169" s="351">
        <f t="shared" si="65"/>
        <v>-1</v>
      </c>
      <c r="AF169" s="353">
        <v>0</v>
      </c>
      <c r="AG169" s="353">
        <v>3442</v>
      </c>
      <c r="AH169" s="355">
        <f t="shared" si="66"/>
        <v>-1</v>
      </c>
      <c r="AI169" s="353">
        <v>0</v>
      </c>
      <c r="AJ169" s="353">
        <v>867680</v>
      </c>
      <c r="AK169" s="351">
        <f t="shared" si="67"/>
        <v>-1</v>
      </c>
      <c r="AL169" s="356" t="e">
        <f t="shared" si="52"/>
        <v>#DIV/0!</v>
      </c>
      <c r="AM169" s="356">
        <f t="shared" si="68"/>
        <v>3.9669002397197126E-3</v>
      </c>
      <c r="AN169" s="351" t="e">
        <f t="shared" si="69"/>
        <v>#DIV/0!</v>
      </c>
      <c r="AO169" s="355"/>
    </row>
    <row r="170" spans="1:41" s="81" customFormat="1" ht="15.75" customHeight="1" x14ac:dyDescent="0.3">
      <c r="A170" s="49" t="s">
        <v>63</v>
      </c>
      <c r="B170" s="49" t="s">
        <v>64</v>
      </c>
      <c r="C170" s="50">
        <f>C164+7</f>
        <v>42930</v>
      </c>
      <c r="D170" s="50" t="s">
        <v>28</v>
      </c>
      <c r="E170" s="55">
        <f>SUM(E171:E175)</f>
        <v>385</v>
      </c>
      <c r="F170" s="55">
        <f>SUM(F171:F175)</f>
        <v>137</v>
      </c>
      <c r="G170" s="52">
        <f t="shared" si="53"/>
        <v>1.8102189781021898</v>
      </c>
      <c r="H170" s="55">
        <f>SUM(H171:H175)</f>
        <v>6143.3600000000006</v>
      </c>
      <c r="I170" s="55">
        <f>SUM(I171:I175)</f>
        <v>3004.68</v>
      </c>
      <c r="J170" s="52">
        <f t="shared" si="54"/>
        <v>1.0445970951981578</v>
      </c>
      <c r="K170" s="51">
        <f t="shared" si="48"/>
        <v>6665.5456000000004</v>
      </c>
      <c r="L170" s="51">
        <f t="shared" si="55"/>
        <v>3260.0777999999996</v>
      </c>
      <c r="M170" s="52">
        <f t="shared" si="56"/>
        <v>1.044597095198158</v>
      </c>
      <c r="N170" s="53">
        <f t="shared" si="49"/>
        <v>6.2669288467548698E-2</v>
      </c>
      <c r="O170" s="53">
        <f t="shared" si="57"/>
        <v>4.5595537627967038E-2</v>
      </c>
      <c r="P170" s="52">
        <f t="shared" si="58"/>
        <v>0.37446100491003081</v>
      </c>
      <c r="Q170" s="53">
        <f t="shared" si="50"/>
        <v>5.7759712873316771E-2</v>
      </c>
      <c r="R170" s="53">
        <f t="shared" si="59"/>
        <v>4.2023536984301425E-2</v>
      </c>
      <c r="S170" s="52">
        <f t="shared" si="60"/>
        <v>0.37446100491003054</v>
      </c>
      <c r="T170" s="56">
        <f>SUM(T171:T175)</f>
        <v>3457</v>
      </c>
      <c r="U170" s="56">
        <f>SUM(U171:U175)</f>
        <v>794</v>
      </c>
      <c r="V170" s="52">
        <f t="shared" si="61"/>
        <v>3.3539042821158689</v>
      </c>
      <c r="W170" s="56">
        <f>SUM(W171:W175)</f>
        <v>3</v>
      </c>
      <c r="X170" s="56">
        <f>SUM(X171:X175)</f>
        <v>2</v>
      </c>
      <c r="Y170" s="52">
        <f t="shared" si="62"/>
        <v>0.5</v>
      </c>
      <c r="Z170" s="51">
        <f t="shared" si="51"/>
        <v>128.33333333333334</v>
      </c>
      <c r="AA170" s="54">
        <f t="shared" si="63"/>
        <v>68.5</v>
      </c>
      <c r="AB170" s="52">
        <f t="shared" si="64"/>
        <v>0.87347931873479334</v>
      </c>
      <c r="AC170" s="56">
        <f>SUM(AC171:AC175)</f>
        <v>427471</v>
      </c>
      <c r="AD170" s="56">
        <f>SUM(AD171:AD175)</f>
        <v>352257</v>
      </c>
      <c r="AE170" s="52">
        <f t="shared" si="65"/>
        <v>0.21352024232307662</v>
      </c>
      <c r="AF170" s="56">
        <f>SUM(AF171:AF175)</f>
        <v>6902</v>
      </c>
      <c r="AG170" s="56">
        <f>SUM(AG171:AG175)</f>
        <v>2973</v>
      </c>
      <c r="AH170" s="67">
        <f t="shared" si="66"/>
        <v>1.3215607130844265</v>
      </c>
      <c r="AI170" s="56">
        <f>SUM(AI171:AI175)</f>
        <v>625720</v>
      </c>
      <c r="AJ170" s="56">
        <f>SUM(AJ171:AJ175)</f>
        <v>541110</v>
      </c>
      <c r="AK170" s="52">
        <f t="shared" si="67"/>
        <v>0.15636377076749644</v>
      </c>
      <c r="AL170" s="82">
        <f t="shared" si="52"/>
        <v>1.1030492872211212E-2</v>
      </c>
      <c r="AM170" s="82">
        <f t="shared" si="68"/>
        <v>5.4942617951987578E-3</v>
      </c>
      <c r="AN170" s="52">
        <f>(AL170-AM170)/AM170</f>
        <v>1.0076387480935787</v>
      </c>
      <c r="AO170" s="68" t="s">
        <v>242</v>
      </c>
    </row>
    <row r="171" spans="1:41" s="96" customFormat="1" ht="15.75" customHeight="1" x14ac:dyDescent="0.3">
      <c r="A171" s="279"/>
      <c r="B171" s="279"/>
      <c r="C171" s="280"/>
      <c r="D171" s="297" t="s">
        <v>187</v>
      </c>
      <c r="E171" s="281">
        <v>0</v>
      </c>
      <c r="F171" s="281"/>
      <c r="G171" s="282" t="e">
        <f t="shared" si="53"/>
        <v>#DIV/0!</v>
      </c>
      <c r="H171" s="281">
        <v>4605.1400000000003</v>
      </c>
      <c r="I171" s="283"/>
      <c r="J171" s="282" t="e">
        <f t="shared" si="54"/>
        <v>#DIV/0!</v>
      </c>
      <c r="K171" s="281">
        <f t="shared" si="48"/>
        <v>4996.5769</v>
      </c>
      <c r="L171" s="281">
        <f t="shared" si="55"/>
        <v>0</v>
      </c>
      <c r="M171" s="282" t="e">
        <f t="shared" si="56"/>
        <v>#DIV/0!</v>
      </c>
      <c r="N171" s="283">
        <f t="shared" si="49"/>
        <v>0</v>
      </c>
      <c r="O171" s="283" t="e">
        <f t="shared" si="57"/>
        <v>#DIV/0!</v>
      </c>
      <c r="P171" s="282" t="e">
        <f t="shared" si="58"/>
        <v>#DIV/0!</v>
      </c>
      <c r="Q171" s="283">
        <f t="shared" si="50"/>
        <v>0</v>
      </c>
      <c r="R171" s="283" t="e">
        <f t="shared" si="59"/>
        <v>#DIV/0!</v>
      </c>
      <c r="S171" s="282" t="e">
        <f t="shared" si="60"/>
        <v>#DIV/0!</v>
      </c>
      <c r="T171" s="284">
        <v>1186</v>
      </c>
      <c r="U171" s="284"/>
      <c r="V171" s="282" t="e">
        <f t="shared" si="61"/>
        <v>#DIV/0!</v>
      </c>
      <c r="W171" s="284">
        <v>0</v>
      </c>
      <c r="X171" s="284"/>
      <c r="Y171" s="282" t="e">
        <f t="shared" si="62"/>
        <v>#DIV/0!</v>
      </c>
      <c r="Z171" s="284" t="e">
        <f t="shared" si="51"/>
        <v>#DIV/0!</v>
      </c>
      <c r="AA171" s="284" t="e">
        <f t="shared" si="63"/>
        <v>#DIV/0!</v>
      </c>
      <c r="AB171" s="282" t="e">
        <f t="shared" si="64"/>
        <v>#DIV/0!</v>
      </c>
      <c r="AC171" s="285">
        <v>212394</v>
      </c>
      <c r="AD171" s="284"/>
      <c r="AE171" s="282" t="e">
        <f t="shared" si="65"/>
        <v>#DIV/0!</v>
      </c>
      <c r="AF171" s="284">
        <v>4594</v>
      </c>
      <c r="AG171" s="284"/>
      <c r="AH171" s="86" t="e">
        <f t="shared" si="66"/>
        <v>#DIV/0!</v>
      </c>
      <c r="AI171" s="284">
        <v>379412</v>
      </c>
      <c r="AJ171" s="284"/>
      <c r="AK171" s="282" t="e">
        <f t="shared" si="67"/>
        <v>#DIV/0!</v>
      </c>
      <c r="AL171" s="286">
        <f t="shared" si="52"/>
        <v>1.2108209545296405E-2</v>
      </c>
      <c r="AM171" s="286" t="e">
        <f t="shared" si="68"/>
        <v>#DIV/0!</v>
      </c>
      <c r="AN171" s="282" t="e">
        <f t="shared" si="69"/>
        <v>#DIV/0!</v>
      </c>
      <c r="AO171" s="86"/>
    </row>
    <row r="172" spans="1:41" s="96" customFormat="1" ht="15.75" customHeight="1" x14ac:dyDescent="0.3">
      <c r="A172" s="279"/>
      <c r="B172" s="279"/>
      <c r="C172" s="280"/>
      <c r="D172" s="297" t="s">
        <v>193</v>
      </c>
      <c r="E172" s="281">
        <v>385</v>
      </c>
      <c r="F172" s="281"/>
      <c r="G172" s="282" t="e">
        <f t="shared" si="53"/>
        <v>#DIV/0!</v>
      </c>
      <c r="H172" s="281">
        <v>1538.22</v>
      </c>
      <c r="I172" s="283"/>
      <c r="J172" s="282" t="e">
        <f t="shared" si="54"/>
        <v>#DIV/0!</v>
      </c>
      <c r="K172" s="281">
        <f t="shared" si="48"/>
        <v>1668.9686999999999</v>
      </c>
      <c r="L172" s="281">
        <f t="shared" si="55"/>
        <v>0</v>
      </c>
      <c r="M172" s="282" t="e">
        <f t="shared" si="56"/>
        <v>#DIV/0!</v>
      </c>
      <c r="N172" s="283">
        <f t="shared" si="49"/>
        <v>0.25028929541938083</v>
      </c>
      <c r="O172" s="283" t="e">
        <f t="shared" si="57"/>
        <v>#DIV/0!</v>
      </c>
      <c r="P172" s="282" t="e">
        <f t="shared" si="58"/>
        <v>#DIV/0!</v>
      </c>
      <c r="Q172" s="283">
        <f t="shared" si="50"/>
        <v>0.23068137826671048</v>
      </c>
      <c r="R172" s="283" t="e">
        <f t="shared" si="59"/>
        <v>#DIV/0!</v>
      </c>
      <c r="S172" s="282" t="e">
        <f t="shared" si="60"/>
        <v>#DIV/0!</v>
      </c>
      <c r="T172" s="284">
        <v>2238</v>
      </c>
      <c r="U172" s="284"/>
      <c r="V172" s="282" t="e">
        <f t="shared" si="61"/>
        <v>#DIV/0!</v>
      </c>
      <c r="W172" s="284">
        <v>3</v>
      </c>
      <c r="X172" s="284"/>
      <c r="Y172" s="282" t="e">
        <f t="shared" si="62"/>
        <v>#DIV/0!</v>
      </c>
      <c r="Z172" s="284">
        <f t="shared" si="51"/>
        <v>128.33333333333334</v>
      </c>
      <c r="AA172" s="284" t="e">
        <f t="shared" si="63"/>
        <v>#DIV/0!</v>
      </c>
      <c r="AB172" s="282" t="e">
        <f t="shared" si="64"/>
        <v>#DIV/0!</v>
      </c>
      <c r="AC172" s="285">
        <v>215077</v>
      </c>
      <c r="AD172" s="284"/>
      <c r="AE172" s="282" t="e">
        <f t="shared" si="65"/>
        <v>#DIV/0!</v>
      </c>
      <c r="AF172" s="284">
        <v>2308</v>
      </c>
      <c r="AG172" s="284"/>
      <c r="AH172" s="86" t="e">
        <f t="shared" si="66"/>
        <v>#DIV/0!</v>
      </c>
      <c r="AI172" s="284">
        <v>246308</v>
      </c>
      <c r="AJ172" s="284"/>
      <c r="AK172" s="282" t="e">
        <f t="shared" si="67"/>
        <v>#DIV/0!</v>
      </c>
      <c r="AL172" s="286">
        <f t="shared" si="52"/>
        <v>9.3703817983987522E-3</v>
      </c>
      <c r="AM172" s="286" t="e">
        <f t="shared" si="68"/>
        <v>#DIV/0!</v>
      </c>
      <c r="AN172" s="282" t="e">
        <f t="shared" si="69"/>
        <v>#DIV/0!</v>
      </c>
      <c r="AO172" s="86"/>
    </row>
    <row r="173" spans="1:41" s="96" customFormat="1" ht="15.75" customHeight="1" x14ac:dyDescent="0.3">
      <c r="A173" s="279"/>
      <c r="B173" s="279"/>
      <c r="C173" s="280"/>
      <c r="D173" s="280"/>
      <c r="E173" s="281"/>
      <c r="F173" s="281"/>
      <c r="G173" s="282" t="e">
        <f t="shared" si="53"/>
        <v>#DIV/0!</v>
      </c>
      <c r="H173" s="281"/>
      <c r="I173" s="283"/>
      <c r="J173" s="282" t="e">
        <f t="shared" si="54"/>
        <v>#DIV/0!</v>
      </c>
      <c r="K173" s="281">
        <f t="shared" si="48"/>
        <v>0</v>
      </c>
      <c r="L173" s="281">
        <f t="shared" si="55"/>
        <v>0</v>
      </c>
      <c r="M173" s="282" t="e">
        <f t="shared" si="56"/>
        <v>#DIV/0!</v>
      </c>
      <c r="N173" s="283" t="e">
        <f t="shared" si="49"/>
        <v>#DIV/0!</v>
      </c>
      <c r="O173" s="283" t="e">
        <f t="shared" si="57"/>
        <v>#DIV/0!</v>
      </c>
      <c r="P173" s="282" t="e">
        <f t="shared" si="58"/>
        <v>#DIV/0!</v>
      </c>
      <c r="Q173" s="283" t="e">
        <f t="shared" si="50"/>
        <v>#DIV/0!</v>
      </c>
      <c r="R173" s="283" t="e">
        <f t="shared" si="59"/>
        <v>#DIV/0!</v>
      </c>
      <c r="S173" s="282" t="e">
        <f t="shared" si="60"/>
        <v>#DIV/0!</v>
      </c>
      <c r="T173" s="284"/>
      <c r="U173" s="284"/>
      <c r="V173" s="282" t="e">
        <f t="shared" si="61"/>
        <v>#DIV/0!</v>
      </c>
      <c r="W173" s="284"/>
      <c r="X173" s="284"/>
      <c r="Y173" s="282" t="e">
        <f t="shared" si="62"/>
        <v>#DIV/0!</v>
      </c>
      <c r="Z173" s="284" t="e">
        <f t="shared" si="51"/>
        <v>#DIV/0!</v>
      </c>
      <c r="AA173" s="284" t="e">
        <f t="shared" si="63"/>
        <v>#DIV/0!</v>
      </c>
      <c r="AB173" s="282" t="e">
        <f t="shared" si="64"/>
        <v>#DIV/0!</v>
      </c>
      <c r="AC173" s="285"/>
      <c r="AD173" s="284"/>
      <c r="AE173" s="282" t="e">
        <f t="shared" si="65"/>
        <v>#DIV/0!</v>
      </c>
      <c r="AF173" s="284"/>
      <c r="AG173" s="284"/>
      <c r="AH173" s="86" t="e">
        <f t="shared" si="66"/>
        <v>#DIV/0!</v>
      </c>
      <c r="AI173" s="284"/>
      <c r="AJ173" s="284"/>
      <c r="AK173" s="282" t="e">
        <f t="shared" si="67"/>
        <v>#DIV/0!</v>
      </c>
      <c r="AL173" s="286" t="e">
        <f t="shared" si="52"/>
        <v>#DIV/0!</v>
      </c>
      <c r="AM173" s="286" t="e">
        <f t="shared" si="68"/>
        <v>#DIV/0!</v>
      </c>
      <c r="AN173" s="282" t="e">
        <f t="shared" si="69"/>
        <v>#DIV/0!</v>
      </c>
      <c r="AO173" s="86"/>
    </row>
    <row r="174" spans="1:41" s="96" customFormat="1" ht="15.75" customHeight="1" x14ac:dyDescent="0.3">
      <c r="A174" s="279"/>
      <c r="B174" s="279"/>
      <c r="C174" s="280"/>
      <c r="D174" s="280"/>
      <c r="E174" s="281"/>
      <c r="F174" s="281"/>
      <c r="G174" s="282" t="e">
        <f t="shared" si="53"/>
        <v>#DIV/0!</v>
      </c>
      <c r="H174" s="281"/>
      <c r="I174" s="283"/>
      <c r="J174" s="282" t="e">
        <f t="shared" si="54"/>
        <v>#DIV/0!</v>
      </c>
      <c r="K174" s="281">
        <f t="shared" si="48"/>
        <v>0</v>
      </c>
      <c r="L174" s="281">
        <f t="shared" si="55"/>
        <v>0</v>
      </c>
      <c r="M174" s="282" t="e">
        <f t="shared" si="56"/>
        <v>#DIV/0!</v>
      </c>
      <c r="N174" s="283" t="e">
        <f t="shared" si="49"/>
        <v>#DIV/0!</v>
      </c>
      <c r="O174" s="283" t="e">
        <f t="shared" si="57"/>
        <v>#DIV/0!</v>
      </c>
      <c r="P174" s="282" t="e">
        <f t="shared" si="58"/>
        <v>#DIV/0!</v>
      </c>
      <c r="Q174" s="283" t="e">
        <f t="shared" si="50"/>
        <v>#DIV/0!</v>
      </c>
      <c r="R174" s="283" t="e">
        <f t="shared" si="59"/>
        <v>#DIV/0!</v>
      </c>
      <c r="S174" s="282" t="e">
        <f t="shared" si="60"/>
        <v>#DIV/0!</v>
      </c>
      <c r="T174" s="284"/>
      <c r="U174" s="284"/>
      <c r="V174" s="282" t="e">
        <f t="shared" si="61"/>
        <v>#DIV/0!</v>
      </c>
      <c r="W174" s="284"/>
      <c r="X174" s="284"/>
      <c r="Y174" s="282" t="e">
        <f t="shared" si="62"/>
        <v>#DIV/0!</v>
      </c>
      <c r="Z174" s="284" t="e">
        <f t="shared" si="51"/>
        <v>#DIV/0!</v>
      </c>
      <c r="AA174" s="284" t="e">
        <f t="shared" si="63"/>
        <v>#DIV/0!</v>
      </c>
      <c r="AB174" s="282" t="e">
        <f t="shared" si="64"/>
        <v>#DIV/0!</v>
      </c>
      <c r="AC174" s="285"/>
      <c r="AD174" s="284"/>
      <c r="AE174" s="282" t="e">
        <f t="shared" si="65"/>
        <v>#DIV/0!</v>
      </c>
      <c r="AF174" s="284"/>
      <c r="AG174" s="284"/>
      <c r="AH174" s="86" t="e">
        <f t="shared" si="66"/>
        <v>#DIV/0!</v>
      </c>
      <c r="AI174" s="284"/>
      <c r="AJ174" s="284"/>
      <c r="AK174" s="282" t="e">
        <f t="shared" si="67"/>
        <v>#DIV/0!</v>
      </c>
      <c r="AL174" s="286" t="e">
        <f t="shared" si="52"/>
        <v>#DIV/0!</v>
      </c>
      <c r="AM174" s="286" t="e">
        <f t="shared" si="68"/>
        <v>#DIV/0!</v>
      </c>
      <c r="AN174" s="282" t="e">
        <f t="shared" si="69"/>
        <v>#DIV/0!</v>
      </c>
      <c r="AO174" s="86"/>
    </row>
    <row r="175" spans="1:41" s="96" customFormat="1" ht="15.75" customHeight="1" x14ac:dyDescent="0.3">
      <c r="A175" s="279"/>
      <c r="B175" s="279"/>
      <c r="C175" s="280"/>
      <c r="D175" s="297" t="s">
        <v>274</v>
      </c>
      <c r="E175" s="281">
        <v>0</v>
      </c>
      <c r="F175" s="281">
        <v>137</v>
      </c>
      <c r="G175" s="282">
        <f t="shared" si="53"/>
        <v>-1</v>
      </c>
      <c r="H175" s="281"/>
      <c r="I175" s="283">
        <v>3004.68</v>
      </c>
      <c r="J175" s="282">
        <f t="shared" si="54"/>
        <v>-1</v>
      </c>
      <c r="K175" s="281">
        <f t="shared" si="48"/>
        <v>0</v>
      </c>
      <c r="L175" s="281">
        <f t="shared" si="55"/>
        <v>3260.0777999999996</v>
      </c>
      <c r="M175" s="282">
        <f t="shared" si="56"/>
        <v>-1</v>
      </c>
      <c r="N175" s="283" t="e">
        <f t="shared" si="49"/>
        <v>#DIV/0!</v>
      </c>
      <c r="O175" s="283">
        <f t="shared" si="57"/>
        <v>4.5595537627967038E-2</v>
      </c>
      <c r="P175" s="282" t="e">
        <f t="shared" si="58"/>
        <v>#DIV/0!</v>
      </c>
      <c r="Q175" s="283" t="e">
        <f t="shared" si="50"/>
        <v>#DIV/0!</v>
      </c>
      <c r="R175" s="283">
        <f t="shared" si="59"/>
        <v>4.2023536984301425E-2</v>
      </c>
      <c r="S175" s="282" t="e">
        <f t="shared" si="60"/>
        <v>#DIV/0!</v>
      </c>
      <c r="T175" s="284">
        <v>33</v>
      </c>
      <c r="U175" s="284">
        <v>794</v>
      </c>
      <c r="V175" s="282">
        <f t="shared" si="61"/>
        <v>-0.95843828715365242</v>
      </c>
      <c r="W175" s="284">
        <v>0</v>
      </c>
      <c r="X175" s="284">
        <v>2</v>
      </c>
      <c r="Y175" s="282">
        <f t="shared" si="62"/>
        <v>-1</v>
      </c>
      <c r="Z175" s="284" t="e">
        <f t="shared" si="51"/>
        <v>#DIV/0!</v>
      </c>
      <c r="AA175" s="284">
        <f t="shared" si="63"/>
        <v>68.5</v>
      </c>
      <c r="AB175" s="282" t="e">
        <f t="shared" si="64"/>
        <v>#DIV/0!</v>
      </c>
      <c r="AC175" s="285"/>
      <c r="AD175" s="284">
        <v>352257</v>
      </c>
      <c r="AE175" s="282">
        <f t="shared" si="65"/>
        <v>-1</v>
      </c>
      <c r="AF175" s="284"/>
      <c r="AG175" s="284">
        <v>2973</v>
      </c>
      <c r="AH175" s="86">
        <f t="shared" si="66"/>
        <v>-1</v>
      </c>
      <c r="AI175" s="284"/>
      <c r="AJ175" s="284">
        <v>541110</v>
      </c>
      <c r="AK175" s="282">
        <f t="shared" si="67"/>
        <v>-1</v>
      </c>
      <c r="AL175" s="286" t="e">
        <f t="shared" si="52"/>
        <v>#DIV/0!</v>
      </c>
      <c r="AM175" s="286">
        <f t="shared" si="68"/>
        <v>5.4942617951987578E-3</v>
      </c>
      <c r="AN175" s="282" t="e">
        <f t="shared" si="69"/>
        <v>#DIV/0!</v>
      </c>
      <c r="AO175" s="86"/>
    </row>
    <row r="176" spans="1:41" s="81" customFormat="1" ht="15.75" customHeight="1" x14ac:dyDescent="0.3">
      <c r="A176" s="49" t="s">
        <v>63</v>
      </c>
      <c r="B176" s="49" t="s">
        <v>65</v>
      </c>
      <c r="C176" s="50">
        <f>C170+7</f>
        <v>42937</v>
      </c>
      <c r="D176" s="50" t="s">
        <v>28</v>
      </c>
      <c r="E176" s="55">
        <f>SUM(E177:E181)</f>
        <v>1097</v>
      </c>
      <c r="F176" s="55">
        <f>SUM(F177:F181)</f>
        <v>0</v>
      </c>
      <c r="G176" s="52" t="e">
        <f t="shared" si="53"/>
        <v>#DIV/0!</v>
      </c>
      <c r="H176" s="55">
        <f>SUM(H177:H181)</f>
        <v>3329</v>
      </c>
      <c r="I176" s="55">
        <f>SUM(I177:I181)</f>
        <v>6412.27</v>
      </c>
      <c r="J176" s="52">
        <f t="shared" si="54"/>
        <v>-0.48083907882855842</v>
      </c>
      <c r="K176" s="51">
        <f t="shared" si="48"/>
        <v>3611.9649999999997</v>
      </c>
      <c r="L176" s="51">
        <f t="shared" si="55"/>
        <v>6957.3129500000005</v>
      </c>
      <c r="M176" s="52">
        <f t="shared" si="56"/>
        <v>-0.48083907882855847</v>
      </c>
      <c r="N176" s="53">
        <f t="shared" si="49"/>
        <v>0.32952838690297387</v>
      </c>
      <c r="O176" s="53">
        <f t="shared" si="57"/>
        <v>0</v>
      </c>
      <c r="P176" s="52" t="e">
        <f t="shared" si="58"/>
        <v>#DIV/0!</v>
      </c>
      <c r="Q176" s="53">
        <f t="shared" si="50"/>
        <v>0.30371279898891601</v>
      </c>
      <c r="R176" s="53">
        <f t="shared" si="59"/>
        <v>0</v>
      </c>
      <c r="S176" s="52" t="e">
        <f t="shared" si="60"/>
        <v>#DIV/0!</v>
      </c>
      <c r="T176" s="56">
        <f>SUM(T177:T181)</f>
        <v>1594</v>
      </c>
      <c r="U176" s="56">
        <f>SUM(U177:U181)</f>
        <v>29</v>
      </c>
      <c r="V176" s="52">
        <f t="shared" si="61"/>
        <v>53.96551724137931</v>
      </c>
      <c r="W176" s="56">
        <f>SUM(W177:W181)</f>
        <v>7</v>
      </c>
      <c r="X176" s="56">
        <f>SUM(X177:X181)</f>
        <v>0</v>
      </c>
      <c r="Y176" s="52" t="e">
        <f t="shared" si="62"/>
        <v>#DIV/0!</v>
      </c>
      <c r="Z176" s="51">
        <f t="shared" si="51"/>
        <v>156.71428571428572</v>
      </c>
      <c r="AA176" s="54" t="e">
        <f t="shared" si="63"/>
        <v>#DIV/0!</v>
      </c>
      <c r="AB176" s="52" t="e">
        <f t="shared" si="64"/>
        <v>#DIV/0!</v>
      </c>
      <c r="AC176" s="56">
        <f>SUM(AC177:AC181)</f>
        <v>367203</v>
      </c>
      <c r="AD176" s="56">
        <f>SUM(AD177:AD181)</f>
        <v>370939</v>
      </c>
      <c r="AE176" s="52">
        <f t="shared" si="65"/>
        <v>-1.0071736862395165E-2</v>
      </c>
      <c r="AF176" s="56">
        <f>SUM(AF177:AF181)</f>
        <v>3243</v>
      </c>
      <c r="AG176" s="56">
        <f>SUM(AG177:AG181)</f>
        <v>9636</v>
      </c>
      <c r="AH176" s="67">
        <f t="shared" si="66"/>
        <v>-0.66344956413449563</v>
      </c>
      <c r="AI176" s="56">
        <f>SUM(AI177:AI181)</f>
        <v>411265</v>
      </c>
      <c r="AJ176" s="56">
        <f>SUM(AJ177:AJ181)</f>
        <v>870065</v>
      </c>
      <c r="AK176" s="52">
        <f t="shared" si="67"/>
        <v>-0.5273169245975875</v>
      </c>
      <c r="AL176" s="82">
        <f t="shared" si="52"/>
        <v>7.88542667136761E-3</v>
      </c>
      <c r="AM176" s="82">
        <f t="shared" si="68"/>
        <v>1.1075034623849941E-2</v>
      </c>
      <c r="AN176" s="52">
        <f>(AL176-AM176)/AM176</f>
        <v>-0.28799981768125155</v>
      </c>
      <c r="AO176" s="68" t="s">
        <v>244</v>
      </c>
    </row>
    <row r="177" spans="1:41" s="96" customFormat="1" ht="15.75" customHeight="1" x14ac:dyDescent="0.3">
      <c r="A177" s="279"/>
      <c r="B177" s="279"/>
      <c r="C177" s="280"/>
      <c r="D177" s="297" t="s">
        <v>193</v>
      </c>
      <c r="E177" s="281">
        <v>1097</v>
      </c>
      <c r="F177" s="281"/>
      <c r="G177" s="282" t="e">
        <f t="shared" si="53"/>
        <v>#DIV/0!</v>
      </c>
      <c r="H177" s="281">
        <v>3329</v>
      </c>
      <c r="I177" s="283"/>
      <c r="J177" s="282" t="e">
        <f t="shared" si="54"/>
        <v>#DIV/0!</v>
      </c>
      <c r="K177" s="281">
        <f t="shared" si="48"/>
        <v>3611.9649999999997</v>
      </c>
      <c r="L177" s="281">
        <f t="shared" si="55"/>
        <v>0</v>
      </c>
      <c r="M177" s="282" t="e">
        <f t="shared" si="56"/>
        <v>#DIV/0!</v>
      </c>
      <c r="N177" s="283">
        <f t="shared" si="49"/>
        <v>0.32952838690297387</v>
      </c>
      <c r="O177" s="283" t="e">
        <f t="shared" si="57"/>
        <v>#DIV/0!</v>
      </c>
      <c r="P177" s="282" t="e">
        <f t="shared" si="58"/>
        <v>#DIV/0!</v>
      </c>
      <c r="Q177" s="283">
        <f t="shared" si="50"/>
        <v>0.30371279898891601</v>
      </c>
      <c r="R177" s="283" t="e">
        <f t="shared" si="59"/>
        <v>#DIV/0!</v>
      </c>
      <c r="S177" s="282" t="e">
        <f t="shared" si="60"/>
        <v>#DIV/0!</v>
      </c>
      <c r="T177" s="284">
        <v>1563</v>
      </c>
      <c r="U177" s="284"/>
      <c r="V177" s="282" t="e">
        <f t="shared" si="61"/>
        <v>#DIV/0!</v>
      </c>
      <c r="W177" s="284">
        <v>7</v>
      </c>
      <c r="X177" s="284"/>
      <c r="Y177" s="282" t="e">
        <f t="shared" si="62"/>
        <v>#DIV/0!</v>
      </c>
      <c r="Z177" s="284">
        <f t="shared" si="51"/>
        <v>156.71428571428572</v>
      </c>
      <c r="AA177" s="284" t="e">
        <f t="shared" si="63"/>
        <v>#DIV/0!</v>
      </c>
      <c r="AB177" s="282" t="e">
        <f t="shared" si="64"/>
        <v>#DIV/0!</v>
      </c>
      <c r="AC177" s="285"/>
      <c r="AD177" s="284"/>
      <c r="AE177" s="282" t="e">
        <f t="shared" si="65"/>
        <v>#DIV/0!</v>
      </c>
      <c r="AF177" s="284"/>
      <c r="AG177" s="284"/>
      <c r="AH177" s="86" t="e">
        <f t="shared" si="66"/>
        <v>#DIV/0!</v>
      </c>
      <c r="AI177" s="284"/>
      <c r="AJ177" s="284"/>
      <c r="AK177" s="282" t="e">
        <f t="shared" si="67"/>
        <v>#DIV/0!</v>
      </c>
      <c r="AL177" s="286" t="e">
        <f t="shared" si="52"/>
        <v>#DIV/0!</v>
      </c>
      <c r="AM177" s="286" t="e">
        <f t="shared" si="68"/>
        <v>#DIV/0!</v>
      </c>
      <c r="AN177" s="282" t="e">
        <f t="shared" si="69"/>
        <v>#DIV/0!</v>
      </c>
      <c r="AO177" s="86"/>
    </row>
    <row r="178" spans="1:41" s="96" customFormat="1" ht="15.75" customHeight="1" x14ac:dyDescent="0.3">
      <c r="A178" s="279"/>
      <c r="B178" s="279"/>
      <c r="C178" s="280"/>
      <c r="D178" s="280"/>
      <c r="E178" s="281"/>
      <c r="F178" s="281"/>
      <c r="G178" s="282" t="e">
        <f t="shared" si="53"/>
        <v>#DIV/0!</v>
      </c>
      <c r="H178" s="281"/>
      <c r="I178" s="283"/>
      <c r="J178" s="282" t="e">
        <f t="shared" si="54"/>
        <v>#DIV/0!</v>
      </c>
      <c r="K178" s="281">
        <f t="shared" si="48"/>
        <v>0</v>
      </c>
      <c r="L178" s="281">
        <f t="shared" si="55"/>
        <v>0</v>
      </c>
      <c r="M178" s="282" t="e">
        <f t="shared" si="56"/>
        <v>#DIV/0!</v>
      </c>
      <c r="N178" s="283" t="e">
        <f t="shared" si="49"/>
        <v>#DIV/0!</v>
      </c>
      <c r="O178" s="283" t="e">
        <f t="shared" si="57"/>
        <v>#DIV/0!</v>
      </c>
      <c r="P178" s="282" t="e">
        <f t="shared" si="58"/>
        <v>#DIV/0!</v>
      </c>
      <c r="Q178" s="283" t="e">
        <f t="shared" si="50"/>
        <v>#DIV/0!</v>
      </c>
      <c r="R178" s="283" t="e">
        <f t="shared" si="59"/>
        <v>#DIV/0!</v>
      </c>
      <c r="S178" s="282" t="e">
        <f t="shared" si="60"/>
        <v>#DIV/0!</v>
      </c>
      <c r="T178" s="284"/>
      <c r="U178" s="284"/>
      <c r="V178" s="282" t="e">
        <f t="shared" si="61"/>
        <v>#DIV/0!</v>
      </c>
      <c r="W178" s="284"/>
      <c r="X178" s="284"/>
      <c r="Y178" s="282" t="e">
        <f t="shared" si="62"/>
        <v>#DIV/0!</v>
      </c>
      <c r="Z178" s="284" t="e">
        <f t="shared" si="51"/>
        <v>#DIV/0!</v>
      </c>
      <c r="AA178" s="284" t="e">
        <f t="shared" si="63"/>
        <v>#DIV/0!</v>
      </c>
      <c r="AB178" s="282" t="e">
        <f t="shared" si="64"/>
        <v>#DIV/0!</v>
      </c>
      <c r="AC178" s="285"/>
      <c r="AD178" s="284"/>
      <c r="AE178" s="282" t="e">
        <f t="shared" si="65"/>
        <v>#DIV/0!</v>
      </c>
      <c r="AF178" s="284"/>
      <c r="AG178" s="284"/>
      <c r="AH178" s="86" t="e">
        <f t="shared" si="66"/>
        <v>#DIV/0!</v>
      </c>
      <c r="AI178" s="284"/>
      <c r="AJ178" s="284"/>
      <c r="AK178" s="282" t="e">
        <f t="shared" si="67"/>
        <v>#DIV/0!</v>
      </c>
      <c r="AL178" s="286" t="e">
        <f t="shared" si="52"/>
        <v>#DIV/0!</v>
      </c>
      <c r="AM178" s="286" t="e">
        <f t="shared" si="68"/>
        <v>#DIV/0!</v>
      </c>
      <c r="AN178" s="282" t="e">
        <f t="shared" si="69"/>
        <v>#DIV/0!</v>
      </c>
      <c r="AO178" s="86"/>
    </row>
    <row r="179" spans="1:41" s="96" customFormat="1" ht="15.75" customHeight="1" x14ac:dyDescent="0.3">
      <c r="A179" s="279"/>
      <c r="B179" s="279"/>
      <c r="C179" s="280"/>
      <c r="D179" s="280"/>
      <c r="E179" s="281"/>
      <c r="F179" s="281"/>
      <c r="G179" s="282" t="e">
        <f t="shared" si="53"/>
        <v>#DIV/0!</v>
      </c>
      <c r="H179" s="281"/>
      <c r="I179" s="283"/>
      <c r="J179" s="282" t="e">
        <f t="shared" si="54"/>
        <v>#DIV/0!</v>
      </c>
      <c r="K179" s="281">
        <f t="shared" si="48"/>
        <v>0</v>
      </c>
      <c r="L179" s="281">
        <f t="shared" si="55"/>
        <v>0</v>
      </c>
      <c r="M179" s="282" t="e">
        <f t="shared" si="56"/>
        <v>#DIV/0!</v>
      </c>
      <c r="N179" s="283" t="e">
        <f t="shared" si="49"/>
        <v>#DIV/0!</v>
      </c>
      <c r="O179" s="283" t="e">
        <f t="shared" si="57"/>
        <v>#DIV/0!</v>
      </c>
      <c r="P179" s="282" t="e">
        <f t="shared" si="58"/>
        <v>#DIV/0!</v>
      </c>
      <c r="Q179" s="283" t="e">
        <f t="shared" si="50"/>
        <v>#DIV/0!</v>
      </c>
      <c r="R179" s="283" t="e">
        <f t="shared" si="59"/>
        <v>#DIV/0!</v>
      </c>
      <c r="S179" s="282" t="e">
        <f t="shared" si="60"/>
        <v>#DIV/0!</v>
      </c>
      <c r="T179" s="284"/>
      <c r="U179" s="284"/>
      <c r="V179" s="282" t="e">
        <f t="shared" si="61"/>
        <v>#DIV/0!</v>
      </c>
      <c r="W179" s="284"/>
      <c r="X179" s="284"/>
      <c r="Y179" s="282" t="e">
        <f t="shared" si="62"/>
        <v>#DIV/0!</v>
      </c>
      <c r="Z179" s="284" t="e">
        <f t="shared" si="51"/>
        <v>#DIV/0!</v>
      </c>
      <c r="AA179" s="284" t="e">
        <f t="shared" si="63"/>
        <v>#DIV/0!</v>
      </c>
      <c r="AB179" s="282" t="e">
        <f t="shared" si="64"/>
        <v>#DIV/0!</v>
      </c>
      <c r="AC179" s="285"/>
      <c r="AD179" s="284"/>
      <c r="AE179" s="282" t="e">
        <f t="shared" si="65"/>
        <v>#DIV/0!</v>
      </c>
      <c r="AF179" s="284"/>
      <c r="AG179" s="284"/>
      <c r="AH179" s="86" t="e">
        <f t="shared" si="66"/>
        <v>#DIV/0!</v>
      </c>
      <c r="AI179" s="284"/>
      <c r="AJ179" s="284"/>
      <c r="AK179" s="282" t="e">
        <f t="shared" si="67"/>
        <v>#DIV/0!</v>
      </c>
      <c r="AL179" s="286" t="e">
        <f t="shared" si="52"/>
        <v>#DIV/0!</v>
      </c>
      <c r="AM179" s="286" t="e">
        <f t="shared" si="68"/>
        <v>#DIV/0!</v>
      </c>
      <c r="AN179" s="282" t="e">
        <f t="shared" si="69"/>
        <v>#DIV/0!</v>
      </c>
      <c r="AO179" s="86"/>
    </row>
    <row r="180" spans="1:41" s="96" customFormat="1" ht="15.75" customHeight="1" x14ac:dyDescent="0.3">
      <c r="A180" s="279"/>
      <c r="B180" s="279"/>
      <c r="C180" s="280"/>
      <c r="D180" s="280"/>
      <c r="E180" s="281"/>
      <c r="F180" s="281"/>
      <c r="G180" s="282" t="e">
        <f t="shared" si="53"/>
        <v>#DIV/0!</v>
      </c>
      <c r="H180" s="281"/>
      <c r="I180" s="283"/>
      <c r="J180" s="282" t="e">
        <f t="shared" si="54"/>
        <v>#DIV/0!</v>
      </c>
      <c r="K180" s="281">
        <f t="shared" si="48"/>
        <v>0</v>
      </c>
      <c r="L180" s="281">
        <f t="shared" si="55"/>
        <v>0</v>
      </c>
      <c r="M180" s="282" t="e">
        <f t="shared" si="56"/>
        <v>#DIV/0!</v>
      </c>
      <c r="N180" s="283" t="e">
        <f t="shared" si="49"/>
        <v>#DIV/0!</v>
      </c>
      <c r="O180" s="283" t="e">
        <f t="shared" si="57"/>
        <v>#DIV/0!</v>
      </c>
      <c r="P180" s="282" t="e">
        <f t="shared" si="58"/>
        <v>#DIV/0!</v>
      </c>
      <c r="Q180" s="283" t="e">
        <f t="shared" si="50"/>
        <v>#DIV/0!</v>
      </c>
      <c r="R180" s="283" t="e">
        <f t="shared" si="59"/>
        <v>#DIV/0!</v>
      </c>
      <c r="S180" s="282" t="e">
        <f t="shared" si="60"/>
        <v>#DIV/0!</v>
      </c>
      <c r="T180" s="284"/>
      <c r="U180" s="284"/>
      <c r="V180" s="282" t="e">
        <f t="shared" si="61"/>
        <v>#DIV/0!</v>
      </c>
      <c r="W180" s="284"/>
      <c r="X180" s="284"/>
      <c r="Y180" s="282" t="e">
        <f t="shared" si="62"/>
        <v>#DIV/0!</v>
      </c>
      <c r="Z180" s="284" t="e">
        <f t="shared" si="51"/>
        <v>#DIV/0!</v>
      </c>
      <c r="AA180" s="284" t="e">
        <f t="shared" si="63"/>
        <v>#DIV/0!</v>
      </c>
      <c r="AB180" s="282" t="e">
        <f t="shared" si="64"/>
        <v>#DIV/0!</v>
      </c>
      <c r="AC180" s="285"/>
      <c r="AD180" s="284"/>
      <c r="AE180" s="282" t="e">
        <f t="shared" si="65"/>
        <v>#DIV/0!</v>
      </c>
      <c r="AF180" s="284"/>
      <c r="AG180" s="284"/>
      <c r="AH180" s="86" t="e">
        <f t="shared" si="66"/>
        <v>#DIV/0!</v>
      </c>
      <c r="AI180" s="284"/>
      <c r="AJ180" s="284"/>
      <c r="AK180" s="282" t="e">
        <f t="shared" si="67"/>
        <v>#DIV/0!</v>
      </c>
      <c r="AL180" s="286" t="e">
        <f t="shared" si="52"/>
        <v>#DIV/0!</v>
      </c>
      <c r="AM180" s="286" t="e">
        <f t="shared" si="68"/>
        <v>#DIV/0!</v>
      </c>
      <c r="AN180" s="282" t="e">
        <f t="shared" si="69"/>
        <v>#DIV/0!</v>
      </c>
      <c r="AO180" s="86"/>
    </row>
    <row r="181" spans="1:41" s="96" customFormat="1" ht="15.75" customHeight="1" x14ac:dyDescent="0.3">
      <c r="A181" s="279"/>
      <c r="B181" s="279"/>
      <c r="C181" s="280"/>
      <c r="D181" s="297" t="s">
        <v>274</v>
      </c>
      <c r="E181" s="281">
        <v>0</v>
      </c>
      <c r="F181" s="281">
        <v>0</v>
      </c>
      <c r="G181" s="282" t="e">
        <f t="shared" si="53"/>
        <v>#DIV/0!</v>
      </c>
      <c r="H181" s="281">
        <v>0</v>
      </c>
      <c r="I181" s="283">
        <v>6412.27</v>
      </c>
      <c r="J181" s="282">
        <f t="shared" si="54"/>
        <v>-1</v>
      </c>
      <c r="K181" s="281">
        <f t="shared" si="48"/>
        <v>0</v>
      </c>
      <c r="L181" s="281">
        <f t="shared" si="55"/>
        <v>6957.3129500000005</v>
      </c>
      <c r="M181" s="282">
        <f t="shared" si="56"/>
        <v>-1</v>
      </c>
      <c r="N181" s="283" t="e">
        <f t="shared" si="49"/>
        <v>#DIV/0!</v>
      </c>
      <c r="O181" s="283">
        <f t="shared" si="57"/>
        <v>0</v>
      </c>
      <c r="P181" s="282" t="e">
        <f t="shared" si="58"/>
        <v>#DIV/0!</v>
      </c>
      <c r="Q181" s="283" t="e">
        <f t="shared" si="50"/>
        <v>#DIV/0!</v>
      </c>
      <c r="R181" s="283">
        <f t="shared" si="59"/>
        <v>0</v>
      </c>
      <c r="S181" s="282" t="e">
        <f t="shared" si="60"/>
        <v>#DIV/0!</v>
      </c>
      <c r="T181" s="284">
        <v>31</v>
      </c>
      <c r="U181" s="284">
        <v>29</v>
      </c>
      <c r="V181" s="282">
        <f t="shared" si="61"/>
        <v>6.8965517241379309E-2</v>
      </c>
      <c r="W181" s="284">
        <v>0</v>
      </c>
      <c r="X181" s="284">
        <v>0</v>
      </c>
      <c r="Y181" s="282" t="e">
        <f t="shared" si="62"/>
        <v>#DIV/0!</v>
      </c>
      <c r="Z181" s="284" t="e">
        <f t="shared" si="51"/>
        <v>#DIV/0!</v>
      </c>
      <c r="AA181" s="284" t="e">
        <f t="shared" si="63"/>
        <v>#DIV/0!</v>
      </c>
      <c r="AB181" s="282" t="e">
        <f t="shared" si="64"/>
        <v>#DIV/0!</v>
      </c>
      <c r="AC181" s="285">
        <v>367203</v>
      </c>
      <c r="AD181" s="284">
        <v>370939</v>
      </c>
      <c r="AE181" s="282">
        <f t="shared" si="65"/>
        <v>-1.0071736862395165E-2</v>
      </c>
      <c r="AF181" s="284">
        <v>3243</v>
      </c>
      <c r="AG181" s="284">
        <v>9636</v>
      </c>
      <c r="AH181" s="86">
        <f t="shared" si="66"/>
        <v>-0.66344956413449563</v>
      </c>
      <c r="AI181" s="284">
        <v>411265</v>
      </c>
      <c r="AJ181" s="284">
        <v>870065</v>
      </c>
      <c r="AK181" s="282">
        <f t="shared" si="67"/>
        <v>-0.5273169245975875</v>
      </c>
      <c r="AL181" s="286">
        <f t="shared" si="52"/>
        <v>7.88542667136761E-3</v>
      </c>
      <c r="AM181" s="286">
        <f t="shared" si="68"/>
        <v>1.1075034623849941E-2</v>
      </c>
      <c r="AN181" s="282">
        <f t="shared" si="69"/>
        <v>-0.28799981768125155</v>
      </c>
      <c r="AO181" s="86"/>
    </row>
    <row r="182" spans="1:41" s="81" customFormat="1" ht="15.75" customHeight="1" x14ac:dyDescent="0.3">
      <c r="A182" s="49" t="s">
        <v>63</v>
      </c>
      <c r="B182" s="49" t="s">
        <v>66</v>
      </c>
      <c r="C182" s="50">
        <f>C176+7</f>
        <v>42944</v>
      </c>
      <c r="D182" s="50" t="s">
        <v>28</v>
      </c>
      <c r="E182" s="55">
        <f>SUM(E183:E187)</f>
        <v>0</v>
      </c>
      <c r="F182" s="55">
        <f>SUM(F183:F187)</f>
        <v>0</v>
      </c>
      <c r="G182" s="52" t="e">
        <f t="shared" si="53"/>
        <v>#DIV/0!</v>
      </c>
      <c r="H182" s="55">
        <f>SUM(H183:H187)</f>
        <v>0</v>
      </c>
      <c r="I182" s="55">
        <f>SUM(I183:I187)</f>
        <v>2758.45</v>
      </c>
      <c r="J182" s="52">
        <f t="shared" si="54"/>
        <v>-1</v>
      </c>
      <c r="K182" s="51">
        <f t="shared" si="48"/>
        <v>0</v>
      </c>
      <c r="L182" s="51">
        <f t="shared" si="55"/>
        <v>2992.9182499999997</v>
      </c>
      <c r="M182" s="52">
        <f t="shared" si="56"/>
        <v>-1</v>
      </c>
      <c r="N182" s="53" t="e">
        <f t="shared" si="49"/>
        <v>#DIV/0!</v>
      </c>
      <c r="O182" s="53">
        <f t="shared" si="57"/>
        <v>0</v>
      </c>
      <c r="P182" s="52" t="e">
        <f t="shared" si="58"/>
        <v>#DIV/0!</v>
      </c>
      <c r="Q182" s="53" t="e">
        <f t="shared" si="50"/>
        <v>#DIV/0!</v>
      </c>
      <c r="R182" s="53">
        <f t="shared" si="59"/>
        <v>0</v>
      </c>
      <c r="S182" s="52" t="e">
        <f t="shared" si="60"/>
        <v>#DIV/0!</v>
      </c>
      <c r="T182" s="56">
        <f>SUM(T183:T187)</f>
        <v>43</v>
      </c>
      <c r="U182" s="56">
        <f>SUM(U183:U187)</f>
        <v>19</v>
      </c>
      <c r="V182" s="52">
        <f t="shared" si="61"/>
        <v>1.263157894736842</v>
      </c>
      <c r="W182" s="56">
        <f>SUM(W183:W187)</f>
        <v>0</v>
      </c>
      <c r="X182" s="56">
        <f>SUM(X183:X187)</f>
        <v>0</v>
      </c>
      <c r="Y182" s="52" t="e">
        <f t="shared" si="62"/>
        <v>#DIV/0!</v>
      </c>
      <c r="Z182" s="51" t="e">
        <f t="shared" si="51"/>
        <v>#DIV/0!</v>
      </c>
      <c r="AA182" s="54" t="e">
        <f t="shared" si="63"/>
        <v>#DIV/0!</v>
      </c>
      <c r="AB182" s="52" t="e">
        <f t="shared" si="64"/>
        <v>#DIV/0!</v>
      </c>
      <c r="AC182" s="56">
        <f>SUM(AC183:AC187)</f>
        <v>0</v>
      </c>
      <c r="AD182" s="56">
        <f>SUM(AD183:AD187)</f>
        <v>223231</v>
      </c>
      <c r="AE182" s="52">
        <f t="shared" si="65"/>
        <v>-1</v>
      </c>
      <c r="AF182" s="56">
        <f>SUM(AF183:AF187)</f>
        <v>0</v>
      </c>
      <c r="AG182" s="56">
        <f>SUM(AG183:AG187)</f>
        <v>3084</v>
      </c>
      <c r="AH182" s="67">
        <f t="shared" si="66"/>
        <v>-1</v>
      </c>
      <c r="AI182" s="56">
        <f>SUM(AI183:AI187)</f>
        <v>0</v>
      </c>
      <c r="AJ182" s="56">
        <f>SUM(AJ183:AJ187)</f>
        <v>319323</v>
      </c>
      <c r="AK182" s="52">
        <f t="shared" si="67"/>
        <v>-1</v>
      </c>
      <c r="AL182" s="82" t="e">
        <f t="shared" si="52"/>
        <v>#DIV/0!</v>
      </c>
      <c r="AM182" s="82">
        <f t="shared" si="68"/>
        <v>9.6579325635798227E-3</v>
      </c>
      <c r="AN182" s="52" t="e">
        <f>(AL182-AM182)/AM182</f>
        <v>#DIV/0!</v>
      </c>
      <c r="AO182" s="86"/>
    </row>
    <row r="183" spans="1:41" s="96" customFormat="1" ht="15.75" customHeight="1" x14ac:dyDescent="0.3">
      <c r="A183" s="279"/>
      <c r="B183" s="279"/>
      <c r="C183" s="280"/>
      <c r="D183" s="280"/>
      <c r="E183" s="281"/>
      <c r="F183" s="281"/>
      <c r="G183" s="282" t="e">
        <f t="shared" si="53"/>
        <v>#DIV/0!</v>
      </c>
      <c r="H183" s="281"/>
      <c r="I183" s="283"/>
      <c r="J183" s="282" t="e">
        <f t="shared" si="54"/>
        <v>#DIV/0!</v>
      </c>
      <c r="K183" s="281">
        <f t="shared" si="48"/>
        <v>0</v>
      </c>
      <c r="L183" s="281">
        <f t="shared" si="55"/>
        <v>0</v>
      </c>
      <c r="M183" s="282" t="e">
        <f t="shared" si="56"/>
        <v>#DIV/0!</v>
      </c>
      <c r="N183" s="283" t="e">
        <f t="shared" si="49"/>
        <v>#DIV/0!</v>
      </c>
      <c r="O183" s="283" t="e">
        <f t="shared" si="57"/>
        <v>#DIV/0!</v>
      </c>
      <c r="P183" s="282" t="e">
        <f t="shared" si="58"/>
        <v>#DIV/0!</v>
      </c>
      <c r="Q183" s="283" t="e">
        <f t="shared" si="50"/>
        <v>#DIV/0!</v>
      </c>
      <c r="R183" s="283" t="e">
        <f t="shared" si="59"/>
        <v>#DIV/0!</v>
      </c>
      <c r="S183" s="282" t="e">
        <f t="shared" si="60"/>
        <v>#DIV/0!</v>
      </c>
      <c r="T183" s="284"/>
      <c r="U183" s="284"/>
      <c r="V183" s="282" t="e">
        <f t="shared" si="61"/>
        <v>#DIV/0!</v>
      </c>
      <c r="W183" s="284"/>
      <c r="X183" s="284"/>
      <c r="Y183" s="282" t="e">
        <f t="shared" si="62"/>
        <v>#DIV/0!</v>
      </c>
      <c r="Z183" s="284" t="e">
        <f t="shared" si="51"/>
        <v>#DIV/0!</v>
      </c>
      <c r="AA183" s="284" t="e">
        <f t="shared" si="63"/>
        <v>#DIV/0!</v>
      </c>
      <c r="AB183" s="282" t="e">
        <f t="shared" si="64"/>
        <v>#DIV/0!</v>
      </c>
      <c r="AC183" s="285"/>
      <c r="AD183" s="284"/>
      <c r="AE183" s="282" t="e">
        <f t="shared" si="65"/>
        <v>#DIV/0!</v>
      </c>
      <c r="AF183" s="284"/>
      <c r="AG183" s="284"/>
      <c r="AH183" s="86" t="e">
        <f t="shared" si="66"/>
        <v>#DIV/0!</v>
      </c>
      <c r="AI183" s="284"/>
      <c r="AJ183" s="284"/>
      <c r="AK183" s="282" t="e">
        <f t="shared" si="67"/>
        <v>#DIV/0!</v>
      </c>
      <c r="AL183" s="286" t="e">
        <f t="shared" si="52"/>
        <v>#DIV/0!</v>
      </c>
      <c r="AM183" s="286" t="e">
        <f t="shared" si="68"/>
        <v>#DIV/0!</v>
      </c>
      <c r="AN183" s="282" t="e">
        <f t="shared" si="69"/>
        <v>#DIV/0!</v>
      </c>
      <c r="AO183" s="86"/>
    </row>
    <row r="184" spans="1:41" s="96" customFormat="1" ht="15.75" customHeight="1" x14ac:dyDescent="0.3">
      <c r="A184" s="279"/>
      <c r="B184" s="279"/>
      <c r="C184" s="280"/>
      <c r="D184" s="280"/>
      <c r="E184" s="281"/>
      <c r="F184" s="281"/>
      <c r="G184" s="282" t="e">
        <f t="shared" si="53"/>
        <v>#DIV/0!</v>
      </c>
      <c r="H184" s="281"/>
      <c r="I184" s="283"/>
      <c r="J184" s="282" t="e">
        <f t="shared" si="54"/>
        <v>#DIV/0!</v>
      </c>
      <c r="K184" s="281">
        <f t="shared" si="48"/>
        <v>0</v>
      </c>
      <c r="L184" s="281">
        <f t="shared" si="55"/>
        <v>0</v>
      </c>
      <c r="M184" s="282" t="e">
        <f t="shared" si="56"/>
        <v>#DIV/0!</v>
      </c>
      <c r="N184" s="283" t="e">
        <f t="shared" si="49"/>
        <v>#DIV/0!</v>
      </c>
      <c r="O184" s="283" t="e">
        <f t="shared" si="57"/>
        <v>#DIV/0!</v>
      </c>
      <c r="P184" s="282" t="e">
        <f t="shared" si="58"/>
        <v>#DIV/0!</v>
      </c>
      <c r="Q184" s="283" t="e">
        <f t="shared" si="50"/>
        <v>#DIV/0!</v>
      </c>
      <c r="R184" s="283" t="e">
        <f t="shared" si="59"/>
        <v>#DIV/0!</v>
      </c>
      <c r="S184" s="282" t="e">
        <f t="shared" si="60"/>
        <v>#DIV/0!</v>
      </c>
      <c r="T184" s="284"/>
      <c r="U184" s="284"/>
      <c r="V184" s="282" t="e">
        <f t="shared" si="61"/>
        <v>#DIV/0!</v>
      </c>
      <c r="W184" s="284"/>
      <c r="X184" s="284"/>
      <c r="Y184" s="282" t="e">
        <f t="shared" si="62"/>
        <v>#DIV/0!</v>
      </c>
      <c r="Z184" s="284" t="e">
        <f t="shared" si="51"/>
        <v>#DIV/0!</v>
      </c>
      <c r="AA184" s="284" t="e">
        <f t="shared" si="63"/>
        <v>#DIV/0!</v>
      </c>
      <c r="AB184" s="282" t="e">
        <f t="shared" si="64"/>
        <v>#DIV/0!</v>
      </c>
      <c r="AC184" s="285"/>
      <c r="AD184" s="284"/>
      <c r="AE184" s="282" t="e">
        <f t="shared" si="65"/>
        <v>#DIV/0!</v>
      </c>
      <c r="AF184" s="284"/>
      <c r="AG184" s="284"/>
      <c r="AH184" s="86" t="e">
        <f t="shared" si="66"/>
        <v>#DIV/0!</v>
      </c>
      <c r="AI184" s="284"/>
      <c r="AJ184" s="284"/>
      <c r="AK184" s="282" t="e">
        <f t="shared" si="67"/>
        <v>#DIV/0!</v>
      </c>
      <c r="AL184" s="286" t="e">
        <f t="shared" si="52"/>
        <v>#DIV/0!</v>
      </c>
      <c r="AM184" s="286" t="e">
        <f t="shared" si="68"/>
        <v>#DIV/0!</v>
      </c>
      <c r="AN184" s="282" t="e">
        <f t="shared" si="69"/>
        <v>#DIV/0!</v>
      </c>
      <c r="AO184" s="86"/>
    </row>
    <row r="185" spans="1:41" s="96" customFormat="1" ht="15.75" customHeight="1" x14ac:dyDescent="0.3">
      <c r="A185" s="279"/>
      <c r="B185" s="279"/>
      <c r="C185" s="280"/>
      <c r="D185" s="280"/>
      <c r="E185" s="281"/>
      <c r="F185" s="281"/>
      <c r="G185" s="282" t="e">
        <f t="shared" si="53"/>
        <v>#DIV/0!</v>
      </c>
      <c r="H185" s="281"/>
      <c r="I185" s="283"/>
      <c r="J185" s="282" t="e">
        <f t="shared" si="54"/>
        <v>#DIV/0!</v>
      </c>
      <c r="K185" s="281">
        <f t="shared" si="48"/>
        <v>0</v>
      </c>
      <c r="L185" s="281">
        <f t="shared" si="55"/>
        <v>0</v>
      </c>
      <c r="M185" s="282" t="e">
        <f t="shared" si="56"/>
        <v>#DIV/0!</v>
      </c>
      <c r="N185" s="283" t="e">
        <f t="shared" si="49"/>
        <v>#DIV/0!</v>
      </c>
      <c r="O185" s="283" t="e">
        <f t="shared" si="57"/>
        <v>#DIV/0!</v>
      </c>
      <c r="P185" s="282" t="e">
        <f t="shared" si="58"/>
        <v>#DIV/0!</v>
      </c>
      <c r="Q185" s="283" t="e">
        <f t="shared" si="50"/>
        <v>#DIV/0!</v>
      </c>
      <c r="R185" s="283" t="e">
        <f t="shared" si="59"/>
        <v>#DIV/0!</v>
      </c>
      <c r="S185" s="282" t="e">
        <f t="shared" si="60"/>
        <v>#DIV/0!</v>
      </c>
      <c r="T185" s="284"/>
      <c r="U185" s="284"/>
      <c r="V185" s="282" t="e">
        <f t="shared" si="61"/>
        <v>#DIV/0!</v>
      </c>
      <c r="W185" s="284"/>
      <c r="X185" s="284"/>
      <c r="Y185" s="282" t="e">
        <f t="shared" si="62"/>
        <v>#DIV/0!</v>
      </c>
      <c r="Z185" s="284" t="e">
        <f t="shared" si="51"/>
        <v>#DIV/0!</v>
      </c>
      <c r="AA185" s="284" t="e">
        <f t="shared" si="63"/>
        <v>#DIV/0!</v>
      </c>
      <c r="AB185" s="282" t="e">
        <f t="shared" si="64"/>
        <v>#DIV/0!</v>
      </c>
      <c r="AC185" s="285"/>
      <c r="AD185" s="284"/>
      <c r="AE185" s="282" t="e">
        <f t="shared" si="65"/>
        <v>#DIV/0!</v>
      </c>
      <c r="AF185" s="284"/>
      <c r="AG185" s="284"/>
      <c r="AH185" s="86" t="e">
        <f t="shared" si="66"/>
        <v>#DIV/0!</v>
      </c>
      <c r="AI185" s="284"/>
      <c r="AJ185" s="284"/>
      <c r="AK185" s="282" t="e">
        <f t="shared" si="67"/>
        <v>#DIV/0!</v>
      </c>
      <c r="AL185" s="286" t="e">
        <f t="shared" si="52"/>
        <v>#DIV/0!</v>
      </c>
      <c r="AM185" s="286" t="e">
        <f t="shared" si="68"/>
        <v>#DIV/0!</v>
      </c>
      <c r="AN185" s="282" t="e">
        <f t="shared" si="69"/>
        <v>#DIV/0!</v>
      </c>
      <c r="AO185" s="86"/>
    </row>
    <row r="186" spans="1:41" s="96" customFormat="1" ht="15.75" customHeight="1" x14ac:dyDescent="0.3">
      <c r="A186" s="279"/>
      <c r="B186" s="279"/>
      <c r="C186" s="280"/>
      <c r="D186" s="280"/>
      <c r="E186" s="281"/>
      <c r="F186" s="281"/>
      <c r="G186" s="282" t="e">
        <f t="shared" si="53"/>
        <v>#DIV/0!</v>
      </c>
      <c r="H186" s="281"/>
      <c r="I186" s="283"/>
      <c r="J186" s="282" t="e">
        <f t="shared" si="54"/>
        <v>#DIV/0!</v>
      </c>
      <c r="K186" s="281">
        <f t="shared" si="48"/>
        <v>0</v>
      </c>
      <c r="L186" s="281">
        <f t="shared" si="55"/>
        <v>0</v>
      </c>
      <c r="M186" s="282" t="e">
        <f t="shared" si="56"/>
        <v>#DIV/0!</v>
      </c>
      <c r="N186" s="283" t="e">
        <f t="shared" si="49"/>
        <v>#DIV/0!</v>
      </c>
      <c r="O186" s="283" t="e">
        <f t="shared" si="57"/>
        <v>#DIV/0!</v>
      </c>
      <c r="P186" s="282" t="e">
        <f t="shared" si="58"/>
        <v>#DIV/0!</v>
      </c>
      <c r="Q186" s="283" t="e">
        <f t="shared" si="50"/>
        <v>#DIV/0!</v>
      </c>
      <c r="R186" s="283" t="e">
        <f t="shared" si="59"/>
        <v>#DIV/0!</v>
      </c>
      <c r="S186" s="282" t="e">
        <f t="shared" si="60"/>
        <v>#DIV/0!</v>
      </c>
      <c r="T186" s="284"/>
      <c r="U186" s="284"/>
      <c r="V186" s="282" t="e">
        <f t="shared" si="61"/>
        <v>#DIV/0!</v>
      </c>
      <c r="W186" s="284"/>
      <c r="X186" s="284"/>
      <c r="Y186" s="282" t="e">
        <f t="shared" si="62"/>
        <v>#DIV/0!</v>
      </c>
      <c r="Z186" s="284" t="e">
        <f t="shared" si="51"/>
        <v>#DIV/0!</v>
      </c>
      <c r="AA186" s="284" t="e">
        <f t="shared" si="63"/>
        <v>#DIV/0!</v>
      </c>
      <c r="AB186" s="282" t="e">
        <f t="shared" si="64"/>
        <v>#DIV/0!</v>
      </c>
      <c r="AC186" s="285"/>
      <c r="AD186" s="284"/>
      <c r="AE186" s="282" t="e">
        <f t="shared" si="65"/>
        <v>#DIV/0!</v>
      </c>
      <c r="AF186" s="284"/>
      <c r="AG186" s="284"/>
      <c r="AH186" s="86" t="e">
        <f t="shared" si="66"/>
        <v>#DIV/0!</v>
      </c>
      <c r="AI186" s="284"/>
      <c r="AJ186" s="284"/>
      <c r="AK186" s="282" t="e">
        <f t="shared" si="67"/>
        <v>#DIV/0!</v>
      </c>
      <c r="AL186" s="286" t="e">
        <f t="shared" si="52"/>
        <v>#DIV/0!</v>
      </c>
      <c r="AM186" s="286" t="e">
        <f t="shared" si="68"/>
        <v>#DIV/0!</v>
      </c>
      <c r="AN186" s="282" t="e">
        <f t="shared" si="69"/>
        <v>#DIV/0!</v>
      </c>
      <c r="AO186" s="86"/>
    </row>
    <row r="187" spans="1:41" s="96" customFormat="1" ht="15.75" customHeight="1" x14ac:dyDescent="0.3">
      <c r="A187" s="279"/>
      <c r="B187" s="279"/>
      <c r="C187" s="280"/>
      <c r="D187" s="297" t="s">
        <v>274</v>
      </c>
      <c r="E187" s="281">
        <v>0</v>
      </c>
      <c r="F187" s="281">
        <v>0</v>
      </c>
      <c r="G187" s="282" t="e">
        <f t="shared" si="53"/>
        <v>#DIV/0!</v>
      </c>
      <c r="H187" s="281">
        <v>0</v>
      </c>
      <c r="I187" s="283">
        <v>2758.45</v>
      </c>
      <c r="J187" s="282">
        <f t="shared" si="54"/>
        <v>-1</v>
      </c>
      <c r="K187" s="281">
        <f t="shared" si="48"/>
        <v>0</v>
      </c>
      <c r="L187" s="281">
        <f t="shared" si="55"/>
        <v>2992.9182499999997</v>
      </c>
      <c r="M187" s="282">
        <f t="shared" si="56"/>
        <v>-1</v>
      </c>
      <c r="N187" s="283" t="e">
        <f t="shared" si="49"/>
        <v>#DIV/0!</v>
      </c>
      <c r="O187" s="283">
        <f t="shared" si="57"/>
        <v>0</v>
      </c>
      <c r="P187" s="282" t="e">
        <f t="shared" si="58"/>
        <v>#DIV/0!</v>
      </c>
      <c r="Q187" s="283" t="e">
        <f t="shared" si="50"/>
        <v>#DIV/0!</v>
      </c>
      <c r="R187" s="283">
        <f t="shared" si="59"/>
        <v>0</v>
      </c>
      <c r="S187" s="282" t="e">
        <f t="shared" si="60"/>
        <v>#DIV/0!</v>
      </c>
      <c r="T187" s="284">
        <v>43</v>
      </c>
      <c r="U187" s="284">
        <v>19</v>
      </c>
      <c r="V187" s="282">
        <f t="shared" si="61"/>
        <v>1.263157894736842</v>
      </c>
      <c r="W187" s="284">
        <v>0</v>
      </c>
      <c r="X187" s="284">
        <v>0</v>
      </c>
      <c r="Y187" s="282" t="e">
        <f t="shared" si="62"/>
        <v>#DIV/0!</v>
      </c>
      <c r="Z187" s="284" t="e">
        <f t="shared" si="51"/>
        <v>#DIV/0!</v>
      </c>
      <c r="AA187" s="284" t="e">
        <f t="shared" si="63"/>
        <v>#DIV/0!</v>
      </c>
      <c r="AB187" s="282" t="e">
        <f t="shared" si="64"/>
        <v>#DIV/0!</v>
      </c>
      <c r="AC187" s="285"/>
      <c r="AD187" s="284">
        <v>223231</v>
      </c>
      <c r="AE187" s="282">
        <f t="shared" si="65"/>
        <v>-1</v>
      </c>
      <c r="AF187" s="284"/>
      <c r="AG187" s="284">
        <v>3084</v>
      </c>
      <c r="AH187" s="86">
        <f t="shared" si="66"/>
        <v>-1</v>
      </c>
      <c r="AI187" s="284"/>
      <c r="AJ187" s="284">
        <v>319323</v>
      </c>
      <c r="AK187" s="282">
        <f t="shared" si="67"/>
        <v>-1</v>
      </c>
      <c r="AL187" s="286" t="e">
        <f t="shared" si="52"/>
        <v>#DIV/0!</v>
      </c>
      <c r="AM187" s="286">
        <f t="shared" si="68"/>
        <v>9.6579325635798227E-3</v>
      </c>
      <c r="AN187" s="282" t="e">
        <f t="shared" si="69"/>
        <v>#DIV/0!</v>
      </c>
      <c r="AO187" s="86"/>
    </row>
    <row r="188" spans="1:41" s="81" customFormat="1" ht="15.75" customHeight="1" x14ac:dyDescent="0.3">
      <c r="A188" s="49" t="s">
        <v>63</v>
      </c>
      <c r="B188" s="49" t="s">
        <v>67</v>
      </c>
      <c r="C188" s="50">
        <f>C182+7</f>
        <v>42951</v>
      </c>
      <c r="D188" s="50" t="s">
        <v>28</v>
      </c>
      <c r="E188" s="55">
        <f>SUM(E189:E193)</f>
        <v>0</v>
      </c>
      <c r="F188" s="55">
        <f>SUM(F189:F193)</f>
        <v>0</v>
      </c>
      <c r="G188" s="52" t="e">
        <f t="shared" si="53"/>
        <v>#DIV/0!</v>
      </c>
      <c r="H188" s="55">
        <f>SUM(H189:H193)</f>
        <v>0</v>
      </c>
      <c r="I188" s="55">
        <f>SUM(I189:I193)</f>
        <v>0</v>
      </c>
      <c r="J188" s="52" t="e">
        <f t="shared" si="54"/>
        <v>#DIV/0!</v>
      </c>
      <c r="K188" s="51">
        <f t="shared" si="48"/>
        <v>0</v>
      </c>
      <c r="L188" s="51">
        <f t="shared" si="55"/>
        <v>0</v>
      </c>
      <c r="M188" s="52" t="e">
        <f t="shared" si="56"/>
        <v>#DIV/0!</v>
      </c>
      <c r="N188" s="53" t="e">
        <f t="shared" si="49"/>
        <v>#DIV/0!</v>
      </c>
      <c r="O188" s="53" t="e">
        <f t="shared" si="57"/>
        <v>#DIV/0!</v>
      </c>
      <c r="P188" s="52" t="e">
        <f t="shared" si="58"/>
        <v>#DIV/0!</v>
      </c>
      <c r="Q188" s="53" t="e">
        <f t="shared" si="50"/>
        <v>#DIV/0!</v>
      </c>
      <c r="R188" s="53" t="e">
        <f t="shared" si="59"/>
        <v>#DIV/0!</v>
      </c>
      <c r="S188" s="52" t="e">
        <f t="shared" si="60"/>
        <v>#DIV/0!</v>
      </c>
      <c r="T188" s="56">
        <f>SUM(T189:T193)</f>
        <v>36</v>
      </c>
      <c r="U188" s="56">
        <f>SUM(U189:U193)</f>
        <v>74</v>
      </c>
      <c r="V188" s="52">
        <f t="shared" si="61"/>
        <v>-0.51351351351351349</v>
      </c>
      <c r="W188" s="56">
        <f>SUM(W189:W193)</f>
        <v>0</v>
      </c>
      <c r="X188" s="56">
        <f>SUM(X189:X193)</f>
        <v>0</v>
      </c>
      <c r="Y188" s="52" t="e">
        <f t="shared" si="62"/>
        <v>#DIV/0!</v>
      </c>
      <c r="Z188" s="51" t="e">
        <f t="shared" si="51"/>
        <v>#DIV/0!</v>
      </c>
      <c r="AA188" s="54" t="e">
        <f t="shared" si="63"/>
        <v>#DIV/0!</v>
      </c>
      <c r="AB188" s="52" t="e">
        <f t="shared" si="64"/>
        <v>#DIV/0!</v>
      </c>
      <c r="AC188" s="56">
        <f>SUM(AC189:AC193)</f>
        <v>0</v>
      </c>
      <c r="AD188" s="56">
        <f>SUM(AD189:AD193)</f>
        <v>0</v>
      </c>
      <c r="AE188" s="52" t="e">
        <f t="shared" si="65"/>
        <v>#DIV/0!</v>
      </c>
      <c r="AF188" s="56">
        <f>SUM(AF189:AF193)</f>
        <v>0</v>
      </c>
      <c r="AG188" s="56">
        <f>SUM(AG189:AG193)</f>
        <v>0</v>
      </c>
      <c r="AH188" s="67" t="e">
        <f t="shared" si="66"/>
        <v>#DIV/0!</v>
      </c>
      <c r="AI188" s="56">
        <f>SUM(AI189:AI193)</f>
        <v>0</v>
      </c>
      <c r="AJ188" s="56">
        <f>SUM(AJ189:AJ193)</f>
        <v>0</v>
      </c>
      <c r="AK188" s="52" t="e">
        <f t="shared" si="67"/>
        <v>#DIV/0!</v>
      </c>
      <c r="AL188" s="82" t="e">
        <f t="shared" si="52"/>
        <v>#DIV/0!</v>
      </c>
      <c r="AM188" s="82" t="e">
        <f t="shared" si="68"/>
        <v>#DIV/0!</v>
      </c>
      <c r="AN188" s="52" t="e">
        <f>(AL188-AM188)/AM188</f>
        <v>#DIV/0!</v>
      </c>
      <c r="AO188" s="68"/>
    </row>
    <row r="189" spans="1:41" s="96" customFormat="1" ht="15.75" customHeight="1" x14ac:dyDescent="0.3">
      <c r="A189" s="279"/>
      <c r="B189" s="279"/>
      <c r="C189" s="280"/>
      <c r="D189" s="280"/>
      <c r="E189" s="281"/>
      <c r="F189" s="281"/>
      <c r="G189" s="282" t="e">
        <f t="shared" si="53"/>
        <v>#DIV/0!</v>
      </c>
      <c r="H189" s="281"/>
      <c r="I189" s="283"/>
      <c r="J189" s="282" t="e">
        <f t="shared" si="54"/>
        <v>#DIV/0!</v>
      </c>
      <c r="K189" s="281">
        <f t="shared" si="48"/>
        <v>0</v>
      </c>
      <c r="L189" s="281">
        <f t="shared" si="55"/>
        <v>0</v>
      </c>
      <c r="M189" s="282" t="e">
        <f t="shared" si="56"/>
        <v>#DIV/0!</v>
      </c>
      <c r="N189" s="283" t="e">
        <f t="shared" si="49"/>
        <v>#DIV/0!</v>
      </c>
      <c r="O189" s="283" t="e">
        <f t="shared" si="57"/>
        <v>#DIV/0!</v>
      </c>
      <c r="P189" s="282" t="e">
        <f t="shared" si="58"/>
        <v>#DIV/0!</v>
      </c>
      <c r="Q189" s="283" t="e">
        <f t="shared" si="50"/>
        <v>#DIV/0!</v>
      </c>
      <c r="R189" s="283" t="e">
        <f t="shared" si="59"/>
        <v>#DIV/0!</v>
      </c>
      <c r="S189" s="282" t="e">
        <f t="shared" si="60"/>
        <v>#DIV/0!</v>
      </c>
      <c r="T189" s="284"/>
      <c r="U189" s="284"/>
      <c r="V189" s="282" t="e">
        <f t="shared" si="61"/>
        <v>#DIV/0!</v>
      </c>
      <c r="W189" s="284"/>
      <c r="X189" s="284"/>
      <c r="Y189" s="282" t="e">
        <f t="shared" si="62"/>
        <v>#DIV/0!</v>
      </c>
      <c r="Z189" s="284" t="e">
        <f t="shared" si="51"/>
        <v>#DIV/0!</v>
      </c>
      <c r="AA189" s="284" t="e">
        <f t="shared" si="63"/>
        <v>#DIV/0!</v>
      </c>
      <c r="AB189" s="282" t="e">
        <f t="shared" si="64"/>
        <v>#DIV/0!</v>
      </c>
      <c r="AC189" s="285"/>
      <c r="AD189" s="284"/>
      <c r="AE189" s="282" t="e">
        <f t="shared" si="65"/>
        <v>#DIV/0!</v>
      </c>
      <c r="AF189" s="284"/>
      <c r="AG189" s="284"/>
      <c r="AH189" s="86" t="e">
        <f t="shared" si="66"/>
        <v>#DIV/0!</v>
      </c>
      <c r="AI189" s="284"/>
      <c r="AJ189" s="284"/>
      <c r="AK189" s="282" t="e">
        <f t="shared" si="67"/>
        <v>#DIV/0!</v>
      </c>
      <c r="AL189" s="286" t="e">
        <f t="shared" si="52"/>
        <v>#DIV/0!</v>
      </c>
      <c r="AM189" s="286" t="e">
        <f t="shared" si="68"/>
        <v>#DIV/0!</v>
      </c>
      <c r="AN189" s="282" t="e">
        <f t="shared" si="69"/>
        <v>#DIV/0!</v>
      </c>
      <c r="AO189" s="86"/>
    </row>
    <row r="190" spans="1:41" s="96" customFormat="1" ht="15.75" customHeight="1" x14ac:dyDescent="0.3">
      <c r="A190" s="279"/>
      <c r="B190" s="279"/>
      <c r="C190" s="280"/>
      <c r="D190" s="280"/>
      <c r="E190" s="281"/>
      <c r="F190" s="281"/>
      <c r="G190" s="282" t="e">
        <f t="shared" si="53"/>
        <v>#DIV/0!</v>
      </c>
      <c r="H190" s="281"/>
      <c r="I190" s="283"/>
      <c r="J190" s="282" t="e">
        <f t="shared" si="54"/>
        <v>#DIV/0!</v>
      </c>
      <c r="K190" s="281">
        <f t="shared" si="48"/>
        <v>0</v>
      </c>
      <c r="L190" s="281">
        <f t="shared" si="55"/>
        <v>0</v>
      </c>
      <c r="M190" s="282" t="e">
        <f t="shared" si="56"/>
        <v>#DIV/0!</v>
      </c>
      <c r="N190" s="283" t="e">
        <f t="shared" si="49"/>
        <v>#DIV/0!</v>
      </c>
      <c r="O190" s="283" t="e">
        <f t="shared" si="57"/>
        <v>#DIV/0!</v>
      </c>
      <c r="P190" s="282" t="e">
        <f t="shared" si="58"/>
        <v>#DIV/0!</v>
      </c>
      <c r="Q190" s="283" t="e">
        <f t="shared" si="50"/>
        <v>#DIV/0!</v>
      </c>
      <c r="R190" s="283" t="e">
        <f t="shared" si="59"/>
        <v>#DIV/0!</v>
      </c>
      <c r="S190" s="282" t="e">
        <f t="shared" si="60"/>
        <v>#DIV/0!</v>
      </c>
      <c r="T190" s="284"/>
      <c r="U190" s="284"/>
      <c r="V190" s="282" t="e">
        <f t="shared" si="61"/>
        <v>#DIV/0!</v>
      </c>
      <c r="W190" s="284"/>
      <c r="X190" s="284"/>
      <c r="Y190" s="282" t="e">
        <f t="shared" si="62"/>
        <v>#DIV/0!</v>
      </c>
      <c r="Z190" s="284" t="e">
        <f t="shared" si="51"/>
        <v>#DIV/0!</v>
      </c>
      <c r="AA190" s="284" t="e">
        <f t="shared" si="63"/>
        <v>#DIV/0!</v>
      </c>
      <c r="AB190" s="282" t="e">
        <f t="shared" si="64"/>
        <v>#DIV/0!</v>
      </c>
      <c r="AC190" s="285"/>
      <c r="AD190" s="284"/>
      <c r="AE190" s="282" t="e">
        <f t="shared" si="65"/>
        <v>#DIV/0!</v>
      </c>
      <c r="AF190" s="284"/>
      <c r="AG190" s="284"/>
      <c r="AH190" s="86" t="e">
        <f t="shared" si="66"/>
        <v>#DIV/0!</v>
      </c>
      <c r="AI190" s="284"/>
      <c r="AJ190" s="284"/>
      <c r="AK190" s="282" t="e">
        <f t="shared" si="67"/>
        <v>#DIV/0!</v>
      </c>
      <c r="AL190" s="286" t="e">
        <f t="shared" si="52"/>
        <v>#DIV/0!</v>
      </c>
      <c r="AM190" s="286" t="e">
        <f t="shared" si="68"/>
        <v>#DIV/0!</v>
      </c>
      <c r="AN190" s="282" t="e">
        <f t="shared" si="69"/>
        <v>#DIV/0!</v>
      </c>
      <c r="AO190" s="86"/>
    </row>
    <row r="191" spans="1:41" s="96" customFormat="1" ht="15.75" customHeight="1" x14ac:dyDescent="0.3">
      <c r="A191" s="279"/>
      <c r="B191" s="279"/>
      <c r="C191" s="280"/>
      <c r="D191" s="280"/>
      <c r="E191" s="281"/>
      <c r="F191" s="281"/>
      <c r="G191" s="282" t="e">
        <f t="shared" si="53"/>
        <v>#DIV/0!</v>
      </c>
      <c r="H191" s="281"/>
      <c r="I191" s="283"/>
      <c r="J191" s="282" t="e">
        <f t="shared" si="54"/>
        <v>#DIV/0!</v>
      </c>
      <c r="K191" s="281">
        <f t="shared" si="48"/>
        <v>0</v>
      </c>
      <c r="L191" s="281">
        <f t="shared" si="55"/>
        <v>0</v>
      </c>
      <c r="M191" s="282" t="e">
        <f t="shared" si="56"/>
        <v>#DIV/0!</v>
      </c>
      <c r="N191" s="283" t="e">
        <f t="shared" si="49"/>
        <v>#DIV/0!</v>
      </c>
      <c r="O191" s="283" t="e">
        <f t="shared" si="57"/>
        <v>#DIV/0!</v>
      </c>
      <c r="P191" s="282" t="e">
        <f t="shared" si="58"/>
        <v>#DIV/0!</v>
      </c>
      <c r="Q191" s="283" t="e">
        <f t="shared" si="50"/>
        <v>#DIV/0!</v>
      </c>
      <c r="R191" s="283" t="e">
        <f t="shared" si="59"/>
        <v>#DIV/0!</v>
      </c>
      <c r="S191" s="282" t="e">
        <f t="shared" si="60"/>
        <v>#DIV/0!</v>
      </c>
      <c r="T191" s="284"/>
      <c r="U191" s="284"/>
      <c r="V191" s="282" t="e">
        <f t="shared" si="61"/>
        <v>#DIV/0!</v>
      </c>
      <c r="W191" s="284"/>
      <c r="X191" s="284"/>
      <c r="Y191" s="282" t="e">
        <f t="shared" si="62"/>
        <v>#DIV/0!</v>
      </c>
      <c r="Z191" s="284" t="e">
        <f t="shared" si="51"/>
        <v>#DIV/0!</v>
      </c>
      <c r="AA191" s="284" t="e">
        <f t="shared" si="63"/>
        <v>#DIV/0!</v>
      </c>
      <c r="AB191" s="282" t="e">
        <f t="shared" si="64"/>
        <v>#DIV/0!</v>
      </c>
      <c r="AC191" s="285"/>
      <c r="AD191" s="284"/>
      <c r="AE191" s="282" t="e">
        <f t="shared" si="65"/>
        <v>#DIV/0!</v>
      </c>
      <c r="AF191" s="284"/>
      <c r="AG191" s="284"/>
      <c r="AH191" s="86" t="e">
        <f t="shared" si="66"/>
        <v>#DIV/0!</v>
      </c>
      <c r="AI191" s="284"/>
      <c r="AJ191" s="284"/>
      <c r="AK191" s="282" t="e">
        <f t="shared" si="67"/>
        <v>#DIV/0!</v>
      </c>
      <c r="AL191" s="286" t="e">
        <f t="shared" si="52"/>
        <v>#DIV/0!</v>
      </c>
      <c r="AM191" s="286" t="e">
        <f t="shared" si="68"/>
        <v>#DIV/0!</v>
      </c>
      <c r="AN191" s="282" t="e">
        <f t="shared" si="69"/>
        <v>#DIV/0!</v>
      </c>
      <c r="AO191" s="86"/>
    </row>
    <row r="192" spans="1:41" s="96" customFormat="1" ht="15.75" customHeight="1" x14ac:dyDescent="0.3">
      <c r="A192" s="279"/>
      <c r="B192" s="279"/>
      <c r="C192" s="280"/>
      <c r="D192" s="280"/>
      <c r="E192" s="281"/>
      <c r="F192" s="281"/>
      <c r="G192" s="282" t="e">
        <f t="shared" si="53"/>
        <v>#DIV/0!</v>
      </c>
      <c r="H192" s="281"/>
      <c r="I192" s="283"/>
      <c r="J192" s="282" t="e">
        <f t="shared" si="54"/>
        <v>#DIV/0!</v>
      </c>
      <c r="K192" s="281">
        <f t="shared" si="48"/>
        <v>0</v>
      </c>
      <c r="L192" s="281">
        <f t="shared" si="55"/>
        <v>0</v>
      </c>
      <c r="M192" s="282" t="e">
        <f t="shared" si="56"/>
        <v>#DIV/0!</v>
      </c>
      <c r="N192" s="283" t="e">
        <f t="shared" si="49"/>
        <v>#DIV/0!</v>
      </c>
      <c r="O192" s="283" t="e">
        <f t="shared" si="57"/>
        <v>#DIV/0!</v>
      </c>
      <c r="P192" s="282" t="e">
        <f t="shared" si="58"/>
        <v>#DIV/0!</v>
      </c>
      <c r="Q192" s="283" t="e">
        <f t="shared" si="50"/>
        <v>#DIV/0!</v>
      </c>
      <c r="R192" s="283" t="e">
        <f t="shared" si="59"/>
        <v>#DIV/0!</v>
      </c>
      <c r="S192" s="282" t="e">
        <f t="shared" si="60"/>
        <v>#DIV/0!</v>
      </c>
      <c r="T192" s="284"/>
      <c r="U192" s="284"/>
      <c r="V192" s="282" t="e">
        <f t="shared" si="61"/>
        <v>#DIV/0!</v>
      </c>
      <c r="W192" s="284"/>
      <c r="X192" s="284"/>
      <c r="Y192" s="282" t="e">
        <f t="shared" si="62"/>
        <v>#DIV/0!</v>
      </c>
      <c r="Z192" s="284" t="e">
        <f t="shared" si="51"/>
        <v>#DIV/0!</v>
      </c>
      <c r="AA192" s="284" t="e">
        <f t="shared" si="63"/>
        <v>#DIV/0!</v>
      </c>
      <c r="AB192" s="282" t="e">
        <f t="shared" si="64"/>
        <v>#DIV/0!</v>
      </c>
      <c r="AC192" s="285"/>
      <c r="AD192" s="284"/>
      <c r="AE192" s="282" t="e">
        <f t="shared" si="65"/>
        <v>#DIV/0!</v>
      </c>
      <c r="AF192" s="284"/>
      <c r="AG192" s="284"/>
      <c r="AH192" s="86" t="e">
        <f t="shared" si="66"/>
        <v>#DIV/0!</v>
      </c>
      <c r="AI192" s="284"/>
      <c r="AJ192" s="284"/>
      <c r="AK192" s="282" t="e">
        <f t="shared" si="67"/>
        <v>#DIV/0!</v>
      </c>
      <c r="AL192" s="286" t="e">
        <f t="shared" si="52"/>
        <v>#DIV/0!</v>
      </c>
      <c r="AM192" s="286" t="e">
        <f t="shared" si="68"/>
        <v>#DIV/0!</v>
      </c>
      <c r="AN192" s="282" t="e">
        <f t="shared" si="69"/>
        <v>#DIV/0!</v>
      </c>
      <c r="AO192" s="86"/>
    </row>
    <row r="193" spans="1:41" s="357" customFormat="1" ht="15.75" customHeight="1" x14ac:dyDescent="0.3">
      <c r="A193" s="347"/>
      <c r="B193" s="347"/>
      <c r="C193" s="348"/>
      <c r="D193" s="349" t="s">
        <v>274</v>
      </c>
      <c r="E193" s="350">
        <v>0</v>
      </c>
      <c r="F193" s="350">
        <v>0</v>
      </c>
      <c r="G193" s="351" t="e">
        <f t="shared" si="53"/>
        <v>#DIV/0!</v>
      </c>
      <c r="H193" s="350">
        <v>0</v>
      </c>
      <c r="I193" s="352">
        <v>0</v>
      </c>
      <c r="J193" s="351" t="e">
        <f t="shared" si="54"/>
        <v>#DIV/0!</v>
      </c>
      <c r="K193" s="350">
        <f t="shared" si="48"/>
        <v>0</v>
      </c>
      <c r="L193" s="350">
        <f t="shared" si="55"/>
        <v>0</v>
      </c>
      <c r="M193" s="351" t="e">
        <f t="shared" si="56"/>
        <v>#DIV/0!</v>
      </c>
      <c r="N193" s="352" t="e">
        <f t="shared" si="49"/>
        <v>#DIV/0!</v>
      </c>
      <c r="O193" s="352" t="e">
        <f t="shared" si="57"/>
        <v>#DIV/0!</v>
      </c>
      <c r="P193" s="351" t="e">
        <f t="shared" si="58"/>
        <v>#DIV/0!</v>
      </c>
      <c r="Q193" s="352" t="e">
        <f t="shared" si="50"/>
        <v>#DIV/0!</v>
      </c>
      <c r="R193" s="352" t="e">
        <f t="shared" si="59"/>
        <v>#DIV/0!</v>
      </c>
      <c r="S193" s="351" t="e">
        <f t="shared" si="60"/>
        <v>#DIV/0!</v>
      </c>
      <c r="T193" s="353">
        <v>36</v>
      </c>
      <c r="U193" s="353">
        <v>74</v>
      </c>
      <c r="V193" s="351">
        <f t="shared" si="61"/>
        <v>-0.51351351351351349</v>
      </c>
      <c r="W193" s="353">
        <v>0</v>
      </c>
      <c r="X193" s="353">
        <v>0</v>
      </c>
      <c r="Y193" s="351" t="e">
        <f t="shared" si="62"/>
        <v>#DIV/0!</v>
      </c>
      <c r="Z193" s="353" t="e">
        <f t="shared" si="51"/>
        <v>#DIV/0!</v>
      </c>
      <c r="AA193" s="353" t="e">
        <f t="shared" si="63"/>
        <v>#DIV/0!</v>
      </c>
      <c r="AB193" s="351" t="e">
        <f t="shared" si="64"/>
        <v>#DIV/0!</v>
      </c>
      <c r="AC193" s="354">
        <v>0</v>
      </c>
      <c r="AD193" s="353">
        <v>0</v>
      </c>
      <c r="AE193" s="351" t="e">
        <f t="shared" si="65"/>
        <v>#DIV/0!</v>
      </c>
      <c r="AF193" s="353">
        <v>0</v>
      </c>
      <c r="AG193" s="353">
        <v>0</v>
      </c>
      <c r="AH193" s="355" t="e">
        <f t="shared" si="66"/>
        <v>#DIV/0!</v>
      </c>
      <c r="AI193" s="353">
        <v>0</v>
      </c>
      <c r="AJ193" s="353">
        <v>0</v>
      </c>
      <c r="AK193" s="351" t="e">
        <f t="shared" si="67"/>
        <v>#DIV/0!</v>
      </c>
      <c r="AL193" s="356" t="e">
        <f t="shared" si="52"/>
        <v>#DIV/0!</v>
      </c>
      <c r="AM193" s="356" t="e">
        <f t="shared" si="68"/>
        <v>#DIV/0!</v>
      </c>
      <c r="AN193" s="351" t="e">
        <f t="shared" si="69"/>
        <v>#DIV/0!</v>
      </c>
      <c r="AO193" s="355"/>
    </row>
    <row r="194" spans="1:41" s="81" customFormat="1" ht="15.75" customHeight="1" x14ac:dyDescent="0.3">
      <c r="A194" s="49" t="s">
        <v>68</v>
      </c>
      <c r="B194" s="49" t="s">
        <v>69</v>
      </c>
      <c r="C194" s="50">
        <f>C188+7</f>
        <v>42958</v>
      </c>
      <c r="D194" s="50" t="s">
        <v>28</v>
      </c>
      <c r="E194" s="55">
        <f>SUM(E195:E199)</f>
        <v>0</v>
      </c>
      <c r="F194" s="55">
        <f>SUM(F195:F199)</f>
        <v>226</v>
      </c>
      <c r="G194" s="52">
        <f t="shared" si="53"/>
        <v>-1</v>
      </c>
      <c r="H194" s="55">
        <f>SUM(H195:H199)</f>
        <v>0</v>
      </c>
      <c r="I194" s="55">
        <f>SUM(I195:I199)</f>
        <v>3016.42</v>
      </c>
      <c r="J194" s="52">
        <f t="shared" si="54"/>
        <v>-1</v>
      </c>
      <c r="K194" s="51">
        <f t="shared" si="48"/>
        <v>0</v>
      </c>
      <c r="L194" s="51">
        <f t="shared" si="55"/>
        <v>3272.8157000000001</v>
      </c>
      <c r="M194" s="52">
        <f t="shared" si="56"/>
        <v>-1</v>
      </c>
      <c r="N194" s="53" t="e">
        <f t="shared" si="49"/>
        <v>#DIV/0!</v>
      </c>
      <c r="O194" s="53">
        <f t="shared" si="57"/>
        <v>7.4923253393095121E-2</v>
      </c>
      <c r="P194" s="52" t="e">
        <f t="shared" si="58"/>
        <v>#DIV/0!</v>
      </c>
      <c r="Q194" s="53" t="e">
        <f t="shared" si="50"/>
        <v>#DIV/0!</v>
      </c>
      <c r="R194" s="53">
        <f t="shared" si="59"/>
        <v>6.9053689763221307E-2</v>
      </c>
      <c r="S194" s="52" t="e">
        <f t="shared" si="60"/>
        <v>#DIV/0!</v>
      </c>
      <c r="T194" s="56">
        <f>SUM(T195:T199)</f>
        <v>33</v>
      </c>
      <c r="U194" s="56">
        <f>SUM(U195:U199)</f>
        <v>2487</v>
      </c>
      <c r="V194" s="52">
        <f t="shared" si="61"/>
        <v>-0.98673100120627266</v>
      </c>
      <c r="W194" s="56">
        <f>SUM(W195:W199)</f>
        <v>0</v>
      </c>
      <c r="X194" s="56">
        <f>SUM(X195:X199)</f>
        <v>2</v>
      </c>
      <c r="Y194" s="52">
        <f t="shared" si="62"/>
        <v>-1</v>
      </c>
      <c r="Z194" s="51" t="e">
        <f t="shared" si="51"/>
        <v>#DIV/0!</v>
      </c>
      <c r="AA194" s="54">
        <f t="shared" si="63"/>
        <v>113</v>
      </c>
      <c r="AB194" s="52" t="e">
        <f t="shared" si="64"/>
        <v>#DIV/0!</v>
      </c>
      <c r="AC194" s="56">
        <f>SUM(AC195:AC199)</f>
        <v>0</v>
      </c>
      <c r="AD194" s="56">
        <f>SUM(AD195:AD199)</f>
        <v>380416</v>
      </c>
      <c r="AE194" s="52">
        <f t="shared" si="65"/>
        <v>-1</v>
      </c>
      <c r="AF194" s="56">
        <f>SUM(AF195:AF199)</f>
        <v>0</v>
      </c>
      <c r="AG194" s="56">
        <f>SUM(AG195:AG199)</f>
        <v>4108</v>
      </c>
      <c r="AH194" s="67">
        <f t="shared" si="66"/>
        <v>-1</v>
      </c>
      <c r="AI194" s="56">
        <f>SUM(AI195:AI199)</f>
        <v>0</v>
      </c>
      <c r="AJ194" s="56">
        <f>SUM(AJ195:AJ199)</f>
        <v>559580</v>
      </c>
      <c r="AK194" s="52">
        <f t="shared" si="67"/>
        <v>-1</v>
      </c>
      <c r="AL194" s="82" t="e">
        <f t="shared" si="52"/>
        <v>#DIV/0!</v>
      </c>
      <c r="AM194" s="82">
        <f t="shared" si="68"/>
        <v>7.3412202008649348E-3</v>
      </c>
      <c r="AN194" s="52" t="e">
        <f>(AL194-AM194)/AM194</f>
        <v>#DIV/0!</v>
      </c>
      <c r="AO194" s="68"/>
    </row>
    <row r="195" spans="1:41" s="96" customFormat="1" ht="15.75" customHeight="1" x14ac:dyDescent="0.3">
      <c r="A195" s="279"/>
      <c r="B195" s="279"/>
      <c r="C195" s="280"/>
      <c r="D195" s="280"/>
      <c r="E195" s="281"/>
      <c r="F195" s="281"/>
      <c r="G195" s="282" t="e">
        <f t="shared" si="53"/>
        <v>#DIV/0!</v>
      </c>
      <c r="H195" s="281"/>
      <c r="I195" s="283"/>
      <c r="J195" s="282" t="e">
        <f t="shared" si="54"/>
        <v>#DIV/0!</v>
      </c>
      <c r="K195" s="281">
        <f t="shared" si="48"/>
        <v>0</v>
      </c>
      <c r="L195" s="281">
        <f t="shared" si="55"/>
        <v>0</v>
      </c>
      <c r="M195" s="282" t="e">
        <f t="shared" si="56"/>
        <v>#DIV/0!</v>
      </c>
      <c r="N195" s="283" t="e">
        <f t="shared" si="49"/>
        <v>#DIV/0!</v>
      </c>
      <c r="O195" s="283" t="e">
        <f t="shared" si="57"/>
        <v>#DIV/0!</v>
      </c>
      <c r="P195" s="282" t="e">
        <f t="shared" si="58"/>
        <v>#DIV/0!</v>
      </c>
      <c r="Q195" s="283" t="e">
        <f t="shared" si="50"/>
        <v>#DIV/0!</v>
      </c>
      <c r="R195" s="283" t="e">
        <f t="shared" si="59"/>
        <v>#DIV/0!</v>
      </c>
      <c r="S195" s="282" t="e">
        <f t="shared" si="60"/>
        <v>#DIV/0!</v>
      </c>
      <c r="T195" s="284"/>
      <c r="U195" s="284"/>
      <c r="V195" s="282" t="e">
        <f t="shared" si="61"/>
        <v>#DIV/0!</v>
      </c>
      <c r="W195" s="284"/>
      <c r="X195" s="284"/>
      <c r="Y195" s="282" t="e">
        <f t="shared" si="62"/>
        <v>#DIV/0!</v>
      </c>
      <c r="Z195" s="284" t="e">
        <f t="shared" si="51"/>
        <v>#DIV/0!</v>
      </c>
      <c r="AA195" s="284" t="e">
        <f t="shared" si="63"/>
        <v>#DIV/0!</v>
      </c>
      <c r="AB195" s="282" t="e">
        <f t="shared" si="64"/>
        <v>#DIV/0!</v>
      </c>
      <c r="AC195" s="285"/>
      <c r="AD195" s="284"/>
      <c r="AE195" s="282" t="e">
        <f t="shared" si="65"/>
        <v>#DIV/0!</v>
      </c>
      <c r="AF195" s="284"/>
      <c r="AG195" s="284"/>
      <c r="AH195" s="86" t="e">
        <f t="shared" si="66"/>
        <v>#DIV/0!</v>
      </c>
      <c r="AI195" s="284"/>
      <c r="AJ195" s="284"/>
      <c r="AK195" s="282" t="e">
        <f t="shared" si="67"/>
        <v>#DIV/0!</v>
      </c>
      <c r="AL195" s="286" t="e">
        <f t="shared" si="52"/>
        <v>#DIV/0!</v>
      </c>
      <c r="AM195" s="286" t="e">
        <f t="shared" si="68"/>
        <v>#DIV/0!</v>
      </c>
      <c r="AN195" s="282" t="e">
        <f t="shared" si="69"/>
        <v>#DIV/0!</v>
      </c>
      <c r="AO195" s="86"/>
    </row>
    <row r="196" spans="1:41" s="96" customFormat="1" ht="15.75" customHeight="1" x14ac:dyDescent="0.3">
      <c r="A196" s="279"/>
      <c r="B196" s="279"/>
      <c r="C196" s="280"/>
      <c r="D196" s="280"/>
      <c r="E196" s="281"/>
      <c r="F196" s="281"/>
      <c r="G196" s="282" t="e">
        <f t="shared" si="53"/>
        <v>#DIV/0!</v>
      </c>
      <c r="H196" s="281"/>
      <c r="I196" s="283"/>
      <c r="J196" s="282" t="e">
        <f t="shared" si="54"/>
        <v>#DIV/0!</v>
      </c>
      <c r="K196" s="281">
        <f t="shared" si="48"/>
        <v>0</v>
      </c>
      <c r="L196" s="281">
        <f t="shared" si="55"/>
        <v>0</v>
      </c>
      <c r="M196" s="282" t="e">
        <f t="shared" si="56"/>
        <v>#DIV/0!</v>
      </c>
      <c r="N196" s="283" t="e">
        <f t="shared" si="49"/>
        <v>#DIV/0!</v>
      </c>
      <c r="O196" s="283" t="e">
        <f t="shared" si="57"/>
        <v>#DIV/0!</v>
      </c>
      <c r="P196" s="282" t="e">
        <f t="shared" si="58"/>
        <v>#DIV/0!</v>
      </c>
      <c r="Q196" s="283" t="e">
        <f t="shared" si="50"/>
        <v>#DIV/0!</v>
      </c>
      <c r="R196" s="283" t="e">
        <f t="shared" si="59"/>
        <v>#DIV/0!</v>
      </c>
      <c r="S196" s="282" t="e">
        <f t="shared" si="60"/>
        <v>#DIV/0!</v>
      </c>
      <c r="T196" s="284"/>
      <c r="U196" s="284"/>
      <c r="V196" s="282" t="e">
        <f t="shared" si="61"/>
        <v>#DIV/0!</v>
      </c>
      <c r="W196" s="284"/>
      <c r="X196" s="284"/>
      <c r="Y196" s="282" t="e">
        <f t="shared" si="62"/>
        <v>#DIV/0!</v>
      </c>
      <c r="Z196" s="284" t="e">
        <f t="shared" si="51"/>
        <v>#DIV/0!</v>
      </c>
      <c r="AA196" s="284" t="e">
        <f t="shared" si="63"/>
        <v>#DIV/0!</v>
      </c>
      <c r="AB196" s="282" t="e">
        <f t="shared" si="64"/>
        <v>#DIV/0!</v>
      </c>
      <c r="AC196" s="285"/>
      <c r="AD196" s="284"/>
      <c r="AE196" s="282" t="e">
        <f t="shared" si="65"/>
        <v>#DIV/0!</v>
      </c>
      <c r="AF196" s="284"/>
      <c r="AG196" s="284"/>
      <c r="AH196" s="86" t="e">
        <f t="shared" si="66"/>
        <v>#DIV/0!</v>
      </c>
      <c r="AI196" s="284"/>
      <c r="AJ196" s="284"/>
      <c r="AK196" s="282" t="e">
        <f t="shared" si="67"/>
        <v>#DIV/0!</v>
      </c>
      <c r="AL196" s="286" t="e">
        <f t="shared" si="52"/>
        <v>#DIV/0!</v>
      </c>
      <c r="AM196" s="286" t="e">
        <f t="shared" si="68"/>
        <v>#DIV/0!</v>
      </c>
      <c r="AN196" s="282" t="e">
        <f t="shared" si="69"/>
        <v>#DIV/0!</v>
      </c>
      <c r="AO196" s="86"/>
    </row>
    <row r="197" spans="1:41" s="96" customFormat="1" ht="15.75" customHeight="1" x14ac:dyDescent="0.3">
      <c r="A197" s="279"/>
      <c r="B197" s="279"/>
      <c r="C197" s="280"/>
      <c r="D197" s="280"/>
      <c r="E197" s="281"/>
      <c r="F197" s="281"/>
      <c r="G197" s="282" t="e">
        <f t="shared" si="53"/>
        <v>#DIV/0!</v>
      </c>
      <c r="H197" s="281"/>
      <c r="I197" s="283"/>
      <c r="J197" s="282" t="e">
        <f t="shared" si="54"/>
        <v>#DIV/0!</v>
      </c>
      <c r="K197" s="281">
        <f t="shared" si="48"/>
        <v>0</v>
      </c>
      <c r="L197" s="281">
        <f t="shared" si="55"/>
        <v>0</v>
      </c>
      <c r="M197" s="282" t="e">
        <f t="shared" si="56"/>
        <v>#DIV/0!</v>
      </c>
      <c r="N197" s="283" t="e">
        <f t="shared" si="49"/>
        <v>#DIV/0!</v>
      </c>
      <c r="O197" s="283" t="e">
        <f t="shared" si="57"/>
        <v>#DIV/0!</v>
      </c>
      <c r="P197" s="282" t="e">
        <f t="shared" si="58"/>
        <v>#DIV/0!</v>
      </c>
      <c r="Q197" s="283" t="e">
        <f t="shared" si="50"/>
        <v>#DIV/0!</v>
      </c>
      <c r="R197" s="283" t="e">
        <f t="shared" si="59"/>
        <v>#DIV/0!</v>
      </c>
      <c r="S197" s="282" t="e">
        <f t="shared" si="60"/>
        <v>#DIV/0!</v>
      </c>
      <c r="T197" s="284"/>
      <c r="U197" s="284"/>
      <c r="V197" s="282" t="e">
        <f t="shared" si="61"/>
        <v>#DIV/0!</v>
      </c>
      <c r="W197" s="284"/>
      <c r="X197" s="284"/>
      <c r="Y197" s="282" t="e">
        <f t="shared" si="62"/>
        <v>#DIV/0!</v>
      </c>
      <c r="Z197" s="284" t="e">
        <f t="shared" si="51"/>
        <v>#DIV/0!</v>
      </c>
      <c r="AA197" s="284" t="e">
        <f t="shared" si="63"/>
        <v>#DIV/0!</v>
      </c>
      <c r="AB197" s="282" t="e">
        <f t="shared" si="64"/>
        <v>#DIV/0!</v>
      </c>
      <c r="AC197" s="285"/>
      <c r="AD197" s="284"/>
      <c r="AE197" s="282" t="e">
        <f t="shared" si="65"/>
        <v>#DIV/0!</v>
      </c>
      <c r="AF197" s="284"/>
      <c r="AG197" s="284"/>
      <c r="AH197" s="86" t="e">
        <f t="shared" si="66"/>
        <v>#DIV/0!</v>
      </c>
      <c r="AI197" s="284"/>
      <c r="AJ197" s="284"/>
      <c r="AK197" s="282" t="e">
        <f t="shared" si="67"/>
        <v>#DIV/0!</v>
      </c>
      <c r="AL197" s="286" t="e">
        <f t="shared" si="52"/>
        <v>#DIV/0!</v>
      </c>
      <c r="AM197" s="286" t="e">
        <f t="shared" si="68"/>
        <v>#DIV/0!</v>
      </c>
      <c r="AN197" s="282" t="e">
        <f t="shared" si="69"/>
        <v>#DIV/0!</v>
      </c>
      <c r="AO197" s="86"/>
    </row>
    <row r="198" spans="1:41" s="96" customFormat="1" ht="15.75" customHeight="1" x14ac:dyDescent="0.3">
      <c r="A198" s="279"/>
      <c r="B198" s="279"/>
      <c r="C198" s="280"/>
      <c r="D198" s="280"/>
      <c r="E198" s="281"/>
      <c r="F198" s="281"/>
      <c r="G198" s="282" t="e">
        <f t="shared" si="53"/>
        <v>#DIV/0!</v>
      </c>
      <c r="H198" s="281"/>
      <c r="I198" s="283"/>
      <c r="J198" s="282" t="e">
        <f t="shared" si="54"/>
        <v>#DIV/0!</v>
      </c>
      <c r="K198" s="281">
        <f t="shared" si="48"/>
        <v>0</v>
      </c>
      <c r="L198" s="281">
        <f t="shared" si="55"/>
        <v>0</v>
      </c>
      <c r="M198" s="282" t="e">
        <f t="shared" si="56"/>
        <v>#DIV/0!</v>
      </c>
      <c r="N198" s="283" t="e">
        <f t="shared" si="49"/>
        <v>#DIV/0!</v>
      </c>
      <c r="O198" s="283" t="e">
        <f t="shared" si="57"/>
        <v>#DIV/0!</v>
      </c>
      <c r="P198" s="282" t="e">
        <f t="shared" si="58"/>
        <v>#DIV/0!</v>
      </c>
      <c r="Q198" s="283" t="e">
        <f t="shared" si="50"/>
        <v>#DIV/0!</v>
      </c>
      <c r="R198" s="283" t="e">
        <f t="shared" si="59"/>
        <v>#DIV/0!</v>
      </c>
      <c r="S198" s="282" t="e">
        <f t="shared" si="60"/>
        <v>#DIV/0!</v>
      </c>
      <c r="T198" s="284"/>
      <c r="U198" s="284"/>
      <c r="V198" s="282" t="e">
        <f t="shared" si="61"/>
        <v>#DIV/0!</v>
      </c>
      <c r="W198" s="284"/>
      <c r="X198" s="284"/>
      <c r="Y198" s="282" t="e">
        <f t="shared" si="62"/>
        <v>#DIV/0!</v>
      </c>
      <c r="Z198" s="284" t="e">
        <f t="shared" si="51"/>
        <v>#DIV/0!</v>
      </c>
      <c r="AA198" s="284" t="e">
        <f t="shared" si="63"/>
        <v>#DIV/0!</v>
      </c>
      <c r="AB198" s="282" t="e">
        <f t="shared" si="64"/>
        <v>#DIV/0!</v>
      </c>
      <c r="AC198" s="285"/>
      <c r="AD198" s="284"/>
      <c r="AE198" s="282" t="e">
        <f t="shared" si="65"/>
        <v>#DIV/0!</v>
      </c>
      <c r="AF198" s="284"/>
      <c r="AG198" s="284"/>
      <c r="AH198" s="86" t="e">
        <f t="shared" si="66"/>
        <v>#DIV/0!</v>
      </c>
      <c r="AI198" s="284"/>
      <c r="AJ198" s="284"/>
      <c r="AK198" s="282" t="e">
        <f t="shared" si="67"/>
        <v>#DIV/0!</v>
      </c>
      <c r="AL198" s="286" t="e">
        <f t="shared" si="52"/>
        <v>#DIV/0!</v>
      </c>
      <c r="AM198" s="286" t="e">
        <f t="shared" si="68"/>
        <v>#DIV/0!</v>
      </c>
      <c r="AN198" s="282" t="e">
        <f t="shared" si="69"/>
        <v>#DIV/0!</v>
      </c>
      <c r="AO198" s="86"/>
    </row>
    <row r="199" spans="1:41" s="96" customFormat="1" ht="15.75" customHeight="1" x14ac:dyDescent="0.3">
      <c r="A199" s="279"/>
      <c r="B199" s="279"/>
      <c r="C199" s="280"/>
      <c r="D199" s="297" t="s">
        <v>274</v>
      </c>
      <c r="E199" s="281">
        <v>0</v>
      </c>
      <c r="F199" s="281">
        <v>226</v>
      </c>
      <c r="G199" s="282">
        <f t="shared" si="53"/>
        <v>-1</v>
      </c>
      <c r="H199" s="281">
        <v>0</v>
      </c>
      <c r="I199" s="283">
        <v>3016.42</v>
      </c>
      <c r="J199" s="282">
        <f t="shared" si="54"/>
        <v>-1</v>
      </c>
      <c r="K199" s="281">
        <f t="shared" ref="K199:K262" si="70">H199*1.085</f>
        <v>0</v>
      </c>
      <c r="L199" s="281">
        <f t="shared" si="55"/>
        <v>3272.8157000000001</v>
      </c>
      <c r="M199" s="282">
        <f t="shared" si="56"/>
        <v>-1</v>
      </c>
      <c r="N199" s="283" t="e">
        <f t="shared" ref="N199:N262" si="71">E199/H199</f>
        <v>#DIV/0!</v>
      </c>
      <c r="O199" s="283">
        <f t="shared" si="57"/>
        <v>7.4923253393095121E-2</v>
      </c>
      <c r="P199" s="282" t="e">
        <f t="shared" si="58"/>
        <v>#DIV/0!</v>
      </c>
      <c r="Q199" s="283" t="e">
        <f t="shared" ref="Q199:Q262" si="72">E199/K199</f>
        <v>#DIV/0!</v>
      </c>
      <c r="R199" s="283">
        <f t="shared" si="59"/>
        <v>6.9053689763221307E-2</v>
      </c>
      <c r="S199" s="282" t="e">
        <f t="shared" si="60"/>
        <v>#DIV/0!</v>
      </c>
      <c r="T199" s="284">
        <v>33</v>
      </c>
      <c r="U199" s="284">
        <v>2487</v>
      </c>
      <c r="V199" s="282">
        <f t="shared" si="61"/>
        <v>-0.98673100120627266</v>
      </c>
      <c r="W199" s="284">
        <v>0</v>
      </c>
      <c r="X199" s="284">
        <v>2</v>
      </c>
      <c r="Y199" s="282">
        <f t="shared" si="62"/>
        <v>-1</v>
      </c>
      <c r="Z199" s="284" t="e">
        <f t="shared" ref="Z199:Z262" si="73">E199/W199</f>
        <v>#DIV/0!</v>
      </c>
      <c r="AA199" s="284">
        <f t="shared" si="63"/>
        <v>113</v>
      </c>
      <c r="AB199" s="282" t="e">
        <f t="shared" si="64"/>
        <v>#DIV/0!</v>
      </c>
      <c r="AC199" s="285">
        <v>0</v>
      </c>
      <c r="AD199" s="284">
        <v>380416</v>
      </c>
      <c r="AE199" s="282">
        <f t="shared" si="65"/>
        <v>-1</v>
      </c>
      <c r="AF199" s="284">
        <v>0</v>
      </c>
      <c r="AG199" s="284">
        <v>4108</v>
      </c>
      <c r="AH199" s="86">
        <f t="shared" si="66"/>
        <v>-1</v>
      </c>
      <c r="AI199" s="284">
        <v>0</v>
      </c>
      <c r="AJ199" s="284">
        <v>559580</v>
      </c>
      <c r="AK199" s="282">
        <f t="shared" si="67"/>
        <v>-1</v>
      </c>
      <c r="AL199" s="286" t="e">
        <f t="shared" ref="AL199:AL262" si="74">AF199/AI199</f>
        <v>#DIV/0!</v>
      </c>
      <c r="AM199" s="286">
        <f t="shared" si="68"/>
        <v>7.3412202008649348E-3</v>
      </c>
      <c r="AN199" s="282" t="e">
        <f t="shared" si="69"/>
        <v>#DIV/0!</v>
      </c>
      <c r="AO199" s="86"/>
    </row>
    <row r="200" spans="1:41" s="81" customFormat="1" ht="15.75" customHeight="1" x14ac:dyDescent="0.3">
      <c r="A200" s="49" t="s">
        <v>68</v>
      </c>
      <c r="B200" s="49" t="s">
        <v>70</v>
      </c>
      <c r="C200" s="50">
        <f>C194+7</f>
        <v>42965</v>
      </c>
      <c r="D200" s="50" t="s">
        <v>28</v>
      </c>
      <c r="E200" s="55">
        <f>SUM(E201:E205)</f>
        <v>0</v>
      </c>
      <c r="F200" s="55">
        <f>SUM(F201:F205)</f>
        <v>617</v>
      </c>
      <c r="G200" s="52">
        <f t="shared" ref="G200:G263" si="75">(E200-F200)/F200</f>
        <v>-1</v>
      </c>
      <c r="H200" s="55">
        <f>SUM(H201:H205)</f>
        <v>0</v>
      </c>
      <c r="I200" s="55">
        <f>SUM(I201:I205)</f>
        <v>6962.5</v>
      </c>
      <c r="J200" s="52">
        <f t="shared" ref="J200:J263" si="76">(H200-I200)/I200</f>
        <v>-1</v>
      </c>
      <c r="K200" s="51">
        <f t="shared" si="70"/>
        <v>0</v>
      </c>
      <c r="L200" s="51">
        <f t="shared" ref="L200:L263" si="77">I200*1.085</f>
        <v>7554.3125</v>
      </c>
      <c r="M200" s="52">
        <f t="shared" ref="M200:M263" si="78">(K200-L200)/L200</f>
        <v>-1</v>
      </c>
      <c r="N200" s="53" t="e">
        <f t="shared" si="71"/>
        <v>#DIV/0!</v>
      </c>
      <c r="O200" s="53">
        <f t="shared" ref="O200:O263" si="79">F200/I200</f>
        <v>8.8617594254937163E-2</v>
      </c>
      <c r="P200" s="52" t="e">
        <f t="shared" ref="P200:P263" si="80">(N200-O200)/O200</f>
        <v>#DIV/0!</v>
      </c>
      <c r="Q200" s="53" t="e">
        <f t="shared" si="72"/>
        <v>#DIV/0!</v>
      </c>
      <c r="R200" s="53">
        <f t="shared" ref="R200:R263" si="81">F200/L200</f>
        <v>8.1675202078283105E-2</v>
      </c>
      <c r="S200" s="52" t="e">
        <f t="shared" ref="S200:S263" si="82">(Q200-R200)/R200</f>
        <v>#DIV/0!</v>
      </c>
      <c r="T200" s="56">
        <f>SUM(T201:T205)</f>
        <v>14</v>
      </c>
      <c r="U200" s="56">
        <f>SUM(U201:U205)</f>
        <v>3498</v>
      </c>
      <c r="V200" s="52">
        <f t="shared" ref="V200:V263" si="83">(T200-U200)/U200</f>
        <v>-0.9959977129788451</v>
      </c>
      <c r="W200" s="56">
        <f>SUM(W201:W205)</f>
        <v>0</v>
      </c>
      <c r="X200" s="56">
        <f>SUM(X201:X205)</f>
        <v>5</v>
      </c>
      <c r="Y200" s="52">
        <f t="shared" ref="Y200:Y263" si="84">(W200-X200)/X200</f>
        <v>-1</v>
      </c>
      <c r="Z200" s="51" t="e">
        <f t="shared" si="73"/>
        <v>#DIV/0!</v>
      </c>
      <c r="AA200" s="54">
        <f t="shared" ref="AA200:AA263" si="85">F200/X200</f>
        <v>123.4</v>
      </c>
      <c r="AB200" s="52" t="e">
        <f t="shared" ref="AB200:AB263" si="86">(Z200-AA200)/AA200</f>
        <v>#DIV/0!</v>
      </c>
      <c r="AC200" s="56">
        <f>SUM(AC201:AC205)</f>
        <v>0</v>
      </c>
      <c r="AD200" s="56">
        <f>SUM(AD201:AD205)</f>
        <v>598383</v>
      </c>
      <c r="AE200" s="52">
        <f t="shared" ref="AE200:AE263" si="87">(AC200-AD200)/AD200</f>
        <v>-1</v>
      </c>
      <c r="AF200" s="56">
        <f>SUM(AF201:AF205)</f>
        <v>0</v>
      </c>
      <c r="AG200" s="56">
        <f>SUM(AG201:AG205)</f>
        <v>11454</v>
      </c>
      <c r="AH200" s="67">
        <f t="shared" ref="AH200:AH263" si="88">(AF200-AG200)/AG200</f>
        <v>-1</v>
      </c>
      <c r="AI200" s="56">
        <f>SUM(AI201:AI205)</f>
        <v>0</v>
      </c>
      <c r="AJ200" s="56">
        <f>SUM(AJ201:AJ205)</f>
        <v>1120146</v>
      </c>
      <c r="AK200" s="52">
        <f t="shared" ref="AK200:AK263" si="89">(AI200-AJ200)/AJ200</f>
        <v>-1</v>
      </c>
      <c r="AL200" s="82" t="e">
        <f t="shared" si="74"/>
        <v>#DIV/0!</v>
      </c>
      <c r="AM200" s="82">
        <f t="shared" ref="AM200:AM263" si="90">AG200/AJ200</f>
        <v>1.022545275348035E-2</v>
      </c>
      <c r="AN200" s="52" t="e">
        <f>(AL200-AM200)/AM200</f>
        <v>#DIV/0!</v>
      </c>
      <c r="AO200" s="86"/>
    </row>
    <row r="201" spans="1:41" s="96" customFormat="1" ht="15.75" customHeight="1" x14ac:dyDescent="0.3">
      <c r="A201" s="279"/>
      <c r="B201" s="279"/>
      <c r="C201" s="280"/>
      <c r="D201" s="280"/>
      <c r="E201" s="281"/>
      <c r="F201" s="281"/>
      <c r="G201" s="282" t="e">
        <f t="shared" si="75"/>
        <v>#DIV/0!</v>
      </c>
      <c r="H201" s="281"/>
      <c r="I201" s="283"/>
      <c r="J201" s="282" t="e">
        <f t="shared" si="76"/>
        <v>#DIV/0!</v>
      </c>
      <c r="K201" s="281">
        <f t="shared" si="70"/>
        <v>0</v>
      </c>
      <c r="L201" s="281">
        <f t="shared" si="77"/>
        <v>0</v>
      </c>
      <c r="M201" s="282" t="e">
        <f t="shared" si="78"/>
        <v>#DIV/0!</v>
      </c>
      <c r="N201" s="283" t="e">
        <f t="shared" si="71"/>
        <v>#DIV/0!</v>
      </c>
      <c r="O201" s="283" t="e">
        <f t="shared" si="79"/>
        <v>#DIV/0!</v>
      </c>
      <c r="P201" s="282" t="e">
        <f t="shared" si="80"/>
        <v>#DIV/0!</v>
      </c>
      <c r="Q201" s="283" t="e">
        <f t="shared" si="72"/>
        <v>#DIV/0!</v>
      </c>
      <c r="R201" s="283" t="e">
        <f t="shared" si="81"/>
        <v>#DIV/0!</v>
      </c>
      <c r="S201" s="282" t="e">
        <f t="shared" si="82"/>
        <v>#DIV/0!</v>
      </c>
      <c r="T201" s="284"/>
      <c r="U201" s="284"/>
      <c r="V201" s="282" t="e">
        <f t="shared" si="83"/>
        <v>#DIV/0!</v>
      </c>
      <c r="W201" s="284"/>
      <c r="X201" s="284"/>
      <c r="Y201" s="282" t="e">
        <f t="shared" si="84"/>
        <v>#DIV/0!</v>
      </c>
      <c r="Z201" s="284" t="e">
        <f t="shared" si="73"/>
        <v>#DIV/0!</v>
      </c>
      <c r="AA201" s="284" t="e">
        <f t="shared" si="85"/>
        <v>#DIV/0!</v>
      </c>
      <c r="AB201" s="282" t="e">
        <f t="shared" si="86"/>
        <v>#DIV/0!</v>
      </c>
      <c r="AC201" s="285"/>
      <c r="AD201" s="284"/>
      <c r="AE201" s="282" t="e">
        <f t="shared" si="87"/>
        <v>#DIV/0!</v>
      </c>
      <c r="AF201" s="284"/>
      <c r="AG201" s="284"/>
      <c r="AH201" s="86" t="e">
        <f t="shared" si="88"/>
        <v>#DIV/0!</v>
      </c>
      <c r="AI201" s="284"/>
      <c r="AJ201" s="284"/>
      <c r="AK201" s="282" t="e">
        <f t="shared" si="89"/>
        <v>#DIV/0!</v>
      </c>
      <c r="AL201" s="286" t="e">
        <f t="shared" si="74"/>
        <v>#DIV/0!</v>
      </c>
      <c r="AM201" s="286" t="e">
        <f t="shared" si="90"/>
        <v>#DIV/0!</v>
      </c>
      <c r="AN201" s="282" t="e">
        <f t="shared" ref="AN201:AN264" si="91">(AL201-AM201)/AM201</f>
        <v>#DIV/0!</v>
      </c>
      <c r="AO201" s="86"/>
    </row>
    <row r="202" spans="1:41" s="96" customFormat="1" ht="15.75" customHeight="1" x14ac:dyDescent="0.3">
      <c r="A202" s="279"/>
      <c r="B202" s="279"/>
      <c r="C202" s="280"/>
      <c r="D202" s="280"/>
      <c r="E202" s="281"/>
      <c r="F202" s="281"/>
      <c r="G202" s="282" t="e">
        <f t="shared" si="75"/>
        <v>#DIV/0!</v>
      </c>
      <c r="H202" s="281"/>
      <c r="I202" s="283"/>
      <c r="J202" s="282" t="e">
        <f t="shared" si="76"/>
        <v>#DIV/0!</v>
      </c>
      <c r="K202" s="281">
        <f t="shared" si="70"/>
        <v>0</v>
      </c>
      <c r="L202" s="281">
        <f t="shared" si="77"/>
        <v>0</v>
      </c>
      <c r="M202" s="282" t="e">
        <f t="shared" si="78"/>
        <v>#DIV/0!</v>
      </c>
      <c r="N202" s="283" t="e">
        <f t="shared" si="71"/>
        <v>#DIV/0!</v>
      </c>
      <c r="O202" s="283" t="e">
        <f t="shared" si="79"/>
        <v>#DIV/0!</v>
      </c>
      <c r="P202" s="282" t="e">
        <f t="shared" si="80"/>
        <v>#DIV/0!</v>
      </c>
      <c r="Q202" s="283" t="e">
        <f t="shared" si="72"/>
        <v>#DIV/0!</v>
      </c>
      <c r="R202" s="283" t="e">
        <f t="shared" si="81"/>
        <v>#DIV/0!</v>
      </c>
      <c r="S202" s="282" t="e">
        <f t="shared" si="82"/>
        <v>#DIV/0!</v>
      </c>
      <c r="T202" s="284"/>
      <c r="U202" s="284"/>
      <c r="V202" s="282" t="e">
        <f t="shared" si="83"/>
        <v>#DIV/0!</v>
      </c>
      <c r="W202" s="284"/>
      <c r="X202" s="284"/>
      <c r="Y202" s="282" t="e">
        <f t="shared" si="84"/>
        <v>#DIV/0!</v>
      </c>
      <c r="Z202" s="284" t="e">
        <f t="shared" si="73"/>
        <v>#DIV/0!</v>
      </c>
      <c r="AA202" s="284" t="e">
        <f t="shared" si="85"/>
        <v>#DIV/0!</v>
      </c>
      <c r="AB202" s="282" t="e">
        <f t="shared" si="86"/>
        <v>#DIV/0!</v>
      </c>
      <c r="AC202" s="285"/>
      <c r="AD202" s="284"/>
      <c r="AE202" s="282" t="e">
        <f t="shared" si="87"/>
        <v>#DIV/0!</v>
      </c>
      <c r="AF202" s="284"/>
      <c r="AG202" s="284"/>
      <c r="AH202" s="86" t="e">
        <f t="shared" si="88"/>
        <v>#DIV/0!</v>
      </c>
      <c r="AI202" s="284"/>
      <c r="AJ202" s="284"/>
      <c r="AK202" s="282" t="e">
        <f t="shared" si="89"/>
        <v>#DIV/0!</v>
      </c>
      <c r="AL202" s="286" t="e">
        <f t="shared" si="74"/>
        <v>#DIV/0!</v>
      </c>
      <c r="AM202" s="286" t="e">
        <f t="shared" si="90"/>
        <v>#DIV/0!</v>
      </c>
      <c r="AN202" s="282" t="e">
        <f t="shared" si="91"/>
        <v>#DIV/0!</v>
      </c>
      <c r="AO202" s="86"/>
    </row>
    <row r="203" spans="1:41" s="96" customFormat="1" ht="15.75" customHeight="1" x14ac:dyDescent="0.3">
      <c r="A203" s="279"/>
      <c r="B203" s="279"/>
      <c r="C203" s="280"/>
      <c r="D203" s="280"/>
      <c r="E203" s="281"/>
      <c r="F203" s="281"/>
      <c r="G203" s="282" t="e">
        <f t="shared" si="75"/>
        <v>#DIV/0!</v>
      </c>
      <c r="H203" s="281"/>
      <c r="I203" s="283"/>
      <c r="J203" s="282" t="e">
        <f t="shared" si="76"/>
        <v>#DIV/0!</v>
      </c>
      <c r="K203" s="281">
        <f t="shared" si="70"/>
        <v>0</v>
      </c>
      <c r="L203" s="281">
        <f t="shared" si="77"/>
        <v>0</v>
      </c>
      <c r="M203" s="282" t="e">
        <f t="shared" si="78"/>
        <v>#DIV/0!</v>
      </c>
      <c r="N203" s="283" t="e">
        <f t="shared" si="71"/>
        <v>#DIV/0!</v>
      </c>
      <c r="O203" s="283" t="e">
        <f t="shared" si="79"/>
        <v>#DIV/0!</v>
      </c>
      <c r="P203" s="282" t="e">
        <f t="shared" si="80"/>
        <v>#DIV/0!</v>
      </c>
      <c r="Q203" s="283" t="e">
        <f t="shared" si="72"/>
        <v>#DIV/0!</v>
      </c>
      <c r="R203" s="283" t="e">
        <f t="shared" si="81"/>
        <v>#DIV/0!</v>
      </c>
      <c r="S203" s="282" t="e">
        <f t="shared" si="82"/>
        <v>#DIV/0!</v>
      </c>
      <c r="T203" s="284"/>
      <c r="U203" s="284"/>
      <c r="V203" s="282" t="e">
        <f t="shared" si="83"/>
        <v>#DIV/0!</v>
      </c>
      <c r="W203" s="284"/>
      <c r="X203" s="284"/>
      <c r="Y203" s="282" t="e">
        <f t="shared" si="84"/>
        <v>#DIV/0!</v>
      </c>
      <c r="Z203" s="284" t="e">
        <f t="shared" si="73"/>
        <v>#DIV/0!</v>
      </c>
      <c r="AA203" s="284" t="e">
        <f t="shared" si="85"/>
        <v>#DIV/0!</v>
      </c>
      <c r="AB203" s="282" t="e">
        <f t="shared" si="86"/>
        <v>#DIV/0!</v>
      </c>
      <c r="AC203" s="285"/>
      <c r="AD203" s="284"/>
      <c r="AE203" s="282" t="e">
        <f t="shared" si="87"/>
        <v>#DIV/0!</v>
      </c>
      <c r="AF203" s="284"/>
      <c r="AG203" s="284"/>
      <c r="AH203" s="86" t="e">
        <f t="shared" si="88"/>
        <v>#DIV/0!</v>
      </c>
      <c r="AI203" s="284"/>
      <c r="AJ203" s="284"/>
      <c r="AK203" s="282" t="e">
        <f t="shared" si="89"/>
        <v>#DIV/0!</v>
      </c>
      <c r="AL203" s="286" t="e">
        <f t="shared" si="74"/>
        <v>#DIV/0!</v>
      </c>
      <c r="AM203" s="286" t="e">
        <f t="shared" si="90"/>
        <v>#DIV/0!</v>
      </c>
      <c r="AN203" s="282" t="e">
        <f t="shared" si="91"/>
        <v>#DIV/0!</v>
      </c>
      <c r="AO203" s="86"/>
    </row>
    <row r="204" spans="1:41" s="96" customFormat="1" ht="15.75" customHeight="1" x14ac:dyDescent="0.3">
      <c r="A204" s="279"/>
      <c r="B204" s="279"/>
      <c r="C204" s="280"/>
      <c r="D204" s="280"/>
      <c r="E204" s="281"/>
      <c r="F204" s="281"/>
      <c r="G204" s="282" t="e">
        <f t="shared" si="75"/>
        <v>#DIV/0!</v>
      </c>
      <c r="H204" s="281"/>
      <c r="I204" s="283"/>
      <c r="J204" s="282" t="e">
        <f t="shared" si="76"/>
        <v>#DIV/0!</v>
      </c>
      <c r="K204" s="281">
        <f t="shared" si="70"/>
        <v>0</v>
      </c>
      <c r="L204" s="281">
        <f t="shared" si="77"/>
        <v>0</v>
      </c>
      <c r="M204" s="282" t="e">
        <f t="shared" si="78"/>
        <v>#DIV/0!</v>
      </c>
      <c r="N204" s="283" t="e">
        <f t="shared" si="71"/>
        <v>#DIV/0!</v>
      </c>
      <c r="O204" s="283" t="e">
        <f t="shared" si="79"/>
        <v>#DIV/0!</v>
      </c>
      <c r="P204" s="282" t="e">
        <f t="shared" si="80"/>
        <v>#DIV/0!</v>
      </c>
      <c r="Q204" s="283" t="e">
        <f t="shared" si="72"/>
        <v>#DIV/0!</v>
      </c>
      <c r="R204" s="283" t="e">
        <f t="shared" si="81"/>
        <v>#DIV/0!</v>
      </c>
      <c r="S204" s="282" t="e">
        <f t="shared" si="82"/>
        <v>#DIV/0!</v>
      </c>
      <c r="T204" s="284"/>
      <c r="U204" s="284"/>
      <c r="V204" s="282" t="e">
        <f t="shared" si="83"/>
        <v>#DIV/0!</v>
      </c>
      <c r="W204" s="284"/>
      <c r="X204" s="284"/>
      <c r="Y204" s="282" t="e">
        <f t="shared" si="84"/>
        <v>#DIV/0!</v>
      </c>
      <c r="Z204" s="284" t="e">
        <f t="shared" si="73"/>
        <v>#DIV/0!</v>
      </c>
      <c r="AA204" s="284" t="e">
        <f t="shared" si="85"/>
        <v>#DIV/0!</v>
      </c>
      <c r="AB204" s="282" t="e">
        <f t="shared" si="86"/>
        <v>#DIV/0!</v>
      </c>
      <c r="AC204" s="285"/>
      <c r="AD204" s="284"/>
      <c r="AE204" s="282" t="e">
        <f t="shared" si="87"/>
        <v>#DIV/0!</v>
      </c>
      <c r="AF204" s="284"/>
      <c r="AG204" s="284"/>
      <c r="AH204" s="86" t="e">
        <f t="shared" si="88"/>
        <v>#DIV/0!</v>
      </c>
      <c r="AI204" s="284"/>
      <c r="AJ204" s="284"/>
      <c r="AK204" s="282" t="e">
        <f t="shared" si="89"/>
        <v>#DIV/0!</v>
      </c>
      <c r="AL204" s="286" t="e">
        <f t="shared" si="74"/>
        <v>#DIV/0!</v>
      </c>
      <c r="AM204" s="286" t="e">
        <f t="shared" si="90"/>
        <v>#DIV/0!</v>
      </c>
      <c r="AN204" s="282" t="e">
        <f t="shared" si="91"/>
        <v>#DIV/0!</v>
      </c>
      <c r="AO204" s="86"/>
    </row>
    <row r="205" spans="1:41" s="96" customFormat="1" ht="15.75" customHeight="1" x14ac:dyDescent="0.3">
      <c r="A205" s="279"/>
      <c r="B205" s="279"/>
      <c r="C205" s="280"/>
      <c r="D205" s="297" t="s">
        <v>274</v>
      </c>
      <c r="E205" s="281"/>
      <c r="F205" s="281">
        <v>617</v>
      </c>
      <c r="G205" s="282">
        <f t="shared" si="75"/>
        <v>-1</v>
      </c>
      <c r="H205" s="281"/>
      <c r="I205" s="283">
        <v>6962.5</v>
      </c>
      <c r="J205" s="282">
        <f t="shared" si="76"/>
        <v>-1</v>
      </c>
      <c r="K205" s="281">
        <f t="shared" si="70"/>
        <v>0</v>
      </c>
      <c r="L205" s="281">
        <f t="shared" si="77"/>
        <v>7554.3125</v>
      </c>
      <c r="M205" s="282">
        <f t="shared" si="78"/>
        <v>-1</v>
      </c>
      <c r="N205" s="283" t="e">
        <f t="shared" si="71"/>
        <v>#DIV/0!</v>
      </c>
      <c r="O205" s="283">
        <f t="shared" si="79"/>
        <v>8.8617594254937163E-2</v>
      </c>
      <c r="P205" s="282" t="e">
        <f t="shared" si="80"/>
        <v>#DIV/0!</v>
      </c>
      <c r="Q205" s="283" t="e">
        <f t="shared" si="72"/>
        <v>#DIV/0!</v>
      </c>
      <c r="R205" s="283">
        <f t="shared" si="81"/>
        <v>8.1675202078283105E-2</v>
      </c>
      <c r="S205" s="282" t="e">
        <f t="shared" si="82"/>
        <v>#DIV/0!</v>
      </c>
      <c r="T205" s="284">
        <v>14</v>
      </c>
      <c r="U205" s="284">
        <v>3498</v>
      </c>
      <c r="V205" s="282">
        <f t="shared" si="83"/>
        <v>-0.9959977129788451</v>
      </c>
      <c r="W205" s="284"/>
      <c r="X205" s="284">
        <v>5</v>
      </c>
      <c r="Y205" s="282">
        <f t="shared" si="84"/>
        <v>-1</v>
      </c>
      <c r="Z205" s="284" t="e">
        <f t="shared" si="73"/>
        <v>#DIV/0!</v>
      </c>
      <c r="AA205" s="284">
        <f t="shared" si="85"/>
        <v>123.4</v>
      </c>
      <c r="AB205" s="282" t="e">
        <f t="shared" si="86"/>
        <v>#DIV/0!</v>
      </c>
      <c r="AC205" s="285"/>
      <c r="AD205" s="284">
        <v>598383</v>
      </c>
      <c r="AE205" s="282">
        <f t="shared" si="87"/>
        <v>-1</v>
      </c>
      <c r="AF205" s="284"/>
      <c r="AG205" s="284">
        <v>11454</v>
      </c>
      <c r="AH205" s="86">
        <f t="shared" si="88"/>
        <v>-1</v>
      </c>
      <c r="AI205" s="284"/>
      <c r="AJ205" s="284">
        <v>1120146</v>
      </c>
      <c r="AK205" s="282">
        <f t="shared" si="89"/>
        <v>-1</v>
      </c>
      <c r="AL205" s="286" t="e">
        <f t="shared" si="74"/>
        <v>#DIV/0!</v>
      </c>
      <c r="AM205" s="286">
        <f t="shared" si="90"/>
        <v>1.022545275348035E-2</v>
      </c>
      <c r="AN205" s="282" t="e">
        <f t="shared" si="91"/>
        <v>#DIV/0!</v>
      </c>
      <c r="AO205" s="86"/>
    </row>
    <row r="206" spans="1:41" s="81" customFormat="1" ht="15.75" customHeight="1" x14ac:dyDescent="0.3">
      <c r="A206" s="49" t="s">
        <v>68</v>
      </c>
      <c r="B206" s="49" t="s">
        <v>71</v>
      </c>
      <c r="C206" s="50">
        <f>C200+7</f>
        <v>42972</v>
      </c>
      <c r="D206" s="50" t="s">
        <v>28</v>
      </c>
      <c r="E206" s="55">
        <f>SUM(E207:E211)</f>
        <v>0</v>
      </c>
      <c r="F206" s="55">
        <f>SUM(F207:F211)</f>
        <v>152</v>
      </c>
      <c r="G206" s="52">
        <f t="shared" si="75"/>
        <v>-1</v>
      </c>
      <c r="H206" s="55">
        <f>SUM(H207:H211)</f>
        <v>0</v>
      </c>
      <c r="I206" s="55">
        <f>SUM(I207:I211)</f>
        <v>6820.43</v>
      </c>
      <c r="J206" s="52">
        <f t="shared" si="76"/>
        <v>-1</v>
      </c>
      <c r="K206" s="51">
        <f t="shared" si="70"/>
        <v>0</v>
      </c>
      <c r="L206" s="51">
        <f t="shared" si="77"/>
        <v>7400.1665499999999</v>
      </c>
      <c r="M206" s="52">
        <f t="shared" si="78"/>
        <v>-1</v>
      </c>
      <c r="N206" s="53" t="e">
        <f t="shared" si="71"/>
        <v>#DIV/0!</v>
      </c>
      <c r="O206" s="53">
        <f t="shared" si="79"/>
        <v>2.2285984901245229E-2</v>
      </c>
      <c r="P206" s="52" t="e">
        <f t="shared" si="80"/>
        <v>#DIV/0!</v>
      </c>
      <c r="Q206" s="53" t="e">
        <f t="shared" si="72"/>
        <v>#DIV/0!</v>
      </c>
      <c r="R206" s="53">
        <f t="shared" si="81"/>
        <v>2.0540078249995604E-2</v>
      </c>
      <c r="S206" s="52" t="e">
        <f t="shared" si="82"/>
        <v>#DIV/0!</v>
      </c>
      <c r="T206" s="56">
        <f>SUM(T207:T211)</f>
        <v>0</v>
      </c>
      <c r="U206" s="56">
        <f>SUM(U207:U211)</f>
        <v>1901</v>
      </c>
      <c r="V206" s="52">
        <f t="shared" si="83"/>
        <v>-1</v>
      </c>
      <c r="W206" s="56">
        <f>SUM(W207:W211)</f>
        <v>0</v>
      </c>
      <c r="X206" s="56">
        <f>SUM(X207:X211)</f>
        <v>2</v>
      </c>
      <c r="Y206" s="52">
        <f t="shared" si="84"/>
        <v>-1</v>
      </c>
      <c r="Z206" s="51" t="e">
        <f t="shared" si="73"/>
        <v>#DIV/0!</v>
      </c>
      <c r="AA206" s="54">
        <f t="shared" si="85"/>
        <v>76</v>
      </c>
      <c r="AB206" s="52" t="e">
        <f t="shared" si="86"/>
        <v>#DIV/0!</v>
      </c>
      <c r="AC206" s="56">
        <f>SUM(AC207:AC211)</f>
        <v>0</v>
      </c>
      <c r="AD206" s="56">
        <f>SUM(AD207:AD211)</f>
        <v>580092</v>
      </c>
      <c r="AE206" s="52">
        <f t="shared" si="87"/>
        <v>-1</v>
      </c>
      <c r="AF206" s="56">
        <f>SUM(AF207:AF211)</f>
        <v>0</v>
      </c>
      <c r="AG206" s="56">
        <f>SUM(AG207:AG211)</f>
        <v>9380</v>
      </c>
      <c r="AH206" s="67">
        <f t="shared" si="88"/>
        <v>-1</v>
      </c>
      <c r="AI206" s="56">
        <f>SUM(AI207:AI211)</f>
        <v>0</v>
      </c>
      <c r="AJ206" s="56">
        <f>SUM(AJ207:AJ211)</f>
        <v>1081843</v>
      </c>
      <c r="AK206" s="52">
        <f t="shared" si="89"/>
        <v>-1</v>
      </c>
      <c r="AL206" s="82" t="e">
        <f t="shared" si="74"/>
        <v>#DIV/0!</v>
      </c>
      <c r="AM206" s="82">
        <f t="shared" si="90"/>
        <v>8.6703893263625122E-3</v>
      </c>
      <c r="AN206" s="52" t="e">
        <f>(AL206-AM206)/AM206</f>
        <v>#DIV/0!</v>
      </c>
      <c r="AO206" s="86"/>
    </row>
    <row r="207" spans="1:41" s="96" customFormat="1" ht="15.75" customHeight="1" x14ac:dyDescent="0.3">
      <c r="A207" s="279"/>
      <c r="B207" s="279"/>
      <c r="C207" s="280"/>
      <c r="D207" s="280"/>
      <c r="E207" s="281"/>
      <c r="F207" s="281"/>
      <c r="G207" s="282" t="e">
        <f t="shared" si="75"/>
        <v>#DIV/0!</v>
      </c>
      <c r="H207" s="281"/>
      <c r="I207" s="283"/>
      <c r="J207" s="282" t="e">
        <f t="shared" si="76"/>
        <v>#DIV/0!</v>
      </c>
      <c r="K207" s="281">
        <f t="shared" si="70"/>
        <v>0</v>
      </c>
      <c r="L207" s="281">
        <f t="shared" si="77"/>
        <v>0</v>
      </c>
      <c r="M207" s="282" t="e">
        <f t="shared" si="78"/>
        <v>#DIV/0!</v>
      </c>
      <c r="N207" s="283" t="e">
        <f t="shared" si="71"/>
        <v>#DIV/0!</v>
      </c>
      <c r="O207" s="283" t="e">
        <f t="shared" si="79"/>
        <v>#DIV/0!</v>
      </c>
      <c r="P207" s="282" t="e">
        <f t="shared" si="80"/>
        <v>#DIV/0!</v>
      </c>
      <c r="Q207" s="283" t="e">
        <f t="shared" si="72"/>
        <v>#DIV/0!</v>
      </c>
      <c r="R207" s="283" t="e">
        <f t="shared" si="81"/>
        <v>#DIV/0!</v>
      </c>
      <c r="S207" s="282" t="e">
        <f t="shared" si="82"/>
        <v>#DIV/0!</v>
      </c>
      <c r="T207" s="284"/>
      <c r="U207" s="284"/>
      <c r="V207" s="282" t="e">
        <f t="shared" si="83"/>
        <v>#DIV/0!</v>
      </c>
      <c r="W207" s="284"/>
      <c r="X207" s="284"/>
      <c r="Y207" s="282" t="e">
        <f t="shared" si="84"/>
        <v>#DIV/0!</v>
      </c>
      <c r="Z207" s="284" t="e">
        <f t="shared" si="73"/>
        <v>#DIV/0!</v>
      </c>
      <c r="AA207" s="284" t="e">
        <f t="shared" si="85"/>
        <v>#DIV/0!</v>
      </c>
      <c r="AB207" s="282" t="e">
        <f t="shared" si="86"/>
        <v>#DIV/0!</v>
      </c>
      <c r="AC207" s="285"/>
      <c r="AD207" s="284"/>
      <c r="AE207" s="282" t="e">
        <f t="shared" si="87"/>
        <v>#DIV/0!</v>
      </c>
      <c r="AF207" s="284"/>
      <c r="AG207" s="284"/>
      <c r="AH207" s="86" t="e">
        <f t="shared" si="88"/>
        <v>#DIV/0!</v>
      </c>
      <c r="AI207" s="284"/>
      <c r="AJ207" s="284"/>
      <c r="AK207" s="282" t="e">
        <f t="shared" si="89"/>
        <v>#DIV/0!</v>
      </c>
      <c r="AL207" s="286" t="e">
        <f t="shared" si="74"/>
        <v>#DIV/0!</v>
      </c>
      <c r="AM207" s="286" t="e">
        <f t="shared" si="90"/>
        <v>#DIV/0!</v>
      </c>
      <c r="AN207" s="282" t="e">
        <f t="shared" si="91"/>
        <v>#DIV/0!</v>
      </c>
      <c r="AO207" s="86"/>
    </row>
    <row r="208" spans="1:41" s="96" customFormat="1" ht="15.75" customHeight="1" x14ac:dyDescent="0.3">
      <c r="A208" s="279"/>
      <c r="B208" s="279"/>
      <c r="C208" s="280"/>
      <c r="D208" s="280"/>
      <c r="E208" s="281"/>
      <c r="F208" s="281"/>
      <c r="G208" s="282" t="e">
        <f t="shared" si="75"/>
        <v>#DIV/0!</v>
      </c>
      <c r="H208" s="281"/>
      <c r="I208" s="283"/>
      <c r="J208" s="282" t="e">
        <f t="shared" si="76"/>
        <v>#DIV/0!</v>
      </c>
      <c r="K208" s="281">
        <f t="shared" si="70"/>
        <v>0</v>
      </c>
      <c r="L208" s="281">
        <f t="shared" si="77"/>
        <v>0</v>
      </c>
      <c r="M208" s="282" t="e">
        <f t="shared" si="78"/>
        <v>#DIV/0!</v>
      </c>
      <c r="N208" s="283" t="e">
        <f t="shared" si="71"/>
        <v>#DIV/0!</v>
      </c>
      <c r="O208" s="283" t="e">
        <f t="shared" si="79"/>
        <v>#DIV/0!</v>
      </c>
      <c r="P208" s="282" t="e">
        <f t="shared" si="80"/>
        <v>#DIV/0!</v>
      </c>
      <c r="Q208" s="283" t="e">
        <f t="shared" si="72"/>
        <v>#DIV/0!</v>
      </c>
      <c r="R208" s="283" t="e">
        <f t="shared" si="81"/>
        <v>#DIV/0!</v>
      </c>
      <c r="S208" s="282" t="e">
        <f t="shared" si="82"/>
        <v>#DIV/0!</v>
      </c>
      <c r="T208" s="284"/>
      <c r="U208" s="284"/>
      <c r="V208" s="282" t="e">
        <f t="shared" si="83"/>
        <v>#DIV/0!</v>
      </c>
      <c r="W208" s="284"/>
      <c r="X208" s="284"/>
      <c r="Y208" s="282" t="e">
        <f t="shared" si="84"/>
        <v>#DIV/0!</v>
      </c>
      <c r="Z208" s="284" t="e">
        <f t="shared" si="73"/>
        <v>#DIV/0!</v>
      </c>
      <c r="AA208" s="284" t="e">
        <f t="shared" si="85"/>
        <v>#DIV/0!</v>
      </c>
      <c r="AB208" s="282" t="e">
        <f t="shared" si="86"/>
        <v>#DIV/0!</v>
      </c>
      <c r="AC208" s="285"/>
      <c r="AD208" s="284"/>
      <c r="AE208" s="282" t="e">
        <f t="shared" si="87"/>
        <v>#DIV/0!</v>
      </c>
      <c r="AF208" s="284"/>
      <c r="AG208" s="284"/>
      <c r="AH208" s="86" t="e">
        <f t="shared" si="88"/>
        <v>#DIV/0!</v>
      </c>
      <c r="AI208" s="284"/>
      <c r="AJ208" s="284"/>
      <c r="AK208" s="282" t="e">
        <f t="shared" si="89"/>
        <v>#DIV/0!</v>
      </c>
      <c r="AL208" s="286" t="e">
        <f t="shared" si="74"/>
        <v>#DIV/0!</v>
      </c>
      <c r="AM208" s="286" t="e">
        <f t="shared" si="90"/>
        <v>#DIV/0!</v>
      </c>
      <c r="AN208" s="282" t="e">
        <f t="shared" si="91"/>
        <v>#DIV/0!</v>
      </c>
      <c r="AO208" s="86"/>
    </row>
    <row r="209" spans="1:41" s="96" customFormat="1" ht="15.75" customHeight="1" x14ac:dyDescent="0.3">
      <c r="A209" s="279"/>
      <c r="B209" s="279"/>
      <c r="C209" s="280"/>
      <c r="D209" s="280"/>
      <c r="E209" s="281"/>
      <c r="F209" s="281"/>
      <c r="G209" s="282" t="e">
        <f t="shared" si="75"/>
        <v>#DIV/0!</v>
      </c>
      <c r="H209" s="281"/>
      <c r="I209" s="283"/>
      <c r="J209" s="282" t="e">
        <f t="shared" si="76"/>
        <v>#DIV/0!</v>
      </c>
      <c r="K209" s="281">
        <f t="shared" si="70"/>
        <v>0</v>
      </c>
      <c r="L209" s="281">
        <f t="shared" si="77"/>
        <v>0</v>
      </c>
      <c r="M209" s="282" t="e">
        <f t="shared" si="78"/>
        <v>#DIV/0!</v>
      </c>
      <c r="N209" s="283" t="e">
        <f t="shared" si="71"/>
        <v>#DIV/0!</v>
      </c>
      <c r="O209" s="283" t="e">
        <f t="shared" si="79"/>
        <v>#DIV/0!</v>
      </c>
      <c r="P209" s="282" t="e">
        <f t="shared" si="80"/>
        <v>#DIV/0!</v>
      </c>
      <c r="Q209" s="283" t="e">
        <f t="shared" si="72"/>
        <v>#DIV/0!</v>
      </c>
      <c r="R209" s="283" t="e">
        <f t="shared" si="81"/>
        <v>#DIV/0!</v>
      </c>
      <c r="S209" s="282" t="e">
        <f t="shared" si="82"/>
        <v>#DIV/0!</v>
      </c>
      <c r="T209" s="284"/>
      <c r="U209" s="284"/>
      <c r="V209" s="282" t="e">
        <f t="shared" si="83"/>
        <v>#DIV/0!</v>
      </c>
      <c r="W209" s="284"/>
      <c r="X209" s="284"/>
      <c r="Y209" s="282" t="e">
        <f t="shared" si="84"/>
        <v>#DIV/0!</v>
      </c>
      <c r="Z209" s="284" t="e">
        <f t="shared" si="73"/>
        <v>#DIV/0!</v>
      </c>
      <c r="AA209" s="284" t="e">
        <f t="shared" si="85"/>
        <v>#DIV/0!</v>
      </c>
      <c r="AB209" s="282" t="e">
        <f t="shared" si="86"/>
        <v>#DIV/0!</v>
      </c>
      <c r="AC209" s="285"/>
      <c r="AD209" s="284"/>
      <c r="AE209" s="282" t="e">
        <f t="shared" si="87"/>
        <v>#DIV/0!</v>
      </c>
      <c r="AF209" s="284"/>
      <c r="AG209" s="284"/>
      <c r="AH209" s="86" t="e">
        <f t="shared" si="88"/>
        <v>#DIV/0!</v>
      </c>
      <c r="AI209" s="284"/>
      <c r="AJ209" s="284"/>
      <c r="AK209" s="282" t="e">
        <f t="shared" si="89"/>
        <v>#DIV/0!</v>
      </c>
      <c r="AL209" s="286" t="e">
        <f t="shared" si="74"/>
        <v>#DIV/0!</v>
      </c>
      <c r="AM209" s="286" t="e">
        <f t="shared" si="90"/>
        <v>#DIV/0!</v>
      </c>
      <c r="AN209" s="282" t="e">
        <f t="shared" si="91"/>
        <v>#DIV/0!</v>
      </c>
      <c r="AO209" s="86"/>
    </row>
    <row r="210" spans="1:41" s="96" customFormat="1" ht="15.75" customHeight="1" x14ac:dyDescent="0.3">
      <c r="A210" s="279"/>
      <c r="B210" s="279"/>
      <c r="C210" s="280"/>
      <c r="D210" s="280"/>
      <c r="E210" s="281"/>
      <c r="F210" s="281"/>
      <c r="G210" s="282" t="e">
        <f t="shared" si="75"/>
        <v>#DIV/0!</v>
      </c>
      <c r="H210" s="281"/>
      <c r="I210" s="283"/>
      <c r="J210" s="282" t="e">
        <f t="shared" si="76"/>
        <v>#DIV/0!</v>
      </c>
      <c r="K210" s="281">
        <f t="shared" si="70"/>
        <v>0</v>
      </c>
      <c r="L210" s="281">
        <f t="shared" si="77"/>
        <v>0</v>
      </c>
      <c r="M210" s="282" t="e">
        <f t="shared" si="78"/>
        <v>#DIV/0!</v>
      </c>
      <c r="N210" s="283" t="e">
        <f t="shared" si="71"/>
        <v>#DIV/0!</v>
      </c>
      <c r="O210" s="283" t="e">
        <f t="shared" si="79"/>
        <v>#DIV/0!</v>
      </c>
      <c r="P210" s="282" t="e">
        <f t="shared" si="80"/>
        <v>#DIV/0!</v>
      </c>
      <c r="Q210" s="283" t="e">
        <f t="shared" si="72"/>
        <v>#DIV/0!</v>
      </c>
      <c r="R210" s="283" t="e">
        <f t="shared" si="81"/>
        <v>#DIV/0!</v>
      </c>
      <c r="S210" s="282" t="e">
        <f t="shared" si="82"/>
        <v>#DIV/0!</v>
      </c>
      <c r="T210" s="284"/>
      <c r="U210" s="284"/>
      <c r="V210" s="282" t="e">
        <f t="shared" si="83"/>
        <v>#DIV/0!</v>
      </c>
      <c r="W210" s="284"/>
      <c r="X210" s="284"/>
      <c r="Y210" s="282" t="e">
        <f t="shared" si="84"/>
        <v>#DIV/0!</v>
      </c>
      <c r="Z210" s="284" t="e">
        <f t="shared" si="73"/>
        <v>#DIV/0!</v>
      </c>
      <c r="AA210" s="284" t="e">
        <f t="shared" si="85"/>
        <v>#DIV/0!</v>
      </c>
      <c r="AB210" s="282" t="e">
        <f t="shared" si="86"/>
        <v>#DIV/0!</v>
      </c>
      <c r="AC210" s="285"/>
      <c r="AD210" s="284"/>
      <c r="AE210" s="282" t="e">
        <f t="shared" si="87"/>
        <v>#DIV/0!</v>
      </c>
      <c r="AF210" s="284"/>
      <c r="AG210" s="284"/>
      <c r="AH210" s="86" t="e">
        <f t="shared" si="88"/>
        <v>#DIV/0!</v>
      </c>
      <c r="AI210" s="284"/>
      <c r="AJ210" s="284"/>
      <c r="AK210" s="282" t="e">
        <f t="shared" si="89"/>
        <v>#DIV/0!</v>
      </c>
      <c r="AL210" s="286" t="e">
        <f t="shared" si="74"/>
        <v>#DIV/0!</v>
      </c>
      <c r="AM210" s="286" t="e">
        <f t="shared" si="90"/>
        <v>#DIV/0!</v>
      </c>
      <c r="AN210" s="282" t="e">
        <f t="shared" si="91"/>
        <v>#DIV/0!</v>
      </c>
      <c r="AO210" s="86"/>
    </row>
    <row r="211" spans="1:41" s="96" customFormat="1" ht="15.75" customHeight="1" x14ac:dyDescent="0.3">
      <c r="A211" s="279"/>
      <c r="B211" s="279"/>
      <c r="C211" s="280"/>
      <c r="D211" s="297" t="s">
        <v>274</v>
      </c>
      <c r="E211" s="281"/>
      <c r="F211" s="281">
        <v>152</v>
      </c>
      <c r="G211" s="282">
        <f t="shared" si="75"/>
        <v>-1</v>
      </c>
      <c r="H211" s="281"/>
      <c r="I211" s="283">
        <v>6820.43</v>
      </c>
      <c r="J211" s="282">
        <f t="shared" si="76"/>
        <v>-1</v>
      </c>
      <c r="K211" s="281">
        <f t="shared" si="70"/>
        <v>0</v>
      </c>
      <c r="L211" s="281">
        <f t="shared" si="77"/>
        <v>7400.1665499999999</v>
      </c>
      <c r="M211" s="282">
        <f t="shared" si="78"/>
        <v>-1</v>
      </c>
      <c r="N211" s="283" t="e">
        <f t="shared" si="71"/>
        <v>#DIV/0!</v>
      </c>
      <c r="O211" s="283">
        <f t="shared" si="79"/>
        <v>2.2285984901245229E-2</v>
      </c>
      <c r="P211" s="282" t="e">
        <f t="shared" si="80"/>
        <v>#DIV/0!</v>
      </c>
      <c r="Q211" s="283" t="e">
        <f t="shared" si="72"/>
        <v>#DIV/0!</v>
      </c>
      <c r="R211" s="283">
        <f t="shared" si="81"/>
        <v>2.0540078249995604E-2</v>
      </c>
      <c r="S211" s="282" t="e">
        <f t="shared" si="82"/>
        <v>#DIV/0!</v>
      </c>
      <c r="T211" s="284"/>
      <c r="U211" s="284">
        <v>1901</v>
      </c>
      <c r="V211" s="282">
        <f t="shared" si="83"/>
        <v>-1</v>
      </c>
      <c r="W211" s="284"/>
      <c r="X211" s="284">
        <v>2</v>
      </c>
      <c r="Y211" s="282">
        <f t="shared" si="84"/>
        <v>-1</v>
      </c>
      <c r="Z211" s="284" t="e">
        <f t="shared" si="73"/>
        <v>#DIV/0!</v>
      </c>
      <c r="AA211" s="284">
        <f t="shared" si="85"/>
        <v>76</v>
      </c>
      <c r="AB211" s="282" t="e">
        <f t="shared" si="86"/>
        <v>#DIV/0!</v>
      </c>
      <c r="AC211" s="285"/>
      <c r="AD211" s="284">
        <v>580092</v>
      </c>
      <c r="AE211" s="282">
        <f t="shared" si="87"/>
        <v>-1</v>
      </c>
      <c r="AF211" s="284"/>
      <c r="AG211" s="284">
        <v>9380</v>
      </c>
      <c r="AH211" s="86">
        <f t="shared" si="88"/>
        <v>-1</v>
      </c>
      <c r="AI211" s="284"/>
      <c r="AJ211" s="284">
        <v>1081843</v>
      </c>
      <c r="AK211" s="282">
        <f t="shared" si="89"/>
        <v>-1</v>
      </c>
      <c r="AL211" s="286" t="e">
        <f t="shared" si="74"/>
        <v>#DIV/0!</v>
      </c>
      <c r="AM211" s="286">
        <f t="shared" si="90"/>
        <v>8.6703893263625122E-3</v>
      </c>
      <c r="AN211" s="282" t="e">
        <f t="shared" si="91"/>
        <v>#DIV/0!</v>
      </c>
      <c r="AO211" s="86"/>
    </row>
    <row r="212" spans="1:41" s="81" customFormat="1" ht="15.75" customHeight="1" x14ac:dyDescent="0.3">
      <c r="A212" s="49" t="s">
        <v>68</v>
      </c>
      <c r="B212" s="49" t="s">
        <v>72</v>
      </c>
      <c r="C212" s="50">
        <f>C206+7</f>
        <v>42979</v>
      </c>
      <c r="D212" s="50" t="s">
        <v>28</v>
      </c>
      <c r="E212" s="55">
        <f>SUM(E213:E217)</f>
        <v>0</v>
      </c>
      <c r="F212" s="55">
        <f>SUM(F213:F217)</f>
        <v>0</v>
      </c>
      <c r="G212" s="52" t="e">
        <f t="shared" si="75"/>
        <v>#DIV/0!</v>
      </c>
      <c r="H212" s="55">
        <f>SUM(H213:H217)</f>
        <v>0</v>
      </c>
      <c r="I212" s="55">
        <f>SUM(I213:I217)</f>
        <v>0</v>
      </c>
      <c r="J212" s="52" t="e">
        <f t="shared" si="76"/>
        <v>#DIV/0!</v>
      </c>
      <c r="K212" s="51">
        <f t="shared" si="70"/>
        <v>0</v>
      </c>
      <c r="L212" s="51">
        <f t="shared" si="77"/>
        <v>0</v>
      </c>
      <c r="M212" s="52" t="e">
        <f t="shared" si="78"/>
        <v>#DIV/0!</v>
      </c>
      <c r="N212" s="53" t="e">
        <f t="shared" si="71"/>
        <v>#DIV/0!</v>
      </c>
      <c r="O212" s="53" t="e">
        <f t="shared" si="79"/>
        <v>#DIV/0!</v>
      </c>
      <c r="P212" s="52" t="e">
        <f t="shared" si="80"/>
        <v>#DIV/0!</v>
      </c>
      <c r="Q212" s="53" t="e">
        <f t="shared" si="72"/>
        <v>#DIV/0!</v>
      </c>
      <c r="R212" s="53" t="e">
        <f t="shared" si="81"/>
        <v>#DIV/0!</v>
      </c>
      <c r="S212" s="52" t="e">
        <f t="shared" si="82"/>
        <v>#DIV/0!</v>
      </c>
      <c r="T212" s="56">
        <f>SUM(T213:T217)</f>
        <v>14</v>
      </c>
      <c r="U212" s="56">
        <f>SUM(U213:U217)</f>
        <v>6</v>
      </c>
      <c r="V212" s="52">
        <f t="shared" si="83"/>
        <v>1.3333333333333333</v>
      </c>
      <c r="W212" s="56">
        <f>SUM(W213:W217)</f>
        <v>0</v>
      </c>
      <c r="X212" s="56">
        <f>SUM(X213:X217)</f>
        <v>0</v>
      </c>
      <c r="Y212" s="52" t="e">
        <f t="shared" si="84"/>
        <v>#DIV/0!</v>
      </c>
      <c r="Z212" s="51" t="e">
        <f t="shared" si="73"/>
        <v>#DIV/0!</v>
      </c>
      <c r="AA212" s="54" t="e">
        <f t="shared" si="85"/>
        <v>#DIV/0!</v>
      </c>
      <c r="AB212" s="52" t="e">
        <f t="shared" si="86"/>
        <v>#DIV/0!</v>
      </c>
      <c r="AC212" s="56">
        <f>SUM(AC213:AC217)</f>
        <v>0</v>
      </c>
      <c r="AD212" s="56">
        <f>SUM(AD213:AD217)</f>
        <v>0</v>
      </c>
      <c r="AE212" s="52" t="e">
        <f t="shared" si="87"/>
        <v>#DIV/0!</v>
      </c>
      <c r="AF212" s="56">
        <f>SUM(AF213:AF217)</f>
        <v>0</v>
      </c>
      <c r="AG212" s="56">
        <f>SUM(AG213:AG217)</f>
        <v>0</v>
      </c>
      <c r="AH212" s="67" t="e">
        <f t="shared" si="88"/>
        <v>#DIV/0!</v>
      </c>
      <c r="AI212" s="56">
        <f>SUM(AI213:AI217)</f>
        <v>0</v>
      </c>
      <c r="AJ212" s="56">
        <f>SUM(AJ213:AJ217)</f>
        <v>0</v>
      </c>
      <c r="AK212" s="52" t="e">
        <f t="shared" si="89"/>
        <v>#DIV/0!</v>
      </c>
      <c r="AL212" s="82" t="e">
        <f t="shared" si="74"/>
        <v>#DIV/0!</v>
      </c>
      <c r="AM212" s="82" t="e">
        <f t="shared" si="90"/>
        <v>#DIV/0!</v>
      </c>
      <c r="AN212" s="52" t="e">
        <f>(AL212-AM212)/AM212</f>
        <v>#DIV/0!</v>
      </c>
      <c r="AO212" s="68"/>
    </row>
    <row r="213" spans="1:41" s="96" customFormat="1" ht="15.75" customHeight="1" x14ac:dyDescent="0.3">
      <c r="A213" s="279"/>
      <c r="B213" s="279"/>
      <c r="C213" s="280"/>
      <c r="D213" s="280"/>
      <c r="E213" s="281"/>
      <c r="F213" s="281"/>
      <c r="G213" s="282" t="e">
        <f t="shared" si="75"/>
        <v>#DIV/0!</v>
      </c>
      <c r="H213" s="281"/>
      <c r="I213" s="283"/>
      <c r="J213" s="282" t="e">
        <f t="shared" si="76"/>
        <v>#DIV/0!</v>
      </c>
      <c r="K213" s="281">
        <f t="shared" si="70"/>
        <v>0</v>
      </c>
      <c r="L213" s="281">
        <f t="shared" si="77"/>
        <v>0</v>
      </c>
      <c r="M213" s="282" t="e">
        <f t="shared" si="78"/>
        <v>#DIV/0!</v>
      </c>
      <c r="N213" s="283" t="e">
        <f t="shared" si="71"/>
        <v>#DIV/0!</v>
      </c>
      <c r="O213" s="283" t="e">
        <f t="shared" si="79"/>
        <v>#DIV/0!</v>
      </c>
      <c r="P213" s="282" t="e">
        <f t="shared" si="80"/>
        <v>#DIV/0!</v>
      </c>
      <c r="Q213" s="283" t="e">
        <f t="shared" si="72"/>
        <v>#DIV/0!</v>
      </c>
      <c r="R213" s="283" t="e">
        <f t="shared" si="81"/>
        <v>#DIV/0!</v>
      </c>
      <c r="S213" s="282" t="e">
        <f t="shared" si="82"/>
        <v>#DIV/0!</v>
      </c>
      <c r="T213" s="284"/>
      <c r="U213" s="284"/>
      <c r="V213" s="282" t="e">
        <f t="shared" si="83"/>
        <v>#DIV/0!</v>
      </c>
      <c r="W213" s="284"/>
      <c r="X213" s="284"/>
      <c r="Y213" s="282" t="e">
        <f t="shared" si="84"/>
        <v>#DIV/0!</v>
      </c>
      <c r="Z213" s="284" t="e">
        <f t="shared" si="73"/>
        <v>#DIV/0!</v>
      </c>
      <c r="AA213" s="284" t="e">
        <f t="shared" si="85"/>
        <v>#DIV/0!</v>
      </c>
      <c r="AB213" s="282" t="e">
        <f t="shared" si="86"/>
        <v>#DIV/0!</v>
      </c>
      <c r="AC213" s="285"/>
      <c r="AD213" s="284"/>
      <c r="AE213" s="282" t="e">
        <f t="shared" si="87"/>
        <v>#DIV/0!</v>
      </c>
      <c r="AF213" s="284"/>
      <c r="AG213" s="284"/>
      <c r="AH213" s="86" t="e">
        <f t="shared" si="88"/>
        <v>#DIV/0!</v>
      </c>
      <c r="AI213" s="284"/>
      <c r="AJ213" s="284"/>
      <c r="AK213" s="282" t="e">
        <f t="shared" si="89"/>
        <v>#DIV/0!</v>
      </c>
      <c r="AL213" s="286" t="e">
        <f t="shared" si="74"/>
        <v>#DIV/0!</v>
      </c>
      <c r="AM213" s="286" t="e">
        <f t="shared" si="90"/>
        <v>#DIV/0!</v>
      </c>
      <c r="AN213" s="282" t="e">
        <f t="shared" si="91"/>
        <v>#DIV/0!</v>
      </c>
      <c r="AO213" s="86"/>
    </row>
    <row r="214" spans="1:41" s="96" customFormat="1" ht="15.75" customHeight="1" x14ac:dyDescent="0.3">
      <c r="A214" s="279"/>
      <c r="B214" s="279"/>
      <c r="C214" s="280"/>
      <c r="D214" s="280"/>
      <c r="E214" s="281"/>
      <c r="F214" s="281"/>
      <c r="G214" s="282" t="e">
        <f t="shared" si="75"/>
        <v>#DIV/0!</v>
      </c>
      <c r="H214" s="281"/>
      <c r="I214" s="283"/>
      <c r="J214" s="282" t="e">
        <f t="shared" si="76"/>
        <v>#DIV/0!</v>
      </c>
      <c r="K214" s="281">
        <f t="shared" si="70"/>
        <v>0</v>
      </c>
      <c r="L214" s="281">
        <f t="shared" si="77"/>
        <v>0</v>
      </c>
      <c r="M214" s="282" t="e">
        <f t="shared" si="78"/>
        <v>#DIV/0!</v>
      </c>
      <c r="N214" s="283" t="e">
        <f t="shared" si="71"/>
        <v>#DIV/0!</v>
      </c>
      <c r="O214" s="283" t="e">
        <f t="shared" si="79"/>
        <v>#DIV/0!</v>
      </c>
      <c r="P214" s="282" t="e">
        <f t="shared" si="80"/>
        <v>#DIV/0!</v>
      </c>
      <c r="Q214" s="283" t="e">
        <f t="shared" si="72"/>
        <v>#DIV/0!</v>
      </c>
      <c r="R214" s="283" t="e">
        <f t="shared" si="81"/>
        <v>#DIV/0!</v>
      </c>
      <c r="S214" s="282" t="e">
        <f t="shared" si="82"/>
        <v>#DIV/0!</v>
      </c>
      <c r="T214" s="284"/>
      <c r="U214" s="284"/>
      <c r="V214" s="282" t="e">
        <f t="shared" si="83"/>
        <v>#DIV/0!</v>
      </c>
      <c r="W214" s="284"/>
      <c r="X214" s="284"/>
      <c r="Y214" s="282" t="e">
        <f t="shared" si="84"/>
        <v>#DIV/0!</v>
      </c>
      <c r="Z214" s="284" t="e">
        <f t="shared" si="73"/>
        <v>#DIV/0!</v>
      </c>
      <c r="AA214" s="284" t="e">
        <f t="shared" si="85"/>
        <v>#DIV/0!</v>
      </c>
      <c r="AB214" s="282" t="e">
        <f t="shared" si="86"/>
        <v>#DIV/0!</v>
      </c>
      <c r="AC214" s="285"/>
      <c r="AD214" s="284"/>
      <c r="AE214" s="282" t="e">
        <f t="shared" si="87"/>
        <v>#DIV/0!</v>
      </c>
      <c r="AF214" s="284"/>
      <c r="AG214" s="284"/>
      <c r="AH214" s="86" t="e">
        <f t="shared" si="88"/>
        <v>#DIV/0!</v>
      </c>
      <c r="AI214" s="284"/>
      <c r="AJ214" s="284"/>
      <c r="AK214" s="282" t="e">
        <f t="shared" si="89"/>
        <v>#DIV/0!</v>
      </c>
      <c r="AL214" s="286" t="e">
        <f t="shared" si="74"/>
        <v>#DIV/0!</v>
      </c>
      <c r="AM214" s="286" t="e">
        <f t="shared" si="90"/>
        <v>#DIV/0!</v>
      </c>
      <c r="AN214" s="282" t="e">
        <f t="shared" si="91"/>
        <v>#DIV/0!</v>
      </c>
      <c r="AO214" s="86"/>
    </row>
    <row r="215" spans="1:41" s="96" customFormat="1" ht="15.75" customHeight="1" x14ac:dyDescent="0.3">
      <c r="A215" s="279"/>
      <c r="B215" s="279"/>
      <c r="C215" s="280"/>
      <c r="D215" s="280"/>
      <c r="E215" s="281"/>
      <c r="F215" s="281"/>
      <c r="G215" s="282" t="e">
        <f t="shared" si="75"/>
        <v>#DIV/0!</v>
      </c>
      <c r="H215" s="281"/>
      <c r="I215" s="283"/>
      <c r="J215" s="282" t="e">
        <f t="shared" si="76"/>
        <v>#DIV/0!</v>
      </c>
      <c r="K215" s="281">
        <f t="shared" si="70"/>
        <v>0</v>
      </c>
      <c r="L215" s="281">
        <f t="shared" si="77"/>
        <v>0</v>
      </c>
      <c r="M215" s="282" t="e">
        <f t="shared" si="78"/>
        <v>#DIV/0!</v>
      </c>
      <c r="N215" s="283" t="e">
        <f t="shared" si="71"/>
        <v>#DIV/0!</v>
      </c>
      <c r="O215" s="283" t="e">
        <f t="shared" si="79"/>
        <v>#DIV/0!</v>
      </c>
      <c r="P215" s="282" t="e">
        <f t="shared" si="80"/>
        <v>#DIV/0!</v>
      </c>
      <c r="Q215" s="283" t="e">
        <f t="shared" si="72"/>
        <v>#DIV/0!</v>
      </c>
      <c r="R215" s="283" t="e">
        <f t="shared" si="81"/>
        <v>#DIV/0!</v>
      </c>
      <c r="S215" s="282" t="e">
        <f t="shared" si="82"/>
        <v>#DIV/0!</v>
      </c>
      <c r="T215" s="284"/>
      <c r="U215" s="284"/>
      <c r="V215" s="282" t="e">
        <f t="shared" si="83"/>
        <v>#DIV/0!</v>
      </c>
      <c r="W215" s="284"/>
      <c r="X215" s="284"/>
      <c r="Y215" s="282" t="e">
        <f t="shared" si="84"/>
        <v>#DIV/0!</v>
      </c>
      <c r="Z215" s="284" t="e">
        <f t="shared" si="73"/>
        <v>#DIV/0!</v>
      </c>
      <c r="AA215" s="284" t="e">
        <f t="shared" si="85"/>
        <v>#DIV/0!</v>
      </c>
      <c r="AB215" s="282" t="e">
        <f t="shared" si="86"/>
        <v>#DIV/0!</v>
      </c>
      <c r="AC215" s="285"/>
      <c r="AD215" s="284"/>
      <c r="AE215" s="282" t="e">
        <f t="shared" si="87"/>
        <v>#DIV/0!</v>
      </c>
      <c r="AF215" s="284"/>
      <c r="AG215" s="284"/>
      <c r="AH215" s="86" t="e">
        <f t="shared" si="88"/>
        <v>#DIV/0!</v>
      </c>
      <c r="AI215" s="284"/>
      <c r="AJ215" s="284"/>
      <c r="AK215" s="282" t="e">
        <f t="shared" si="89"/>
        <v>#DIV/0!</v>
      </c>
      <c r="AL215" s="286" t="e">
        <f t="shared" si="74"/>
        <v>#DIV/0!</v>
      </c>
      <c r="AM215" s="286" t="e">
        <f t="shared" si="90"/>
        <v>#DIV/0!</v>
      </c>
      <c r="AN215" s="282" t="e">
        <f t="shared" si="91"/>
        <v>#DIV/0!</v>
      </c>
      <c r="AO215" s="86"/>
    </row>
    <row r="216" spans="1:41" s="96" customFormat="1" ht="15.75" customHeight="1" x14ac:dyDescent="0.3">
      <c r="A216" s="279"/>
      <c r="B216" s="279"/>
      <c r="C216" s="280"/>
      <c r="D216" s="280"/>
      <c r="E216" s="281"/>
      <c r="F216" s="281"/>
      <c r="G216" s="282" t="e">
        <f t="shared" si="75"/>
        <v>#DIV/0!</v>
      </c>
      <c r="H216" s="281"/>
      <c r="I216" s="283"/>
      <c r="J216" s="282" t="e">
        <f t="shared" si="76"/>
        <v>#DIV/0!</v>
      </c>
      <c r="K216" s="281">
        <f t="shared" si="70"/>
        <v>0</v>
      </c>
      <c r="L216" s="281">
        <f t="shared" si="77"/>
        <v>0</v>
      </c>
      <c r="M216" s="282" t="e">
        <f t="shared" si="78"/>
        <v>#DIV/0!</v>
      </c>
      <c r="N216" s="283" t="e">
        <f t="shared" si="71"/>
        <v>#DIV/0!</v>
      </c>
      <c r="O216" s="283" t="e">
        <f t="shared" si="79"/>
        <v>#DIV/0!</v>
      </c>
      <c r="P216" s="282" t="e">
        <f t="shared" si="80"/>
        <v>#DIV/0!</v>
      </c>
      <c r="Q216" s="283" t="e">
        <f t="shared" si="72"/>
        <v>#DIV/0!</v>
      </c>
      <c r="R216" s="283" t="e">
        <f t="shared" si="81"/>
        <v>#DIV/0!</v>
      </c>
      <c r="S216" s="282" t="e">
        <f t="shared" si="82"/>
        <v>#DIV/0!</v>
      </c>
      <c r="T216" s="284"/>
      <c r="U216" s="284"/>
      <c r="V216" s="282" t="e">
        <f t="shared" si="83"/>
        <v>#DIV/0!</v>
      </c>
      <c r="W216" s="284"/>
      <c r="X216" s="284"/>
      <c r="Y216" s="282" t="e">
        <f t="shared" si="84"/>
        <v>#DIV/0!</v>
      </c>
      <c r="Z216" s="284" t="e">
        <f t="shared" si="73"/>
        <v>#DIV/0!</v>
      </c>
      <c r="AA216" s="284" t="e">
        <f t="shared" si="85"/>
        <v>#DIV/0!</v>
      </c>
      <c r="AB216" s="282" t="e">
        <f t="shared" si="86"/>
        <v>#DIV/0!</v>
      </c>
      <c r="AC216" s="285"/>
      <c r="AD216" s="284"/>
      <c r="AE216" s="282" t="e">
        <f t="shared" si="87"/>
        <v>#DIV/0!</v>
      </c>
      <c r="AF216" s="284"/>
      <c r="AG216" s="284"/>
      <c r="AH216" s="86" t="e">
        <f t="shared" si="88"/>
        <v>#DIV/0!</v>
      </c>
      <c r="AI216" s="284"/>
      <c r="AJ216" s="284"/>
      <c r="AK216" s="282" t="e">
        <f t="shared" si="89"/>
        <v>#DIV/0!</v>
      </c>
      <c r="AL216" s="286" t="e">
        <f t="shared" si="74"/>
        <v>#DIV/0!</v>
      </c>
      <c r="AM216" s="286" t="e">
        <f t="shared" si="90"/>
        <v>#DIV/0!</v>
      </c>
      <c r="AN216" s="282" t="e">
        <f t="shared" si="91"/>
        <v>#DIV/0!</v>
      </c>
      <c r="AO216" s="86"/>
    </row>
    <row r="217" spans="1:41" s="357" customFormat="1" ht="15.75" customHeight="1" x14ac:dyDescent="0.3">
      <c r="A217" s="347"/>
      <c r="B217" s="347"/>
      <c r="C217" s="348"/>
      <c r="D217" s="349" t="s">
        <v>274</v>
      </c>
      <c r="E217" s="350">
        <v>0</v>
      </c>
      <c r="F217" s="350">
        <v>0</v>
      </c>
      <c r="G217" s="351" t="e">
        <f t="shared" si="75"/>
        <v>#DIV/0!</v>
      </c>
      <c r="H217" s="350">
        <v>0</v>
      </c>
      <c r="I217" s="352">
        <v>0</v>
      </c>
      <c r="J217" s="351" t="e">
        <f t="shared" si="76"/>
        <v>#DIV/0!</v>
      </c>
      <c r="K217" s="350">
        <f t="shared" si="70"/>
        <v>0</v>
      </c>
      <c r="L217" s="350">
        <f t="shared" si="77"/>
        <v>0</v>
      </c>
      <c r="M217" s="351" t="e">
        <f t="shared" si="78"/>
        <v>#DIV/0!</v>
      </c>
      <c r="N217" s="352" t="e">
        <f t="shared" si="71"/>
        <v>#DIV/0!</v>
      </c>
      <c r="O217" s="352" t="e">
        <f t="shared" si="79"/>
        <v>#DIV/0!</v>
      </c>
      <c r="P217" s="351" t="e">
        <f t="shared" si="80"/>
        <v>#DIV/0!</v>
      </c>
      <c r="Q217" s="352" t="e">
        <f t="shared" si="72"/>
        <v>#DIV/0!</v>
      </c>
      <c r="R217" s="352" t="e">
        <f t="shared" si="81"/>
        <v>#DIV/0!</v>
      </c>
      <c r="S217" s="351" t="e">
        <f t="shared" si="82"/>
        <v>#DIV/0!</v>
      </c>
      <c r="T217" s="353">
        <v>14</v>
      </c>
      <c r="U217" s="353">
        <v>6</v>
      </c>
      <c r="V217" s="351">
        <f t="shared" si="83"/>
        <v>1.3333333333333333</v>
      </c>
      <c r="W217" s="353">
        <v>0</v>
      </c>
      <c r="X217" s="353">
        <v>0</v>
      </c>
      <c r="Y217" s="351" t="e">
        <f t="shared" si="84"/>
        <v>#DIV/0!</v>
      </c>
      <c r="Z217" s="353" t="e">
        <f t="shared" si="73"/>
        <v>#DIV/0!</v>
      </c>
      <c r="AA217" s="353" t="e">
        <f t="shared" si="85"/>
        <v>#DIV/0!</v>
      </c>
      <c r="AB217" s="351" t="e">
        <f t="shared" si="86"/>
        <v>#DIV/0!</v>
      </c>
      <c r="AC217" s="354">
        <v>0</v>
      </c>
      <c r="AD217" s="353">
        <v>0</v>
      </c>
      <c r="AE217" s="351" t="e">
        <f t="shared" si="87"/>
        <v>#DIV/0!</v>
      </c>
      <c r="AF217" s="353">
        <v>0</v>
      </c>
      <c r="AG217" s="353">
        <v>0</v>
      </c>
      <c r="AH217" s="355" t="e">
        <f t="shared" si="88"/>
        <v>#DIV/0!</v>
      </c>
      <c r="AI217" s="353">
        <v>0</v>
      </c>
      <c r="AJ217" s="353">
        <v>0</v>
      </c>
      <c r="AK217" s="351" t="e">
        <f t="shared" si="89"/>
        <v>#DIV/0!</v>
      </c>
      <c r="AL217" s="356" t="e">
        <f t="shared" si="74"/>
        <v>#DIV/0!</v>
      </c>
      <c r="AM217" s="356" t="e">
        <f t="shared" si="90"/>
        <v>#DIV/0!</v>
      </c>
      <c r="AN217" s="351" t="e">
        <f t="shared" si="91"/>
        <v>#DIV/0!</v>
      </c>
      <c r="AO217" s="355"/>
    </row>
    <row r="218" spans="1:41" s="81" customFormat="1" ht="15.75" customHeight="1" x14ac:dyDescent="0.3">
      <c r="A218" s="49" t="s">
        <v>73</v>
      </c>
      <c r="B218" s="49" t="s">
        <v>74</v>
      </c>
      <c r="C218" s="50">
        <f>C212+7</f>
        <v>42986</v>
      </c>
      <c r="D218" s="50" t="s">
        <v>28</v>
      </c>
      <c r="E218" s="55">
        <f>SUM(E219:E223)</f>
        <v>0</v>
      </c>
      <c r="F218" s="55">
        <f>SUM(F219:F223)</f>
        <v>0</v>
      </c>
      <c r="G218" s="52" t="e">
        <f t="shared" si="75"/>
        <v>#DIV/0!</v>
      </c>
      <c r="H218" s="55">
        <f>SUM(H219:H223)</f>
        <v>0</v>
      </c>
      <c r="I218" s="55">
        <f>SUM(I219:I223)</f>
        <v>4273.8599999999997</v>
      </c>
      <c r="J218" s="52">
        <f t="shared" si="76"/>
        <v>-1</v>
      </c>
      <c r="K218" s="51">
        <f t="shared" si="70"/>
        <v>0</v>
      </c>
      <c r="L218" s="51">
        <f t="shared" si="77"/>
        <v>4637.1380999999992</v>
      </c>
      <c r="M218" s="52">
        <f t="shared" si="78"/>
        <v>-1</v>
      </c>
      <c r="N218" s="53" t="e">
        <f t="shared" si="71"/>
        <v>#DIV/0!</v>
      </c>
      <c r="O218" s="53">
        <f t="shared" si="79"/>
        <v>0</v>
      </c>
      <c r="P218" s="52" t="e">
        <f t="shared" si="80"/>
        <v>#DIV/0!</v>
      </c>
      <c r="Q218" s="53" t="e">
        <f t="shared" si="72"/>
        <v>#DIV/0!</v>
      </c>
      <c r="R218" s="53">
        <f t="shared" si="81"/>
        <v>0</v>
      </c>
      <c r="S218" s="52" t="e">
        <f t="shared" si="82"/>
        <v>#DIV/0!</v>
      </c>
      <c r="T218" s="56">
        <f>SUM(T219:T223)</f>
        <v>12</v>
      </c>
      <c r="U218" s="56">
        <f>SUM(U219:U223)</f>
        <v>143</v>
      </c>
      <c r="V218" s="52">
        <f t="shared" si="83"/>
        <v>-0.91608391608391604</v>
      </c>
      <c r="W218" s="56">
        <f>SUM(W219:W223)</f>
        <v>0</v>
      </c>
      <c r="X218" s="56">
        <f>SUM(X219:X223)</f>
        <v>0</v>
      </c>
      <c r="Y218" s="52" t="e">
        <f t="shared" si="84"/>
        <v>#DIV/0!</v>
      </c>
      <c r="Z218" s="51" t="e">
        <f t="shared" si="73"/>
        <v>#DIV/0!</v>
      </c>
      <c r="AA218" s="54" t="e">
        <f t="shared" si="85"/>
        <v>#DIV/0!</v>
      </c>
      <c r="AB218" s="52" t="e">
        <f t="shared" si="86"/>
        <v>#DIV/0!</v>
      </c>
      <c r="AC218" s="56">
        <f>SUM(AC219:AC223)</f>
        <v>0</v>
      </c>
      <c r="AD218" s="56">
        <f>SUM(AD219:AD223)</f>
        <v>340596</v>
      </c>
      <c r="AE218" s="52">
        <f t="shared" si="87"/>
        <v>-1</v>
      </c>
      <c r="AF218" s="56">
        <f>SUM(AF219:AF223)</f>
        <v>0</v>
      </c>
      <c r="AG218" s="56">
        <f>SUM(AG219:AG223)</f>
        <v>4979</v>
      </c>
      <c r="AH218" s="67">
        <f t="shared" si="88"/>
        <v>-1</v>
      </c>
      <c r="AI218" s="56">
        <f>SUM(AI219:AI223)</f>
        <v>0</v>
      </c>
      <c r="AJ218" s="56">
        <f>SUM(AJ219:AJ223)</f>
        <v>680887</v>
      </c>
      <c r="AK218" s="52">
        <f t="shared" si="89"/>
        <v>-1</v>
      </c>
      <c r="AL218" s="82" t="e">
        <f t="shared" si="74"/>
        <v>#DIV/0!</v>
      </c>
      <c r="AM218" s="82">
        <f t="shared" si="90"/>
        <v>7.3125202860386523E-3</v>
      </c>
      <c r="AN218" s="52" t="e">
        <f>(AL218-AM218)/AM218</f>
        <v>#DIV/0!</v>
      </c>
      <c r="AO218" s="86"/>
    </row>
    <row r="219" spans="1:41" s="96" customFormat="1" ht="15.75" customHeight="1" x14ac:dyDescent="0.3">
      <c r="A219" s="279"/>
      <c r="B219" s="279"/>
      <c r="C219" s="280"/>
      <c r="D219" s="280"/>
      <c r="E219" s="281"/>
      <c r="F219" s="281"/>
      <c r="G219" s="282" t="e">
        <f t="shared" si="75"/>
        <v>#DIV/0!</v>
      </c>
      <c r="H219" s="281"/>
      <c r="I219" s="283"/>
      <c r="J219" s="282" t="e">
        <f t="shared" si="76"/>
        <v>#DIV/0!</v>
      </c>
      <c r="K219" s="281">
        <f t="shared" si="70"/>
        <v>0</v>
      </c>
      <c r="L219" s="281">
        <f t="shared" si="77"/>
        <v>0</v>
      </c>
      <c r="M219" s="282" t="e">
        <f t="shared" si="78"/>
        <v>#DIV/0!</v>
      </c>
      <c r="N219" s="283" t="e">
        <f t="shared" si="71"/>
        <v>#DIV/0!</v>
      </c>
      <c r="O219" s="283" t="e">
        <f t="shared" si="79"/>
        <v>#DIV/0!</v>
      </c>
      <c r="P219" s="282" t="e">
        <f t="shared" si="80"/>
        <v>#DIV/0!</v>
      </c>
      <c r="Q219" s="283" t="e">
        <f t="shared" si="72"/>
        <v>#DIV/0!</v>
      </c>
      <c r="R219" s="283" t="e">
        <f t="shared" si="81"/>
        <v>#DIV/0!</v>
      </c>
      <c r="S219" s="282" t="e">
        <f t="shared" si="82"/>
        <v>#DIV/0!</v>
      </c>
      <c r="T219" s="284"/>
      <c r="U219" s="284"/>
      <c r="V219" s="282" t="e">
        <f t="shared" si="83"/>
        <v>#DIV/0!</v>
      </c>
      <c r="W219" s="284"/>
      <c r="X219" s="284"/>
      <c r="Y219" s="282" t="e">
        <f t="shared" si="84"/>
        <v>#DIV/0!</v>
      </c>
      <c r="Z219" s="284" t="e">
        <f t="shared" si="73"/>
        <v>#DIV/0!</v>
      </c>
      <c r="AA219" s="284" t="e">
        <f t="shared" si="85"/>
        <v>#DIV/0!</v>
      </c>
      <c r="AB219" s="282" t="e">
        <f t="shared" si="86"/>
        <v>#DIV/0!</v>
      </c>
      <c r="AC219" s="285"/>
      <c r="AD219" s="284"/>
      <c r="AE219" s="282" t="e">
        <f t="shared" si="87"/>
        <v>#DIV/0!</v>
      </c>
      <c r="AF219" s="284"/>
      <c r="AG219" s="284"/>
      <c r="AH219" s="86" t="e">
        <f t="shared" si="88"/>
        <v>#DIV/0!</v>
      </c>
      <c r="AI219" s="284"/>
      <c r="AJ219" s="284"/>
      <c r="AK219" s="282" t="e">
        <f t="shared" si="89"/>
        <v>#DIV/0!</v>
      </c>
      <c r="AL219" s="286" t="e">
        <f t="shared" si="74"/>
        <v>#DIV/0!</v>
      </c>
      <c r="AM219" s="286" t="e">
        <f t="shared" si="90"/>
        <v>#DIV/0!</v>
      </c>
      <c r="AN219" s="282" t="e">
        <f t="shared" si="91"/>
        <v>#DIV/0!</v>
      </c>
      <c r="AO219" s="86"/>
    </row>
    <row r="220" spans="1:41" s="96" customFormat="1" ht="15.75" customHeight="1" x14ac:dyDescent="0.3">
      <c r="A220" s="279"/>
      <c r="B220" s="279"/>
      <c r="C220" s="280"/>
      <c r="D220" s="280"/>
      <c r="E220" s="281"/>
      <c r="F220" s="281"/>
      <c r="G220" s="282" t="e">
        <f t="shared" si="75"/>
        <v>#DIV/0!</v>
      </c>
      <c r="H220" s="281"/>
      <c r="I220" s="283"/>
      <c r="J220" s="282" t="e">
        <f t="shared" si="76"/>
        <v>#DIV/0!</v>
      </c>
      <c r="K220" s="281">
        <f t="shared" si="70"/>
        <v>0</v>
      </c>
      <c r="L220" s="281">
        <f t="shared" si="77"/>
        <v>0</v>
      </c>
      <c r="M220" s="282" t="e">
        <f t="shared" si="78"/>
        <v>#DIV/0!</v>
      </c>
      <c r="N220" s="283" t="e">
        <f t="shared" si="71"/>
        <v>#DIV/0!</v>
      </c>
      <c r="O220" s="283" t="e">
        <f t="shared" si="79"/>
        <v>#DIV/0!</v>
      </c>
      <c r="P220" s="282" t="e">
        <f t="shared" si="80"/>
        <v>#DIV/0!</v>
      </c>
      <c r="Q220" s="283" t="e">
        <f t="shared" si="72"/>
        <v>#DIV/0!</v>
      </c>
      <c r="R220" s="283" t="e">
        <f t="shared" si="81"/>
        <v>#DIV/0!</v>
      </c>
      <c r="S220" s="282" t="e">
        <f t="shared" si="82"/>
        <v>#DIV/0!</v>
      </c>
      <c r="T220" s="284"/>
      <c r="U220" s="284"/>
      <c r="V220" s="282" t="e">
        <f t="shared" si="83"/>
        <v>#DIV/0!</v>
      </c>
      <c r="W220" s="284"/>
      <c r="X220" s="284"/>
      <c r="Y220" s="282" t="e">
        <f t="shared" si="84"/>
        <v>#DIV/0!</v>
      </c>
      <c r="Z220" s="284" t="e">
        <f t="shared" si="73"/>
        <v>#DIV/0!</v>
      </c>
      <c r="AA220" s="284" t="e">
        <f t="shared" si="85"/>
        <v>#DIV/0!</v>
      </c>
      <c r="AB220" s="282" t="e">
        <f t="shared" si="86"/>
        <v>#DIV/0!</v>
      </c>
      <c r="AC220" s="285"/>
      <c r="AD220" s="284"/>
      <c r="AE220" s="282" t="e">
        <f t="shared" si="87"/>
        <v>#DIV/0!</v>
      </c>
      <c r="AF220" s="284"/>
      <c r="AG220" s="284"/>
      <c r="AH220" s="86" t="e">
        <f t="shared" si="88"/>
        <v>#DIV/0!</v>
      </c>
      <c r="AI220" s="284"/>
      <c r="AJ220" s="284"/>
      <c r="AK220" s="282" t="e">
        <f t="shared" si="89"/>
        <v>#DIV/0!</v>
      </c>
      <c r="AL220" s="286" t="e">
        <f t="shared" si="74"/>
        <v>#DIV/0!</v>
      </c>
      <c r="AM220" s="286" t="e">
        <f t="shared" si="90"/>
        <v>#DIV/0!</v>
      </c>
      <c r="AN220" s="282" t="e">
        <f t="shared" si="91"/>
        <v>#DIV/0!</v>
      </c>
      <c r="AO220" s="86"/>
    </row>
    <row r="221" spans="1:41" s="96" customFormat="1" ht="15.75" customHeight="1" x14ac:dyDescent="0.3">
      <c r="A221" s="279"/>
      <c r="B221" s="279"/>
      <c r="C221" s="280"/>
      <c r="D221" s="280"/>
      <c r="E221" s="281"/>
      <c r="F221" s="281"/>
      <c r="G221" s="282" t="e">
        <f t="shared" si="75"/>
        <v>#DIV/0!</v>
      </c>
      <c r="H221" s="281"/>
      <c r="I221" s="283"/>
      <c r="J221" s="282" t="e">
        <f t="shared" si="76"/>
        <v>#DIV/0!</v>
      </c>
      <c r="K221" s="281">
        <f t="shared" si="70"/>
        <v>0</v>
      </c>
      <c r="L221" s="281">
        <f t="shared" si="77"/>
        <v>0</v>
      </c>
      <c r="M221" s="282" t="e">
        <f t="shared" si="78"/>
        <v>#DIV/0!</v>
      </c>
      <c r="N221" s="283" t="e">
        <f t="shared" si="71"/>
        <v>#DIV/0!</v>
      </c>
      <c r="O221" s="283" t="e">
        <f t="shared" si="79"/>
        <v>#DIV/0!</v>
      </c>
      <c r="P221" s="282" t="e">
        <f t="shared" si="80"/>
        <v>#DIV/0!</v>
      </c>
      <c r="Q221" s="283" t="e">
        <f t="shared" si="72"/>
        <v>#DIV/0!</v>
      </c>
      <c r="R221" s="283" t="e">
        <f t="shared" si="81"/>
        <v>#DIV/0!</v>
      </c>
      <c r="S221" s="282" t="e">
        <f t="shared" si="82"/>
        <v>#DIV/0!</v>
      </c>
      <c r="T221" s="284"/>
      <c r="U221" s="284"/>
      <c r="V221" s="282" t="e">
        <f t="shared" si="83"/>
        <v>#DIV/0!</v>
      </c>
      <c r="W221" s="284"/>
      <c r="X221" s="284"/>
      <c r="Y221" s="282" t="e">
        <f t="shared" si="84"/>
        <v>#DIV/0!</v>
      </c>
      <c r="Z221" s="284" t="e">
        <f t="shared" si="73"/>
        <v>#DIV/0!</v>
      </c>
      <c r="AA221" s="284" t="e">
        <f t="shared" si="85"/>
        <v>#DIV/0!</v>
      </c>
      <c r="AB221" s="282" t="e">
        <f t="shared" si="86"/>
        <v>#DIV/0!</v>
      </c>
      <c r="AC221" s="285"/>
      <c r="AD221" s="284"/>
      <c r="AE221" s="282" t="e">
        <f t="shared" si="87"/>
        <v>#DIV/0!</v>
      </c>
      <c r="AF221" s="284"/>
      <c r="AG221" s="284"/>
      <c r="AH221" s="86" t="e">
        <f t="shared" si="88"/>
        <v>#DIV/0!</v>
      </c>
      <c r="AI221" s="284"/>
      <c r="AJ221" s="284"/>
      <c r="AK221" s="282" t="e">
        <f t="shared" si="89"/>
        <v>#DIV/0!</v>
      </c>
      <c r="AL221" s="286" t="e">
        <f t="shared" si="74"/>
        <v>#DIV/0!</v>
      </c>
      <c r="AM221" s="286" t="e">
        <f t="shared" si="90"/>
        <v>#DIV/0!</v>
      </c>
      <c r="AN221" s="282" t="e">
        <f t="shared" si="91"/>
        <v>#DIV/0!</v>
      </c>
      <c r="AO221" s="86"/>
    </row>
    <row r="222" spans="1:41" s="96" customFormat="1" ht="15.75" customHeight="1" x14ac:dyDescent="0.3">
      <c r="A222" s="279"/>
      <c r="B222" s="279"/>
      <c r="C222" s="280"/>
      <c r="D222" s="280"/>
      <c r="E222" s="281"/>
      <c r="F222" s="281"/>
      <c r="G222" s="282" t="e">
        <f t="shared" si="75"/>
        <v>#DIV/0!</v>
      </c>
      <c r="H222" s="281"/>
      <c r="I222" s="283"/>
      <c r="J222" s="282" t="e">
        <f t="shared" si="76"/>
        <v>#DIV/0!</v>
      </c>
      <c r="K222" s="281">
        <f t="shared" si="70"/>
        <v>0</v>
      </c>
      <c r="L222" s="281">
        <f t="shared" si="77"/>
        <v>0</v>
      </c>
      <c r="M222" s="282" t="e">
        <f t="shared" si="78"/>
        <v>#DIV/0!</v>
      </c>
      <c r="N222" s="283" t="e">
        <f t="shared" si="71"/>
        <v>#DIV/0!</v>
      </c>
      <c r="O222" s="283" t="e">
        <f t="shared" si="79"/>
        <v>#DIV/0!</v>
      </c>
      <c r="P222" s="282" t="e">
        <f t="shared" si="80"/>
        <v>#DIV/0!</v>
      </c>
      <c r="Q222" s="283" t="e">
        <f t="shared" si="72"/>
        <v>#DIV/0!</v>
      </c>
      <c r="R222" s="283" t="e">
        <f t="shared" si="81"/>
        <v>#DIV/0!</v>
      </c>
      <c r="S222" s="282" t="e">
        <f t="shared" si="82"/>
        <v>#DIV/0!</v>
      </c>
      <c r="T222" s="284"/>
      <c r="U222" s="284"/>
      <c r="V222" s="282" t="e">
        <f t="shared" si="83"/>
        <v>#DIV/0!</v>
      </c>
      <c r="W222" s="284"/>
      <c r="X222" s="284"/>
      <c r="Y222" s="282" t="e">
        <f t="shared" si="84"/>
        <v>#DIV/0!</v>
      </c>
      <c r="Z222" s="284" t="e">
        <f t="shared" si="73"/>
        <v>#DIV/0!</v>
      </c>
      <c r="AA222" s="284" t="e">
        <f t="shared" si="85"/>
        <v>#DIV/0!</v>
      </c>
      <c r="AB222" s="282" t="e">
        <f t="shared" si="86"/>
        <v>#DIV/0!</v>
      </c>
      <c r="AC222" s="285"/>
      <c r="AD222" s="284"/>
      <c r="AE222" s="282" t="e">
        <f t="shared" si="87"/>
        <v>#DIV/0!</v>
      </c>
      <c r="AF222" s="284"/>
      <c r="AG222" s="284"/>
      <c r="AH222" s="86" t="e">
        <f t="shared" si="88"/>
        <v>#DIV/0!</v>
      </c>
      <c r="AI222" s="284"/>
      <c r="AJ222" s="284"/>
      <c r="AK222" s="282" t="e">
        <f t="shared" si="89"/>
        <v>#DIV/0!</v>
      </c>
      <c r="AL222" s="286" t="e">
        <f t="shared" si="74"/>
        <v>#DIV/0!</v>
      </c>
      <c r="AM222" s="286" t="e">
        <f t="shared" si="90"/>
        <v>#DIV/0!</v>
      </c>
      <c r="AN222" s="282" t="e">
        <f t="shared" si="91"/>
        <v>#DIV/0!</v>
      </c>
      <c r="AO222" s="86"/>
    </row>
    <row r="223" spans="1:41" s="96" customFormat="1" ht="15.75" customHeight="1" x14ac:dyDescent="0.3">
      <c r="A223" s="279"/>
      <c r="B223" s="279"/>
      <c r="C223" s="280"/>
      <c r="D223" s="297" t="s">
        <v>274</v>
      </c>
      <c r="E223" s="281">
        <v>0</v>
      </c>
      <c r="F223" s="281">
        <v>0</v>
      </c>
      <c r="G223" s="282" t="e">
        <f t="shared" si="75"/>
        <v>#DIV/0!</v>
      </c>
      <c r="H223" s="281">
        <v>0</v>
      </c>
      <c r="I223" s="283">
        <v>4273.8599999999997</v>
      </c>
      <c r="J223" s="282">
        <f t="shared" si="76"/>
        <v>-1</v>
      </c>
      <c r="K223" s="281">
        <f t="shared" si="70"/>
        <v>0</v>
      </c>
      <c r="L223" s="281">
        <f t="shared" si="77"/>
        <v>4637.1380999999992</v>
      </c>
      <c r="M223" s="282">
        <f t="shared" si="78"/>
        <v>-1</v>
      </c>
      <c r="N223" s="283" t="e">
        <f t="shared" si="71"/>
        <v>#DIV/0!</v>
      </c>
      <c r="O223" s="283">
        <f t="shared" si="79"/>
        <v>0</v>
      </c>
      <c r="P223" s="282" t="e">
        <f t="shared" si="80"/>
        <v>#DIV/0!</v>
      </c>
      <c r="Q223" s="283" t="e">
        <f t="shared" si="72"/>
        <v>#DIV/0!</v>
      </c>
      <c r="R223" s="283">
        <f t="shared" si="81"/>
        <v>0</v>
      </c>
      <c r="S223" s="282" t="e">
        <f t="shared" si="82"/>
        <v>#DIV/0!</v>
      </c>
      <c r="T223" s="284">
        <v>12</v>
      </c>
      <c r="U223" s="284">
        <v>143</v>
      </c>
      <c r="V223" s="282">
        <f t="shared" si="83"/>
        <v>-0.91608391608391604</v>
      </c>
      <c r="W223" s="284">
        <v>0</v>
      </c>
      <c r="X223" s="284">
        <v>0</v>
      </c>
      <c r="Y223" s="282" t="e">
        <f t="shared" si="84"/>
        <v>#DIV/0!</v>
      </c>
      <c r="Z223" s="284" t="e">
        <f t="shared" si="73"/>
        <v>#DIV/0!</v>
      </c>
      <c r="AA223" s="284" t="e">
        <f t="shared" si="85"/>
        <v>#DIV/0!</v>
      </c>
      <c r="AB223" s="282" t="e">
        <f t="shared" si="86"/>
        <v>#DIV/0!</v>
      </c>
      <c r="AC223" s="285">
        <v>0</v>
      </c>
      <c r="AD223" s="284">
        <v>340596</v>
      </c>
      <c r="AE223" s="282">
        <f t="shared" si="87"/>
        <v>-1</v>
      </c>
      <c r="AF223" s="284">
        <v>0</v>
      </c>
      <c r="AG223" s="284">
        <v>4979</v>
      </c>
      <c r="AH223" s="86">
        <f t="shared" si="88"/>
        <v>-1</v>
      </c>
      <c r="AI223" s="284">
        <v>0</v>
      </c>
      <c r="AJ223" s="284">
        <v>680887</v>
      </c>
      <c r="AK223" s="282">
        <f t="shared" si="89"/>
        <v>-1</v>
      </c>
      <c r="AL223" s="286" t="e">
        <f t="shared" si="74"/>
        <v>#DIV/0!</v>
      </c>
      <c r="AM223" s="286">
        <f t="shared" si="90"/>
        <v>7.3125202860386523E-3</v>
      </c>
      <c r="AN223" s="282" t="e">
        <f t="shared" si="91"/>
        <v>#DIV/0!</v>
      </c>
      <c r="AO223" s="86"/>
    </row>
    <row r="224" spans="1:41" s="81" customFormat="1" ht="15.75" customHeight="1" x14ac:dyDescent="0.3">
      <c r="A224" s="49" t="s">
        <v>73</v>
      </c>
      <c r="B224" s="49" t="s">
        <v>75</v>
      </c>
      <c r="C224" s="50">
        <f>C218+7</f>
        <v>42993</v>
      </c>
      <c r="D224" s="50" t="s">
        <v>28</v>
      </c>
      <c r="E224" s="55">
        <f>SUM(E225:E229)</f>
        <v>0</v>
      </c>
      <c r="F224" s="55">
        <f>SUM(F225:F229)</f>
        <v>3617</v>
      </c>
      <c r="G224" s="52">
        <f t="shared" si="75"/>
        <v>-1</v>
      </c>
      <c r="H224" s="55">
        <f>SUM(H225:H229)</f>
        <v>4608.24</v>
      </c>
      <c r="I224" s="55">
        <f>SUM(I225:I229)</f>
        <v>11288.08</v>
      </c>
      <c r="J224" s="52">
        <f t="shared" si="76"/>
        <v>-0.59176051197369262</v>
      </c>
      <c r="K224" s="51">
        <f t="shared" si="70"/>
        <v>4999.9403999999995</v>
      </c>
      <c r="L224" s="51">
        <f t="shared" si="77"/>
        <v>12247.566799999999</v>
      </c>
      <c r="M224" s="52">
        <f t="shared" si="78"/>
        <v>-0.59176051197369262</v>
      </c>
      <c r="N224" s="53">
        <f t="shared" si="71"/>
        <v>0</v>
      </c>
      <c r="O224" s="53">
        <f t="shared" si="79"/>
        <v>0.32042650300139619</v>
      </c>
      <c r="P224" s="52">
        <f t="shared" si="80"/>
        <v>-1</v>
      </c>
      <c r="Q224" s="53">
        <f t="shared" si="72"/>
        <v>0</v>
      </c>
      <c r="R224" s="53">
        <f t="shared" si="81"/>
        <v>0.29532396589990434</v>
      </c>
      <c r="S224" s="52">
        <f t="shared" si="82"/>
        <v>-1</v>
      </c>
      <c r="T224" s="56">
        <f>SUM(T225:T229)</f>
        <v>173</v>
      </c>
      <c r="U224" s="56">
        <f>SUM(U225:U229)</f>
        <v>6765</v>
      </c>
      <c r="V224" s="52">
        <f t="shared" si="83"/>
        <v>-0.97442719881744277</v>
      </c>
      <c r="W224" s="56">
        <f>SUM(W225:W229)</f>
        <v>0</v>
      </c>
      <c r="X224" s="56">
        <f>SUM(X225:X229)</f>
        <v>22</v>
      </c>
      <c r="Y224" s="52">
        <f t="shared" si="84"/>
        <v>-1</v>
      </c>
      <c r="Z224" s="51" t="e">
        <f t="shared" si="73"/>
        <v>#DIV/0!</v>
      </c>
      <c r="AA224" s="54">
        <f t="shared" si="85"/>
        <v>164.40909090909091</v>
      </c>
      <c r="AB224" s="52" t="e">
        <f t="shared" si="86"/>
        <v>#DIV/0!</v>
      </c>
      <c r="AC224" s="56">
        <f>SUM(AC225:AC229)</f>
        <v>243926</v>
      </c>
      <c r="AD224" s="56">
        <f>SUM(AD225:AD229)</f>
        <v>689646</v>
      </c>
      <c r="AE224" s="52">
        <f t="shared" si="87"/>
        <v>-0.64630259582452443</v>
      </c>
      <c r="AF224" s="56">
        <f>SUM(AF225:AF229)</f>
        <v>8462</v>
      </c>
      <c r="AG224" s="56">
        <f>SUM(AG225:AG229)</f>
        <v>9710</v>
      </c>
      <c r="AH224" s="67">
        <f t="shared" si="88"/>
        <v>-0.12852729145211123</v>
      </c>
      <c r="AI224" s="56">
        <f>SUM(AI225:AI229)</f>
        <v>559559</v>
      </c>
      <c r="AJ224" s="56">
        <f>SUM(AJ225:AJ229)</f>
        <v>1533816</v>
      </c>
      <c r="AK224" s="52">
        <f t="shared" si="89"/>
        <v>-0.63518505479144827</v>
      </c>
      <c r="AL224" s="82">
        <f t="shared" si="74"/>
        <v>1.5122623351603673E-2</v>
      </c>
      <c r="AM224" s="82">
        <f t="shared" si="90"/>
        <v>6.3306159278557535E-3</v>
      </c>
      <c r="AN224" s="52">
        <f>(AL224-AM224)/AM224</f>
        <v>1.3888075858561626</v>
      </c>
      <c r="AO224" s="86"/>
    </row>
    <row r="225" spans="1:41" s="96" customFormat="1" ht="15.75" customHeight="1" x14ac:dyDescent="0.3">
      <c r="A225" s="279"/>
      <c r="B225" s="279"/>
      <c r="C225" s="280"/>
      <c r="D225" s="297" t="s">
        <v>300</v>
      </c>
      <c r="E225" s="281">
        <v>0</v>
      </c>
      <c r="F225" s="281"/>
      <c r="G225" s="282" t="e">
        <f t="shared" si="75"/>
        <v>#DIV/0!</v>
      </c>
      <c r="H225" s="281">
        <v>4608.24</v>
      </c>
      <c r="I225" s="283"/>
      <c r="J225" s="282" t="e">
        <f t="shared" si="76"/>
        <v>#DIV/0!</v>
      </c>
      <c r="K225" s="281">
        <f t="shared" si="70"/>
        <v>4999.9403999999995</v>
      </c>
      <c r="L225" s="281">
        <f t="shared" si="77"/>
        <v>0</v>
      </c>
      <c r="M225" s="282" t="e">
        <f t="shared" si="78"/>
        <v>#DIV/0!</v>
      </c>
      <c r="N225" s="283">
        <f t="shared" si="71"/>
        <v>0</v>
      </c>
      <c r="O225" s="283" t="e">
        <f t="shared" si="79"/>
        <v>#DIV/0!</v>
      </c>
      <c r="P225" s="282" t="e">
        <f t="shared" si="80"/>
        <v>#DIV/0!</v>
      </c>
      <c r="Q225" s="283">
        <f t="shared" si="72"/>
        <v>0</v>
      </c>
      <c r="R225" s="283" t="e">
        <f t="shared" si="81"/>
        <v>#DIV/0!</v>
      </c>
      <c r="S225" s="282" t="e">
        <f t="shared" si="82"/>
        <v>#DIV/0!</v>
      </c>
      <c r="T225" s="284">
        <v>0</v>
      </c>
      <c r="U225" s="284"/>
      <c r="V225" s="282" t="e">
        <f t="shared" si="83"/>
        <v>#DIV/0!</v>
      </c>
      <c r="W225" s="284">
        <v>0</v>
      </c>
      <c r="X225" s="284"/>
      <c r="Y225" s="282" t="e">
        <f t="shared" si="84"/>
        <v>#DIV/0!</v>
      </c>
      <c r="Z225" s="284" t="e">
        <f t="shared" si="73"/>
        <v>#DIV/0!</v>
      </c>
      <c r="AA225" s="284" t="e">
        <f t="shared" si="85"/>
        <v>#DIV/0!</v>
      </c>
      <c r="AB225" s="282" t="e">
        <f t="shared" si="86"/>
        <v>#DIV/0!</v>
      </c>
      <c r="AC225" s="285">
        <v>243926</v>
      </c>
      <c r="AD225" s="284"/>
      <c r="AE225" s="282" t="e">
        <f t="shared" si="87"/>
        <v>#DIV/0!</v>
      </c>
      <c r="AF225" s="284">
        <v>8462</v>
      </c>
      <c r="AG225" s="284"/>
      <c r="AH225" s="86" t="e">
        <f t="shared" si="88"/>
        <v>#DIV/0!</v>
      </c>
      <c r="AI225" s="284">
        <v>559559</v>
      </c>
      <c r="AJ225" s="284"/>
      <c r="AK225" s="282" t="e">
        <f t="shared" si="89"/>
        <v>#DIV/0!</v>
      </c>
      <c r="AL225" s="286">
        <f t="shared" si="74"/>
        <v>1.5122623351603673E-2</v>
      </c>
      <c r="AM225" s="286" t="e">
        <f t="shared" si="90"/>
        <v>#DIV/0!</v>
      </c>
      <c r="AN225" s="282" t="e">
        <f t="shared" si="91"/>
        <v>#DIV/0!</v>
      </c>
      <c r="AO225" s="86"/>
    </row>
    <row r="226" spans="1:41" s="96" customFormat="1" ht="15.75" customHeight="1" x14ac:dyDescent="0.3">
      <c r="A226" s="279"/>
      <c r="B226" s="279"/>
      <c r="C226" s="280"/>
      <c r="D226" s="280"/>
      <c r="E226" s="281"/>
      <c r="F226" s="281"/>
      <c r="G226" s="282" t="e">
        <f t="shared" si="75"/>
        <v>#DIV/0!</v>
      </c>
      <c r="H226" s="281"/>
      <c r="I226" s="283"/>
      <c r="J226" s="282" t="e">
        <f t="shared" si="76"/>
        <v>#DIV/0!</v>
      </c>
      <c r="K226" s="281">
        <f t="shared" si="70"/>
        <v>0</v>
      </c>
      <c r="L226" s="281">
        <f t="shared" si="77"/>
        <v>0</v>
      </c>
      <c r="M226" s="282" t="e">
        <f t="shared" si="78"/>
        <v>#DIV/0!</v>
      </c>
      <c r="N226" s="283" t="e">
        <f t="shared" si="71"/>
        <v>#DIV/0!</v>
      </c>
      <c r="O226" s="283" t="e">
        <f t="shared" si="79"/>
        <v>#DIV/0!</v>
      </c>
      <c r="P226" s="282" t="e">
        <f t="shared" si="80"/>
        <v>#DIV/0!</v>
      </c>
      <c r="Q226" s="283" t="e">
        <f t="shared" si="72"/>
        <v>#DIV/0!</v>
      </c>
      <c r="R226" s="283" t="e">
        <f t="shared" si="81"/>
        <v>#DIV/0!</v>
      </c>
      <c r="S226" s="282" t="e">
        <f t="shared" si="82"/>
        <v>#DIV/0!</v>
      </c>
      <c r="T226" s="284"/>
      <c r="U226" s="284"/>
      <c r="V226" s="282" t="e">
        <f t="shared" si="83"/>
        <v>#DIV/0!</v>
      </c>
      <c r="W226" s="284"/>
      <c r="X226" s="284"/>
      <c r="Y226" s="282" t="e">
        <f t="shared" si="84"/>
        <v>#DIV/0!</v>
      </c>
      <c r="Z226" s="284" t="e">
        <f t="shared" si="73"/>
        <v>#DIV/0!</v>
      </c>
      <c r="AA226" s="284" t="e">
        <f t="shared" si="85"/>
        <v>#DIV/0!</v>
      </c>
      <c r="AB226" s="282" t="e">
        <f t="shared" si="86"/>
        <v>#DIV/0!</v>
      </c>
      <c r="AC226" s="285"/>
      <c r="AD226" s="284"/>
      <c r="AE226" s="282" t="e">
        <f t="shared" si="87"/>
        <v>#DIV/0!</v>
      </c>
      <c r="AF226" s="284"/>
      <c r="AG226" s="284"/>
      <c r="AH226" s="86" t="e">
        <f t="shared" si="88"/>
        <v>#DIV/0!</v>
      </c>
      <c r="AI226" s="284"/>
      <c r="AJ226" s="284"/>
      <c r="AK226" s="282" t="e">
        <f t="shared" si="89"/>
        <v>#DIV/0!</v>
      </c>
      <c r="AL226" s="286" t="e">
        <f t="shared" si="74"/>
        <v>#DIV/0!</v>
      </c>
      <c r="AM226" s="286" t="e">
        <f t="shared" si="90"/>
        <v>#DIV/0!</v>
      </c>
      <c r="AN226" s="282" t="e">
        <f t="shared" si="91"/>
        <v>#DIV/0!</v>
      </c>
      <c r="AO226" s="86"/>
    </row>
    <row r="227" spans="1:41" s="96" customFormat="1" ht="15.75" customHeight="1" x14ac:dyDescent="0.3">
      <c r="A227" s="279"/>
      <c r="B227" s="279"/>
      <c r="C227" s="280"/>
      <c r="D227" s="280"/>
      <c r="E227" s="281"/>
      <c r="F227" s="281"/>
      <c r="G227" s="282" t="e">
        <f t="shared" si="75"/>
        <v>#DIV/0!</v>
      </c>
      <c r="H227" s="281"/>
      <c r="I227" s="283"/>
      <c r="J227" s="282" t="e">
        <f t="shared" si="76"/>
        <v>#DIV/0!</v>
      </c>
      <c r="K227" s="281">
        <f t="shared" si="70"/>
        <v>0</v>
      </c>
      <c r="L227" s="281">
        <f t="shared" si="77"/>
        <v>0</v>
      </c>
      <c r="M227" s="282" t="e">
        <f t="shared" si="78"/>
        <v>#DIV/0!</v>
      </c>
      <c r="N227" s="283" t="e">
        <f t="shared" si="71"/>
        <v>#DIV/0!</v>
      </c>
      <c r="O227" s="283" t="e">
        <f t="shared" si="79"/>
        <v>#DIV/0!</v>
      </c>
      <c r="P227" s="282" t="e">
        <f t="shared" si="80"/>
        <v>#DIV/0!</v>
      </c>
      <c r="Q227" s="283" t="e">
        <f t="shared" si="72"/>
        <v>#DIV/0!</v>
      </c>
      <c r="R227" s="283" t="e">
        <f t="shared" si="81"/>
        <v>#DIV/0!</v>
      </c>
      <c r="S227" s="282" t="e">
        <f t="shared" si="82"/>
        <v>#DIV/0!</v>
      </c>
      <c r="T227" s="284"/>
      <c r="U227" s="284"/>
      <c r="V227" s="282" t="e">
        <f t="shared" si="83"/>
        <v>#DIV/0!</v>
      </c>
      <c r="W227" s="284"/>
      <c r="X227" s="284"/>
      <c r="Y227" s="282" t="e">
        <f t="shared" si="84"/>
        <v>#DIV/0!</v>
      </c>
      <c r="Z227" s="284" t="e">
        <f t="shared" si="73"/>
        <v>#DIV/0!</v>
      </c>
      <c r="AA227" s="284" t="e">
        <f t="shared" si="85"/>
        <v>#DIV/0!</v>
      </c>
      <c r="AB227" s="282" t="e">
        <f t="shared" si="86"/>
        <v>#DIV/0!</v>
      </c>
      <c r="AC227" s="285"/>
      <c r="AD227" s="284"/>
      <c r="AE227" s="282" t="e">
        <f t="shared" si="87"/>
        <v>#DIV/0!</v>
      </c>
      <c r="AF227" s="284"/>
      <c r="AG227" s="284"/>
      <c r="AH227" s="86" t="e">
        <f t="shared" si="88"/>
        <v>#DIV/0!</v>
      </c>
      <c r="AI227" s="284"/>
      <c r="AJ227" s="284"/>
      <c r="AK227" s="282" t="e">
        <f t="shared" si="89"/>
        <v>#DIV/0!</v>
      </c>
      <c r="AL227" s="286" t="e">
        <f t="shared" si="74"/>
        <v>#DIV/0!</v>
      </c>
      <c r="AM227" s="286" t="e">
        <f t="shared" si="90"/>
        <v>#DIV/0!</v>
      </c>
      <c r="AN227" s="282" t="e">
        <f t="shared" si="91"/>
        <v>#DIV/0!</v>
      </c>
      <c r="AO227" s="86"/>
    </row>
    <row r="228" spans="1:41" s="96" customFormat="1" ht="15.75" customHeight="1" x14ac:dyDescent="0.3">
      <c r="A228" s="279"/>
      <c r="B228" s="279"/>
      <c r="C228" s="280"/>
      <c r="D228" s="280"/>
      <c r="E228" s="281"/>
      <c r="F228" s="281"/>
      <c r="G228" s="282" t="e">
        <f t="shared" si="75"/>
        <v>#DIV/0!</v>
      </c>
      <c r="H228" s="281"/>
      <c r="I228" s="283"/>
      <c r="J228" s="282" t="e">
        <f t="shared" si="76"/>
        <v>#DIV/0!</v>
      </c>
      <c r="K228" s="281">
        <f t="shared" si="70"/>
        <v>0</v>
      </c>
      <c r="L228" s="281">
        <f t="shared" si="77"/>
        <v>0</v>
      </c>
      <c r="M228" s="282" t="e">
        <f t="shared" si="78"/>
        <v>#DIV/0!</v>
      </c>
      <c r="N228" s="283" t="e">
        <f t="shared" si="71"/>
        <v>#DIV/0!</v>
      </c>
      <c r="O228" s="283" t="e">
        <f t="shared" si="79"/>
        <v>#DIV/0!</v>
      </c>
      <c r="P228" s="282" t="e">
        <f t="shared" si="80"/>
        <v>#DIV/0!</v>
      </c>
      <c r="Q228" s="283" t="e">
        <f t="shared" si="72"/>
        <v>#DIV/0!</v>
      </c>
      <c r="R228" s="283" t="e">
        <f t="shared" si="81"/>
        <v>#DIV/0!</v>
      </c>
      <c r="S228" s="282" t="e">
        <f t="shared" si="82"/>
        <v>#DIV/0!</v>
      </c>
      <c r="T228" s="284"/>
      <c r="U228" s="284"/>
      <c r="V228" s="282" t="e">
        <f t="shared" si="83"/>
        <v>#DIV/0!</v>
      </c>
      <c r="W228" s="284"/>
      <c r="X228" s="284"/>
      <c r="Y228" s="282" t="e">
        <f t="shared" si="84"/>
        <v>#DIV/0!</v>
      </c>
      <c r="Z228" s="284" t="e">
        <f t="shared" si="73"/>
        <v>#DIV/0!</v>
      </c>
      <c r="AA228" s="284" t="e">
        <f t="shared" si="85"/>
        <v>#DIV/0!</v>
      </c>
      <c r="AB228" s="282" t="e">
        <f t="shared" si="86"/>
        <v>#DIV/0!</v>
      </c>
      <c r="AC228" s="285"/>
      <c r="AD228" s="284"/>
      <c r="AE228" s="282" t="e">
        <f t="shared" si="87"/>
        <v>#DIV/0!</v>
      </c>
      <c r="AF228" s="284"/>
      <c r="AG228" s="284"/>
      <c r="AH228" s="86" t="e">
        <f t="shared" si="88"/>
        <v>#DIV/0!</v>
      </c>
      <c r="AI228" s="284"/>
      <c r="AJ228" s="284"/>
      <c r="AK228" s="282" t="e">
        <f t="shared" si="89"/>
        <v>#DIV/0!</v>
      </c>
      <c r="AL228" s="286" t="e">
        <f t="shared" si="74"/>
        <v>#DIV/0!</v>
      </c>
      <c r="AM228" s="286" t="e">
        <f t="shared" si="90"/>
        <v>#DIV/0!</v>
      </c>
      <c r="AN228" s="282" t="e">
        <f t="shared" si="91"/>
        <v>#DIV/0!</v>
      </c>
      <c r="AO228" s="86"/>
    </row>
    <row r="229" spans="1:41" s="96" customFormat="1" ht="15.75" customHeight="1" x14ac:dyDescent="0.3">
      <c r="A229" s="279"/>
      <c r="B229" s="279"/>
      <c r="C229" s="280"/>
      <c r="D229" s="297" t="s">
        <v>274</v>
      </c>
      <c r="E229" s="281">
        <v>0</v>
      </c>
      <c r="F229" s="281">
        <v>3617</v>
      </c>
      <c r="G229" s="282">
        <f t="shared" si="75"/>
        <v>-1</v>
      </c>
      <c r="H229" s="281">
        <v>0</v>
      </c>
      <c r="I229" s="283">
        <v>11288.08</v>
      </c>
      <c r="J229" s="282">
        <f t="shared" si="76"/>
        <v>-1</v>
      </c>
      <c r="K229" s="281">
        <f t="shared" si="70"/>
        <v>0</v>
      </c>
      <c r="L229" s="281">
        <f t="shared" si="77"/>
        <v>12247.566799999999</v>
      </c>
      <c r="M229" s="282">
        <f t="shared" si="78"/>
        <v>-1</v>
      </c>
      <c r="N229" s="283" t="e">
        <f t="shared" si="71"/>
        <v>#DIV/0!</v>
      </c>
      <c r="O229" s="283">
        <f t="shared" si="79"/>
        <v>0.32042650300139619</v>
      </c>
      <c r="P229" s="282" t="e">
        <f t="shared" si="80"/>
        <v>#DIV/0!</v>
      </c>
      <c r="Q229" s="283" t="e">
        <f t="shared" si="72"/>
        <v>#DIV/0!</v>
      </c>
      <c r="R229" s="283">
        <f t="shared" si="81"/>
        <v>0.29532396589990434</v>
      </c>
      <c r="S229" s="282" t="e">
        <f t="shared" si="82"/>
        <v>#DIV/0!</v>
      </c>
      <c r="T229" s="284">
        <v>173</v>
      </c>
      <c r="U229" s="284">
        <v>6765</v>
      </c>
      <c r="V229" s="282">
        <f t="shared" si="83"/>
        <v>-0.97442719881744277</v>
      </c>
      <c r="W229" s="284">
        <v>0</v>
      </c>
      <c r="X229" s="284">
        <v>22</v>
      </c>
      <c r="Y229" s="282">
        <f t="shared" si="84"/>
        <v>-1</v>
      </c>
      <c r="Z229" s="284" t="e">
        <f t="shared" si="73"/>
        <v>#DIV/0!</v>
      </c>
      <c r="AA229" s="284">
        <f t="shared" si="85"/>
        <v>164.40909090909091</v>
      </c>
      <c r="AB229" s="282" t="e">
        <f t="shared" si="86"/>
        <v>#DIV/0!</v>
      </c>
      <c r="AC229" s="285">
        <v>0</v>
      </c>
      <c r="AD229" s="284">
        <v>689646</v>
      </c>
      <c r="AE229" s="282">
        <f t="shared" si="87"/>
        <v>-1</v>
      </c>
      <c r="AF229" s="284">
        <v>0</v>
      </c>
      <c r="AG229" s="284">
        <v>9710</v>
      </c>
      <c r="AH229" s="86">
        <f t="shared" si="88"/>
        <v>-1</v>
      </c>
      <c r="AI229" s="284">
        <v>0</v>
      </c>
      <c r="AJ229" s="284">
        <v>1533816</v>
      </c>
      <c r="AK229" s="282">
        <f t="shared" si="89"/>
        <v>-1</v>
      </c>
      <c r="AL229" s="286" t="e">
        <f t="shared" si="74"/>
        <v>#DIV/0!</v>
      </c>
      <c r="AM229" s="286">
        <f t="shared" si="90"/>
        <v>6.3306159278557535E-3</v>
      </c>
      <c r="AN229" s="282" t="e">
        <f t="shared" si="91"/>
        <v>#DIV/0!</v>
      </c>
      <c r="AO229" s="86"/>
    </row>
    <row r="230" spans="1:41" s="81" customFormat="1" ht="15.75" customHeight="1" x14ac:dyDescent="0.3">
      <c r="A230" s="49" t="s">
        <v>73</v>
      </c>
      <c r="B230" s="49" t="s">
        <v>76</v>
      </c>
      <c r="C230" s="50">
        <f>C224+7</f>
        <v>43000</v>
      </c>
      <c r="D230" s="50" t="s">
        <v>28</v>
      </c>
      <c r="E230" s="55">
        <f>SUM(E231:E235)</f>
        <v>3220</v>
      </c>
      <c r="F230" s="55">
        <f>SUM(F231:F235)</f>
        <v>0</v>
      </c>
      <c r="G230" s="52" t="e">
        <f t="shared" si="75"/>
        <v>#DIV/0!</v>
      </c>
      <c r="H230" s="55">
        <f>SUM(H231:H235)</f>
        <v>4581.04</v>
      </c>
      <c r="I230" s="55">
        <f>SUM(I231:I235)</f>
        <v>498.86</v>
      </c>
      <c r="J230" s="52">
        <f t="shared" si="76"/>
        <v>8.1830172793970242</v>
      </c>
      <c r="K230" s="51">
        <f t="shared" si="70"/>
        <v>4970.4283999999998</v>
      </c>
      <c r="L230" s="51">
        <f t="shared" si="77"/>
        <v>541.26310000000001</v>
      </c>
      <c r="M230" s="52">
        <f t="shared" si="78"/>
        <v>8.1830172793970242</v>
      </c>
      <c r="N230" s="53">
        <f t="shared" si="71"/>
        <v>0.70289715872378322</v>
      </c>
      <c r="O230" s="53">
        <f t="shared" si="79"/>
        <v>0</v>
      </c>
      <c r="P230" s="52" t="e">
        <f t="shared" si="80"/>
        <v>#DIV/0!</v>
      </c>
      <c r="Q230" s="53">
        <f t="shared" si="72"/>
        <v>0.64783148269473112</v>
      </c>
      <c r="R230" s="53">
        <f t="shared" si="81"/>
        <v>0</v>
      </c>
      <c r="S230" s="52" t="e">
        <f t="shared" si="82"/>
        <v>#DIV/0!</v>
      </c>
      <c r="T230" s="56">
        <f>SUM(T231:T235)</f>
        <v>4658</v>
      </c>
      <c r="U230" s="56">
        <f>SUM(U231:U235)</f>
        <v>349</v>
      </c>
      <c r="V230" s="52">
        <f t="shared" si="83"/>
        <v>12.346704871060172</v>
      </c>
      <c r="W230" s="56">
        <f>SUM(W231:W235)</f>
        <v>23</v>
      </c>
      <c r="X230" s="56">
        <f>SUM(X231:X235)</f>
        <v>22</v>
      </c>
      <c r="Y230" s="52">
        <f t="shared" si="84"/>
        <v>4.5454545454545456E-2</v>
      </c>
      <c r="Z230" s="51">
        <f t="shared" si="73"/>
        <v>140</v>
      </c>
      <c r="AA230" s="54">
        <f t="shared" si="85"/>
        <v>0</v>
      </c>
      <c r="AB230" s="52" t="e">
        <f t="shared" si="86"/>
        <v>#DIV/0!</v>
      </c>
      <c r="AC230" s="56">
        <f>SUM(AC231:AC235)</f>
        <v>234923</v>
      </c>
      <c r="AD230" s="56">
        <f>SUM(AD231:AD235)</f>
        <v>113280</v>
      </c>
      <c r="AE230" s="52">
        <f t="shared" si="87"/>
        <v>1.0738259180790961</v>
      </c>
      <c r="AF230" s="56">
        <f>SUM(AF231:AF235)</f>
        <v>11442</v>
      </c>
      <c r="AG230" s="56">
        <f>SUM(AG231:AG235)</f>
        <v>467</v>
      </c>
      <c r="AH230" s="67">
        <f t="shared" si="88"/>
        <v>23.501070663811564</v>
      </c>
      <c r="AI230" s="56">
        <f>SUM(AI231:AI235)</f>
        <v>404544</v>
      </c>
      <c r="AJ230" s="56">
        <f>SUM(AJ231:AJ235)</f>
        <v>126120</v>
      </c>
      <c r="AK230" s="52">
        <f t="shared" si="89"/>
        <v>2.2076117982873456</v>
      </c>
      <c r="AL230" s="82">
        <f t="shared" si="74"/>
        <v>2.8283697199810158E-2</v>
      </c>
      <c r="AM230" s="82">
        <f t="shared" si="90"/>
        <v>3.7028227085315574E-3</v>
      </c>
      <c r="AN230" s="52">
        <f>(AL230-AM230)/AM230</f>
        <v>6.6384151838116852</v>
      </c>
      <c r="AO230" s="86"/>
    </row>
    <row r="231" spans="1:41" s="96" customFormat="1" ht="15.75" customHeight="1" x14ac:dyDescent="0.3">
      <c r="A231" s="279"/>
      <c r="B231" s="279"/>
      <c r="C231" s="280"/>
      <c r="D231" s="297" t="s">
        <v>193</v>
      </c>
      <c r="E231" s="281">
        <v>3220</v>
      </c>
      <c r="F231" s="281"/>
      <c r="G231" s="282" t="e">
        <f t="shared" si="75"/>
        <v>#DIV/0!</v>
      </c>
      <c r="H231" s="281">
        <v>4581.04</v>
      </c>
      <c r="I231" s="283"/>
      <c r="J231" s="282" t="e">
        <f t="shared" si="76"/>
        <v>#DIV/0!</v>
      </c>
      <c r="K231" s="281">
        <f t="shared" si="70"/>
        <v>4970.4283999999998</v>
      </c>
      <c r="L231" s="281">
        <f t="shared" si="77"/>
        <v>0</v>
      </c>
      <c r="M231" s="282" t="e">
        <f t="shared" si="78"/>
        <v>#DIV/0!</v>
      </c>
      <c r="N231" s="283">
        <f t="shared" si="71"/>
        <v>0.70289715872378322</v>
      </c>
      <c r="O231" s="283" t="e">
        <f t="shared" si="79"/>
        <v>#DIV/0!</v>
      </c>
      <c r="P231" s="282" t="e">
        <f t="shared" si="80"/>
        <v>#DIV/0!</v>
      </c>
      <c r="Q231" s="283">
        <f t="shared" si="72"/>
        <v>0.64783148269473112</v>
      </c>
      <c r="R231" s="283" t="e">
        <f t="shared" si="81"/>
        <v>#DIV/0!</v>
      </c>
      <c r="S231" s="282" t="e">
        <f t="shared" si="82"/>
        <v>#DIV/0!</v>
      </c>
      <c r="T231" s="284">
        <v>4650</v>
      </c>
      <c r="U231" s="284"/>
      <c r="V231" s="282" t="e">
        <f t="shared" si="83"/>
        <v>#DIV/0!</v>
      </c>
      <c r="W231" s="284">
        <v>23</v>
      </c>
      <c r="X231" s="284"/>
      <c r="Y231" s="282" t="e">
        <f t="shared" si="84"/>
        <v>#DIV/0!</v>
      </c>
      <c r="Z231" s="284">
        <f t="shared" si="73"/>
        <v>140</v>
      </c>
      <c r="AA231" s="284" t="e">
        <f t="shared" si="85"/>
        <v>#DIV/0!</v>
      </c>
      <c r="AB231" s="282" t="e">
        <f t="shared" si="86"/>
        <v>#DIV/0!</v>
      </c>
      <c r="AC231" s="285">
        <v>234923</v>
      </c>
      <c r="AD231" s="284"/>
      <c r="AE231" s="282" t="e">
        <f t="shared" si="87"/>
        <v>#DIV/0!</v>
      </c>
      <c r="AF231" s="284">
        <v>11442</v>
      </c>
      <c r="AG231" s="284"/>
      <c r="AH231" s="86" t="e">
        <f t="shared" si="88"/>
        <v>#DIV/0!</v>
      </c>
      <c r="AI231" s="284">
        <v>404544</v>
      </c>
      <c r="AJ231" s="284"/>
      <c r="AK231" s="282" t="e">
        <f t="shared" si="89"/>
        <v>#DIV/0!</v>
      </c>
      <c r="AL231" s="286">
        <f t="shared" si="74"/>
        <v>2.8283697199810158E-2</v>
      </c>
      <c r="AM231" s="286" t="e">
        <f t="shared" si="90"/>
        <v>#DIV/0!</v>
      </c>
      <c r="AN231" s="282" t="e">
        <f t="shared" si="91"/>
        <v>#DIV/0!</v>
      </c>
      <c r="AO231" s="86"/>
    </row>
    <row r="232" spans="1:41" s="96" customFormat="1" ht="15.75" customHeight="1" x14ac:dyDescent="0.3">
      <c r="A232" s="279"/>
      <c r="B232" s="279"/>
      <c r="C232" s="280"/>
      <c r="D232" s="280"/>
      <c r="E232" s="281"/>
      <c r="F232" s="281"/>
      <c r="G232" s="282" t="e">
        <f t="shared" si="75"/>
        <v>#DIV/0!</v>
      </c>
      <c r="H232" s="281"/>
      <c r="I232" s="283"/>
      <c r="J232" s="282" t="e">
        <f t="shared" si="76"/>
        <v>#DIV/0!</v>
      </c>
      <c r="K232" s="281">
        <f t="shared" si="70"/>
        <v>0</v>
      </c>
      <c r="L232" s="281">
        <f t="shared" si="77"/>
        <v>0</v>
      </c>
      <c r="M232" s="282" t="e">
        <f t="shared" si="78"/>
        <v>#DIV/0!</v>
      </c>
      <c r="N232" s="283" t="e">
        <f t="shared" si="71"/>
        <v>#DIV/0!</v>
      </c>
      <c r="O232" s="283" t="e">
        <f t="shared" si="79"/>
        <v>#DIV/0!</v>
      </c>
      <c r="P232" s="282" t="e">
        <f t="shared" si="80"/>
        <v>#DIV/0!</v>
      </c>
      <c r="Q232" s="283" t="e">
        <f t="shared" si="72"/>
        <v>#DIV/0!</v>
      </c>
      <c r="R232" s="283" t="e">
        <f t="shared" si="81"/>
        <v>#DIV/0!</v>
      </c>
      <c r="S232" s="282" t="e">
        <f t="shared" si="82"/>
        <v>#DIV/0!</v>
      </c>
      <c r="T232" s="284"/>
      <c r="U232" s="284"/>
      <c r="V232" s="282" t="e">
        <f t="shared" si="83"/>
        <v>#DIV/0!</v>
      </c>
      <c r="W232" s="284"/>
      <c r="X232" s="284"/>
      <c r="Y232" s="282" t="e">
        <f t="shared" si="84"/>
        <v>#DIV/0!</v>
      </c>
      <c r="Z232" s="284" t="e">
        <f t="shared" si="73"/>
        <v>#DIV/0!</v>
      </c>
      <c r="AA232" s="284" t="e">
        <f t="shared" si="85"/>
        <v>#DIV/0!</v>
      </c>
      <c r="AB232" s="282" t="e">
        <f t="shared" si="86"/>
        <v>#DIV/0!</v>
      </c>
      <c r="AC232" s="285"/>
      <c r="AD232" s="284"/>
      <c r="AE232" s="282" t="e">
        <f t="shared" si="87"/>
        <v>#DIV/0!</v>
      </c>
      <c r="AF232" s="284"/>
      <c r="AG232" s="284"/>
      <c r="AH232" s="86" t="e">
        <f t="shared" si="88"/>
        <v>#DIV/0!</v>
      </c>
      <c r="AI232" s="284"/>
      <c r="AJ232" s="284"/>
      <c r="AK232" s="282" t="e">
        <f t="shared" si="89"/>
        <v>#DIV/0!</v>
      </c>
      <c r="AL232" s="286" t="e">
        <f t="shared" si="74"/>
        <v>#DIV/0!</v>
      </c>
      <c r="AM232" s="286" t="e">
        <f t="shared" si="90"/>
        <v>#DIV/0!</v>
      </c>
      <c r="AN232" s="282" t="e">
        <f t="shared" si="91"/>
        <v>#DIV/0!</v>
      </c>
      <c r="AO232" s="86"/>
    </row>
    <row r="233" spans="1:41" s="96" customFormat="1" ht="15.75" customHeight="1" x14ac:dyDescent="0.3">
      <c r="A233" s="279"/>
      <c r="B233" s="279"/>
      <c r="C233" s="280"/>
      <c r="D233" s="280"/>
      <c r="E233" s="281"/>
      <c r="F233" s="281"/>
      <c r="G233" s="282" t="e">
        <f t="shared" si="75"/>
        <v>#DIV/0!</v>
      </c>
      <c r="H233" s="281"/>
      <c r="I233" s="283"/>
      <c r="J233" s="282" t="e">
        <f t="shared" si="76"/>
        <v>#DIV/0!</v>
      </c>
      <c r="K233" s="281">
        <f t="shared" si="70"/>
        <v>0</v>
      </c>
      <c r="L233" s="281">
        <f t="shared" si="77"/>
        <v>0</v>
      </c>
      <c r="M233" s="282" t="e">
        <f t="shared" si="78"/>
        <v>#DIV/0!</v>
      </c>
      <c r="N233" s="283" t="e">
        <f t="shared" si="71"/>
        <v>#DIV/0!</v>
      </c>
      <c r="O233" s="283" t="e">
        <f t="shared" si="79"/>
        <v>#DIV/0!</v>
      </c>
      <c r="P233" s="282" t="e">
        <f t="shared" si="80"/>
        <v>#DIV/0!</v>
      </c>
      <c r="Q233" s="283" t="e">
        <f t="shared" si="72"/>
        <v>#DIV/0!</v>
      </c>
      <c r="R233" s="283" t="e">
        <f t="shared" si="81"/>
        <v>#DIV/0!</v>
      </c>
      <c r="S233" s="282" t="e">
        <f t="shared" si="82"/>
        <v>#DIV/0!</v>
      </c>
      <c r="T233" s="284"/>
      <c r="U233" s="284"/>
      <c r="V233" s="282" t="e">
        <f t="shared" si="83"/>
        <v>#DIV/0!</v>
      </c>
      <c r="W233" s="284"/>
      <c r="X233" s="284"/>
      <c r="Y233" s="282" t="e">
        <f t="shared" si="84"/>
        <v>#DIV/0!</v>
      </c>
      <c r="Z233" s="284" t="e">
        <f t="shared" si="73"/>
        <v>#DIV/0!</v>
      </c>
      <c r="AA233" s="284" t="e">
        <f t="shared" si="85"/>
        <v>#DIV/0!</v>
      </c>
      <c r="AB233" s="282" t="e">
        <f t="shared" si="86"/>
        <v>#DIV/0!</v>
      </c>
      <c r="AC233" s="285"/>
      <c r="AD233" s="284"/>
      <c r="AE233" s="282" t="e">
        <f t="shared" si="87"/>
        <v>#DIV/0!</v>
      </c>
      <c r="AF233" s="284"/>
      <c r="AG233" s="284"/>
      <c r="AH233" s="86" t="e">
        <f t="shared" si="88"/>
        <v>#DIV/0!</v>
      </c>
      <c r="AI233" s="284"/>
      <c r="AJ233" s="284"/>
      <c r="AK233" s="282" t="e">
        <f t="shared" si="89"/>
        <v>#DIV/0!</v>
      </c>
      <c r="AL233" s="286" t="e">
        <f t="shared" si="74"/>
        <v>#DIV/0!</v>
      </c>
      <c r="AM233" s="286" t="e">
        <f t="shared" si="90"/>
        <v>#DIV/0!</v>
      </c>
      <c r="AN233" s="282" t="e">
        <f t="shared" si="91"/>
        <v>#DIV/0!</v>
      </c>
      <c r="AO233" s="86"/>
    </row>
    <row r="234" spans="1:41" s="96" customFormat="1" ht="15.75" customHeight="1" x14ac:dyDescent="0.3">
      <c r="A234" s="279"/>
      <c r="B234" s="279"/>
      <c r="C234" s="280"/>
      <c r="D234" s="280"/>
      <c r="E234" s="281"/>
      <c r="F234" s="281"/>
      <c r="G234" s="282" t="e">
        <f t="shared" si="75"/>
        <v>#DIV/0!</v>
      </c>
      <c r="H234" s="281"/>
      <c r="I234" s="283"/>
      <c r="J234" s="282" t="e">
        <f t="shared" si="76"/>
        <v>#DIV/0!</v>
      </c>
      <c r="K234" s="281">
        <f t="shared" si="70"/>
        <v>0</v>
      </c>
      <c r="L234" s="281">
        <f t="shared" si="77"/>
        <v>0</v>
      </c>
      <c r="M234" s="282" t="e">
        <f t="shared" si="78"/>
        <v>#DIV/0!</v>
      </c>
      <c r="N234" s="283" t="e">
        <f t="shared" si="71"/>
        <v>#DIV/0!</v>
      </c>
      <c r="O234" s="283" t="e">
        <f t="shared" si="79"/>
        <v>#DIV/0!</v>
      </c>
      <c r="P234" s="282" t="e">
        <f t="shared" si="80"/>
        <v>#DIV/0!</v>
      </c>
      <c r="Q234" s="283" t="e">
        <f t="shared" si="72"/>
        <v>#DIV/0!</v>
      </c>
      <c r="R234" s="283" t="e">
        <f t="shared" si="81"/>
        <v>#DIV/0!</v>
      </c>
      <c r="S234" s="282" t="e">
        <f t="shared" si="82"/>
        <v>#DIV/0!</v>
      </c>
      <c r="T234" s="284"/>
      <c r="U234" s="284"/>
      <c r="V234" s="282" t="e">
        <f t="shared" si="83"/>
        <v>#DIV/0!</v>
      </c>
      <c r="W234" s="284"/>
      <c r="X234" s="284"/>
      <c r="Y234" s="282" t="e">
        <f t="shared" si="84"/>
        <v>#DIV/0!</v>
      </c>
      <c r="Z234" s="284" t="e">
        <f t="shared" si="73"/>
        <v>#DIV/0!</v>
      </c>
      <c r="AA234" s="284" t="e">
        <f t="shared" si="85"/>
        <v>#DIV/0!</v>
      </c>
      <c r="AB234" s="282" t="e">
        <f t="shared" si="86"/>
        <v>#DIV/0!</v>
      </c>
      <c r="AC234" s="285"/>
      <c r="AD234" s="284"/>
      <c r="AE234" s="282" t="e">
        <f t="shared" si="87"/>
        <v>#DIV/0!</v>
      </c>
      <c r="AF234" s="284"/>
      <c r="AG234" s="284"/>
      <c r="AH234" s="86" t="e">
        <f t="shared" si="88"/>
        <v>#DIV/0!</v>
      </c>
      <c r="AI234" s="284"/>
      <c r="AJ234" s="284"/>
      <c r="AK234" s="282" t="e">
        <f t="shared" si="89"/>
        <v>#DIV/0!</v>
      </c>
      <c r="AL234" s="286" t="e">
        <f t="shared" si="74"/>
        <v>#DIV/0!</v>
      </c>
      <c r="AM234" s="286" t="e">
        <f t="shared" si="90"/>
        <v>#DIV/0!</v>
      </c>
      <c r="AN234" s="282" t="e">
        <f t="shared" si="91"/>
        <v>#DIV/0!</v>
      </c>
      <c r="AO234" s="86"/>
    </row>
    <row r="235" spans="1:41" s="96" customFormat="1" ht="15.75" customHeight="1" x14ac:dyDescent="0.3">
      <c r="A235" s="279"/>
      <c r="B235" s="279"/>
      <c r="C235" s="280"/>
      <c r="D235" s="297" t="s">
        <v>274</v>
      </c>
      <c r="E235" s="281">
        <v>0</v>
      </c>
      <c r="F235" s="281">
        <v>0</v>
      </c>
      <c r="G235" s="282" t="e">
        <f t="shared" si="75"/>
        <v>#DIV/0!</v>
      </c>
      <c r="H235" s="281">
        <v>0</v>
      </c>
      <c r="I235" s="283">
        <v>498.86</v>
      </c>
      <c r="J235" s="282">
        <f t="shared" si="76"/>
        <v>-1</v>
      </c>
      <c r="K235" s="281">
        <f t="shared" si="70"/>
        <v>0</v>
      </c>
      <c r="L235" s="281">
        <f t="shared" si="77"/>
        <v>541.26310000000001</v>
      </c>
      <c r="M235" s="282">
        <f t="shared" si="78"/>
        <v>-1</v>
      </c>
      <c r="N235" s="283" t="e">
        <f t="shared" si="71"/>
        <v>#DIV/0!</v>
      </c>
      <c r="O235" s="283">
        <f t="shared" si="79"/>
        <v>0</v>
      </c>
      <c r="P235" s="282" t="e">
        <f t="shared" si="80"/>
        <v>#DIV/0!</v>
      </c>
      <c r="Q235" s="283" t="e">
        <f t="shared" si="72"/>
        <v>#DIV/0!</v>
      </c>
      <c r="R235" s="283">
        <f t="shared" si="81"/>
        <v>0</v>
      </c>
      <c r="S235" s="282" t="e">
        <f t="shared" si="82"/>
        <v>#DIV/0!</v>
      </c>
      <c r="T235" s="284">
        <v>8</v>
      </c>
      <c r="U235" s="284">
        <v>349</v>
      </c>
      <c r="V235" s="282">
        <f t="shared" si="83"/>
        <v>-0.97707736389684818</v>
      </c>
      <c r="W235" s="284">
        <v>0</v>
      </c>
      <c r="X235" s="284">
        <v>22</v>
      </c>
      <c r="Y235" s="282">
        <f t="shared" si="84"/>
        <v>-1</v>
      </c>
      <c r="Z235" s="284" t="e">
        <f t="shared" si="73"/>
        <v>#DIV/0!</v>
      </c>
      <c r="AA235" s="284">
        <f t="shared" si="85"/>
        <v>0</v>
      </c>
      <c r="AB235" s="282" t="e">
        <f t="shared" si="86"/>
        <v>#DIV/0!</v>
      </c>
      <c r="AC235" s="285">
        <v>0</v>
      </c>
      <c r="AD235" s="284">
        <v>113280</v>
      </c>
      <c r="AE235" s="282">
        <f t="shared" si="87"/>
        <v>-1</v>
      </c>
      <c r="AF235" s="284">
        <v>0</v>
      </c>
      <c r="AG235" s="284">
        <v>467</v>
      </c>
      <c r="AH235" s="86">
        <f t="shared" si="88"/>
        <v>-1</v>
      </c>
      <c r="AI235" s="284">
        <v>0</v>
      </c>
      <c r="AJ235" s="284">
        <v>126120</v>
      </c>
      <c r="AK235" s="282">
        <f t="shared" si="89"/>
        <v>-1</v>
      </c>
      <c r="AL235" s="286" t="e">
        <f t="shared" si="74"/>
        <v>#DIV/0!</v>
      </c>
      <c r="AM235" s="286">
        <f t="shared" si="90"/>
        <v>3.7028227085315574E-3</v>
      </c>
      <c r="AN235" s="282" t="e">
        <f t="shared" si="91"/>
        <v>#DIV/0!</v>
      </c>
      <c r="AO235" s="86"/>
    </row>
    <row r="236" spans="1:41" s="81" customFormat="1" ht="15.75" customHeight="1" x14ac:dyDescent="0.3">
      <c r="A236" s="49" t="s">
        <v>73</v>
      </c>
      <c r="B236" s="49" t="s">
        <v>77</v>
      </c>
      <c r="C236" s="50">
        <f>C230+7</f>
        <v>43007</v>
      </c>
      <c r="D236" s="50" t="s">
        <v>28</v>
      </c>
      <c r="E236" s="55">
        <f>SUM(E237:E241)</f>
        <v>62</v>
      </c>
      <c r="F236" s="55">
        <f>SUM(F237:F241)</f>
        <v>0</v>
      </c>
      <c r="G236" s="52" t="e">
        <f t="shared" si="75"/>
        <v>#DIV/0!</v>
      </c>
      <c r="H236" s="55">
        <f>SUM(H237:H241)</f>
        <v>0</v>
      </c>
      <c r="I236" s="55">
        <f>SUM(I237:I241)</f>
        <v>0</v>
      </c>
      <c r="J236" s="52" t="e">
        <f t="shared" si="76"/>
        <v>#DIV/0!</v>
      </c>
      <c r="K236" s="51">
        <f t="shared" si="70"/>
        <v>0</v>
      </c>
      <c r="L236" s="51">
        <f t="shared" si="77"/>
        <v>0</v>
      </c>
      <c r="M236" s="52" t="e">
        <f t="shared" si="78"/>
        <v>#DIV/0!</v>
      </c>
      <c r="N236" s="53" t="e">
        <f t="shared" si="71"/>
        <v>#DIV/0!</v>
      </c>
      <c r="O236" s="53" t="e">
        <f t="shared" si="79"/>
        <v>#DIV/0!</v>
      </c>
      <c r="P236" s="52" t="e">
        <f t="shared" si="80"/>
        <v>#DIV/0!</v>
      </c>
      <c r="Q236" s="53" t="e">
        <f t="shared" si="72"/>
        <v>#DIV/0!</v>
      </c>
      <c r="R236" s="53" t="e">
        <f t="shared" si="81"/>
        <v>#DIV/0!</v>
      </c>
      <c r="S236" s="52" t="e">
        <f t="shared" si="82"/>
        <v>#DIV/0!</v>
      </c>
      <c r="T236" s="56">
        <f>SUM(T237:T241)</f>
        <v>95</v>
      </c>
      <c r="U236" s="56">
        <f>SUM(U237:U241)</f>
        <v>18</v>
      </c>
      <c r="V236" s="52">
        <f t="shared" si="83"/>
        <v>4.2777777777777777</v>
      </c>
      <c r="W236" s="56">
        <f>SUM(W237:W241)</f>
        <v>1</v>
      </c>
      <c r="X236" s="56">
        <f>SUM(X237:X241)</f>
        <v>0</v>
      </c>
      <c r="Y236" s="52" t="e">
        <f t="shared" si="84"/>
        <v>#DIV/0!</v>
      </c>
      <c r="Z236" s="51">
        <f t="shared" si="73"/>
        <v>62</v>
      </c>
      <c r="AA236" s="54" t="e">
        <f t="shared" si="85"/>
        <v>#DIV/0!</v>
      </c>
      <c r="AB236" s="52" t="e">
        <f t="shared" si="86"/>
        <v>#DIV/0!</v>
      </c>
      <c r="AC236" s="56">
        <f>SUM(AC237:AC241)</f>
        <v>0</v>
      </c>
      <c r="AD236" s="56">
        <f>SUM(AD237:AD241)</f>
        <v>0</v>
      </c>
      <c r="AE236" s="52" t="e">
        <f t="shared" si="87"/>
        <v>#DIV/0!</v>
      </c>
      <c r="AF236" s="56">
        <f>SUM(AF237:AF241)</f>
        <v>0</v>
      </c>
      <c r="AG236" s="56">
        <f>SUM(AG237:AG241)</f>
        <v>0</v>
      </c>
      <c r="AH236" s="67" t="e">
        <f t="shared" si="88"/>
        <v>#DIV/0!</v>
      </c>
      <c r="AI236" s="56">
        <f>SUM(AI237:AI241)</f>
        <v>0</v>
      </c>
      <c r="AJ236" s="56">
        <f>SUM(AJ237:AJ241)</f>
        <v>0</v>
      </c>
      <c r="AK236" s="52" t="e">
        <f t="shared" si="89"/>
        <v>#DIV/0!</v>
      </c>
      <c r="AL236" s="82" t="e">
        <f t="shared" si="74"/>
        <v>#DIV/0!</v>
      </c>
      <c r="AM236" s="82" t="e">
        <f t="shared" si="90"/>
        <v>#DIV/0!</v>
      </c>
      <c r="AN236" s="52" t="e">
        <f>(AL236-AM236)/AM236</f>
        <v>#DIV/0!</v>
      </c>
      <c r="AO236" s="68"/>
    </row>
    <row r="237" spans="1:41" s="96" customFormat="1" ht="15.75" customHeight="1" x14ac:dyDescent="0.3">
      <c r="A237" s="279"/>
      <c r="B237" s="279"/>
      <c r="C237" s="280"/>
      <c r="D237" s="280"/>
      <c r="E237" s="281"/>
      <c r="F237" s="281"/>
      <c r="G237" s="282" t="e">
        <f t="shared" si="75"/>
        <v>#DIV/0!</v>
      </c>
      <c r="H237" s="281"/>
      <c r="I237" s="283"/>
      <c r="J237" s="282" t="e">
        <f t="shared" si="76"/>
        <v>#DIV/0!</v>
      </c>
      <c r="K237" s="281">
        <f t="shared" si="70"/>
        <v>0</v>
      </c>
      <c r="L237" s="281">
        <f t="shared" si="77"/>
        <v>0</v>
      </c>
      <c r="M237" s="282" t="e">
        <f t="shared" si="78"/>
        <v>#DIV/0!</v>
      </c>
      <c r="N237" s="283" t="e">
        <f t="shared" si="71"/>
        <v>#DIV/0!</v>
      </c>
      <c r="O237" s="283" t="e">
        <f t="shared" si="79"/>
        <v>#DIV/0!</v>
      </c>
      <c r="P237" s="282" t="e">
        <f t="shared" si="80"/>
        <v>#DIV/0!</v>
      </c>
      <c r="Q237" s="283" t="e">
        <f t="shared" si="72"/>
        <v>#DIV/0!</v>
      </c>
      <c r="R237" s="283" t="e">
        <f t="shared" si="81"/>
        <v>#DIV/0!</v>
      </c>
      <c r="S237" s="282" t="e">
        <f t="shared" si="82"/>
        <v>#DIV/0!</v>
      </c>
      <c r="T237" s="284"/>
      <c r="U237" s="284"/>
      <c r="V237" s="282" t="e">
        <f t="shared" si="83"/>
        <v>#DIV/0!</v>
      </c>
      <c r="W237" s="284"/>
      <c r="X237" s="284"/>
      <c r="Y237" s="282" t="e">
        <f t="shared" si="84"/>
        <v>#DIV/0!</v>
      </c>
      <c r="Z237" s="284" t="e">
        <f t="shared" si="73"/>
        <v>#DIV/0!</v>
      </c>
      <c r="AA237" s="284" t="e">
        <f t="shared" si="85"/>
        <v>#DIV/0!</v>
      </c>
      <c r="AB237" s="282" t="e">
        <f t="shared" si="86"/>
        <v>#DIV/0!</v>
      </c>
      <c r="AC237" s="285"/>
      <c r="AD237" s="284"/>
      <c r="AE237" s="282" t="e">
        <f t="shared" si="87"/>
        <v>#DIV/0!</v>
      </c>
      <c r="AF237" s="284"/>
      <c r="AG237" s="284"/>
      <c r="AH237" s="86" t="e">
        <f t="shared" si="88"/>
        <v>#DIV/0!</v>
      </c>
      <c r="AI237" s="284"/>
      <c r="AJ237" s="284"/>
      <c r="AK237" s="282" t="e">
        <f t="shared" si="89"/>
        <v>#DIV/0!</v>
      </c>
      <c r="AL237" s="286" t="e">
        <f t="shared" si="74"/>
        <v>#DIV/0!</v>
      </c>
      <c r="AM237" s="286" t="e">
        <f t="shared" si="90"/>
        <v>#DIV/0!</v>
      </c>
      <c r="AN237" s="282" t="e">
        <f t="shared" si="91"/>
        <v>#DIV/0!</v>
      </c>
      <c r="AO237" s="86"/>
    </row>
    <row r="238" spans="1:41" s="96" customFormat="1" ht="15.75" customHeight="1" x14ac:dyDescent="0.3">
      <c r="A238" s="279"/>
      <c r="B238" s="279"/>
      <c r="C238" s="280"/>
      <c r="D238" s="280"/>
      <c r="E238" s="281"/>
      <c r="F238" s="281"/>
      <c r="G238" s="282" t="e">
        <f t="shared" si="75"/>
        <v>#DIV/0!</v>
      </c>
      <c r="H238" s="281"/>
      <c r="I238" s="283"/>
      <c r="J238" s="282" t="e">
        <f t="shared" si="76"/>
        <v>#DIV/0!</v>
      </c>
      <c r="K238" s="281">
        <f t="shared" si="70"/>
        <v>0</v>
      </c>
      <c r="L238" s="281">
        <f t="shared" si="77"/>
        <v>0</v>
      </c>
      <c r="M238" s="282" t="e">
        <f t="shared" si="78"/>
        <v>#DIV/0!</v>
      </c>
      <c r="N238" s="283" t="e">
        <f t="shared" si="71"/>
        <v>#DIV/0!</v>
      </c>
      <c r="O238" s="283" t="e">
        <f t="shared" si="79"/>
        <v>#DIV/0!</v>
      </c>
      <c r="P238" s="282" t="e">
        <f t="shared" si="80"/>
        <v>#DIV/0!</v>
      </c>
      <c r="Q238" s="283" t="e">
        <f t="shared" si="72"/>
        <v>#DIV/0!</v>
      </c>
      <c r="R238" s="283" t="e">
        <f t="shared" si="81"/>
        <v>#DIV/0!</v>
      </c>
      <c r="S238" s="282" t="e">
        <f t="shared" si="82"/>
        <v>#DIV/0!</v>
      </c>
      <c r="T238" s="284"/>
      <c r="U238" s="284"/>
      <c r="V238" s="282" t="e">
        <f t="shared" si="83"/>
        <v>#DIV/0!</v>
      </c>
      <c r="W238" s="284"/>
      <c r="X238" s="284"/>
      <c r="Y238" s="282" t="e">
        <f t="shared" si="84"/>
        <v>#DIV/0!</v>
      </c>
      <c r="Z238" s="284" t="e">
        <f t="shared" si="73"/>
        <v>#DIV/0!</v>
      </c>
      <c r="AA238" s="284" t="e">
        <f t="shared" si="85"/>
        <v>#DIV/0!</v>
      </c>
      <c r="AB238" s="282" t="e">
        <f t="shared" si="86"/>
        <v>#DIV/0!</v>
      </c>
      <c r="AC238" s="285"/>
      <c r="AD238" s="284"/>
      <c r="AE238" s="282" t="e">
        <f t="shared" si="87"/>
        <v>#DIV/0!</v>
      </c>
      <c r="AF238" s="284"/>
      <c r="AG238" s="284"/>
      <c r="AH238" s="86" t="e">
        <f t="shared" si="88"/>
        <v>#DIV/0!</v>
      </c>
      <c r="AI238" s="284"/>
      <c r="AJ238" s="284"/>
      <c r="AK238" s="282" t="e">
        <f t="shared" si="89"/>
        <v>#DIV/0!</v>
      </c>
      <c r="AL238" s="286" t="e">
        <f t="shared" si="74"/>
        <v>#DIV/0!</v>
      </c>
      <c r="AM238" s="286" t="e">
        <f t="shared" si="90"/>
        <v>#DIV/0!</v>
      </c>
      <c r="AN238" s="282" t="e">
        <f t="shared" si="91"/>
        <v>#DIV/0!</v>
      </c>
      <c r="AO238" s="86"/>
    </row>
    <row r="239" spans="1:41" s="96" customFormat="1" ht="15.75" customHeight="1" x14ac:dyDescent="0.3">
      <c r="A239" s="279"/>
      <c r="B239" s="279"/>
      <c r="C239" s="280"/>
      <c r="D239" s="280"/>
      <c r="E239" s="281"/>
      <c r="F239" s="281"/>
      <c r="G239" s="282" t="e">
        <f t="shared" si="75"/>
        <v>#DIV/0!</v>
      </c>
      <c r="H239" s="281"/>
      <c r="I239" s="283"/>
      <c r="J239" s="282" t="e">
        <f t="shared" si="76"/>
        <v>#DIV/0!</v>
      </c>
      <c r="K239" s="281">
        <f t="shared" si="70"/>
        <v>0</v>
      </c>
      <c r="L239" s="281">
        <f t="shared" si="77"/>
        <v>0</v>
      </c>
      <c r="M239" s="282" t="e">
        <f t="shared" si="78"/>
        <v>#DIV/0!</v>
      </c>
      <c r="N239" s="283" t="e">
        <f t="shared" si="71"/>
        <v>#DIV/0!</v>
      </c>
      <c r="O239" s="283" t="e">
        <f t="shared" si="79"/>
        <v>#DIV/0!</v>
      </c>
      <c r="P239" s="282" t="e">
        <f t="shared" si="80"/>
        <v>#DIV/0!</v>
      </c>
      <c r="Q239" s="283" t="e">
        <f t="shared" si="72"/>
        <v>#DIV/0!</v>
      </c>
      <c r="R239" s="283" t="e">
        <f t="shared" si="81"/>
        <v>#DIV/0!</v>
      </c>
      <c r="S239" s="282" t="e">
        <f t="shared" si="82"/>
        <v>#DIV/0!</v>
      </c>
      <c r="T239" s="284"/>
      <c r="U239" s="284"/>
      <c r="V239" s="282" t="e">
        <f t="shared" si="83"/>
        <v>#DIV/0!</v>
      </c>
      <c r="W239" s="284"/>
      <c r="X239" s="284"/>
      <c r="Y239" s="282" t="e">
        <f t="shared" si="84"/>
        <v>#DIV/0!</v>
      </c>
      <c r="Z239" s="284" t="e">
        <f t="shared" si="73"/>
        <v>#DIV/0!</v>
      </c>
      <c r="AA239" s="284" t="e">
        <f t="shared" si="85"/>
        <v>#DIV/0!</v>
      </c>
      <c r="AB239" s="282" t="e">
        <f t="shared" si="86"/>
        <v>#DIV/0!</v>
      </c>
      <c r="AC239" s="285"/>
      <c r="AD239" s="284"/>
      <c r="AE239" s="282" t="e">
        <f t="shared" si="87"/>
        <v>#DIV/0!</v>
      </c>
      <c r="AF239" s="284"/>
      <c r="AG239" s="284"/>
      <c r="AH239" s="86" t="e">
        <f t="shared" si="88"/>
        <v>#DIV/0!</v>
      </c>
      <c r="AI239" s="284"/>
      <c r="AJ239" s="284"/>
      <c r="AK239" s="282" t="e">
        <f t="shared" si="89"/>
        <v>#DIV/0!</v>
      </c>
      <c r="AL239" s="286" t="e">
        <f t="shared" si="74"/>
        <v>#DIV/0!</v>
      </c>
      <c r="AM239" s="286" t="e">
        <f t="shared" si="90"/>
        <v>#DIV/0!</v>
      </c>
      <c r="AN239" s="282" t="e">
        <f t="shared" si="91"/>
        <v>#DIV/0!</v>
      </c>
      <c r="AO239" s="86"/>
    </row>
    <row r="240" spans="1:41" s="96" customFormat="1" ht="15.75" customHeight="1" x14ac:dyDescent="0.3">
      <c r="A240" s="279"/>
      <c r="B240" s="279"/>
      <c r="C240" s="280"/>
      <c r="D240" s="280"/>
      <c r="E240" s="281"/>
      <c r="F240" s="281"/>
      <c r="G240" s="282" t="e">
        <f t="shared" si="75"/>
        <v>#DIV/0!</v>
      </c>
      <c r="H240" s="281"/>
      <c r="I240" s="283"/>
      <c r="J240" s="282" t="e">
        <f t="shared" si="76"/>
        <v>#DIV/0!</v>
      </c>
      <c r="K240" s="281">
        <f t="shared" si="70"/>
        <v>0</v>
      </c>
      <c r="L240" s="281">
        <f t="shared" si="77"/>
        <v>0</v>
      </c>
      <c r="M240" s="282" t="e">
        <f t="shared" si="78"/>
        <v>#DIV/0!</v>
      </c>
      <c r="N240" s="283" t="e">
        <f t="shared" si="71"/>
        <v>#DIV/0!</v>
      </c>
      <c r="O240" s="283" t="e">
        <f t="shared" si="79"/>
        <v>#DIV/0!</v>
      </c>
      <c r="P240" s="282" t="e">
        <f t="shared" si="80"/>
        <v>#DIV/0!</v>
      </c>
      <c r="Q240" s="283" t="e">
        <f t="shared" si="72"/>
        <v>#DIV/0!</v>
      </c>
      <c r="R240" s="283" t="e">
        <f t="shared" si="81"/>
        <v>#DIV/0!</v>
      </c>
      <c r="S240" s="282" t="e">
        <f t="shared" si="82"/>
        <v>#DIV/0!</v>
      </c>
      <c r="T240" s="284"/>
      <c r="U240" s="284"/>
      <c r="V240" s="282" t="e">
        <f t="shared" si="83"/>
        <v>#DIV/0!</v>
      </c>
      <c r="W240" s="284"/>
      <c r="X240" s="284"/>
      <c r="Y240" s="282" t="e">
        <f t="shared" si="84"/>
        <v>#DIV/0!</v>
      </c>
      <c r="Z240" s="284" t="e">
        <f t="shared" si="73"/>
        <v>#DIV/0!</v>
      </c>
      <c r="AA240" s="284" t="e">
        <f t="shared" si="85"/>
        <v>#DIV/0!</v>
      </c>
      <c r="AB240" s="282" t="e">
        <f t="shared" si="86"/>
        <v>#DIV/0!</v>
      </c>
      <c r="AC240" s="285"/>
      <c r="AD240" s="284"/>
      <c r="AE240" s="282" t="e">
        <f t="shared" si="87"/>
        <v>#DIV/0!</v>
      </c>
      <c r="AF240" s="284"/>
      <c r="AG240" s="284"/>
      <c r="AH240" s="86" t="e">
        <f t="shared" si="88"/>
        <v>#DIV/0!</v>
      </c>
      <c r="AI240" s="284"/>
      <c r="AJ240" s="284"/>
      <c r="AK240" s="282" t="e">
        <f t="shared" si="89"/>
        <v>#DIV/0!</v>
      </c>
      <c r="AL240" s="286" t="e">
        <f t="shared" si="74"/>
        <v>#DIV/0!</v>
      </c>
      <c r="AM240" s="286" t="e">
        <f t="shared" si="90"/>
        <v>#DIV/0!</v>
      </c>
      <c r="AN240" s="282" t="e">
        <f t="shared" si="91"/>
        <v>#DIV/0!</v>
      </c>
      <c r="AO240" s="86"/>
    </row>
    <row r="241" spans="1:41" s="357" customFormat="1" ht="15.75" customHeight="1" x14ac:dyDescent="0.3">
      <c r="A241" s="347"/>
      <c r="B241" s="347"/>
      <c r="C241" s="348"/>
      <c r="D241" s="349" t="s">
        <v>274</v>
      </c>
      <c r="E241" s="350">
        <v>62</v>
      </c>
      <c r="F241" s="350">
        <v>0</v>
      </c>
      <c r="G241" s="351" t="e">
        <f t="shared" si="75"/>
        <v>#DIV/0!</v>
      </c>
      <c r="H241" s="350">
        <v>0</v>
      </c>
      <c r="I241" s="352">
        <v>0</v>
      </c>
      <c r="J241" s="351" t="e">
        <f t="shared" si="76"/>
        <v>#DIV/0!</v>
      </c>
      <c r="K241" s="350">
        <f t="shared" si="70"/>
        <v>0</v>
      </c>
      <c r="L241" s="350">
        <f t="shared" si="77"/>
        <v>0</v>
      </c>
      <c r="M241" s="351" t="e">
        <f t="shared" si="78"/>
        <v>#DIV/0!</v>
      </c>
      <c r="N241" s="352" t="e">
        <f t="shared" si="71"/>
        <v>#DIV/0!</v>
      </c>
      <c r="O241" s="352" t="e">
        <f t="shared" si="79"/>
        <v>#DIV/0!</v>
      </c>
      <c r="P241" s="351" t="e">
        <f t="shared" si="80"/>
        <v>#DIV/0!</v>
      </c>
      <c r="Q241" s="352" t="e">
        <f t="shared" si="72"/>
        <v>#DIV/0!</v>
      </c>
      <c r="R241" s="352" t="e">
        <f t="shared" si="81"/>
        <v>#DIV/0!</v>
      </c>
      <c r="S241" s="351" t="e">
        <f t="shared" si="82"/>
        <v>#DIV/0!</v>
      </c>
      <c r="T241" s="353">
        <v>95</v>
      </c>
      <c r="U241" s="353">
        <v>18</v>
      </c>
      <c r="V241" s="351">
        <f t="shared" si="83"/>
        <v>4.2777777777777777</v>
      </c>
      <c r="W241" s="353">
        <v>1</v>
      </c>
      <c r="X241" s="353">
        <v>0</v>
      </c>
      <c r="Y241" s="351" t="e">
        <f t="shared" si="84"/>
        <v>#DIV/0!</v>
      </c>
      <c r="Z241" s="353">
        <f t="shared" si="73"/>
        <v>62</v>
      </c>
      <c r="AA241" s="353" t="e">
        <f t="shared" si="85"/>
        <v>#DIV/0!</v>
      </c>
      <c r="AB241" s="351" t="e">
        <f t="shared" si="86"/>
        <v>#DIV/0!</v>
      </c>
      <c r="AC241" s="354"/>
      <c r="AD241" s="353">
        <v>0</v>
      </c>
      <c r="AE241" s="351" t="e">
        <f t="shared" si="87"/>
        <v>#DIV/0!</v>
      </c>
      <c r="AF241" s="353"/>
      <c r="AG241" s="353">
        <v>0</v>
      </c>
      <c r="AH241" s="355" t="e">
        <f t="shared" si="88"/>
        <v>#DIV/0!</v>
      </c>
      <c r="AI241" s="353"/>
      <c r="AJ241" s="353">
        <v>0</v>
      </c>
      <c r="AK241" s="351" t="e">
        <f t="shared" si="89"/>
        <v>#DIV/0!</v>
      </c>
      <c r="AL241" s="356" t="e">
        <f t="shared" si="74"/>
        <v>#DIV/0!</v>
      </c>
      <c r="AM241" s="356" t="e">
        <f t="shared" si="90"/>
        <v>#DIV/0!</v>
      </c>
      <c r="AN241" s="351" t="e">
        <f t="shared" si="91"/>
        <v>#DIV/0!</v>
      </c>
      <c r="AO241" s="355"/>
    </row>
    <row r="242" spans="1:41" s="81" customFormat="1" ht="15.75" customHeight="1" x14ac:dyDescent="0.3">
      <c r="A242" s="49" t="s">
        <v>78</v>
      </c>
      <c r="B242" s="49" t="s">
        <v>79</v>
      </c>
      <c r="C242" s="50">
        <f>C236+7</f>
        <v>43014</v>
      </c>
      <c r="D242" s="50" t="s">
        <v>28</v>
      </c>
      <c r="E242" s="55">
        <f>SUM(E243:E247)</f>
        <v>360</v>
      </c>
      <c r="F242" s="55">
        <f>SUM(F243:F247)</f>
        <v>29</v>
      </c>
      <c r="G242" s="52">
        <f t="shared" si="75"/>
        <v>11.413793103448276</v>
      </c>
      <c r="H242" s="55">
        <f>SUM(H243:H247)</f>
        <v>0</v>
      </c>
      <c r="I242" s="55">
        <f>SUM(I243:I247)</f>
        <v>0</v>
      </c>
      <c r="J242" s="52" t="e">
        <f t="shared" si="76"/>
        <v>#DIV/0!</v>
      </c>
      <c r="K242" s="51">
        <f t="shared" si="70"/>
        <v>0</v>
      </c>
      <c r="L242" s="51">
        <f t="shared" si="77"/>
        <v>0</v>
      </c>
      <c r="M242" s="52" t="e">
        <f t="shared" si="78"/>
        <v>#DIV/0!</v>
      </c>
      <c r="N242" s="53" t="e">
        <f t="shared" si="71"/>
        <v>#DIV/0!</v>
      </c>
      <c r="O242" s="53" t="e">
        <f t="shared" si="79"/>
        <v>#DIV/0!</v>
      </c>
      <c r="P242" s="52" t="e">
        <f t="shared" si="80"/>
        <v>#DIV/0!</v>
      </c>
      <c r="Q242" s="53" t="e">
        <f t="shared" si="72"/>
        <v>#DIV/0!</v>
      </c>
      <c r="R242" s="53" t="e">
        <f t="shared" si="81"/>
        <v>#DIV/0!</v>
      </c>
      <c r="S242" s="52" t="e">
        <f t="shared" si="82"/>
        <v>#DIV/0!</v>
      </c>
      <c r="T242" s="56">
        <f>SUM(T243:T247)</f>
        <v>11</v>
      </c>
      <c r="U242" s="56">
        <f>SUM(U243:U247)</f>
        <v>14</v>
      </c>
      <c r="V242" s="52">
        <f t="shared" si="83"/>
        <v>-0.21428571428571427</v>
      </c>
      <c r="W242" s="56">
        <f>SUM(W243:W247)</f>
        <v>3</v>
      </c>
      <c r="X242" s="56">
        <f>SUM(X243:X247)</f>
        <v>1</v>
      </c>
      <c r="Y242" s="52">
        <f t="shared" si="84"/>
        <v>2</v>
      </c>
      <c r="Z242" s="51">
        <f t="shared" si="73"/>
        <v>120</v>
      </c>
      <c r="AA242" s="54">
        <f t="shared" si="85"/>
        <v>29</v>
      </c>
      <c r="AB242" s="52">
        <f t="shared" si="86"/>
        <v>3.1379310344827585</v>
      </c>
      <c r="AC242" s="56">
        <f>SUM(AC243:AC247)</f>
        <v>0</v>
      </c>
      <c r="AD242" s="56">
        <f>SUM(AD243:AD247)</f>
        <v>0</v>
      </c>
      <c r="AE242" s="52" t="e">
        <f t="shared" si="87"/>
        <v>#DIV/0!</v>
      </c>
      <c r="AF242" s="56">
        <f>SUM(AF243:AF247)</f>
        <v>0</v>
      </c>
      <c r="AG242" s="56">
        <f>SUM(AG243:AG247)</f>
        <v>0</v>
      </c>
      <c r="AH242" s="67" t="e">
        <f t="shared" si="88"/>
        <v>#DIV/0!</v>
      </c>
      <c r="AI242" s="56">
        <f>SUM(AI243:AI247)</f>
        <v>0</v>
      </c>
      <c r="AJ242" s="56">
        <f>SUM(AJ243:AJ247)</f>
        <v>0</v>
      </c>
      <c r="AK242" s="52" t="e">
        <f t="shared" si="89"/>
        <v>#DIV/0!</v>
      </c>
      <c r="AL242" s="82" t="e">
        <f t="shared" si="74"/>
        <v>#DIV/0!</v>
      </c>
      <c r="AM242" s="82" t="e">
        <f t="shared" si="90"/>
        <v>#DIV/0!</v>
      </c>
      <c r="AN242" s="52" t="e">
        <f>(AL242-AM242)/AM242</f>
        <v>#DIV/0!</v>
      </c>
      <c r="AO242" s="68"/>
    </row>
    <row r="243" spans="1:41" s="96" customFormat="1" ht="15.75" customHeight="1" x14ac:dyDescent="0.3">
      <c r="A243" s="279"/>
      <c r="B243" s="279"/>
      <c r="C243" s="280"/>
      <c r="D243" s="280"/>
      <c r="E243" s="281"/>
      <c r="F243" s="281"/>
      <c r="G243" s="282" t="e">
        <f t="shared" si="75"/>
        <v>#DIV/0!</v>
      </c>
      <c r="H243" s="281"/>
      <c r="I243" s="283"/>
      <c r="J243" s="282" t="e">
        <f t="shared" si="76"/>
        <v>#DIV/0!</v>
      </c>
      <c r="K243" s="281">
        <f t="shared" si="70"/>
        <v>0</v>
      </c>
      <c r="L243" s="281">
        <f t="shared" si="77"/>
        <v>0</v>
      </c>
      <c r="M243" s="282" t="e">
        <f t="shared" si="78"/>
        <v>#DIV/0!</v>
      </c>
      <c r="N243" s="283" t="e">
        <f t="shared" si="71"/>
        <v>#DIV/0!</v>
      </c>
      <c r="O243" s="283" t="e">
        <f t="shared" si="79"/>
        <v>#DIV/0!</v>
      </c>
      <c r="P243" s="282" t="e">
        <f t="shared" si="80"/>
        <v>#DIV/0!</v>
      </c>
      <c r="Q243" s="283" t="e">
        <f t="shared" si="72"/>
        <v>#DIV/0!</v>
      </c>
      <c r="R243" s="283" t="e">
        <f t="shared" si="81"/>
        <v>#DIV/0!</v>
      </c>
      <c r="S243" s="282" t="e">
        <f t="shared" si="82"/>
        <v>#DIV/0!</v>
      </c>
      <c r="T243" s="284"/>
      <c r="U243" s="284"/>
      <c r="V243" s="282" t="e">
        <f t="shared" si="83"/>
        <v>#DIV/0!</v>
      </c>
      <c r="W243" s="284"/>
      <c r="X243" s="284"/>
      <c r="Y243" s="282" t="e">
        <f t="shared" si="84"/>
        <v>#DIV/0!</v>
      </c>
      <c r="Z243" s="284" t="e">
        <f t="shared" si="73"/>
        <v>#DIV/0!</v>
      </c>
      <c r="AA243" s="284" t="e">
        <f t="shared" si="85"/>
        <v>#DIV/0!</v>
      </c>
      <c r="AB243" s="282" t="e">
        <f t="shared" si="86"/>
        <v>#DIV/0!</v>
      </c>
      <c r="AC243" s="285"/>
      <c r="AD243" s="284"/>
      <c r="AE243" s="282" t="e">
        <f t="shared" si="87"/>
        <v>#DIV/0!</v>
      </c>
      <c r="AF243" s="284"/>
      <c r="AG243" s="284"/>
      <c r="AH243" s="86" t="e">
        <f t="shared" si="88"/>
        <v>#DIV/0!</v>
      </c>
      <c r="AI243" s="284"/>
      <c r="AJ243" s="284"/>
      <c r="AK243" s="282" t="e">
        <f t="shared" si="89"/>
        <v>#DIV/0!</v>
      </c>
      <c r="AL243" s="286" t="e">
        <f t="shared" si="74"/>
        <v>#DIV/0!</v>
      </c>
      <c r="AM243" s="286" t="e">
        <f t="shared" si="90"/>
        <v>#DIV/0!</v>
      </c>
      <c r="AN243" s="282" t="e">
        <f t="shared" si="91"/>
        <v>#DIV/0!</v>
      </c>
      <c r="AO243" s="86"/>
    </row>
    <row r="244" spans="1:41" s="96" customFormat="1" ht="15.75" customHeight="1" x14ac:dyDescent="0.3">
      <c r="A244" s="279"/>
      <c r="B244" s="279"/>
      <c r="C244" s="280"/>
      <c r="D244" s="280"/>
      <c r="E244" s="281"/>
      <c r="F244" s="281"/>
      <c r="G244" s="282" t="e">
        <f t="shared" si="75"/>
        <v>#DIV/0!</v>
      </c>
      <c r="H244" s="281"/>
      <c r="I244" s="283"/>
      <c r="J244" s="282" t="e">
        <f t="shared" si="76"/>
        <v>#DIV/0!</v>
      </c>
      <c r="K244" s="281">
        <f t="shared" si="70"/>
        <v>0</v>
      </c>
      <c r="L244" s="281">
        <f t="shared" si="77"/>
        <v>0</v>
      </c>
      <c r="M244" s="282" t="e">
        <f t="shared" si="78"/>
        <v>#DIV/0!</v>
      </c>
      <c r="N244" s="283" t="e">
        <f t="shared" si="71"/>
        <v>#DIV/0!</v>
      </c>
      <c r="O244" s="283" t="e">
        <f t="shared" si="79"/>
        <v>#DIV/0!</v>
      </c>
      <c r="P244" s="282" t="e">
        <f t="shared" si="80"/>
        <v>#DIV/0!</v>
      </c>
      <c r="Q244" s="283" t="e">
        <f t="shared" si="72"/>
        <v>#DIV/0!</v>
      </c>
      <c r="R244" s="283" t="e">
        <f t="shared" si="81"/>
        <v>#DIV/0!</v>
      </c>
      <c r="S244" s="282" t="e">
        <f t="shared" si="82"/>
        <v>#DIV/0!</v>
      </c>
      <c r="T244" s="284"/>
      <c r="U244" s="284"/>
      <c r="V244" s="282" t="e">
        <f t="shared" si="83"/>
        <v>#DIV/0!</v>
      </c>
      <c r="W244" s="284"/>
      <c r="X244" s="284"/>
      <c r="Y244" s="282" t="e">
        <f t="shared" si="84"/>
        <v>#DIV/0!</v>
      </c>
      <c r="Z244" s="284" t="e">
        <f t="shared" si="73"/>
        <v>#DIV/0!</v>
      </c>
      <c r="AA244" s="284" t="e">
        <f t="shared" si="85"/>
        <v>#DIV/0!</v>
      </c>
      <c r="AB244" s="282" t="e">
        <f t="shared" si="86"/>
        <v>#DIV/0!</v>
      </c>
      <c r="AC244" s="285"/>
      <c r="AD244" s="284"/>
      <c r="AE244" s="282" t="e">
        <f t="shared" si="87"/>
        <v>#DIV/0!</v>
      </c>
      <c r="AF244" s="284"/>
      <c r="AG244" s="284"/>
      <c r="AH244" s="86" t="e">
        <f t="shared" si="88"/>
        <v>#DIV/0!</v>
      </c>
      <c r="AI244" s="284"/>
      <c r="AJ244" s="284"/>
      <c r="AK244" s="282" t="e">
        <f t="shared" si="89"/>
        <v>#DIV/0!</v>
      </c>
      <c r="AL244" s="286" t="e">
        <f t="shared" si="74"/>
        <v>#DIV/0!</v>
      </c>
      <c r="AM244" s="286" t="e">
        <f t="shared" si="90"/>
        <v>#DIV/0!</v>
      </c>
      <c r="AN244" s="282" t="e">
        <f t="shared" si="91"/>
        <v>#DIV/0!</v>
      </c>
      <c r="AO244" s="86"/>
    </row>
    <row r="245" spans="1:41" s="96" customFormat="1" ht="15.75" customHeight="1" x14ac:dyDescent="0.3">
      <c r="A245" s="279"/>
      <c r="B245" s="279"/>
      <c r="C245" s="280"/>
      <c r="D245" s="280"/>
      <c r="E245" s="281"/>
      <c r="F245" s="281"/>
      <c r="G245" s="282" t="e">
        <f t="shared" si="75"/>
        <v>#DIV/0!</v>
      </c>
      <c r="H245" s="281"/>
      <c r="I245" s="283"/>
      <c r="J245" s="282" t="e">
        <f t="shared" si="76"/>
        <v>#DIV/0!</v>
      </c>
      <c r="K245" s="281">
        <f t="shared" si="70"/>
        <v>0</v>
      </c>
      <c r="L245" s="281">
        <f t="shared" si="77"/>
        <v>0</v>
      </c>
      <c r="M245" s="282" t="e">
        <f t="shared" si="78"/>
        <v>#DIV/0!</v>
      </c>
      <c r="N245" s="283" t="e">
        <f t="shared" si="71"/>
        <v>#DIV/0!</v>
      </c>
      <c r="O245" s="283" t="e">
        <f t="shared" si="79"/>
        <v>#DIV/0!</v>
      </c>
      <c r="P245" s="282" t="e">
        <f t="shared" si="80"/>
        <v>#DIV/0!</v>
      </c>
      <c r="Q245" s="283" t="e">
        <f t="shared" si="72"/>
        <v>#DIV/0!</v>
      </c>
      <c r="R245" s="283" t="e">
        <f t="shared" si="81"/>
        <v>#DIV/0!</v>
      </c>
      <c r="S245" s="282" t="e">
        <f t="shared" si="82"/>
        <v>#DIV/0!</v>
      </c>
      <c r="T245" s="284"/>
      <c r="U245" s="284"/>
      <c r="V245" s="282" t="e">
        <f t="shared" si="83"/>
        <v>#DIV/0!</v>
      </c>
      <c r="W245" s="284"/>
      <c r="X245" s="284"/>
      <c r="Y245" s="282" t="e">
        <f t="shared" si="84"/>
        <v>#DIV/0!</v>
      </c>
      <c r="Z245" s="284" t="e">
        <f t="shared" si="73"/>
        <v>#DIV/0!</v>
      </c>
      <c r="AA245" s="284" t="e">
        <f t="shared" si="85"/>
        <v>#DIV/0!</v>
      </c>
      <c r="AB245" s="282" t="e">
        <f t="shared" si="86"/>
        <v>#DIV/0!</v>
      </c>
      <c r="AC245" s="285"/>
      <c r="AD245" s="284"/>
      <c r="AE245" s="282" t="e">
        <f t="shared" si="87"/>
        <v>#DIV/0!</v>
      </c>
      <c r="AF245" s="284"/>
      <c r="AG245" s="284"/>
      <c r="AH245" s="86" t="e">
        <f t="shared" si="88"/>
        <v>#DIV/0!</v>
      </c>
      <c r="AI245" s="284"/>
      <c r="AJ245" s="284"/>
      <c r="AK245" s="282" t="e">
        <f t="shared" si="89"/>
        <v>#DIV/0!</v>
      </c>
      <c r="AL245" s="286" t="e">
        <f t="shared" si="74"/>
        <v>#DIV/0!</v>
      </c>
      <c r="AM245" s="286" t="e">
        <f t="shared" si="90"/>
        <v>#DIV/0!</v>
      </c>
      <c r="AN245" s="282" t="e">
        <f t="shared" si="91"/>
        <v>#DIV/0!</v>
      </c>
      <c r="AO245" s="86"/>
    </row>
    <row r="246" spans="1:41" s="96" customFormat="1" ht="15.75" customHeight="1" x14ac:dyDescent="0.3">
      <c r="A246" s="279"/>
      <c r="B246" s="279"/>
      <c r="C246" s="280"/>
      <c r="D246" s="280"/>
      <c r="E246" s="281"/>
      <c r="F246" s="281"/>
      <c r="G246" s="282" t="e">
        <f t="shared" si="75"/>
        <v>#DIV/0!</v>
      </c>
      <c r="H246" s="281"/>
      <c r="I246" s="283"/>
      <c r="J246" s="282" t="e">
        <f t="shared" si="76"/>
        <v>#DIV/0!</v>
      </c>
      <c r="K246" s="281">
        <f t="shared" si="70"/>
        <v>0</v>
      </c>
      <c r="L246" s="281">
        <f t="shared" si="77"/>
        <v>0</v>
      </c>
      <c r="M246" s="282" t="e">
        <f t="shared" si="78"/>
        <v>#DIV/0!</v>
      </c>
      <c r="N246" s="283" t="e">
        <f t="shared" si="71"/>
        <v>#DIV/0!</v>
      </c>
      <c r="O246" s="283" t="e">
        <f t="shared" si="79"/>
        <v>#DIV/0!</v>
      </c>
      <c r="P246" s="282" t="e">
        <f t="shared" si="80"/>
        <v>#DIV/0!</v>
      </c>
      <c r="Q246" s="283" t="e">
        <f t="shared" si="72"/>
        <v>#DIV/0!</v>
      </c>
      <c r="R246" s="283" t="e">
        <f t="shared" si="81"/>
        <v>#DIV/0!</v>
      </c>
      <c r="S246" s="282" t="e">
        <f t="shared" si="82"/>
        <v>#DIV/0!</v>
      </c>
      <c r="T246" s="284"/>
      <c r="U246" s="284"/>
      <c r="V246" s="282" t="e">
        <f t="shared" si="83"/>
        <v>#DIV/0!</v>
      </c>
      <c r="W246" s="284"/>
      <c r="X246" s="284"/>
      <c r="Y246" s="282" t="e">
        <f t="shared" si="84"/>
        <v>#DIV/0!</v>
      </c>
      <c r="Z246" s="284" t="e">
        <f t="shared" si="73"/>
        <v>#DIV/0!</v>
      </c>
      <c r="AA246" s="284" t="e">
        <f t="shared" si="85"/>
        <v>#DIV/0!</v>
      </c>
      <c r="AB246" s="282" t="e">
        <f t="shared" si="86"/>
        <v>#DIV/0!</v>
      </c>
      <c r="AC246" s="285"/>
      <c r="AD246" s="284"/>
      <c r="AE246" s="282" t="e">
        <f t="shared" si="87"/>
        <v>#DIV/0!</v>
      </c>
      <c r="AF246" s="284"/>
      <c r="AG246" s="284"/>
      <c r="AH246" s="86" t="e">
        <f t="shared" si="88"/>
        <v>#DIV/0!</v>
      </c>
      <c r="AI246" s="284"/>
      <c r="AJ246" s="284"/>
      <c r="AK246" s="282" t="e">
        <f t="shared" si="89"/>
        <v>#DIV/0!</v>
      </c>
      <c r="AL246" s="286" t="e">
        <f t="shared" si="74"/>
        <v>#DIV/0!</v>
      </c>
      <c r="AM246" s="286" t="e">
        <f t="shared" si="90"/>
        <v>#DIV/0!</v>
      </c>
      <c r="AN246" s="282" t="e">
        <f t="shared" si="91"/>
        <v>#DIV/0!</v>
      </c>
      <c r="AO246" s="86"/>
    </row>
    <row r="247" spans="1:41" s="96" customFormat="1" ht="15.75" customHeight="1" x14ac:dyDescent="0.3">
      <c r="A247" s="279"/>
      <c r="B247" s="279"/>
      <c r="C247" s="280"/>
      <c r="D247" s="297" t="s">
        <v>274</v>
      </c>
      <c r="E247" s="281">
        <v>360</v>
      </c>
      <c r="F247" s="281">
        <v>29</v>
      </c>
      <c r="G247" s="282">
        <f t="shared" si="75"/>
        <v>11.413793103448276</v>
      </c>
      <c r="H247" s="281"/>
      <c r="I247" s="283">
        <v>0</v>
      </c>
      <c r="J247" s="282" t="e">
        <f t="shared" si="76"/>
        <v>#DIV/0!</v>
      </c>
      <c r="K247" s="281">
        <f t="shared" si="70"/>
        <v>0</v>
      </c>
      <c r="L247" s="281">
        <f t="shared" si="77"/>
        <v>0</v>
      </c>
      <c r="M247" s="282" t="e">
        <f t="shared" si="78"/>
        <v>#DIV/0!</v>
      </c>
      <c r="N247" s="283" t="e">
        <f t="shared" si="71"/>
        <v>#DIV/0!</v>
      </c>
      <c r="O247" s="283" t="e">
        <f t="shared" si="79"/>
        <v>#DIV/0!</v>
      </c>
      <c r="P247" s="282" t="e">
        <f t="shared" si="80"/>
        <v>#DIV/0!</v>
      </c>
      <c r="Q247" s="283" t="e">
        <f t="shared" si="72"/>
        <v>#DIV/0!</v>
      </c>
      <c r="R247" s="283" t="e">
        <f t="shared" si="81"/>
        <v>#DIV/0!</v>
      </c>
      <c r="S247" s="282" t="e">
        <f t="shared" si="82"/>
        <v>#DIV/0!</v>
      </c>
      <c r="T247" s="284">
        <v>11</v>
      </c>
      <c r="U247" s="284">
        <v>14</v>
      </c>
      <c r="V247" s="282">
        <f t="shared" si="83"/>
        <v>-0.21428571428571427</v>
      </c>
      <c r="W247" s="284">
        <v>3</v>
      </c>
      <c r="X247" s="284">
        <v>1</v>
      </c>
      <c r="Y247" s="282">
        <f t="shared" si="84"/>
        <v>2</v>
      </c>
      <c r="Z247" s="284">
        <f t="shared" si="73"/>
        <v>120</v>
      </c>
      <c r="AA247" s="284">
        <f t="shared" si="85"/>
        <v>29</v>
      </c>
      <c r="AB247" s="282">
        <f t="shared" si="86"/>
        <v>3.1379310344827585</v>
      </c>
      <c r="AC247" s="285"/>
      <c r="AD247" s="284">
        <v>0</v>
      </c>
      <c r="AE247" s="282" t="e">
        <f t="shared" si="87"/>
        <v>#DIV/0!</v>
      </c>
      <c r="AF247" s="284"/>
      <c r="AG247" s="284">
        <v>0</v>
      </c>
      <c r="AH247" s="86" t="e">
        <f t="shared" si="88"/>
        <v>#DIV/0!</v>
      </c>
      <c r="AI247" s="284"/>
      <c r="AJ247" s="284">
        <v>0</v>
      </c>
      <c r="AK247" s="282" t="e">
        <f t="shared" si="89"/>
        <v>#DIV/0!</v>
      </c>
      <c r="AL247" s="286" t="e">
        <f t="shared" si="74"/>
        <v>#DIV/0!</v>
      </c>
      <c r="AM247" s="286" t="e">
        <f t="shared" si="90"/>
        <v>#DIV/0!</v>
      </c>
      <c r="AN247" s="282" t="e">
        <f t="shared" si="91"/>
        <v>#DIV/0!</v>
      </c>
      <c r="AO247" s="86"/>
    </row>
    <row r="248" spans="1:41" s="81" customFormat="1" ht="15.75" customHeight="1" x14ac:dyDescent="0.3">
      <c r="A248" s="49" t="s">
        <v>78</v>
      </c>
      <c r="B248" s="49" t="s">
        <v>80</v>
      </c>
      <c r="C248" s="50">
        <f>C242+7</f>
        <v>43021</v>
      </c>
      <c r="D248" s="50" t="s">
        <v>28</v>
      </c>
      <c r="E248" s="55">
        <f>SUM(E249:E253)</f>
        <v>0</v>
      </c>
      <c r="F248" s="55">
        <f>SUM(F249:F253)</f>
        <v>0</v>
      </c>
      <c r="G248" s="52" t="e">
        <f t="shared" si="75"/>
        <v>#DIV/0!</v>
      </c>
      <c r="H248" s="55">
        <f>SUM(H249:H253)</f>
        <v>0</v>
      </c>
      <c r="I248" s="55">
        <f>SUM(I249:I253)</f>
        <v>0</v>
      </c>
      <c r="J248" s="52" t="e">
        <f t="shared" si="76"/>
        <v>#DIV/0!</v>
      </c>
      <c r="K248" s="51">
        <f t="shared" si="70"/>
        <v>0</v>
      </c>
      <c r="L248" s="51">
        <f t="shared" si="77"/>
        <v>0</v>
      </c>
      <c r="M248" s="52" t="e">
        <f t="shared" si="78"/>
        <v>#DIV/0!</v>
      </c>
      <c r="N248" s="53" t="e">
        <f t="shared" si="71"/>
        <v>#DIV/0!</v>
      </c>
      <c r="O248" s="53" t="e">
        <f t="shared" si="79"/>
        <v>#DIV/0!</v>
      </c>
      <c r="P248" s="52" t="e">
        <f t="shared" si="80"/>
        <v>#DIV/0!</v>
      </c>
      <c r="Q248" s="53" t="e">
        <f t="shared" si="72"/>
        <v>#DIV/0!</v>
      </c>
      <c r="R248" s="53" t="e">
        <f t="shared" si="81"/>
        <v>#DIV/0!</v>
      </c>
      <c r="S248" s="52" t="e">
        <f t="shared" si="82"/>
        <v>#DIV/0!</v>
      </c>
      <c r="T248" s="56">
        <f>SUM(T249:T253)</f>
        <v>0</v>
      </c>
      <c r="U248" s="56">
        <f>SUM(U249:U253)</f>
        <v>8</v>
      </c>
      <c r="V248" s="52">
        <f t="shared" si="83"/>
        <v>-1</v>
      </c>
      <c r="W248" s="56">
        <f>SUM(W249:W253)</f>
        <v>0</v>
      </c>
      <c r="X248" s="56">
        <f>SUM(X249:X253)</f>
        <v>0</v>
      </c>
      <c r="Y248" s="52" t="e">
        <f t="shared" si="84"/>
        <v>#DIV/0!</v>
      </c>
      <c r="Z248" s="51" t="e">
        <f t="shared" si="73"/>
        <v>#DIV/0!</v>
      </c>
      <c r="AA248" s="54" t="e">
        <f t="shared" si="85"/>
        <v>#DIV/0!</v>
      </c>
      <c r="AB248" s="52" t="e">
        <f t="shared" si="86"/>
        <v>#DIV/0!</v>
      </c>
      <c r="AC248" s="56">
        <f>SUM(AC249:AC253)</f>
        <v>0</v>
      </c>
      <c r="AD248" s="56">
        <f>SUM(AD249:AD253)</f>
        <v>0</v>
      </c>
      <c r="AE248" s="52" t="e">
        <f t="shared" si="87"/>
        <v>#DIV/0!</v>
      </c>
      <c r="AF248" s="56">
        <f>SUM(AF249:AF253)</f>
        <v>0</v>
      </c>
      <c r="AG248" s="56">
        <f>SUM(AG249:AG253)</f>
        <v>0</v>
      </c>
      <c r="AH248" s="67" t="e">
        <f t="shared" si="88"/>
        <v>#DIV/0!</v>
      </c>
      <c r="AI248" s="56">
        <f>SUM(AI249:AI253)</f>
        <v>0</v>
      </c>
      <c r="AJ248" s="56">
        <f>SUM(AJ249:AJ253)</f>
        <v>0</v>
      </c>
      <c r="AK248" s="52" t="e">
        <f t="shared" si="89"/>
        <v>#DIV/0!</v>
      </c>
      <c r="AL248" s="82" t="e">
        <f t="shared" si="74"/>
        <v>#DIV/0!</v>
      </c>
      <c r="AM248" s="82" t="e">
        <f t="shared" si="90"/>
        <v>#DIV/0!</v>
      </c>
      <c r="AN248" s="52" t="e">
        <f>(AL248-AM248)/AM248</f>
        <v>#DIV/0!</v>
      </c>
      <c r="AO248" s="68"/>
    </row>
    <row r="249" spans="1:41" s="96" customFormat="1" ht="15.75" customHeight="1" x14ac:dyDescent="0.3">
      <c r="A249" s="279"/>
      <c r="B249" s="279"/>
      <c r="C249" s="280"/>
      <c r="D249" s="280"/>
      <c r="E249" s="281"/>
      <c r="F249" s="281"/>
      <c r="G249" s="282" t="e">
        <f t="shared" si="75"/>
        <v>#DIV/0!</v>
      </c>
      <c r="H249" s="281"/>
      <c r="I249" s="283"/>
      <c r="J249" s="282" t="e">
        <f t="shared" si="76"/>
        <v>#DIV/0!</v>
      </c>
      <c r="K249" s="281">
        <f t="shared" si="70"/>
        <v>0</v>
      </c>
      <c r="L249" s="281">
        <f t="shared" si="77"/>
        <v>0</v>
      </c>
      <c r="M249" s="282" t="e">
        <f t="shared" si="78"/>
        <v>#DIV/0!</v>
      </c>
      <c r="N249" s="283" t="e">
        <f t="shared" si="71"/>
        <v>#DIV/0!</v>
      </c>
      <c r="O249" s="283" t="e">
        <f t="shared" si="79"/>
        <v>#DIV/0!</v>
      </c>
      <c r="P249" s="282" t="e">
        <f t="shared" si="80"/>
        <v>#DIV/0!</v>
      </c>
      <c r="Q249" s="283" t="e">
        <f t="shared" si="72"/>
        <v>#DIV/0!</v>
      </c>
      <c r="R249" s="283" t="e">
        <f t="shared" si="81"/>
        <v>#DIV/0!</v>
      </c>
      <c r="S249" s="282" t="e">
        <f t="shared" si="82"/>
        <v>#DIV/0!</v>
      </c>
      <c r="T249" s="284"/>
      <c r="U249" s="284"/>
      <c r="V249" s="282" t="e">
        <f t="shared" si="83"/>
        <v>#DIV/0!</v>
      </c>
      <c r="W249" s="284"/>
      <c r="X249" s="284"/>
      <c r="Y249" s="282" t="e">
        <f t="shared" si="84"/>
        <v>#DIV/0!</v>
      </c>
      <c r="Z249" s="284" t="e">
        <f t="shared" si="73"/>
        <v>#DIV/0!</v>
      </c>
      <c r="AA249" s="284" t="e">
        <f t="shared" si="85"/>
        <v>#DIV/0!</v>
      </c>
      <c r="AB249" s="282" t="e">
        <f t="shared" si="86"/>
        <v>#DIV/0!</v>
      </c>
      <c r="AC249" s="285"/>
      <c r="AD249" s="284"/>
      <c r="AE249" s="282" t="e">
        <f t="shared" si="87"/>
        <v>#DIV/0!</v>
      </c>
      <c r="AF249" s="284"/>
      <c r="AG249" s="284"/>
      <c r="AH249" s="86" t="e">
        <f t="shared" si="88"/>
        <v>#DIV/0!</v>
      </c>
      <c r="AI249" s="284"/>
      <c r="AJ249" s="284"/>
      <c r="AK249" s="282" t="e">
        <f t="shared" si="89"/>
        <v>#DIV/0!</v>
      </c>
      <c r="AL249" s="286" t="e">
        <f t="shared" si="74"/>
        <v>#DIV/0!</v>
      </c>
      <c r="AM249" s="286" t="e">
        <f t="shared" si="90"/>
        <v>#DIV/0!</v>
      </c>
      <c r="AN249" s="282" t="e">
        <f t="shared" si="91"/>
        <v>#DIV/0!</v>
      </c>
      <c r="AO249" s="86"/>
    </row>
    <row r="250" spans="1:41" s="96" customFormat="1" ht="15.75" customHeight="1" x14ac:dyDescent="0.3">
      <c r="A250" s="279"/>
      <c r="B250" s="279"/>
      <c r="C250" s="280"/>
      <c r="D250" s="280"/>
      <c r="E250" s="281"/>
      <c r="F250" s="281"/>
      <c r="G250" s="282" t="e">
        <f t="shared" si="75"/>
        <v>#DIV/0!</v>
      </c>
      <c r="H250" s="281"/>
      <c r="I250" s="283"/>
      <c r="J250" s="282" t="e">
        <f t="shared" si="76"/>
        <v>#DIV/0!</v>
      </c>
      <c r="K250" s="281">
        <f t="shared" si="70"/>
        <v>0</v>
      </c>
      <c r="L250" s="281">
        <f t="shared" si="77"/>
        <v>0</v>
      </c>
      <c r="M250" s="282" t="e">
        <f t="shared" si="78"/>
        <v>#DIV/0!</v>
      </c>
      <c r="N250" s="283" t="e">
        <f t="shared" si="71"/>
        <v>#DIV/0!</v>
      </c>
      <c r="O250" s="283" t="e">
        <f t="shared" si="79"/>
        <v>#DIV/0!</v>
      </c>
      <c r="P250" s="282" t="e">
        <f t="shared" si="80"/>
        <v>#DIV/0!</v>
      </c>
      <c r="Q250" s="283" t="e">
        <f t="shared" si="72"/>
        <v>#DIV/0!</v>
      </c>
      <c r="R250" s="283" t="e">
        <f t="shared" si="81"/>
        <v>#DIV/0!</v>
      </c>
      <c r="S250" s="282" t="e">
        <f t="shared" si="82"/>
        <v>#DIV/0!</v>
      </c>
      <c r="T250" s="284"/>
      <c r="U250" s="284"/>
      <c r="V250" s="282" t="e">
        <f t="shared" si="83"/>
        <v>#DIV/0!</v>
      </c>
      <c r="W250" s="284"/>
      <c r="X250" s="284"/>
      <c r="Y250" s="282" t="e">
        <f t="shared" si="84"/>
        <v>#DIV/0!</v>
      </c>
      <c r="Z250" s="284" t="e">
        <f t="shared" si="73"/>
        <v>#DIV/0!</v>
      </c>
      <c r="AA250" s="284" t="e">
        <f t="shared" si="85"/>
        <v>#DIV/0!</v>
      </c>
      <c r="AB250" s="282" t="e">
        <f t="shared" si="86"/>
        <v>#DIV/0!</v>
      </c>
      <c r="AC250" s="285"/>
      <c r="AD250" s="284"/>
      <c r="AE250" s="282" t="e">
        <f t="shared" si="87"/>
        <v>#DIV/0!</v>
      </c>
      <c r="AF250" s="284"/>
      <c r="AG250" s="284"/>
      <c r="AH250" s="86" t="e">
        <f t="shared" si="88"/>
        <v>#DIV/0!</v>
      </c>
      <c r="AI250" s="284"/>
      <c r="AJ250" s="284"/>
      <c r="AK250" s="282" t="e">
        <f t="shared" si="89"/>
        <v>#DIV/0!</v>
      </c>
      <c r="AL250" s="286" t="e">
        <f t="shared" si="74"/>
        <v>#DIV/0!</v>
      </c>
      <c r="AM250" s="286" t="e">
        <f t="shared" si="90"/>
        <v>#DIV/0!</v>
      </c>
      <c r="AN250" s="282" t="e">
        <f t="shared" si="91"/>
        <v>#DIV/0!</v>
      </c>
      <c r="AO250" s="86"/>
    </row>
    <row r="251" spans="1:41" s="96" customFormat="1" ht="15.75" customHeight="1" x14ac:dyDescent="0.3">
      <c r="A251" s="279"/>
      <c r="B251" s="279"/>
      <c r="C251" s="280"/>
      <c r="D251" s="280"/>
      <c r="E251" s="281"/>
      <c r="F251" s="281"/>
      <c r="G251" s="282" t="e">
        <f t="shared" si="75"/>
        <v>#DIV/0!</v>
      </c>
      <c r="H251" s="281"/>
      <c r="I251" s="283"/>
      <c r="J251" s="282" t="e">
        <f t="shared" si="76"/>
        <v>#DIV/0!</v>
      </c>
      <c r="K251" s="281">
        <f t="shared" si="70"/>
        <v>0</v>
      </c>
      <c r="L251" s="281">
        <f t="shared" si="77"/>
        <v>0</v>
      </c>
      <c r="M251" s="282" t="e">
        <f t="shared" si="78"/>
        <v>#DIV/0!</v>
      </c>
      <c r="N251" s="283" t="e">
        <f t="shared" si="71"/>
        <v>#DIV/0!</v>
      </c>
      <c r="O251" s="283" t="e">
        <f t="shared" si="79"/>
        <v>#DIV/0!</v>
      </c>
      <c r="P251" s="282" t="e">
        <f t="shared" si="80"/>
        <v>#DIV/0!</v>
      </c>
      <c r="Q251" s="283" t="e">
        <f t="shared" si="72"/>
        <v>#DIV/0!</v>
      </c>
      <c r="R251" s="283" t="e">
        <f t="shared" si="81"/>
        <v>#DIV/0!</v>
      </c>
      <c r="S251" s="282" t="e">
        <f t="shared" si="82"/>
        <v>#DIV/0!</v>
      </c>
      <c r="T251" s="284"/>
      <c r="U251" s="284"/>
      <c r="V251" s="282" t="e">
        <f t="shared" si="83"/>
        <v>#DIV/0!</v>
      </c>
      <c r="W251" s="284"/>
      <c r="X251" s="284"/>
      <c r="Y251" s="282" t="e">
        <f t="shared" si="84"/>
        <v>#DIV/0!</v>
      </c>
      <c r="Z251" s="284" t="e">
        <f t="shared" si="73"/>
        <v>#DIV/0!</v>
      </c>
      <c r="AA251" s="284" t="e">
        <f t="shared" si="85"/>
        <v>#DIV/0!</v>
      </c>
      <c r="AB251" s="282" t="e">
        <f t="shared" si="86"/>
        <v>#DIV/0!</v>
      </c>
      <c r="AC251" s="285"/>
      <c r="AD251" s="284"/>
      <c r="AE251" s="282" t="e">
        <f t="shared" si="87"/>
        <v>#DIV/0!</v>
      </c>
      <c r="AF251" s="284"/>
      <c r="AG251" s="284"/>
      <c r="AH251" s="86" t="e">
        <f t="shared" si="88"/>
        <v>#DIV/0!</v>
      </c>
      <c r="AI251" s="284"/>
      <c r="AJ251" s="284"/>
      <c r="AK251" s="282" t="e">
        <f t="shared" si="89"/>
        <v>#DIV/0!</v>
      </c>
      <c r="AL251" s="286" t="e">
        <f t="shared" si="74"/>
        <v>#DIV/0!</v>
      </c>
      <c r="AM251" s="286" t="e">
        <f t="shared" si="90"/>
        <v>#DIV/0!</v>
      </c>
      <c r="AN251" s="282" t="e">
        <f t="shared" si="91"/>
        <v>#DIV/0!</v>
      </c>
      <c r="AO251" s="86"/>
    </row>
    <row r="252" spans="1:41" s="96" customFormat="1" ht="15.75" customHeight="1" x14ac:dyDescent="0.3">
      <c r="A252" s="279"/>
      <c r="B252" s="279"/>
      <c r="C252" s="280"/>
      <c r="D252" s="280"/>
      <c r="E252" s="281"/>
      <c r="F252" s="281"/>
      <c r="G252" s="282" t="e">
        <f t="shared" si="75"/>
        <v>#DIV/0!</v>
      </c>
      <c r="H252" s="281"/>
      <c r="I252" s="283"/>
      <c r="J252" s="282" t="e">
        <f t="shared" si="76"/>
        <v>#DIV/0!</v>
      </c>
      <c r="K252" s="281">
        <f t="shared" si="70"/>
        <v>0</v>
      </c>
      <c r="L252" s="281">
        <f t="shared" si="77"/>
        <v>0</v>
      </c>
      <c r="M252" s="282" t="e">
        <f t="shared" si="78"/>
        <v>#DIV/0!</v>
      </c>
      <c r="N252" s="283" t="e">
        <f t="shared" si="71"/>
        <v>#DIV/0!</v>
      </c>
      <c r="O252" s="283" t="e">
        <f t="shared" si="79"/>
        <v>#DIV/0!</v>
      </c>
      <c r="P252" s="282" t="e">
        <f t="shared" si="80"/>
        <v>#DIV/0!</v>
      </c>
      <c r="Q252" s="283" t="e">
        <f t="shared" si="72"/>
        <v>#DIV/0!</v>
      </c>
      <c r="R252" s="283" t="e">
        <f t="shared" si="81"/>
        <v>#DIV/0!</v>
      </c>
      <c r="S252" s="282" t="e">
        <f t="shared" si="82"/>
        <v>#DIV/0!</v>
      </c>
      <c r="T252" s="284"/>
      <c r="U252" s="284"/>
      <c r="V252" s="282" t="e">
        <f t="shared" si="83"/>
        <v>#DIV/0!</v>
      </c>
      <c r="W252" s="284"/>
      <c r="X252" s="284"/>
      <c r="Y252" s="282" t="e">
        <f t="shared" si="84"/>
        <v>#DIV/0!</v>
      </c>
      <c r="Z252" s="284" t="e">
        <f t="shared" si="73"/>
        <v>#DIV/0!</v>
      </c>
      <c r="AA252" s="284" t="e">
        <f t="shared" si="85"/>
        <v>#DIV/0!</v>
      </c>
      <c r="AB252" s="282" t="e">
        <f t="shared" si="86"/>
        <v>#DIV/0!</v>
      </c>
      <c r="AC252" s="285"/>
      <c r="AD252" s="284"/>
      <c r="AE252" s="282" t="e">
        <f t="shared" si="87"/>
        <v>#DIV/0!</v>
      </c>
      <c r="AF252" s="284"/>
      <c r="AG252" s="284"/>
      <c r="AH252" s="86" t="e">
        <f t="shared" si="88"/>
        <v>#DIV/0!</v>
      </c>
      <c r="AI252" s="284"/>
      <c r="AJ252" s="284"/>
      <c r="AK252" s="282" t="e">
        <f t="shared" si="89"/>
        <v>#DIV/0!</v>
      </c>
      <c r="AL252" s="286" t="e">
        <f t="shared" si="74"/>
        <v>#DIV/0!</v>
      </c>
      <c r="AM252" s="286" t="e">
        <f t="shared" si="90"/>
        <v>#DIV/0!</v>
      </c>
      <c r="AN252" s="282" t="e">
        <f t="shared" si="91"/>
        <v>#DIV/0!</v>
      </c>
      <c r="AO252" s="86"/>
    </row>
    <row r="253" spans="1:41" s="96" customFormat="1" ht="15.75" customHeight="1" x14ac:dyDescent="0.3">
      <c r="A253" s="279"/>
      <c r="B253" s="279"/>
      <c r="C253" s="280"/>
      <c r="D253" s="297" t="s">
        <v>274</v>
      </c>
      <c r="E253" s="281"/>
      <c r="F253" s="281">
        <v>0</v>
      </c>
      <c r="G253" s="282" t="e">
        <f t="shared" si="75"/>
        <v>#DIV/0!</v>
      </c>
      <c r="H253" s="281"/>
      <c r="I253" s="283">
        <v>0</v>
      </c>
      <c r="J253" s="282" t="e">
        <f t="shared" si="76"/>
        <v>#DIV/0!</v>
      </c>
      <c r="K253" s="281">
        <f t="shared" si="70"/>
        <v>0</v>
      </c>
      <c r="L253" s="281">
        <f t="shared" si="77"/>
        <v>0</v>
      </c>
      <c r="M253" s="282" t="e">
        <f t="shared" si="78"/>
        <v>#DIV/0!</v>
      </c>
      <c r="N253" s="283" t="e">
        <f t="shared" si="71"/>
        <v>#DIV/0!</v>
      </c>
      <c r="O253" s="283" t="e">
        <f t="shared" si="79"/>
        <v>#DIV/0!</v>
      </c>
      <c r="P253" s="282" t="e">
        <f t="shared" si="80"/>
        <v>#DIV/0!</v>
      </c>
      <c r="Q253" s="283" t="e">
        <f t="shared" si="72"/>
        <v>#DIV/0!</v>
      </c>
      <c r="R253" s="283" t="e">
        <f t="shared" si="81"/>
        <v>#DIV/0!</v>
      </c>
      <c r="S253" s="282" t="e">
        <f t="shared" si="82"/>
        <v>#DIV/0!</v>
      </c>
      <c r="T253" s="284"/>
      <c r="U253" s="284">
        <v>8</v>
      </c>
      <c r="V253" s="282">
        <f t="shared" si="83"/>
        <v>-1</v>
      </c>
      <c r="W253" s="284"/>
      <c r="X253" s="284">
        <v>0</v>
      </c>
      <c r="Y253" s="282" t="e">
        <f t="shared" si="84"/>
        <v>#DIV/0!</v>
      </c>
      <c r="Z253" s="284" t="e">
        <f t="shared" si="73"/>
        <v>#DIV/0!</v>
      </c>
      <c r="AA253" s="284" t="e">
        <f t="shared" si="85"/>
        <v>#DIV/0!</v>
      </c>
      <c r="AB253" s="282" t="e">
        <f t="shared" si="86"/>
        <v>#DIV/0!</v>
      </c>
      <c r="AC253" s="285"/>
      <c r="AD253" s="284">
        <v>0</v>
      </c>
      <c r="AE253" s="282" t="e">
        <f t="shared" si="87"/>
        <v>#DIV/0!</v>
      </c>
      <c r="AF253" s="284"/>
      <c r="AG253" s="284">
        <v>0</v>
      </c>
      <c r="AH253" s="86" t="e">
        <f t="shared" si="88"/>
        <v>#DIV/0!</v>
      </c>
      <c r="AI253" s="284"/>
      <c r="AJ253" s="284">
        <v>0</v>
      </c>
      <c r="AK253" s="282" t="e">
        <f t="shared" si="89"/>
        <v>#DIV/0!</v>
      </c>
      <c r="AL253" s="286" t="e">
        <f t="shared" si="74"/>
        <v>#DIV/0!</v>
      </c>
      <c r="AM253" s="286" t="e">
        <f t="shared" si="90"/>
        <v>#DIV/0!</v>
      </c>
      <c r="AN253" s="282" t="e">
        <f t="shared" si="91"/>
        <v>#DIV/0!</v>
      </c>
      <c r="AO253" s="86"/>
    </row>
    <row r="254" spans="1:41" s="81" customFormat="1" ht="15.75" customHeight="1" x14ac:dyDescent="0.3">
      <c r="A254" s="49" t="s">
        <v>78</v>
      </c>
      <c r="B254" s="49" t="s">
        <v>81</v>
      </c>
      <c r="C254" s="50">
        <f>C248+7</f>
        <v>43028</v>
      </c>
      <c r="D254" s="50" t="s">
        <v>28</v>
      </c>
      <c r="E254" s="55">
        <f>SUM(E255:E259)</f>
        <v>0</v>
      </c>
      <c r="F254" s="55">
        <f>SUM(F255:F259)</f>
        <v>0</v>
      </c>
      <c r="G254" s="52" t="e">
        <f t="shared" si="75"/>
        <v>#DIV/0!</v>
      </c>
      <c r="H254" s="55">
        <f>SUM(H255:H259)</f>
        <v>0</v>
      </c>
      <c r="I254" s="55">
        <f>SUM(I255:I259)</f>
        <v>0</v>
      </c>
      <c r="J254" s="52" t="e">
        <f t="shared" si="76"/>
        <v>#DIV/0!</v>
      </c>
      <c r="K254" s="51">
        <f t="shared" si="70"/>
        <v>0</v>
      </c>
      <c r="L254" s="51">
        <f t="shared" si="77"/>
        <v>0</v>
      </c>
      <c r="M254" s="52" t="e">
        <f t="shared" si="78"/>
        <v>#DIV/0!</v>
      </c>
      <c r="N254" s="53" t="e">
        <f t="shared" si="71"/>
        <v>#DIV/0!</v>
      </c>
      <c r="O254" s="53" t="e">
        <f t="shared" si="79"/>
        <v>#DIV/0!</v>
      </c>
      <c r="P254" s="52" t="e">
        <f t="shared" si="80"/>
        <v>#DIV/0!</v>
      </c>
      <c r="Q254" s="53" t="e">
        <f t="shared" si="72"/>
        <v>#DIV/0!</v>
      </c>
      <c r="R254" s="53" t="e">
        <f t="shared" si="81"/>
        <v>#DIV/0!</v>
      </c>
      <c r="S254" s="52" t="e">
        <f t="shared" si="82"/>
        <v>#DIV/0!</v>
      </c>
      <c r="T254" s="56">
        <f>SUM(T255:T259)</f>
        <v>836</v>
      </c>
      <c r="U254" s="56">
        <f>SUM(U255:U259)</f>
        <v>2</v>
      </c>
      <c r="V254" s="52">
        <f t="shared" si="83"/>
        <v>417</v>
      </c>
      <c r="W254" s="56">
        <f>SUM(W255:W259)</f>
        <v>0</v>
      </c>
      <c r="X254" s="56">
        <f>SUM(X255:X259)</f>
        <v>0</v>
      </c>
      <c r="Y254" s="52" t="e">
        <f t="shared" si="84"/>
        <v>#DIV/0!</v>
      </c>
      <c r="Z254" s="51" t="e">
        <f t="shared" si="73"/>
        <v>#DIV/0!</v>
      </c>
      <c r="AA254" s="54" t="e">
        <f t="shared" si="85"/>
        <v>#DIV/0!</v>
      </c>
      <c r="AB254" s="52" t="e">
        <f t="shared" si="86"/>
        <v>#DIV/0!</v>
      </c>
      <c r="AC254" s="56">
        <f>SUM(AC255:AC259)</f>
        <v>0</v>
      </c>
      <c r="AD254" s="56">
        <f>SUM(AD255:AD259)</f>
        <v>0</v>
      </c>
      <c r="AE254" s="52" t="e">
        <f t="shared" si="87"/>
        <v>#DIV/0!</v>
      </c>
      <c r="AF254" s="56">
        <f>SUM(AF255:AF259)</f>
        <v>0</v>
      </c>
      <c r="AG254" s="56">
        <f>SUM(AG255:AG259)</f>
        <v>0</v>
      </c>
      <c r="AH254" s="67" t="e">
        <f t="shared" si="88"/>
        <v>#DIV/0!</v>
      </c>
      <c r="AI254" s="56">
        <f>SUM(AI255:AI259)</f>
        <v>0</v>
      </c>
      <c r="AJ254" s="56">
        <f>SUM(AJ255:AJ259)</f>
        <v>0</v>
      </c>
      <c r="AK254" s="52" t="e">
        <f t="shared" si="89"/>
        <v>#DIV/0!</v>
      </c>
      <c r="AL254" s="82" t="e">
        <f t="shared" si="74"/>
        <v>#DIV/0!</v>
      </c>
      <c r="AM254" s="82" t="e">
        <f t="shared" si="90"/>
        <v>#DIV/0!</v>
      </c>
      <c r="AN254" s="52" t="e">
        <f>(AL254-AM254)/AM254</f>
        <v>#DIV/0!</v>
      </c>
      <c r="AO254" s="68"/>
    </row>
    <row r="255" spans="1:41" s="96" customFormat="1" ht="15.75" customHeight="1" x14ac:dyDescent="0.3">
      <c r="A255" s="279"/>
      <c r="B255" s="279"/>
      <c r="C255" s="280"/>
      <c r="D255" s="280"/>
      <c r="E255" s="281"/>
      <c r="F255" s="281"/>
      <c r="G255" s="282" t="e">
        <f t="shared" si="75"/>
        <v>#DIV/0!</v>
      </c>
      <c r="H255" s="281"/>
      <c r="I255" s="283"/>
      <c r="J255" s="282" t="e">
        <f t="shared" si="76"/>
        <v>#DIV/0!</v>
      </c>
      <c r="K255" s="281">
        <f t="shared" si="70"/>
        <v>0</v>
      </c>
      <c r="L255" s="281">
        <f t="shared" si="77"/>
        <v>0</v>
      </c>
      <c r="M255" s="282" t="e">
        <f t="shared" si="78"/>
        <v>#DIV/0!</v>
      </c>
      <c r="N255" s="283" t="e">
        <f t="shared" si="71"/>
        <v>#DIV/0!</v>
      </c>
      <c r="O255" s="283" t="e">
        <f t="shared" si="79"/>
        <v>#DIV/0!</v>
      </c>
      <c r="P255" s="282" t="e">
        <f t="shared" si="80"/>
        <v>#DIV/0!</v>
      </c>
      <c r="Q255" s="283" t="e">
        <f t="shared" si="72"/>
        <v>#DIV/0!</v>
      </c>
      <c r="R255" s="283" t="e">
        <f t="shared" si="81"/>
        <v>#DIV/0!</v>
      </c>
      <c r="S255" s="282" t="e">
        <f t="shared" si="82"/>
        <v>#DIV/0!</v>
      </c>
      <c r="T255" s="284"/>
      <c r="U255" s="284"/>
      <c r="V255" s="282" t="e">
        <f t="shared" si="83"/>
        <v>#DIV/0!</v>
      </c>
      <c r="W255" s="284"/>
      <c r="X255" s="284"/>
      <c r="Y255" s="282" t="e">
        <f t="shared" si="84"/>
        <v>#DIV/0!</v>
      </c>
      <c r="Z255" s="284" t="e">
        <f t="shared" si="73"/>
        <v>#DIV/0!</v>
      </c>
      <c r="AA255" s="284" t="e">
        <f t="shared" si="85"/>
        <v>#DIV/0!</v>
      </c>
      <c r="AB255" s="282" t="e">
        <f t="shared" si="86"/>
        <v>#DIV/0!</v>
      </c>
      <c r="AC255" s="285"/>
      <c r="AD255" s="284"/>
      <c r="AE255" s="282" t="e">
        <f t="shared" si="87"/>
        <v>#DIV/0!</v>
      </c>
      <c r="AF255" s="284"/>
      <c r="AG255" s="284"/>
      <c r="AH255" s="86" t="e">
        <f t="shared" si="88"/>
        <v>#DIV/0!</v>
      </c>
      <c r="AI255" s="284"/>
      <c r="AJ255" s="284"/>
      <c r="AK255" s="282" t="e">
        <f t="shared" si="89"/>
        <v>#DIV/0!</v>
      </c>
      <c r="AL255" s="286" t="e">
        <f t="shared" si="74"/>
        <v>#DIV/0!</v>
      </c>
      <c r="AM255" s="286" t="e">
        <f t="shared" si="90"/>
        <v>#DIV/0!</v>
      </c>
      <c r="AN255" s="282" t="e">
        <f t="shared" si="91"/>
        <v>#DIV/0!</v>
      </c>
      <c r="AO255" s="86"/>
    </row>
    <row r="256" spans="1:41" s="96" customFormat="1" ht="15.75" customHeight="1" x14ac:dyDescent="0.3">
      <c r="A256" s="279"/>
      <c r="B256" s="279"/>
      <c r="C256" s="280"/>
      <c r="D256" s="280"/>
      <c r="E256" s="281"/>
      <c r="F256" s="281"/>
      <c r="G256" s="282" t="e">
        <f t="shared" si="75"/>
        <v>#DIV/0!</v>
      </c>
      <c r="H256" s="281"/>
      <c r="I256" s="283"/>
      <c r="J256" s="282" t="e">
        <f t="shared" si="76"/>
        <v>#DIV/0!</v>
      </c>
      <c r="K256" s="281">
        <f t="shared" si="70"/>
        <v>0</v>
      </c>
      <c r="L256" s="281">
        <f t="shared" si="77"/>
        <v>0</v>
      </c>
      <c r="M256" s="282" t="e">
        <f t="shared" si="78"/>
        <v>#DIV/0!</v>
      </c>
      <c r="N256" s="283" t="e">
        <f t="shared" si="71"/>
        <v>#DIV/0!</v>
      </c>
      <c r="O256" s="283" t="e">
        <f t="shared" si="79"/>
        <v>#DIV/0!</v>
      </c>
      <c r="P256" s="282" t="e">
        <f t="shared" si="80"/>
        <v>#DIV/0!</v>
      </c>
      <c r="Q256" s="283" t="e">
        <f t="shared" si="72"/>
        <v>#DIV/0!</v>
      </c>
      <c r="R256" s="283" t="e">
        <f t="shared" si="81"/>
        <v>#DIV/0!</v>
      </c>
      <c r="S256" s="282" t="e">
        <f t="shared" si="82"/>
        <v>#DIV/0!</v>
      </c>
      <c r="T256" s="284"/>
      <c r="U256" s="284"/>
      <c r="V256" s="282" t="e">
        <f t="shared" si="83"/>
        <v>#DIV/0!</v>
      </c>
      <c r="W256" s="284"/>
      <c r="X256" s="284"/>
      <c r="Y256" s="282" t="e">
        <f t="shared" si="84"/>
        <v>#DIV/0!</v>
      </c>
      <c r="Z256" s="284" t="e">
        <f t="shared" si="73"/>
        <v>#DIV/0!</v>
      </c>
      <c r="AA256" s="284" t="e">
        <f t="shared" si="85"/>
        <v>#DIV/0!</v>
      </c>
      <c r="AB256" s="282" t="e">
        <f t="shared" si="86"/>
        <v>#DIV/0!</v>
      </c>
      <c r="AC256" s="285"/>
      <c r="AD256" s="284"/>
      <c r="AE256" s="282" t="e">
        <f t="shared" si="87"/>
        <v>#DIV/0!</v>
      </c>
      <c r="AF256" s="284"/>
      <c r="AG256" s="284"/>
      <c r="AH256" s="86" t="e">
        <f t="shared" si="88"/>
        <v>#DIV/0!</v>
      </c>
      <c r="AI256" s="284"/>
      <c r="AJ256" s="284"/>
      <c r="AK256" s="282" t="e">
        <f t="shared" si="89"/>
        <v>#DIV/0!</v>
      </c>
      <c r="AL256" s="286" t="e">
        <f t="shared" si="74"/>
        <v>#DIV/0!</v>
      </c>
      <c r="AM256" s="286" t="e">
        <f t="shared" si="90"/>
        <v>#DIV/0!</v>
      </c>
      <c r="AN256" s="282" t="e">
        <f t="shared" si="91"/>
        <v>#DIV/0!</v>
      </c>
      <c r="AO256" s="86"/>
    </row>
    <row r="257" spans="1:41" s="96" customFormat="1" ht="15.75" customHeight="1" x14ac:dyDescent="0.3">
      <c r="A257" s="279"/>
      <c r="B257" s="279"/>
      <c r="C257" s="280"/>
      <c r="D257" s="280"/>
      <c r="E257" s="281"/>
      <c r="F257" s="281"/>
      <c r="G257" s="282" t="e">
        <f t="shared" si="75"/>
        <v>#DIV/0!</v>
      </c>
      <c r="H257" s="281"/>
      <c r="I257" s="283"/>
      <c r="J257" s="282" t="e">
        <f t="shared" si="76"/>
        <v>#DIV/0!</v>
      </c>
      <c r="K257" s="281">
        <f t="shared" si="70"/>
        <v>0</v>
      </c>
      <c r="L257" s="281">
        <f t="shared" si="77"/>
        <v>0</v>
      </c>
      <c r="M257" s="282" t="e">
        <f t="shared" si="78"/>
        <v>#DIV/0!</v>
      </c>
      <c r="N257" s="283" t="e">
        <f t="shared" si="71"/>
        <v>#DIV/0!</v>
      </c>
      <c r="O257" s="283" t="e">
        <f t="shared" si="79"/>
        <v>#DIV/0!</v>
      </c>
      <c r="P257" s="282" t="e">
        <f t="shared" si="80"/>
        <v>#DIV/0!</v>
      </c>
      <c r="Q257" s="283" t="e">
        <f t="shared" si="72"/>
        <v>#DIV/0!</v>
      </c>
      <c r="R257" s="283" t="e">
        <f t="shared" si="81"/>
        <v>#DIV/0!</v>
      </c>
      <c r="S257" s="282" t="e">
        <f t="shared" si="82"/>
        <v>#DIV/0!</v>
      </c>
      <c r="T257" s="284"/>
      <c r="U257" s="284"/>
      <c r="V257" s="282" t="e">
        <f t="shared" si="83"/>
        <v>#DIV/0!</v>
      </c>
      <c r="W257" s="284"/>
      <c r="X257" s="284"/>
      <c r="Y257" s="282" t="e">
        <f t="shared" si="84"/>
        <v>#DIV/0!</v>
      </c>
      <c r="Z257" s="284" t="e">
        <f t="shared" si="73"/>
        <v>#DIV/0!</v>
      </c>
      <c r="AA257" s="284" t="e">
        <f t="shared" si="85"/>
        <v>#DIV/0!</v>
      </c>
      <c r="AB257" s="282" t="e">
        <f t="shared" si="86"/>
        <v>#DIV/0!</v>
      </c>
      <c r="AC257" s="285"/>
      <c r="AD257" s="284"/>
      <c r="AE257" s="282" t="e">
        <f t="shared" si="87"/>
        <v>#DIV/0!</v>
      </c>
      <c r="AF257" s="284"/>
      <c r="AG257" s="284"/>
      <c r="AH257" s="86" t="e">
        <f t="shared" si="88"/>
        <v>#DIV/0!</v>
      </c>
      <c r="AI257" s="284"/>
      <c r="AJ257" s="284"/>
      <c r="AK257" s="282" t="e">
        <f t="shared" si="89"/>
        <v>#DIV/0!</v>
      </c>
      <c r="AL257" s="286" t="e">
        <f t="shared" si="74"/>
        <v>#DIV/0!</v>
      </c>
      <c r="AM257" s="286" t="e">
        <f t="shared" si="90"/>
        <v>#DIV/0!</v>
      </c>
      <c r="AN257" s="282" t="e">
        <f t="shared" si="91"/>
        <v>#DIV/0!</v>
      </c>
      <c r="AO257" s="86"/>
    </row>
    <row r="258" spans="1:41" s="96" customFormat="1" ht="15.75" customHeight="1" x14ac:dyDescent="0.3">
      <c r="A258" s="279"/>
      <c r="B258" s="279"/>
      <c r="C258" s="280"/>
      <c r="D258" s="280"/>
      <c r="E258" s="281"/>
      <c r="F258" s="281"/>
      <c r="G258" s="282" t="e">
        <f t="shared" si="75"/>
        <v>#DIV/0!</v>
      </c>
      <c r="H258" s="281"/>
      <c r="I258" s="283"/>
      <c r="J258" s="282" t="e">
        <f t="shared" si="76"/>
        <v>#DIV/0!</v>
      </c>
      <c r="K258" s="281">
        <f t="shared" si="70"/>
        <v>0</v>
      </c>
      <c r="L258" s="281">
        <f t="shared" si="77"/>
        <v>0</v>
      </c>
      <c r="M258" s="282" t="e">
        <f t="shared" si="78"/>
        <v>#DIV/0!</v>
      </c>
      <c r="N258" s="283" t="e">
        <f t="shared" si="71"/>
        <v>#DIV/0!</v>
      </c>
      <c r="O258" s="283" t="e">
        <f t="shared" si="79"/>
        <v>#DIV/0!</v>
      </c>
      <c r="P258" s="282" t="e">
        <f t="shared" si="80"/>
        <v>#DIV/0!</v>
      </c>
      <c r="Q258" s="283" t="e">
        <f t="shared" si="72"/>
        <v>#DIV/0!</v>
      </c>
      <c r="R258" s="283" t="e">
        <f t="shared" si="81"/>
        <v>#DIV/0!</v>
      </c>
      <c r="S258" s="282" t="e">
        <f t="shared" si="82"/>
        <v>#DIV/0!</v>
      </c>
      <c r="T258" s="284"/>
      <c r="U258" s="284"/>
      <c r="V258" s="282" t="e">
        <f t="shared" si="83"/>
        <v>#DIV/0!</v>
      </c>
      <c r="W258" s="284"/>
      <c r="X258" s="284"/>
      <c r="Y258" s="282" t="e">
        <f t="shared" si="84"/>
        <v>#DIV/0!</v>
      </c>
      <c r="Z258" s="284" t="e">
        <f t="shared" si="73"/>
        <v>#DIV/0!</v>
      </c>
      <c r="AA258" s="284" t="e">
        <f t="shared" si="85"/>
        <v>#DIV/0!</v>
      </c>
      <c r="AB258" s="282" t="e">
        <f t="shared" si="86"/>
        <v>#DIV/0!</v>
      </c>
      <c r="AC258" s="285"/>
      <c r="AD258" s="284"/>
      <c r="AE258" s="282" t="e">
        <f t="shared" si="87"/>
        <v>#DIV/0!</v>
      </c>
      <c r="AF258" s="284"/>
      <c r="AG258" s="284"/>
      <c r="AH258" s="86" t="e">
        <f t="shared" si="88"/>
        <v>#DIV/0!</v>
      </c>
      <c r="AI258" s="284"/>
      <c r="AJ258" s="284"/>
      <c r="AK258" s="282" t="e">
        <f t="shared" si="89"/>
        <v>#DIV/0!</v>
      </c>
      <c r="AL258" s="286" t="e">
        <f t="shared" si="74"/>
        <v>#DIV/0!</v>
      </c>
      <c r="AM258" s="286" t="e">
        <f t="shared" si="90"/>
        <v>#DIV/0!</v>
      </c>
      <c r="AN258" s="282" t="e">
        <f t="shared" si="91"/>
        <v>#DIV/0!</v>
      </c>
      <c r="AO258" s="86"/>
    </row>
    <row r="259" spans="1:41" s="96" customFormat="1" ht="15.75" customHeight="1" x14ac:dyDescent="0.3">
      <c r="A259" s="279"/>
      <c r="B259" s="279"/>
      <c r="C259" s="280"/>
      <c r="D259" s="297" t="s">
        <v>274</v>
      </c>
      <c r="E259" s="281">
        <v>0</v>
      </c>
      <c r="F259" s="281">
        <v>0</v>
      </c>
      <c r="G259" s="282" t="e">
        <f t="shared" si="75"/>
        <v>#DIV/0!</v>
      </c>
      <c r="H259" s="281">
        <v>0</v>
      </c>
      <c r="I259" s="283">
        <v>0</v>
      </c>
      <c r="J259" s="282" t="e">
        <f t="shared" si="76"/>
        <v>#DIV/0!</v>
      </c>
      <c r="K259" s="281">
        <f t="shared" si="70"/>
        <v>0</v>
      </c>
      <c r="L259" s="281">
        <f t="shared" si="77"/>
        <v>0</v>
      </c>
      <c r="M259" s="282" t="e">
        <f t="shared" si="78"/>
        <v>#DIV/0!</v>
      </c>
      <c r="N259" s="283" t="e">
        <f t="shared" si="71"/>
        <v>#DIV/0!</v>
      </c>
      <c r="O259" s="283" t="e">
        <f t="shared" si="79"/>
        <v>#DIV/0!</v>
      </c>
      <c r="P259" s="282" t="e">
        <f t="shared" si="80"/>
        <v>#DIV/0!</v>
      </c>
      <c r="Q259" s="283" t="e">
        <f t="shared" si="72"/>
        <v>#DIV/0!</v>
      </c>
      <c r="R259" s="283" t="e">
        <f t="shared" si="81"/>
        <v>#DIV/0!</v>
      </c>
      <c r="S259" s="282" t="e">
        <f t="shared" si="82"/>
        <v>#DIV/0!</v>
      </c>
      <c r="T259" s="284">
        <v>836</v>
      </c>
      <c r="U259" s="284">
        <v>2</v>
      </c>
      <c r="V259" s="282">
        <f t="shared" si="83"/>
        <v>417</v>
      </c>
      <c r="W259" s="284">
        <v>0</v>
      </c>
      <c r="X259" s="284">
        <v>0</v>
      </c>
      <c r="Y259" s="282" t="e">
        <f t="shared" si="84"/>
        <v>#DIV/0!</v>
      </c>
      <c r="Z259" s="284" t="e">
        <f t="shared" si="73"/>
        <v>#DIV/0!</v>
      </c>
      <c r="AA259" s="284" t="e">
        <f t="shared" si="85"/>
        <v>#DIV/0!</v>
      </c>
      <c r="AB259" s="282" t="e">
        <f t="shared" si="86"/>
        <v>#DIV/0!</v>
      </c>
      <c r="AC259" s="285"/>
      <c r="AD259" s="284">
        <v>0</v>
      </c>
      <c r="AE259" s="282" t="e">
        <f t="shared" si="87"/>
        <v>#DIV/0!</v>
      </c>
      <c r="AF259" s="284"/>
      <c r="AG259" s="284">
        <v>0</v>
      </c>
      <c r="AH259" s="86" t="e">
        <f t="shared" si="88"/>
        <v>#DIV/0!</v>
      </c>
      <c r="AI259" s="284"/>
      <c r="AJ259" s="284">
        <v>0</v>
      </c>
      <c r="AK259" s="282" t="e">
        <f t="shared" si="89"/>
        <v>#DIV/0!</v>
      </c>
      <c r="AL259" s="286" t="e">
        <f t="shared" si="74"/>
        <v>#DIV/0!</v>
      </c>
      <c r="AM259" s="286" t="e">
        <f t="shared" si="90"/>
        <v>#DIV/0!</v>
      </c>
      <c r="AN259" s="282" t="e">
        <f t="shared" si="91"/>
        <v>#DIV/0!</v>
      </c>
      <c r="AO259" s="86"/>
    </row>
    <row r="260" spans="1:41" s="81" customFormat="1" ht="15.75" customHeight="1" x14ac:dyDescent="0.3">
      <c r="A260" s="49" t="s">
        <v>78</v>
      </c>
      <c r="B260" s="49" t="s">
        <v>82</v>
      </c>
      <c r="C260" s="50">
        <f>C254+7</f>
        <v>43035</v>
      </c>
      <c r="D260" s="50" t="s">
        <v>28</v>
      </c>
      <c r="E260" s="55">
        <f>SUM(E261:E265)</f>
        <v>0</v>
      </c>
      <c r="F260" s="55">
        <f>SUM(F261:F265)</f>
        <v>0</v>
      </c>
      <c r="G260" s="52" t="e">
        <f t="shared" si="75"/>
        <v>#DIV/0!</v>
      </c>
      <c r="H260" s="55">
        <f>SUM(H261:H265)</f>
        <v>6443.71</v>
      </c>
      <c r="I260" s="55">
        <f>SUM(I261:I265)</f>
        <v>0</v>
      </c>
      <c r="J260" s="52" t="e">
        <f t="shared" si="76"/>
        <v>#DIV/0!</v>
      </c>
      <c r="K260" s="51">
        <f t="shared" si="70"/>
        <v>6991.4253499999995</v>
      </c>
      <c r="L260" s="51">
        <f t="shared" si="77"/>
        <v>0</v>
      </c>
      <c r="M260" s="52" t="e">
        <f t="shared" si="78"/>
        <v>#DIV/0!</v>
      </c>
      <c r="N260" s="53">
        <f t="shared" si="71"/>
        <v>0</v>
      </c>
      <c r="O260" s="53" t="e">
        <f t="shared" si="79"/>
        <v>#DIV/0!</v>
      </c>
      <c r="P260" s="52" t="e">
        <f t="shared" si="80"/>
        <v>#DIV/0!</v>
      </c>
      <c r="Q260" s="53">
        <f t="shared" si="72"/>
        <v>0</v>
      </c>
      <c r="R260" s="53" t="e">
        <f t="shared" si="81"/>
        <v>#DIV/0!</v>
      </c>
      <c r="S260" s="52" t="e">
        <f t="shared" si="82"/>
        <v>#DIV/0!</v>
      </c>
      <c r="T260" s="56">
        <f>SUM(T261:T265)</f>
        <v>1335</v>
      </c>
      <c r="U260" s="56">
        <f>SUM(U261:U265)</f>
        <v>705</v>
      </c>
      <c r="V260" s="52">
        <f t="shared" si="83"/>
        <v>0.8936170212765957</v>
      </c>
      <c r="W260" s="56">
        <f>SUM(W261:W265)</f>
        <v>0</v>
      </c>
      <c r="X260" s="56">
        <f>SUM(X261:X265)</f>
        <v>0</v>
      </c>
      <c r="Y260" s="52" t="e">
        <f t="shared" si="84"/>
        <v>#DIV/0!</v>
      </c>
      <c r="Z260" s="51" t="e">
        <f t="shared" si="73"/>
        <v>#DIV/0!</v>
      </c>
      <c r="AA260" s="54" t="e">
        <f t="shared" si="85"/>
        <v>#DIV/0!</v>
      </c>
      <c r="AB260" s="52" t="e">
        <f t="shared" si="86"/>
        <v>#DIV/0!</v>
      </c>
      <c r="AC260" s="56">
        <f>SUM(AC261:AC265)</f>
        <v>333162</v>
      </c>
      <c r="AD260" s="56">
        <f>SUM(AD261:AD265)</f>
        <v>0</v>
      </c>
      <c r="AE260" s="52" t="e">
        <f t="shared" si="87"/>
        <v>#DIV/0!</v>
      </c>
      <c r="AF260" s="56">
        <f>SUM(AF261:AF265)</f>
        <v>6215</v>
      </c>
      <c r="AG260" s="56">
        <f>SUM(AG261:AG265)</f>
        <v>0</v>
      </c>
      <c r="AH260" s="67" t="e">
        <f t="shared" si="88"/>
        <v>#DIV/0!</v>
      </c>
      <c r="AI260" s="56">
        <f>SUM(AI261:AI265)</f>
        <v>757633</v>
      </c>
      <c r="AJ260" s="56">
        <f>SUM(AJ261:AJ265)</f>
        <v>0</v>
      </c>
      <c r="AK260" s="52" t="e">
        <f t="shared" si="89"/>
        <v>#DIV/0!</v>
      </c>
      <c r="AL260" s="82">
        <f t="shared" si="74"/>
        <v>8.2031801677065284E-3</v>
      </c>
      <c r="AM260" s="82" t="e">
        <f t="shared" si="90"/>
        <v>#DIV/0!</v>
      </c>
      <c r="AN260" s="52" t="e">
        <f>(AL260-AM260)/AM260</f>
        <v>#DIV/0!</v>
      </c>
      <c r="AO260" s="68"/>
    </row>
    <row r="261" spans="1:41" s="96" customFormat="1" ht="15.75" customHeight="1" x14ac:dyDescent="0.3">
      <c r="A261" s="279"/>
      <c r="B261" s="279"/>
      <c r="C261" s="280"/>
      <c r="D261" s="440" t="s">
        <v>187</v>
      </c>
      <c r="E261" s="281">
        <v>0</v>
      </c>
      <c r="F261" s="281"/>
      <c r="G261" s="282" t="e">
        <f t="shared" si="75"/>
        <v>#DIV/0!</v>
      </c>
      <c r="H261" s="281">
        <v>6443.71</v>
      </c>
      <c r="I261" s="283"/>
      <c r="J261" s="282" t="e">
        <f t="shared" si="76"/>
        <v>#DIV/0!</v>
      </c>
      <c r="K261" s="281">
        <f t="shared" si="70"/>
        <v>6991.4253499999995</v>
      </c>
      <c r="L261" s="281">
        <f t="shared" si="77"/>
        <v>0</v>
      </c>
      <c r="M261" s="282" t="e">
        <f t="shared" si="78"/>
        <v>#DIV/0!</v>
      </c>
      <c r="N261" s="283">
        <f t="shared" si="71"/>
        <v>0</v>
      </c>
      <c r="O261" s="283" t="e">
        <f t="shared" si="79"/>
        <v>#DIV/0!</v>
      </c>
      <c r="P261" s="282" t="e">
        <f t="shared" si="80"/>
        <v>#DIV/0!</v>
      </c>
      <c r="Q261" s="283">
        <f t="shared" si="72"/>
        <v>0</v>
      </c>
      <c r="R261" s="283" t="e">
        <f t="shared" si="81"/>
        <v>#DIV/0!</v>
      </c>
      <c r="S261" s="282" t="e">
        <f t="shared" si="82"/>
        <v>#DIV/0!</v>
      </c>
      <c r="T261" s="284"/>
      <c r="U261" s="284"/>
      <c r="V261" s="282" t="e">
        <f t="shared" si="83"/>
        <v>#DIV/0!</v>
      </c>
      <c r="W261" s="284"/>
      <c r="X261" s="284"/>
      <c r="Y261" s="282" t="e">
        <f t="shared" si="84"/>
        <v>#DIV/0!</v>
      </c>
      <c r="Z261" s="284" t="e">
        <f t="shared" si="73"/>
        <v>#DIV/0!</v>
      </c>
      <c r="AA261" s="284" t="e">
        <f t="shared" si="85"/>
        <v>#DIV/0!</v>
      </c>
      <c r="AB261" s="282" t="e">
        <f t="shared" si="86"/>
        <v>#DIV/0!</v>
      </c>
      <c r="AC261" s="285">
        <v>333162</v>
      </c>
      <c r="AD261" s="284"/>
      <c r="AE261" s="282" t="e">
        <f t="shared" si="87"/>
        <v>#DIV/0!</v>
      </c>
      <c r="AF261" s="284">
        <v>6215</v>
      </c>
      <c r="AG261" s="284"/>
      <c r="AH261" s="86" t="e">
        <f t="shared" si="88"/>
        <v>#DIV/0!</v>
      </c>
      <c r="AI261" s="284">
        <v>757633</v>
      </c>
      <c r="AJ261" s="284"/>
      <c r="AK261" s="282" t="e">
        <f t="shared" si="89"/>
        <v>#DIV/0!</v>
      </c>
      <c r="AL261" s="286">
        <f t="shared" si="74"/>
        <v>8.2031801677065284E-3</v>
      </c>
      <c r="AM261" s="286" t="e">
        <f t="shared" si="90"/>
        <v>#DIV/0!</v>
      </c>
      <c r="AN261" s="282" t="e">
        <f t="shared" si="91"/>
        <v>#DIV/0!</v>
      </c>
      <c r="AO261" s="86"/>
    </row>
    <row r="262" spans="1:41" s="96" customFormat="1" ht="15.75" customHeight="1" x14ac:dyDescent="0.3">
      <c r="A262" s="279"/>
      <c r="B262" s="279"/>
      <c r="C262" s="280"/>
      <c r="D262" s="280"/>
      <c r="E262" s="281"/>
      <c r="F262" s="281"/>
      <c r="G262" s="282" t="e">
        <f t="shared" si="75"/>
        <v>#DIV/0!</v>
      </c>
      <c r="H262" s="281"/>
      <c r="I262" s="283"/>
      <c r="J262" s="282" t="e">
        <f t="shared" si="76"/>
        <v>#DIV/0!</v>
      </c>
      <c r="K262" s="281">
        <f t="shared" si="70"/>
        <v>0</v>
      </c>
      <c r="L262" s="281">
        <f t="shared" si="77"/>
        <v>0</v>
      </c>
      <c r="M262" s="282" t="e">
        <f t="shared" si="78"/>
        <v>#DIV/0!</v>
      </c>
      <c r="N262" s="283" t="e">
        <f t="shared" si="71"/>
        <v>#DIV/0!</v>
      </c>
      <c r="O262" s="283" t="e">
        <f t="shared" si="79"/>
        <v>#DIV/0!</v>
      </c>
      <c r="P262" s="282" t="e">
        <f t="shared" si="80"/>
        <v>#DIV/0!</v>
      </c>
      <c r="Q262" s="283" t="e">
        <f t="shared" si="72"/>
        <v>#DIV/0!</v>
      </c>
      <c r="R262" s="283" t="e">
        <f t="shared" si="81"/>
        <v>#DIV/0!</v>
      </c>
      <c r="S262" s="282" t="e">
        <f t="shared" si="82"/>
        <v>#DIV/0!</v>
      </c>
      <c r="T262" s="284"/>
      <c r="U262" s="284"/>
      <c r="V262" s="282" t="e">
        <f t="shared" si="83"/>
        <v>#DIV/0!</v>
      </c>
      <c r="W262" s="284"/>
      <c r="X262" s="284"/>
      <c r="Y262" s="282" t="e">
        <f t="shared" si="84"/>
        <v>#DIV/0!</v>
      </c>
      <c r="Z262" s="284" t="e">
        <f t="shared" si="73"/>
        <v>#DIV/0!</v>
      </c>
      <c r="AA262" s="284" t="e">
        <f t="shared" si="85"/>
        <v>#DIV/0!</v>
      </c>
      <c r="AB262" s="282" t="e">
        <f t="shared" si="86"/>
        <v>#DIV/0!</v>
      </c>
      <c r="AC262" s="285"/>
      <c r="AD262" s="284"/>
      <c r="AE262" s="282" t="e">
        <f t="shared" si="87"/>
        <v>#DIV/0!</v>
      </c>
      <c r="AF262" s="284"/>
      <c r="AG262" s="284"/>
      <c r="AH262" s="86" t="e">
        <f t="shared" si="88"/>
        <v>#DIV/0!</v>
      </c>
      <c r="AI262" s="284"/>
      <c r="AJ262" s="284"/>
      <c r="AK262" s="282" t="e">
        <f t="shared" si="89"/>
        <v>#DIV/0!</v>
      </c>
      <c r="AL262" s="286" t="e">
        <f t="shared" si="74"/>
        <v>#DIV/0!</v>
      </c>
      <c r="AM262" s="286" t="e">
        <f t="shared" si="90"/>
        <v>#DIV/0!</v>
      </c>
      <c r="AN262" s="282" t="e">
        <f t="shared" si="91"/>
        <v>#DIV/0!</v>
      </c>
      <c r="AO262" s="86"/>
    </row>
    <row r="263" spans="1:41" s="96" customFormat="1" ht="15.75" customHeight="1" x14ac:dyDescent="0.3">
      <c r="A263" s="279"/>
      <c r="B263" s="279"/>
      <c r="C263" s="280"/>
      <c r="D263" s="280"/>
      <c r="E263" s="281"/>
      <c r="F263" s="281"/>
      <c r="G263" s="282" t="e">
        <f t="shared" si="75"/>
        <v>#DIV/0!</v>
      </c>
      <c r="H263" s="281"/>
      <c r="I263" s="283"/>
      <c r="J263" s="282" t="e">
        <f t="shared" si="76"/>
        <v>#DIV/0!</v>
      </c>
      <c r="K263" s="281">
        <f t="shared" ref="K263:K322" si="92">H263*1.085</f>
        <v>0</v>
      </c>
      <c r="L263" s="281">
        <f t="shared" si="77"/>
        <v>0</v>
      </c>
      <c r="M263" s="282" t="e">
        <f t="shared" si="78"/>
        <v>#DIV/0!</v>
      </c>
      <c r="N263" s="283" t="e">
        <f t="shared" ref="N263:N323" si="93">E263/H263</f>
        <v>#DIV/0!</v>
      </c>
      <c r="O263" s="283" t="e">
        <f t="shared" si="79"/>
        <v>#DIV/0!</v>
      </c>
      <c r="P263" s="282" t="e">
        <f t="shared" si="80"/>
        <v>#DIV/0!</v>
      </c>
      <c r="Q263" s="283" t="e">
        <f t="shared" ref="Q263:Q322" si="94">E263/K263</f>
        <v>#DIV/0!</v>
      </c>
      <c r="R263" s="283" t="e">
        <f t="shared" si="81"/>
        <v>#DIV/0!</v>
      </c>
      <c r="S263" s="282" t="e">
        <f t="shared" si="82"/>
        <v>#DIV/0!</v>
      </c>
      <c r="T263" s="284"/>
      <c r="U263" s="284"/>
      <c r="V263" s="282" t="e">
        <f t="shared" si="83"/>
        <v>#DIV/0!</v>
      </c>
      <c r="W263" s="284"/>
      <c r="X263" s="284"/>
      <c r="Y263" s="282" t="e">
        <f t="shared" si="84"/>
        <v>#DIV/0!</v>
      </c>
      <c r="Z263" s="284" t="e">
        <f t="shared" ref="Z263:Z323" si="95">E263/W263</f>
        <v>#DIV/0!</v>
      </c>
      <c r="AA263" s="284" t="e">
        <f t="shared" si="85"/>
        <v>#DIV/0!</v>
      </c>
      <c r="AB263" s="282" t="e">
        <f t="shared" si="86"/>
        <v>#DIV/0!</v>
      </c>
      <c r="AC263" s="285"/>
      <c r="AD263" s="284"/>
      <c r="AE263" s="282" t="e">
        <f t="shared" si="87"/>
        <v>#DIV/0!</v>
      </c>
      <c r="AF263" s="284"/>
      <c r="AG263" s="284"/>
      <c r="AH263" s="86" t="e">
        <f t="shared" si="88"/>
        <v>#DIV/0!</v>
      </c>
      <c r="AI263" s="284"/>
      <c r="AJ263" s="284"/>
      <c r="AK263" s="282" t="e">
        <f t="shared" si="89"/>
        <v>#DIV/0!</v>
      </c>
      <c r="AL263" s="286" t="e">
        <f t="shared" ref="AL263:AL323" si="96">AF263/AI263</f>
        <v>#DIV/0!</v>
      </c>
      <c r="AM263" s="286" t="e">
        <f t="shared" si="90"/>
        <v>#DIV/0!</v>
      </c>
      <c r="AN263" s="282" t="e">
        <f t="shared" si="91"/>
        <v>#DIV/0!</v>
      </c>
      <c r="AO263" s="86"/>
    </row>
    <row r="264" spans="1:41" s="96" customFormat="1" ht="15.75" customHeight="1" x14ac:dyDescent="0.3">
      <c r="A264" s="279"/>
      <c r="B264" s="279"/>
      <c r="C264" s="280"/>
      <c r="D264" s="280"/>
      <c r="E264" s="281"/>
      <c r="F264" s="281"/>
      <c r="G264" s="282" t="e">
        <f t="shared" ref="G264:G323" si="97">(E264-F264)/F264</f>
        <v>#DIV/0!</v>
      </c>
      <c r="H264" s="281"/>
      <c r="I264" s="283"/>
      <c r="J264" s="282" t="e">
        <f t="shared" ref="J264:J323" si="98">(H264-I264)/I264</f>
        <v>#DIV/0!</v>
      </c>
      <c r="K264" s="281">
        <f t="shared" si="92"/>
        <v>0</v>
      </c>
      <c r="L264" s="281">
        <f t="shared" ref="L264:L322" si="99">I264*1.085</f>
        <v>0</v>
      </c>
      <c r="M264" s="282" t="e">
        <f t="shared" ref="M264:M323" si="100">(K264-L264)/L264</f>
        <v>#DIV/0!</v>
      </c>
      <c r="N264" s="283" t="e">
        <f t="shared" si="93"/>
        <v>#DIV/0!</v>
      </c>
      <c r="O264" s="283" t="e">
        <f t="shared" ref="O264:O323" si="101">F264/I264</f>
        <v>#DIV/0!</v>
      </c>
      <c r="P264" s="282" t="e">
        <f t="shared" ref="P264:P323" si="102">(N264-O264)/O264</f>
        <v>#DIV/0!</v>
      </c>
      <c r="Q264" s="283" t="e">
        <f t="shared" si="94"/>
        <v>#DIV/0!</v>
      </c>
      <c r="R264" s="283" t="e">
        <f t="shared" ref="R264:R322" si="103">F264/L264</f>
        <v>#DIV/0!</v>
      </c>
      <c r="S264" s="282" t="e">
        <f t="shared" ref="S264:S323" si="104">(Q264-R264)/R264</f>
        <v>#DIV/0!</v>
      </c>
      <c r="T264" s="284"/>
      <c r="U264" s="284"/>
      <c r="V264" s="282" t="e">
        <f t="shared" ref="V264:V323" si="105">(T264-U264)/U264</f>
        <v>#DIV/0!</v>
      </c>
      <c r="W264" s="284"/>
      <c r="X264" s="284"/>
      <c r="Y264" s="282" t="e">
        <f t="shared" ref="Y264:Y323" si="106">(W264-X264)/X264</f>
        <v>#DIV/0!</v>
      </c>
      <c r="Z264" s="284" t="e">
        <f t="shared" si="95"/>
        <v>#DIV/0!</v>
      </c>
      <c r="AA264" s="284" t="e">
        <f t="shared" ref="AA264:AA323" si="107">F264/X264</f>
        <v>#DIV/0!</v>
      </c>
      <c r="AB264" s="282" t="e">
        <f t="shared" ref="AB264:AB323" si="108">(Z264-AA264)/AA264</f>
        <v>#DIV/0!</v>
      </c>
      <c r="AC264" s="285"/>
      <c r="AD264" s="284"/>
      <c r="AE264" s="282" t="e">
        <f t="shared" ref="AE264:AE323" si="109">(AC264-AD264)/AD264</f>
        <v>#DIV/0!</v>
      </c>
      <c r="AF264" s="284"/>
      <c r="AG264" s="284"/>
      <c r="AH264" s="86" t="e">
        <f t="shared" ref="AH264:AH323" si="110">(AF264-AG264)/AG264</f>
        <v>#DIV/0!</v>
      </c>
      <c r="AI264" s="284"/>
      <c r="AJ264" s="284"/>
      <c r="AK264" s="282" t="e">
        <f t="shared" ref="AK264:AK323" si="111">(AI264-AJ264)/AJ264</f>
        <v>#DIV/0!</v>
      </c>
      <c r="AL264" s="286" t="e">
        <f t="shared" si="96"/>
        <v>#DIV/0!</v>
      </c>
      <c r="AM264" s="286" t="e">
        <f t="shared" ref="AM264:AM323" si="112">AG264/AJ264</f>
        <v>#DIV/0!</v>
      </c>
      <c r="AN264" s="282" t="e">
        <f t="shared" si="91"/>
        <v>#DIV/0!</v>
      </c>
      <c r="AO264" s="86"/>
    </row>
    <row r="265" spans="1:41" s="357" customFormat="1" ht="15.75" customHeight="1" x14ac:dyDescent="0.3">
      <c r="A265" s="347"/>
      <c r="B265" s="347"/>
      <c r="C265" s="348"/>
      <c r="D265" s="349" t="s">
        <v>274</v>
      </c>
      <c r="E265" s="350">
        <v>0</v>
      </c>
      <c r="F265" s="350">
        <v>0</v>
      </c>
      <c r="G265" s="351" t="e">
        <f t="shared" si="97"/>
        <v>#DIV/0!</v>
      </c>
      <c r="H265" s="350">
        <v>0</v>
      </c>
      <c r="I265" s="352">
        <v>0</v>
      </c>
      <c r="J265" s="351" t="e">
        <f t="shared" si="98"/>
        <v>#DIV/0!</v>
      </c>
      <c r="K265" s="350">
        <f t="shared" si="92"/>
        <v>0</v>
      </c>
      <c r="L265" s="350">
        <f t="shared" si="99"/>
        <v>0</v>
      </c>
      <c r="M265" s="351" t="e">
        <f t="shared" si="100"/>
        <v>#DIV/0!</v>
      </c>
      <c r="N265" s="352" t="e">
        <f t="shared" si="93"/>
        <v>#DIV/0!</v>
      </c>
      <c r="O265" s="352" t="e">
        <f t="shared" si="101"/>
        <v>#DIV/0!</v>
      </c>
      <c r="P265" s="351" t="e">
        <f t="shared" si="102"/>
        <v>#DIV/0!</v>
      </c>
      <c r="Q265" s="352" t="e">
        <f t="shared" si="94"/>
        <v>#DIV/0!</v>
      </c>
      <c r="R265" s="352" t="e">
        <f t="shared" si="103"/>
        <v>#DIV/0!</v>
      </c>
      <c r="S265" s="351" t="e">
        <f t="shared" si="104"/>
        <v>#DIV/0!</v>
      </c>
      <c r="T265" s="353">
        <v>1335</v>
      </c>
      <c r="U265" s="353">
        <v>705</v>
      </c>
      <c r="V265" s="351">
        <f t="shared" si="105"/>
        <v>0.8936170212765957</v>
      </c>
      <c r="W265" s="353">
        <v>0</v>
      </c>
      <c r="X265" s="353">
        <v>0</v>
      </c>
      <c r="Y265" s="351" t="e">
        <f t="shared" si="106"/>
        <v>#DIV/0!</v>
      </c>
      <c r="Z265" s="353" t="e">
        <f t="shared" si="95"/>
        <v>#DIV/0!</v>
      </c>
      <c r="AA265" s="353" t="e">
        <f t="shared" si="107"/>
        <v>#DIV/0!</v>
      </c>
      <c r="AB265" s="351" t="e">
        <f t="shared" si="108"/>
        <v>#DIV/0!</v>
      </c>
      <c r="AC265" s="354"/>
      <c r="AD265" s="353">
        <v>0</v>
      </c>
      <c r="AE265" s="351" t="e">
        <f t="shared" si="109"/>
        <v>#DIV/0!</v>
      </c>
      <c r="AF265" s="353"/>
      <c r="AG265" s="353">
        <v>0</v>
      </c>
      <c r="AH265" s="355" t="e">
        <f t="shared" si="110"/>
        <v>#DIV/0!</v>
      </c>
      <c r="AI265" s="353"/>
      <c r="AJ265" s="353">
        <v>0</v>
      </c>
      <c r="AK265" s="351" t="e">
        <f t="shared" si="111"/>
        <v>#DIV/0!</v>
      </c>
      <c r="AL265" s="356" t="e">
        <f t="shared" si="96"/>
        <v>#DIV/0!</v>
      </c>
      <c r="AM265" s="356" t="e">
        <f t="shared" si="112"/>
        <v>#DIV/0!</v>
      </c>
      <c r="AN265" s="351" t="e">
        <f t="shared" ref="AN265:AN322" si="113">(AL265-AM265)/AM265</f>
        <v>#DIV/0!</v>
      </c>
      <c r="AO265" s="355"/>
    </row>
    <row r="266" spans="1:41" s="81" customFormat="1" ht="15.75" customHeight="1" x14ac:dyDescent="0.3">
      <c r="A266" s="49" t="s">
        <v>83</v>
      </c>
      <c r="B266" s="49" t="s">
        <v>84</v>
      </c>
      <c r="C266" s="50">
        <f>C260+7</f>
        <v>43042</v>
      </c>
      <c r="D266" s="50" t="s">
        <v>28</v>
      </c>
      <c r="E266" s="55">
        <f>SUM(E267:E271)</f>
        <v>0</v>
      </c>
      <c r="F266" s="55">
        <f>SUM(F267:F271)</f>
        <v>329</v>
      </c>
      <c r="G266" s="52">
        <f t="shared" si="97"/>
        <v>-1</v>
      </c>
      <c r="H266" s="55">
        <f>SUM(H267:H271)</f>
        <v>0</v>
      </c>
      <c r="I266" s="55">
        <f>SUM(I267:I271)</f>
        <v>6999.33</v>
      </c>
      <c r="J266" s="52">
        <f t="shared" si="98"/>
        <v>-1</v>
      </c>
      <c r="K266" s="51">
        <f t="shared" si="92"/>
        <v>0</v>
      </c>
      <c r="L266" s="51">
        <f t="shared" si="99"/>
        <v>7594.2730499999998</v>
      </c>
      <c r="M266" s="52">
        <f t="shared" si="100"/>
        <v>-1</v>
      </c>
      <c r="N266" s="53" t="e">
        <f t="shared" si="93"/>
        <v>#DIV/0!</v>
      </c>
      <c r="O266" s="53">
        <f t="shared" si="101"/>
        <v>4.700449900204734E-2</v>
      </c>
      <c r="P266" s="52" t="e">
        <f t="shared" si="102"/>
        <v>#DIV/0!</v>
      </c>
      <c r="Q266" s="53" t="e">
        <f t="shared" si="94"/>
        <v>#DIV/0!</v>
      </c>
      <c r="R266" s="53">
        <f t="shared" si="103"/>
        <v>4.3322118895896169E-2</v>
      </c>
      <c r="S266" s="52" t="e">
        <f t="shared" si="104"/>
        <v>#DIV/0!</v>
      </c>
      <c r="T266" s="56">
        <f>SUM(T267:T271)</f>
        <v>17</v>
      </c>
      <c r="U266" s="56">
        <f>SUM(U267:U271)</f>
        <v>14175</v>
      </c>
      <c r="V266" s="52">
        <f t="shared" si="105"/>
        <v>-0.9988007054673721</v>
      </c>
      <c r="W266" s="56">
        <f>SUM(W267:W271)</f>
        <v>0</v>
      </c>
      <c r="X266" s="56">
        <f>SUM(X267:X271)</f>
        <v>4</v>
      </c>
      <c r="Y266" s="52">
        <f t="shared" si="106"/>
        <v>-1</v>
      </c>
      <c r="Z266" s="51" t="e">
        <f t="shared" si="95"/>
        <v>#DIV/0!</v>
      </c>
      <c r="AA266" s="54">
        <f t="shared" si="107"/>
        <v>82.25</v>
      </c>
      <c r="AB266" s="52" t="e">
        <f t="shared" si="108"/>
        <v>#DIV/0!</v>
      </c>
      <c r="AC266" s="56">
        <f>SUM(AC267:AC271)</f>
        <v>0</v>
      </c>
      <c r="AD266" s="56">
        <f>SUM(AD267:AD271)</f>
        <v>851308</v>
      </c>
      <c r="AE266" s="52">
        <f t="shared" si="109"/>
        <v>-1</v>
      </c>
      <c r="AF266" s="56">
        <f>SUM(AF267:AF271)</f>
        <v>0</v>
      </c>
      <c r="AG266" s="56">
        <f>SUM(AG267:AG271)</f>
        <v>18343</v>
      </c>
      <c r="AH266" s="67">
        <f t="shared" si="110"/>
        <v>-1</v>
      </c>
      <c r="AI266" s="56">
        <f>SUM(AI267:AI271)</f>
        <v>0</v>
      </c>
      <c r="AJ266" s="56">
        <f>SUM(AJ267:AJ271)</f>
        <v>1796790</v>
      </c>
      <c r="AK266" s="52">
        <f t="shared" si="111"/>
        <v>-1</v>
      </c>
      <c r="AL266" s="82" t="e">
        <f t="shared" si="96"/>
        <v>#DIV/0!</v>
      </c>
      <c r="AM266" s="82">
        <f t="shared" si="112"/>
        <v>1.0208761179659281E-2</v>
      </c>
      <c r="AN266" s="52" t="e">
        <f>(AL266-AM266)/AM266</f>
        <v>#DIV/0!</v>
      </c>
      <c r="AO266" s="68"/>
    </row>
    <row r="267" spans="1:41" s="96" customFormat="1" ht="15.75" customHeight="1" x14ac:dyDescent="0.3">
      <c r="A267" s="279"/>
      <c r="B267" s="279"/>
      <c r="C267" s="280"/>
      <c r="D267" s="280"/>
      <c r="E267" s="281"/>
      <c r="F267" s="281"/>
      <c r="G267" s="282" t="e">
        <f t="shared" si="97"/>
        <v>#DIV/0!</v>
      </c>
      <c r="H267" s="281"/>
      <c r="I267" s="283"/>
      <c r="J267" s="282" t="e">
        <f t="shared" si="98"/>
        <v>#DIV/0!</v>
      </c>
      <c r="K267" s="281">
        <f t="shared" si="92"/>
        <v>0</v>
      </c>
      <c r="L267" s="281">
        <f t="shared" si="99"/>
        <v>0</v>
      </c>
      <c r="M267" s="282" t="e">
        <f t="shared" si="100"/>
        <v>#DIV/0!</v>
      </c>
      <c r="N267" s="283" t="e">
        <f t="shared" si="93"/>
        <v>#DIV/0!</v>
      </c>
      <c r="O267" s="283" t="e">
        <f t="shared" si="101"/>
        <v>#DIV/0!</v>
      </c>
      <c r="P267" s="282" t="e">
        <f t="shared" si="102"/>
        <v>#DIV/0!</v>
      </c>
      <c r="Q267" s="283" t="e">
        <f t="shared" si="94"/>
        <v>#DIV/0!</v>
      </c>
      <c r="R267" s="283" t="e">
        <f t="shared" si="103"/>
        <v>#DIV/0!</v>
      </c>
      <c r="S267" s="282" t="e">
        <f t="shared" si="104"/>
        <v>#DIV/0!</v>
      </c>
      <c r="T267" s="284"/>
      <c r="U267" s="284"/>
      <c r="V267" s="282" t="e">
        <f t="shared" si="105"/>
        <v>#DIV/0!</v>
      </c>
      <c r="W267" s="284"/>
      <c r="X267" s="284"/>
      <c r="Y267" s="282" t="e">
        <f t="shared" si="106"/>
        <v>#DIV/0!</v>
      </c>
      <c r="Z267" s="284" t="e">
        <f t="shared" si="95"/>
        <v>#DIV/0!</v>
      </c>
      <c r="AA267" s="284" t="e">
        <f t="shared" si="107"/>
        <v>#DIV/0!</v>
      </c>
      <c r="AB267" s="282" t="e">
        <f t="shared" si="108"/>
        <v>#DIV/0!</v>
      </c>
      <c r="AC267" s="285"/>
      <c r="AD267" s="284"/>
      <c r="AE267" s="282" t="e">
        <f t="shared" si="109"/>
        <v>#DIV/0!</v>
      </c>
      <c r="AF267" s="284"/>
      <c r="AG267" s="284"/>
      <c r="AH267" s="86" t="e">
        <f t="shared" si="110"/>
        <v>#DIV/0!</v>
      </c>
      <c r="AI267" s="284"/>
      <c r="AJ267" s="284"/>
      <c r="AK267" s="282" t="e">
        <f t="shared" si="111"/>
        <v>#DIV/0!</v>
      </c>
      <c r="AL267" s="286" t="e">
        <f t="shared" si="96"/>
        <v>#DIV/0!</v>
      </c>
      <c r="AM267" s="286" t="e">
        <f t="shared" si="112"/>
        <v>#DIV/0!</v>
      </c>
      <c r="AN267" s="282" t="e">
        <f t="shared" si="113"/>
        <v>#DIV/0!</v>
      </c>
      <c r="AO267" s="86"/>
    </row>
    <row r="268" spans="1:41" s="96" customFormat="1" ht="15.75" customHeight="1" x14ac:dyDescent="0.3">
      <c r="A268" s="279"/>
      <c r="B268" s="279"/>
      <c r="C268" s="280"/>
      <c r="D268" s="280"/>
      <c r="E268" s="281"/>
      <c r="F268" s="281"/>
      <c r="G268" s="282" t="e">
        <f t="shared" si="97"/>
        <v>#DIV/0!</v>
      </c>
      <c r="H268" s="281"/>
      <c r="I268" s="283"/>
      <c r="J268" s="282" t="e">
        <f t="shared" si="98"/>
        <v>#DIV/0!</v>
      </c>
      <c r="K268" s="281">
        <f t="shared" si="92"/>
        <v>0</v>
      </c>
      <c r="L268" s="281">
        <f t="shared" si="99"/>
        <v>0</v>
      </c>
      <c r="M268" s="282" t="e">
        <f t="shared" si="100"/>
        <v>#DIV/0!</v>
      </c>
      <c r="N268" s="283" t="e">
        <f t="shared" si="93"/>
        <v>#DIV/0!</v>
      </c>
      <c r="O268" s="283" t="e">
        <f t="shared" si="101"/>
        <v>#DIV/0!</v>
      </c>
      <c r="P268" s="282" t="e">
        <f t="shared" si="102"/>
        <v>#DIV/0!</v>
      </c>
      <c r="Q268" s="283" t="e">
        <f t="shared" si="94"/>
        <v>#DIV/0!</v>
      </c>
      <c r="R268" s="283" t="e">
        <f t="shared" si="103"/>
        <v>#DIV/0!</v>
      </c>
      <c r="S268" s="282" t="e">
        <f t="shared" si="104"/>
        <v>#DIV/0!</v>
      </c>
      <c r="T268" s="284"/>
      <c r="U268" s="284"/>
      <c r="V268" s="282" t="e">
        <f t="shared" si="105"/>
        <v>#DIV/0!</v>
      </c>
      <c r="W268" s="284"/>
      <c r="X268" s="284"/>
      <c r="Y268" s="282" t="e">
        <f t="shared" si="106"/>
        <v>#DIV/0!</v>
      </c>
      <c r="Z268" s="284" t="e">
        <f t="shared" si="95"/>
        <v>#DIV/0!</v>
      </c>
      <c r="AA268" s="284" t="e">
        <f t="shared" si="107"/>
        <v>#DIV/0!</v>
      </c>
      <c r="AB268" s="282" t="e">
        <f t="shared" si="108"/>
        <v>#DIV/0!</v>
      </c>
      <c r="AC268" s="285"/>
      <c r="AD268" s="284"/>
      <c r="AE268" s="282" t="e">
        <f t="shared" si="109"/>
        <v>#DIV/0!</v>
      </c>
      <c r="AF268" s="284"/>
      <c r="AG268" s="284"/>
      <c r="AH268" s="86" t="e">
        <f t="shared" si="110"/>
        <v>#DIV/0!</v>
      </c>
      <c r="AI268" s="284"/>
      <c r="AJ268" s="284"/>
      <c r="AK268" s="282" t="e">
        <f t="shared" si="111"/>
        <v>#DIV/0!</v>
      </c>
      <c r="AL268" s="286" t="e">
        <f t="shared" si="96"/>
        <v>#DIV/0!</v>
      </c>
      <c r="AM268" s="286" t="e">
        <f t="shared" si="112"/>
        <v>#DIV/0!</v>
      </c>
      <c r="AN268" s="282" t="e">
        <f t="shared" si="113"/>
        <v>#DIV/0!</v>
      </c>
      <c r="AO268" s="86"/>
    </row>
    <row r="269" spans="1:41" s="96" customFormat="1" ht="15.75" customHeight="1" x14ac:dyDescent="0.3">
      <c r="A269" s="279"/>
      <c r="B269" s="279"/>
      <c r="C269" s="280"/>
      <c r="D269" s="280"/>
      <c r="E269" s="281"/>
      <c r="F269" s="281"/>
      <c r="G269" s="282" t="e">
        <f t="shared" si="97"/>
        <v>#DIV/0!</v>
      </c>
      <c r="H269" s="281"/>
      <c r="I269" s="283"/>
      <c r="J269" s="282" t="e">
        <f t="shared" si="98"/>
        <v>#DIV/0!</v>
      </c>
      <c r="K269" s="281">
        <f t="shared" si="92"/>
        <v>0</v>
      </c>
      <c r="L269" s="281">
        <f t="shared" si="99"/>
        <v>0</v>
      </c>
      <c r="M269" s="282" t="e">
        <f t="shared" si="100"/>
        <v>#DIV/0!</v>
      </c>
      <c r="N269" s="283" t="e">
        <f t="shared" si="93"/>
        <v>#DIV/0!</v>
      </c>
      <c r="O269" s="283" t="e">
        <f t="shared" si="101"/>
        <v>#DIV/0!</v>
      </c>
      <c r="P269" s="282" t="e">
        <f t="shared" si="102"/>
        <v>#DIV/0!</v>
      </c>
      <c r="Q269" s="283" t="e">
        <f t="shared" si="94"/>
        <v>#DIV/0!</v>
      </c>
      <c r="R269" s="283" t="e">
        <f t="shared" si="103"/>
        <v>#DIV/0!</v>
      </c>
      <c r="S269" s="282" t="e">
        <f t="shared" si="104"/>
        <v>#DIV/0!</v>
      </c>
      <c r="T269" s="284"/>
      <c r="U269" s="284"/>
      <c r="V269" s="282" t="e">
        <f t="shared" si="105"/>
        <v>#DIV/0!</v>
      </c>
      <c r="W269" s="284"/>
      <c r="X269" s="284"/>
      <c r="Y269" s="282" t="e">
        <f t="shared" si="106"/>
        <v>#DIV/0!</v>
      </c>
      <c r="Z269" s="284" t="e">
        <f t="shared" si="95"/>
        <v>#DIV/0!</v>
      </c>
      <c r="AA269" s="284" t="e">
        <f t="shared" si="107"/>
        <v>#DIV/0!</v>
      </c>
      <c r="AB269" s="282" t="e">
        <f t="shared" si="108"/>
        <v>#DIV/0!</v>
      </c>
      <c r="AC269" s="285"/>
      <c r="AD269" s="284"/>
      <c r="AE269" s="282" t="e">
        <f t="shared" si="109"/>
        <v>#DIV/0!</v>
      </c>
      <c r="AF269" s="284"/>
      <c r="AG269" s="284"/>
      <c r="AH269" s="86" t="e">
        <f t="shared" si="110"/>
        <v>#DIV/0!</v>
      </c>
      <c r="AI269" s="284"/>
      <c r="AJ269" s="284"/>
      <c r="AK269" s="282" t="e">
        <f t="shared" si="111"/>
        <v>#DIV/0!</v>
      </c>
      <c r="AL269" s="286" t="e">
        <f t="shared" si="96"/>
        <v>#DIV/0!</v>
      </c>
      <c r="AM269" s="286" t="e">
        <f t="shared" si="112"/>
        <v>#DIV/0!</v>
      </c>
      <c r="AN269" s="282" t="e">
        <f t="shared" si="113"/>
        <v>#DIV/0!</v>
      </c>
      <c r="AO269" s="86"/>
    </row>
    <row r="270" spans="1:41" s="96" customFormat="1" ht="15.75" customHeight="1" x14ac:dyDescent="0.3">
      <c r="A270" s="279"/>
      <c r="B270" s="279"/>
      <c r="C270" s="280"/>
      <c r="D270" s="280"/>
      <c r="E270" s="281"/>
      <c r="F270" s="281"/>
      <c r="G270" s="282" t="e">
        <f t="shared" si="97"/>
        <v>#DIV/0!</v>
      </c>
      <c r="H270" s="281"/>
      <c r="I270" s="283"/>
      <c r="J270" s="282" t="e">
        <f t="shared" si="98"/>
        <v>#DIV/0!</v>
      </c>
      <c r="K270" s="281">
        <f t="shared" si="92"/>
        <v>0</v>
      </c>
      <c r="L270" s="281">
        <f t="shared" si="99"/>
        <v>0</v>
      </c>
      <c r="M270" s="282" t="e">
        <f t="shared" si="100"/>
        <v>#DIV/0!</v>
      </c>
      <c r="N270" s="283" t="e">
        <f t="shared" si="93"/>
        <v>#DIV/0!</v>
      </c>
      <c r="O270" s="283" t="e">
        <f t="shared" si="101"/>
        <v>#DIV/0!</v>
      </c>
      <c r="P270" s="282" t="e">
        <f t="shared" si="102"/>
        <v>#DIV/0!</v>
      </c>
      <c r="Q270" s="283" t="e">
        <f t="shared" si="94"/>
        <v>#DIV/0!</v>
      </c>
      <c r="R270" s="283" t="e">
        <f t="shared" si="103"/>
        <v>#DIV/0!</v>
      </c>
      <c r="S270" s="282" t="e">
        <f t="shared" si="104"/>
        <v>#DIV/0!</v>
      </c>
      <c r="T270" s="284"/>
      <c r="U270" s="284"/>
      <c r="V270" s="282" t="e">
        <f t="shared" si="105"/>
        <v>#DIV/0!</v>
      </c>
      <c r="W270" s="284"/>
      <c r="X270" s="284"/>
      <c r="Y270" s="282" t="e">
        <f t="shared" si="106"/>
        <v>#DIV/0!</v>
      </c>
      <c r="Z270" s="284" t="e">
        <f t="shared" si="95"/>
        <v>#DIV/0!</v>
      </c>
      <c r="AA270" s="284" t="e">
        <f t="shared" si="107"/>
        <v>#DIV/0!</v>
      </c>
      <c r="AB270" s="282" t="e">
        <f t="shared" si="108"/>
        <v>#DIV/0!</v>
      </c>
      <c r="AC270" s="285"/>
      <c r="AD270" s="284"/>
      <c r="AE270" s="282" t="e">
        <f t="shared" si="109"/>
        <v>#DIV/0!</v>
      </c>
      <c r="AF270" s="284"/>
      <c r="AG270" s="284"/>
      <c r="AH270" s="86" t="e">
        <f t="shared" si="110"/>
        <v>#DIV/0!</v>
      </c>
      <c r="AI270" s="284"/>
      <c r="AJ270" s="284"/>
      <c r="AK270" s="282" t="e">
        <f t="shared" si="111"/>
        <v>#DIV/0!</v>
      </c>
      <c r="AL270" s="286" t="e">
        <f t="shared" si="96"/>
        <v>#DIV/0!</v>
      </c>
      <c r="AM270" s="286" t="e">
        <f t="shared" si="112"/>
        <v>#DIV/0!</v>
      </c>
      <c r="AN270" s="282" t="e">
        <f t="shared" si="113"/>
        <v>#DIV/0!</v>
      </c>
      <c r="AO270" s="86"/>
    </row>
    <row r="271" spans="1:41" s="96" customFormat="1" ht="15.75" customHeight="1" x14ac:dyDescent="0.3">
      <c r="A271" s="279"/>
      <c r="B271" s="279"/>
      <c r="C271" s="280"/>
      <c r="D271" s="297" t="s">
        <v>274</v>
      </c>
      <c r="E271" s="281"/>
      <c r="F271" s="281">
        <v>329</v>
      </c>
      <c r="G271" s="282">
        <f t="shared" si="97"/>
        <v>-1</v>
      </c>
      <c r="H271" s="281"/>
      <c r="I271" s="283">
        <v>6999.33</v>
      </c>
      <c r="J271" s="282">
        <f t="shared" si="98"/>
        <v>-1</v>
      </c>
      <c r="K271" s="281">
        <f t="shared" si="92"/>
        <v>0</v>
      </c>
      <c r="L271" s="281">
        <f t="shared" si="99"/>
        <v>7594.2730499999998</v>
      </c>
      <c r="M271" s="282">
        <f t="shared" si="100"/>
        <v>-1</v>
      </c>
      <c r="N271" s="283" t="e">
        <f t="shared" si="93"/>
        <v>#DIV/0!</v>
      </c>
      <c r="O271" s="283">
        <f t="shared" si="101"/>
        <v>4.700449900204734E-2</v>
      </c>
      <c r="P271" s="282" t="e">
        <f t="shared" si="102"/>
        <v>#DIV/0!</v>
      </c>
      <c r="Q271" s="283" t="e">
        <f t="shared" si="94"/>
        <v>#DIV/0!</v>
      </c>
      <c r="R271" s="283">
        <f t="shared" si="103"/>
        <v>4.3322118895896169E-2</v>
      </c>
      <c r="S271" s="282" t="e">
        <f t="shared" si="104"/>
        <v>#DIV/0!</v>
      </c>
      <c r="T271" s="284">
        <v>17</v>
      </c>
      <c r="U271" s="284">
        <v>14175</v>
      </c>
      <c r="V271" s="282">
        <f t="shared" si="105"/>
        <v>-0.9988007054673721</v>
      </c>
      <c r="W271" s="284">
        <v>0</v>
      </c>
      <c r="X271" s="284">
        <v>4</v>
      </c>
      <c r="Y271" s="282">
        <f t="shared" si="106"/>
        <v>-1</v>
      </c>
      <c r="Z271" s="284" t="e">
        <f t="shared" si="95"/>
        <v>#DIV/0!</v>
      </c>
      <c r="AA271" s="284">
        <f t="shared" si="107"/>
        <v>82.25</v>
      </c>
      <c r="AB271" s="282" t="e">
        <f t="shared" si="108"/>
        <v>#DIV/0!</v>
      </c>
      <c r="AC271" s="285"/>
      <c r="AD271" s="284">
        <v>851308</v>
      </c>
      <c r="AE271" s="282">
        <f t="shared" si="109"/>
        <v>-1</v>
      </c>
      <c r="AF271" s="284"/>
      <c r="AG271" s="284">
        <v>18343</v>
      </c>
      <c r="AH271" s="86">
        <f t="shared" si="110"/>
        <v>-1</v>
      </c>
      <c r="AI271" s="284"/>
      <c r="AJ271" s="284">
        <v>1796790</v>
      </c>
      <c r="AK271" s="282">
        <f t="shared" si="111"/>
        <v>-1</v>
      </c>
      <c r="AL271" s="286" t="e">
        <f t="shared" si="96"/>
        <v>#DIV/0!</v>
      </c>
      <c r="AM271" s="286">
        <f t="shared" si="112"/>
        <v>1.0208761179659281E-2</v>
      </c>
      <c r="AN271" s="282" t="e">
        <f t="shared" si="113"/>
        <v>#DIV/0!</v>
      </c>
      <c r="AO271" s="86"/>
    </row>
    <row r="272" spans="1:41" s="81" customFormat="1" ht="15.75" customHeight="1" x14ac:dyDescent="0.3">
      <c r="A272" s="49" t="s">
        <v>83</v>
      </c>
      <c r="B272" s="49" t="s">
        <v>85</v>
      </c>
      <c r="C272" s="50">
        <f>C266+7</f>
        <v>43049</v>
      </c>
      <c r="D272" s="50" t="s">
        <v>28</v>
      </c>
      <c r="E272" s="55">
        <f>SUM(E273:E277)</f>
        <v>139</v>
      </c>
      <c r="F272" s="55">
        <f>SUM(F273:F277)</f>
        <v>2494</v>
      </c>
      <c r="G272" s="52">
        <f t="shared" si="97"/>
        <v>-0.94426623897353645</v>
      </c>
      <c r="H272" s="55">
        <f>SUM(H273:H277)</f>
        <v>925.76</v>
      </c>
      <c r="I272" s="55">
        <f>SUM(I273:I277)</f>
        <v>27071.14</v>
      </c>
      <c r="J272" s="52">
        <f t="shared" si="98"/>
        <v>-0.96580269615538916</v>
      </c>
      <c r="K272" s="51">
        <f>SUM(K273:K277)</f>
        <v>5645.7295999999997</v>
      </c>
      <c r="L272" s="51">
        <f t="shared" si="99"/>
        <v>29372.186899999997</v>
      </c>
      <c r="M272" s="52">
        <f t="shared" si="100"/>
        <v>-0.80778654244502313</v>
      </c>
      <c r="N272" s="53">
        <f t="shared" si="93"/>
        <v>0.15014690632561356</v>
      </c>
      <c r="O272" s="53">
        <f t="shared" si="101"/>
        <v>9.2127631123033613E-2</v>
      </c>
      <c r="P272" s="52">
        <f t="shared" si="102"/>
        <v>0.62977061816662794</v>
      </c>
      <c r="Q272" s="53">
        <f t="shared" si="94"/>
        <v>2.4620378560106741E-2</v>
      </c>
      <c r="R272" s="53">
        <f t="shared" si="103"/>
        <v>8.4910259099570159E-2</v>
      </c>
      <c r="S272" s="52">
        <f t="shared" si="104"/>
        <v>-0.71004235741130395</v>
      </c>
      <c r="T272" s="56">
        <f>SUM(T273:T277)</f>
        <v>4068</v>
      </c>
      <c r="U272" s="56">
        <f>SUM(U273:U277)</f>
        <v>31013</v>
      </c>
      <c r="V272" s="52">
        <f t="shared" si="105"/>
        <v>-0.86882920065778868</v>
      </c>
      <c r="W272" s="56">
        <f>SUM(W273:W277)</f>
        <v>2</v>
      </c>
      <c r="X272" s="56">
        <f>SUM(X273:X277)</f>
        <v>39</v>
      </c>
      <c r="Y272" s="52">
        <f t="shared" si="106"/>
        <v>-0.94871794871794868</v>
      </c>
      <c r="Z272" s="51">
        <f t="shared" si="95"/>
        <v>69.5</v>
      </c>
      <c r="AA272" s="54">
        <f t="shared" si="107"/>
        <v>63.948717948717949</v>
      </c>
      <c r="AB272" s="52">
        <f t="shared" si="108"/>
        <v>8.6808340016038488E-2</v>
      </c>
      <c r="AC272" s="56">
        <f>SUM(AC273:AC277)</f>
        <v>108492</v>
      </c>
      <c r="AD272" s="56">
        <f>SUM(AD273:AD277)</f>
        <v>2405363</v>
      </c>
      <c r="AE272" s="52">
        <f t="shared" si="109"/>
        <v>-0.9548957891179003</v>
      </c>
      <c r="AF272" s="56">
        <f>SUM(AF273:AF277)</f>
        <v>7470</v>
      </c>
      <c r="AG272" s="56">
        <f>SUM(AG273:AG277)</f>
        <v>43266</v>
      </c>
      <c r="AH272" s="67">
        <f t="shared" si="110"/>
        <v>-0.82734710858410765</v>
      </c>
      <c r="AI272" s="56">
        <f>SUM(AI273:AI277)</f>
        <v>1348572</v>
      </c>
      <c r="AJ272" s="56">
        <f>SUM(AJ273:AJ277)</f>
        <v>5232649</v>
      </c>
      <c r="AK272" s="52">
        <f t="shared" si="111"/>
        <v>-0.74227738187675119</v>
      </c>
      <c r="AL272" s="82">
        <f t="shared" si="96"/>
        <v>5.5391925681387427E-3</v>
      </c>
      <c r="AM272" s="82">
        <f t="shared" si="112"/>
        <v>8.2684697559496159E-3</v>
      </c>
      <c r="AN272" s="52">
        <f>(AL272-AM272)/AM272</f>
        <v>-0.33008250236955988</v>
      </c>
      <c r="AO272" s="68"/>
    </row>
    <row r="273" spans="1:41" s="96" customFormat="1" ht="15.75" customHeight="1" x14ac:dyDescent="0.3">
      <c r="A273" s="279"/>
      <c r="B273" s="279"/>
      <c r="C273" s="280"/>
      <c r="D273" s="440" t="s">
        <v>312</v>
      </c>
      <c r="E273" s="281">
        <v>0</v>
      </c>
      <c r="F273" s="281"/>
      <c r="G273" s="282" t="e">
        <f t="shared" si="97"/>
        <v>#DIV/0!</v>
      </c>
      <c r="H273" s="281">
        <v>925.76</v>
      </c>
      <c r="I273" s="283"/>
      <c r="J273" s="282" t="e">
        <f t="shared" si="98"/>
        <v>#DIV/0!</v>
      </c>
      <c r="K273" s="281">
        <f>H273*1.085</f>
        <v>1004.4495999999999</v>
      </c>
      <c r="L273" s="281">
        <f t="shared" si="99"/>
        <v>0</v>
      </c>
      <c r="M273" s="282" t="e">
        <f t="shared" si="100"/>
        <v>#DIV/0!</v>
      </c>
      <c r="N273" s="283">
        <f t="shared" si="93"/>
        <v>0</v>
      </c>
      <c r="O273" s="283" t="e">
        <f t="shared" si="101"/>
        <v>#DIV/0!</v>
      </c>
      <c r="P273" s="282" t="e">
        <f t="shared" si="102"/>
        <v>#DIV/0!</v>
      </c>
      <c r="Q273" s="283">
        <f t="shared" si="94"/>
        <v>0</v>
      </c>
      <c r="R273" s="283" t="e">
        <f t="shared" si="103"/>
        <v>#DIV/0!</v>
      </c>
      <c r="S273" s="282" t="e">
        <f t="shared" si="104"/>
        <v>#DIV/0!</v>
      </c>
      <c r="T273" s="284">
        <v>1149</v>
      </c>
      <c r="U273" s="284"/>
      <c r="V273" s="282" t="e">
        <f t="shared" si="105"/>
        <v>#DIV/0!</v>
      </c>
      <c r="W273" s="284">
        <v>0</v>
      </c>
      <c r="X273" s="284"/>
      <c r="Y273" s="282" t="e">
        <f t="shared" si="106"/>
        <v>#DIV/0!</v>
      </c>
      <c r="Z273" s="284" t="e">
        <f t="shared" si="95"/>
        <v>#DIV/0!</v>
      </c>
      <c r="AA273" s="284" t="e">
        <f t="shared" si="107"/>
        <v>#DIV/0!</v>
      </c>
      <c r="AB273" s="282" t="e">
        <f t="shared" si="108"/>
        <v>#DIV/0!</v>
      </c>
      <c r="AC273" s="285">
        <v>108492</v>
      </c>
      <c r="AD273" s="284"/>
      <c r="AE273" s="282" t="e">
        <f t="shared" si="109"/>
        <v>#DIV/0!</v>
      </c>
      <c r="AF273" s="284">
        <v>2864</v>
      </c>
      <c r="AG273" s="284"/>
      <c r="AH273" s="86" t="e">
        <f t="shared" si="110"/>
        <v>#DIV/0!</v>
      </c>
      <c r="AI273" s="284">
        <v>181310</v>
      </c>
      <c r="AJ273" s="284"/>
      <c r="AK273" s="282" t="e">
        <f t="shared" si="111"/>
        <v>#DIV/0!</v>
      </c>
      <c r="AL273" s="286">
        <f t="shared" si="96"/>
        <v>1.5796150239920578E-2</v>
      </c>
      <c r="AM273" s="286" t="e">
        <f t="shared" si="112"/>
        <v>#DIV/0!</v>
      </c>
      <c r="AN273" s="282" t="e">
        <f t="shared" si="113"/>
        <v>#DIV/0!</v>
      </c>
      <c r="AO273" s="86"/>
    </row>
    <row r="274" spans="1:41" s="96" customFormat="1" ht="15.75" customHeight="1" x14ac:dyDescent="0.3">
      <c r="A274" s="279"/>
      <c r="B274" s="279"/>
      <c r="C274" s="280"/>
      <c r="D274" s="440" t="s">
        <v>310</v>
      </c>
      <c r="E274" s="281">
        <v>139</v>
      </c>
      <c r="F274" s="281"/>
      <c r="G274" s="282" t="e">
        <f t="shared" si="97"/>
        <v>#DIV/0!</v>
      </c>
      <c r="H274" s="281"/>
      <c r="I274" s="283"/>
      <c r="J274" s="282" t="e">
        <f t="shared" si="98"/>
        <v>#DIV/0!</v>
      </c>
      <c r="K274" s="281">
        <v>4081.42</v>
      </c>
      <c r="L274" s="281">
        <f t="shared" si="99"/>
        <v>0</v>
      </c>
      <c r="M274" s="282" t="e">
        <f t="shared" si="100"/>
        <v>#DIV/0!</v>
      </c>
      <c r="N274" s="283" t="e">
        <f t="shared" si="93"/>
        <v>#DIV/0!</v>
      </c>
      <c r="O274" s="283" t="e">
        <f t="shared" si="101"/>
        <v>#DIV/0!</v>
      </c>
      <c r="P274" s="282" t="e">
        <f t="shared" si="102"/>
        <v>#DIV/0!</v>
      </c>
      <c r="Q274" s="283">
        <f t="shared" si="94"/>
        <v>3.4056774357944047E-2</v>
      </c>
      <c r="R274" s="283" t="e">
        <f t="shared" si="103"/>
        <v>#DIV/0!</v>
      </c>
      <c r="S274" s="282" t="e">
        <f t="shared" si="104"/>
        <v>#DIV/0!</v>
      </c>
      <c r="T274" s="284">
        <v>2868</v>
      </c>
      <c r="U274" s="284"/>
      <c r="V274" s="282" t="e">
        <f t="shared" si="105"/>
        <v>#DIV/0!</v>
      </c>
      <c r="W274" s="284">
        <v>2</v>
      </c>
      <c r="X274" s="284"/>
      <c r="Y274" s="282" t="e">
        <f t="shared" si="106"/>
        <v>#DIV/0!</v>
      </c>
      <c r="Z274" s="284">
        <f t="shared" si="95"/>
        <v>69.5</v>
      </c>
      <c r="AA274" s="284" t="e">
        <f t="shared" si="107"/>
        <v>#DIV/0!</v>
      </c>
      <c r="AB274" s="282" t="e">
        <f t="shared" si="108"/>
        <v>#DIV/0!</v>
      </c>
      <c r="AC274" s="285"/>
      <c r="AD274" s="284"/>
      <c r="AE274" s="282" t="e">
        <f t="shared" si="109"/>
        <v>#DIV/0!</v>
      </c>
      <c r="AF274" s="284">
        <v>4383</v>
      </c>
      <c r="AG274" s="284"/>
      <c r="AH274" s="86" t="e">
        <f t="shared" si="110"/>
        <v>#DIV/0!</v>
      </c>
      <c r="AI274" s="284">
        <v>975705</v>
      </c>
      <c r="AJ274" s="284"/>
      <c r="AK274" s="282" t="e">
        <f t="shared" si="111"/>
        <v>#DIV/0!</v>
      </c>
      <c r="AL274" s="286">
        <f t="shared" si="96"/>
        <v>4.4921364551785631E-3</v>
      </c>
      <c r="AM274" s="286" t="e">
        <f t="shared" si="112"/>
        <v>#DIV/0!</v>
      </c>
      <c r="AN274" s="282" t="e">
        <f t="shared" si="113"/>
        <v>#DIV/0!</v>
      </c>
      <c r="AO274" s="86"/>
    </row>
    <row r="275" spans="1:41" s="96" customFormat="1" ht="15.75" customHeight="1" x14ac:dyDescent="0.3">
      <c r="A275" s="279"/>
      <c r="B275" s="279"/>
      <c r="C275" s="280"/>
      <c r="D275" s="440" t="s">
        <v>311</v>
      </c>
      <c r="E275" s="281">
        <v>0</v>
      </c>
      <c r="F275" s="281"/>
      <c r="G275" s="282" t="e">
        <f t="shared" si="97"/>
        <v>#DIV/0!</v>
      </c>
      <c r="H275" s="281"/>
      <c r="I275" s="283"/>
      <c r="J275" s="282" t="e">
        <f t="shared" si="98"/>
        <v>#DIV/0!</v>
      </c>
      <c r="K275" s="281">
        <v>559.86</v>
      </c>
      <c r="L275" s="281">
        <f t="shared" si="99"/>
        <v>0</v>
      </c>
      <c r="M275" s="282" t="e">
        <f t="shared" si="100"/>
        <v>#DIV/0!</v>
      </c>
      <c r="N275" s="283" t="e">
        <f t="shared" si="93"/>
        <v>#DIV/0!</v>
      </c>
      <c r="O275" s="283" t="e">
        <f t="shared" si="101"/>
        <v>#DIV/0!</v>
      </c>
      <c r="P275" s="282" t="e">
        <f t="shared" si="102"/>
        <v>#DIV/0!</v>
      </c>
      <c r="Q275" s="283">
        <f t="shared" si="94"/>
        <v>0</v>
      </c>
      <c r="R275" s="283" t="e">
        <f t="shared" si="103"/>
        <v>#DIV/0!</v>
      </c>
      <c r="S275" s="282" t="e">
        <f t="shared" si="104"/>
        <v>#DIV/0!</v>
      </c>
      <c r="T275" s="284">
        <v>37</v>
      </c>
      <c r="U275" s="284"/>
      <c r="V275" s="282" t="e">
        <f t="shared" si="105"/>
        <v>#DIV/0!</v>
      </c>
      <c r="W275" s="284">
        <v>0</v>
      </c>
      <c r="X275" s="284"/>
      <c r="Y275" s="282" t="e">
        <f t="shared" si="106"/>
        <v>#DIV/0!</v>
      </c>
      <c r="Z275" s="284" t="e">
        <f t="shared" si="95"/>
        <v>#DIV/0!</v>
      </c>
      <c r="AA275" s="284" t="e">
        <f t="shared" si="107"/>
        <v>#DIV/0!</v>
      </c>
      <c r="AB275" s="282" t="e">
        <f t="shared" si="108"/>
        <v>#DIV/0!</v>
      </c>
      <c r="AC275" s="285"/>
      <c r="AD275" s="284"/>
      <c r="AE275" s="282" t="e">
        <f t="shared" si="109"/>
        <v>#DIV/0!</v>
      </c>
      <c r="AF275" s="284">
        <v>223</v>
      </c>
      <c r="AG275" s="284"/>
      <c r="AH275" s="86" t="e">
        <f t="shared" si="110"/>
        <v>#DIV/0!</v>
      </c>
      <c r="AI275" s="284">
        <v>191557</v>
      </c>
      <c r="AJ275" s="284"/>
      <c r="AK275" s="282" t="e">
        <f t="shared" si="111"/>
        <v>#DIV/0!</v>
      </c>
      <c r="AL275" s="286">
        <f t="shared" si="96"/>
        <v>1.1641443538998836E-3</v>
      </c>
      <c r="AM275" s="286" t="e">
        <f t="shared" si="112"/>
        <v>#DIV/0!</v>
      </c>
      <c r="AN275" s="282" t="e">
        <f t="shared" si="113"/>
        <v>#DIV/0!</v>
      </c>
      <c r="AO275" s="86"/>
    </row>
    <row r="276" spans="1:41" s="96" customFormat="1" ht="15.75" customHeight="1" x14ac:dyDescent="0.3">
      <c r="A276" s="279"/>
      <c r="B276" s="279"/>
      <c r="C276" s="280"/>
      <c r="D276" s="280"/>
      <c r="E276" s="281"/>
      <c r="F276" s="281"/>
      <c r="G276" s="282" t="e">
        <f t="shared" si="97"/>
        <v>#DIV/0!</v>
      </c>
      <c r="H276" s="281"/>
      <c r="I276" s="283"/>
      <c r="J276" s="282" t="e">
        <f t="shared" si="98"/>
        <v>#DIV/0!</v>
      </c>
      <c r="K276" s="281">
        <f t="shared" si="92"/>
        <v>0</v>
      </c>
      <c r="L276" s="281">
        <f t="shared" si="99"/>
        <v>0</v>
      </c>
      <c r="M276" s="282" t="e">
        <f t="shared" si="100"/>
        <v>#DIV/0!</v>
      </c>
      <c r="N276" s="283" t="e">
        <f t="shared" si="93"/>
        <v>#DIV/0!</v>
      </c>
      <c r="O276" s="283" t="e">
        <f t="shared" si="101"/>
        <v>#DIV/0!</v>
      </c>
      <c r="P276" s="282" t="e">
        <f t="shared" si="102"/>
        <v>#DIV/0!</v>
      </c>
      <c r="Q276" s="283" t="e">
        <f t="shared" si="94"/>
        <v>#DIV/0!</v>
      </c>
      <c r="R276" s="283" t="e">
        <f t="shared" si="103"/>
        <v>#DIV/0!</v>
      </c>
      <c r="S276" s="282" t="e">
        <f t="shared" si="104"/>
        <v>#DIV/0!</v>
      </c>
      <c r="T276" s="284"/>
      <c r="U276" s="284"/>
      <c r="V276" s="282" t="e">
        <f t="shared" si="105"/>
        <v>#DIV/0!</v>
      </c>
      <c r="W276" s="284"/>
      <c r="X276" s="284"/>
      <c r="Y276" s="282" t="e">
        <f t="shared" si="106"/>
        <v>#DIV/0!</v>
      </c>
      <c r="Z276" s="284" t="e">
        <f t="shared" si="95"/>
        <v>#DIV/0!</v>
      </c>
      <c r="AA276" s="284" t="e">
        <f t="shared" si="107"/>
        <v>#DIV/0!</v>
      </c>
      <c r="AB276" s="282" t="e">
        <f t="shared" si="108"/>
        <v>#DIV/0!</v>
      </c>
      <c r="AC276" s="285"/>
      <c r="AD276" s="284"/>
      <c r="AE276" s="282" t="e">
        <f t="shared" si="109"/>
        <v>#DIV/0!</v>
      </c>
      <c r="AF276" s="284"/>
      <c r="AG276" s="284"/>
      <c r="AH276" s="86" t="e">
        <f t="shared" si="110"/>
        <v>#DIV/0!</v>
      </c>
      <c r="AI276" s="284"/>
      <c r="AJ276" s="284"/>
      <c r="AK276" s="282" t="e">
        <f t="shared" si="111"/>
        <v>#DIV/0!</v>
      </c>
      <c r="AL276" s="286" t="e">
        <f t="shared" si="96"/>
        <v>#DIV/0!</v>
      </c>
      <c r="AM276" s="286" t="e">
        <f t="shared" si="112"/>
        <v>#DIV/0!</v>
      </c>
      <c r="AN276" s="282" t="e">
        <f t="shared" si="113"/>
        <v>#DIV/0!</v>
      </c>
      <c r="AO276" s="86"/>
    </row>
    <row r="277" spans="1:41" s="96" customFormat="1" ht="15.75" customHeight="1" x14ac:dyDescent="0.3">
      <c r="A277" s="279"/>
      <c r="B277" s="279"/>
      <c r="C277" s="280"/>
      <c r="D277" s="297" t="s">
        <v>274</v>
      </c>
      <c r="E277" s="281">
        <v>0</v>
      </c>
      <c r="F277" s="281">
        <v>2494</v>
      </c>
      <c r="G277" s="282">
        <f t="shared" si="97"/>
        <v>-1</v>
      </c>
      <c r="H277" s="281">
        <v>0</v>
      </c>
      <c r="I277" s="283">
        <v>27071.14</v>
      </c>
      <c r="J277" s="282">
        <f t="shared" si="98"/>
        <v>-1</v>
      </c>
      <c r="K277" s="281">
        <f t="shared" si="92"/>
        <v>0</v>
      </c>
      <c r="L277" s="281">
        <f t="shared" si="99"/>
        <v>29372.186899999997</v>
      </c>
      <c r="M277" s="282">
        <f t="shared" si="100"/>
        <v>-1</v>
      </c>
      <c r="N277" s="283" t="e">
        <f t="shared" si="93"/>
        <v>#DIV/0!</v>
      </c>
      <c r="O277" s="283">
        <f t="shared" si="101"/>
        <v>9.2127631123033613E-2</v>
      </c>
      <c r="P277" s="282" t="e">
        <f t="shared" si="102"/>
        <v>#DIV/0!</v>
      </c>
      <c r="Q277" s="283" t="e">
        <f t="shared" si="94"/>
        <v>#DIV/0!</v>
      </c>
      <c r="R277" s="283">
        <f t="shared" si="103"/>
        <v>8.4910259099570159E-2</v>
      </c>
      <c r="S277" s="282" t="e">
        <f t="shared" si="104"/>
        <v>#DIV/0!</v>
      </c>
      <c r="T277" s="284">
        <v>14</v>
      </c>
      <c r="U277" s="284">
        <v>31013</v>
      </c>
      <c r="V277" s="282">
        <f t="shared" si="105"/>
        <v>-0.99954857640344374</v>
      </c>
      <c r="W277" s="284">
        <v>0</v>
      </c>
      <c r="X277" s="284">
        <v>39</v>
      </c>
      <c r="Y277" s="282">
        <f t="shared" si="106"/>
        <v>-1</v>
      </c>
      <c r="Z277" s="284" t="e">
        <f t="shared" si="95"/>
        <v>#DIV/0!</v>
      </c>
      <c r="AA277" s="284">
        <f t="shared" si="107"/>
        <v>63.948717948717949</v>
      </c>
      <c r="AB277" s="282" t="e">
        <f t="shared" si="108"/>
        <v>#DIV/0!</v>
      </c>
      <c r="AC277" s="285"/>
      <c r="AD277" s="284">
        <v>2405363</v>
      </c>
      <c r="AE277" s="282">
        <f t="shared" si="109"/>
        <v>-1</v>
      </c>
      <c r="AF277" s="284"/>
      <c r="AG277" s="284">
        <v>43266</v>
      </c>
      <c r="AH277" s="86">
        <f t="shared" si="110"/>
        <v>-1</v>
      </c>
      <c r="AI277" s="284"/>
      <c r="AJ277" s="284">
        <v>5232649</v>
      </c>
      <c r="AK277" s="282">
        <f t="shared" si="111"/>
        <v>-1</v>
      </c>
      <c r="AL277" s="286" t="e">
        <f t="shared" si="96"/>
        <v>#DIV/0!</v>
      </c>
      <c r="AM277" s="286">
        <f t="shared" si="112"/>
        <v>8.2684697559496159E-3</v>
      </c>
      <c r="AN277" s="282" t="e">
        <f t="shared" si="113"/>
        <v>#DIV/0!</v>
      </c>
      <c r="AO277" s="86"/>
    </row>
    <row r="278" spans="1:41" s="81" customFormat="1" ht="15.75" customHeight="1" x14ac:dyDescent="0.3">
      <c r="A278" s="49" t="s">
        <v>83</v>
      </c>
      <c r="B278" s="49" t="s">
        <v>86</v>
      </c>
      <c r="C278" s="50">
        <f>C272+7</f>
        <v>43056</v>
      </c>
      <c r="D278" s="50" t="s">
        <v>28</v>
      </c>
      <c r="E278" s="55">
        <f>SUM(E279:E286)</f>
        <v>1349</v>
      </c>
      <c r="F278" s="55">
        <f>SUM(F279:F286)</f>
        <v>2251</v>
      </c>
      <c r="G278" s="52">
        <f t="shared" si="97"/>
        <v>-0.40071079520213237</v>
      </c>
      <c r="H278" s="55">
        <f>SUM(H279:H286)</f>
        <v>3875.89</v>
      </c>
      <c r="I278" s="55">
        <f>SUM(I279:I286)</f>
        <v>19050</v>
      </c>
      <c r="J278" s="52">
        <f t="shared" si="98"/>
        <v>-0.7965412073490814</v>
      </c>
      <c r="K278" s="51">
        <f t="shared" si="92"/>
        <v>4205.3406500000001</v>
      </c>
      <c r="L278" s="51">
        <f t="shared" si="99"/>
        <v>20669.25</v>
      </c>
      <c r="M278" s="52">
        <f t="shared" si="100"/>
        <v>-0.7965412073490814</v>
      </c>
      <c r="N278" s="53">
        <f t="shared" si="93"/>
        <v>0.34804909324052025</v>
      </c>
      <c r="O278" s="53">
        <f t="shared" si="101"/>
        <v>0.11816272965879265</v>
      </c>
      <c r="P278" s="52">
        <f t="shared" si="102"/>
        <v>1.9455065420843671</v>
      </c>
      <c r="Q278" s="53">
        <f t="shared" si="94"/>
        <v>0.32078257441522601</v>
      </c>
      <c r="R278" s="53">
        <f t="shared" si="103"/>
        <v>0.10890574162100705</v>
      </c>
      <c r="S278" s="52">
        <f t="shared" si="104"/>
        <v>1.9455065420843669</v>
      </c>
      <c r="T278" s="56">
        <f>SUM(T279:T286)</f>
        <v>9823</v>
      </c>
      <c r="U278" s="56">
        <f>SUM(U279:U286)</f>
        <v>35198</v>
      </c>
      <c r="V278" s="52">
        <f t="shared" si="105"/>
        <v>-0.72092164327518604</v>
      </c>
      <c r="W278" s="56">
        <f>SUM(W279:W286)</f>
        <v>13</v>
      </c>
      <c r="X278" s="56">
        <f>SUM(X279:X286)</f>
        <v>26</v>
      </c>
      <c r="Y278" s="52">
        <f t="shared" si="106"/>
        <v>-0.5</v>
      </c>
      <c r="Z278" s="51">
        <f t="shared" si="95"/>
        <v>103.76923076923077</v>
      </c>
      <c r="AA278" s="54">
        <f t="shared" si="107"/>
        <v>86.57692307692308</v>
      </c>
      <c r="AB278" s="52">
        <f t="shared" si="108"/>
        <v>0.19857840959573522</v>
      </c>
      <c r="AC278" s="56">
        <f>SUM(AC279:AC286)</f>
        <v>124080</v>
      </c>
      <c r="AD278" s="56">
        <f>SUM(AD279:AD286)</f>
        <v>1605848</v>
      </c>
      <c r="AE278" s="52">
        <f t="shared" si="109"/>
        <v>-0.92273241303037401</v>
      </c>
      <c r="AF278" s="56">
        <f>SUM(AF279:AF286)</f>
        <v>17960</v>
      </c>
      <c r="AG278" s="56">
        <f>SUM(AG279:AG286)</f>
        <v>0</v>
      </c>
      <c r="AH278" s="67" t="e">
        <f t="shared" si="110"/>
        <v>#DIV/0!</v>
      </c>
      <c r="AI278" s="56">
        <f>SUM(AI279:AI286)</f>
        <v>1883666</v>
      </c>
      <c r="AJ278" s="56">
        <f>SUM(AJ279:AJ286)</f>
        <v>0</v>
      </c>
      <c r="AK278" s="52" t="e">
        <f t="shared" si="111"/>
        <v>#DIV/0!</v>
      </c>
      <c r="AL278" s="82">
        <f t="shared" si="96"/>
        <v>9.5345990212702247E-3</v>
      </c>
      <c r="AM278" s="82" t="e">
        <f t="shared" si="112"/>
        <v>#DIV/0!</v>
      </c>
      <c r="AN278" s="52" t="e">
        <f>(AL278-AM278)/AM278</f>
        <v>#DIV/0!</v>
      </c>
      <c r="AO278" s="144"/>
    </row>
    <row r="279" spans="1:41" s="96" customFormat="1" ht="15.75" customHeight="1" x14ac:dyDescent="0.3">
      <c r="A279" s="279"/>
      <c r="B279" s="279"/>
      <c r="C279" s="280"/>
      <c r="D279" s="440" t="s">
        <v>317</v>
      </c>
      <c r="E279" s="281">
        <v>363</v>
      </c>
      <c r="F279" s="281"/>
      <c r="G279" s="282" t="e">
        <f t="shared" si="97"/>
        <v>#DIV/0!</v>
      </c>
      <c r="H279" s="281">
        <v>3357.04</v>
      </c>
      <c r="I279" s="283"/>
      <c r="J279" s="282" t="e">
        <f t="shared" si="98"/>
        <v>#DIV/0!</v>
      </c>
      <c r="K279" s="281">
        <f t="shared" si="92"/>
        <v>3642.3883999999998</v>
      </c>
      <c r="L279" s="281">
        <f t="shared" si="99"/>
        <v>0</v>
      </c>
      <c r="M279" s="282" t="e">
        <f t="shared" si="100"/>
        <v>#DIV/0!</v>
      </c>
      <c r="N279" s="283">
        <f t="shared" si="93"/>
        <v>0.10813097252341348</v>
      </c>
      <c r="O279" s="283" t="e">
        <f t="shared" si="101"/>
        <v>#DIV/0!</v>
      </c>
      <c r="P279" s="282" t="e">
        <f t="shared" si="102"/>
        <v>#DIV/0!</v>
      </c>
      <c r="Q279" s="283">
        <f t="shared" si="94"/>
        <v>9.9659882510058515E-2</v>
      </c>
      <c r="R279" s="283" t="e">
        <f t="shared" si="103"/>
        <v>#DIV/0!</v>
      </c>
      <c r="S279" s="282" t="e">
        <f t="shared" si="104"/>
        <v>#DIV/0!</v>
      </c>
      <c r="T279" s="284">
        <v>3189</v>
      </c>
      <c r="U279" s="284"/>
      <c r="V279" s="282" t="e">
        <f t="shared" si="105"/>
        <v>#DIV/0!</v>
      </c>
      <c r="W279" s="284">
        <v>3</v>
      </c>
      <c r="X279" s="284"/>
      <c r="Y279" s="282" t="e">
        <f t="shared" si="106"/>
        <v>#DIV/0!</v>
      </c>
      <c r="Z279" s="284">
        <f t="shared" si="95"/>
        <v>121</v>
      </c>
      <c r="AA279" s="284" t="e">
        <f t="shared" si="107"/>
        <v>#DIV/0!</v>
      </c>
      <c r="AB279" s="282" t="e">
        <f t="shared" si="108"/>
        <v>#DIV/0!</v>
      </c>
      <c r="AC279" s="285">
        <v>68281</v>
      </c>
      <c r="AD279" s="284"/>
      <c r="AE279" s="282" t="e">
        <f t="shared" si="109"/>
        <v>#DIV/0!</v>
      </c>
      <c r="AF279" s="284">
        <v>7220</v>
      </c>
      <c r="AG279" s="284"/>
      <c r="AH279" s="86" t="e">
        <f t="shared" si="110"/>
        <v>#DIV/0!</v>
      </c>
      <c r="AI279" s="284">
        <v>205237</v>
      </c>
      <c r="AJ279" s="284"/>
      <c r="AK279" s="282" t="e">
        <f t="shared" si="111"/>
        <v>#DIV/0!</v>
      </c>
      <c r="AL279" s="286">
        <f t="shared" si="96"/>
        <v>3.5178842021662764E-2</v>
      </c>
      <c r="AM279" s="286" t="e">
        <f t="shared" si="112"/>
        <v>#DIV/0!</v>
      </c>
      <c r="AN279" s="282" t="e">
        <f t="shared" si="113"/>
        <v>#DIV/0!</v>
      </c>
      <c r="AO279" s="86"/>
    </row>
    <row r="280" spans="1:41" s="96" customFormat="1" ht="15.75" customHeight="1" x14ac:dyDescent="0.3">
      <c r="A280" s="279"/>
      <c r="B280" s="279"/>
      <c r="C280" s="280"/>
      <c r="D280" s="440" t="s">
        <v>312</v>
      </c>
      <c r="E280" s="281">
        <v>0</v>
      </c>
      <c r="F280" s="281"/>
      <c r="G280" s="282" t="e">
        <f t="shared" si="97"/>
        <v>#DIV/0!</v>
      </c>
      <c r="H280" s="281">
        <v>518.85</v>
      </c>
      <c r="I280" s="283"/>
      <c r="J280" s="282" t="e">
        <f t="shared" si="98"/>
        <v>#DIV/0!</v>
      </c>
      <c r="K280" s="281">
        <f t="shared" si="92"/>
        <v>562.95225000000005</v>
      </c>
      <c r="L280" s="281">
        <f t="shared" si="99"/>
        <v>0</v>
      </c>
      <c r="M280" s="282" t="e">
        <f t="shared" si="100"/>
        <v>#DIV/0!</v>
      </c>
      <c r="N280" s="283">
        <f>E280/H280</f>
        <v>0</v>
      </c>
      <c r="O280" s="283" t="e">
        <f t="shared" si="101"/>
        <v>#DIV/0!</v>
      </c>
      <c r="P280" s="282" t="e">
        <f t="shared" si="102"/>
        <v>#DIV/0!</v>
      </c>
      <c r="Q280" s="283">
        <f t="shared" si="94"/>
        <v>0</v>
      </c>
      <c r="R280" s="283" t="e">
        <f t="shared" si="103"/>
        <v>#DIV/0!</v>
      </c>
      <c r="S280" s="282" t="e">
        <f t="shared" si="104"/>
        <v>#DIV/0!</v>
      </c>
      <c r="T280" s="284">
        <v>384</v>
      </c>
      <c r="U280" s="284"/>
      <c r="V280" s="282" t="e">
        <f t="shared" si="105"/>
        <v>#DIV/0!</v>
      </c>
      <c r="W280" s="284">
        <v>0</v>
      </c>
      <c r="X280" s="284"/>
      <c r="Y280" s="282" t="e">
        <f t="shared" si="106"/>
        <v>#DIV/0!</v>
      </c>
      <c r="Z280" s="284" t="e">
        <f t="shared" si="95"/>
        <v>#DIV/0!</v>
      </c>
      <c r="AA280" s="284" t="e">
        <f t="shared" si="107"/>
        <v>#DIV/0!</v>
      </c>
      <c r="AB280" s="282" t="e">
        <f t="shared" si="108"/>
        <v>#DIV/0!</v>
      </c>
      <c r="AC280" s="285">
        <v>55799</v>
      </c>
      <c r="AD280" s="284"/>
      <c r="AE280" s="282" t="e">
        <f t="shared" si="109"/>
        <v>#DIV/0!</v>
      </c>
      <c r="AF280" s="284">
        <v>993</v>
      </c>
      <c r="AG280" s="284"/>
      <c r="AH280" s="86" t="e">
        <f t="shared" si="110"/>
        <v>#DIV/0!</v>
      </c>
      <c r="AI280" s="284">
        <v>71866</v>
      </c>
      <c r="AJ280" s="284"/>
      <c r="AK280" s="282" t="e">
        <f t="shared" si="111"/>
        <v>#DIV/0!</v>
      </c>
      <c r="AL280" s="286">
        <f t="shared" si="96"/>
        <v>1.3817382350485626E-2</v>
      </c>
      <c r="AM280" s="286" t="e">
        <f t="shared" si="112"/>
        <v>#DIV/0!</v>
      </c>
      <c r="AN280" s="282" t="e">
        <f t="shared" si="113"/>
        <v>#DIV/0!</v>
      </c>
      <c r="AO280" s="86"/>
    </row>
    <row r="281" spans="1:41" s="96" customFormat="1" ht="15.75" customHeight="1" x14ac:dyDescent="0.3">
      <c r="A281" s="279"/>
      <c r="B281" s="279"/>
      <c r="C281" s="280"/>
      <c r="D281" s="440" t="s">
        <v>314</v>
      </c>
      <c r="E281" s="281">
        <v>683</v>
      </c>
      <c r="F281" s="281"/>
      <c r="G281" s="282" t="e">
        <f t="shared" si="97"/>
        <v>#DIV/0!</v>
      </c>
      <c r="H281" s="281"/>
      <c r="I281" s="283"/>
      <c r="J281" s="282" t="e">
        <f t="shared" si="98"/>
        <v>#DIV/0!</v>
      </c>
      <c r="K281" s="281">
        <v>2395.7199999999998</v>
      </c>
      <c r="L281" s="281">
        <f t="shared" si="99"/>
        <v>0</v>
      </c>
      <c r="M281" s="282" t="e">
        <f t="shared" si="100"/>
        <v>#DIV/0!</v>
      </c>
      <c r="N281" s="283">
        <f>E281/K281</f>
        <v>0.28509174694872524</v>
      </c>
      <c r="O281" s="283" t="e">
        <f t="shared" si="101"/>
        <v>#DIV/0!</v>
      </c>
      <c r="P281" s="282" t="e">
        <f t="shared" si="102"/>
        <v>#DIV/0!</v>
      </c>
      <c r="Q281" s="283">
        <f t="shared" si="94"/>
        <v>0.28509174694872524</v>
      </c>
      <c r="R281" s="283" t="e">
        <f t="shared" si="103"/>
        <v>#DIV/0!</v>
      </c>
      <c r="S281" s="282" t="e">
        <f t="shared" si="104"/>
        <v>#DIV/0!</v>
      </c>
      <c r="T281" s="284">
        <v>2806</v>
      </c>
      <c r="U281" s="284"/>
      <c r="V281" s="282" t="e">
        <f t="shared" si="105"/>
        <v>#DIV/0!</v>
      </c>
      <c r="W281" s="284">
        <v>6</v>
      </c>
      <c r="X281" s="284"/>
      <c r="Y281" s="282" t="e">
        <f t="shared" si="106"/>
        <v>#DIV/0!</v>
      </c>
      <c r="Z281" s="284">
        <f t="shared" si="95"/>
        <v>113.83333333333333</v>
      </c>
      <c r="AA281" s="284" t="e">
        <f t="shared" si="107"/>
        <v>#DIV/0!</v>
      </c>
      <c r="AB281" s="282" t="e">
        <f t="shared" si="108"/>
        <v>#DIV/0!</v>
      </c>
      <c r="AC281" s="285"/>
      <c r="AD281" s="284"/>
      <c r="AE281" s="282" t="e">
        <f t="shared" si="109"/>
        <v>#DIV/0!</v>
      </c>
      <c r="AF281" s="284">
        <v>3945</v>
      </c>
      <c r="AG281" s="284"/>
      <c r="AH281" s="86" t="e">
        <f t="shared" si="110"/>
        <v>#DIV/0!</v>
      </c>
      <c r="AI281" s="284">
        <v>146125</v>
      </c>
      <c r="AJ281" s="284"/>
      <c r="AK281" s="282" t="e">
        <f t="shared" si="111"/>
        <v>#DIV/0!</v>
      </c>
      <c r="AL281" s="286">
        <f t="shared" si="96"/>
        <v>2.6997433704020531E-2</v>
      </c>
      <c r="AM281" s="286" t="e">
        <f t="shared" si="112"/>
        <v>#DIV/0!</v>
      </c>
      <c r="AN281" s="282" t="e">
        <f t="shared" si="113"/>
        <v>#DIV/0!</v>
      </c>
      <c r="AO281" s="86"/>
    </row>
    <row r="282" spans="1:41" s="96" customFormat="1" ht="15.75" customHeight="1" x14ac:dyDescent="0.3">
      <c r="A282" s="279"/>
      <c r="B282" s="279"/>
      <c r="C282" s="440"/>
      <c r="D282" s="440" t="s">
        <v>316</v>
      </c>
      <c r="E282" s="281">
        <v>0</v>
      </c>
      <c r="F282" s="281"/>
      <c r="G282" s="282" t="e">
        <f t="shared" si="97"/>
        <v>#DIV/0!</v>
      </c>
      <c r="H282" s="453"/>
      <c r="I282" s="283"/>
      <c r="J282" s="282" t="e">
        <f t="shared" si="98"/>
        <v>#DIV/0!</v>
      </c>
      <c r="K282" s="281">
        <v>331.33</v>
      </c>
      <c r="L282" s="281">
        <f t="shared" si="99"/>
        <v>0</v>
      </c>
      <c r="M282" s="282" t="e">
        <f t="shared" si="100"/>
        <v>#DIV/0!</v>
      </c>
      <c r="N282" s="283">
        <f t="shared" ref="N282:N284" si="114">E282/K282</f>
        <v>0</v>
      </c>
      <c r="O282" s="283" t="e">
        <f t="shared" si="101"/>
        <v>#DIV/0!</v>
      </c>
      <c r="P282" s="282" t="e">
        <f t="shared" si="102"/>
        <v>#DIV/0!</v>
      </c>
      <c r="Q282" s="283">
        <f t="shared" si="94"/>
        <v>0</v>
      </c>
      <c r="R282" s="283" t="e">
        <f t="shared" si="103"/>
        <v>#DIV/0!</v>
      </c>
      <c r="S282" s="452" t="e">
        <f>(Q282-R282)/R282</f>
        <v>#DIV/0!</v>
      </c>
      <c r="T282" s="284">
        <v>359</v>
      </c>
      <c r="U282" s="284"/>
      <c r="V282" s="282" t="e">
        <f t="shared" si="105"/>
        <v>#DIV/0!</v>
      </c>
      <c r="W282" s="284">
        <v>0</v>
      </c>
      <c r="X282" s="284"/>
      <c r="Y282" s="282" t="e">
        <f t="shared" si="106"/>
        <v>#DIV/0!</v>
      </c>
      <c r="Z282" s="284" t="e">
        <f t="shared" si="95"/>
        <v>#DIV/0!</v>
      </c>
      <c r="AA282" s="284" t="e">
        <f t="shared" si="107"/>
        <v>#DIV/0!</v>
      </c>
      <c r="AB282" s="282" t="e">
        <f t="shared" si="108"/>
        <v>#DIV/0!</v>
      </c>
      <c r="AC282" s="285"/>
      <c r="AD282" s="284"/>
      <c r="AE282" s="282" t="e">
        <f t="shared" si="109"/>
        <v>#DIV/0!</v>
      </c>
      <c r="AF282" s="284">
        <v>229</v>
      </c>
      <c r="AG282" s="284"/>
      <c r="AH282" s="86" t="e">
        <f t="shared" si="110"/>
        <v>#DIV/0!</v>
      </c>
      <c r="AI282" s="284">
        <v>28466</v>
      </c>
      <c r="AJ282" s="284"/>
      <c r="AK282" s="282" t="e">
        <f t="shared" si="111"/>
        <v>#DIV/0!</v>
      </c>
      <c r="AL282" s="286">
        <f t="shared" si="96"/>
        <v>8.0446848872338939E-3</v>
      </c>
      <c r="AM282" s="286" t="e">
        <f t="shared" si="112"/>
        <v>#DIV/0!</v>
      </c>
      <c r="AN282" s="282" t="e">
        <f t="shared" si="113"/>
        <v>#DIV/0!</v>
      </c>
      <c r="AO282" s="86"/>
    </row>
    <row r="283" spans="1:41" s="96" customFormat="1" ht="15.75" customHeight="1" x14ac:dyDescent="0.3">
      <c r="A283" s="279"/>
      <c r="B283" s="279"/>
      <c r="C283" s="440"/>
      <c r="D283" s="440" t="s">
        <v>315</v>
      </c>
      <c r="E283" s="281">
        <v>303</v>
      </c>
      <c r="F283" s="281"/>
      <c r="G283" s="282" t="e">
        <f t="shared" si="97"/>
        <v>#DIV/0!</v>
      </c>
      <c r="H283" s="281"/>
      <c r="I283" s="283"/>
      <c r="J283" s="282" t="e">
        <f t="shared" si="98"/>
        <v>#DIV/0!</v>
      </c>
      <c r="K283" s="281">
        <v>5585.72</v>
      </c>
      <c r="L283" s="281"/>
      <c r="M283" s="282" t="e">
        <f t="shared" si="100"/>
        <v>#DIV/0!</v>
      </c>
      <c r="N283" s="283">
        <f t="shared" si="114"/>
        <v>5.4245468802589458E-2</v>
      </c>
      <c r="O283" s="283" t="e">
        <f t="shared" ref="O283:O285" si="115">F283/I283</f>
        <v>#DIV/0!</v>
      </c>
      <c r="P283" s="282" t="e">
        <f t="shared" ref="P283:P285" si="116">(N283-O283)/O283</f>
        <v>#DIV/0!</v>
      </c>
      <c r="Q283" s="283">
        <f t="shared" ref="Q283:Q285" si="117">E283/K283</f>
        <v>5.4245468802589458E-2</v>
      </c>
      <c r="R283" s="283" t="e">
        <f t="shared" ref="R283" si="118">F283/L283</f>
        <v>#DIV/0!</v>
      </c>
      <c r="S283" s="452" t="e">
        <f>(Q283-R283)/R283</f>
        <v>#DIV/0!</v>
      </c>
      <c r="T283" s="284">
        <v>2826</v>
      </c>
      <c r="U283" s="284"/>
      <c r="V283" s="282" t="e">
        <f t="shared" si="105"/>
        <v>#DIV/0!</v>
      </c>
      <c r="W283" s="284">
        <v>4</v>
      </c>
      <c r="X283" s="284"/>
      <c r="Y283" s="282" t="e">
        <f t="shared" si="106"/>
        <v>#DIV/0!</v>
      </c>
      <c r="Z283" s="284">
        <f t="shared" ref="Z283" si="119">E283/W283</f>
        <v>75.75</v>
      </c>
      <c r="AA283" s="284" t="e">
        <f t="shared" ref="AA283" si="120">F283/X283</f>
        <v>#DIV/0!</v>
      </c>
      <c r="AB283" s="282" t="e">
        <f t="shared" si="108"/>
        <v>#DIV/0!</v>
      </c>
      <c r="AC283" s="285"/>
      <c r="AD283" s="284"/>
      <c r="AE283" s="282" t="e">
        <f t="shared" si="109"/>
        <v>#DIV/0!</v>
      </c>
      <c r="AF283" s="284">
        <v>5148</v>
      </c>
      <c r="AG283" s="284"/>
      <c r="AH283" s="86" t="e">
        <f t="shared" si="110"/>
        <v>#DIV/0!</v>
      </c>
      <c r="AI283" s="284">
        <v>1057094</v>
      </c>
      <c r="AJ283" s="284"/>
      <c r="AK283" s="282" t="e">
        <f t="shared" si="111"/>
        <v>#DIV/0!</v>
      </c>
      <c r="AL283" s="286">
        <f t="shared" si="96"/>
        <v>4.8699548006137577E-3</v>
      </c>
      <c r="AM283" s="286" t="e">
        <f t="shared" ref="AM283:AM286" si="121">AG283/AJ283</f>
        <v>#DIV/0!</v>
      </c>
      <c r="AN283" s="282" t="e">
        <f t="shared" ref="AN283:AN286" si="122">(AL283-AM283)/AM283</f>
        <v>#DIV/0!</v>
      </c>
      <c r="AO283" s="86"/>
    </row>
    <row r="284" spans="1:41" s="96" customFormat="1" ht="15.75" customHeight="1" x14ac:dyDescent="0.3">
      <c r="A284" s="279"/>
      <c r="B284" s="279"/>
      <c r="C284" s="280"/>
      <c r="D284" s="440" t="s">
        <v>311</v>
      </c>
      <c r="E284" s="281">
        <v>0</v>
      </c>
      <c r="F284" s="281"/>
      <c r="G284" s="282" t="e">
        <f t="shared" si="97"/>
        <v>#DIV/0!</v>
      </c>
      <c r="H284" s="281"/>
      <c r="I284" s="283"/>
      <c r="J284" s="282" t="e">
        <f t="shared" si="98"/>
        <v>#DIV/0!</v>
      </c>
      <c r="K284" s="281">
        <v>1491.25</v>
      </c>
      <c r="L284" s="281"/>
      <c r="M284" s="282" t="e">
        <f t="shared" si="100"/>
        <v>#DIV/0!</v>
      </c>
      <c r="N284" s="283">
        <f t="shared" si="114"/>
        <v>0</v>
      </c>
      <c r="O284" s="283" t="e">
        <f t="shared" si="115"/>
        <v>#DIV/0!</v>
      </c>
      <c r="P284" s="282" t="e">
        <f t="shared" si="116"/>
        <v>#DIV/0!</v>
      </c>
      <c r="Q284" s="283">
        <f t="shared" si="117"/>
        <v>0</v>
      </c>
      <c r="R284" s="283" t="e">
        <f t="shared" ref="R284:R285" si="123">F284/L284</f>
        <v>#DIV/0!</v>
      </c>
      <c r="S284" s="452" t="e">
        <f t="shared" ref="S284:S285" si="124">(Q284-R284)/R284</f>
        <v>#DIV/0!</v>
      </c>
      <c r="T284" s="284">
        <v>78</v>
      </c>
      <c r="U284" s="284"/>
      <c r="V284" s="282" t="e">
        <f t="shared" si="105"/>
        <v>#DIV/0!</v>
      </c>
      <c r="W284" s="284">
        <v>0</v>
      </c>
      <c r="X284" s="284"/>
      <c r="Y284" s="282" t="e">
        <f t="shared" si="106"/>
        <v>#DIV/0!</v>
      </c>
      <c r="Z284" s="284" t="e">
        <f t="shared" ref="Z284:Z286" si="125">E284/W284</f>
        <v>#DIV/0!</v>
      </c>
      <c r="AA284" s="284" t="e">
        <f t="shared" ref="AA284:AA286" si="126">F284/X284</f>
        <v>#DIV/0!</v>
      </c>
      <c r="AB284" s="282" t="e">
        <f t="shared" ref="AB284:AB286" si="127">(Z284-AA284)/AA284</f>
        <v>#DIV/0!</v>
      </c>
      <c r="AC284" s="285"/>
      <c r="AD284" s="284"/>
      <c r="AE284" s="282" t="e">
        <f t="shared" si="109"/>
        <v>#DIV/0!</v>
      </c>
      <c r="AF284" s="284">
        <v>425</v>
      </c>
      <c r="AG284" s="284"/>
      <c r="AH284" s="86" t="e">
        <f t="shared" si="110"/>
        <v>#DIV/0!</v>
      </c>
      <c r="AI284" s="284">
        <v>374878</v>
      </c>
      <c r="AJ284" s="284"/>
      <c r="AK284" s="282" t="e">
        <f t="shared" ref="AK284:AK285" si="128">(AI284-AJ284)/AJ284</f>
        <v>#DIV/0!</v>
      </c>
      <c r="AL284" s="286">
        <f t="shared" ref="AL284:AL285" si="129">AF284/AI284</f>
        <v>1.1337021644374969E-3</v>
      </c>
      <c r="AM284" s="286" t="e">
        <f t="shared" ref="AM284:AM285" si="130">AG284/AJ284</f>
        <v>#DIV/0!</v>
      </c>
      <c r="AN284" s="282" t="e">
        <f t="shared" ref="AN284:AN285" si="131">(AL284-AM284)/AM284</f>
        <v>#DIV/0!</v>
      </c>
      <c r="AO284" s="86"/>
    </row>
    <row r="285" spans="1:41" s="96" customFormat="1" ht="15.75" customHeight="1" x14ac:dyDescent="0.3">
      <c r="A285" s="279"/>
      <c r="B285" s="279"/>
      <c r="C285" s="280"/>
      <c r="D285" s="440"/>
      <c r="E285" s="281"/>
      <c r="F285" s="281"/>
      <c r="G285" s="282" t="e">
        <f t="shared" si="97"/>
        <v>#DIV/0!</v>
      </c>
      <c r="H285" s="281"/>
      <c r="I285" s="283"/>
      <c r="J285" s="282" t="e">
        <f t="shared" si="98"/>
        <v>#DIV/0!</v>
      </c>
      <c r="K285" s="453"/>
      <c r="L285" s="281"/>
      <c r="M285" s="282" t="e">
        <f t="shared" si="100"/>
        <v>#DIV/0!</v>
      </c>
      <c r="N285" s="283"/>
      <c r="O285" s="283" t="e">
        <f t="shared" si="115"/>
        <v>#DIV/0!</v>
      </c>
      <c r="P285" s="282" t="e">
        <f t="shared" si="116"/>
        <v>#DIV/0!</v>
      </c>
      <c r="Q285" s="283" t="e">
        <f t="shared" si="117"/>
        <v>#DIV/0!</v>
      </c>
      <c r="R285" s="283" t="e">
        <f t="shared" si="123"/>
        <v>#DIV/0!</v>
      </c>
      <c r="S285" s="452" t="e">
        <f t="shared" si="124"/>
        <v>#DIV/0!</v>
      </c>
      <c r="T285" s="284"/>
      <c r="U285" s="284"/>
      <c r="V285" s="282" t="e">
        <f t="shared" si="105"/>
        <v>#DIV/0!</v>
      </c>
      <c r="W285" s="284"/>
      <c r="X285" s="284"/>
      <c r="Y285" s="282"/>
      <c r="Z285" s="284" t="e">
        <f t="shared" si="125"/>
        <v>#DIV/0!</v>
      </c>
      <c r="AA285" s="284" t="e">
        <f t="shared" si="126"/>
        <v>#DIV/0!</v>
      </c>
      <c r="AB285" s="282" t="e">
        <f t="shared" si="127"/>
        <v>#DIV/0!</v>
      </c>
      <c r="AC285" s="285"/>
      <c r="AD285" s="284"/>
      <c r="AE285" s="282" t="e">
        <f t="shared" si="109"/>
        <v>#DIV/0!</v>
      </c>
      <c r="AF285" s="284"/>
      <c r="AG285" s="284"/>
      <c r="AH285" s="86" t="e">
        <f t="shared" si="110"/>
        <v>#DIV/0!</v>
      </c>
      <c r="AI285" s="284"/>
      <c r="AJ285" s="284"/>
      <c r="AK285" s="282" t="e">
        <f t="shared" si="128"/>
        <v>#DIV/0!</v>
      </c>
      <c r="AL285" s="286" t="e">
        <f t="shared" si="129"/>
        <v>#DIV/0!</v>
      </c>
      <c r="AM285" s="286" t="e">
        <f t="shared" si="130"/>
        <v>#DIV/0!</v>
      </c>
      <c r="AN285" s="282" t="e">
        <f t="shared" si="131"/>
        <v>#DIV/0!</v>
      </c>
      <c r="AO285" s="86"/>
    </row>
    <row r="286" spans="1:41" s="96" customFormat="1" ht="15.75" customHeight="1" x14ac:dyDescent="0.3">
      <c r="A286" s="279"/>
      <c r="B286" s="279"/>
      <c r="C286" s="280"/>
      <c r="D286" s="297" t="s">
        <v>274</v>
      </c>
      <c r="E286" s="281">
        <v>0</v>
      </c>
      <c r="F286" s="281">
        <v>2251</v>
      </c>
      <c r="G286" s="282">
        <f t="shared" si="97"/>
        <v>-1</v>
      </c>
      <c r="H286" s="281">
        <v>0</v>
      </c>
      <c r="I286" s="283">
        <v>19050</v>
      </c>
      <c r="J286" s="282">
        <f t="shared" si="98"/>
        <v>-1</v>
      </c>
      <c r="K286" s="281">
        <f t="shared" si="92"/>
        <v>0</v>
      </c>
      <c r="L286" s="281">
        <f t="shared" si="99"/>
        <v>20669.25</v>
      </c>
      <c r="M286" s="282">
        <f t="shared" si="100"/>
        <v>-1</v>
      </c>
      <c r="N286" s="283" t="e">
        <f t="shared" si="93"/>
        <v>#DIV/0!</v>
      </c>
      <c r="O286" s="283">
        <f t="shared" si="101"/>
        <v>0.11816272965879265</v>
      </c>
      <c r="P286" s="282" t="e">
        <f t="shared" si="102"/>
        <v>#DIV/0!</v>
      </c>
      <c r="Q286" s="283" t="e">
        <f t="shared" si="94"/>
        <v>#DIV/0!</v>
      </c>
      <c r="R286" s="283">
        <f t="shared" si="103"/>
        <v>0.10890574162100705</v>
      </c>
      <c r="S286" s="282" t="e">
        <f t="shared" si="104"/>
        <v>#DIV/0!</v>
      </c>
      <c r="T286" s="284">
        <v>181</v>
      </c>
      <c r="U286" s="284">
        <v>35198</v>
      </c>
      <c r="V286" s="282">
        <f t="shared" si="105"/>
        <v>-0.99485766236717998</v>
      </c>
      <c r="W286" s="284">
        <v>0</v>
      </c>
      <c r="X286" s="284">
        <v>26</v>
      </c>
      <c r="Y286" s="282">
        <f t="shared" si="106"/>
        <v>-1</v>
      </c>
      <c r="Z286" s="284" t="e">
        <f t="shared" si="125"/>
        <v>#DIV/0!</v>
      </c>
      <c r="AA286" s="284">
        <f t="shared" si="126"/>
        <v>86.57692307692308</v>
      </c>
      <c r="AB286" s="282" t="e">
        <f t="shared" si="127"/>
        <v>#DIV/0!</v>
      </c>
      <c r="AC286" s="285"/>
      <c r="AD286" s="284">
        <v>1605848</v>
      </c>
      <c r="AE286" s="282">
        <f t="shared" si="109"/>
        <v>-1</v>
      </c>
      <c r="AF286" s="284"/>
      <c r="AG286" s="284"/>
      <c r="AH286" s="86" t="e">
        <f t="shared" si="110"/>
        <v>#DIV/0!</v>
      </c>
      <c r="AI286" s="284"/>
      <c r="AJ286" s="284"/>
      <c r="AK286" s="282" t="e">
        <f t="shared" si="111"/>
        <v>#DIV/0!</v>
      </c>
      <c r="AL286" s="286" t="e">
        <f t="shared" si="96"/>
        <v>#DIV/0!</v>
      </c>
      <c r="AM286" s="286" t="e">
        <f t="shared" si="121"/>
        <v>#DIV/0!</v>
      </c>
      <c r="AN286" s="282" t="e">
        <f t="shared" si="122"/>
        <v>#DIV/0!</v>
      </c>
      <c r="AO286" s="86"/>
    </row>
    <row r="287" spans="1:41" s="81" customFormat="1" ht="15.75" customHeight="1" x14ac:dyDescent="0.3">
      <c r="A287" s="49" t="s">
        <v>83</v>
      </c>
      <c r="B287" s="49" t="s">
        <v>87</v>
      </c>
      <c r="C287" s="50">
        <f>C278+7</f>
        <v>43063</v>
      </c>
      <c r="D287" s="50" t="s">
        <v>28</v>
      </c>
      <c r="E287" s="55">
        <f>SUM(E288:E298)</f>
        <v>1899</v>
      </c>
      <c r="F287" s="55">
        <f>SUM(F288:F298)</f>
        <v>3766</v>
      </c>
      <c r="G287" s="52">
        <f t="shared" si="97"/>
        <v>-0.4957514604354753</v>
      </c>
      <c r="H287" s="55">
        <f>SUM(H288:H298)</f>
        <v>8646.91</v>
      </c>
      <c r="I287" s="55">
        <f>SUM(I288:I298)</f>
        <v>30792</v>
      </c>
      <c r="J287" s="52">
        <f t="shared" si="98"/>
        <v>-0.71918322941023638</v>
      </c>
      <c r="K287" s="51">
        <f t="shared" si="92"/>
        <v>9381.8973499999993</v>
      </c>
      <c r="L287" s="51">
        <f t="shared" si="99"/>
        <v>33409.32</v>
      </c>
      <c r="M287" s="52">
        <f t="shared" si="100"/>
        <v>-0.71918322941023649</v>
      </c>
      <c r="N287" s="53">
        <f t="shared" si="93"/>
        <v>0.21961602468396224</v>
      </c>
      <c r="O287" s="53">
        <f t="shared" si="101"/>
        <v>0.12230449467394128</v>
      </c>
      <c r="P287" s="52">
        <f t="shared" si="102"/>
        <v>0.79564966332144604</v>
      </c>
      <c r="Q287" s="53">
        <f t="shared" si="94"/>
        <v>0.20241108265802973</v>
      </c>
      <c r="R287" s="53">
        <f t="shared" si="103"/>
        <v>0.11272303656584449</v>
      </c>
      <c r="S287" s="52">
        <f t="shared" si="104"/>
        <v>0.79564966332144615</v>
      </c>
      <c r="T287" s="56">
        <f>SUM(T288:T298)</f>
        <v>12660</v>
      </c>
      <c r="U287" s="56">
        <f>SUM(U288:U298)</f>
        <v>21268</v>
      </c>
      <c r="V287" s="52">
        <f t="shared" si="105"/>
        <v>-0.40473951476396464</v>
      </c>
      <c r="W287" s="56">
        <f>SUM(W288:W298)</f>
        <v>18</v>
      </c>
      <c r="X287" s="56">
        <f>SUM(X288:X298)</f>
        <v>30</v>
      </c>
      <c r="Y287" s="52">
        <f t="shared" si="106"/>
        <v>-0.4</v>
      </c>
      <c r="Z287" s="51">
        <f t="shared" si="95"/>
        <v>105.5</v>
      </c>
      <c r="AA287" s="54">
        <f t="shared" si="107"/>
        <v>125.53333333333333</v>
      </c>
      <c r="AB287" s="52">
        <f t="shared" si="108"/>
        <v>-0.15958576739245883</v>
      </c>
      <c r="AC287" s="56">
        <f>SUM(AC288:AC298)</f>
        <v>246404</v>
      </c>
      <c r="AD287" s="56">
        <f>SUM(AD288:AD298)</f>
        <v>1304573</v>
      </c>
      <c r="AE287" s="52">
        <f t="shared" si="109"/>
        <v>-0.81112287315466436</v>
      </c>
      <c r="AF287" s="56">
        <f>SUM(AF288:AF298)</f>
        <v>21645</v>
      </c>
      <c r="AG287" s="56">
        <f>SUM(AG288:AG298)</f>
        <v>27604</v>
      </c>
      <c r="AH287" s="67">
        <f t="shared" si="110"/>
        <v>-0.21587451094044341</v>
      </c>
      <c r="AI287" s="56">
        <f>SUM(AI288:AI298)</f>
        <v>810226</v>
      </c>
      <c r="AJ287" s="56">
        <f>SUM(AJ288:AJ298)</f>
        <v>2695863</v>
      </c>
      <c r="AK287" s="52">
        <f t="shared" si="111"/>
        <v>-0.69945579578784234</v>
      </c>
      <c r="AL287" s="82">
        <f t="shared" si="96"/>
        <v>2.6714768472006576E-2</v>
      </c>
      <c r="AM287" s="82">
        <f t="shared" si="112"/>
        <v>1.0239392728784808E-2</v>
      </c>
      <c r="AN287" s="52">
        <f>(AL287-AM287)/AM287</f>
        <v>1.609018833402734</v>
      </c>
      <c r="AO287" s="68"/>
    </row>
    <row r="288" spans="1:41" s="96" customFormat="1" ht="15.75" customHeight="1" x14ac:dyDescent="0.3">
      <c r="A288" s="279"/>
      <c r="B288" s="279"/>
      <c r="C288" s="280"/>
      <c r="D288" s="440" t="s">
        <v>320</v>
      </c>
      <c r="E288" s="281">
        <v>274</v>
      </c>
      <c r="F288" s="281"/>
      <c r="G288" s="282" t="e">
        <f t="shared" si="97"/>
        <v>#DIV/0!</v>
      </c>
      <c r="H288" s="281">
        <v>4259.25</v>
      </c>
      <c r="I288" s="283"/>
      <c r="J288" s="282" t="e">
        <f t="shared" si="98"/>
        <v>#DIV/0!</v>
      </c>
      <c r="K288" s="281">
        <f t="shared" si="92"/>
        <v>4621.2862500000001</v>
      </c>
      <c r="L288" s="281">
        <f t="shared" si="99"/>
        <v>0</v>
      </c>
      <c r="M288" s="282" t="e">
        <f t="shared" si="100"/>
        <v>#DIV/0!</v>
      </c>
      <c r="N288" s="283">
        <f t="shared" si="93"/>
        <v>6.4330574631683984E-2</v>
      </c>
      <c r="O288" s="283" t="e">
        <f t="shared" si="101"/>
        <v>#DIV/0!</v>
      </c>
      <c r="P288" s="282" t="e">
        <f t="shared" si="102"/>
        <v>#DIV/0!</v>
      </c>
      <c r="Q288" s="283">
        <f t="shared" si="94"/>
        <v>5.9290852195100441E-2</v>
      </c>
      <c r="R288" s="283" t="e">
        <f t="shared" si="103"/>
        <v>#DIV/0!</v>
      </c>
      <c r="S288" s="282" t="e">
        <f t="shared" si="104"/>
        <v>#DIV/0!</v>
      </c>
      <c r="T288" s="284">
        <v>2360</v>
      </c>
      <c r="U288" s="284"/>
      <c r="V288" s="282" t="e">
        <f t="shared" si="105"/>
        <v>#DIV/0!</v>
      </c>
      <c r="W288" s="284">
        <v>3</v>
      </c>
      <c r="X288" s="284"/>
      <c r="Y288" s="282" t="e">
        <f t="shared" si="106"/>
        <v>#DIV/0!</v>
      </c>
      <c r="Z288" s="284">
        <f t="shared" si="95"/>
        <v>91.333333333333329</v>
      </c>
      <c r="AA288" s="284" t="e">
        <f t="shared" si="107"/>
        <v>#DIV/0!</v>
      </c>
      <c r="AB288" s="282" t="e">
        <f t="shared" si="108"/>
        <v>#DIV/0!</v>
      </c>
      <c r="AC288" s="285">
        <v>97594</v>
      </c>
      <c r="AD288" s="284"/>
      <c r="AE288" s="282" t="e">
        <f t="shared" si="109"/>
        <v>#DIV/0!</v>
      </c>
      <c r="AF288" s="284">
        <v>4243</v>
      </c>
      <c r="AG288" s="284"/>
      <c r="AH288" s="86" t="e">
        <f t="shared" si="110"/>
        <v>#DIV/0!</v>
      </c>
      <c r="AI288" s="284">
        <v>151449</v>
      </c>
      <c r="AJ288" s="284"/>
      <c r="AK288" s="282" t="e">
        <f t="shared" si="111"/>
        <v>#DIV/0!</v>
      </c>
      <c r="AL288" s="286">
        <f t="shared" si="96"/>
        <v>2.8016031799483653E-2</v>
      </c>
      <c r="AM288" s="286" t="e">
        <f t="shared" si="112"/>
        <v>#DIV/0!</v>
      </c>
      <c r="AN288" s="282" t="e">
        <f t="shared" si="113"/>
        <v>#DIV/0!</v>
      </c>
      <c r="AO288" s="86"/>
    </row>
    <row r="289" spans="1:41" s="96" customFormat="1" ht="15.75" customHeight="1" x14ac:dyDescent="0.3">
      <c r="A289" s="279"/>
      <c r="B289" s="279"/>
      <c r="C289" s="280"/>
      <c r="D289" s="440" t="s">
        <v>317</v>
      </c>
      <c r="E289" s="281">
        <v>0</v>
      </c>
      <c r="F289" s="281"/>
      <c r="G289" s="282" t="e">
        <f t="shared" si="97"/>
        <v>#DIV/0!</v>
      </c>
      <c r="H289" s="281">
        <v>826.08</v>
      </c>
      <c r="I289" s="283"/>
      <c r="J289" s="282" t="e">
        <f t="shared" si="98"/>
        <v>#DIV/0!</v>
      </c>
      <c r="K289" s="281">
        <f t="shared" si="92"/>
        <v>896.29679999999996</v>
      </c>
      <c r="L289" s="281">
        <f t="shared" si="99"/>
        <v>0</v>
      </c>
      <c r="M289" s="282" t="e">
        <f t="shared" si="100"/>
        <v>#DIV/0!</v>
      </c>
      <c r="N289" s="283">
        <f t="shared" si="93"/>
        <v>0</v>
      </c>
      <c r="O289" s="283" t="e">
        <f t="shared" si="101"/>
        <v>#DIV/0!</v>
      </c>
      <c r="P289" s="282" t="e">
        <f t="shared" si="102"/>
        <v>#DIV/0!</v>
      </c>
      <c r="Q289" s="283">
        <f t="shared" si="94"/>
        <v>0</v>
      </c>
      <c r="R289" s="283" t="e">
        <f t="shared" si="103"/>
        <v>#DIV/0!</v>
      </c>
      <c r="S289" s="282" t="e">
        <f t="shared" si="104"/>
        <v>#DIV/0!</v>
      </c>
      <c r="T289" s="284">
        <v>554</v>
      </c>
      <c r="U289" s="284"/>
      <c r="V289" s="282" t="e">
        <f t="shared" si="105"/>
        <v>#DIV/0!</v>
      </c>
      <c r="W289" s="284">
        <v>0</v>
      </c>
      <c r="X289" s="284"/>
      <c r="Y289" s="282" t="e">
        <f t="shared" si="106"/>
        <v>#DIV/0!</v>
      </c>
      <c r="Z289" s="284" t="e">
        <f t="shared" si="95"/>
        <v>#DIV/0!</v>
      </c>
      <c r="AA289" s="284" t="e">
        <f t="shared" si="107"/>
        <v>#DIV/0!</v>
      </c>
      <c r="AB289" s="282" t="e">
        <f t="shared" si="108"/>
        <v>#DIV/0!</v>
      </c>
      <c r="AC289" s="285">
        <v>33286</v>
      </c>
      <c r="AD289" s="284"/>
      <c r="AE289" s="282" t="e">
        <f t="shared" si="109"/>
        <v>#DIV/0!</v>
      </c>
      <c r="AF289" s="284">
        <v>1328</v>
      </c>
      <c r="AG289" s="284"/>
      <c r="AH289" s="86" t="e">
        <f t="shared" si="110"/>
        <v>#DIV/0!</v>
      </c>
      <c r="AI289" s="284">
        <v>46333</v>
      </c>
      <c r="AJ289" s="284"/>
      <c r="AK289" s="282" t="e">
        <f t="shared" si="111"/>
        <v>#DIV/0!</v>
      </c>
      <c r="AL289" s="286">
        <f t="shared" si="96"/>
        <v>2.8662076705587809E-2</v>
      </c>
      <c r="AM289" s="286" t="e">
        <f t="shared" si="112"/>
        <v>#DIV/0!</v>
      </c>
      <c r="AN289" s="282" t="e">
        <f t="shared" si="113"/>
        <v>#DIV/0!</v>
      </c>
      <c r="AO289" s="86"/>
    </row>
    <row r="290" spans="1:41" s="96" customFormat="1" ht="15.75" customHeight="1" x14ac:dyDescent="0.3">
      <c r="A290" s="279"/>
      <c r="B290" s="279"/>
      <c r="C290" s="280"/>
      <c r="D290" s="440" t="s">
        <v>318</v>
      </c>
      <c r="E290" s="281">
        <v>529</v>
      </c>
      <c r="F290" s="281"/>
      <c r="G290" s="282" t="e">
        <f t="shared" si="97"/>
        <v>#DIV/0!</v>
      </c>
      <c r="H290" s="281">
        <v>3148.77</v>
      </c>
      <c r="I290" s="283"/>
      <c r="J290" s="282" t="e">
        <f t="shared" si="98"/>
        <v>#DIV/0!</v>
      </c>
      <c r="K290" s="281">
        <f t="shared" si="92"/>
        <v>3416.41545</v>
      </c>
      <c r="L290" s="281">
        <f t="shared" si="99"/>
        <v>0</v>
      </c>
      <c r="M290" s="282" t="e">
        <f t="shared" si="100"/>
        <v>#DIV/0!</v>
      </c>
      <c r="N290" s="283">
        <f t="shared" si="93"/>
        <v>0.16800210875992849</v>
      </c>
      <c r="O290" s="283" t="e">
        <f t="shared" si="101"/>
        <v>#DIV/0!</v>
      </c>
      <c r="P290" s="282" t="e">
        <f t="shared" si="102"/>
        <v>#DIV/0!</v>
      </c>
      <c r="Q290" s="283">
        <f t="shared" si="94"/>
        <v>0.15484065323495713</v>
      </c>
      <c r="R290" s="283" t="e">
        <f t="shared" si="103"/>
        <v>#DIV/0!</v>
      </c>
      <c r="S290" s="282" t="e">
        <f t="shared" si="104"/>
        <v>#DIV/0!</v>
      </c>
      <c r="T290" s="284">
        <v>1643</v>
      </c>
      <c r="U290" s="284"/>
      <c r="V290" s="282" t="e">
        <f t="shared" si="105"/>
        <v>#DIV/0!</v>
      </c>
      <c r="W290" s="284">
        <v>4</v>
      </c>
      <c r="X290" s="284"/>
      <c r="Y290" s="282" t="e">
        <f t="shared" si="106"/>
        <v>#DIV/0!</v>
      </c>
      <c r="Z290" s="284">
        <f t="shared" si="95"/>
        <v>132.25</v>
      </c>
      <c r="AA290" s="284" t="e">
        <f t="shared" si="107"/>
        <v>#DIV/0!</v>
      </c>
      <c r="AB290" s="282" t="e">
        <f t="shared" si="108"/>
        <v>#DIV/0!</v>
      </c>
      <c r="AC290" s="285">
        <v>72473</v>
      </c>
      <c r="AD290" s="284"/>
      <c r="AE290" s="282" t="e">
        <f t="shared" si="109"/>
        <v>#DIV/0!</v>
      </c>
      <c r="AF290" s="284">
        <v>3747</v>
      </c>
      <c r="AG290" s="284"/>
      <c r="AH290" s="86" t="e">
        <f t="shared" si="110"/>
        <v>#DIV/0!</v>
      </c>
      <c r="AI290" s="284">
        <v>151778</v>
      </c>
      <c r="AJ290" s="284"/>
      <c r="AK290" s="282" t="e">
        <f t="shared" si="111"/>
        <v>#DIV/0!</v>
      </c>
      <c r="AL290" s="286">
        <f t="shared" si="96"/>
        <v>2.4687372346453372E-2</v>
      </c>
      <c r="AM290" s="286" t="e">
        <f t="shared" si="112"/>
        <v>#DIV/0!</v>
      </c>
      <c r="AN290" s="282" t="e">
        <f t="shared" si="113"/>
        <v>#DIV/0!</v>
      </c>
      <c r="AO290" s="86"/>
    </row>
    <row r="291" spans="1:41" s="96" customFormat="1" ht="15.75" customHeight="1" x14ac:dyDescent="0.3">
      <c r="A291" s="279"/>
      <c r="B291" s="279"/>
      <c r="C291" s="280"/>
      <c r="D291" s="440" t="s">
        <v>325</v>
      </c>
      <c r="E291" s="281">
        <v>20</v>
      </c>
      <c r="F291" s="281"/>
      <c r="G291" s="282" t="e">
        <f t="shared" si="97"/>
        <v>#DIV/0!</v>
      </c>
      <c r="H291" s="281">
        <v>412.81</v>
      </c>
      <c r="I291" s="283"/>
      <c r="J291" s="282" t="e">
        <f t="shared" si="98"/>
        <v>#DIV/0!</v>
      </c>
      <c r="K291" s="281">
        <f t="shared" si="92"/>
        <v>447.89884999999998</v>
      </c>
      <c r="L291" s="281">
        <f t="shared" si="99"/>
        <v>0</v>
      </c>
      <c r="M291" s="282" t="e">
        <f t="shared" si="100"/>
        <v>#DIV/0!</v>
      </c>
      <c r="N291" s="283">
        <f t="shared" si="93"/>
        <v>4.8448438749061309E-2</v>
      </c>
      <c r="O291" s="283" t="e">
        <f t="shared" si="101"/>
        <v>#DIV/0!</v>
      </c>
      <c r="P291" s="282" t="e">
        <f t="shared" si="102"/>
        <v>#DIV/0!</v>
      </c>
      <c r="Q291" s="283">
        <f t="shared" si="94"/>
        <v>4.4652938939227019E-2</v>
      </c>
      <c r="R291" s="283" t="e">
        <f t="shared" si="103"/>
        <v>#DIV/0!</v>
      </c>
      <c r="S291" s="282" t="e">
        <f t="shared" si="104"/>
        <v>#DIV/0!</v>
      </c>
      <c r="T291" s="284">
        <v>1472</v>
      </c>
      <c r="U291" s="284"/>
      <c r="V291" s="282" t="e">
        <f t="shared" si="105"/>
        <v>#DIV/0!</v>
      </c>
      <c r="W291" s="284">
        <v>1</v>
      </c>
      <c r="X291" s="284"/>
      <c r="Y291" s="282" t="e">
        <f t="shared" si="106"/>
        <v>#DIV/0!</v>
      </c>
      <c r="Z291" s="284">
        <f t="shared" si="95"/>
        <v>20</v>
      </c>
      <c r="AA291" s="284" t="e">
        <f t="shared" si="107"/>
        <v>#DIV/0!</v>
      </c>
      <c r="AB291" s="282" t="e">
        <f t="shared" si="108"/>
        <v>#DIV/0!</v>
      </c>
      <c r="AC291" s="285">
        <v>43051</v>
      </c>
      <c r="AD291" s="284"/>
      <c r="AE291" s="282" t="e">
        <f t="shared" si="109"/>
        <v>#DIV/0!</v>
      </c>
      <c r="AF291" s="284">
        <v>2728</v>
      </c>
      <c r="AG291" s="284"/>
      <c r="AH291" s="86" t="e">
        <f t="shared" si="110"/>
        <v>#DIV/0!</v>
      </c>
      <c r="AI291" s="284">
        <v>75107</v>
      </c>
      <c r="AJ291" s="284"/>
      <c r="AK291" s="282" t="e">
        <f t="shared" si="111"/>
        <v>#DIV/0!</v>
      </c>
      <c r="AL291" s="286">
        <f t="shared" si="96"/>
        <v>3.6321514639114864E-2</v>
      </c>
      <c r="AM291" s="286" t="e">
        <f t="shared" si="112"/>
        <v>#DIV/0!</v>
      </c>
      <c r="AN291" s="282" t="e">
        <f t="shared" si="113"/>
        <v>#DIV/0!</v>
      </c>
      <c r="AO291" s="86"/>
    </row>
    <row r="292" spans="1:41" s="96" customFormat="1" ht="15.75" customHeight="1" x14ac:dyDescent="0.3">
      <c r="A292" s="279"/>
      <c r="B292" s="279"/>
      <c r="C292" s="280"/>
      <c r="D292" s="440" t="s">
        <v>316</v>
      </c>
      <c r="E292" s="281">
        <v>95</v>
      </c>
      <c r="F292" s="281"/>
      <c r="G292" s="282" t="e">
        <f t="shared" si="97"/>
        <v>#DIV/0!</v>
      </c>
      <c r="H292" s="281"/>
      <c r="I292" s="283"/>
      <c r="J292" s="282" t="e">
        <f t="shared" si="98"/>
        <v>#DIV/0!</v>
      </c>
      <c r="K292" s="281">
        <v>182.43</v>
      </c>
      <c r="L292" s="281"/>
      <c r="M292" s="282" t="e">
        <f t="shared" si="100"/>
        <v>#DIV/0!</v>
      </c>
      <c r="N292" s="283" t="e">
        <f t="shared" si="93"/>
        <v>#DIV/0!</v>
      </c>
      <c r="O292" s="283" t="e">
        <f t="shared" si="101"/>
        <v>#DIV/0!</v>
      </c>
      <c r="P292" s="282" t="e">
        <f t="shared" si="102"/>
        <v>#DIV/0!</v>
      </c>
      <c r="Q292" s="283">
        <f t="shared" si="94"/>
        <v>0.5207476840431946</v>
      </c>
      <c r="R292" s="283"/>
      <c r="S292" s="282" t="e">
        <f t="shared" si="104"/>
        <v>#DIV/0!</v>
      </c>
      <c r="T292" s="284">
        <v>176</v>
      </c>
      <c r="U292" s="284"/>
      <c r="V292" s="282" t="e">
        <f t="shared" si="105"/>
        <v>#DIV/0!</v>
      </c>
      <c r="W292" s="284">
        <v>1</v>
      </c>
      <c r="X292" s="284"/>
      <c r="Y292" s="282" t="e">
        <f t="shared" si="106"/>
        <v>#DIV/0!</v>
      </c>
      <c r="Z292" s="284">
        <f t="shared" si="95"/>
        <v>95</v>
      </c>
      <c r="AA292" s="284"/>
      <c r="AB292" s="282" t="e">
        <f t="shared" si="108"/>
        <v>#DIV/0!</v>
      </c>
      <c r="AC292" s="285"/>
      <c r="AD292" s="284"/>
      <c r="AE292" s="282" t="e">
        <f t="shared" si="109"/>
        <v>#DIV/0!</v>
      </c>
      <c r="AF292" s="284">
        <v>106</v>
      </c>
      <c r="AG292" s="284"/>
      <c r="AH292" s="86" t="e">
        <f t="shared" si="110"/>
        <v>#DIV/0!</v>
      </c>
      <c r="AI292" s="284">
        <v>11128</v>
      </c>
      <c r="AJ292" s="284"/>
      <c r="AK292" s="282" t="e">
        <f t="shared" si="111"/>
        <v>#DIV/0!</v>
      </c>
      <c r="AL292" s="286">
        <f t="shared" si="96"/>
        <v>9.5255212077641985E-3</v>
      </c>
      <c r="AM292" s="286"/>
      <c r="AN292" s="282" t="e">
        <f t="shared" si="113"/>
        <v>#DIV/0!</v>
      </c>
      <c r="AO292" s="86"/>
    </row>
    <row r="293" spans="1:41" s="96" customFormat="1" ht="15.75" customHeight="1" x14ac:dyDescent="0.3">
      <c r="A293" s="279"/>
      <c r="B293" s="279"/>
      <c r="C293" s="280"/>
      <c r="D293" s="440" t="s">
        <v>319</v>
      </c>
      <c r="E293" s="281">
        <v>621</v>
      </c>
      <c r="F293" s="281"/>
      <c r="G293" s="282" t="e">
        <f t="shared" si="97"/>
        <v>#DIV/0!</v>
      </c>
      <c r="I293" s="283"/>
      <c r="J293" s="282" t="e">
        <f t="shared" si="98"/>
        <v>#DIV/0!</v>
      </c>
      <c r="K293" s="454">
        <v>3196.47</v>
      </c>
      <c r="L293" s="281"/>
      <c r="M293" s="282" t="e">
        <f t="shared" si="100"/>
        <v>#DIV/0!</v>
      </c>
      <c r="N293" s="283" t="e">
        <f t="shared" si="93"/>
        <v>#DIV/0!</v>
      </c>
      <c r="O293" s="283" t="e">
        <f t="shared" si="101"/>
        <v>#DIV/0!</v>
      </c>
      <c r="P293" s="282" t="e">
        <f t="shared" si="102"/>
        <v>#DIV/0!</v>
      </c>
      <c r="Q293" s="283">
        <f t="shared" si="94"/>
        <v>0.19427681160780488</v>
      </c>
      <c r="R293" s="283"/>
      <c r="S293" s="282" t="e">
        <f t="shared" si="104"/>
        <v>#DIV/0!</v>
      </c>
      <c r="T293" s="284">
        <v>2531</v>
      </c>
      <c r="U293" s="284"/>
      <c r="V293" s="282" t="e">
        <f t="shared" si="105"/>
        <v>#DIV/0!</v>
      </c>
      <c r="W293" s="284">
        <v>5</v>
      </c>
      <c r="X293" s="284"/>
      <c r="Y293" s="282" t="e">
        <f t="shared" si="106"/>
        <v>#DIV/0!</v>
      </c>
      <c r="Z293" s="284">
        <f t="shared" si="95"/>
        <v>124.2</v>
      </c>
      <c r="AA293" s="284"/>
      <c r="AB293" s="282" t="e">
        <f t="shared" si="108"/>
        <v>#DIV/0!</v>
      </c>
      <c r="AC293" s="285"/>
      <c r="AD293" s="284"/>
      <c r="AE293" s="282" t="e">
        <f t="shared" si="109"/>
        <v>#DIV/0!</v>
      </c>
      <c r="AF293" s="284">
        <v>3679</v>
      </c>
      <c r="AG293" s="284"/>
      <c r="AH293" s="86" t="e">
        <f t="shared" si="110"/>
        <v>#DIV/0!</v>
      </c>
      <c r="AI293" s="284">
        <v>127797</v>
      </c>
      <c r="AJ293" s="284"/>
      <c r="AK293" s="282" t="e">
        <f t="shared" si="111"/>
        <v>#DIV/0!</v>
      </c>
      <c r="AL293" s="286">
        <f t="shared" si="96"/>
        <v>2.8787843220106888E-2</v>
      </c>
      <c r="AM293" s="286"/>
      <c r="AN293" s="282" t="e">
        <f t="shared" si="113"/>
        <v>#DIV/0!</v>
      </c>
      <c r="AO293" s="86"/>
    </row>
    <row r="294" spans="1:41" s="96" customFormat="1" ht="15.75" customHeight="1" x14ac:dyDescent="0.3">
      <c r="A294" s="279"/>
      <c r="B294" s="279"/>
      <c r="C294" s="280"/>
      <c r="D294" s="440" t="s">
        <v>322</v>
      </c>
      <c r="E294" s="281">
        <v>0</v>
      </c>
      <c r="F294" s="281"/>
      <c r="G294" s="282" t="e">
        <f t="shared" si="97"/>
        <v>#DIV/0!</v>
      </c>
      <c r="I294" s="283"/>
      <c r="J294" s="282" t="e">
        <f t="shared" si="98"/>
        <v>#DIV/0!</v>
      </c>
      <c r="K294" s="281">
        <v>791.05</v>
      </c>
      <c r="L294" s="281"/>
      <c r="M294" s="282" t="e">
        <f t="shared" si="100"/>
        <v>#DIV/0!</v>
      </c>
      <c r="N294" s="283" t="e">
        <f t="shared" si="93"/>
        <v>#DIV/0!</v>
      </c>
      <c r="O294" s="283" t="e">
        <f t="shared" si="101"/>
        <v>#DIV/0!</v>
      </c>
      <c r="P294" s="282" t="e">
        <f t="shared" si="102"/>
        <v>#DIV/0!</v>
      </c>
      <c r="Q294" s="283">
        <f t="shared" si="94"/>
        <v>0</v>
      </c>
      <c r="R294" s="283"/>
      <c r="S294" s="282" t="e">
        <f t="shared" si="104"/>
        <v>#DIV/0!</v>
      </c>
      <c r="T294" s="284"/>
      <c r="U294" s="284"/>
      <c r="V294" s="282" t="e">
        <f t="shared" si="105"/>
        <v>#DIV/0!</v>
      </c>
      <c r="W294" s="284"/>
      <c r="X294" s="284"/>
      <c r="Y294" s="282" t="e">
        <f t="shared" si="106"/>
        <v>#DIV/0!</v>
      </c>
      <c r="Z294" s="284" t="e">
        <f t="shared" si="95"/>
        <v>#DIV/0!</v>
      </c>
      <c r="AA294" s="284"/>
      <c r="AB294" s="282" t="e">
        <f t="shared" si="108"/>
        <v>#DIV/0!</v>
      </c>
      <c r="AC294" s="285"/>
      <c r="AD294" s="284"/>
      <c r="AE294" s="282" t="e">
        <f t="shared" si="109"/>
        <v>#DIV/0!</v>
      </c>
      <c r="AF294" s="284">
        <v>711</v>
      </c>
      <c r="AG294" s="284"/>
      <c r="AH294" s="86" t="e">
        <f t="shared" si="110"/>
        <v>#DIV/0!</v>
      </c>
      <c r="AI294" s="284">
        <v>51380</v>
      </c>
      <c r="AJ294" s="284"/>
      <c r="AK294" s="282" t="e">
        <f t="shared" si="111"/>
        <v>#DIV/0!</v>
      </c>
      <c r="AL294" s="286">
        <f t="shared" si="96"/>
        <v>1.3838069287660569E-2</v>
      </c>
      <c r="AM294" s="286"/>
      <c r="AN294" s="282" t="e">
        <f t="shared" si="113"/>
        <v>#DIV/0!</v>
      </c>
      <c r="AO294" s="86"/>
    </row>
    <row r="295" spans="1:41" s="96" customFormat="1" ht="15.75" customHeight="1" x14ac:dyDescent="0.3">
      <c r="A295" s="279"/>
      <c r="B295" s="279"/>
      <c r="C295" s="280"/>
      <c r="D295" s="440" t="s">
        <v>321</v>
      </c>
      <c r="E295" s="281">
        <v>80</v>
      </c>
      <c r="F295" s="281"/>
      <c r="G295" s="282" t="e">
        <f t="shared" si="97"/>
        <v>#DIV/0!</v>
      </c>
      <c r="I295" s="283"/>
      <c r="J295" s="282" t="e">
        <f>(K295-I295)/I295</f>
        <v>#DIV/0!</v>
      </c>
      <c r="K295" s="281">
        <v>3987.19</v>
      </c>
      <c r="L295" s="281"/>
      <c r="M295" s="282" t="e">
        <f>(#REF!-L295)/L295</f>
        <v>#REF!</v>
      </c>
      <c r="N295" s="283" t="e">
        <f t="shared" si="93"/>
        <v>#DIV/0!</v>
      </c>
      <c r="O295" s="283" t="e">
        <f t="shared" si="101"/>
        <v>#DIV/0!</v>
      </c>
      <c r="P295" s="282" t="e">
        <f t="shared" si="102"/>
        <v>#DIV/0!</v>
      </c>
      <c r="Q295" s="283">
        <f t="shared" si="94"/>
        <v>2.0064255779132671E-2</v>
      </c>
      <c r="R295" s="283"/>
      <c r="S295" s="282" t="e">
        <f t="shared" si="104"/>
        <v>#DIV/0!</v>
      </c>
      <c r="T295" s="284">
        <v>3176</v>
      </c>
      <c r="U295" s="284"/>
      <c r="V295" s="282" t="e">
        <f t="shared" si="105"/>
        <v>#DIV/0!</v>
      </c>
      <c r="W295" s="284">
        <v>1</v>
      </c>
      <c r="X295" s="284"/>
      <c r="Y295" s="282" t="e">
        <f t="shared" si="106"/>
        <v>#DIV/0!</v>
      </c>
      <c r="Z295" s="284">
        <f t="shared" si="95"/>
        <v>80</v>
      </c>
      <c r="AA295" s="284"/>
      <c r="AB295" s="282" t="e">
        <f t="shared" si="108"/>
        <v>#DIV/0!</v>
      </c>
      <c r="AC295" s="285"/>
      <c r="AD295" s="284"/>
      <c r="AE295" s="282" t="e">
        <f t="shared" si="109"/>
        <v>#DIV/0!</v>
      </c>
      <c r="AF295" s="284">
        <v>3867</v>
      </c>
      <c r="AG295" s="284"/>
      <c r="AH295" s="86" t="e">
        <f t="shared" si="110"/>
        <v>#DIV/0!</v>
      </c>
      <c r="AI295" s="284">
        <v>107138</v>
      </c>
      <c r="AJ295" s="284"/>
      <c r="AK295" s="282" t="e">
        <f t="shared" si="111"/>
        <v>#DIV/0!</v>
      </c>
      <c r="AL295" s="286">
        <f t="shared" si="96"/>
        <v>3.6093636244843103E-2</v>
      </c>
      <c r="AM295" s="286"/>
      <c r="AN295" s="282" t="e">
        <f t="shared" si="113"/>
        <v>#DIV/0!</v>
      </c>
      <c r="AO295" s="86"/>
    </row>
    <row r="296" spans="1:41" s="96" customFormat="1" ht="15.75" customHeight="1" x14ac:dyDescent="0.3">
      <c r="A296" s="279"/>
      <c r="B296" s="279"/>
      <c r="C296" s="280"/>
      <c r="D296" s="440" t="s">
        <v>323</v>
      </c>
      <c r="E296" s="281">
        <v>0</v>
      </c>
      <c r="F296" s="281"/>
      <c r="G296" s="282" t="e">
        <f t="shared" si="97"/>
        <v>#DIV/0!</v>
      </c>
      <c r="H296" s="281"/>
      <c r="I296" s="283"/>
      <c r="J296" s="282" t="e">
        <f>(K296-I296)/I296</f>
        <v>#DIV/0!</v>
      </c>
      <c r="K296" s="281">
        <v>885.81</v>
      </c>
      <c r="L296" s="281"/>
      <c r="M296" s="282"/>
      <c r="N296" s="283" t="e">
        <f t="shared" si="93"/>
        <v>#DIV/0!</v>
      </c>
      <c r="O296" s="283"/>
      <c r="P296" s="282"/>
      <c r="Q296" s="283">
        <f t="shared" si="94"/>
        <v>0</v>
      </c>
      <c r="R296" s="283"/>
      <c r="S296" s="282"/>
      <c r="T296" s="284"/>
      <c r="U296" s="284"/>
      <c r="V296" s="282"/>
      <c r="W296" s="284"/>
      <c r="X296" s="284"/>
      <c r="Y296" s="282"/>
      <c r="Z296" s="284" t="e">
        <f t="shared" si="95"/>
        <v>#DIV/0!</v>
      </c>
      <c r="AA296" s="284"/>
      <c r="AB296" s="282"/>
      <c r="AC296" s="285"/>
      <c r="AD296" s="284"/>
      <c r="AE296" s="282"/>
      <c r="AF296" s="284">
        <v>307</v>
      </c>
      <c r="AG296" s="284"/>
      <c r="AH296" s="86" t="e">
        <f t="shared" si="110"/>
        <v>#DIV/0!</v>
      </c>
      <c r="AI296" s="284">
        <v>45779</v>
      </c>
      <c r="AJ296" s="284"/>
      <c r="AK296" s="282"/>
      <c r="AL296" s="286">
        <f t="shared" si="96"/>
        <v>6.7061316324078723E-3</v>
      </c>
      <c r="AM296" s="286"/>
      <c r="AN296" s="282"/>
      <c r="AO296" s="86"/>
    </row>
    <row r="297" spans="1:41" s="96" customFormat="1" ht="15.75" customHeight="1" x14ac:dyDescent="0.3">
      <c r="A297" s="279"/>
      <c r="B297" s="279"/>
      <c r="C297" s="280"/>
      <c r="D297" s="440" t="s">
        <v>324</v>
      </c>
      <c r="E297" s="281">
        <v>195</v>
      </c>
      <c r="F297" s="281"/>
      <c r="G297" s="282"/>
      <c r="H297" s="281"/>
      <c r="I297" s="283"/>
      <c r="J297" s="282"/>
      <c r="K297" s="281">
        <v>374.57</v>
      </c>
      <c r="L297" s="281"/>
      <c r="M297" s="282"/>
      <c r="N297" s="283"/>
      <c r="O297" s="283"/>
      <c r="P297" s="282"/>
      <c r="Q297" s="283">
        <f t="shared" si="94"/>
        <v>0.52059695117067573</v>
      </c>
      <c r="R297" s="283"/>
      <c r="S297" s="282"/>
      <c r="T297" s="284">
        <v>660</v>
      </c>
      <c r="U297" s="284"/>
      <c r="V297" s="282"/>
      <c r="W297" s="284">
        <v>2</v>
      </c>
      <c r="X297" s="284"/>
      <c r="Y297" s="282"/>
      <c r="Z297" s="284">
        <f t="shared" si="95"/>
        <v>97.5</v>
      </c>
      <c r="AA297" s="284"/>
      <c r="AB297" s="282"/>
      <c r="AC297" s="285"/>
      <c r="AD297" s="284"/>
      <c r="AE297" s="282"/>
      <c r="AF297" s="284">
        <v>929</v>
      </c>
      <c r="AG297" s="284"/>
      <c r="AH297" s="86" t="e">
        <f t="shared" si="110"/>
        <v>#DIV/0!</v>
      </c>
      <c r="AI297" s="284">
        <v>42337</v>
      </c>
      <c r="AJ297" s="284"/>
      <c r="AK297" s="282"/>
      <c r="AL297" s="286">
        <f t="shared" si="96"/>
        <v>2.1942981316578878E-2</v>
      </c>
      <c r="AM297" s="286"/>
      <c r="AN297" s="282"/>
      <c r="AO297" s="86"/>
    </row>
    <row r="298" spans="1:41" s="357" customFormat="1" ht="15.75" customHeight="1" x14ac:dyDescent="0.3">
      <c r="A298" s="347"/>
      <c r="B298" s="347"/>
      <c r="C298" s="348"/>
      <c r="D298" s="349" t="s">
        <v>274</v>
      </c>
      <c r="E298" s="350">
        <v>85</v>
      </c>
      <c r="F298" s="350">
        <v>3766</v>
      </c>
      <c r="G298" s="351">
        <f t="shared" si="97"/>
        <v>-0.97742963356346257</v>
      </c>
      <c r="H298" s="350"/>
      <c r="I298" s="352">
        <v>30792</v>
      </c>
      <c r="J298" s="351">
        <f t="shared" si="98"/>
        <v>-1</v>
      </c>
      <c r="K298" s="350">
        <f t="shared" si="92"/>
        <v>0</v>
      </c>
      <c r="L298" s="350">
        <f t="shared" si="99"/>
        <v>33409.32</v>
      </c>
      <c r="M298" s="351">
        <f t="shared" si="100"/>
        <v>-1</v>
      </c>
      <c r="N298" s="283" t="e">
        <f t="shared" ref="N298" si="132">E298/K298</f>
        <v>#DIV/0!</v>
      </c>
      <c r="O298" s="352">
        <f t="shared" si="101"/>
        <v>0.12230449467394128</v>
      </c>
      <c r="P298" s="351" t="e">
        <f t="shared" si="102"/>
        <v>#DIV/0!</v>
      </c>
      <c r="Q298" s="352" t="e">
        <f t="shared" si="94"/>
        <v>#DIV/0!</v>
      </c>
      <c r="R298" s="352">
        <f t="shared" si="103"/>
        <v>0.11272303656584449</v>
      </c>
      <c r="S298" s="351" t="e">
        <f t="shared" si="104"/>
        <v>#DIV/0!</v>
      </c>
      <c r="T298" s="353">
        <v>88</v>
      </c>
      <c r="U298" s="353">
        <v>21268</v>
      </c>
      <c r="V298" s="351">
        <f t="shared" si="105"/>
        <v>-0.9958623283806658</v>
      </c>
      <c r="W298" s="353">
        <v>1</v>
      </c>
      <c r="X298" s="353">
        <v>30</v>
      </c>
      <c r="Y298" s="351">
        <f t="shared" si="106"/>
        <v>-0.96666666666666667</v>
      </c>
      <c r="Z298" s="353">
        <f t="shared" si="95"/>
        <v>85</v>
      </c>
      <c r="AA298" s="353">
        <f t="shared" si="107"/>
        <v>125.53333333333333</v>
      </c>
      <c r="AB298" s="351">
        <f t="shared" si="108"/>
        <v>-0.32288900690387679</v>
      </c>
      <c r="AC298" s="354"/>
      <c r="AD298" s="353">
        <v>1304573</v>
      </c>
      <c r="AE298" s="351">
        <f t="shared" si="109"/>
        <v>-1</v>
      </c>
      <c r="AF298" s="353"/>
      <c r="AG298" s="353">
        <v>27604</v>
      </c>
      <c r="AH298" s="355">
        <f t="shared" si="110"/>
        <v>-1</v>
      </c>
      <c r="AI298" s="353"/>
      <c r="AJ298" s="353">
        <v>2695863</v>
      </c>
      <c r="AK298" s="351">
        <f t="shared" si="111"/>
        <v>-1</v>
      </c>
      <c r="AL298" s="356" t="e">
        <f t="shared" si="96"/>
        <v>#DIV/0!</v>
      </c>
      <c r="AM298" s="356">
        <f t="shared" si="112"/>
        <v>1.0239392728784808E-2</v>
      </c>
      <c r="AN298" s="351" t="e">
        <f t="shared" si="113"/>
        <v>#DIV/0!</v>
      </c>
      <c r="AO298" s="355"/>
    </row>
    <row r="299" spans="1:41" s="81" customFormat="1" ht="15.75" customHeight="1" x14ac:dyDescent="0.3">
      <c r="A299" s="49" t="s">
        <v>88</v>
      </c>
      <c r="B299" s="49" t="s">
        <v>89</v>
      </c>
      <c r="C299" s="50">
        <f>C287+7</f>
        <v>43070</v>
      </c>
      <c r="D299" s="50" t="s">
        <v>28</v>
      </c>
      <c r="E299" s="55">
        <f>SUM(E300:E304)</f>
        <v>0</v>
      </c>
      <c r="F299" s="55">
        <f>SUM(F300:F304)</f>
        <v>19</v>
      </c>
      <c r="G299" s="52">
        <f t="shared" si="97"/>
        <v>-1</v>
      </c>
      <c r="H299" s="55">
        <f>SUM(H300:H304)</f>
        <v>0</v>
      </c>
      <c r="I299" s="55">
        <f>SUM(I300:I304)</f>
        <v>0</v>
      </c>
      <c r="J299" s="52" t="e">
        <f t="shared" si="98"/>
        <v>#DIV/0!</v>
      </c>
      <c r="K299" s="51">
        <f t="shared" si="92"/>
        <v>0</v>
      </c>
      <c r="L299" s="51">
        <f t="shared" si="99"/>
        <v>0</v>
      </c>
      <c r="M299" s="52" t="e">
        <f t="shared" si="100"/>
        <v>#DIV/0!</v>
      </c>
      <c r="N299" s="53" t="e">
        <f t="shared" si="93"/>
        <v>#DIV/0!</v>
      </c>
      <c r="O299" s="53" t="e">
        <f t="shared" si="101"/>
        <v>#DIV/0!</v>
      </c>
      <c r="P299" s="52" t="e">
        <f t="shared" si="102"/>
        <v>#DIV/0!</v>
      </c>
      <c r="Q299" s="53" t="e">
        <f t="shared" si="94"/>
        <v>#DIV/0!</v>
      </c>
      <c r="R299" s="53" t="e">
        <f t="shared" si="103"/>
        <v>#DIV/0!</v>
      </c>
      <c r="S299" s="52" t="e">
        <f t="shared" si="104"/>
        <v>#DIV/0!</v>
      </c>
      <c r="T299" s="56">
        <f>SUM(T300:T304)</f>
        <v>0</v>
      </c>
      <c r="U299" s="56">
        <f>SUM(U300:U304)</f>
        <v>13</v>
      </c>
      <c r="V299" s="52">
        <f t="shared" si="105"/>
        <v>-1</v>
      </c>
      <c r="W299" s="56">
        <f>SUM(W300:W304)</f>
        <v>0</v>
      </c>
      <c r="X299" s="56">
        <f>SUM(X300:X304)</f>
        <v>1</v>
      </c>
      <c r="Y299" s="52">
        <f t="shared" si="106"/>
        <v>-1</v>
      </c>
      <c r="Z299" s="51" t="e">
        <f t="shared" si="95"/>
        <v>#DIV/0!</v>
      </c>
      <c r="AA299" s="54">
        <f t="shared" si="107"/>
        <v>19</v>
      </c>
      <c r="AB299" s="52" t="e">
        <f t="shared" si="108"/>
        <v>#DIV/0!</v>
      </c>
      <c r="AC299" s="56">
        <f>SUM(AC300:AC304)</f>
        <v>0</v>
      </c>
      <c r="AD299" s="56">
        <f>SUM(AD300:AD304)</f>
        <v>0</v>
      </c>
      <c r="AE299" s="52" t="e">
        <f t="shared" si="109"/>
        <v>#DIV/0!</v>
      </c>
      <c r="AF299" s="56">
        <f>SUM(AF300:AF304)</f>
        <v>0</v>
      </c>
      <c r="AG299" s="56">
        <f>SUM(AG300:AG304)</f>
        <v>0</v>
      </c>
      <c r="AH299" s="67" t="e">
        <f t="shared" si="110"/>
        <v>#DIV/0!</v>
      </c>
      <c r="AI299" s="56">
        <f>SUM(AI300:AI304)</f>
        <v>0</v>
      </c>
      <c r="AJ299" s="56">
        <f>SUM(AJ300:AJ304)</f>
        <v>0</v>
      </c>
      <c r="AK299" s="52" t="e">
        <f t="shared" si="111"/>
        <v>#DIV/0!</v>
      </c>
      <c r="AL299" s="82" t="e">
        <f t="shared" si="96"/>
        <v>#DIV/0!</v>
      </c>
      <c r="AM299" s="82" t="e">
        <f t="shared" si="112"/>
        <v>#DIV/0!</v>
      </c>
      <c r="AN299" s="52" t="e">
        <f>(AL299-AM299)/AM299</f>
        <v>#DIV/0!</v>
      </c>
      <c r="AO299" s="68"/>
    </row>
    <row r="300" spans="1:41" s="96" customFormat="1" ht="15.75" customHeight="1" x14ac:dyDescent="0.3">
      <c r="A300" s="279"/>
      <c r="B300" s="279"/>
      <c r="C300" s="280"/>
      <c r="D300" s="280"/>
      <c r="E300" s="281"/>
      <c r="F300" s="281"/>
      <c r="G300" s="282" t="e">
        <f t="shared" si="97"/>
        <v>#DIV/0!</v>
      </c>
      <c r="H300" s="281"/>
      <c r="I300" s="283"/>
      <c r="J300" s="282" t="e">
        <f t="shared" si="98"/>
        <v>#DIV/0!</v>
      </c>
      <c r="K300" s="281">
        <f t="shared" si="92"/>
        <v>0</v>
      </c>
      <c r="L300" s="281">
        <f t="shared" si="99"/>
        <v>0</v>
      </c>
      <c r="M300" s="282" t="e">
        <f t="shared" si="100"/>
        <v>#DIV/0!</v>
      </c>
      <c r="N300" s="283" t="e">
        <f t="shared" si="93"/>
        <v>#DIV/0!</v>
      </c>
      <c r="O300" s="283" t="e">
        <f t="shared" si="101"/>
        <v>#DIV/0!</v>
      </c>
      <c r="P300" s="282" t="e">
        <f t="shared" si="102"/>
        <v>#DIV/0!</v>
      </c>
      <c r="Q300" s="283" t="e">
        <f t="shared" si="94"/>
        <v>#DIV/0!</v>
      </c>
      <c r="R300" s="283" t="e">
        <f t="shared" si="103"/>
        <v>#DIV/0!</v>
      </c>
      <c r="S300" s="282" t="e">
        <f t="shared" si="104"/>
        <v>#DIV/0!</v>
      </c>
      <c r="T300" s="284"/>
      <c r="U300" s="284"/>
      <c r="V300" s="282" t="e">
        <f t="shared" si="105"/>
        <v>#DIV/0!</v>
      </c>
      <c r="W300" s="284"/>
      <c r="X300" s="284"/>
      <c r="Y300" s="282" t="e">
        <f t="shared" si="106"/>
        <v>#DIV/0!</v>
      </c>
      <c r="Z300" s="284" t="e">
        <f t="shared" si="95"/>
        <v>#DIV/0!</v>
      </c>
      <c r="AA300" s="284" t="e">
        <f t="shared" si="107"/>
        <v>#DIV/0!</v>
      </c>
      <c r="AB300" s="282" t="e">
        <f t="shared" si="108"/>
        <v>#DIV/0!</v>
      </c>
      <c r="AC300" s="285"/>
      <c r="AD300" s="284"/>
      <c r="AE300" s="282" t="e">
        <f t="shared" si="109"/>
        <v>#DIV/0!</v>
      </c>
      <c r="AF300" s="284"/>
      <c r="AG300" s="284"/>
      <c r="AH300" s="86" t="e">
        <f t="shared" si="110"/>
        <v>#DIV/0!</v>
      </c>
      <c r="AI300" s="284"/>
      <c r="AJ300" s="284"/>
      <c r="AK300" s="282" t="e">
        <f t="shared" si="111"/>
        <v>#DIV/0!</v>
      </c>
      <c r="AL300" s="286" t="e">
        <f t="shared" si="96"/>
        <v>#DIV/0!</v>
      </c>
      <c r="AM300" s="286" t="e">
        <f t="shared" si="112"/>
        <v>#DIV/0!</v>
      </c>
      <c r="AN300" s="282" t="e">
        <f t="shared" si="113"/>
        <v>#DIV/0!</v>
      </c>
      <c r="AO300" s="86"/>
    </row>
    <row r="301" spans="1:41" s="96" customFormat="1" ht="15.75" customHeight="1" x14ac:dyDescent="0.3">
      <c r="A301" s="279"/>
      <c r="B301" s="279"/>
      <c r="C301" s="280"/>
      <c r="D301" s="280"/>
      <c r="E301" s="281"/>
      <c r="F301" s="281"/>
      <c r="G301" s="282" t="e">
        <f t="shared" si="97"/>
        <v>#DIV/0!</v>
      </c>
      <c r="H301" s="281"/>
      <c r="I301" s="283"/>
      <c r="J301" s="282" t="e">
        <f t="shared" si="98"/>
        <v>#DIV/0!</v>
      </c>
      <c r="K301" s="281">
        <f t="shared" si="92"/>
        <v>0</v>
      </c>
      <c r="L301" s="281">
        <f t="shared" si="99"/>
        <v>0</v>
      </c>
      <c r="M301" s="282" t="e">
        <f t="shared" si="100"/>
        <v>#DIV/0!</v>
      </c>
      <c r="N301" s="283" t="e">
        <f t="shared" si="93"/>
        <v>#DIV/0!</v>
      </c>
      <c r="O301" s="283" t="e">
        <f t="shared" si="101"/>
        <v>#DIV/0!</v>
      </c>
      <c r="P301" s="282" t="e">
        <f t="shared" si="102"/>
        <v>#DIV/0!</v>
      </c>
      <c r="Q301" s="283" t="e">
        <f t="shared" si="94"/>
        <v>#DIV/0!</v>
      </c>
      <c r="R301" s="283" t="e">
        <f t="shared" si="103"/>
        <v>#DIV/0!</v>
      </c>
      <c r="S301" s="282" t="e">
        <f t="shared" si="104"/>
        <v>#DIV/0!</v>
      </c>
      <c r="T301" s="284"/>
      <c r="U301" s="284"/>
      <c r="V301" s="282" t="e">
        <f t="shared" si="105"/>
        <v>#DIV/0!</v>
      </c>
      <c r="W301" s="284"/>
      <c r="X301" s="284"/>
      <c r="Y301" s="282" t="e">
        <f t="shared" si="106"/>
        <v>#DIV/0!</v>
      </c>
      <c r="Z301" s="284" t="e">
        <f t="shared" si="95"/>
        <v>#DIV/0!</v>
      </c>
      <c r="AA301" s="284" t="e">
        <f t="shared" si="107"/>
        <v>#DIV/0!</v>
      </c>
      <c r="AB301" s="282" t="e">
        <f t="shared" si="108"/>
        <v>#DIV/0!</v>
      </c>
      <c r="AC301" s="285"/>
      <c r="AD301" s="284"/>
      <c r="AE301" s="282" t="e">
        <f t="shared" si="109"/>
        <v>#DIV/0!</v>
      </c>
      <c r="AF301" s="284"/>
      <c r="AG301" s="284"/>
      <c r="AH301" s="86" t="e">
        <f t="shared" si="110"/>
        <v>#DIV/0!</v>
      </c>
      <c r="AI301" s="284"/>
      <c r="AJ301" s="284"/>
      <c r="AK301" s="282" t="e">
        <f t="shared" si="111"/>
        <v>#DIV/0!</v>
      </c>
      <c r="AL301" s="286" t="e">
        <f t="shared" si="96"/>
        <v>#DIV/0!</v>
      </c>
      <c r="AM301" s="286" t="e">
        <f t="shared" si="112"/>
        <v>#DIV/0!</v>
      </c>
      <c r="AN301" s="282" t="e">
        <f t="shared" si="113"/>
        <v>#DIV/0!</v>
      </c>
      <c r="AO301" s="86"/>
    </row>
    <row r="302" spans="1:41" s="96" customFormat="1" ht="15.75" customHeight="1" x14ac:dyDescent="0.3">
      <c r="A302" s="279"/>
      <c r="B302" s="279"/>
      <c r="C302" s="280"/>
      <c r="D302" s="280"/>
      <c r="E302" s="281"/>
      <c r="F302" s="281"/>
      <c r="G302" s="282" t="e">
        <f t="shared" si="97"/>
        <v>#DIV/0!</v>
      </c>
      <c r="H302" s="281"/>
      <c r="I302" s="283"/>
      <c r="J302" s="282" t="e">
        <f t="shared" si="98"/>
        <v>#DIV/0!</v>
      </c>
      <c r="K302" s="281">
        <f t="shared" si="92"/>
        <v>0</v>
      </c>
      <c r="L302" s="281">
        <f t="shared" si="99"/>
        <v>0</v>
      </c>
      <c r="M302" s="282" t="e">
        <f t="shared" si="100"/>
        <v>#DIV/0!</v>
      </c>
      <c r="N302" s="283" t="e">
        <f t="shared" si="93"/>
        <v>#DIV/0!</v>
      </c>
      <c r="O302" s="283" t="e">
        <f t="shared" si="101"/>
        <v>#DIV/0!</v>
      </c>
      <c r="P302" s="282" t="e">
        <f t="shared" si="102"/>
        <v>#DIV/0!</v>
      </c>
      <c r="Q302" s="283" t="e">
        <f t="shared" si="94"/>
        <v>#DIV/0!</v>
      </c>
      <c r="R302" s="283" t="e">
        <f t="shared" si="103"/>
        <v>#DIV/0!</v>
      </c>
      <c r="S302" s="282" t="e">
        <f t="shared" si="104"/>
        <v>#DIV/0!</v>
      </c>
      <c r="T302" s="284"/>
      <c r="U302" s="284"/>
      <c r="V302" s="282" t="e">
        <f t="shared" si="105"/>
        <v>#DIV/0!</v>
      </c>
      <c r="W302" s="284"/>
      <c r="X302" s="284"/>
      <c r="Y302" s="282" t="e">
        <f t="shared" si="106"/>
        <v>#DIV/0!</v>
      </c>
      <c r="Z302" s="284" t="e">
        <f t="shared" si="95"/>
        <v>#DIV/0!</v>
      </c>
      <c r="AA302" s="284" t="e">
        <f t="shared" si="107"/>
        <v>#DIV/0!</v>
      </c>
      <c r="AB302" s="282" t="e">
        <f t="shared" si="108"/>
        <v>#DIV/0!</v>
      </c>
      <c r="AC302" s="285"/>
      <c r="AD302" s="284"/>
      <c r="AE302" s="282" t="e">
        <f t="shared" si="109"/>
        <v>#DIV/0!</v>
      </c>
      <c r="AF302" s="284"/>
      <c r="AG302" s="284"/>
      <c r="AH302" s="86" t="e">
        <f t="shared" si="110"/>
        <v>#DIV/0!</v>
      </c>
      <c r="AI302" s="284"/>
      <c r="AJ302" s="284"/>
      <c r="AK302" s="282" t="e">
        <f t="shared" si="111"/>
        <v>#DIV/0!</v>
      </c>
      <c r="AL302" s="286" t="e">
        <f t="shared" si="96"/>
        <v>#DIV/0!</v>
      </c>
      <c r="AM302" s="286" t="e">
        <f t="shared" si="112"/>
        <v>#DIV/0!</v>
      </c>
      <c r="AN302" s="282" t="e">
        <f t="shared" si="113"/>
        <v>#DIV/0!</v>
      </c>
      <c r="AO302" s="86"/>
    </row>
    <row r="303" spans="1:41" s="96" customFormat="1" ht="15.75" customHeight="1" x14ac:dyDescent="0.3">
      <c r="A303" s="279"/>
      <c r="B303" s="279"/>
      <c r="C303" s="280"/>
      <c r="D303" s="280"/>
      <c r="E303" s="281"/>
      <c r="F303" s="281"/>
      <c r="G303" s="282" t="e">
        <f t="shared" si="97"/>
        <v>#DIV/0!</v>
      </c>
      <c r="H303" s="281"/>
      <c r="I303" s="283"/>
      <c r="J303" s="282" t="e">
        <f t="shared" si="98"/>
        <v>#DIV/0!</v>
      </c>
      <c r="K303" s="281">
        <f t="shared" si="92"/>
        <v>0</v>
      </c>
      <c r="L303" s="281">
        <f t="shared" si="99"/>
        <v>0</v>
      </c>
      <c r="M303" s="282" t="e">
        <f t="shared" si="100"/>
        <v>#DIV/0!</v>
      </c>
      <c r="N303" s="283" t="e">
        <f t="shared" si="93"/>
        <v>#DIV/0!</v>
      </c>
      <c r="O303" s="283" t="e">
        <f t="shared" si="101"/>
        <v>#DIV/0!</v>
      </c>
      <c r="P303" s="282" t="e">
        <f t="shared" si="102"/>
        <v>#DIV/0!</v>
      </c>
      <c r="Q303" s="283" t="e">
        <f t="shared" si="94"/>
        <v>#DIV/0!</v>
      </c>
      <c r="R303" s="283" t="e">
        <f t="shared" si="103"/>
        <v>#DIV/0!</v>
      </c>
      <c r="S303" s="282" t="e">
        <f t="shared" si="104"/>
        <v>#DIV/0!</v>
      </c>
      <c r="T303" s="284"/>
      <c r="U303" s="284"/>
      <c r="V303" s="282" t="e">
        <f t="shared" si="105"/>
        <v>#DIV/0!</v>
      </c>
      <c r="W303" s="284"/>
      <c r="X303" s="284"/>
      <c r="Y303" s="282" t="e">
        <f t="shared" si="106"/>
        <v>#DIV/0!</v>
      </c>
      <c r="Z303" s="284" t="e">
        <f t="shared" si="95"/>
        <v>#DIV/0!</v>
      </c>
      <c r="AA303" s="284" t="e">
        <f t="shared" si="107"/>
        <v>#DIV/0!</v>
      </c>
      <c r="AB303" s="282" t="e">
        <f t="shared" si="108"/>
        <v>#DIV/0!</v>
      </c>
      <c r="AC303" s="285"/>
      <c r="AD303" s="284"/>
      <c r="AE303" s="282" t="e">
        <f t="shared" si="109"/>
        <v>#DIV/0!</v>
      </c>
      <c r="AF303" s="284"/>
      <c r="AG303" s="284"/>
      <c r="AH303" s="86" t="e">
        <f t="shared" si="110"/>
        <v>#DIV/0!</v>
      </c>
      <c r="AI303" s="284"/>
      <c r="AJ303" s="284"/>
      <c r="AK303" s="282" t="e">
        <f t="shared" si="111"/>
        <v>#DIV/0!</v>
      </c>
      <c r="AL303" s="286" t="e">
        <f t="shared" si="96"/>
        <v>#DIV/0!</v>
      </c>
      <c r="AM303" s="286" t="e">
        <f t="shared" si="112"/>
        <v>#DIV/0!</v>
      </c>
      <c r="AN303" s="282" t="e">
        <f t="shared" si="113"/>
        <v>#DIV/0!</v>
      </c>
      <c r="AO303" s="86"/>
    </row>
    <row r="304" spans="1:41" s="96" customFormat="1" ht="15.75" customHeight="1" x14ac:dyDescent="0.3">
      <c r="A304" s="279"/>
      <c r="B304" s="279"/>
      <c r="C304" s="280"/>
      <c r="D304" s="297" t="s">
        <v>274</v>
      </c>
      <c r="E304" s="281"/>
      <c r="F304" s="281">
        <v>19</v>
      </c>
      <c r="G304" s="282">
        <f t="shared" si="97"/>
        <v>-1</v>
      </c>
      <c r="H304" s="281"/>
      <c r="I304" s="283">
        <v>0</v>
      </c>
      <c r="J304" s="282" t="e">
        <f t="shared" si="98"/>
        <v>#DIV/0!</v>
      </c>
      <c r="K304" s="281">
        <f t="shared" si="92"/>
        <v>0</v>
      </c>
      <c r="L304" s="281">
        <f t="shared" si="99"/>
        <v>0</v>
      </c>
      <c r="M304" s="282" t="e">
        <f t="shared" si="100"/>
        <v>#DIV/0!</v>
      </c>
      <c r="N304" s="283" t="e">
        <f t="shared" si="93"/>
        <v>#DIV/0!</v>
      </c>
      <c r="O304" s="283" t="e">
        <f t="shared" si="101"/>
        <v>#DIV/0!</v>
      </c>
      <c r="P304" s="282" t="e">
        <f t="shared" si="102"/>
        <v>#DIV/0!</v>
      </c>
      <c r="Q304" s="283" t="e">
        <f t="shared" si="94"/>
        <v>#DIV/0!</v>
      </c>
      <c r="R304" s="283" t="e">
        <f t="shared" si="103"/>
        <v>#DIV/0!</v>
      </c>
      <c r="S304" s="282" t="e">
        <f t="shared" si="104"/>
        <v>#DIV/0!</v>
      </c>
      <c r="T304" s="284"/>
      <c r="U304" s="284">
        <v>13</v>
      </c>
      <c r="V304" s="282">
        <f t="shared" si="105"/>
        <v>-1</v>
      </c>
      <c r="W304" s="284"/>
      <c r="X304" s="284">
        <v>1</v>
      </c>
      <c r="Y304" s="282">
        <f t="shared" si="106"/>
        <v>-1</v>
      </c>
      <c r="Z304" s="284" t="e">
        <f t="shared" si="95"/>
        <v>#DIV/0!</v>
      </c>
      <c r="AA304" s="284">
        <f t="shared" si="107"/>
        <v>19</v>
      </c>
      <c r="AB304" s="282" t="e">
        <f t="shared" si="108"/>
        <v>#DIV/0!</v>
      </c>
      <c r="AC304" s="285"/>
      <c r="AD304" s="284">
        <v>0</v>
      </c>
      <c r="AE304" s="282" t="e">
        <f t="shared" si="109"/>
        <v>#DIV/0!</v>
      </c>
      <c r="AF304" s="284"/>
      <c r="AG304" s="284">
        <v>0</v>
      </c>
      <c r="AH304" s="86" t="e">
        <f t="shared" si="110"/>
        <v>#DIV/0!</v>
      </c>
      <c r="AI304" s="284"/>
      <c r="AJ304" s="284">
        <v>0</v>
      </c>
      <c r="AK304" s="282" t="e">
        <f t="shared" si="111"/>
        <v>#DIV/0!</v>
      </c>
      <c r="AL304" s="286" t="e">
        <f t="shared" si="96"/>
        <v>#DIV/0!</v>
      </c>
      <c r="AM304" s="286" t="e">
        <f t="shared" si="112"/>
        <v>#DIV/0!</v>
      </c>
      <c r="AN304" s="282" t="e">
        <f t="shared" si="113"/>
        <v>#DIV/0!</v>
      </c>
      <c r="AO304" s="86"/>
    </row>
    <row r="305" spans="1:41" s="81" customFormat="1" ht="15.75" customHeight="1" x14ac:dyDescent="0.3">
      <c r="A305" s="49" t="s">
        <v>88</v>
      </c>
      <c r="B305" s="49" t="s">
        <v>90</v>
      </c>
      <c r="C305" s="50">
        <f>C299+7</f>
        <v>43077</v>
      </c>
      <c r="D305" s="50" t="s">
        <v>28</v>
      </c>
      <c r="E305" s="55">
        <f>SUM(E306:E310)</f>
        <v>0</v>
      </c>
      <c r="F305" s="55">
        <f>SUM(F306:F310)</f>
        <v>164</v>
      </c>
      <c r="G305" s="52">
        <f t="shared" si="97"/>
        <v>-1</v>
      </c>
      <c r="H305" s="55">
        <f>SUM(H306:H310)</f>
        <v>0</v>
      </c>
      <c r="I305" s="55">
        <f>SUM(I306:I310)</f>
        <v>0</v>
      </c>
      <c r="J305" s="52" t="e">
        <f t="shared" si="98"/>
        <v>#DIV/0!</v>
      </c>
      <c r="K305" s="51">
        <f t="shared" si="92"/>
        <v>0</v>
      </c>
      <c r="L305" s="51">
        <f t="shared" si="99"/>
        <v>0</v>
      </c>
      <c r="M305" s="52" t="e">
        <f t="shared" si="100"/>
        <v>#DIV/0!</v>
      </c>
      <c r="N305" s="53" t="e">
        <f t="shared" si="93"/>
        <v>#DIV/0!</v>
      </c>
      <c r="O305" s="53" t="e">
        <f t="shared" si="101"/>
        <v>#DIV/0!</v>
      </c>
      <c r="P305" s="52" t="e">
        <f t="shared" si="102"/>
        <v>#DIV/0!</v>
      </c>
      <c r="Q305" s="53" t="e">
        <f t="shared" si="94"/>
        <v>#DIV/0!</v>
      </c>
      <c r="R305" s="53" t="e">
        <f t="shared" si="103"/>
        <v>#DIV/0!</v>
      </c>
      <c r="S305" s="52" t="e">
        <f t="shared" si="104"/>
        <v>#DIV/0!</v>
      </c>
      <c r="T305" s="56">
        <f>SUM(T306:T310)</f>
        <v>0</v>
      </c>
      <c r="U305" s="56">
        <f>SUM(U306:U310)</f>
        <v>387</v>
      </c>
      <c r="V305" s="52">
        <f t="shared" si="105"/>
        <v>-1</v>
      </c>
      <c r="W305" s="56">
        <f>SUM(W306:W310)</f>
        <v>0</v>
      </c>
      <c r="X305" s="56">
        <f>SUM(X306:X310)</f>
        <v>1</v>
      </c>
      <c r="Y305" s="52">
        <f t="shared" si="106"/>
        <v>-1</v>
      </c>
      <c r="Z305" s="51" t="e">
        <f t="shared" si="95"/>
        <v>#DIV/0!</v>
      </c>
      <c r="AA305" s="54">
        <f t="shared" si="107"/>
        <v>164</v>
      </c>
      <c r="AB305" s="52" t="e">
        <f t="shared" si="108"/>
        <v>#DIV/0!</v>
      </c>
      <c r="AC305" s="56">
        <f>SUM(AC306:AC310)</f>
        <v>0</v>
      </c>
      <c r="AD305" s="56">
        <f>SUM(AD306:AD310)</f>
        <v>0</v>
      </c>
      <c r="AE305" s="52" t="e">
        <f t="shared" si="109"/>
        <v>#DIV/0!</v>
      </c>
      <c r="AF305" s="56">
        <f>SUM(AF306:AF310)</f>
        <v>0</v>
      </c>
      <c r="AG305" s="56">
        <f>SUM(AG306:AG310)</f>
        <v>0</v>
      </c>
      <c r="AH305" s="67" t="e">
        <f t="shared" si="110"/>
        <v>#DIV/0!</v>
      </c>
      <c r="AI305" s="56">
        <f>SUM(AI306:AI310)</f>
        <v>0</v>
      </c>
      <c r="AJ305" s="56">
        <f>SUM(AJ306:AJ310)</f>
        <v>0</v>
      </c>
      <c r="AK305" s="52" t="e">
        <f t="shared" si="111"/>
        <v>#DIV/0!</v>
      </c>
      <c r="AL305" s="82" t="e">
        <f t="shared" si="96"/>
        <v>#DIV/0!</v>
      </c>
      <c r="AM305" s="82" t="e">
        <f t="shared" si="112"/>
        <v>#DIV/0!</v>
      </c>
      <c r="AN305" s="52" t="e">
        <f>(AL305-AM305)/AM305</f>
        <v>#DIV/0!</v>
      </c>
      <c r="AO305" s="68"/>
    </row>
    <row r="306" spans="1:41" s="96" customFormat="1" ht="15.75" customHeight="1" x14ac:dyDescent="0.3">
      <c r="A306" s="279"/>
      <c r="B306" s="279"/>
      <c r="C306" s="280"/>
      <c r="D306" s="280"/>
      <c r="E306" s="281"/>
      <c r="F306" s="281"/>
      <c r="G306" s="282" t="e">
        <f t="shared" si="97"/>
        <v>#DIV/0!</v>
      </c>
      <c r="H306" s="281"/>
      <c r="I306" s="283"/>
      <c r="J306" s="282" t="e">
        <f t="shared" si="98"/>
        <v>#DIV/0!</v>
      </c>
      <c r="K306" s="281">
        <f t="shared" si="92"/>
        <v>0</v>
      </c>
      <c r="L306" s="281">
        <f t="shared" si="99"/>
        <v>0</v>
      </c>
      <c r="M306" s="282" t="e">
        <f t="shared" si="100"/>
        <v>#DIV/0!</v>
      </c>
      <c r="N306" s="283" t="e">
        <f t="shared" si="93"/>
        <v>#DIV/0!</v>
      </c>
      <c r="O306" s="283" t="e">
        <f t="shared" si="101"/>
        <v>#DIV/0!</v>
      </c>
      <c r="P306" s="282" t="e">
        <f t="shared" si="102"/>
        <v>#DIV/0!</v>
      </c>
      <c r="Q306" s="283" t="e">
        <f t="shared" si="94"/>
        <v>#DIV/0!</v>
      </c>
      <c r="R306" s="283" t="e">
        <f t="shared" si="103"/>
        <v>#DIV/0!</v>
      </c>
      <c r="S306" s="282" t="e">
        <f t="shared" si="104"/>
        <v>#DIV/0!</v>
      </c>
      <c r="T306" s="284"/>
      <c r="U306" s="284"/>
      <c r="V306" s="282" t="e">
        <f t="shared" si="105"/>
        <v>#DIV/0!</v>
      </c>
      <c r="W306" s="284"/>
      <c r="X306" s="284"/>
      <c r="Y306" s="282" t="e">
        <f t="shared" si="106"/>
        <v>#DIV/0!</v>
      </c>
      <c r="Z306" s="284" t="e">
        <f t="shared" si="95"/>
        <v>#DIV/0!</v>
      </c>
      <c r="AA306" s="284" t="e">
        <f t="shared" si="107"/>
        <v>#DIV/0!</v>
      </c>
      <c r="AB306" s="282" t="e">
        <f t="shared" si="108"/>
        <v>#DIV/0!</v>
      </c>
      <c r="AC306" s="285"/>
      <c r="AD306" s="284"/>
      <c r="AE306" s="282" t="e">
        <f t="shared" si="109"/>
        <v>#DIV/0!</v>
      </c>
      <c r="AF306" s="284"/>
      <c r="AG306" s="284"/>
      <c r="AH306" s="86" t="e">
        <f t="shared" si="110"/>
        <v>#DIV/0!</v>
      </c>
      <c r="AI306" s="284"/>
      <c r="AJ306" s="284"/>
      <c r="AK306" s="282" t="e">
        <f t="shared" si="111"/>
        <v>#DIV/0!</v>
      </c>
      <c r="AL306" s="286" t="e">
        <f t="shared" si="96"/>
        <v>#DIV/0!</v>
      </c>
      <c r="AM306" s="286" t="e">
        <f t="shared" si="112"/>
        <v>#DIV/0!</v>
      </c>
      <c r="AN306" s="282" t="e">
        <f t="shared" si="113"/>
        <v>#DIV/0!</v>
      </c>
      <c r="AO306" s="86"/>
    </row>
    <row r="307" spans="1:41" s="96" customFormat="1" ht="15.75" customHeight="1" x14ac:dyDescent="0.3">
      <c r="A307" s="279"/>
      <c r="B307" s="279"/>
      <c r="C307" s="280"/>
      <c r="D307" s="280"/>
      <c r="E307" s="281"/>
      <c r="F307" s="281"/>
      <c r="G307" s="282" t="e">
        <f t="shared" si="97"/>
        <v>#DIV/0!</v>
      </c>
      <c r="H307" s="281"/>
      <c r="I307" s="283"/>
      <c r="J307" s="282" t="e">
        <f t="shared" si="98"/>
        <v>#DIV/0!</v>
      </c>
      <c r="K307" s="281">
        <f t="shared" si="92"/>
        <v>0</v>
      </c>
      <c r="L307" s="281">
        <f t="shared" si="99"/>
        <v>0</v>
      </c>
      <c r="M307" s="282" t="e">
        <f t="shared" si="100"/>
        <v>#DIV/0!</v>
      </c>
      <c r="N307" s="283" t="e">
        <f t="shared" si="93"/>
        <v>#DIV/0!</v>
      </c>
      <c r="O307" s="283" t="e">
        <f t="shared" si="101"/>
        <v>#DIV/0!</v>
      </c>
      <c r="P307" s="282" t="e">
        <f t="shared" si="102"/>
        <v>#DIV/0!</v>
      </c>
      <c r="Q307" s="283" t="e">
        <f t="shared" si="94"/>
        <v>#DIV/0!</v>
      </c>
      <c r="R307" s="283" t="e">
        <f t="shared" si="103"/>
        <v>#DIV/0!</v>
      </c>
      <c r="S307" s="282" t="e">
        <f t="shared" si="104"/>
        <v>#DIV/0!</v>
      </c>
      <c r="T307" s="284"/>
      <c r="U307" s="284"/>
      <c r="V307" s="282" t="e">
        <f t="shared" si="105"/>
        <v>#DIV/0!</v>
      </c>
      <c r="W307" s="284"/>
      <c r="X307" s="284"/>
      <c r="Y307" s="282" t="e">
        <f t="shared" si="106"/>
        <v>#DIV/0!</v>
      </c>
      <c r="Z307" s="284" t="e">
        <f t="shared" si="95"/>
        <v>#DIV/0!</v>
      </c>
      <c r="AA307" s="284" t="e">
        <f t="shared" si="107"/>
        <v>#DIV/0!</v>
      </c>
      <c r="AB307" s="282" t="e">
        <f t="shared" si="108"/>
        <v>#DIV/0!</v>
      </c>
      <c r="AC307" s="285"/>
      <c r="AD307" s="284"/>
      <c r="AE307" s="282" t="e">
        <f t="shared" si="109"/>
        <v>#DIV/0!</v>
      </c>
      <c r="AF307" s="284"/>
      <c r="AG307" s="284"/>
      <c r="AH307" s="86" t="e">
        <f t="shared" si="110"/>
        <v>#DIV/0!</v>
      </c>
      <c r="AI307" s="284"/>
      <c r="AJ307" s="284"/>
      <c r="AK307" s="282" t="e">
        <f t="shared" si="111"/>
        <v>#DIV/0!</v>
      </c>
      <c r="AL307" s="286" t="e">
        <f t="shared" si="96"/>
        <v>#DIV/0!</v>
      </c>
      <c r="AM307" s="286" t="e">
        <f t="shared" si="112"/>
        <v>#DIV/0!</v>
      </c>
      <c r="AN307" s="282" t="e">
        <f t="shared" si="113"/>
        <v>#DIV/0!</v>
      </c>
      <c r="AO307" s="86"/>
    </row>
    <row r="308" spans="1:41" s="96" customFormat="1" ht="15.75" customHeight="1" x14ac:dyDescent="0.3">
      <c r="A308" s="279"/>
      <c r="B308" s="279"/>
      <c r="C308" s="280"/>
      <c r="D308" s="280"/>
      <c r="E308" s="281"/>
      <c r="F308" s="281"/>
      <c r="G308" s="282" t="e">
        <f t="shared" si="97"/>
        <v>#DIV/0!</v>
      </c>
      <c r="H308" s="281"/>
      <c r="I308" s="283"/>
      <c r="J308" s="282" t="e">
        <f t="shared" si="98"/>
        <v>#DIV/0!</v>
      </c>
      <c r="K308" s="281">
        <f t="shared" si="92"/>
        <v>0</v>
      </c>
      <c r="L308" s="281">
        <f t="shared" si="99"/>
        <v>0</v>
      </c>
      <c r="M308" s="282" t="e">
        <f t="shared" si="100"/>
        <v>#DIV/0!</v>
      </c>
      <c r="N308" s="283" t="e">
        <f t="shared" si="93"/>
        <v>#DIV/0!</v>
      </c>
      <c r="O308" s="283" t="e">
        <f t="shared" si="101"/>
        <v>#DIV/0!</v>
      </c>
      <c r="P308" s="282" t="e">
        <f t="shared" si="102"/>
        <v>#DIV/0!</v>
      </c>
      <c r="Q308" s="283" t="e">
        <f t="shared" si="94"/>
        <v>#DIV/0!</v>
      </c>
      <c r="R308" s="283" t="e">
        <f t="shared" si="103"/>
        <v>#DIV/0!</v>
      </c>
      <c r="S308" s="282" t="e">
        <f t="shared" si="104"/>
        <v>#DIV/0!</v>
      </c>
      <c r="T308" s="284"/>
      <c r="U308" s="284"/>
      <c r="V308" s="282" t="e">
        <f t="shared" si="105"/>
        <v>#DIV/0!</v>
      </c>
      <c r="W308" s="284"/>
      <c r="X308" s="284"/>
      <c r="Y308" s="282" t="e">
        <f t="shared" si="106"/>
        <v>#DIV/0!</v>
      </c>
      <c r="Z308" s="284" t="e">
        <f t="shared" si="95"/>
        <v>#DIV/0!</v>
      </c>
      <c r="AA308" s="284" t="e">
        <f t="shared" si="107"/>
        <v>#DIV/0!</v>
      </c>
      <c r="AB308" s="282" t="e">
        <f t="shared" si="108"/>
        <v>#DIV/0!</v>
      </c>
      <c r="AC308" s="285"/>
      <c r="AD308" s="284"/>
      <c r="AE308" s="282" t="e">
        <f t="shared" si="109"/>
        <v>#DIV/0!</v>
      </c>
      <c r="AF308" s="284"/>
      <c r="AG308" s="284"/>
      <c r="AH308" s="86" t="e">
        <f t="shared" si="110"/>
        <v>#DIV/0!</v>
      </c>
      <c r="AI308" s="284"/>
      <c r="AJ308" s="284"/>
      <c r="AK308" s="282" t="e">
        <f t="shared" si="111"/>
        <v>#DIV/0!</v>
      </c>
      <c r="AL308" s="286" t="e">
        <f t="shared" si="96"/>
        <v>#DIV/0!</v>
      </c>
      <c r="AM308" s="286" t="e">
        <f t="shared" si="112"/>
        <v>#DIV/0!</v>
      </c>
      <c r="AN308" s="282" t="e">
        <f t="shared" si="113"/>
        <v>#DIV/0!</v>
      </c>
      <c r="AO308" s="86"/>
    </row>
    <row r="309" spans="1:41" s="96" customFormat="1" ht="15.75" customHeight="1" x14ac:dyDescent="0.3">
      <c r="A309" s="279"/>
      <c r="B309" s="279"/>
      <c r="C309" s="280"/>
      <c r="D309" s="280"/>
      <c r="E309" s="281"/>
      <c r="F309" s="281"/>
      <c r="G309" s="282" t="e">
        <f t="shared" si="97"/>
        <v>#DIV/0!</v>
      </c>
      <c r="H309" s="281"/>
      <c r="I309" s="283"/>
      <c r="J309" s="282" t="e">
        <f t="shared" si="98"/>
        <v>#DIV/0!</v>
      </c>
      <c r="K309" s="281">
        <f t="shared" si="92"/>
        <v>0</v>
      </c>
      <c r="L309" s="281">
        <f t="shared" si="99"/>
        <v>0</v>
      </c>
      <c r="M309" s="282" t="e">
        <f t="shared" si="100"/>
        <v>#DIV/0!</v>
      </c>
      <c r="N309" s="283" t="e">
        <f t="shared" si="93"/>
        <v>#DIV/0!</v>
      </c>
      <c r="O309" s="283" t="e">
        <f t="shared" si="101"/>
        <v>#DIV/0!</v>
      </c>
      <c r="P309" s="282" t="e">
        <f t="shared" si="102"/>
        <v>#DIV/0!</v>
      </c>
      <c r="Q309" s="283" t="e">
        <f t="shared" si="94"/>
        <v>#DIV/0!</v>
      </c>
      <c r="R309" s="283" t="e">
        <f t="shared" si="103"/>
        <v>#DIV/0!</v>
      </c>
      <c r="S309" s="282" t="e">
        <f t="shared" si="104"/>
        <v>#DIV/0!</v>
      </c>
      <c r="T309" s="284"/>
      <c r="U309" s="284"/>
      <c r="V309" s="282" t="e">
        <f t="shared" si="105"/>
        <v>#DIV/0!</v>
      </c>
      <c r="W309" s="284"/>
      <c r="X309" s="284"/>
      <c r="Y309" s="282" t="e">
        <f t="shared" si="106"/>
        <v>#DIV/0!</v>
      </c>
      <c r="Z309" s="284" t="e">
        <f t="shared" si="95"/>
        <v>#DIV/0!</v>
      </c>
      <c r="AA309" s="284" t="e">
        <f t="shared" si="107"/>
        <v>#DIV/0!</v>
      </c>
      <c r="AB309" s="282" t="e">
        <f t="shared" si="108"/>
        <v>#DIV/0!</v>
      </c>
      <c r="AC309" s="285"/>
      <c r="AD309" s="284"/>
      <c r="AE309" s="282" t="e">
        <f t="shared" si="109"/>
        <v>#DIV/0!</v>
      </c>
      <c r="AF309" s="284"/>
      <c r="AG309" s="284"/>
      <c r="AH309" s="86" t="e">
        <f t="shared" si="110"/>
        <v>#DIV/0!</v>
      </c>
      <c r="AI309" s="284"/>
      <c r="AJ309" s="284"/>
      <c r="AK309" s="282" t="e">
        <f t="shared" si="111"/>
        <v>#DIV/0!</v>
      </c>
      <c r="AL309" s="286" t="e">
        <f t="shared" si="96"/>
        <v>#DIV/0!</v>
      </c>
      <c r="AM309" s="286" t="e">
        <f t="shared" si="112"/>
        <v>#DIV/0!</v>
      </c>
      <c r="AN309" s="282" t="e">
        <f t="shared" si="113"/>
        <v>#DIV/0!</v>
      </c>
      <c r="AO309" s="86"/>
    </row>
    <row r="310" spans="1:41" s="96" customFormat="1" ht="15.75" customHeight="1" x14ac:dyDescent="0.3">
      <c r="A310" s="279"/>
      <c r="B310" s="279"/>
      <c r="C310" s="280"/>
      <c r="D310" s="297" t="s">
        <v>274</v>
      </c>
      <c r="E310" s="281"/>
      <c r="F310" s="281">
        <v>164</v>
      </c>
      <c r="G310" s="282">
        <f t="shared" si="97"/>
        <v>-1</v>
      </c>
      <c r="H310" s="281"/>
      <c r="I310" s="283">
        <v>0</v>
      </c>
      <c r="J310" s="282" t="e">
        <f t="shared" si="98"/>
        <v>#DIV/0!</v>
      </c>
      <c r="K310" s="281">
        <f t="shared" si="92"/>
        <v>0</v>
      </c>
      <c r="L310" s="281">
        <f t="shared" si="99"/>
        <v>0</v>
      </c>
      <c r="M310" s="282" t="e">
        <f t="shared" si="100"/>
        <v>#DIV/0!</v>
      </c>
      <c r="N310" s="283" t="e">
        <f t="shared" si="93"/>
        <v>#DIV/0!</v>
      </c>
      <c r="O310" s="283" t="e">
        <f t="shared" si="101"/>
        <v>#DIV/0!</v>
      </c>
      <c r="P310" s="282" t="e">
        <f t="shared" si="102"/>
        <v>#DIV/0!</v>
      </c>
      <c r="Q310" s="283" t="e">
        <f t="shared" si="94"/>
        <v>#DIV/0!</v>
      </c>
      <c r="R310" s="283" t="e">
        <f t="shared" si="103"/>
        <v>#DIV/0!</v>
      </c>
      <c r="S310" s="282" t="e">
        <f t="shared" si="104"/>
        <v>#DIV/0!</v>
      </c>
      <c r="T310" s="284"/>
      <c r="U310" s="284">
        <v>387</v>
      </c>
      <c r="V310" s="282">
        <f t="shared" si="105"/>
        <v>-1</v>
      </c>
      <c r="W310" s="284"/>
      <c r="X310" s="284">
        <v>1</v>
      </c>
      <c r="Y310" s="282">
        <f t="shared" si="106"/>
        <v>-1</v>
      </c>
      <c r="Z310" s="284" t="e">
        <f t="shared" si="95"/>
        <v>#DIV/0!</v>
      </c>
      <c r="AA310" s="284">
        <f t="shared" si="107"/>
        <v>164</v>
      </c>
      <c r="AB310" s="282" t="e">
        <f t="shared" si="108"/>
        <v>#DIV/0!</v>
      </c>
      <c r="AC310" s="285"/>
      <c r="AD310" s="284">
        <v>0</v>
      </c>
      <c r="AE310" s="282" t="e">
        <f t="shared" si="109"/>
        <v>#DIV/0!</v>
      </c>
      <c r="AF310" s="284"/>
      <c r="AG310" s="284">
        <v>0</v>
      </c>
      <c r="AH310" s="86" t="e">
        <f t="shared" si="110"/>
        <v>#DIV/0!</v>
      </c>
      <c r="AI310" s="284"/>
      <c r="AJ310" s="284">
        <v>0</v>
      </c>
      <c r="AK310" s="282" t="e">
        <f t="shared" si="111"/>
        <v>#DIV/0!</v>
      </c>
      <c r="AL310" s="286" t="e">
        <f t="shared" si="96"/>
        <v>#DIV/0!</v>
      </c>
      <c r="AM310" s="286" t="e">
        <f t="shared" si="112"/>
        <v>#DIV/0!</v>
      </c>
      <c r="AN310" s="282" t="e">
        <f t="shared" si="113"/>
        <v>#DIV/0!</v>
      </c>
      <c r="AO310" s="86"/>
    </row>
    <row r="311" spans="1:41" s="81" customFormat="1" ht="15.75" customHeight="1" x14ac:dyDescent="0.3">
      <c r="A311" s="49" t="s">
        <v>88</v>
      </c>
      <c r="B311" s="49" t="s">
        <v>91</v>
      </c>
      <c r="C311" s="50">
        <f>C305+7</f>
        <v>43084</v>
      </c>
      <c r="D311" s="50" t="s">
        <v>28</v>
      </c>
      <c r="E311" s="55">
        <f>SUM(E312:E316)</f>
        <v>0</v>
      </c>
      <c r="F311" s="55">
        <f>SUM(F312:F316)</f>
        <v>1047</v>
      </c>
      <c r="G311" s="52">
        <f t="shared" si="97"/>
        <v>-1</v>
      </c>
      <c r="H311" s="55">
        <f>SUM(H312:H316)</f>
        <v>0</v>
      </c>
      <c r="I311" s="55">
        <f>SUM(I312:I316)</f>
        <v>13043</v>
      </c>
      <c r="J311" s="52">
        <f t="shared" si="98"/>
        <v>-1</v>
      </c>
      <c r="K311" s="51">
        <f t="shared" si="92"/>
        <v>0</v>
      </c>
      <c r="L311" s="51">
        <f t="shared" si="99"/>
        <v>14151.654999999999</v>
      </c>
      <c r="M311" s="52">
        <f t="shared" si="100"/>
        <v>-1</v>
      </c>
      <c r="N311" s="53" t="e">
        <f t="shared" si="93"/>
        <v>#DIV/0!</v>
      </c>
      <c r="O311" s="53">
        <f t="shared" si="101"/>
        <v>8.0272943341255842E-2</v>
      </c>
      <c r="P311" s="52" t="e">
        <f t="shared" si="102"/>
        <v>#DIV/0!</v>
      </c>
      <c r="Q311" s="53" t="e">
        <f t="shared" si="94"/>
        <v>#DIV/0!</v>
      </c>
      <c r="R311" s="53">
        <f t="shared" si="103"/>
        <v>7.3984279577194334E-2</v>
      </c>
      <c r="S311" s="52" t="e">
        <f t="shared" si="104"/>
        <v>#DIV/0!</v>
      </c>
      <c r="T311" s="56">
        <f>SUM(T312:T316)</f>
        <v>0</v>
      </c>
      <c r="U311" s="56">
        <f>SUM(U312:U316)</f>
        <v>17464</v>
      </c>
      <c r="V311" s="52">
        <f t="shared" si="105"/>
        <v>-1</v>
      </c>
      <c r="W311" s="56">
        <f>SUM(W312:W316)</f>
        <v>0</v>
      </c>
      <c r="X311" s="56">
        <f>SUM(X312:X316)</f>
        <v>10</v>
      </c>
      <c r="Y311" s="52">
        <f t="shared" si="106"/>
        <v>-1</v>
      </c>
      <c r="Z311" s="51" t="e">
        <f t="shared" si="95"/>
        <v>#DIV/0!</v>
      </c>
      <c r="AA311" s="54">
        <f t="shared" si="107"/>
        <v>104.7</v>
      </c>
      <c r="AB311" s="52" t="e">
        <f t="shared" si="108"/>
        <v>#DIV/0!</v>
      </c>
      <c r="AC311" s="56">
        <f>SUM(AC312:AC316)</f>
        <v>0</v>
      </c>
      <c r="AD311" s="56">
        <f>SUM(AD312:AD316)</f>
        <v>1252606</v>
      </c>
      <c r="AE311" s="52">
        <f t="shared" si="109"/>
        <v>-1</v>
      </c>
      <c r="AF311" s="56">
        <f>SUM(AF312:AF316)</f>
        <v>0</v>
      </c>
      <c r="AG311" s="56">
        <f>SUM(AG312:AG316)</f>
        <v>22214</v>
      </c>
      <c r="AH311" s="67">
        <f t="shared" si="110"/>
        <v>-1</v>
      </c>
      <c r="AI311" s="56">
        <f>SUM(AI312:AI316)</f>
        <v>0</v>
      </c>
      <c r="AJ311" s="56">
        <f>SUM(AJ312:AJ316)</f>
        <v>2088998</v>
      </c>
      <c r="AK311" s="52">
        <f t="shared" si="111"/>
        <v>-1</v>
      </c>
      <c r="AL311" s="82" t="e">
        <f t="shared" si="96"/>
        <v>#DIV/0!</v>
      </c>
      <c r="AM311" s="82">
        <f t="shared" si="112"/>
        <v>1.0633806255439211E-2</v>
      </c>
      <c r="AN311" s="52" t="e">
        <f>(AL311-AM311)/AM311</f>
        <v>#DIV/0!</v>
      </c>
      <c r="AO311" s="68"/>
    </row>
    <row r="312" spans="1:41" s="96" customFormat="1" ht="15.75" customHeight="1" x14ac:dyDescent="0.3">
      <c r="A312" s="279"/>
      <c r="B312" s="279"/>
      <c r="C312" s="280"/>
      <c r="D312" s="280"/>
      <c r="E312" s="281"/>
      <c r="F312" s="281"/>
      <c r="G312" s="282" t="e">
        <f t="shared" si="97"/>
        <v>#DIV/0!</v>
      </c>
      <c r="H312" s="281"/>
      <c r="I312" s="283"/>
      <c r="J312" s="282" t="e">
        <f t="shared" si="98"/>
        <v>#DIV/0!</v>
      </c>
      <c r="K312" s="281">
        <f t="shared" si="92"/>
        <v>0</v>
      </c>
      <c r="L312" s="281">
        <f t="shared" si="99"/>
        <v>0</v>
      </c>
      <c r="M312" s="282" t="e">
        <f t="shared" si="100"/>
        <v>#DIV/0!</v>
      </c>
      <c r="N312" s="283" t="e">
        <f t="shared" si="93"/>
        <v>#DIV/0!</v>
      </c>
      <c r="O312" s="283" t="e">
        <f t="shared" si="101"/>
        <v>#DIV/0!</v>
      </c>
      <c r="P312" s="282" t="e">
        <f t="shared" si="102"/>
        <v>#DIV/0!</v>
      </c>
      <c r="Q312" s="283" t="e">
        <f t="shared" si="94"/>
        <v>#DIV/0!</v>
      </c>
      <c r="R312" s="283" t="e">
        <f t="shared" si="103"/>
        <v>#DIV/0!</v>
      </c>
      <c r="S312" s="282" t="e">
        <f t="shared" si="104"/>
        <v>#DIV/0!</v>
      </c>
      <c r="T312" s="284"/>
      <c r="U312" s="284"/>
      <c r="V312" s="282" t="e">
        <f t="shared" si="105"/>
        <v>#DIV/0!</v>
      </c>
      <c r="W312" s="284"/>
      <c r="X312" s="284"/>
      <c r="Y312" s="282" t="e">
        <f t="shared" si="106"/>
        <v>#DIV/0!</v>
      </c>
      <c r="Z312" s="284" t="e">
        <f t="shared" si="95"/>
        <v>#DIV/0!</v>
      </c>
      <c r="AA312" s="284" t="e">
        <f t="shared" si="107"/>
        <v>#DIV/0!</v>
      </c>
      <c r="AB312" s="282" t="e">
        <f t="shared" si="108"/>
        <v>#DIV/0!</v>
      </c>
      <c r="AC312" s="285"/>
      <c r="AD312" s="284"/>
      <c r="AE312" s="282" t="e">
        <f t="shared" si="109"/>
        <v>#DIV/0!</v>
      </c>
      <c r="AF312" s="284"/>
      <c r="AG312" s="284"/>
      <c r="AH312" s="86" t="e">
        <f t="shared" si="110"/>
        <v>#DIV/0!</v>
      </c>
      <c r="AI312" s="284"/>
      <c r="AJ312" s="284"/>
      <c r="AK312" s="282" t="e">
        <f t="shared" si="111"/>
        <v>#DIV/0!</v>
      </c>
      <c r="AL312" s="286" t="e">
        <f t="shared" si="96"/>
        <v>#DIV/0!</v>
      </c>
      <c r="AM312" s="286" t="e">
        <f t="shared" si="112"/>
        <v>#DIV/0!</v>
      </c>
      <c r="AN312" s="282" t="e">
        <f t="shared" si="113"/>
        <v>#DIV/0!</v>
      </c>
      <c r="AO312" s="86"/>
    </row>
    <row r="313" spans="1:41" s="96" customFormat="1" ht="15.75" customHeight="1" x14ac:dyDescent="0.3">
      <c r="A313" s="279"/>
      <c r="B313" s="279"/>
      <c r="C313" s="280"/>
      <c r="D313" s="280"/>
      <c r="E313" s="281"/>
      <c r="F313" s="281"/>
      <c r="G313" s="282" t="e">
        <f t="shared" si="97"/>
        <v>#DIV/0!</v>
      </c>
      <c r="H313" s="281"/>
      <c r="I313" s="283"/>
      <c r="J313" s="282" t="e">
        <f t="shared" si="98"/>
        <v>#DIV/0!</v>
      </c>
      <c r="K313" s="281">
        <f t="shared" si="92"/>
        <v>0</v>
      </c>
      <c r="L313" s="281">
        <f t="shared" si="99"/>
        <v>0</v>
      </c>
      <c r="M313" s="282" t="e">
        <f t="shared" si="100"/>
        <v>#DIV/0!</v>
      </c>
      <c r="N313" s="283" t="e">
        <f t="shared" si="93"/>
        <v>#DIV/0!</v>
      </c>
      <c r="O313" s="283" t="e">
        <f t="shared" si="101"/>
        <v>#DIV/0!</v>
      </c>
      <c r="P313" s="282" t="e">
        <f t="shared" si="102"/>
        <v>#DIV/0!</v>
      </c>
      <c r="Q313" s="283" t="e">
        <f t="shared" si="94"/>
        <v>#DIV/0!</v>
      </c>
      <c r="R313" s="283" t="e">
        <f t="shared" si="103"/>
        <v>#DIV/0!</v>
      </c>
      <c r="S313" s="282" t="e">
        <f t="shared" si="104"/>
        <v>#DIV/0!</v>
      </c>
      <c r="T313" s="284"/>
      <c r="U313" s="284"/>
      <c r="V313" s="282" t="e">
        <f t="shared" si="105"/>
        <v>#DIV/0!</v>
      </c>
      <c r="W313" s="284"/>
      <c r="X313" s="284"/>
      <c r="Y313" s="282" t="e">
        <f t="shared" si="106"/>
        <v>#DIV/0!</v>
      </c>
      <c r="Z313" s="284" t="e">
        <f t="shared" si="95"/>
        <v>#DIV/0!</v>
      </c>
      <c r="AA313" s="284" t="e">
        <f t="shared" si="107"/>
        <v>#DIV/0!</v>
      </c>
      <c r="AB313" s="282" t="e">
        <f t="shared" si="108"/>
        <v>#DIV/0!</v>
      </c>
      <c r="AC313" s="285"/>
      <c r="AD313" s="284"/>
      <c r="AE313" s="282" t="e">
        <f t="shared" si="109"/>
        <v>#DIV/0!</v>
      </c>
      <c r="AF313" s="284"/>
      <c r="AG313" s="284"/>
      <c r="AH313" s="86" t="e">
        <f t="shared" si="110"/>
        <v>#DIV/0!</v>
      </c>
      <c r="AI313" s="284"/>
      <c r="AJ313" s="284"/>
      <c r="AK313" s="282" t="e">
        <f t="shared" si="111"/>
        <v>#DIV/0!</v>
      </c>
      <c r="AL313" s="286" t="e">
        <f t="shared" si="96"/>
        <v>#DIV/0!</v>
      </c>
      <c r="AM313" s="286" t="e">
        <f t="shared" si="112"/>
        <v>#DIV/0!</v>
      </c>
      <c r="AN313" s="282" t="e">
        <f t="shared" si="113"/>
        <v>#DIV/0!</v>
      </c>
      <c r="AO313" s="86"/>
    </row>
    <row r="314" spans="1:41" s="96" customFormat="1" ht="15.75" customHeight="1" x14ac:dyDescent="0.3">
      <c r="A314" s="279"/>
      <c r="B314" s="279"/>
      <c r="C314" s="280"/>
      <c r="D314" s="280"/>
      <c r="E314" s="281"/>
      <c r="F314" s="281"/>
      <c r="G314" s="282" t="e">
        <f t="shared" si="97"/>
        <v>#DIV/0!</v>
      </c>
      <c r="H314" s="281"/>
      <c r="I314" s="283"/>
      <c r="J314" s="282" t="e">
        <f t="shared" si="98"/>
        <v>#DIV/0!</v>
      </c>
      <c r="K314" s="281">
        <f t="shared" si="92"/>
        <v>0</v>
      </c>
      <c r="L314" s="281">
        <f t="shared" si="99"/>
        <v>0</v>
      </c>
      <c r="M314" s="282" t="e">
        <f t="shared" si="100"/>
        <v>#DIV/0!</v>
      </c>
      <c r="N314" s="283" t="e">
        <f t="shared" si="93"/>
        <v>#DIV/0!</v>
      </c>
      <c r="O314" s="283" t="e">
        <f t="shared" si="101"/>
        <v>#DIV/0!</v>
      </c>
      <c r="P314" s="282" t="e">
        <f t="shared" si="102"/>
        <v>#DIV/0!</v>
      </c>
      <c r="Q314" s="283" t="e">
        <f t="shared" si="94"/>
        <v>#DIV/0!</v>
      </c>
      <c r="R314" s="283" t="e">
        <f t="shared" si="103"/>
        <v>#DIV/0!</v>
      </c>
      <c r="S314" s="282" t="e">
        <f t="shared" si="104"/>
        <v>#DIV/0!</v>
      </c>
      <c r="T314" s="284"/>
      <c r="U314" s="284"/>
      <c r="V314" s="282" t="e">
        <f t="shared" si="105"/>
        <v>#DIV/0!</v>
      </c>
      <c r="W314" s="284"/>
      <c r="X314" s="284"/>
      <c r="Y314" s="282" t="e">
        <f t="shared" si="106"/>
        <v>#DIV/0!</v>
      </c>
      <c r="Z314" s="284" t="e">
        <f t="shared" si="95"/>
        <v>#DIV/0!</v>
      </c>
      <c r="AA314" s="284" t="e">
        <f t="shared" si="107"/>
        <v>#DIV/0!</v>
      </c>
      <c r="AB314" s="282" t="e">
        <f t="shared" si="108"/>
        <v>#DIV/0!</v>
      </c>
      <c r="AC314" s="285"/>
      <c r="AD314" s="284"/>
      <c r="AE314" s="282" t="e">
        <f t="shared" si="109"/>
        <v>#DIV/0!</v>
      </c>
      <c r="AF314" s="284"/>
      <c r="AG314" s="284"/>
      <c r="AH314" s="86" t="e">
        <f t="shared" si="110"/>
        <v>#DIV/0!</v>
      </c>
      <c r="AI314" s="284"/>
      <c r="AJ314" s="284"/>
      <c r="AK314" s="282" t="e">
        <f t="shared" si="111"/>
        <v>#DIV/0!</v>
      </c>
      <c r="AL314" s="286" t="e">
        <f t="shared" si="96"/>
        <v>#DIV/0!</v>
      </c>
      <c r="AM314" s="286" t="e">
        <f t="shared" si="112"/>
        <v>#DIV/0!</v>
      </c>
      <c r="AN314" s="282" t="e">
        <f t="shared" si="113"/>
        <v>#DIV/0!</v>
      </c>
      <c r="AO314" s="86"/>
    </row>
    <row r="315" spans="1:41" s="96" customFormat="1" ht="15.75" customHeight="1" x14ac:dyDescent="0.3">
      <c r="A315" s="279"/>
      <c r="B315" s="279"/>
      <c r="C315" s="280"/>
      <c r="D315" s="280"/>
      <c r="E315" s="281"/>
      <c r="F315" s="281"/>
      <c r="G315" s="282" t="e">
        <f t="shared" si="97"/>
        <v>#DIV/0!</v>
      </c>
      <c r="H315" s="281"/>
      <c r="I315" s="283"/>
      <c r="J315" s="282" t="e">
        <f t="shared" si="98"/>
        <v>#DIV/0!</v>
      </c>
      <c r="K315" s="281">
        <f t="shared" si="92"/>
        <v>0</v>
      </c>
      <c r="L315" s="281">
        <f t="shared" si="99"/>
        <v>0</v>
      </c>
      <c r="M315" s="282" t="e">
        <f t="shared" si="100"/>
        <v>#DIV/0!</v>
      </c>
      <c r="N315" s="283" t="e">
        <f t="shared" si="93"/>
        <v>#DIV/0!</v>
      </c>
      <c r="O315" s="283" t="e">
        <f t="shared" si="101"/>
        <v>#DIV/0!</v>
      </c>
      <c r="P315" s="282" t="e">
        <f t="shared" si="102"/>
        <v>#DIV/0!</v>
      </c>
      <c r="Q315" s="283" t="e">
        <f t="shared" si="94"/>
        <v>#DIV/0!</v>
      </c>
      <c r="R315" s="283" t="e">
        <f t="shared" si="103"/>
        <v>#DIV/0!</v>
      </c>
      <c r="S315" s="282" t="e">
        <f t="shared" si="104"/>
        <v>#DIV/0!</v>
      </c>
      <c r="T315" s="284"/>
      <c r="U315" s="284"/>
      <c r="V315" s="282" t="e">
        <f t="shared" si="105"/>
        <v>#DIV/0!</v>
      </c>
      <c r="W315" s="284"/>
      <c r="X315" s="284"/>
      <c r="Y315" s="282" t="e">
        <f t="shared" si="106"/>
        <v>#DIV/0!</v>
      </c>
      <c r="Z315" s="284" t="e">
        <f t="shared" si="95"/>
        <v>#DIV/0!</v>
      </c>
      <c r="AA315" s="284" t="e">
        <f t="shared" si="107"/>
        <v>#DIV/0!</v>
      </c>
      <c r="AB315" s="282" t="e">
        <f t="shared" si="108"/>
        <v>#DIV/0!</v>
      </c>
      <c r="AC315" s="285"/>
      <c r="AD315" s="284"/>
      <c r="AE315" s="282" t="e">
        <f t="shared" si="109"/>
        <v>#DIV/0!</v>
      </c>
      <c r="AF315" s="284"/>
      <c r="AG315" s="284"/>
      <c r="AH315" s="86" t="e">
        <f t="shared" si="110"/>
        <v>#DIV/0!</v>
      </c>
      <c r="AI315" s="284"/>
      <c r="AJ315" s="284"/>
      <c r="AK315" s="282" t="e">
        <f t="shared" si="111"/>
        <v>#DIV/0!</v>
      </c>
      <c r="AL315" s="286" t="e">
        <f t="shared" si="96"/>
        <v>#DIV/0!</v>
      </c>
      <c r="AM315" s="286" t="e">
        <f t="shared" si="112"/>
        <v>#DIV/0!</v>
      </c>
      <c r="AN315" s="282" t="e">
        <f t="shared" si="113"/>
        <v>#DIV/0!</v>
      </c>
      <c r="AO315" s="86"/>
    </row>
    <row r="316" spans="1:41" s="96" customFormat="1" ht="15.75" customHeight="1" x14ac:dyDescent="0.3">
      <c r="A316" s="279"/>
      <c r="B316" s="279"/>
      <c r="C316" s="280"/>
      <c r="D316" s="297" t="s">
        <v>274</v>
      </c>
      <c r="E316" s="281"/>
      <c r="F316" s="281">
        <v>1047</v>
      </c>
      <c r="G316" s="282">
        <f t="shared" si="97"/>
        <v>-1</v>
      </c>
      <c r="H316" s="281"/>
      <c r="I316" s="283">
        <v>13043</v>
      </c>
      <c r="J316" s="282">
        <f t="shared" si="98"/>
        <v>-1</v>
      </c>
      <c r="K316" s="281">
        <f t="shared" si="92"/>
        <v>0</v>
      </c>
      <c r="L316" s="281">
        <f t="shared" si="99"/>
        <v>14151.654999999999</v>
      </c>
      <c r="M316" s="282">
        <f t="shared" si="100"/>
        <v>-1</v>
      </c>
      <c r="N316" s="283" t="e">
        <f t="shared" si="93"/>
        <v>#DIV/0!</v>
      </c>
      <c r="O316" s="283">
        <f t="shared" si="101"/>
        <v>8.0272943341255842E-2</v>
      </c>
      <c r="P316" s="282" t="e">
        <f t="shared" si="102"/>
        <v>#DIV/0!</v>
      </c>
      <c r="Q316" s="283" t="e">
        <f t="shared" si="94"/>
        <v>#DIV/0!</v>
      </c>
      <c r="R316" s="283">
        <f t="shared" si="103"/>
        <v>7.3984279577194334E-2</v>
      </c>
      <c r="S316" s="282" t="e">
        <f t="shared" si="104"/>
        <v>#DIV/0!</v>
      </c>
      <c r="T316" s="284"/>
      <c r="U316" s="284">
        <v>17464</v>
      </c>
      <c r="V316" s="282">
        <f t="shared" si="105"/>
        <v>-1</v>
      </c>
      <c r="W316" s="284"/>
      <c r="X316" s="284">
        <v>10</v>
      </c>
      <c r="Y316" s="282">
        <f t="shared" si="106"/>
        <v>-1</v>
      </c>
      <c r="Z316" s="284" t="e">
        <f t="shared" si="95"/>
        <v>#DIV/0!</v>
      </c>
      <c r="AA316" s="284">
        <f t="shared" si="107"/>
        <v>104.7</v>
      </c>
      <c r="AB316" s="282" t="e">
        <f t="shared" si="108"/>
        <v>#DIV/0!</v>
      </c>
      <c r="AC316" s="285"/>
      <c r="AD316" s="284">
        <v>1252606</v>
      </c>
      <c r="AE316" s="282">
        <f t="shared" si="109"/>
        <v>-1</v>
      </c>
      <c r="AF316" s="284"/>
      <c r="AG316" s="284">
        <v>22214</v>
      </c>
      <c r="AH316" s="86">
        <f t="shared" si="110"/>
        <v>-1</v>
      </c>
      <c r="AI316" s="284"/>
      <c r="AJ316" s="284">
        <v>2088998</v>
      </c>
      <c r="AK316" s="282">
        <f t="shared" si="111"/>
        <v>-1</v>
      </c>
      <c r="AL316" s="286" t="e">
        <f t="shared" si="96"/>
        <v>#DIV/0!</v>
      </c>
      <c r="AM316" s="286">
        <f t="shared" si="112"/>
        <v>1.0633806255439211E-2</v>
      </c>
      <c r="AN316" s="282" t="e">
        <f t="shared" si="113"/>
        <v>#DIV/0!</v>
      </c>
      <c r="AO316" s="86"/>
    </row>
    <row r="317" spans="1:41" s="81" customFormat="1" ht="15.75" customHeight="1" x14ac:dyDescent="0.3">
      <c r="A317" s="49" t="s">
        <v>88</v>
      </c>
      <c r="B317" s="49" t="s">
        <v>92</v>
      </c>
      <c r="C317" s="50">
        <f t="shared" ref="C317" si="133">C311+7</f>
        <v>43091</v>
      </c>
      <c r="D317" s="50" t="s">
        <v>28</v>
      </c>
      <c r="E317" s="55">
        <f>SUM(E318:E322)</f>
        <v>0</v>
      </c>
      <c r="F317" s="55">
        <f>SUM(F318:F322)</f>
        <v>2108</v>
      </c>
      <c r="G317" s="52">
        <f t="shared" si="97"/>
        <v>-1</v>
      </c>
      <c r="H317" s="55">
        <f>SUM(H318:H322)</f>
        <v>0</v>
      </c>
      <c r="I317" s="55">
        <f>SUM(I318:I322)</f>
        <v>31548</v>
      </c>
      <c r="J317" s="52">
        <f t="shared" si="98"/>
        <v>-1</v>
      </c>
      <c r="K317" s="51">
        <f t="shared" si="92"/>
        <v>0</v>
      </c>
      <c r="L317" s="51">
        <f t="shared" si="99"/>
        <v>34229.58</v>
      </c>
      <c r="M317" s="52">
        <f t="shared" si="100"/>
        <v>-1</v>
      </c>
      <c r="N317" s="53" t="e">
        <f t="shared" si="93"/>
        <v>#DIV/0!</v>
      </c>
      <c r="O317" s="53">
        <f t="shared" si="101"/>
        <v>6.6818815772790668E-2</v>
      </c>
      <c r="P317" s="52" t="e">
        <f t="shared" si="102"/>
        <v>#DIV/0!</v>
      </c>
      <c r="Q317" s="53" t="e">
        <f t="shared" si="94"/>
        <v>#DIV/0!</v>
      </c>
      <c r="R317" s="53">
        <f t="shared" si="103"/>
        <v>6.1584162002572045E-2</v>
      </c>
      <c r="S317" s="52" t="e">
        <f t="shared" si="104"/>
        <v>#DIV/0!</v>
      </c>
      <c r="T317" s="56">
        <f>SUM(T318:T322)</f>
        <v>0</v>
      </c>
      <c r="U317" s="56">
        <f>SUM(U318:U322)</f>
        <v>33212</v>
      </c>
      <c r="V317" s="52">
        <f t="shared" si="105"/>
        <v>-1</v>
      </c>
      <c r="W317" s="56">
        <f>SUM(W318:W322)</f>
        <v>0</v>
      </c>
      <c r="X317" s="56">
        <f>SUM(X318:X322)</f>
        <v>21</v>
      </c>
      <c r="Y317" s="52">
        <f t="shared" si="106"/>
        <v>-1</v>
      </c>
      <c r="Z317" s="51" t="e">
        <f t="shared" si="95"/>
        <v>#DIV/0!</v>
      </c>
      <c r="AA317" s="54">
        <f t="shared" si="107"/>
        <v>100.38095238095238</v>
      </c>
      <c r="AB317" s="52" t="e">
        <f t="shared" si="108"/>
        <v>#DIV/0!</v>
      </c>
      <c r="AC317" s="56">
        <f>SUM(AC318:AC322)</f>
        <v>0</v>
      </c>
      <c r="AD317" s="56">
        <f>SUM(AD318:AD322)</f>
        <v>2251260</v>
      </c>
      <c r="AE317" s="52">
        <f t="shared" si="109"/>
        <v>-1</v>
      </c>
      <c r="AF317" s="56">
        <f>SUM(AF318:AF322)</f>
        <v>0</v>
      </c>
      <c r="AG317" s="56">
        <f>SUM(AG318:AG322)</f>
        <v>45555</v>
      </c>
      <c r="AH317" s="67">
        <f t="shared" si="110"/>
        <v>-1</v>
      </c>
      <c r="AI317" s="56">
        <f>SUM(AI318:AI322)</f>
        <v>0</v>
      </c>
      <c r="AJ317" s="56">
        <f>SUM(AJ318:AJ322)</f>
        <v>6305856</v>
      </c>
      <c r="AK317" s="52">
        <f t="shared" si="111"/>
        <v>-1</v>
      </c>
      <c r="AL317" s="82" t="e">
        <f t="shared" si="96"/>
        <v>#DIV/0!</v>
      </c>
      <c r="AM317" s="82">
        <f t="shared" si="112"/>
        <v>7.2242372803946048E-3</v>
      </c>
      <c r="AN317" s="52" t="e">
        <f>(AL317-AM317)/AM317</f>
        <v>#DIV/0!</v>
      </c>
      <c r="AO317" s="68"/>
    </row>
    <row r="318" spans="1:41" s="96" customFormat="1" ht="15.75" customHeight="1" x14ac:dyDescent="0.3">
      <c r="A318" s="279"/>
      <c r="B318" s="279"/>
      <c r="C318" s="280"/>
      <c r="D318" s="280"/>
      <c r="E318" s="281"/>
      <c r="F318" s="281"/>
      <c r="G318" s="282" t="e">
        <f t="shared" si="97"/>
        <v>#DIV/0!</v>
      </c>
      <c r="H318" s="281"/>
      <c r="I318" s="283"/>
      <c r="J318" s="282" t="e">
        <f t="shared" si="98"/>
        <v>#DIV/0!</v>
      </c>
      <c r="K318" s="281">
        <f t="shared" si="92"/>
        <v>0</v>
      </c>
      <c r="L318" s="281">
        <f t="shared" si="99"/>
        <v>0</v>
      </c>
      <c r="M318" s="282" t="e">
        <f t="shared" si="100"/>
        <v>#DIV/0!</v>
      </c>
      <c r="N318" s="283" t="e">
        <f t="shared" si="93"/>
        <v>#DIV/0!</v>
      </c>
      <c r="O318" s="283" t="e">
        <f t="shared" si="101"/>
        <v>#DIV/0!</v>
      </c>
      <c r="P318" s="282" t="e">
        <f t="shared" si="102"/>
        <v>#DIV/0!</v>
      </c>
      <c r="Q318" s="283" t="e">
        <f t="shared" si="94"/>
        <v>#DIV/0!</v>
      </c>
      <c r="R318" s="283" t="e">
        <f t="shared" si="103"/>
        <v>#DIV/0!</v>
      </c>
      <c r="S318" s="282" t="e">
        <f t="shared" si="104"/>
        <v>#DIV/0!</v>
      </c>
      <c r="T318" s="284"/>
      <c r="U318" s="284"/>
      <c r="V318" s="282" t="e">
        <f t="shared" si="105"/>
        <v>#DIV/0!</v>
      </c>
      <c r="W318" s="284"/>
      <c r="X318" s="284"/>
      <c r="Y318" s="282" t="e">
        <f t="shared" si="106"/>
        <v>#DIV/0!</v>
      </c>
      <c r="Z318" s="284" t="e">
        <f t="shared" si="95"/>
        <v>#DIV/0!</v>
      </c>
      <c r="AA318" s="284" t="e">
        <f t="shared" si="107"/>
        <v>#DIV/0!</v>
      </c>
      <c r="AB318" s="282" t="e">
        <f t="shared" si="108"/>
        <v>#DIV/0!</v>
      </c>
      <c r="AC318" s="285"/>
      <c r="AD318" s="284"/>
      <c r="AE318" s="282" t="e">
        <f t="shared" si="109"/>
        <v>#DIV/0!</v>
      </c>
      <c r="AF318" s="284"/>
      <c r="AG318" s="284"/>
      <c r="AH318" s="86" t="e">
        <f t="shared" si="110"/>
        <v>#DIV/0!</v>
      </c>
      <c r="AI318" s="284"/>
      <c r="AJ318" s="284"/>
      <c r="AK318" s="282" t="e">
        <f t="shared" si="111"/>
        <v>#DIV/0!</v>
      </c>
      <c r="AL318" s="286" t="e">
        <f t="shared" si="96"/>
        <v>#DIV/0!</v>
      </c>
      <c r="AM318" s="286" t="e">
        <f t="shared" si="112"/>
        <v>#DIV/0!</v>
      </c>
      <c r="AN318" s="282" t="e">
        <f t="shared" si="113"/>
        <v>#DIV/0!</v>
      </c>
      <c r="AO318" s="86"/>
    </row>
    <row r="319" spans="1:41" s="96" customFormat="1" ht="15.75" customHeight="1" x14ac:dyDescent="0.3">
      <c r="A319" s="279"/>
      <c r="B319" s="279"/>
      <c r="C319" s="280"/>
      <c r="D319" s="280"/>
      <c r="E319" s="281"/>
      <c r="F319" s="281"/>
      <c r="G319" s="282" t="e">
        <f t="shared" si="97"/>
        <v>#DIV/0!</v>
      </c>
      <c r="H319" s="281"/>
      <c r="I319" s="283"/>
      <c r="J319" s="282" t="e">
        <f t="shared" si="98"/>
        <v>#DIV/0!</v>
      </c>
      <c r="K319" s="281">
        <f t="shared" si="92"/>
        <v>0</v>
      </c>
      <c r="L319" s="281">
        <f t="shared" si="99"/>
        <v>0</v>
      </c>
      <c r="M319" s="282" t="e">
        <f t="shared" si="100"/>
        <v>#DIV/0!</v>
      </c>
      <c r="N319" s="283" t="e">
        <f t="shared" si="93"/>
        <v>#DIV/0!</v>
      </c>
      <c r="O319" s="283" t="e">
        <f t="shared" si="101"/>
        <v>#DIV/0!</v>
      </c>
      <c r="P319" s="282" t="e">
        <f t="shared" si="102"/>
        <v>#DIV/0!</v>
      </c>
      <c r="Q319" s="283" t="e">
        <f t="shared" si="94"/>
        <v>#DIV/0!</v>
      </c>
      <c r="R319" s="283" t="e">
        <f t="shared" si="103"/>
        <v>#DIV/0!</v>
      </c>
      <c r="S319" s="282" t="e">
        <f t="shared" si="104"/>
        <v>#DIV/0!</v>
      </c>
      <c r="T319" s="284"/>
      <c r="U319" s="284"/>
      <c r="V319" s="282" t="e">
        <f t="shared" si="105"/>
        <v>#DIV/0!</v>
      </c>
      <c r="W319" s="284"/>
      <c r="X319" s="284"/>
      <c r="Y319" s="282" t="e">
        <f t="shared" si="106"/>
        <v>#DIV/0!</v>
      </c>
      <c r="Z319" s="284" t="e">
        <f t="shared" si="95"/>
        <v>#DIV/0!</v>
      </c>
      <c r="AA319" s="284" t="e">
        <f t="shared" si="107"/>
        <v>#DIV/0!</v>
      </c>
      <c r="AB319" s="282" t="e">
        <f t="shared" si="108"/>
        <v>#DIV/0!</v>
      </c>
      <c r="AC319" s="285"/>
      <c r="AD319" s="284"/>
      <c r="AE319" s="282" t="e">
        <f t="shared" si="109"/>
        <v>#DIV/0!</v>
      </c>
      <c r="AF319" s="284"/>
      <c r="AG319" s="284"/>
      <c r="AH319" s="86" t="e">
        <f t="shared" si="110"/>
        <v>#DIV/0!</v>
      </c>
      <c r="AI319" s="284"/>
      <c r="AJ319" s="284"/>
      <c r="AK319" s="282" t="e">
        <f t="shared" si="111"/>
        <v>#DIV/0!</v>
      </c>
      <c r="AL319" s="286" t="e">
        <f t="shared" si="96"/>
        <v>#DIV/0!</v>
      </c>
      <c r="AM319" s="286" t="e">
        <f t="shared" si="112"/>
        <v>#DIV/0!</v>
      </c>
      <c r="AN319" s="282" t="e">
        <f t="shared" si="113"/>
        <v>#DIV/0!</v>
      </c>
      <c r="AO319" s="86"/>
    </row>
    <row r="320" spans="1:41" s="96" customFormat="1" ht="15.75" customHeight="1" x14ac:dyDescent="0.3">
      <c r="A320" s="279"/>
      <c r="B320" s="279"/>
      <c r="C320" s="280"/>
      <c r="D320" s="280"/>
      <c r="E320" s="281"/>
      <c r="F320" s="281"/>
      <c r="G320" s="282" t="e">
        <f t="shared" si="97"/>
        <v>#DIV/0!</v>
      </c>
      <c r="H320" s="281"/>
      <c r="I320" s="283"/>
      <c r="J320" s="282" t="e">
        <f t="shared" si="98"/>
        <v>#DIV/0!</v>
      </c>
      <c r="K320" s="281">
        <f t="shared" si="92"/>
        <v>0</v>
      </c>
      <c r="L320" s="281">
        <f t="shared" si="99"/>
        <v>0</v>
      </c>
      <c r="M320" s="282" t="e">
        <f t="shared" si="100"/>
        <v>#DIV/0!</v>
      </c>
      <c r="N320" s="283" t="e">
        <f t="shared" si="93"/>
        <v>#DIV/0!</v>
      </c>
      <c r="O320" s="283" t="e">
        <f t="shared" si="101"/>
        <v>#DIV/0!</v>
      </c>
      <c r="P320" s="282" t="e">
        <f t="shared" si="102"/>
        <v>#DIV/0!</v>
      </c>
      <c r="Q320" s="283" t="e">
        <f t="shared" si="94"/>
        <v>#DIV/0!</v>
      </c>
      <c r="R320" s="283" t="e">
        <f t="shared" si="103"/>
        <v>#DIV/0!</v>
      </c>
      <c r="S320" s="282" t="e">
        <f t="shared" si="104"/>
        <v>#DIV/0!</v>
      </c>
      <c r="T320" s="284"/>
      <c r="U320" s="284"/>
      <c r="V320" s="282" t="e">
        <f t="shared" si="105"/>
        <v>#DIV/0!</v>
      </c>
      <c r="W320" s="284"/>
      <c r="X320" s="284"/>
      <c r="Y320" s="282" t="e">
        <f t="shared" si="106"/>
        <v>#DIV/0!</v>
      </c>
      <c r="Z320" s="284" t="e">
        <f t="shared" si="95"/>
        <v>#DIV/0!</v>
      </c>
      <c r="AA320" s="284" t="e">
        <f t="shared" si="107"/>
        <v>#DIV/0!</v>
      </c>
      <c r="AB320" s="282" t="e">
        <f t="shared" si="108"/>
        <v>#DIV/0!</v>
      </c>
      <c r="AC320" s="285"/>
      <c r="AD320" s="284"/>
      <c r="AE320" s="282" t="e">
        <f t="shared" si="109"/>
        <v>#DIV/0!</v>
      </c>
      <c r="AF320" s="284"/>
      <c r="AG320" s="284"/>
      <c r="AH320" s="86" t="e">
        <f t="shared" si="110"/>
        <v>#DIV/0!</v>
      </c>
      <c r="AI320" s="284"/>
      <c r="AJ320" s="284"/>
      <c r="AK320" s="282" t="e">
        <f t="shared" si="111"/>
        <v>#DIV/0!</v>
      </c>
      <c r="AL320" s="286" t="e">
        <f t="shared" si="96"/>
        <v>#DIV/0!</v>
      </c>
      <c r="AM320" s="286" t="e">
        <f t="shared" si="112"/>
        <v>#DIV/0!</v>
      </c>
      <c r="AN320" s="282" t="e">
        <f t="shared" si="113"/>
        <v>#DIV/0!</v>
      </c>
      <c r="AO320" s="86"/>
    </row>
    <row r="321" spans="1:41" s="96" customFormat="1" ht="15.75" customHeight="1" x14ac:dyDescent="0.3">
      <c r="A321" s="279"/>
      <c r="B321" s="279"/>
      <c r="C321" s="280"/>
      <c r="D321" s="280"/>
      <c r="E321" s="281"/>
      <c r="F321" s="281"/>
      <c r="G321" s="282" t="e">
        <f t="shared" si="97"/>
        <v>#DIV/0!</v>
      </c>
      <c r="H321" s="281"/>
      <c r="I321" s="283"/>
      <c r="J321" s="282" t="e">
        <f t="shared" si="98"/>
        <v>#DIV/0!</v>
      </c>
      <c r="K321" s="281">
        <f t="shared" si="92"/>
        <v>0</v>
      </c>
      <c r="L321" s="281">
        <f t="shared" si="99"/>
        <v>0</v>
      </c>
      <c r="M321" s="282" t="e">
        <f t="shared" si="100"/>
        <v>#DIV/0!</v>
      </c>
      <c r="N321" s="283" t="e">
        <f t="shared" si="93"/>
        <v>#DIV/0!</v>
      </c>
      <c r="O321" s="283" t="e">
        <f t="shared" si="101"/>
        <v>#DIV/0!</v>
      </c>
      <c r="P321" s="282" t="e">
        <f t="shared" si="102"/>
        <v>#DIV/0!</v>
      </c>
      <c r="Q321" s="283" t="e">
        <f t="shared" si="94"/>
        <v>#DIV/0!</v>
      </c>
      <c r="R321" s="283" t="e">
        <f t="shared" si="103"/>
        <v>#DIV/0!</v>
      </c>
      <c r="S321" s="282" t="e">
        <f t="shared" si="104"/>
        <v>#DIV/0!</v>
      </c>
      <c r="T321" s="284"/>
      <c r="U321" s="284"/>
      <c r="V321" s="282" t="e">
        <f t="shared" si="105"/>
        <v>#DIV/0!</v>
      </c>
      <c r="W321" s="284"/>
      <c r="X321" s="284"/>
      <c r="Y321" s="282" t="e">
        <f t="shared" si="106"/>
        <v>#DIV/0!</v>
      </c>
      <c r="Z321" s="284" t="e">
        <f t="shared" si="95"/>
        <v>#DIV/0!</v>
      </c>
      <c r="AA321" s="284" t="e">
        <f t="shared" si="107"/>
        <v>#DIV/0!</v>
      </c>
      <c r="AB321" s="282" t="e">
        <f t="shared" si="108"/>
        <v>#DIV/0!</v>
      </c>
      <c r="AC321" s="285"/>
      <c r="AD321" s="284"/>
      <c r="AE321" s="282" t="e">
        <f t="shared" si="109"/>
        <v>#DIV/0!</v>
      </c>
      <c r="AF321" s="284"/>
      <c r="AG321" s="284"/>
      <c r="AH321" s="86" t="e">
        <f t="shared" si="110"/>
        <v>#DIV/0!</v>
      </c>
      <c r="AI321" s="284"/>
      <c r="AJ321" s="284"/>
      <c r="AK321" s="282" t="e">
        <f t="shared" si="111"/>
        <v>#DIV/0!</v>
      </c>
      <c r="AL321" s="286" t="e">
        <f t="shared" si="96"/>
        <v>#DIV/0!</v>
      </c>
      <c r="AM321" s="286" t="e">
        <f t="shared" si="112"/>
        <v>#DIV/0!</v>
      </c>
      <c r="AN321" s="282" t="e">
        <f t="shared" si="113"/>
        <v>#DIV/0!</v>
      </c>
      <c r="AO321" s="86"/>
    </row>
    <row r="322" spans="1:41" s="296" customFormat="1" ht="15.75" customHeight="1" thickBot="1" x14ac:dyDescent="0.35">
      <c r="A322" s="287"/>
      <c r="B322" s="287"/>
      <c r="C322" s="288"/>
      <c r="D322" s="345" t="s">
        <v>274</v>
      </c>
      <c r="E322" s="289"/>
      <c r="F322" s="289">
        <v>2108</v>
      </c>
      <c r="G322" s="290">
        <f t="shared" si="97"/>
        <v>-1</v>
      </c>
      <c r="H322" s="289"/>
      <c r="I322" s="291">
        <v>31548</v>
      </c>
      <c r="J322" s="290">
        <f t="shared" si="98"/>
        <v>-1</v>
      </c>
      <c r="K322" s="289">
        <f t="shared" si="92"/>
        <v>0</v>
      </c>
      <c r="L322" s="289">
        <f t="shared" si="99"/>
        <v>34229.58</v>
      </c>
      <c r="M322" s="290">
        <f t="shared" si="100"/>
        <v>-1</v>
      </c>
      <c r="N322" s="291" t="e">
        <f t="shared" si="93"/>
        <v>#DIV/0!</v>
      </c>
      <c r="O322" s="291">
        <f t="shared" si="101"/>
        <v>6.6818815772790668E-2</v>
      </c>
      <c r="P322" s="290" t="e">
        <f t="shared" si="102"/>
        <v>#DIV/0!</v>
      </c>
      <c r="Q322" s="291" t="e">
        <f t="shared" si="94"/>
        <v>#DIV/0!</v>
      </c>
      <c r="R322" s="291">
        <f t="shared" si="103"/>
        <v>6.1584162002572045E-2</v>
      </c>
      <c r="S322" s="290" t="e">
        <f t="shared" si="104"/>
        <v>#DIV/0!</v>
      </c>
      <c r="T322" s="292"/>
      <c r="U322" s="292">
        <v>33212</v>
      </c>
      <c r="V322" s="290">
        <f t="shared" si="105"/>
        <v>-1</v>
      </c>
      <c r="W322" s="292"/>
      <c r="X322" s="292">
        <v>21</v>
      </c>
      <c r="Y322" s="290">
        <f t="shared" si="106"/>
        <v>-1</v>
      </c>
      <c r="Z322" s="292" t="e">
        <f t="shared" si="95"/>
        <v>#DIV/0!</v>
      </c>
      <c r="AA322" s="292">
        <f t="shared" si="107"/>
        <v>100.38095238095238</v>
      </c>
      <c r="AB322" s="290" t="e">
        <f t="shared" si="108"/>
        <v>#DIV/0!</v>
      </c>
      <c r="AC322" s="293"/>
      <c r="AD322" s="292">
        <v>2251260</v>
      </c>
      <c r="AE322" s="290">
        <f t="shared" si="109"/>
        <v>-1</v>
      </c>
      <c r="AF322" s="292"/>
      <c r="AG322" s="292">
        <v>45555</v>
      </c>
      <c r="AH322" s="294">
        <f t="shared" si="110"/>
        <v>-1</v>
      </c>
      <c r="AI322" s="292"/>
      <c r="AJ322" s="292">
        <v>6305856</v>
      </c>
      <c r="AK322" s="290">
        <f t="shared" si="111"/>
        <v>-1</v>
      </c>
      <c r="AL322" s="295" t="e">
        <f t="shared" si="96"/>
        <v>#DIV/0!</v>
      </c>
      <c r="AM322" s="295">
        <f t="shared" si="112"/>
        <v>7.2242372803946048E-3</v>
      </c>
      <c r="AN322" s="290" t="e">
        <f t="shared" si="113"/>
        <v>#DIV/0!</v>
      </c>
      <c r="AO322" s="294"/>
    </row>
    <row r="323" spans="1:41" s="161" customFormat="1" ht="19.5" customHeight="1" x14ac:dyDescent="0.3">
      <c r="A323" s="172" t="s">
        <v>94</v>
      </c>
      <c r="B323" s="173"/>
      <c r="C323" s="174"/>
      <c r="D323" s="174"/>
      <c r="E323" s="175">
        <f>SUM(E2:E317)</f>
        <v>29110</v>
      </c>
      <c r="F323" s="175">
        <f>SUM(F2:F317)</f>
        <v>35232</v>
      </c>
      <c r="G323" s="180">
        <f t="shared" si="97"/>
        <v>-0.17376248864668484</v>
      </c>
      <c r="H323" s="175">
        <f>SUM(H2:H317)</f>
        <v>181887.82000000004</v>
      </c>
      <c r="I323" s="175">
        <f>SUM(I2:I317)</f>
        <v>377212.75999999989</v>
      </c>
      <c r="J323" s="180">
        <f t="shared" si="98"/>
        <v>-0.51781106238293717</v>
      </c>
      <c r="K323" s="175">
        <f>SUM(K2:K317)</f>
        <v>225852.3847</v>
      </c>
      <c r="L323" s="175">
        <f>SUM(L2:L317)</f>
        <v>409275.84460000013</v>
      </c>
      <c r="M323" s="180">
        <f t="shared" si="100"/>
        <v>-0.44816585762413225</v>
      </c>
      <c r="N323" s="176">
        <f t="shared" si="93"/>
        <v>0.16004370166182647</v>
      </c>
      <c r="O323" s="176">
        <f t="shared" si="101"/>
        <v>9.3400870108423711E-2</v>
      </c>
      <c r="P323" s="180">
        <f t="shared" si="102"/>
        <v>0.71351403339220409</v>
      </c>
      <c r="Q323" s="176">
        <f>H323/K323</f>
        <v>0.80533938236517566</v>
      </c>
      <c r="R323" s="176">
        <f>I323/L323</f>
        <v>0.92165898617511466</v>
      </c>
      <c r="S323" s="180">
        <f t="shared" si="104"/>
        <v>-0.1262067701337839</v>
      </c>
      <c r="T323" s="177">
        <f>SUM(T2:T317)</f>
        <v>151350</v>
      </c>
      <c r="U323" s="177">
        <f>SUM(U2:U317)</f>
        <v>325884</v>
      </c>
      <c r="V323" s="180">
        <f t="shared" si="105"/>
        <v>-0.5355709393526531</v>
      </c>
      <c r="W323" s="177">
        <f>SUM(W2:W317)</f>
        <v>256</v>
      </c>
      <c r="X323" s="177">
        <f>SUM(X2:X317)</f>
        <v>385</v>
      </c>
      <c r="Y323" s="180">
        <f t="shared" si="106"/>
        <v>-0.33506493506493507</v>
      </c>
      <c r="Z323" s="175">
        <f t="shared" si="95"/>
        <v>113.7109375</v>
      </c>
      <c r="AA323" s="175">
        <f t="shared" si="107"/>
        <v>91.511688311688317</v>
      </c>
      <c r="AB323" s="180">
        <f t="shared" si="108"/>
        <v>0.24258375730869655</v>
      </c>
      <c r="AC323" s="177">
        <f>SUM(AC2:AC317)</f>
        <v>14573260</v>
      </c>
      <c r="AD323" s="177">
        <f>SUM(AD2:AD317)</f>
        <v>30179540</v>
      </c>
      <c r="AE323" s="180">
        <f t="shared" si="109"/>
        <v>-0.51711457497364111</v>
      </c>
      <c r="AF323" s="177">
        <f>SUM(AF2:AF317)</f>
        <v>301368</v>
      </c>
      <c r="AG323" s="177">
        <f>SUM(AG2:AG317)</f>
        <v>446553</v>
      </c>
      <c r="AH323" s="180">
        <f t="shared" si="110"/>
        <v>-0.3251237814996204</v>
      </c>
      <c r="AI323" s="177">
        <f>SUM(AI2:AI317)</f>
        <v>42391112</v>
      </c>
      <c r="AJ323" s="177">
        <f>SUM(AJ2:AJ317)</f>
        <v>54985848</v>
      </c>
      <c r="AK323" s="180">
        <f t="shared" si="111"/>
        <v>-0.22905413771194363</v>
      </c>
      <c r="AL323" s="178">
        <f t="shared" si="96"/>
        <v>7.1092261038115728E-3</v>
      </c>
      <c r="AM323" s="178">
        <f t="shared" si="112"/>
        <v>8.1212351221717997E-3</v>
      </c>
      <c r="AN323" s="180">
        <f t="shared" si="0"/>
        <v>-0.12461269783919186</v>
      </c>
      <c r="AO323" s="160"/>
    </row>
    <row r="324" spans="1:41" ht="15.75" x14ac:dyDescent="0.25">
      <c r="A324" s="44"/>
      <c r="B324" s="45"/>
      <c r="C324" s="45"/>
      <c r="D324" s="45"/>
      <c r="E324" s="39"/>
      <c r="F324" s="39"/>
      <c r="G324" s="40"/>
      <c r="H324" s="39"/>
      <c r="I324" s="39"/>
      <c r="J324" s="40"/>
      <c r="K324" s="39"/>
      <c r="L324" s="39"/>
      <c r="M324" s="40"/>
      <c r="N324" s="41"/>
      <c r="O324" s="41"/>
      <c r="P324" s="40"/>
      <c r="Q324" s="41"/>
      <c r="R324" s="41"/>
      <c r="S324" s="40"/>
      <c r="T324" s="42"/>
      <c r="U324" s="42"/>
      <c r="V324" s="40"/>
      <c r="W324" s="42"/>
      <c r="X324" s="42"/>
      <c r="Y324" s="40"/>
      <c r="Z324" s="42"/>
      <c r="AA324" s="42"/>
      <c r="AB324" s="40"/>
      <c r="AC324" s="42"/>
      <c r="AD324" s="42"/>
      <c r="AE324" s="40"/>
      <c r="AF324" s="42"/>
      <c r="AG324" s="42"/>
      <c r="AH324" s="42"/>
      <c r="AI324" s="42"/>
      <c r="AJ324" s="42"/>
      <c r="AK324" s="40"/>
      <c r="AL324" s="84"/>
      <c r="AM324" s="84"/>
      <c r="AN324" s="40"/>
      <c r="AO324" s="23"/>
    </row>
    <row r="325" spans="1:41" ht="15.75" x14ac:dyDescent="0.25">
      <c r="A325" s="44"/>
      <c r="B325" s="36"/>
      <c r="C325" s="36"/>
      <c r="D325" s="36"/>
      <c r="E325" s="39"/>
      <c r="F325" s="39"/>
      <c r="G325" s="40"/>
      <c r="H325" s="39"/>
      <c r="I325" s="39"/>
      <c r="J325" s="40"/>
      <c r="K325" s="39"/>
      <c r="L325" s="39"/>
      <c r="M325" s="40"/>
      <c r="N325" s="41"/>
      <c r="O325" s="41"/>
      <c r="P325" s="40"/>
      <c r="Q325" s="41"/>
      <c r="R325" s="41"/>
      <c r="S325" s="40"/>
      <c r="T325" s="42"/>
      <c r="U325" s="42"/>
      <c r="V325" s="40"/>
      <c r="W325" s="42"/>
      <c r="X325" s="42"/>
      <c r="Y325" s="40"/>
      <c r="Z325" s="42"/>
      <c r="AA325" s="42"/>
      <c r="AB325" s="40"/>
      <c r="AC325" s="42"/>
      <c r="AD325" s="42"/>
      <c r="AE325" s="40"/>
      <c r="AF325" s="42"/>
      <c r="AG325" s="42"/>
      <c r="AH325" s="42"/>
      <c r="AI325" s="42"/>
      <c r="AJ325" s="42"/>
      <c r="AK325" s="40"/>
      <c r="AL325" s="84"/>
      <c r="AM325" s="84"/>
      <c r="AN325" s="40"/>
      <c r="AO325" s="23"/>
    </row>
    <row r="326" spans="1:41" ht="15.75" x14ac:dyDescent="0.25">
      <c r="A326" s="44"/>
      <c r="B326" s="44"/>
      <c r="C326" s="46"/>
      <c r="D326" s="46"/>
      <c r="E326" s="39"/>
      <c r="F326" s="39"/>
      <c r="G326" s="40"/>
      <c r="H326" s="39"/>
      <c r="I326" s="39"/>
      <c r="J326" s="40"/>
      <c r="K326" s="39"/>
      <c r="L326" s="39"/>
      <c r="M326" s="40"/>
      <c r="N326" s="41"/>
      <c r="O326" s="41"/>
      <c r="P326" s="40"/>
      <c r="Q326" s="41"/>
      <c r="R326" s="41"/>
      <c r="S326" s="40"/>
      <c r="T326" s="42"/>
      <c r="U326" s="42"/>
      <c r="V326" s="40"/>
      <c r="W326" s="42"/>
      <c r="X326" s="42"/>
      <c r="Y326" s="40"/>
      <c r="Z326" s="42"/>
      <c r="AA326" s="42"/>
      <c r="AB326" s="40"/>
      <c r="AC326" s="42"/>
      <c r="AD326" s="42"/>
      <c r="AE326" s="40"/>
      <c r="AF326" s="42"/>
      <c r="AG326" s="42"/>
      <c r="AH326" s="42"/>
      <c r="AI326" s="42"/>
      <c r="AJ326" s="42"/>
      <c r="AK326" s="40"/>
      <c r="AL326" s="84"/>
      <c r="AM326" s="84"/>
      <c r="AN326" s="40"/>
      <c r="AO326" s="23"/>
    </row>
    <row r="327" spans="1:41" ht="15.75" x14ac:dyDescent="0.25">
      <c r="A327" s="44"/>
      <c r="B327" s="23"/>
      <c r="C327" s="23"/>
      <c r="D327" s="36"/>
      <c r="E327" s="23"/>
      <c r="F327" s="23"/>
      <c r="G327" s="40"/>
      <c r="H327" s="23"/>
      <c r="I327" s="23"/>
      <c r="J327" s="40"/>
      <c r="K327" s="36"/>
      <c r="L327" s="36"/>
      <c r="M327" s="40"/>
      <c r="N327" s="23"/>
      <c r="O327" s="36"/>
      <c r="P327" s="40"/>
      <c r="Q327" s="36"/>
      <c r="R327" s="36"/>
      <c r="S327" s="40"/>
      <c r="T327" s="23"/>
      <c r="U327" s="23"/>
      <c r="V327" s="40"/>
      <c r="W327" s="23"/>
      <c r="X327" s="23"/>
      <c r="Y327" s="40"/>
      <c r="Z327" s="23"/>
      <c r="AA327" s="23"/>
      <c r="AB327" s="40"/>
      <c r="AC327" s="42"/>
      <c r="AD327" s="42"/>
      <c r="AE327" s="40"/>
      <c r="AF327" s="42"/>
      <c r="AG327" s="42"/>
      <c r="AH327" s="23"/>
      <c r="AI327" s="42"/>
      <c r="AJ327" s="42"/>
      <c r="AK327" s="40"/>
      <c r="AL327" s="84"/>
      <c r="AM327" s="84"/>
      <c r="AN327" s="40"/>
      <c r="AO327" s="23"/>
    </row>
    <row r="328" spans="1:41" ht="15.75" x14ac:dyDescent="0.25">
      <c r="A328" s="44"/>
      <c r="B328" s="23"/>
      <c r="C328" s="23"/>
      <c r="D328" s="36"/>
      <c r="E328" s="23"/>
      <c r="F328" s="23"/>
      <c r="G328" s="40"/>
      <c r="H328" s="23"/>
      <c r="I328" s="23"/>
      <c r="J328" s="40"/>
      <c r="K328" s="36"/>
      <c r="L328" s="36"/>
      <c r="M328" s="40"/>
      <c r="N328" s="23"/>
      <c r="O328" s="36"/>
      <c r="P328" s="40"/>
      <c r="Q328" s="36"/>
      <c r="R328" s="36"/>
      <c r="S328" s="40"/>
      <c r="T328" s="23"/>
      <c r="U328" s="23"/>
      <c r="V328" s="40"/>
      <c r="W328" s="23"/>
      <c r="X328" s="23"/>
      <c r="Y328" s="40"/>
      <c r="Z328" s="23"/>
      <c r="AA328" s="23"/>
      <c r="AB328" s="40"/>
      <c r="AC328" s="42"/>
      <c r="AD328" s="42"/>
      <c r="AE328" s="40"/>
      <c r="AF328" s="42"/>
      <c r="AG328" s="42"/>
      <c r="AH328" s="23"/>
      <c r="AI328" s="42"/>
      <c r="AJ328" s="42"/>
      <c r="AK328" s="40"/>
      <c r="AL328" s="84"/>
      <c r="AM328" s="84"/>
      <c r="AN328" s="40"/>
      <c r="AO328" s="23"/>
    </row>
    <row r="329" spans="1:41" ht="15.75" x14ac:dyDescent="0.25">
      <c r="A329" s="44"/>
      <c r="B329" s="23"/>
      <c r="C329" s="23"/>
      <c r="D329" s="36"/>
      <c r="E329" s="23"/>
      <c r="F329" s="23"/>
      <c r="G329" s="40"/>
      <c r="H329" s="23"/>
      <c r="I329" s="23"/>
      <c r="J329" s="40"/>
      <c r="K329" s="36"/>
      <c r="L329" s="36"/>
      <c r="M329" s="40"/>
      <c r="N329" s="23"/>
      <c r="O329" s="36"/>
      <c r="P329" s="40"/>
      <c r="Q329" s="36"/>
      <c r="R329" s="36"/>
      <c r="S329" s="40"/>
      <c r="T329" s="23"/>
      <c r="U329" s="23"/>
      <c r="V329" s="40"/>
      <c r="W329" s="23"/>
      <c r="X329" s="23"/>
      <c r="Y329" s="40"/>
      <c r="Z329" s="23"/>
      <c r="AA329" s="23"/>
      <c r="AB329" s="40"/>
      <c r="AC329" s="42"/>
      <c r="AD329" s="42"/>
      <c r="AE329" s="40"/>
      <c r="AF329" s="42"/>
      <c r="AG329" s="42"/>
      <c r="AH329" s="23"/>
      <c r="AI329" s="42"/>
      <c r="AJ329" s="42"/>
      <c r="AK329" s="40"/>
      <c r="AL329" s="84"/>
      <c r="AM329" s="84"/>
      <c r="AN329" s="40"/>
      <c r="AO329" s="23"/>
    </row>
    <row r="330" spans="1:41" ht="15.75" x14ac:dyDescent="0.25">
      <c r="A330" s="44"/>
      <c r="B330" s="23"/>
      <c r="C330" s="23"/>
      <c r="D330" s="36"/>
      <c r="E330" s="23"/>
      <c r="F330" s="23"/>
      <c r="G330" s="40"/>
      <c r="H330" s="23"/>
      <c r="I330" s="23"/>
      <c r="J330" s="40"/>
      <c r="K330" s="36"/>
      <c r="L330" s="36"/>
      <c r="M330" s="40"/>
      <c r="N330" s="23"/>
      <c r="O330" s="36"/>
      <c r="P330" s="40"/>
      <c r="Q330" s="36"/>
      <c r="R330" s="36"/>
      <c r="S330" s="40"/>
      <c r="T330" s="23"/>
      <c r="U330" s="23"/>
      <c r="V330" s="40"/>
      <c r="W330" s="23"/>
      <c r="X330" s="23"/>
      <c r="Y330" s="40"/>
      <c r="Z330" s="23"/>
      <c r="AA330" s="23"/>
      <c r="AB330" s="40"/>
      <c r="AC330" s="42"/>
      <c r="AD330" s="42"/>
      <c r="AE330" s="40"/>
      <c r="AF330" s="42"/>
      <c r="AG330" s="42"/>
      <c r="AH330" s="23"/>
      <c r="AI330" s="42"/>
      <c r="AJ330" s="42"/>
      <c r="AK330" s="40"/>
      <c r="AL330" s="84"/>
      <c r="AM330" s="84"/>
      <c r="AN330" s="40"/>
      <c r="AO330" s="23"/>
    </row>
    <row r="331" spans="1:41" ht="15.75" x14ac:dyDescent="0.25">
      <c r="A331" s="44"/>
      <c r="B331" s="23"/>
      <c r="C331" s="23"/>
      <c r="D331" s="36"/>
      <c r="E331" s="23"/>
      <c r="F331" s="23"/>
      <c r="G331" s="40"/>
      <c r="H331" s="23"/>
      <c r="I331" s="23"/>
      <c r="J331" s="40"/>
      <c r="K331" s="36"/>
      <c r="L331" s="36"/>
      <c r="M331" s="40"/>
      <c r="N331" s="23"/>
      <c r="O331" s="36"/>
      <c r="P331" s="40"/>
      <c r="Q331" s="36"/>
      <c r="R331" s="36"/>
      <c r="S331" s="40"/>
      <c r="T331" s="23"/>
      <c r="U331" s="23"/>
      <c r="V331" s="40"/>
      <c r="W331" s="23"/>
      <c r="X331" s="23"/>
      <c r="Y331" s="40"/>
      <c r="Z331" s="23"/>
      <c r="AA331" s="23"/>
      <c r="AB331" s="40"/>
      <c r="AC331" s="42"/>
      <c r="AD331" s="42"/>
      <c r="AE331" s="40"/>
      <c r="AF331" s="42"/>
      <c r="AG331" s="42"/>
      <c r="AH331" s="23"/>
      <c r="AI331" s="42"/>
      <c r="AJ331" s="42"/>
      <c r="AK331" s="40"/>
      <c r="AL331" s="84"/>
      <c r="AM331" s="84"/>
      <c r="AN331" s="40"/>
      <c r="AO331" s="23"/>
    </row>
    <row r="332" spans="1:41" ht="15.75" x14ac:dyDescent="0.25">
      <c r="A332" s="44"/>
      <c r="B332" s="23"/>
      <c r="C332" s="23"/>
      <c r="D332" s="36"/>
      <c r="E332" s="23"/>
      <c r="F332" s="23"/>
      <c r="G332" s="40"/>
      <c r="H332" s="23"/>
      <c r="I332" s="23"/>
      <c r="J332" s="40"/>
      <c r="K332" s="36"/>
      <c r="L332" s="36"/>
      <c r="M332" s="40"/>
      <c r="N332" s="23"/>
      <c r="O332" s="36"/>
      <c r="P332" s="40"/>
      <c r="Q332" s="36"/>
      <c r="R332" s="36"/>
      <c r="S332" s="40"/>
      <c r="T332" s="23"/>
      <c r="U332" s="23"/>
      <c r="V332" s="40"/>
      <c r="W332" s="23"/>
      <c r="X332" s="23"/>
      <c r="Y332" s="40"/>
      <c r="Z332" s="23"/>
      <c r="AA332" s="23"/>
      <c r="AB332" s="40"/>
      <c r="AC332" s="42"/>
      <c r="AD332" s="42"/>
      <c r="AE332" s="40"/>
      <c r="AF332" s="42"/>
      <c r="AG332" s="42"/>
      <c r="AH332" s="23"/>
      <c r="AI332" s="42"/>
      <c r="AJ332" s="42"/>
      <c r="AK332" s="40"/>
      <c r="AL332" s="84"/>
      <c r="AM332" s="84"/>
      <c r="AN332" s="40"/>
      <c r="AO332" s="23"/>
    </row>
    <row r="333" spans="1:41" ht="15.75" x14ac:dyDescent="0.25">
      <c r="A333" s="44"/>
      <c r="B333" s="23"/>
      <c r="C333" s="23"/>
      <c r="D333" s="36"/>
      <c r="E333" s="23"/>
      <c r="F333" s="23"/>
      <c r="G333" s="40"/>
      <c r="H333" s="23"/>
      <c r="I333" s="23"/>
      <c r="J333" s="40"/>
      <c r="K333" s="36"/>
      <c r="L333" s="36"/>
      <c r="M333" s="40"/>
      <c r="N333" s="23"/>
      <c r="O333" s="36"/>
      <c r="P333" s="40"/>
      <c r="Q333" s="36"/>
      <c r="R333" s="36"/>
      <c r="S333" s="40"/>
      <c r="T333" s="23"/>
      <c r="U333" s="23"/>
      <c r="V333" s="40"/>
      <c r="W333" s="23"/>
      <c r="X333" s="23"/>
      <c r="Y333" s="40"/>
      <c r="Z333" s="23"/>
      <c r="AA333" s="23"/>
      <c r="AB333" s="40"/>
      <c r="AC333" s="42"/>
      <c r="AD333" s="42"/>
      <c r="AE333" s="40"/>
      <c r="AF333" s="42"/>
      <c r="AG333" s="42"/>
      <c r="AH333" s="23"/>
      <c r="AI333" s="42"/>
      <c r="AJ333" s="42"/>
      <c r="AK333" s="40"/>
      <c r="AL333" s="84"/>
      <c r="AM333" s="84"/>
      <c r="AN333" s="40"/>
      <c r="AO333" s="23"/>
    </row>
    <row r="334" spans="1:41" ht="15.75" x14ac:dyDescent="0.25">
      <c r="A334" s="44"/>
      <c r="B334" s="23"/>
      <c r="C334" s="23"/>
      <c r="D334" s="36"/>
      <c r="E334" s="23"/>
      <c r="F334" s="23"/>
      <c r="G334" s="40"/>
      <c r="H334" s="23"/>
      <c r="I334" s="23"/>
      <c r="J334" s="40"/>
      <c r="K334" s="36"/>
      <c r="L334" s="36"/>
      <c r="M334" s="40"/>
      <c r="N334" s="23"/>
      <c r="O334" s="36"/>
      <c r="P334" s="40"/>
      <c r="Q334" s="36"/>
      <c r="R334" s="36"/>
      <c r="S334" s="40"/>
      <c r="T334" s="23"/>
      <c r="U334" s="23"/>
      <c r="V334" s="40"/>
      <c r="W334" s="23"/>
      <c r="X334" s="23"/>
      <c r="Y334" s="40"/>
      <c r="Z334" s="23"/>
      <c r="AA334" s="23"/>
      <c r="AB334" s="40"/>
      <c r="AC334" s="42"/>
      <c r="AD334" s="42"/>
      <c r="AE334" s="40"/>
      <c r="AF334" s="42"/>
      <c r="AG334" s="42"/>
      <c r="AH334" s="23"/>
      <c r="AI334" s="42"/>
      <c r="AJ334" s="42"/>
      <c r="AK334" s="40"/>
      <c r="AL334" s="84"/>
      <c r="AM334" s="84"/>
      <c r="AN334" s="40"/>
      <c r="AO334" s="23"/>
    </row>
    <row r="335" spans="1:41" ht="15.75" x14ac:dyDescent="0.25">
      <c r="A335" s="44"/>
      <c r="B335" s="23"/>
      <c r="C335" s="23"/>
      <c r="D335" s="36"/>
      <c r="E335" s="23"/>
      <c r="F335" s="23"/>
      <c r="G335" s="40"/>
      <c r="H335" s="23"/>
      <c r="I335" s="23"/>
      <c r="J335" s="40"/>
      <c r="K335" s="36"/>
      <c r="L335" s="36"/>
      <c r="M335" s="40"/>
      <c r="N335" s="23"/>
      <c r="O335" s="36"/>
      <c r="P335" s="40"/>
      <c r="Q335" s="36"/>
      <c r="R335" s="36"/>
      <c r="S335" s="40"/>
      <c r="T335" s="23"/>
      <c r="U335" s="23"/>
      <c r="V335" s="40"/>
      <c r="W335" s="23"/>
      <c r="X335" s="23"/>
      <c r="Y335" s="40"/>
      <c r="Z335" s="23"/>
      <c r="AA335" s="23"/>
      <c r="AB335" s="40"/>
      <c r="AC335" s="42"/>
      <c r="AD335" s="42"/>
      <c r="AE335" s="40"/>
      <c r="AF335" s="42"/>
      <c r="AG335" s="42"/>
      <c r="AH335" s="23"/>
      <c r="AI335" s="42"/>
      <c r="AJ335" s="42"/>
      <c r="AK335" s="40"/>
      <c r="AL335" s="84"/>
      <c r="AM335" s="84"/>
      <c r="AN335" s="40"/>
      <c r="AO335" s="23"/>
    </row>
    <row r="336" spans="1:41" ht="15.75" x14ac:dyDescent="0.25">
      <c r="A336" s="44"/>
      <c r="B336" s="23"/>
      <c r="C336" s="23"/>
      <c r="D336" s="36"/>
      <c r="E336" s="23"/>
      <c r="F336" s="23"/>
      <c r="G336" s="40"/>
      <c r="H336" s="23"/>
      <c r="I336" s="23"/>
      <c r="J336" s="40"/>
      <c r="K336" s="36"/>
      <c r="L336" s="36"/>
      <c r="M336" s="40"/>
      <c r="N336" s="23"/>
      <c r="O336" s="36"/>
      <c r="P336" s="40"/>
      <c r="Q336" s="36"/>
      <c r="R336" s="36"/>
      <c r="S336" s="40"/>
      <c r="T336" s="23"/>
      <c r="U336" s="23"/>
      <c r="V336" s="40"/>
      <c r="W336" s="23"/>
      <c r="X336" s="23"/>
      <c r="Y336" s="40"/>
      <c r="Z336" s="23"/>
      <c r="AA336" s="23"/>
      <c r="AB336" s="40"/>
      <c r="AC336" s="42"/>
      <c r="AD336" s="42"/>
      <c r="AE336" s="40"/>
      <c r="AF336" s="42"/>
      <c r="AG336" s="42"/>
      <c r="AH336" s="23"/>
      <c r="AI336" s="42"/>
      <c r="AJ336" s="42"/>
      <c r="AK336" s="40"/>
      <c r="AL336" s="84"/>
      <c r="AM336" s="84"/>
      <c r="AN336" s="40"/>
      <c r="AO336" s="23"/>
    </row>
    <row r="337" spans="1:41" ht="15.75" x14ac:dyDescent="0.25">
      <c r="A337" s="44"/>
      <c r="B337" s="23"/>
      <c r="C337" s="23"/>
      <c r="D337" s="36"/>
      <c r="E337" s="23"/>
      <c r="F337" s="23"/>
      <c r="G337" s="40"/>
      <c r="H337" s="23"/>
      <c r="I337" s="23"/>
      <c r="J337" s="40"/>
      <c r="K337" s="36"/>
      <c r="L337" s="36"/>
      <c r="M337" s="40"/>
      <c r="N337" s="23"/>
      <c r="O337" s="36"/>
      <c r="P337" s="40"/>
      <c r="Q337" s="36"/>
      <c r="R337" s="36"/>
      <c r="S337" s="40"/>
      <c r="T337" s="23"/>
      <c r="U337" s="23"/>
      <c r="V337" s="40"/>
      <c r="W337" s="23"/>
      <c r="X337" s="23"/>
      <c r="Y337" s="40"/>
      <c r="Z337" s="23"/>
      <c r="AA337" s="23"/>
      <c r="AB337" s="40"/>
      <c r="AC337" s="42"/>
      <c r="AD337" s="42"/>
      <c r="AE337" s="40"/>
      <c r="AF337" s="42"/>
      <c r="AG337" s="42"/>
      <c r="AH337" s="23"/>
      <c r="AI337" s="42"/>
      <c r="AJ337" s="42"/>
      <c r="AK337" s="40"/>
      <c r="AL337" s="84"/>
      <c r="AM337" s="84"/>
      <c r="AN337" s="40"/>
      <c r="AO337" s="23"/>
    </row>
    <row r="338" spans="1:41" ht="15.75" x14ac:dyDescent="0.25">
      <c r="A338" s="44"/>
      <c r="B338" s="23"/>
      <c r="C338" s="23"/>
      <c r="D338" s="36"/>
      <c r="E338" s="23"/>
      <c r="F338" s="23"/>
      <c r="G338" s="40"/>
      <c r="H338" s="23"/>
      <c r="I338" s="23"/>
      <c r="J338" s="40"/>
      <c r="K338" s="36"/>
      <c r="L338" s="36"/>
      <c r="M338" s="40"/>
      <c r="N338" s="23"/>
      <c r="O338" s="36"/>
      <c r="P338" s="40"/>
      <c r="Q338" s="36"/>
      <c r="R338" s="36"/>
      <c r="S338" s="40"/>
      <c r="T338" s="23"/>
      <c r="U338" s="23"/>
      <c r="V338" s="40"/>
      <c r="W338" s="23"/>
      <c r="X338" s="23"/>
      <c r="Y338" s="40"/>
      <c r="Z338" s="23"/>
      <c r="AA338" s="23"/>
      <c r="AB338" s="40"/>
      <c r="AC338" s="42"/>
      <c r="AD338" s="42"/>
      <c r="AE338" s="40"/>
      <c r="AF338" s="42"/>
      <c r="AG338" s="42"/>
      <c r="AH338" s="23"/>
      <c r="AI338" s="42"/>
      <c r="AJ338" s="42"/>
      <c r="AK338" s="40"/>
      <c r="AL338" s="84"/>
      <c r="AM338" s="84"/>
      <c r="AN338" s="40"/>
      <c r="AO338" s="23"/>
    </row>
    <row r="339" spans="1:41" ht="15.75" x14ac:dyDescent="0.25">
      <c r="A339" s="44"/>
      <c r="B339" s="23"/>
      <c r="C339" s="23"/>
      <c r="D339" s="36"/>
      <c r="E339" s="23"/>
      <c r="F339" s="23"/>
      <c r="G339" s="40"/>
      <c r="H339" s="23"/>
      <c r="I339" s="23"/>
      <c r="J339" s="40"/>
      <c r="K339" s="36"/>
      <c r="L339" s="36"/>
      <c r="M339" s="40"/>
      <c r="N339" s="23"/>
      <c r="O339" s="36"/>
      <c r="P339" s="40"/>
      <c r="Q339" s="36"/>
      <c r="R339" s="36"/>
      <c r="S339" s="40"/>
      <c r="T339" s="23"/>
      <c r="U339" s="23"/>
      <c r="V339" s="40"/>
      <c r="W339" s="23"/>
      <c r="X339" s="23"/>
      <c r="Y339" s="40"/>
      <c r="Z339" s="23"/>
      <c r="AA339" s="23"/>
      <c r="AB339" s="40"/>
      <c r="AC339" s="42"/>
      <c r="AD339" s="42"/>
      <c r="AE339" s="40"/>
      <c r="AF339" s="42"/>
      <c r="AG339" s="42"/>
      <c r="AH339" s="23"/>
      <c r="AI339" s="42"/>
      <c r="AJ339" s="42"/>
      <c r="AK339" s="40"/>
      <c r="AL339" s="84"/>
      <c r="AM339" s="84"/>
      <c r="AN339" s="40"/>
      <c r="AO339" s="23"/>
    </row>
    <row r="340" spans="1:41" ht="15.75" x14ac:dyDescent="0.25">
      <c r="A340" s="44"/>
      <c r="B340" s="23"/>
      <c r="C340" s="23"/>
      <c r="D340" s="36"/>
      <c r="E340" s="23"/>
      <c r="F340" s="23"/>
      <c r="G340" s="40"/>
      <c r="H340" s="23"/>
      <c r="I340" s="23"/>
      <c r="J340" s="40"/>
      <c r="K340" s="36"/>
      <c r="L340" s="36"/>
      <c r="M340" s="40"/>
      <c r="N340" s="23"/>
      <c r="O340" s="36"/>
      <c r="P340" s="40"/>
      <c r="Q340" s="36"/>
      <c r="R340" s="36"/>
      <c r="S340" s="40"/>
      <c r="T340" s="23"/>
      <c r="U340" s="23"/>
      <c r="V340" s="40"/>
      <c r="W340" s="23"/>
      <c r="X340" s="23"/>
      <c r="Y340" s="40"/>
      <c r="Z340" s="23"/>
      <c r="AA340" s="23"/>
      <c r="AB340" s="40"/>
      <c r="AC340" s="42"/>
      <c r="AD340" s="42"/>
      <c r="AE340" s="40"/>
      <c r="AF340" s="42"/>
      <c r="AG340" s="42"/>
      <c r="AH340" s="23"/>
      <c r="AI340" s="42"/>
      <c r="AJ340" s="42"/>
      <c r="AK340" s="40"/>
      <c r="AL340" s="84"/>
      <c r="AM340" s="84"/>
      <c r="AN340" s="40"/>
      <c r="AO340" s="23"/>
    </row>
    <row r="341" spans="1:41" ht="15.75" x14ac:dyDescent="0.25">
      <c r="A341" s="44"/>
      <c r="B341" s="23"/>
      <c r="C341" s="23"/>
      <c r="D341" s="36"/>
      <c r="E341" s="23"/>
      <c r="F341" s="23"/>
      <c r="G341" s="40"/>
      <c r="H341" s="23"/>
      <c r="I341" s="23"/>
      <c r="J341" s="40"/>
      <c r="K341" s="36"/>
      <c r="L341" s="36"/>
      <c r="M341" s="40"/>
      <c r="N341" s="23"/>
      <c r="O341" s="36"/>
      <c r="P341" s="40"/>
      <c r="Q341" s="36"/>
      <c r="R341" s="36"/>
      <c r="S341" s="40"/>
      <c r="T341" s="23"/>
      <c r="U341" s="23"/>
      <c r="V341" s="40"/>
      <c r="W341" s="23"/>
      <c r="X341" s="23"/>
      <c r="Y341" s="40"/>
      <c r="Z341" s="23"/>
      <c r="AA341" s="23"/>
      <c r="AB341" s="40"/>
      <c r="AC341" s="42"/>
      <c r="AD341" s="42"/>
      <c r="AE341" s="40"/>
      <c r="AF341" s="42"/>
      <c r="AG341" s="42"/>
      <c r="AH341" s="23"/>
      <c r="AI341" s="42"/>
      <c r="AJ341" s="42"/>
      <c r="AK341" s="40"/>
      <c r="AL341" s="84"/>
      <c r="AM341" s="84"/>
      <c r="AN341" s="40"/>
      <c r="AO341" s="23"/>
    </row>
    <row r="342" spans="1:41" ht="15.75" x14ac:dyDescent="0.25">
      <c r="A342" s="44"/>
      <c r="B342" s="23"/>
      <c r="C342" s="23"/>
      <c r="D342" s="36"/>
      <c r="E342" s="23"/>
      <c r="F342" s="23"/>
      <c r="G342" s="40"/>
      <c r="H342" s="23"/>
      <c r="I342" s="23"/>
      <c r="J342" s="40"/>
      <c r="K342" s="36"/>
      <c r="L342" s="36"/>
      <c r="M342" s="40"/>
      <c r="N342" s="23"/>
      <c r="O342" s="36"/>
      <c r="P342" s="40"/>
      <c r="Q342" s="36"/>
      <c r="R342" s="36"/>
      <c r="S342" s="40"/>
      <c r="T342" s="23"/>
      <c r="U342" s="23"/>
      <c r="V342" s="40"/>
      <c r="W342" s="23"/>
      <c r="X342" s="23"/>
      <c r="Y342" s="40"/>
      <c r="Z342" s="23"/>
      <c r="AA342" s="23"/>
      <c r="AB342" s="40"/>
      <c r="AC342" s="42"/>
      <c r="AD342" s="42"/>
      <c r="AE342" s="40"/>
      <c r="AF342" s="42"/>
      <c r="AG342" s="42"/>
      <c r="AH342" s="23"/>
      <c r="AI342" s="42"/>
      <c r="AJ342" s="42"/>
      <c r="AK342" s="40"/>
      <c r="AL342" s="84"/>
      <c r="AM342" s="84"/>
      <c r="AN342" s="40"/>
      <c r="AO342" s="23"/>
    </row>
    <row r="343" spans="1:41" ht="15.75" x14ac:dyDescent="0.25">
      <c r="A343" s="44"/>
      <c r="B343" s="23"/>
      <c r="C343" s="23"/>
      <c r="D343" s="36"/>
      <c r="E343" s="23"/>
      <c r="F343" s="23"/>
      <c r="G343" s="40"/>
      <c r="H343" s="23"/>
      <c r="I343" s="23"/>
      <c r="J343" s="40"/>
      <c r="K343" s="36"/>
      <c r="L343" s="36"/>
      <c r="M343" s="40"/>
      <c r="N343" s="23"/>
      <c r="O343" s="36"/>
      <c r="P343" s="40"/>
      <c r="Q343" s="36"/>
      <c r="R343" s="36"/>
      <c r="S343" s="40"/>
      <c r="T343" s="23"/>
      <c r="U343" s="23"/>
      <c r="V343" s="40"/>
      <c r="W343" s="23"/>
      <c r="X343" s="23"/>
      <c r="Y343" s="40"/>
      <c r="Z343" s="23"/>
      <c r="AA343" s="23"/>
      <c r="AB343" s="40"/>
      <c r="AC343" s="42"/>
      <c r="AD343" s="42"/>
      <c r="AE343" s="40"/>
      <c r="AF343" s="42"/>
      <c r="AG343" s="42"/>
      <c r="AH343" s="23"/>
      <c r="AI343" s="42"/>
      <c r="AJ343" s="42"/>
      <c r="AK343" s="40"/>
      <c r="AL343" s="84"/>
      <c r="AM343" s="84"/>
      <c r="AN343" s="40"/>
      <c r="AO343" s="23"/>
    </row>
    <row r="344" spans="1:41" ht="15.75" x14ac:dyDescent="0.25">
      <c r="A344" s="44"/>
      <c r="B344" s="23"/>
      <c r="C344" s="23"/>
      <c r="D344" s="36"/>
      <c r="E344" s="23"/>
      <c r="F344" s="23"/>
      <c r="G344" s="40"/>
      <c r="H344" s="23"/>
      <c r="I344" s="23"/>
      <c r="J344" s="40"/>
      <c r="K344" s="36"/>
      <c r="L344" s="36"/>
      <c r="M344" s="40"/>
      <c r="N344" s="23"/>
      <c r="O344" s="36"/>
      <c r="P344" s="40"/>
      <c r="Q344" s="36"/>
      <c r="R344" s="36"/>
      <c r="S344" s="40"/>
      <c r="T344" s="23"/>
      <c r="U344" s="23"/>
      <c r="V344" s="40"/>
      <c r="W344" s="23"/>
      <c r="X344" s="23"/>
      <c r="Y344" s="40"/>
      <c r="Z344" s="23"/>
      <c r="AA344" s="23"/>
      <c r="AB344" s="40"/>
      <c r="AC344" s="42"/>
      <c r="AD344" s="42"/>
      <c r="AE344" s="40"/>
      <c r="AF344" s="42"/>
      <c r="AG344" s="42"/>
      <c r="AH344" s="23"/>
      <c r="AI344" s="42"/>
      <c r="AJ344" s="42"/>
      <c r="AK344" s="40"/>
      <c r="AL344" s="84"/>
      <c r="AM344" s="84"/>
      <c r="AN344" s="40"/>
      <c r="AO344" s="23"/>
    </row>
    <row r="345" spans="1:41" ht="15.75" x14ac:dyDescent="0.25">
      <c r="A345" s="44"/>
      <c r="B345" s="23"/>
      <c r="C345" s="23"/>
      <c r="D345" s="36"/>
      <c r="E345" s="23"/>
      <c r="F345" s="23"/>
      <c r="G345" s="40"/>
      <c r="H345" s="23"/>
      <c r="I345" s="23"/>
      <c r="J345" s="40"/>
      <c r="K345" s="36"/>
      <c r="L345" s="36"/>
      <c r="M345" s="40"/>
      <c r="N345" s="23"/>
      <c r="O345" s="36"/>
      <c r="P345" s="40"/>
      <c r="Q345" s="36"/>
      <c r="R345" s="36"/>
      <c r="S345" s="40"/>
      <c r="T345" s="23"/>
      <c r="U345" s="23"/>
      <c r="V345" s="40"/>
      <c r="W345" s="23"/>
      <c r="X345" s="23"/>
      <c r="Y345" s="40"/>
      <c r="Z345" s="23"/>
      <c r="AA345" s="23"/>
      <c r="AB345" s="40"/>
      <c r="AC345" s="42"/>
      <c r="AD345" s="42"/>
      <c r="AE345" s="40"/>
      <c r="AF345" s="42"/>
      <c r="AG345" s="42"/>
      <c r="AH345" s="23"/>
      <c r="AI345" s="42"/>
      <c r="AJ345" s="42"/>
      <c r="AK345" s="40"/>
      <c r="AL345" s="84"/>
      <c r="AM345" s="84"/>
      <c r="AN345" s="40"/>
      <c r="AO345" s="23"/>
    </row>
    <row r="346" spans="1:41" ht="15.75" x14ac:dyDescent="0.25">
      <c r="A346" s="44"/>
      <c r="B346" s="23"/>
      <c r="C346" s="23"/>
      <c r="D346" s="36"/>
      <c r="E346" s="23"/>
      <c r="F346" s="23"/>
      <c r="G346" s="40"/>
      <c r="H346" s="23"/>
      <c r="I346" s="23"/>
      <c r="J346" s="40"/>
      <c r="K346" s="36"/>
      <c r="L346" s="36"/>
      <c r="M346" s="40"/>
      <c r="N346" s="23"/>
      <c r="O346" s="36"/>
      <c r="P346" s="40"/>
      <c r="Q346" s="36"/>
      <c r="R346" s="36"/>
      <c r="S346" s="40"/>
      <c r="T346" s="23"/>
      <c r="U346" s="23"/>
      <c r="V346" s="40"/>
      <c r="W346" s="23"/>
      <c r="X346" s="23"/>
      <c r="Y346" s="40"/>
      <c r="Z346" s="23"/>
      <c r="AA346" s="23"/>
      <c r="AB346" s="40"/>
      <c r="AC346" s="42"/>
      <c r="AD346" s="42"/>
      <c r="AE346" s="40"/>
      <c r="AF346" s="42"/>
      <c r="AG346" s="42"/>
      <c r="AH346" s="23"/>
      <c r="AI346" s="42"/>
      <c r="AJ346" s="42"/>
      <c r="AK346" s="40"/>
      <c r="AL346" s="84"/>
      <c r="AM346" s="84"/>
      <c r="AN346" s="40"/>
      <c r="AO346" s="23"/>
    </row>
    <row r="347" spans="1:41" ht="15.75" x14ac:dyDescent="0.25">
      <c r="A347" s="44"/>
      <c r="B347" s="23"/>
      <c r="C347" s="23"/>
      <c r="D347" s="36"/>
      <c r="E347" s="23"/>
      <c r="F347" s="23"/>
      <c r="G347" s="40"/>
      <c r="H347" s="23"/>
      <c r="I347" s="23"/>
      <c r="J347" s="40"/>
      <c r="K347" s="36"/>
      <c r="L347" s="36"/>
      <c r="M347" s="40"/>
      <c r="N347" s="23"/>
      <c r="O347" s="36"/>
      <c r="P347" s="40"/>
      <c r="Q347" s="36"/>
      <c r="R347" s="36"/>
      <c r="S347" s="40"/>
      <c r="T347" s="23"/>
      <c r="U347" s="23"/>
      <c r="V347" s="40"/>
      <c r="W347" s="23"/>
      <c r="X347" s="23"/>
      <c r="Y347" s="40"/>
      <c r="Z347" s="23"/>
      <c r="AA347" s="23"/>
      <c r="AB347" s="40"/>
      <c r="AC347" s="42"/>
      <c r="AD347" s="42"/>
      <c r="AE347" s="40"/>
      <c r="AF347" s="42"/>
      <c r="AG347" s="42"/>
      <c r="AH347" s="23"/>
      <c r="AI347" s="42"/>
      <c r="AJ347" s="42"/>
      <c r="AK347" s="40"/>
      <c r="AL347" s="84"/>
      <c r="AM347" s="84"/>
      <c r="AN347" s="40"/>
      <c r="AO347" s="23"/>
    </row>
    <row r="348" spans="1:41" ht="15.75" x14ac:dyDescent="0.25">
      <c r="A348" s="44"/>
      <c r="B348" s="23"/>
      <c r="C348" s="23"/>
      <c r="D348" s="36"/>
      <c r="E348" s="23"/>
      <c r="F348" s="23"/>
      <c r="G348" s="40"/>
      <c r="H348" s="23"/>
      <c r="I348" s="23"/>
      <c r="J348" s="40"/>
      <c r="K348" s="36"/>
      <c r="L348" s="36"/>
      <c r="M348" s="40"/>
      <c r="N348" s="23"/>
      <c r="O348" s="36"/>
      <c r="P348" s="40"/>
      <c r="Q348" s="36"/>
      <c r="R348" s="36"/>
      <c r="S348" s="40"/>
      <c r="T348" s="23"/>
      <c r="U348" s="23"/>
      <c r="V348" s="40"/>
      <c r="W348" s="23"/>
      <c r="X348" s="23"/>
      <c r="Y348" s="40"/>
      <c r="Z348" s="23"/>
      <c r="AA348" s="23"/>
      <c r="AB348" s="40"/>
      <c r="AC348" s="42"/>
      <c r="AD348" s="42"/>
      <c r="AE348" s="40"/>
      <c r="AF348" s="42"/>
      <c r="AG348" s="42"/>
      <c r="AH348" s="23"/>
      <c r="AI348" s="42"/>
      <c r="AJ348" s="42"/>
      <c r="AK348" s="40"/>
      <c r="AL348" s="84"/>
      <c r="AM348" s="84"/>
      <c r="AN348" s="40"/>
      <c r="AO348" s="23"/>
    </row>
    <row r="349" spans="1:41" ht="15.75" x14ac:dyDescent="0.25">
      <c r="A349" s="44"/>
      <c r="B349" s="23"/>
      <c r="C349" s="23"/>
      <c r="D349" s="36"/>
      <c r="E349" s="23"/>
      <c r="F349" s="23"/>
      <c r="G349" s="40"/>
      <c r="H349" s="23"/>
      <c r="I349" s="23"/>
      <c r="J349" s="40"/>
      <c r="K349" s="36"/>
      <c r="L349" s="36"/>
      <c r="M349" s="40"/>
      <c r="N349" s="23"/>
      <c r="O349" s="36"/>
      <c r="P349" s="40"/>
      <c r="Q349" s="36"/>
      <c r="R349" s="36"/>
      <c r="S349" s="40"/>
      <c r="T349" s="23"/>
      <c r="U349" s="23"/>
      <c r="V349" s="40"/>
      <c r="W349" s="23"/>
      <c r="X349" s="23"/>
      <c r="Y349" s="40"/>
      <c r="Z349" s="23"/>
      <c r="AA349" s="23"/>
      <c r="AB349" s="40"/>
      <c r="AC349" s="42"/>
      <c r="AD349" s="42"/>
      <c r="AE349" s="40"/>
      <c r="AF349" s="42"/>
      <c r="AG349" s="42"/>
      <c r="AH349" s="23"/>
      <c r="AI349" s="42"/>
      <c r="AJ349" s="42"/>
      <c r="AK349" s="40"/>
      <c r="AL349" s="84"/>
      <c r="AM349" s="84"/>
      <c r="AN349" s="40"/>
      <c r="AO349" s="23"/>
    </row>
    <row r="350" spans="1:41" ht="15.75" x14ac:dyDescent="0.25">
      <c r="A350" s="44"/>
      <c r="B350" s="23"/>
      <c r="C350" s="23"/>
      <c r="D350" s="36"/>
      <c r="E350" s="23"/>
      <c r="F350" s="23"/>
      <c r="G350" s="40"/>
      <c r="H350" s="23"/>
      <c r="I350" s="23"/>
      <c r="J350" s="40"/>
      <c r="K350" s="36"/>
      <c r="L350" s="36"/>
      <c r="M350" s="40"/>
      <c r="N350" s="23"/>
      <c r="O350" s="36"/>
      <c r="P350" s="40"/>
      <c r="Q350" s="36"/>
      <c r="R350" s="36"/>
      <c r="S350" s="40"/>
      <c r="T350" s="23"/>
      <c r="U350" s="23"/>
      <c r="V350" s="40"/>
      <c r="W350" s="23"/>
      <c r="X350" s="23"/>
      <c r="Y350" s="40"/>
      <c r="Z350" s="23"/>
      <c r="AA350" s="23"/>
      <c r="AB350" s="40"/>
      <c r="AC350" s="42"/>
      <c r="AD350" s="42"/>
      <c r="AE350" s="40"/>
      <c r="AF350" s="42"/>
      <c r="AG350" s="42"/>
      <c r="AH350" s="23"/>
      <c r="AI350" s="42"/>
      <c r="AJ350" s="42"/>
      <c r="AK350" s="40"/>
      <c r="AL350" s="84"/>
      <c r="AM350" s="84"/>
      <c r="AN350" s="40"/>
      <c r="AO350" s="23"/>
    </row>
    <row r="351" spans="1:41" ht="15.75" x14ac:dyDescent="0.25">
      <c r="A351" s="44"/>
      <c r="B351" s="23"/>
      <c r="C351" s="23"/>
      <c r="D351" s="36"/>
      <c r="E351" s="23"/>
      <c r="F351" s="23"/>
      <c r="G351" s="40"/>
      <c r="H351" s="23"/>
      <c r="I351" s="23"/>
      <c r="J351" s="40"/>
      <c r="K351" s="36"/>
      <c r="L351" s="36"/>
      <c r="M351" s="40"/>
      <c r="N351" s="23"/>
      <c r="O351" s="36"/>
      <c r="P351" s="40"/>
      <c r="Q351" s="36"/>
      <c r="R351" s="36"/>
      <c r="S351" s="40"/>
      <c r="T351" s="23"/>
      <c r="U351" s="23"/>
      <c r="V351" s="40"/>
      <c r="W351" s="23"/>
      <c r="X351" s="23"/>
      <c r="Y351" s="40"/>
      <c r="Z351" s="23"/>
      <c r="AA351" s="23"/>
      <c r="AB351" s="40"/>
      <c r="AC351" s="42"/>
      <c r="AD351" s="42"/>
      <c r="AE351" s="40"/>
      <c r="AF351" s="42"/>
      <c r="AG351" s="42"/>
      <c r="AH351" s="23"/>
      <c r="AI351" s="42"/>
      <c r="AJ351" s="42"/>
      <c r="AK351" s="40"/>
      <c r="AL351" s="84"/>
      <c r="AM351" s="84"/>
      <c r="AN351" s="40"/>
      <c r="AO351" s="23"/>
    </row>
    <row r="352" spans="1:41" ht="15.75" x14ac:dyDescent="0.25">
      <c r="A352" s="44"/>
      <c r="B352" s="23"/>
      <c r="C352" s="23"/>
      <c r="D352" s="36"/>
      <c r="E352" s="23"/>
      <c r="F352" s="23"/>
      <c r="G352" s="40"/>
      <c r="H352" s="23"/>
      <c r="I352" s="23"/>
      <c r="J352" s="40"/>
      <c r="K352" s="36"/>
      <c r="L352" s="36"/>
      <c r="M352" s="40"/>
      <c r="N352" s="23"/>
      <c r="O352" s="36"/>
      <c r="P352" s="40"/>
      <c r="Q352" s="36"/>
      <c r="R352" s="36"/>
      <c r="S352" s="40"/>
      <c r="T352" s="23"/>
      <c r="U352" s="23"/>
      <c r="V352" s="40"/>
      <c r="W352" s="23"/>
      <c r="X352" s="23"/>
      <c r="Y352" s="40"/>
      <c r="Z352" s="23"/>
      <c r="AA352" s="23"/>
      <c r="AB352" s="40"/>
      <c r="AC352" s="42"/>
      <c r="AD352" s="42"/>
      <c r="AE352" s="40"/>
      <c r="AF352" s="42"/>
      <c r="AG352" s="42"/>
      <c r="AH352" s="23"/>
      <c r="AI352" s="42"/>
      <c r="AJ352" s="42"/>
      <c r="AK352" s="40"/>
      <c r="AL352" s="84"/>
      <c r="AM352" s="84"/>
      <c r="AN352" s="40"/>
      <c r="AO352" s="23"/>
    </row>
    <row r="353" spans="1:41" ht="15.75" x14ac:dyDescent="0.25">
      <c r="A353" s="44"/>
      <c r="B353" s="23"/>
      <c r="C353" s="23"/>
      <c r="D353" s="36"/>
      <c r="E353" s="23"/>
      <c r="F353" s="23"/>
      <c r="G353" s="40"/>
      <c r="H353" s="23"/>
      <c r="I353" s="23"/>
      <c r="J353" s="40"/>
      <c r="K353" s="36"/>
      <c r="L353" s="36"/>
      <c r="M353" s="40"/>
      <c r="N353" s="23"/>
      <c r="O353" s="36"/>
      <c r="P353" s="40"/>
      <c r="Q353" s="36"/>
      <c r="R353" s="36"/>
      <c r="S353" s="40"/>
      <c r="T353" s="23"/>
      <c r="U353" s="23"/>
      <c r="V353" s="40"/>
      <c r="W353" s="23"/>
      <c r="X353" s="23"/>
      <c r="Y353" s="40"/>
      <c r="Z353" s="23"/>
      <c r="AA353" s="23"/>
      <c r="AB353" s="40"/>
      <c r="AC353" s="42"/>
      <c r="AD353" s="42"/>
      <c r="AE353" s="40"/>
      <c r="AF353" s="42"/>
      <c r="AG353" s="42"/>
      <c r="AH353" s="23"/>
      <c r="AI353" s="42"/>
      <c r="AJ353" s="42"/>
      <c r="AK353" s="40"/>
      <c r="AL353" s="84"/>
      <c r="AM353" s="84"/>
      <c r="AN353" s="40"/>
      <c r="AO353" s="23"/>
    </row>
    <row r="354" spans="1:41" ht="15.75" x14ac:dyDescent="0.25">
      <c r="A354" s="44"/>
      <c r="B354" s="23"/>
      <c r="C354" s="23"/>
      <c r="D354" s="36"/>
      <c r="E354" s="23"/>
      <c r="F354" s="23"/>
      <c r="G354" s="40"/>
      <c r="H354" s="23"/>
      <c r="I354" s="23"/>
      <c r="J354" s="40"/>
      <c r="K354" s="36"/>
      <c r="L354" s="36"/>
      <c r="M354" s="40"/>
      <c r="N354" s="23"/>
      <c r="O354" s="36"/>
      <c r="P354" s="40"/>
      <c r="Q354" s="36"/>
      <c r="R354" s="36"/>
      <c r="S354" s="40"/>
      <c r="T354" s="23"/>
      <c r="U354" s="23"/>
      <c r="V354" s="40"/>
      <c r="W354" s="23"/>
      <c r="X354" s="23"/>
      <c r="Y354" s="40"/>
      <c r="Z354" s="23"/>
      <c r="AA354" s="23"/>
      <c r="AB354" s="40"/>
      <c r="AC354" s="42"/>
      <c r="AD354" s="42"/>
      <c r="AE354" s="40"/>
      <c r="AF354" s="42"/>
      <c r="AG354" s="42"/>
      <c r="AH354" s="23"/>
      <c r="AI354" s="42"/>
      <c r="AJ354" s="42"/>
      <c r="AK354" s="40"/>
      <c r="AL354" s="84"/>
      <c r="AM354" s="84"/>
      <c r="AN354" s="40"/>
      <c r="AO354" s="23"/>
    </row>
    <row r="355" spans="1:41" ht="15.75" x14ac:dyDescent="0.25">
      <c r="A355" s="44"/>
      <c r="B355" s="23"/>
      <c r="C355" s="23"/>
      <c r="D355" s="36"/>
      <c r="E355" s="23"/>
      <c r="F355" s="23"/>
      <c r="G355" s="40"/>
      <c r="H355" s="23"/>
      <c r="I355" s="23"/>
      <c r="J355" s="40"/>
      <c r="K355" s="36"/>
      <c r="L355" s="36"/>
      <c r="M355" s="40"/>
      <c r="N355" s="23"/>
      <c r="O355" s="36"/>
      <c r="P355" s="40"/>
      <c r="Q355" s="36"/>
      <c r="R355" s="36"/>
      <c r="S355" s="40"/>
      <c r="T355" s="23"/>
      <c r="U355" s="23"/>
      <c r="V355" s="40"/>
      <c r="W355" s="23"/>
      <c r="X355" s="23"/>
      <c r="Y355" s="40"/>
      <c r="Z355" s="23"/>
      <c r="AA355" s="23"/>
      <c r="AB355" s="40"/>
      <c r="AC355" s="42"/>
      <c r="AD355" s="42"/>
      <c r="AE355" s="40"/>
      <c r="AF355" s="42"/>
      <c r="AG355" s="42"/>
      <c r="AH355" s="23"/>
      <c r="AI355" s="42"/>
      <c r="AJ355" s="42"/>
      <c r="AK355" s="40"/>
      <c r="AL355" s="84"/>
      <c r="AM355" s="84"/>
      <c r="AN355" s="40"/>
      <c r="AO355" s="23"/>
    </row>
    <row r="356" spans="1:41" ht="15.75" x14ac:dyDescent="0.25">
      <c r="A356" s="44"/>
      <c r="B356" s="23"/>
      <c r="C356" s="23"/>
      <c r="D356" s="36"/>
      <c r="E356" s="23"/>
      <c r="F356" s="23"/>
      <c r="G356" s="40"/>
      <c r="H356" s="23"/>
      <c r="I356" s="23"/>
      <c r="J356" s="40"/>
      <c r="K356" s="36"/>
      <c r="L356" s="36"/>
      <c r="M356" s="40"/>
      <c r="N356" s="23"/>
      <c r="O356" s="36"/>
      <c r="P356" s="40"/>
      <c r="Q356" s="36"/>
      <c r="R356" s="36"/>
      <c r="S356" s="40"/>
      <c r="T356" s="23"/>
      <c r="U356" s="23"/>
      <c r="V356" s="40"/>
      <c r="W356" s="23"/>
      <c r="X356" s="23"/>
      <c r="Y356" s="40"/>
      <c r="Z356" s="23"/>
      <c r="AA356" s="23"/>
      <c r="AB356" s="40"/>
      <c r="AC356" s="42"/>
      <c r="AD356" s="42"/>
      <c r="AE356" s="40"/>
      <c r="AF356" s="42"/>
      <c r="AG356" s="42"/>
      <c r="AH356" s="23"/>
      <c r="AI356" s="42"/>
      <c r="AJ356" s="42"/>
      <c r="AK356" s="40"/>
      <c r="AL356" s="84"/>
      <c r="AM356" s="84"/>
      <c r="AN356" s="40"/>
      <c r="AO356" s="23"/>
    </row>
    <row r="357" spans="1:41" ht="15.75" x14ac:dyDescent="0.25">
      <c r="A357" s="44"/>
      <c r="B357" s="23"/>
      <c r="C357" s="23"/>
      <c r="D357" s="36"/>
      <c r="E357" s="23"/>
      <c r="F357" s="23"/>
      <c r="G357" s="40"/>
      <c r="H357" s="23"/>
      <c r="I357" s="23"/>
      <c r="J357" s="40"/>
      <c r="K357" s="36"/>
      <c r="L357" s="36"/>
      <c r="M357" s="40"/>
      <c r="N357" s="23"/>
      <c r="O357" s="36"/>
      <c r="P357" s="40"/>
      <c r="Q357" s="36"/>
      <c r="R357" s="36"/>
      <c r="S357" s="40"/>
      <c r="T357" s="23"/>
      <c r="U357" s="23"/>
      <c r="V357" s="40"/>
      <c r="W357" s="23"/>
      <c r="X357" s="23"/>
      <c r="Y357" s="40"/>
      <c r="Z357" s="23"/>
      <c r="AA357" s="23"/>
      <c r="AB357" s="40"/>
      <c r="AC357" s="42"/>
      <c r="AD357" s="42"/>
      <c r="AE357" s="40"/>
      <c r="AF357" s="42"/>
      <c r="AG357" s="42"/>
      <c r="AH357" s="23"/>
      <c r="AI357" s="42"/>
      <c r="AJ357" s="42"/>
      <c r="AK357" s="40"/>
      <c r="AL357" s="84"/>
      <c r="AM357" s="84"/>
      <c r="AN357" s="40"/>
      <c r="AO357" s="23"/>
    </row>
    <row r="358" spans="1:41" ht="15.75" x14ac:dyDescent="0.25">
      <c r="A358" s="44"/>
      <c r="B358" s="23"/>
      <c r="C358" s="23"/>
      <c r="D358" s="36"/>
      <c r="E358" s="23"/>
      <c r="F358" s="23"/>
      <c r="G358" s="40"/>
      <c r="H358" s="23"/>
      <c r="I358" s="23"/>
      <c r="J358" s="40"/>
      <c r="K358" s="36"/>
      <c r="L358" s="36"/>
      <c r="M358" s="40"/>
      <c r="N358" s="23"/>
      <c r="O358" s="36"/>
      <c r="P358" s="40"/>
      <c r="Q358" s="36"/>
      <c r="R358" s="36"/>
      <c r="S358" s="40"/>
      <c r="T358" s="23"/>
      <c r="U358" s="23"/>
      <c r="V358" s="40"/>
      <c r="W358" s="23"/>
      <c r="X358" s="23"/>
      <c r="Y358" s="40"/>
      <c r="Z358" s="23"/>
      <c r="AA358" s="23"/>
      <c r="AB358" s="40"/>
      <c r="AC358" s="42"/>
      <c r="AD358" s="42"/>
      <c r="AE358" s="40"/>
      <c r="AF358" s="42"/>
      <c r="AG358" s="42"/>
      <c r="AH358" s="23"/>
      <c r="AI358" s="42"/>
      <c r="AJ358" s="42"/>
      <c r="AK358" s="40"/>
      <c r="AL358" s="84"/>
      <c r="AM358" s="84"/>
      <c r="AN358" s="40"/>
      <c r="AO358" s="23"/>
    </row>
    <row r="359" spans="1:41" ht="15.75" x14ac:dyDescent="0.25">
      <c r="A359" s="44"/>
      <c r="B359" s="23"/>
      <c r="C359" s="23"/>
      <c r="D359" s="36"/>
      <c r="E359" s="23"/>
      <c r="F359" s="23"/>
      <c r="G359" s="40"/>
      <c r="H359" s="23"/>
      <c r="I359" s="23"/>
      <c r="J359" s="40"/>
      <c r="K359" s="36"/>
      <c r="L359" s="36"/>
      <c r="M359" s="40"/>
      <c r="N359" s="23"/>
      <c r="O359" s="36"/>
      <c r="P359" s="40"/>
      <c r="Q359" s="36"/>
      <c r="R359" s="36"/>
      <c r="S359" s="40"/>
      <c r="T359" s="23"/>
      <c r="U359" s="23"/>
      <c r="V359" s="40"/>
      <c r="W359" s="23"/>
      <c r="X359" s="23"/>
      <c r="Y359" s="40"/>
      <c r="Z359" s="23"/>
      <c r="AA359" s="23"/>
      <c r="AB359" s="40"/>
      <c r="AC359" s="42"/>
      <c r="AD359" s="42"/>
      <c r="AE359" s="40"/>
      <c r="AF359" s="42"/>
      <c r="AG359" s="42"/>
      <c r="AH359" s="23"/>
      <c r="AI359" s="42"/>
      <c r="AJ359" s="42"/>
      <c r="AK359" s="40"/>
      <c r="AL359" s="84"/>
      <c r="AM359" s="84"/>
      <c r="AN359" s="40"/>
      <c r="AO359" s="23"/>
    </row>
    <row r="360" spans="1:41" ht="15.75" x14ac:dyDescent="0.25">
      <c r="A360" s="44"/>
      <c r="B360" s="23"/>
      <c r="C360" s="23"/>
      <c r="D360" s="36"/>
      <c r="E360" s="23"/>
      <c r="F360" s="23"/>
      <c r="G360" s="40"/>
      <c r="H360" s="23"/>
      <c r="I360" s="23"/>
      <c r="J360" s="40"/>
      <c r="K360" s="36"/>
      <c r="L360" s="36"/>
      <c r="M360" s="40"/>
      <c r="N360" s="23"/>
      <c r="O360" s="36"/>
      <c r="P360" s="40"/>
      <c r="Q360" s="36"/>
      <c r="R360" s="36"/>
      <c r="S360" s="40"/>
      <c r="T360" s="23"/>
      <c r="U360" s="23"/>
      <c r="V360" s="40"/>
      <c r="W360" s="23"/>
      <c r="X360" s="23"/>
      <c r="Y360" s="40"/>
      <c r="Z360" s="23"/>
      <c r="AA360" s="23"/>
      <c r="AB360" s="40"/>
      <c r="AC360" s="42"/>
      <c r="AD360" s="42"/>
      <c r="AE360" s="40"/>
      <c r="AF360" s="42"/>
      <c r="AG360" s="42"/>
      <c r="AH360" s="23"/>
      <c r="AI360" s="42"/>
      <c r="AJ360" s="42"/>
      <c r="AK360" s="40"/>
      <c r="AL360" s="84"/>
      <c r="AM360" s="84"/>
      <c r="AN360" s="40"/>
      <c r="AO360" s="23"/>
    </row>
    <row r="361" spans="1:41" ht="15.75" x14ac:dyDescent="0.25">
      <c r="A361" s="44"/>
      <c r="B361" s="23"/>
      <c r="C361" s="23"/>
      <c r="D361" s="36"/>
      <c r="E361" s="23"/>
      <c r="F361" s="23"/>
      <c r="G361" s="40"/>
      <c r="H361" s="23"/>
      <c r="I361" s="23"/>
      <c r="J361" s="40"/>
      <c r="K361" s="36"/>
      <c r="L361" s="36"/>
      <c r="M361" s="40"/>
      <c r="N361" s="23"/>
      <c r="O361" s="36"/>
      <c r="P361" s="40"/>
      <c r="Q361" s="36"/>
      <c r="R361" s="36"/>
      <c r="S361" s="40"/>
      <c r="T361" s="23"/>
      <c r="U361" s="23"/>
      <c r="V361" s="40"/>
      <c r="W361" s="23"/>
      <c r="X361" s="23"/>
      <c r="Y361" s="40"/>
      <c r="Z361" s="23"/>
      <c r="AA361" s="23"/>
      <c r="AB361" s="40"/>
      <c r="AC361" s="42"/>
      <c r="AD361" s="42"/>
      <c r="AE361" s="40"/>
      <c r="AF361" s="42"/>
      <c r="AG361" s="42"/>
      <c r="AH361" s="23"/>
      <c r="AI361" s="42"/>
      <c r="AJ361" s="42"/>
      <c r="AK361" s="40"/>
      <c r="AL361" s="84"/>
      <c r="AM361" s="84"/>
      <c r="AN361" s="40"/>
      <c r="AO361" s="23"/>
    </row>
    <row r="362" spans="1:41" ht="15.75" x14ac:dyDescent="0.25">
      <c r="A362" s="44"/>
      <c r="B362" s="23"/>
      <c r="C362" s="23"/>
      <c r="D362" s="36"/>
      <c r="E362" s="23"/>
      <c r="F362" s="23"/>
      <c r="G362" s="40"/>
      <c r="H362" s="23"/>
      <c r="I362" s="23"/>
      <c r="J362" s="40"/>
      <c r="K362" s="36"/>
      <c r="L362" s="36"/>
      <c r="M362" s="40"/>
      <c r="N362" s="23"/>
      <c r="O362" s="36"/>
      <c r="P362" s="40"/>
      <c r="Q362" s="36"/>
      <c r="R362" s="36"/>
      <c r="S362" s="40"/>
      <c r="T362" s="23"/>
      <c r="U362" s="23"/>
      <c r="V362" s="40"/>
      <c r="W362" s="23"/>
      <c r="X362" s="23"/>
      <c r="Y362" s="40"/>
      <c r="Z362" s="23"/>
      <c r="AA362" s="23"/>
      <c r="AB362" s="40"/>
      <c r="AC362" s="42"/>
      <c r="AD362" s="42"/>
      <c r="AE362" s="40"/>
      <c r="AF362" s="42"/>
      <c r="AG362" s="42"/>
      <c r="AH362" s="23"/>
      <c r="AI362" s="42"/>
      <c r="AJ362" s="42"/>
      <c r="AK362" s="40"/>
      <c r="AL362" s="84"/>
      <c r="AM362" s="84"/>
      <c r="AN362" s="40"/>
      <c r="AO362" s="23"/>
    </row>
    <row r="363" spans="1:41" ht="15.75" x14ac:dyDescent="0.25">
      <c r="A363" s="44"/>
      <c r="B363" s="23"/>
      <c r="C363" s="23"/>
      <c r="D363" s="36"/>
      <c r="E363" s="23"/>
      <c r="F363" s="23"/>
      <c r="G363" s="40"/>
      <c r="H363" s="23"/>
      <c r="I363" s="23"/>
      <c r="J363" s="40"/>
      <c r="K363" s="36"/>
      <c r="L363" s="36"/>
      <c r="M363" s="40"/>
      <c r="N363" s="23"/>
      <c r="O363" s="36"/>
      <c r="P363" s="40"/>
      <c r="Q363" s="36"/>
      <c r="R363" s="36"/>
      <c r="S363" s="40"/>
      <c r="T363" s="23"/>
      <c r="U363" s="23"/>
      <c r="V363" s="40"/>
      <c r="W363" s="23"/>
      <c r="X363" s="23"/>
      <c r="Y363" s="40"/>
      <c r="Z363" s="23"/>
      <c r="AA363" s="23"/>
      <c r="AB363" s="40"/>
      <c r="AC363" s="42"/>
      <c r="AD363" s="42"/>
      <c r="AE363" s="40"/>
      <c r="AF363" s="42"/>
      <c r="AG363" s="42"/>
      <c r="AH363" s="23"/>
      <c r="AI363" s="42"/>
      <c r="AJ363" s="42"/>
      <c r="AK363" s="40"/>
      <c r="AL363" s="84"/>
      <c r="AM363" s="84"/>
      <c r="AN363" s="40"/>
      <c r="AO363" s="23"/>
    </row>
    <row r="364" spans="1:41" ht="15.75" x14ac:dyDescent="0.25">
      <c r="A364" s="44"/>
      <c r="B364" s="23"/>
      <c r="C364" s="23"/>
      <c r="D364" s="36"/>
      <c r="E364" s="23"/>
      <c r="F364" s="23"/>
      <c r="G364" s="40"/>
      <c r="H364" s="23"/>
      <c r="I364" s="23"/>
      <c r="J364" s="40"/>
      <c r="K364" s="36"/>
      <c r="L364" s="36"/>
      <c r="M364" s="40"/>
      <c r="N364" s="23"/>
      <c r="O364" s="36"/>
      <c r="P364" s="40"/>
      <c r="Q364" s="36"/>
      <c r="R364" s="36"/>
      <c r="S364" s="40"/>
      <c r="T364" s="23"/>
      <c r="U364" s="23"/>
      <c r="V364" s="40"/>
      <c r="W364" s="23"/>
      <c r="X364" s="23"/>
      <c r="Y364" s="40"/>
      <c r="Z364" s="23"/>
      <c r="AA364" s="23"/>
      <c r="AB364" s="40"/>
      <c r="AC364" s="42"/>
      <c r="AD364" s="42"/>
      <c r="AE364" s="40"/>
      <c r="AF364" s="42"/>
      <c r="AG364" s="42"/>
      <c r="AH364" s="23"/>
      <c r="AI364" s="42"/>
      <c r="AJ364" s="42"/>
      <c r="AK364" s="40"/>
      <c r="AL364" s="84"/>
      <c r="AM364" s="84"/>
      <c r="AN364" s="40"/>
      <c r="AO364" s="23"/>
    </row>
    <row r="365" spans="1:41" ht="15.75" x14ac:dyDescent="0.25">
      <c r="A365" s="44"/>
      <c r="B365" s="23"/>
      <c r="C365" s="23"/>
      <c r="D365" s="36"/>
      <c r="E365" s="23"/>
      <c r="F365" s="23"/>
      <c r="G365" s="40"/>
      <c r="H365" s="23"/>
      <c r="I365" s="23"/>
      <c r="J365" s="40"/>
      <c r="K365" s="36"/>
      <c r="L365" s="36"/>
      <c r="M365" s="40"/>
      <c r="N365" s="23"/>
      <c r="O365" s="36"/>
      <c r="P365" s="40"/>
      <c r="Q365" s="36"/>
      <c r="R365" s="36"/>
      <c r="S365" s="40"/>
      <c r="T365" s="23"/>
      <c r="U365" s="23"/>
      <c r="V365" s="40"/>
      <c r="W365" s="23"/>
      <c r="X365" s="23"/>
      <c r="Y365" s="40"/>
      <c r="Z365" s="23"/>
      <c r="AA365" s="23"/>
      <c r="AB365" s="40"/>
      <c r="AC365" s="42"/>
      <c r="AD365" s="42"/>
      <c r="AE365" s="40"/>
      <c r="AF365" s="42"/>
      <c r="AG365" s="42"/>
      <c r="AH365" s="23"/>
      <c r="AI365" s="42"/>
      <c r="AJ365" s="42"/>
      <c r="AK365" s="40"/>
      <c r="AL365" s="84"/>
      <c r="AM365" s="84"/>
      <c r="AN365" s="40"/>
      <c r="AO365" s="23"/>
    </row>
    <row r="366" spans="1:41" ht="15.75" x14ac:dyDescent="0.25">
      <c r="A366" s="44"/>
      <c r="B366" s="23"/>
      <c r="C366" s="23"/>
      <c r="D366" s="36"/>
      <c r="E366" s="23"/>
      <c r="F366" s="23"/>
      <c r="G366" s="40"/>
      <c r="H366" s="23"/>
      <c r="I366" s="23"/>
      <c r="J366" s="40"/>
      <c r="K366" s="36"/>
      <c r="L366" s="36"/>
      <c r="M366" s="40"/>
      <c r="N366" s="23"/>
      <c r="O366" s="36"/>
      <c r="P366" s="40"/>
      <c r="Q366" s="36"/>
      <c r="R366" s="36"/>
      <c r="S366" s="40"/>
      <c r="T366" s="23"/>
      <c r="U366" s="23"/>
      <c r="V366" s="40"/>
      <c r="W366" s="23"/>
      <c r="X366" s="23"/>
      <c r="Y366" s="40"/>
      <c r="Z366" s="23"/>
      <c r="AA366" s="23"/>
      <c r="AB366" s="40"/>
      <c r="AC366" s="42"/>
      <c r="AD366" s="42"/>
      <c r="AE366" s="40"/>
      <c r="AF366" s="42"/>
      <c r="AG366" s="42"/>
      <c r="AH366" s="23"/>
      <c r="AI366" s="42"/>
      <c r="AJ366" s="42"/>
      <c r="AK366" s="40"/>
      <c r="AL366" s="84"/>
      <c r="AM366" s="84"/>
      <c r="AN366" s="40"/>
      <c r="AO366" s="23"/>
    </row>
    <row r="367" spans="1:41" ht="15.75" x14ac:dyDescent="0.25">
      <c r="A367" s="44"/>
      <c r="B367" s="23"/>
      <c r="C367" s="23"/>
      <c r="D367" s="36"/>
      <c r="E367" s="23"/>
      <c r="F367" s="23"/>
      <c r="G367" s="40"/>
      <c r="H367" s="23"/>
      <c r="I367" s="23"/>
      <c r="J367" s="40"/>
      <c r="K367" s="36"/>
      <c r="L367" s="36"/>
      <c r="M367" s="40"/>
      <c r="N367" s="23"/>
      <c r="O367" s="36"/>
      <c r="P367" s="40"/>
      <c r="Q367" s="36"/>
      <c r="R367" s="36"/>
      <c r="S367" s="40"/>
      <c r="T367" s="23"/>
      <c r="U367" s="23"/>
      <c r="V367" s="40"/>
      <c r="W367" s="23"/>
      <c r="X367" s="23"/>
      <c r="Y367" s="40"/>
      <c r="Z367" s="23"/>
      <c r="AA367" s="23"/>
      <c r="AB367" s="40"/>
      <c r="AC367" s="42"/>
      <c r="AD367" s="42"/>
      <c r="AE367" s="40"/>
      <c r="AF367" s="42"/>
      <c r="AG367" s="42"/>
      <c r="AH367" s="23"/>
      <c r="AI367" s="42"/>
      <c r="AJ367" s="42"/>
      <c r="AK367" s="40"/>
      <c r="AL367" s="84"/>
      <c r="AM367" s="84"/>
      <c r="AN367" s="40"/>
      <c r="AO367" s="23"/>
    </row>
    <row r="368" spans="1:41" ht="15.75" x14ac:dyDescent="0.25">
      <c r="A368" s="44"/>
      <c r="B368" s="23"/>
      <c r="C368" s="23"/>
      <c r="D368" s="36"/>
      <c r="E368" s="23"/>
      <c r="F368" s="23"/>
      <c r="G368" s="40"/>
      <c r="H368" s="23"/>
      <c r="I368" s="23"/>
      <c r="J368" s="40"/>
      <c r="K368" s="36"/>
      <c r="L368" s="36"/>
      <c r="M368" s="40"/>
      <c r="N368" s="23"/>
      <c r="O368" s="36"/>
      <c r="P368" s="40"/>
      <c r="Q368" s="36"/>
      <c r="R368" s="36"/>
      <c r="S368" s="40"/>
      <c r="T368" s="23"/>
      <c r="U368" s="23"/>
      <c r="V368" s="40"/>
      <c r="W368" s="23"/>
      <c r="X368" s="23"/>
      <c r="Y368" s="40"/>
      <c r="Z368" s="23"/>
      <c r="AA368" s="23"/>
      <c r="AB368" s="40"/>
      <c r="AC368" s="42"/>
      <c r="AD368" s="42"/>
      <c r="AE368" s="40"/>
      <c r="AF368" s="42"/>
      <c r="AG368" s="42"/>
      <c r="AH368" s="23"/>
      <c r="AI368" s="42"/>
      <c r="AJ368" s="42"/>
      <c r="AK368" s="40"/>
      <c r="AL368" s="84"/>
      <c r="AM368" s="84"/>
      <c r="AN368" s="40"/>
      <c r="AO368" s="23"/>
    </row>
    <row r="369" spans="1:41" ht="15.75" x14ac:dyDescent="0.25">
      <c r="A369" s="44"/>
      <c r="B369" s="23"/>
      <c r="C369" s="23"/>
      <c r="D369" s="36"/>
      <c r="E369" s="23"/>
      <c r="F369" s="23"/>
      <c r="G369" s="40"/>
      <c r="H369" s="23"/>
      <c r="I369" s="23"/>
      <c r="J369" s="40"/>
      <c r="K369" s="36"/>
      <c r="L369" s="36"/>
      <c r="M369" s="40"/>
      <c r="N369" s="23"/>
      <c r="O369" s="36"/>
      <c r="P369" s="40"/>
      <c r="Q369" s="36"/>
      <c r="R369" s="36"/>
      <c r="S369" s="40"/>
      <c r="T369" s="23"/>
      <c r="U369" s="23"/>
      <c r="V369" s="40"/>
      <c r="W369" s="23"/>
      <c r="X369" s="23"/>
      <c r="Y369" s="40"/>
      <c r="Z369" s="23"/>
      <c r="AA369" s="23"/>
      <c r="AB369" s="40"/>
      <c r="AC369" s="42"/>
      <c r="AD369" s="42"/>
      <c r="AE369" s="40"/>
      <c r="AF369" s="42"/>
      <c r="AG369" s="42"/>
      <c r="AH369" s="23"/>
      <c r="AI369" s="42"/>
      <c r="AJ369" s="42"/>
      <c r="AK369" s="40"/>
      <c r="AL369" s="84"/>
      <c r="AM369" s="84"/>
      <c r="AN369" s="40"/>
      <c r="AO369" s="23"/>
    </row>
    <row r="370" spans="1:41" ht="15.75" x14ac:dyDescent="0.25">
      <c r="A370" s="44"/>
      <c r="B370" s="23"/>
      <c r="C370" s="23"/>
      <c r="D370" s="36"/>
      <c r="E370" s="23"/>
      <c r="F370" s="23"/>
      <c r="G370" s="40"/>
      <c r="H370" s="23"/>
      <c r="I370" s="23"/>
      <c r="J370" s="40"/>
      <c r="K370" s="36"/>
      <c r="L370" s="36"/>
      <c r="M370" s="40"/>
      <c r="N370" s="23"/>
      <c r="O370" s="36"/>
      <c r="P370" s="40"/>
      <c r="Q370" s="36"/>
      <c r="R370" s="36"/>
      <c r="S370" s="40"/>
      <c r="T370" s="23"/>
      <c r="U370" s="23"/>
      <c r="V370" s="40"/>
      <c r="W370" s="23"/>
      <c r="X370" s="23"/>
      <c r="Y370" s="40"/>
      <c r="Z370" s="23"/>
      <c r="AA370" s="23"/>
      <c r="AB370" s="40"/>
      <c r="AC370" s="42"/>
      <c r="AD370" s="42"/>
      <c r="AE370" s="40"/>
      <c r="AF370" s="42"/>
      <c r="AG370" s="42"/>
      <c r="AH370" s="23"/>
      <c r="AI370" s="42"/>
      <c r="AJ370" s="42"/>
      <c r="AK370" s="40"/>
      <c r="AL370" s="84"/>
      <c r="AM370" s="84"/>
      <c r="AN370" s="40"/>
      <c r="AO370" s="23"/>
    </row>
    <row r="371" spans="1:41" ht="15.75" x14ac:dyDescent="0.25">
      <c r="A371" s="44"/>
      <c r="B371" s="23"/>
      <c r="C371" s="23"/>
      <c r="D371" s="36"/>
      <c r="E371" s="23"/>
      <c r="F371" s="23"/>
      <c r="G371" s="40"/>
      <c r="H371" s="23"/>
      <c r="I371" s="23"/>
      <c r="J371" s="40"/>
      <c r="K371" s="36"/>
      <c r="L371" s="36"/>
      <c r="M371" s="40"/>
      <c r="N371" s="23"/>
      <c r="O371" s="36"/>
      <c r="P371" s="40"/>
      <c r="Q371" s="36"/>
      <c r="R371" s="36"/>
      <c r="S371" s="40"/>
      <c r="T371" s="23"/>
      <c r="U371" s="23"/>
      <c r="V371" s="40"/>
      <c r="W371" s="23"/>
      <c r="X371" s="23"/>
      <c r="Y371" s="40"/>
      <c r="Z371" s="23"/>
      <c r="AA371" s="23"/>
      <c r="AB371" s="40"/>
      <c r="AC371" s="42"/>
      <c r="AD371" s="42"/>
      <c r="AE371" s="40"/>
      <c r="AF371" s="42"/>
      <c r="AG371" s="42"/>
      <c r="AH371" s="23"/>
      <c r="AI371" s="42"/>
      <c r="AJ371" s="42"/>
      <c r="AK371" s="40"/>
      <c r="AL371" s="84"/>
      <c r="AM371" s="84"/>
      <c r="AN371" s="40"/>
      <c r="AO371" s="23"/>
    </row>
    <row r="372" spans="1:41" ht="15.75" x14ac:dyDescent="0.25">
      <c r="A372" s="44"/>
      <c r="B372" s="23"/>
      <c r="C372" s="23"/>
      <c r="D372" s="36"/>
      <c r="E372" s="23"/>
      <c r="F372" s="23"/>
      <c r="G372" s="40"/>
      <c r="H372" s="23"/>
      <c r="I372" s="23"/>
      <c r="J372" s="40"/>
      <c r="K372" s="36"/>
      <c r="L372" s="36"/>
      <c r="M372" s="40"/>
      <c r="N372" s="23"/>
      <c r="O372" s="36"/>
      <c r="P372" s="40"/>
      <c r="Q372" s="36"/>
      <c r="R372" s="36"/>
      <c r="S372" s="40"/>
      <c r="T372" s="23"/>
      <c r="U372" s="23"/>
      <c r="V372" s="40"/>
      <c r="W372" s="23"/>
      <c r="X372" s="23"/>
      <c r="Y372" s="40"/>
      <c r="Z372" s="23"/>
      <c r="AA372" s="23"/>
      <c r="AB372" s="40"/>
      <c r="AC372" s="42"/>
      <c r="AD372" s="42"/>
      <c r="AE372" s="40"/>
      <c r="AF372" s="42"/>
      <c r="AG372" s="42"/>
      <c r="AH372" s="23"/>
      <c r="AI372" s="42"/>
      <c r="AJ372" s="42"/>
      <c r="AK372" s="40"/>
      <c r="AL372" s="84"/>
      <c r="AM372" s="84"/>
      <c r="AN372" s="40"/>
      <c r="AO372" s="23"/>
    </row>
    <row r="373" spans="1:41" ht="15.75" x14ac:dyDescent="0.25">
      <c r="A373" s="44"/>
      <c r="B373" s="23"/>
      <c r="C373" s="23"/>
      <c r="D373" s="36"/>
      <c r="E373" s="23"/>
      <c r="F373" s="23"/>
      <c r="G373" s="40"/>
      <c r="H373" s="23"/>
      <c r="I373" s="23"/>
      <c r="J373" s="40"/>
      <c r="K373" s="36"/>
      <c r="L373" s="36"/>
      <c r="M373" s="40"/>
      <c r="N373" s="23"/>
      <c r="O373" s="36"/>
      <c r="P373" s="40"/>
      <c r="Q373" s="36"/>
      <c r="R373" s="36"/>
      <c r="S373" s="40"/>
      <c r="T373" s="23"/>
      <c r="U373" s="23"/>
      <c r="V373" s="40"/>
      <c r="W373" s="23"/>
      <c r="X373" s="23"/>
      <c r="Y373" s="40"/>
      <c r="Z373" s="23"/>
      <c r="AA373" s="23"/>
      <c r="AB373" s="40"/>
      <c r="AC373" s="42"/>
      <c r="AD373" s="42"/>
      <c r="AE373" s="40"/>
      <c r="AF373" s="42"/>
      <c r="AG373" s="42"/>
      <c r="AH373" s="23"/>
      <c r="AI373" s="42"/>
      <c r="AJ373" s="42"/>
      <c r="AK373" s="40"/>
      <c r="AL373" s="84"/>
      <c r="AM373" s="84"/>
      <c r="AN373" s="40"/>
      <c r="AO373" s="23"/>
    </row>
    <row r="374" spans="1:41" ht="15.75" x14ac:dyDescent="0.25">
      <c r="A374" s="44"/>
      <c r="B374" s="23"/>
      <c r="C374" s="23"/>
      <c r="D374" s="36"/>
      <c r="E374" s="23"/>
      <c r="F374" s="23"/>
      <c r="G374" s="40"/>
      <c r="H374" s="23"/>
      <c r="I374" s="23"/>
      <c r="J374" s="40"/>
      <c r="K374" s="36"/>
      <c r="L374" s="36"/>
      <c r="M374" s="40"/>
      <c r="N374" s="23"/>
      <c r="O374" s="36"/>
      <c r="P374" s="40"/>
      <c r="Q374" s="36"/>
      <c r="R374" s="36"/>
      <c r="S374" s="40"/>
      <c r="T374" s="23"/>
      <c r="U374" s="23"/>
      <c r="V374" s="40"/>
      <c r="W374" s="23"/>
      <c r="X374" s="23"/>
      <c r="Y374" s="40"/>
      <c r="Z374" s="23"/>
      <c r="AA374" s="23"/>
      <c r="AB374" s="40"/>
      <c r="AC374" s="42"/>
      <c r="AD374" s="42"/>
      <c r="AE374" s="40"/>
      <c r="AF374" s="42"/>
      <c r="AG374" s="42"/>
      <c r="AH374" s="23"/>
      <c r="AI374" s="42"/>
      <c r="AJ374" s="42"/>
      <c r="AK374" s="40"/>
      <c r="AL374" s="84"/>
      <c r="AM374" s="84"/>
      <c r="AN374" s="40"/>
      <c r="AO374" s="23"/>
    </row>
    <row r="375" spans="1:41" ht="15.75" x14ac:dyDescent="0.25">
      <c r="A375" s="44"/>
      <c r="B375" s="23"/>
      <c r="C375" s="23"/>
      <c r="D375" s="36"/>
      <c r="E375" s="23"/>
      <c r="F375" s="23"/>
      <c r="G375" s="40"/>
      <c r="H375" s="23"/>
      <c r="I375" s="23"/>
      <c r="J375" s="40"/>
      <c r="K375" s="36"/>
      <c r="L375" s="36"/>
      <c r="M375" s="40"/>
      <c r="N375" s="23"/>
      <c r="O375" s="36"/>
      <c r="P375" s="40"/>
      <c r="Q375" s="36"/>
      <c r="R375" s="36"/>
      <c r="S375" s="40"/>
      <c r="T375" s="23"/>
      <c r="U375" s="23"/>
      <c r="V375" s="40"/>
      <c r="W375" s="23"/>
      <c r="X375" s="23"/>
      <c r="Y375" s="40"/>
      <c r="Z375" s="23"/>
      <c r="AA375" s="23"/>
      <c r="AB375" s="40"/>
      <c r="AC375" s="42"/>
      <c r="AD375" s="42"/>
      <c r="AE375" s="40"/>
      <c r="AF375" s="42"/>
      <c r="AG375" s="42"/>
      <c r="AH375" s="23"/>
      <c r="AI375" s="42"/>
      <c r="AJ375" s="42"/>
      <c r="AK375" s="40"/>
      <c r="AL375" s="84"/>
      <c r="AM375" s="84"/>
      <c r="AN375" s="40"/>
      <c r="AO375" s="23"/>
    </row>
    <row r="376" spans="1:41" ht="15.75" x14ac:dyDescent="0.25">
      <c r="A376" s="44"/>
      <c r="B376" s="23"/>
      <c r="C376" s="23"/>
      <c r="D376" s="36"/>
      <c r="E376" s="23"/>
      <c r="F376" s="23"/>
      <c r="G376" s="40"/>
      <c r="H376" s="23"/>
      <c r="I376" s="23"/>
      <c r="J376" s="40"/>
      <c r="K376" s="36"/>
      <c r="L376" s="36"/>
      <c r="M376" s="40"/>
      <c r="N376" s="23"/>
      <c r="O376" s="36"/>
      <c r="P376" s="40"/>
      <c r="Q376" s="36"/>
      <c r="R376" s="36"/>
      <c r="S376" s="40"/>
      <c r="T376" s="23"/>
      <c r="U376" s="23"/>
      <c r="V376" s="40"/>
      <c r="W376" s="23"/>
      <c r="X376" s="23"/>
      <c r="Y376" s="40"/>
      <c r="Z376" s="23"/>
      <c r="AA376" s="23"/>
      <c r="AB376" s="40"/>
      <c r="AC376" s="42"/>
      <c r="AD376" s="42"/>
      <c r="AE376" s="40"/>
      <c r="AF376" s="42"/>
      <c r="AG376" s="42"/>
      <c r="AH376" s="23"/>
      <c r="AI376" s="42"/>
      <c r="AJ376" s="42"/>
      <c r="AK376" s="40"/>
      <c r="AL376" s="84"/>
      <c r="AM376" s="84"/>
      <c r="AN376" s="40"/>
      <c r="AO376" s="23"/>
    </row>
    <row r="377" spans="1:41" ht="15.75" x14ac:dyDescent="0.25">
      <c r="A377" s="44"/>
      <c r="B377" s="23"/>
      <c r="C377" s="23"/>
      <c r="D377" s="36"/>
      <c r="E377" s="23"/>
      <c r="F377" s="23"/>
      <c r="G377" s="40"/>
      <c r="H377" s="23"/>
      <c r="I377" s="23"/>
      <c r="J377" s="40"/>
      <c r="K377" s="36"/>
      <c r="L377" s="36"/>
      <c r="M377" s="40"/>
      <c r="N377" s="23"/>
      <c r="O377" s="36"/>
      <c r="P377" s="40"/>
      <c r="Q377" s="36"/>
      <c r="R377" s="36"/>
      <c r="S377" s="40"/>
      <c r="T377" s="23"/>
      <c r="U377" s="23"/>
      <c r="V377" s="40"/>
      <c r="W377" s="23"/>
      <c r="X377" s="23"/>
      <c r="Y377" s="40"/>
      <c r="Z377" s="23"/>
      <c r="AA377" s="23"/>
      <c r="AB377" s="40"/>
      <c r="AC377" s="42"/>
      <c r="AD377" s="42"/>
      <c r="AE377" s="40"/>
      <c r="AF377" s="42"/>
      <c r="AG377" s="42"/>
      <c r="AH377" s="23"/>
      <c r="AI377" s="42"/>
      <c r="AJ377" s="42"/>
      <c r="AK377" s="40"/>
      <c r="AL377" s="84"/>
      <c r="AM377" s="84"/>
      <c r="AN377" s="40"/>
      <c r="AO377" s="23"/>
    </row>
    <row r="378" spans="1:41" ht="15.75" x14ac:dyDescent="0.25">
      <c r="A378" s="44"/>
      <c r="B378" s="23"/>
      <c r="C378" s="23"/>
      <c r="D378" s="36"/>
      <c r="E378" s="23"/>
      <c r="F378" s="23"/>
      <c r="G378" s="40"/>
      <c r="H378" s="23"/>
      <c r="I378" s="23"/>
      <c r="J378" s="40"/>
      <c r="K378" s="36"/>
      <c r="L378" s="36"/>
      <c r="M378" s="40"/>
      <c r="N378" s="23"/>
      <c r="O378" s="36"/>
      <c r="P378" s="40"/>
      <c r="Q378" s="36"/>
      <c r="R378" s="36"/>
      <c r="S378" s="40"/>
      <c r="T378" s="23"/>
      <c r="U378" s="23"/>
      <c r="V378" s="40"/>
      <c r="W378" s="23"/>
      <c r="X378" s="23"/>
      <c r="Y378" s="40"/>
      <c r="Z378" s="23"/>
      <c r="AA378" s="23"/>
      <c r="AB378" s="40"/>
      <c r="AC378" s="42"/>
      <c r="AD378" s="42"/>
      <c r="AE378" s="40"/>
      <c r="AF378" s="42"/>
      <c r="AG378" s="42"/>
      <c r="AH378" s="23"/>
      <c r="AI378" s="42"/>
      <c r="AJ378" s="42"/>
      <c r="AK378" s="40"/>
      <c r="AL378" s="84"/>
      <c r="AM378" s="84"/>
      <c r="AN378" s="40"/>
      <c r="AO378" s="23"/>
    </row>
    <row r="379" spans="1:41" ht="15.75" x14ac:dyDescent="0.25">
      <c r="A379" s="44"/>
      <c r="B379" s="23"/>
      <c r="C379" s="23"/>
      <c r="D379" s="36"/>
      <c r="E379" s="23"/>
      <c r="F379" s="23"/>
      <c r="G379" s="40"/>
      <c r="H379" s="23"/>
      <c r="I379" s="23"/>
      <c r="J379" s="40"/>
      <c r="K379" s="36"/>
      <c r="L379" s="36"/>
      <c r="M379" s="40"/>
      <c r="N379" s="23"/>
      <c r="O379" s="36"/>
      <c r="P379" s="40"/>
      <c r="Q379" s="36"/>
      <c r="R379" s="36"/>
      <c r="S379" s="40"/>
      <c r="T379" s="23"/>
      <c r="U379" s="23"/>
      <c r="V379" s="40"/>
      <c r="W379" s="23"/>
      <c r="X379" s="23"/>
      <c r="Y379" s="40"/>
      <c r="Z379" s="23"/>
      <c r="AA379" s="23"/>
      <c r="AB379" s="40"/>
      <c r="AC379" s="42"/>
      <c r="AD379" s="42"/>
      <c r="AE379" s="40"/>
      <c r="AF379" s="42"/>
      <c r="AG379" s="42"/>
      <c r="AH379" s="23"/>
      <c r="AI379" s="42"/>
      <c r="AJ379" s="42"/>
      <c r="AK379" s="40"/>
      <c r="AL379" s="84"/>
      <c r="AM379" s="84"/>
      <c r="AN379" s="40"/>
      <c r="AO379" s="23"/>
    </row>
    <row r="380" spans="1:41" ht="15.75" x14ac:dyDescent="0.25">
      <c r="A380" s="44"/>
      <c r="B380" s="23"/>
      <c r="C380" s="23"/>
      <c r="D380" s="36"/>
      <c r="E380" s="23"/>
      <c r="F380" s="23"/>
      <c r="G380" s="40"/>
      <c r="H380" s="23"/>
      <c r="I380" s="23"/>
      <c r="J380" s="40"/>
      <c r="K380" s="36"/>
      <c r="L380" s="36"/>
      <c r="M380" s="40"/>
      <c r="N380" s="23"/>
      <c r="O380" s="36"/>
      <c r="P380" s="40"/>
      <c r="Q380" s="36"/>
      <c r="R380" s="36"/>
      <c r="S380" s="40"/>
      <c r="T380" s="23"/>
      <c r="U380" s="23"/>
      <c r="V380" s="40"/>
      <c r="W380" s="23"/>
      <c r="X380" s="23"/>
      <c r="Y380" s="40"/>
      <c r="Z380" s="23"/>
      <c r="AA380" s="23"/>
      <c r="AB380" s="40"/>
      <c r="AC380" s="42"/>
      <c r="AD380" s="42"/>
      <c r="AE380" s="40"/>
      <c r="AF380" s="42"/>
      <c r="AG380" s="42"/>
      <c r="AH380" s="23"/>
      <c r="AI380" s="42"/>
      <c r="AJ380" s="42"/>
      <c r="AK380" s="40"/>
      <c r="AL380" s="84"/>
      <c r="AM380" s="84"/>
      <c r="AN380" s="40"/>
      <c r="AO380" s="23"/>
    </row>
    <row r="381" spans="1:41" ht="15.75" x14ac:dyDescent="0.25">
      <c r="A381" s="44"/>
      <c r="B381" s="23"/>
      <c r="C381" s="23"/>
      <c r="D381" s="36"/>
      <c r="E381" s="23"/>
      <c r="F381" s="23"/>
      <c r="G381" s="40"/>
      <c r="H381" s="23"/>
      <c r="I381" s="23"/>
      <c r="J381" s="40"/>
      <c r="K381" s="36"/>
      <c r="L381" s="36"/>
      <c r="M381" s="40"/>
      <c r="N381" s="23"/>
      <c r="O381" s="36"/>
      <c r="P381" s="40"/>
      <c r="Q381" s="36"/>
      <c r="R381" s="36"/>
      <c r="S381" s="40"/>
      <c r="T381" s="23"/>
      <c r="U381" s="23"/>
      <c r="V381" s="40"/>
      <c r="W381" s="23"/>
      <c r="X381" s="23"/>
      <c r="Y381" s="40"/>
      <c r="Z381" s="23"/>
      <c r="AA381" s="23"/>
      <c r="AB381" s="40"/>
      <c r="AC381" s="42"/>
      <c r="AD381" s="42"/>
      <c r="AE381" s="40"/>
      <c r="AF381" s="42"/>
      <c r="AG381" s="42"/>
      <c r="AH381" s="23"/>
      <c r="AI381" s="42"/>
      <c r="AJ381" s="42"/>
      <c r="AK381" s="40"/>
      <c r="AL381" s="84"/>
      <c r="AM381" s="84"/>
      <c r="AN381" s="40"/>
      <c r="AO381" s="23"/>
    </row>
    <row r="382" spans="1:41" ht="15.75" x14ac:dyDescent="0.25">
      <c r="A382" s="44"/>
      <c r="B382" s="23"/>
      <c r="C382" s="23"/>
      <c r="D382" s="36"/>
      <c r="E382" s="23"/>
      <c r="F382" s="23"/>
      <c r="G382" s="40"/>
      <c r="H382" s="23"/>
      <c r="I382" s="23"/>
      <c r="J382" s="40"/>
      <c r="K382" s="36"/>
      <c r="L382" s="36"/>
      <c r="M382" s="40"/>
      <c r="N382" s="23"/>
      <c r="O382" s="36"/>
      <c r="P382" s="40"/>
      <c r="Q382" s="36"/>
      <c r="R382" s="36"/>
      <c r="S382" s="40"/>
      <c r="T382" s="23"/>
      <c r="U382" s="23"/>
      <c r="V382" s="40"/>
      <c r="W382" s="23"/>
      <c r="X382" s="23"/>
      <c r="Y382" s="40"/>
      <c r="Z382" s="23"/>
      <c r="AA382" s="23"/>
      <c r="AB382" s="40"/>
      <c r="AC382" s="42"/>
      <c r="AD382" s="42"/>
      <c r="AE382" s="40"/>
      <c r="AF382" s="42"/>
      <c r="AG382" s="42"/>
      <c r="AH382" s="23"/>
      <c r="AI382" s="42"/>
      <c r="AJ382" s="42"/>
      <c r="AK382" s="40"/>
      <c r="AL382" s="84"/>
      <c r="AM382" s="84"/>
      <c r="AN382" s="40"/>
      <c r="AO382" s="23"/>
    </row>
    <row r="383" spans="1:41" ht="15.75" x14ac:dyDescent="0.25">
      <c r="A383" s="44"/>
      <c r="B383" s="23"/>
      <c r="C383" s="23"/>
      <c r="D383" s="36"/>
      <c r="E383" s="23"/>
      <c r="F383" s="23"/>
      <c r="G383" s="40"/>
      <c r="H383" s="23"/>
      <c r="I383" s="23"/>
      <c r="J383" s="40"/>
      <c r="K383" s="36"/>
      <c r="L383" s="36"/>
      <c r="M383" s="40"/>
      <c r="N383" s="23"/>
      <c r="O383" s="36"/>
      <c r="P383" s="40"/>
      <c r="Q383" s="36"/>
      <c r="R383" s="36"/>
      <c r="S383" s="40"/>
      <c r="T383" s="23"/>
      <c r="U383" s="23"/>
      <c r="V383" s="40"/>
      <c r="W383" s="23"/>
      <c r="X383" s="23"/>
      <c r="Y383" s="40"/>
      <c r="Z383" s="23"/>
      <c r="AA383" s="23"/>
      <c r="AB383" s="40"/>
      <c r="AC383" s="42"/>
      <c r="AD383" s="42"/>
      <c r="AE383" s="40"/>
      <c r="AF383" s="42"/>
      <c r="AG383" s="42"/>
      <c r="AH383" s="23"/>
      <c r="AI383" s="42"/>
      <c r="AJ383" s="42"/>
      <c r="AK383" s="40"/>
      <c r="AL383" s="84"/>
      <c r="AM383" s="84"/>
      <c r="AN383" s="40"/>
      <c r="AO383" s="23"/>
    </row>
    <row r="384" spans="1:41" ht="15.75" x14ac:dyDescent="0.25">
      <c r="A384" s="44"/>
      <c r="B384" s="23"/>
      <c r="C384" s="23"/>
      <c r="D384" s="36"/>
      <c r="E384" s="23"/>
      <c r="F384" s="23"/>
      <c r="G384" s="40"/>
      <c r="H384" s="23"/>
      <c r="I384" s="23"/>
      <c r="J384" s="40"/>
      <c r="K384" s="36"/>
      <c r="L384" s="36"/>
      <c r="M384" s="40"/>
      <c r="N384" s="23"/>
      <c r="O384" s="36"/>
      <c r="P384" s="40"/>
      <c r="Q384" s="36"/>
      <c r="R384" s="36"/>
      <c r="S384" s="40"/>
      <c r="T384" s="23"/>
      <c r="U384" s="23"/>
      <c r="V384" s="40"/>
      <c r="W384" s="23"/>
      <c r="X384" s="23"/>
      <c r="Y384" s="40"/>
      <c r="Z384" s="23"/>
      <c r="AA384" s="23"/>
      <c r="AB384" s="40"/>
      <c r="AC384" s="42"/>
      <c r="AD384" s="42"/>
      <c r="AE384" s="40"/>
      <c r="AF384" s="42"/>
      <c r="AG384" s="42"/>
      <c r="AH384" s="23"/>
      <c r="AI384" s="42"/>
      <c r="AJ384" s="42"/>
      <c r="AK384" s="40"/>
      <c r="AL384" s="84"/>
      <c r="AM384" s="84"/>
      <c r="AN384" s="40"/>
      <c r="AO384" s="23"/>
    </row>
    <row r="385" spans="1:41" ht="15.75" x14ac:dyDescent="0.25">
      <c r="A385" s="44"/>
      <c r="B385" s="23"/>
      <c r="C385" s="23"/>
      <c r="D385" s="36"/>
      <c r="E385" s="23"/>
      <c r="F385" s="23"/>
      <c r="G385" s="40"/>
      <c r="H385" s="23"/>
      <c r="I385" s="23"/>
      <c r="J385" s="40"/>
      <c r="K385" s="36"/>
      <c r="L385" s="36"/>
      <c r="M385" s="40"/>
      <c r="N385" s="23"/>
      <c r="O385" s="36"/>
      <c r="P385" s="40"/>
      <c r="Q385" s="36"/>
      <c r="R385" s="36"/>
      <c r="S385" s="40"/>
      <c r="T385" s="23"/>
      <c r="U385" s="23"/>
      <c r="V385" s="40"/>
      <c r="W385" s="23"/>
      <c r="X385" s="23"/>
      <c r="Y385" s="40"/>
      <c r="Z385" s="23"/>
      <c r="AA385" s="23"/>
      <c r="AB385" s="40"/>
      <c r="AC385" s="42"/>
      <c r="AD385" s="42"/>
      <c r="AE385" s="40"/>
      <c r="AF385" s="42"/>
      <c r="AG385" s="42"/>
      <c r="AH385" s="23"/>
      <c r="AI385" s="42"/>
      <c r="AJ385" s="42"/>
      <c r="AK385" s="40"/>
      <c r="AL385" s="84"/>
      <c r="AM385" s="84"/>
      <c r="AN385" s="40"/>
      <c r="AO385" s="23"/>
    </row>
    <row r="386" spans="1:41" ht="15.75" x14ac:dyDescent="0.25">
      <c r="A386" s="44"/>
      <c r="B386" s="23"/>
      <c r="C386" s="23"/>
      <c r="D386" s="36"/>
      <c r="E386" s="23"/>
      <c r="F386" s="23"/>
      <c r="G386" s="40"/>
      <c r="H386" s="23"/>
      <c r="I386" s="23"/>
      <c r="J386" s="40"/>
      <c r="K386" s="36"/>
      <c r="L386" s="36"/>
      <c r="M386" s="40"/>
      <c r="N386" s="23"/>
      <c r="O386" s="36"/>
      <c r="P386" s="40"/>
      <c r="Q386" s="36"/>
      <c r="R386" s="36"/>
      <c r="S386" s="40"/>
      <c r="T386" s="23"/>
      <c r="U386" s="23"/>
      <c r="V386" s="40"/>
      <c r="W386" s="23"/>
      <c r="X386" s="23"/>
      <c r="Y386" s="40"/>
      <c r="Z386" s="23"/>
      <c r="AA386" s="23"/>
      <c r="AB386" s="40"/>
      <c r="AC386" s="42"/>
      <c r="AD386" s="42"/>
      <c r="AE386" s="40"/>
      <c r="AF386" s="42"/>
      <c r="AG386" s="42"/>
      <c r="AH386" s="23"/>
      <c r="AI386" s="42"/>
      <c r="AJ386" s="42"/>
      <c r="AK386" s="40"/>
      <c r="AL386" s="84"/>
      <c r="AM386" s="84"/>
      <c r="AN386" s="40"/>
      <c r="AO386" s="23"/>
    </row>
    <row r="387" spans="1:41" ht="15.75" x14ac:dyDescent="0.25">
      <c r="A387" s="44"/>
      <c r="B387" s="23"/>
      <c r="C387" s="23"/>
      <c r="D387" s="36"/>
      <c r="E387" s="23"/>
      <c r="F387" s="23"/>
      <c r="G387" s="40"/>
      <c r="H387" s="23"/>
      <c r="I387" s="23"/>
      <c r="J387" s="40"/>
      <c r="K387" s="36"/>
      <c r="L387" s="36"/>
      <c r="M387" s="40"/>
      <c r="N387" s="23"/>
      <c r="O387" s="36"/>
      <c r="P387" s="40"/>
      <c r="Q387" s="36"/>
      <c r="R387" s="36"/>
      <c r="S387" s="40"/>
      <c r="T387" s="23"/>
      <c r="U387" s="23"/>
      <c r="V387" s="40"/>
      <c r="W387" s="23"/>
      <c r="X387" s="23"/>
      <c r="Y387" s="40"/>
      <c r="Z387" s="23"/>
      <c r="AA387" s="23"/>
      <c r="AB387" s="40"/>
      <c r="AC387" s="42"/>
      <c r="AD387" s="42"/>
      <c r="AE387" s="40"/>
      <c r="AF387" s="42"/>
      <c r="AG387" s="42"/>
      <c r="AH387" s="23"/>
      <c r="AI387" s="42"/>
      <c r="AJ387" s="42"/>
      <c r="AK387" s="40"/>
      <c r="AL387" s="84"/>
      <c r="AM387" s="84"/>
      <c r="AN387" s="40"/>
      <c r="AO387" s="23"/>
    </row>
    <row r="388" spans="1:41" ht="15.75" x14ac:dyDescent="0.25">
      <c r="A388" s="44"/>
      <c r="B388" s="23"/>
      <c r="C388" s="23"/>
      <c r="D388" s="36"/>
      <c r="E388" s="23"/>
      <c r="F388" s="23"/>
      <c r="G388" s="40"/>
      <c r="H388" s="23"/>
      <c r="I388" s="23"/>
      <c r="J388" s="40"/>
      <c r="K388" s="36"/>
      <c r="L388" s="36"/>
      <c r="M388" s="40"/>
      <c r="N388" s="23"/>
      <c r="O388" s="36"/>
      <c r="P388" s="40"/>
      <c r="Q388" s="36"/>
      <c r="R388" s="36"/>
      <c r="S388" s="40"/>
      <c r="T388" s="23"/>
      <c r="U388" s="23"/>
      <c r="V388" s="40"/>
      <c r="W388" s="23"/>
      <c r="X388" s="23"/>
      <c r="Y388" s="40"/>
      <c r="Z388" s="23"/>
      <c r="AA388" s="23"/>
      <c r="AB388" s="40"/>
      <c r="AC388" s="42"/>
      <c r="AD388" s="42"/>
      <c r="AE388" s="40"/>
      <c r="AF388" s="42"/>
      <c r="AG388" s="42"/>
      <c r="AH388" s="23"/>
      <c r="AI388" s="42"/>
      <c r="AJ388" s="42"/>
      <c r="AK388" s="40"/>
      <c r="AL388" s="84"/>
      <c r="AM388" s="84"/>
      <c r="AN388" s="40"/>
      <c r="AO388" s="23"/>
    </row>
    <row r="389" spans="1:41" ht="15.75" x14ac:dyDescent="0.25">
      <c r="A389" s="44"/>
      <c r="B389" s="23"/>
      <c r="C389" s="23"/>
      <c r="D389" s="36"/>
      <c r="E389" s="23"/>
      <c r="F389" s="23"/>
      <c r="G389" s="40"/>
      <c r="H389" s="23"/>
      <c r="I389" s="23"/>
      <c r="J389" s="40"/>
      <c r="K389" s="36"/>
      <c r="L389" s="36"/>
      <c r="M389" s="40"/>
      <c r="N389" s="23"/>
      <c r="O389" s="36"/>
      <c r="P389" s="40"/>
      <c r="Q389" s="36"/>
      <c r="R389" s="36"/>
      <c r="S389" s="40"/>
      <c r="T389" s="23"/>
      <c r="U389" s="23"/>
      <c r="V389" s="40"/>
      <c r="W389" s="23"/>
      <c r="X389" s="23"/>
      <c r="Y389" s="40"/>
      <c r="Z389" s="23"/>
      <c r="AA389" s="23"/>
      <c r="AB389" s="40"/>
      <c r="AC389" s="42"/>
      <c r="AD389" s="42"/>
      <c r="AE389" s="40"/>
      <c r="AF389" s="42"/>
      <c r="AG389" s="42"/>
      <c r="AH389" s="23"/>
      <c r="AI389" s="42"/>
      <c r="AJ389" s="42"/>
      <c r="AK389" s="40"/>
      <c r="AL389" s="84"/>
      <c r="AM389" s="84"/>
      <c r="AN389" s="40"/>
      <c r="AO389" s="23"/>
    </row>
    <row r="390" spans="1:41" ht="15.75" x14ac:dyDescent="0.25">
      <c r="A390" s="44"/>
      <c r="B390" s="23"/>
      <c r="C390" s="23"/>
      <c r="D390" s="36"/>
      <c r="E390" s="23"/>
      <c r="F390" s="23"/>
      <c r="G390" s="40"/>
      <c r="H390" s="23"/>
      <c r="I390" s="23"/>
      <c r="J390" s="40"/>
      <c r="K390" s="36"/>
      <c r="L390" s="36"/>
      <c r="M390" s="40"/>
      <c r="N390" s="23"/>
      <c r="O390" s="36"/>
      <c r="P390" s="40"/>
      <c r="Q390" s="36"/>
      <c r="R390" s="36"/>
      <c r="S390" s="40"/>
      <c r="T390" s="23"/>
      <c r="U390" s="23"/>
      <c r="V390" s="40"/>
      <c r="W390" s="23"/>
      <c r="X390" s="23"/>
      <c r="Y390" s="40"/>
      <c r="Z390" s="23"/>
      <c r="AA390" s="23"/>
      <c r="AB390" s="40"/>
      <c r="AC390" s="42"/>
      <c r="AD390" s="42"/>
      <c r="AE390" s="40"/>
      <c r="AF390" s="42"/>
      <c r="AG390" s="42"/>
      <c r="AH390" s="23"/>
      <c r="AI390" s="42"/>
      <c r="AJ390" s="42"/>
      <c r="AK390" s="40"/>
      <c r="AL390" s="84"/>
      <c r="AM390" s="84"/>
      <c r="AN390" s="40"/>
      <c r="AO390" s="23"/>
    </row>
    <row r="391" spans="1:41" ht="15.75" x14ac:dyDescent="0.25">
      <c r="A391" s="44"/>
      <c r="B391" s="23"/>
      <c r="C391" s="23"/>
      <c r="D391" s="36"/>
      <c r="E391" s="23"/>
      <c r="F391" s="23"/>
      <c r="G391" s="40"/>
      <c r="H391" s="23"/>
      <c r="I391" s="23"/>
      <c r="J391" s="40"/>
      <c r="K391" s="36"/>
      <c r="L391" s="36"/>
      <c r="M391" s="40"/>
      <c r="N391" s="23"/>
      <c r="O391" s="36"/>
      <c r="P391" s="40"/>
      <c r="Q391" s="36"/>
      <c r="R391" s="36"/>
      <c r="S391" s="40"/>
      <c r="T391" s="23"/>
      <c r="U391" s="23"/>
      <c r="V391" s="40"/>
      <c r="W391" s="23"/>
      <c r="X391" s="23"/>
      <c r="Y391" s="40"/>
      <c r="Z391" s="23"/>
      <c r="AA391" s="23"/>
      <c r="AB391" s="40"/>
      <c r="AC391" s="42"/>
      <c r="AD391" s="42"/>
      <c r="AE391" s="40"/>
      <c r="AF391" s="42"/>
      <c r="AG391" s="42"/>
      <c r="AH391" s="23"/>
      <c r="AI391" s="42"/>
      <c r="AJ391" s="42"/>
      <c r="AK391" s="40"/>
      <c r="AL391" s="84"/>
      <c r="AM391" s="84"/>
      <c r="AN391" s="40"/>
      <c r="AO391" s="23"/>
    </row>
    <row r="392" spans="1:41" ht="15.75" x14ac:dyDescent="0.25">
      <c r="A392" s="44"/>
      <c r="B392" s="23"/>
      <c r="C392" s="23"/>
      <c r="D392" s="36"/>
      <c r="E392" s="23"/>
      <c r="F392" s="23"/>
      <c r="G392" s="40"/>
      <c r="H392" s="23"/>
      <c r="I392" s="23"/>
      <c r="J392" s="40"/>
      <c r="K392" s="36"/>
      <c r="L392" s="36"/>
      <c r="M392" s="40"/>
      <c r="N392" s="23"/>
      <c r="O392" s="36"/>
      <c r="P392" s="40"/>
      <c r="Q392" s="36"/>
      <c r="R392" s="36"/>
      <c r="S392" s="40"/>
      <c r="T392" s="23"/>
      <c r="U392" s="23"/>
      <c r="V392" s="40"/>
      <c r="W392" s="23"/>
      <c r="X392" s="23"/>
      <c r="Y392" s="40"/>
      <c r="Z392" s="23"/>
      <c r="AA392" s="23"/>
      <c r="AB392" s="40"/>
      <c r="AC392" s="42"/>
      <c r="AD392" s="42"/>
      <c r="AE392" s="40"/>
      <c r="AF392" s="42"/>
      <c r="AG392" s="42"/>
      <c r="AH392" s="23"/>
      <c r="AI392" s="42"/>
      <c r="AJ392" s="42"/>
      <c r="AK392" s="40"/>
      <c r="AL392" s="84"/>
      <c r="AM392" s="84"/>
      <c r="AN392" s="40"/>
      <c r="AO392" s="23"/>
    </row>
    <row r="393" spans="1:41" ht="15.75" x14ac:dyDescent="0.25">
      <c r="A393" s="44"/>
      <c r="B393" s="23"/>
      <c r="C393" s="23"/>
      <c r="D393" s="36"/>
      <c r="E393" s="23"/>
      <c r="F393" s="23"/>
      <c r="G393" s="40"/>
      <c r="H393" s="23"/>
      <c r="I393" s="23"/>
      <c r="J393" s="40"/>
      <c r="K393" s="36"/>
      <c r="L393" s="36"/>
      <c r="M393" s="40"/>
      <c r="N393" s="23"/>
      <c r="O393" s="36"/>
      <c r="P393" s="40"/>
      <c r="Q393" s="36"/>
      <c r="R393" s="36"/>
      <c r="S393" s="40"/>
      <c r="T393" s="23"/>
      <c r="U393" s="23"/>
      <c r="V393" s="40"/>
      <c r="W393" s="23"/>
      <c r="X393" s="23"/>
      <c r="Y393" s="40"/>
      <c r="Z393" s="23"/>
      <c r="AA393" s="23"/>
      <c r="AB393" s="40"/>
      <c r="AC393" s="42"/>
      <c r="AD393" s="42"/>
      <c r="AE393" s="40"/>
      <c r="AF393" s="42"/>
      <c r="AG393" s="42"/>
      <c r="AH393" s="23"/>
      <c r="AI393" s="42"/>
      <c r="AJ393" s="42"/>
      <c r="AK393" s="40"/>
      <c r="AL393" s="84"/>
      <c r="AM393" s="84"/>
      <c r="AN393" s="40"/>
      <c r="AO393" s="23"/>
    </row>
    <row r="394" spans="1:41" ht="15.75" x14ac:dyDescent="0.25">
      <c r="A394" s="44"/>
      <c r="B394" s="23"/>
      <c r="C394" s="23"/>
      <c r="D394" s="36"/>
      <c r="E394" s="23"/>
      <c r="F394" s="23"/>
      <c r="G394" s="40"/>
      <c r="H394" s="23"/>
      <c r="I394" s="23"/>
      <c r="J394" s="40"/>
      <c r="K394" s="36"/>
      <c r="L394" s="36"/>
      <c r="M394" s="40"/>
      <c r="N394" s="23"/>
      <c r="O394" s="36"/>
      <c r="P394" s="40"/>
      <c r="Q394" s="36"/>
      <c r="R394" s="36"/>
      <c r="S394" s="40"/>
      <c r="T394" s="23"/>
      <c r="U394" s="23"/>
      <c r="V394" s="40"/>
      <c r="W394" s="23"/>
      <c r="X394" s="23"/>
      <c r="Y394" s="40"/>
      <c r="Z394" s="23"/>
      <c r="AA394" s="23"/>
      <c r="AB394" s="40"/>
      <c r="AC394" s="42"/>
      <c r="AD394" s="42"/>
      <c r="AE394" s="40"/>
      <c r="AF394" s="42"/>
      <c r="AG394" s="42"/>
      <c r="AH394" s="23"/>
      <c r="AI394" s="42"/>
      <c r="AJ394" s="42"/>
      <c r="AK394" s="40"/>
      <c r="AL394" s="84"/>
      <c r="AM394" s="84"/>
      <c r="AN394" s="40"/>
      <c r="AO394" s="23"/>
    </row>
    <row r="395" spans="1:41" ht="15.75" x14ac:dyDescent="0.25">
      <c r="A395" s="44"/>
      <c r="B395" s="23"/>
      <c r="C395" s="23"/>
      <c r="D395" s="36"/>
      <c r="E395" s="23"/>
      <c r="F395" s="23"/>
      <c r="G395" s="40"/>
      <c r="H395" s="23"/>
      <c r="I395" s="23"/>
      <c r="J395" s="40"/>
      <c r="K395" s="36"/>
      <c r="L395" s="36"/>
      <c r="M395" s="40"/>
      <c r="N395" s="23"/>
      <c r="O395" s="36"/>
      <c r="P395" s="40"/>
      <c r="Q395" s="36"/>
      <c r="R395" s="36"/>
      <c r="S395" s="40"/>
      <c r="T395" s="23"/>
      <c r="U395" s="23"/>
      <c r="V395" s="40"/>
      <c r="W395" s="23"/>
      <c r="X395" s="23"/>
      <c r="Y395" s="40"/>
      <c r="Z395" s="23"/>
      <c r="AA395" s="23"/>
      <c r="AB395" s="40"/>
      <c r="AC395" s="42"/>
      <c r="AD395" s="42"/>
      <c r="AE395" s="40"/>
      <c r="AF395" s="42"/>
      <c r="AG395" s="42"/>
      <c r="AH395" s="23"/>
      <c r="AI395" s="42"/>
      <c r="AJ395" s="42"/>
      <c r="AK395" s="40"/>
      <c r="AL395" s="84"/>
      <c r="AM395" s="84"/>
      <c r="AN395" s="40"/>
      <c r="AO395" s="23"/>
    </row>
    <row r="396" spans="1:41" ht="15.75" x14ac:dyDescent="0.25">
      <c r="A396" s="44"/>
      <c r="B396" s="23"/>
      <c r="C396" s="23"/>
      <c r="D396" s="36"/>
      <c r="E396" s="23"/>
      <c r="F396" s="23"/>
      <c r="G396" s="40"/>
      <c r="H396" s="23"/>
      <c r="I396" s="23"/>
      <c r="J396" s="40"/>
      <c r="K396" s="36"/>
      <c r="L396" s="36"/>
      <c r="M396" s="40"/>
      <c r="N396" s="23"/>
      <c r="O396" s="36"/>
      <c r="P396" s="40"/>
      <c r="Q396" s="36"/>
      <c r="R396" s="36"/>
      <c r="S396" s="40"/>
      <c r="T396" s="23"/>
      <c r="U396" s="23"/>
      <c r="V396" s="40"/>
      <c r="W396" s="23"/>
      <c r="X396" s="23"/>
      <c r="Y396" s="40"/>
      <c r="Z396" s="23"/>
      <c r="AA396" s="23"/>
      <c r="AB396" s="40"/>
      <c r="AC396" s="42"/>
      <c r="AD396" s="42"/>
      <c r="AE396" s="40"/>
      <c r="AF396" s="42"/>
      <c r="AG396" s="42"/>
      <c r="AH396" s="23"/>
      <c r="AI396" s="42"/>
      <c r="AJ396" s="42"/>
      <c r="AK396" s="40"/>
      <c r="AL396" s="84"/>
      <c r="AM396" s="84"/>
      <c r="AN396" s="40"/>
      <c r="AO396" s="23"/>
    </row>
    <row r="397" spans="1:41" ht="15.75" x14ac:dyDescent="0.25">
      <c r="A397" s="44"/>
      <c r="B397" s="23"/>
      <c r="C397" s="23"/>
      <c r="D397" s="36"/>
      <c r="E397" s="23"/>
      <c r="F397" s="23"/>
      <c r="G397" s="40"/>
      <c r="H397" s="23"/>
      <c r="I397" s="23"/>
      <c r="J397" s="40"/>
      <c r="K397" s="36"/>
      <c r="L397" s="36"/>
      <c r="M397" s="40"/>
      <c r="N397" s="23"/>
      <c r="O397" s="36"/>
      <c r="P397" s="40"/>
      <c r="Q397" s="36"/>
      <c r="R397" s="36"/>
      <c r="S397" s="40"/>
      <c r="T397" s="23"/>
      <c r="U397" s="23"/>
      <c r="V397" s="40"/>
      <c r="W397" s="23"/>
      <c r="X397" s="23"/>
      <c r="Y397" s="40"/>
      <c r="Z397" s="23"/>
      <c r="AA397" s="23"/>
      <c r="AB397" s="40"/>
      <c r="AC397" s="42"/>
      <c r="AD397" s="42"/>
      <c r="AE397" s="40"/>
      <c r="AF397" s="42"/>
      <c r="AG397" s="42"/>
      <c r="AH397" s="23"/>
      <c r="AI397" s="42"/>
      <c r="AJ397" s="42"/>
      <c r="AK397" s="40"/>
      <c r="AL397" s="84"/>
      <c r="AM397" s="84"/>
      <c r="AN397" s="40"/>
      <c r="AO397" s="23"/>
    </row>
    <row r="398" spans="1:41" ht="15.75" x14ac:dyDescent="0.25">
      <c r="A398" s="44"/>
      <c r="B398" s="23"/>
      <c r="C398" s="23"/>
      <c r="D398" s="36"/>
      <c r="E398" s="23"/>
      <c r="F398" s="23"/>
      <c r="G398" s="40"/>
      <c r="H398" s="23"/>
      <c r="I398" s="23"/>
      <c r="J398" s="40"/>
      <c r="K398" s="36"/>
      <c r="L398" s="36"/>
      <c r="M398" s="40"/>
      <c r="N398" s="23"/>
      <c r="O398" s="36"/>
      <c r="P398" s="40"/>
      <c r="Q398" s="36"/>
      <c r="R398" s="36"/>
      <c r="S398" s="40"/>
      <c r="T398" s="23"/>
      <c r="U398" s="23"/>
      <c r="V398" s="40"/>
      <c r="W398" s="23"/>
      <c r="X398" s="23"/>
      <c r="Y398" s="40"/>
      <c r="Z398" s="23"/>
      <c r="AA398" s="23"/>
      <c r="AB398" s="40"/>
      <c r="AC398" s="42"/>
      <c r="AD398" s="42"/>
      <c r="AE398" s="40"/>
      <c r="AF398" s="42"/>
      <c r="AG398" s="42"/>
      <c r="AH398" s="23"/>
      <c r="AI398" s="42"/>
      <c r="AJ398" s="42"/>
      <c r="AK398" s="40"/>
      <c r="AL398" s="84"/>
      <c r="AM398" s="84"/>
      <c r="AN398" s="40"/>
      <c r="AO398" s="23"/>
    </row>
    <row r="399" spans="1:41" ht="15.75" x14ac:dyDescent="0.25">
      <c r="A399" s="44"/>
      <c r="B399" s="23"/>
      <c r="C399" s="23"/>
      <c r="D399" s="36"/>
      <c r="E399" s="23"/>
      <c r="F399" s="23"/>
      <c r="G399" s="40"/>
      <c r="H399" s="23"/>
      <c r="I399" s="23"/>
      <c r="J399" s="40"/>
      <c r="K399" s="36"/>
      <c r="L399" s="36"/>
      <c r="M399" s="40"/>
      <c r="N399" s="23"/>
      <c r="O399" s="36"/>
      <c r="P399" s="40"/>
      <c r="Q399" s="36"/>
      <c r="R399" s="36"/>
      <c r="S399" s="40"/>
      <c r="T399" s="23"/>
      <c r="U399" s="23"/>
      <c r="V399" s="40"/>
      <c r="W399" s="23"/>
      <c r="X399" s="23"/>
      <c r="Y399" s="40"/>
      <c r="Z399" s="23"/>
      <c r="AA399" s="23"/>
      <c r="AB399" s="40"/>
      <c r="AC399" s="42"/>
      <c r="AD399" s="42"/>
      <c r="AE399" s="40"/>
      <c r="AF399" s="42"/>
      <c r="AG399" s="42"/>
      <c r="AH399" s="23"/>
      <c r="AI399" s="42"/>
      <c r="AJ399" s="42"/>
      <c r="AK399" s="40"/>
      <c r="AL399" s="84"/>
      <c r="AM399" s="84"/>
      <c r="AN399" s="40"/>
      <c r="AO399" s="23"/>
    </row>
    <row r="400" spans="1:41" ht="15.75" x14ac:dyDescent="0.25">
      <c r="A400" s="44"/>
      <c r="B400" s="23"/>
      <c r="C400" s="23"/>
      <c r="D400" s="36"/>
      <c r="E400" s="23"/>
      <c r="F400" s="23"/>
      <c r="G400" s="40"/>
      <c r="H400" s="23"/>
      <c r="I400" s="23"/>
      <c r="J400" s="40"/>
      <c r="K400" s="36"/>
      <c r="L400" s="36"/>
      <c r="M400" s="40"/>
      <c r="N400" s="23"/>
      <c r="O400" s="36"/>
      <c r="P400" s="40"/>
      <c r="Q400" s="36"/>
      <c r="R400" s="36"/>
      <c r="S400" s="40"/>
      <c r="T400" s="23"/>
      <c r="U400" s="23"/>
      <c r="V400" s="40"/>
      <c r="W400" s="23"/>
      <c r="X400" s="23"/>
      <c r="Y400" s="40"/>
      <c r="Z400" s="23"/>
      <c r="AA400" s="23"/>
      <c r="AB400" s="40"/>
      <c r="AC400" s="42"/>
      <c r="AD400" s="42"/>
      <c r="AE400" s="40"/>
      <c r="AF400" s="42"/>
      <c r="AG400" s="42"/>
      <c r="AH400" s="23"/>
      <c r="AI400" s="42"/>
      <c r="AJ400" s="42"/>
      <c r="AK400" s="40"/>
      <c r="AL400" s="84"/>
      <c r="AM400" s="84"/>
      <c r="AN400" s="40"/>
      <c r="AO400" s="23"/>
    </row>
    <row r="401" spans="1:41" ht="15.75" x14ac:dyDescent="0.25">
      <c r="A401" s="44"/>
      <c r="B401" s="23"/>
      <c r="C401" s="23"/>
      <c r="D401" s="36"/>
      <c r="E401" s="23"/>
      <c r="F401" s="23"/>
      <c r="G401" s="40"/>
      <c r="H401" s="23"/>
      <c r="I401" s="23"/>
      <c r="J401" s="40"/>
      <c r="K401" s="36"/>
      <c r="L401" s="36"/>
      <c r="M401" s="40"/>
      <c r="N401" s="23"/>
      <c r="O401" s="36"/>
      <c r="P401" s="40"/>
      <c r="Q401" s="36"/>
      <c r="R401" s="36"/>
      <c r="S401" s="40"/>
      <c r="T401" s="23"/>
      <c r="U401" s="23"/>
      <c r="V401" s="40"/>
      <c r="W401" s="23"/>
      <c r="X401" s="23"/>
      <c r="Y401" s="40"/>
      <c r="Z401" s="23"/>
      <c r="AA401" s="23"/>
      <c r="AB401" s="40"/>
      <c r="AC401" s="42"/>
      <c r="AD401" s="42"/>
      <c r="AE401" s="40"/>
      <c r="AF401" s="42"/>
      <c r="AG401" s="42"/>
      <c r="AH401" s="23"/>
      <c r="AI401" s="42"/>
      <c r="AJ401" s="42"/>
      <c r="AK401" s="40"/>
      <c r="AL401" s="84"/>
      <c r="AM401" s="84"/>
      <c r="AN401" s="40"/>
      <c r="AO401" s="23"/>
    </row>
    <row r="402" spans="1:41" ht="15.75" x14ac:dyDescent="0.25">
      <c r="A402" s="44"/>
      <c r="B402" s="23"/>
      <c r="C402" s="23"/>
      <c r="D402" s="36"/>
      <c r="E402" s="23"/>
      <c r="F402" s="23"/>
      <c r="G402" s="40"/>
      <c r="H402" s="23"/>
      <c r="I402" s="23"/>
      <c r="J402" s="40"/>
      <c r="K402" s="36"/>
      <c r="L402" s="36"/>
      <c r="M402" s="40"/>
      <c r="N402" s="23"/>
      <c r="O402" s="36"/>
      <c r="P402" s="40"/>
      <c r="Q402" s="36"/>
      <c r="R402" s="36"/>
      <c r="S402" s="40"/>
      <c r="T402" s="23"/>
      <c r="U402" s="23"/>
      <c r="V402" s="40"/>
      <c r="W402" s="23"/>
      <c r="X402" s="23"/>
      <c r="Y402" s="40"/>
      <c r="Z402" s="23"/>
      <c r="AA402" s="23"/>
      <c r="AB402" s="40"/>
      <c r="AC402" s="42"/>
      <c r="AD402" s="42"/>
      <c r="AE402" s="40"/>
      <c r="AF402" s="42"/>
      <c r="AG402" s="42"/>
      <c r="AH402" s="23"/>
      <c r="AI402" s="42"/>
      <c r="AJ402" s="42"/>
      <c r="AK402" s="40"/>
      <c r="AL402" s="84"/>
      <c r="AM402" s="84"/>
      <c r="AN402" s="40"/>
      <c r="AO402" s="23"/>
    </row>
    <row r="403" spans="1:41" ht="15.75" x14ac:dyDescent="0.25">
      <c r="A403" s="44"/>
      <c r="B403" s="23"/>
      <c r="C403" s="23"/>
      <c r="D403" s="36"/>
      <c r="E403" s="23"/>
      <c r="F403" s="23"/>
      <c r="G403" s="40"/>
      <c r="H403" s="23"/>
      <c r="I403" s="23"/>
      <c r="J403" s="40"/>
      <c r="K403" s="36"/>
      <c r="L403" s="36"/>
      <c r="M403" s="40"/>
      <c r="N403" s="23"/>
      <c r="O403" s="36"/>
      <c r="P403" s="40"/>
      <c r="Q403" s="36"/>
      <c r="R403" s="36"/>
      <c r="S403" s="40"/>
      <c r="T403" s="23"/>
      <c r="U403" s="23"/>
      <c r="V403" s="40"/>
      <c r="W403" s="23"/>
      <c r="X403" s="23"/>
      <c r="Y403" s="40"/>
      <c r="Z403" s="23"/>
      <c r="AA403" s="23"/>
      <c r="AB403" s="40"/>
      <c r="AC403" s="42"/>
      <c r="AD403" s="42"/>
      <c r="AE403" s="40"/>
      <c r="AF403" s="42"/>
      <c r="AG403" s="42"/>
      <c r="AH403" s="23"/>
      <c r="AI403" s="42"/>
      <c r="AJ403" s="42"/>
      <c r="AK403" s="40"/>
      <c r="AL403" s="84"/>
      <c r="AM403" s="84"/>
      <c r="AN403" s="40"/>
      <c r="AO403" s="23"/>
    </row>
    <row r="404" spans="1:41" ht="15.75" x14ac:dyDescent="0.25">
      <c r="A404" s="44"/>
      <c r="B404" s="23"/>
      <c r="C404" s="23"/>
      <c r="D404" s="36"/>
      <c r="E404" s="23"/>
      <c r="F404" s="23"/>
      <c r="G404" s="40"/>
      <c r="H404" s="23"/>
      <c r="I404" s="23"/>
      <c r="J404" s="40"/>
      <c r="K404" s="36"/>
      <c r="L404" s="36"/>
      <c r="M404" s="40"/>
      <c r="N404" s="23"/>
      <c r="O404" s="36"/>
      <c r="P404" s="40"/>
      <c r="Q404" s="36"/>
      <c r="R404" s="36"/>
      <c r="S404" s="40"/>
      <c r="T404" s="23"/>
      <c r="U404" s="23"/>
      <c r="V404" s="40"/>
      <c r="W404" s="23"/>
      <c r="X404" s="23"/>
      <c r="Y404" s="40"/>
      <c r="Z404" s="23"/>
      <c r="AA404" s="23"/>
      <c r="AB404" s="40"/>
      <c r="AC404" s="42"/>
      <c r="AD404" s="42"/>
      <c r="AE404" s="40"/>
      <c r="AF404" s="42"/>
      <c r="AG404" s="42"/>
      <c r="AH404" s="23"/>
      <c r="AI404" s="42"/>
      <c r="AJ404" s="42"/>
      <c r="AK404" s="40"/>
      <c r="AL404" s="84"/>
      <c r="AM404" s="84"/>
      <c r="AN404" s="40"/>
      <c r="AO404" s="23"/>
    </row>
    <row r="405" spans="1:41" ht="15.75" x14ac:dyDescent="0.25">
      <c r="A405" s="44"/>
      <c r="B405" s="23"/>
      <c r="C405" s="23"/>
      <c r="D405" s="36"/>
      <c r="E405" s="23"/>
      <c r="F405" s="23"/>
      <c r="G405" s="40"/>
      <c r="H405" s="23"/>
      <c r="I405" s="23"/>
      <c r="J405" s="40"/>
      <c r="K405" s="36"/>
      <c r="L405" s="36"/>
      <c r="M405" s="40"/>
      <c r="N405" s="23"/>
      <c r="O405" s="36"/>
      <c r="P405" s="40"/>
      <c r="Q405" s="36"/>
      <c r="R405" s="36"/>
      <c r="S405" s="40"/>
      <c r="T405" s="23"/>
      <c r="U405" s="23"/>
      <c r="V405" s="40"/>
      <c r="W405" s="23"/>
      <c r="X405" s="23"/>
      <c r="Y405" s="40"/>
      <c r="Z405" s="23"/>
      <c r="AA405" s="23"/>
      <c r="AB405" s="40"/>
      <c r="AC405" s="42"/>
      <c r="AD405" s="42"/>
      <c r="AE405" s="40"/>
      <c r="AF405" s="42"/>
      <c r="AG405" s="42"/>
      <c r="AH405" s="23"/>
      <c r="AI405" s="42"/>
      <c r="AJ405" s="42"/>
      <c r="AK405" s="40"/>
      <c r="AL405" s="84"/>
      <c r="AM405" s="84"/>
      <c r="AN405" s="40"/>
      <c r="AO405" s="23"/>
    </row>
    <row r="406" spans="1:41" ht="15.75" x14ac:dyDescent="0.25">
      <c r="A406" s="44"/>
      <c r="B406" s="23"/>
      <c r="C406" s="23"/>
      <c r="D406" s="36"/>
      <c r="E406" s="23"/>
      <c r="F406" s="23"/>
      <c r="G406" s="40"/>
      <c r="H406" s="23"/>
      <c r="I406" s="23"/>
      <c r="J406" s="40"/>
      <c r="K406" s="36"/>
      <c r="L406" s="36"/>
      <c r="M406" s="40"/>
      <c r="N406" s="23"/>
      <c r="O406" s="36"/>
      <c r="P406" s="40"/>
      <c r="Q406" s="36"/>
      <c r="R406" s="36"/>
      <c r="S406" s="40"/>
      <c r="T406" s="23"/>
      <c r="U406" s="23"/>
      <c r="V406" s="40"/>
      <c r="W406" s="23"/>
      <c r="X406" s="23"/>
      <c r="Y406" s="40"/>
      <c r="Z406" s="23"/>
      <c r="AA406" s="23"/>
      <c r="AB406" s="40"/>
      <c r="AC406" s="42"/>
      <c r="AD406" s="42"/>
      <c r="AE406" s="40"/>
      <c r="AF406" s="42"/>
      <c r="AG406" s="42"/>
      <c r="AH406" s="23"/>
      <c r="AI406" s="42"/>
      <c r="AJ406" s="42"/>
      <c r="AK406" s="40"/>
      <c r="AL406" s="84"/>
      <c r="AM406" s="84"/>
      <c r="AN406" s="40"/>
      <c r="AO406" s="23"/>
    </row>
    <row r="407" spans="1:41" ht="15.75" x14ac:dyDescent="0.25">
      <c r="A407" s="44"/>
      <c r="B407" s="23"/>
      <c r="C407" s="23"/>
      <c r="D407" s="36"/>
      <c r="E407" s="23"/>
      <c r="F407" s="23"/>
      <c r="G407" s="40"/>
      <c r="H407" s="23"/>
      <c r="I407" s="23"/>
      <c r="J407" s="40"/>
      <c r="K407" s="36"/>
      <c r="L407" s="36"/>
      <c r="M407" s="40"/>
      <c r="N407" s="23"/>
      <c r="O407" s="36"/>
      <c r="P407" s="40"/>
      <c r="Q407" s="36"/>
      <c r="R407" s="36"/>
      <c r="S407" s="40"/>
      <c r="T407" s="23"/>
      <c r="U407" s="23"/>
      <c r="V407" s="40"/>
      <c r="W407" s="23"/>
      <c r="X407" s="23"/>
      <c r="Y407" s="40"/>
      <c r="Z407" s="23"/>
      <c r="AA407" s="23"/>
      <c r="AB407" s="40"/>
      <c r="AC407" s="42"/>
      <c r="AD407" s="42"/>
      <c r="AE407" s="40"/>
      <c r="AF407" s="42"/>
      <c r="AG407" s="42"/>
      <c r="AH407" s="23"/>
      <c r="AI407" s="42"/>
      <c r="AJ407" s="42"/>
      <c r="AK407" s="40"/>
      <c r="AL407" s="84"/>
      <c r="AM407" s="84"/>
      <c r="AN407" s="40"/>
      <c r="AO407" s="23"/>
    </row>
    <row r="408" spans="1:41" ht="15.75" x14ac:dyDescent="0.25">
      <c r="A408" s="44"/>
      <c r="B408" s="23"/>
      <c r="C408" s="23"/>
      <c r="D408" s="36"/>
      <c r="E408" s="23"/>
      <c r="F408" s="23"/>
      <c r="G408" s="40"/>
      <c r="H408" s="23"/>
      <c r="I408" s="23"/>
      <c r="J408" s="40"/>
      <c r="K408" s="36"/>
      <c r="L408" s="36"/>
      <c r="M408" s="40"/>
      <c r="N408" s="23"/>
      <c r="O408" s="36"/>
      <c r="P408" s="40"/>
      <c r="Q408" s="36"/>
      <c r="R408" s="36"/>
      <c r="S408" s="40"/>
      <c r="T408" s="23"/>
      <c r="U408" s="23"/>
      <c r="V408" s="40"/>
      <c r="W408" s="23"/>
      <c r="X408" s="23"/>
      <c r="Y408" s="40"/>
      <c r="Z408" s="23"/>
      <c r="AA408" s="23"/>
      <c r="AB408" s="40"/>
      <c r="AC408" s="42"/>
      <c r="AD408" s="42"/>
      <c r="AE408" s="40"/>
      <c r="AF408" s="42"/>
      <c r="AG408" s="42"/>
      <c r="AH408" s="23"/>
      <c r="AI408" s="42"/>
      <c r="AJ408" s="42"/>
      <c r="AK408" s="40"/>
      <c r="AL408" s="84"/>
      <c r="AM408" s="84"/>
      <c r="AN408" s="40"/>
      <c r="AO408" s="23"/>
    </row>
    <row r="409" spans="1:41" ht="15.75" x14ac:dyDescent="0.25">
      <c r="A409" s="44"/>
      <c r="B409" s="23"/>
      <c r="C409" s="23"/>
      <c r="D409" s="36"/>
      <c r="E409" s="23"/>
      <c r="F409" s="23"/>
      <c r="G409" s="40"/>
      <c r="H409" s="23"/>
      <c r="I409" s="23"/>
      <c r="J409" s="40"/>
      <c r="K409" s="36"/>
      <c r="L409" s="36"/>
      <c r="M409" s="40"/>
      <c r="N409" s="23"/>
      <c r="O409" s="36"/>
      <c r="P409" s="40"/>
      <c r="Q409" s="36"/>
      <c r="R409" s="36"/>
      <c r="S409" s="40"/>
      <c r="T409" s="23"/>
      <c r="U409" s="23"/>
      <c r="V409" s="40"/>
      <c r="W409" s="23"/>
      <c r="X409" s="23"/>
      <c r="Y409" s="40"/>
      <c r="Z409" s="23"/>
      <c r="AA409" s="23"/>
      <c r="AB409" s="40"/>
      <c r="AC409" s="42"/>
      <c r="AD409" s="42"/>
      <c r="AE409" s="40"/>
      <c r="AF409" s="42"/>
      <c r="AG409" s="42"/>
      <c r="AH409" s="23"/>
      <c r="AI409" s="42"/>
      <c r="AJ409" s="42"/>
      <c r="AK409" s="40"/>
      <c r="AL409" s="84"/>
      <c r="AM409" s="84"/>
      <c r="AN409" s="40"/>
      <c r="AO409" s="23"/>
    </row>
    <row r="410" spans="1:41" ht="15.75" x14ac:dyDescent="0.25">
      <c r="A410" s="44"/>
      <c r="B410" s="23"/>
      <c r="C410" s="23"/>
      <c r="D410" s="36"/>
      <c r="E410" s="23"/>
      <c r="F410" s="23"/>
      <c r="G410" s="40"/>
      <c r="H410" s="23"/>
      <c r="I410" s="23"/>
      <c r="J410" s="40"/>
      <c r="K410" s="36"/>
      <c r="L410" s="36"/>
      <c r="M410" s="40"/>
      <c r="N410" s="23"/>
      <c r="O410" s="36"/>
      <c r="P410" s="40"/>
      <c r="Q410" s="36"/>
      <c r="R410" s="36"/>
      <c r="S410" s="40"/>
      <c r="T410" s="23"/>
      <c r="U410" s="23"/>
      <c r="V410" s="40"/>
      <c r="W410" s="23"/>
      <c r="X410" s="23"/>
      <c r="Y410" s="40"/>
      <c r="Z410" s="23"/>
      <c r="AA410" s="23"/>
      <c r="AB410" s="40"/>
      <c r="AC410" s="42"/>
      <c r="AD410" s="42"/>
      <c r="AE410" s="40"/>
      <c r="AF410" s="42"/>
      <c r="AG410" s="42"/>
      <c r="AH410" s="23"/>
      <c r="AI410" s="42"/>
      <c r="AJ410" s="42"/>
      <c r="AK410" s="40"/>
      <c r="AL410" s="84"/>
      <c r="AM410" s="84"/>
      <c r="AN410" s="40"/>
      <c r="AO410" s="23"/>
    </row>
    <row r="411" spans="1:41" ht="15.75" x14ac:dyDescent="0.25">
      <c r="A411" s="44"/>
      <c r="B411" s="23"/>
      <c r="C411" s="23"/>
      <c r="D411" s="36"/>
      <c r="E411" s="23"/>
      <c r="F411" s="23"/>
      <c r="G411" s="40"/>
      <c r="H411" s="23"/>
      <c r="I411" s="23"/>
      <c r="J411" s="40"/>
      <c r="K411" s="36"/>
      <c r="L411" s="36"/>
      <c r="M411" s="40"/>
      <c r="N411" s="23"/>
      <c r="O411" s="36"/>
      <c r="P411" s="40"/>
      <c r="Q411" s="36"/>
      <c r="R411" s="36"/>
      <c r="S411" s="40"/>
      <c r="T411" s="23"/>
      <c r="U411" s="23"/>
      <c r="V411" s="40"/>
      <c r="W411" s="23"/>
      <c r="X411" s="23"/>
      <c r="Y411" s="40"/>
      <c r="Z411" s="23"/>
      <c r="AA411" s="23"/>
      <c r="AB411" s="40"/>
      <c r="AC411" s="42"/>
      <c r="AD411" s="42"/>
      <c r="AE411" s="40"/>
      <c r="AF411" s="42"/>
      <c r="AG411" s="42"/>
      <c r="AH411" s="23"/>
      <c r="AI411" s="42"/>
      <c r="AJ411" s="42"/>
      <c r="AK411" s="40"/>
      <c r="AL411" s="84"/>
      <c r="AM411" s="84"/>
      <c r="AN411" s="40"/>
      <c r="AO411" s="23"/>
    </row>
    <row r="412" spans="1:41" ht="15.75" x14ac:dyDescent="0.25">
      <c r="A412" s="44"/>
      <c r="B412" s="23"/>
      <c r="C412" s="23"/>
      <c r="D412" s="36"/>
      <c r="E412" s="23"/>
      <c r="F412" s="23"/>
      <c r="G412" s="40"/>
      <c r="H412" s="23"/>
      <c r="I412" s="23"/>
      <c r="J412" s="40"/>
      <c r="K412" s="36"/>
      <c r="L412" s="36"/>
      <c r="M412" s="40"/>
      <c r="N412" s="23"/>
      <c r="O412" s="36"/>
      <c r="P412" s="40"/>
      <c r="Q412" s="36"/>
      <c r="R412" s="36"/>
      <c r="S412" s="40"/>
      <c r="T412" s="23"/>
      <c r="U412" s="23"/>
      <c r="V412" s="40"/>
      <c r="W412" s="23"/>
      <c r="X412" s="23"/>
      <c r="Y412" s="40"/>
      <c r="Z412" s="23"/>
      <c r="AA412" s="23"/>
      <c r="AB412" s="40"/>
      <c r="AC412" s="42"/>
      <c r="AD412" s="42"/>
      <c r="AE412" s="40"/>
      <c r="AF412" s="42"/>
      <c r="AG412" s="42"/>
      <c r="AH412" s="23"/>
      <c r="AI412" s="42"/>
      <c r="AJ412" s="42"/>
      <c r="AK412" s="40"/>
      <c r="AL412" s="84"/>
      <c r="AM412" s="84"/>
      <c r="AN412" s="40"/>
      <c r="AO412" s="23"/>
    </row>
    <row r="413" spans="1:41" ht="15.75" x14ac:dyDescent="0.25">
      <c r="A413" s="44"/>
      <c r="B413" s="23"/>
      <c r="C413" s="23"/>
      <c r="D413" s="36"/>
      <c r="E413" s="23"/>
      <c r="F413" s="23"/>
      <c r="G413" s="40"/>
      <c r="H413" s="23"/>
      <c r="I413" s="23"/>
      <c r="J413" s="40"/>
      <c r="K413" s="36"/>
      <c r="L413" s="36"/>
      <c r="M413" s="40"/>
      <c r="N413" s="23"/>
      <c r="O413" s="36"/>
      <c r="P413" s="40"/>
      <c r="Q413" s="36"/>
      <c r="R413" s="36"/>
      <c r="S413" s="40"/>
      <c r="T413" s="23"/>
      <c r="U413" s="23"/>
      <c r="V413" s="40"/>
      <c r="W413" s="23"/>
      <c r="X413" s="23"/>
      <c r="Y413" s="40"/>
      <c r="Z413" s="23"/>
      <c r="AA413" s="23"/>
      <c r="AB413" s="40"/>
      <c r="AC413" s="42"/>
      <c r="AD413" s="42"/>
      <c r="AE413" s="40"/>
      <c r="AF413" s="42"/>
      <c r="AG413" s="42"/>
      <c r="AH413" s="23"/>
      <c r="AI413" s="42"/>
      <c r="AJ413" s="42"/>
      <c r="AK413" s="40"/>
      <c r="AL413" s="84"/>
      <c r="AM413" s="84"/>
      <c r="AN413" s="40"/>
      <c r="AO413" s="23"/>
    </row>
    <row r="414" spans="1:41" ht="15.75" x14ac:dyDescent="0.25">
      <c r="A414" s="44"/>
      <c r="B414" s="23"/>
      <c r="C414" s="23"/>
      <c r="D414" s="36"/>
      <c r="E414" s="23"/>
      <c r="F414" s="23"/>
      <c r="G414" s="40"/>
      <c r="H414" s="23"/>
      <c r="I414" s="23"/>
      <c r="J414" s="40"/>
      <c r="K414" s="36"/>
      <c r="L414" s="36"/>
      <c r="M414" s="40"/>
      <c r="N414" s="23"/>
      <c r="O414" s="36"/>
      <c r="P414" s="40"/>
      <c r="Q414" s="36"/>
      <c r="R414" s="36"/>
      <c r="S414" s="40"/>
      <c r="T414" s="23"/>
      <c r="U414" s="23"/>
      <c r="V414" s="40"/>
      <c r="W414" s="23"/>
      <c r="X414" s="23"/>
      <c r="Y414" s="40"/>
      <c r="Z414" s="23"/>
      <c r="AA414" s="23"/>
      <c r="AB414" s="40"/>
      <c r="AC414" s="42"/>
      <c r="AD414" s="42"/>
      <c r="AE414" s="40"/>
      <c r="AF414" s="42"/>
      <c r="AG414" s="42"/>
      <c r="AH414" s="23"/>
      <c r="AI414" s="42"/>
      <c r="AJ414" s="42"/>
      <c r="AK414" s="40"/>
      <c r="AL414" s="84"/>
      <c r="AM414" s="84"/>
      <c r="AN414" s="40"/>
      <c r="AO414" s="23"/>
    </row>
    <row r="415" spans="1:41" ht="15.75" x14ac:dyDescent="0.25">
      <c r="A415" s="44"/>
      <c r="B415" s="23"/>
      <c r="C415" s="23"/>
      <c r="D415" s="36"/>
      <c r="E415" s="23"/>
      <c r="F415" s="23"/>
      <c r="G415" s="40"/>
      <c r="H415" s="23"/>
      <c r="I415" s="23"/>
      <c r="J415" s="40"/>
      <c r="K415" s="36"/>
      <c r="L415" s="36"/>
      <c r="M415" s="40"/>
      <c r="N415" s="23"/>
      <c r="O415" s="36"/>
      <c r="P415" s="40"/>
      <c r="Q415" s="36"/>
      <c r="R415" s="36"/>
      <c r="S415" s="40"/>
      <c r="T415" s="23"/>
      <c r="U415" s="23"/>
      <c r="V415" s="40"/>
      <c r="W415" s="23"/>
      <c r="X415" s="23"/>
      <c r="Y415" s="40"/>
      <c r="Z415" s="23"/>
      <c r="AA415" s="23"/>
      <c r="AB415" s="40"/>
      <c r="AC415" s="42"/>
      <c r="AD415" s="42"/>
      <c r="AE415" s="40"/>
      <c r="AF415" s="42"/>
      <c r="AG415" s="42"/>
      <c r="AH415" s="23"/>
      <c r="AI415" s="42"/>
      <c r="AJ415" s="42"/>
      <c r="AK415" s="40"/>
      <c r="AL415" s="84"/>
      <c r="AM415" s="84"/>
      <c r="AN415" s="40"/>
      <c r="AO415" s="23"/>
    </row>
    <row r="416" spans="1:41" ht="15.75" x14ac:dyDescent="0.25">
      <c r="A416" s="44"/>
      <c r="B416" s="23"/>
      <c r="C416" s="23"/>
      <c r="D416" s="36"/>
      <c r="E416" s="23"/>
      <c r="F416" s="23"/>
      <c r="G416" s="40"/>
      <c r="H416" s="23"/>
      <c r="I416" s="23"/>
      <c r="J416" s="40"/>
      <c r="K416" s="36"/>
      <c r="L416" s="36"/>
      <c r="M416" s="40"/>
      <c r="N416" s="23"/>
      <c r="O416" s="36"/>
      <c r="P416" s="40"/>
      <c r="Q416" s="36"/>
      <c r="R416" s="36"/>
      <c r="S416" s="40"/>
      <c r="T416" s="23"/>
      <c r="U416" s="23"/>
      <c r="V416" s="40"/>
      <c r="W416" s="23"/>
      <c r="X416" s="23"/>
      <c r="Y416" s="40"/>
      <c r="Z416" s="23"/>
      <c r="AA416" s="23"/>
      <c r="AB416" s="40"/>
      <c r="AC416" s="42"/>
      <c r="AD416" s="42"/>
      <c r="AE416" s="40"/>
      <c r="AF416" s="42"/>
      <c r="AG416" s="42"/>
      <c r="AH416" s="23"/>
      <c r="AI416" s="42"/>
      <c r="AJ416" s="42"/>
      <c r="AK416" s="40"/>
      <c r="AL416" s="84"/>
      <c r="AM416" s="84"/>
      <c r="AN416" s="40"/>
      <c r="AO416" s="23"/>
    </row>
    <row r="417" spans="1:41" ht="15.75" x14ac:dyDescent="0.25">
      <c r="A417" s="44"/>
      <c r="B417" s="23"/>
      <c r="C417" s="23"/>
      <c r="D417" s="36"/>
      <c r="E417" s="23"/>
      <c r="F417" s="23"/>
      <c r="G417" s="40"/>
      <c r="H417" s="23"/>
      <c r="I417" s="23"/>
      <c r="J417" s="40"/>
      <c r="K417" s="36"/>
      <c r="L417" s="36"/>
      <c r="M417" s="40"/>
      <c r="N417" s="23"/>
      <c r="O417" s="36"/>
      <c r="P417" s="40"/>
      <c r="Q417" s="36"/>
      <c r="R417" s="36"/>
      <c r="S417" s="40"/>
      <c r="T417" s="23"/>
      <c r="U417" s="23"/>
      <c r="V417" s="40"/>
      <c r="W417" s="23"/>
      <c r="X417" s="23"/>
      <c r="Y417" s="40"/>
      <c r="Z417" s="23"/>
      <c r="AA417" s="23"/>
      <c r="AB417" s="40"/>
      <c r="AC417" s="42"/>
      <c r="AD417" s="42"/>
      <c r="AE417" s="40"/>
      <c r="AF417" s="42"/>
      <c r="AG417" s="42"/>
      <c r="AH417" s="23"/>
      <c r="AI417" s="42"/>
      <c r="AJ417" s="42"/>
      <c r="AK417" s="40"/>
      <c r="AL417" s="84"/>
      <c r="AM417" s="84"/>
      <c r="AN417" s="40"/>
      <c r="AO417" s="23"/>
    </row>
    <row r="418" spans="1:41" ht="15.75" x14ac:dyDescent="0.25">
      <c r="A418" s="44"/>
      <c r="B418" s="23"/>
      <c r="C418" s="23"/>
      <c r="D418" s="36"/>
      <c r="E418" s="23"/>
      <c r="F418" s="23"/>
      <c r="G418" s="40"/>
      <c r="H418" s="23"/>
      <c r="I418" s="23"/>
      <c r="J418" s="40"/>
      <c r="K418" s="36"/>
      <c r="L418" s="36"/>
      <c r="M418" s="40"/>
      <c r="N418" s="23"/>
      <c r="O418" s="36"/>
      <c r="P418" s="40"/>
      <c r="Q418" s="36"/>
      <c r="R418" s="36"/>
      <c r="S418" s="40"/>
      <c r="T418" s="23"/>
      <c r="U418" s="23"/>
      <c r="V418" s="40"/>
      <c r="W418" s="23"/>
      <c r="X418" s="23"/>
      <c r="Y418" s="40"/>
      <c r="Z418" s="23"/>
      <c r="AA418" s="23"/>
      <c r="AB418" s="40"/>
      <c r="AC418" s="42"/>
      <c r="AD418" s="42"/>
      <c r="AE418" s="40"/>
      <c r="AF418" s="42"/>
      <c r="AG418" s="42"/>
      <c r="AH418" s="23"/>
      <c r="AI418" s="42"/>
      <c r="AJ418" s="42"/>
      <c r="AK418" s="40"/>
      <c r="AL418" s="84"/>
      <c r="AM418" s="84"/>
      <c r="AN418" s="40"/>
      <c r="AO418" s="23"/>
    </row>
    <row r="419" spans="1:41" ht="15.75" x14ac:dyDescent="0.25">
      <c r="A419" s="44"/>
      <c r="B419" s="23"/>
      <c r="C419" s="23"/>
      <c r="D419" s="36"/>
      <c r="E419" s="23"/>
      <c r="F419" s="23"/>
      <c r="G419" s="40"/>
      <c r="H419" s="23"/>
      <c r="I419" s="23"/>
      <c r="J419" s="40"/>
      <c r="K419" s="36"/>
      <c r="L419" s="36"/>
      <c r="M419" s="40"/>
      <c r="N419" s="23"/>
      <c r="O419" s="36"/>
      <c r="P419" s="40"/>
      <c r="Q419" s="36"/>
      <c r="R419" s="36"/>
      <c r="S419" s="40"/>
      <c r="T419" s="23"/>
      <c r="U419" s="23"/>
      <c r="V419" s="40"/>
      <c r="W419" s="23"/>
      <c r="X419" s="23"/>
      <c r="Y419" s="40"/>
      <c r="Z419" s="23"/>
      <c r="AA419" s="23"/>
      <c r="AB419" s="40"/>
      <c r="AC419" s="42"/>
      <c r="AD419" s="42"/>
      <c r="AE419" s="40"/>
      <c r="AF419" s="42"/>
      <c r="AG419" s="42"/>
      <c r="AH419" s="23"/>
      <c r="AI419" s="42"/>
      <c r="AJ419" s="42"/>
      <c r="AK419" s="40"/>
      <c r="AL419" s="84"/>
      <c r="AM419" s="84"/>
      <c r="AN419" s="40"/>
      <c r="AO419" s="23"/>
    </row>
    <row r="420" spans="1:41" ht="15.75" x14ac:dyDescent="0.25">
      <c r="A420" s="44"/>
      <c r="B420" s="23"/>
      <c r="C420" s="23"/>
      <c r="D420" s="36"/>
      <c r="E420" s="23"/>
      <c r="F420" s="23"/>
      <c r="G420" s="40"/>
      <c r="H420" s="23"/>
      <c r="I420" s="23"/>
      <c r="J420" s="40"/>
      <c r="K420" s="36"/>
      <c r="L420" s="36"/>
      <c r="M420" s="40"/>
      <c r="N420" s="23"/>
      <c r="O420" s="36"/>
      <c r="P420" s="40"/>
      <c r="Q420" s="36"/>
      <c r="R420" s="36"/>
      <c r="S420" s="40"/>
      <c r="T420" s="23"/>
      <c r="U420" s="23"/>
      <c r="V420" s="40"/>
      <c r="W420" s="23"/>
      <c r="X420" s="23"/>
      <c r="Y420" s="40"/>
      <c r="Z420" s="23"/>
      <c r="AA420" s="23"/>
      <c r="AB420" s="40"/>
      <c r="AC420" s="42"/>
      <c r="AD420" s="42"/>
      <c r="AE420" s="40"/>
      <c r="AF420" s="42"/>
      <c r="AG420" s="42"/>
      <c r="AH420" s="23"/>
      <c r="AI420" s="42"/>
      <c r="AJ420" s="42"/>
      <c r="AK420" s="40"/>
      <c r="AL420" s="84"/>
      <c r="AM420" s="84"/>
      <c r="AN420" s="40"/>
      <c r="AO420" s="23"/>
    </row>
    <row r="421" spans="1:41" ht="15.75" x14ac:dyDescent="0.25">
      <c r="A421" s="44"/>
      <c r="B421" s="23"/>
      <c r="C421" s="23"/>
      <c r="D421" s="36"/>
      <c r="E421" s="23"/>
      <c r="F421" s="23"/>
      <c r="G421" s="40"/>
      <c r="H421" s="23"/>
      <c r="I421" s="23"/>
      <c r="J421" s="40"/>
      <c r="K421" s="36"/>
      <c r="L421" s="36"/>
      <c r="M421" s="40"/>
      <c r="N421" s="23"/>
      <c r="O421" s="36"/>
      <c r="P421" s="40"/>
      <c r="Q421" s="36"/>
      <c r="R421" s="36"/>
      <c r="S421" s="40"/>
      <c r="T421" s="23"/>
      <c r="U421" s="23"/>
      <c r="V421" s="40"/>
      <c r="W421" s="23"/>
      <c r="X421" s="23"/>
      <c r="Y421" s="40"/>
      <c r="Z421" s="23"/>
      <c r="AA421" s="23"/>
      <c r="AB421" s="40"/>
      <c r="AC421" s="42"/>
      <c r="AD421" s="42"/>
      <c r="AE421" s="40"/>
      <c r="AF421" s="42"/>
      <c r="AG421" s="42"/>
      <c r="AH421" s="23"/>
      <c r="AI421" s="42"/>
      <c r="AJ421" s="42"/>
      <c r="AK421" s="40"/>
      <c r="AL421" s="84"/>
      <c r="AM421" s="84"/>
      <c r="AN421" s="40"/>
      <c r="AO421" s="23"/>
    </row>
    <row r="422" spans="1:41" ht="15.75" x14ac:dyDescent="0.25">
      <c r="A422" s="44"/>
      <c r="B422" s="23"/>
      <c r="C422" s="23"/>
      <c r="D422" s="36"/>
      <c r="E422" s="23"/>
      <c r="F422" s="23"/>
      <c r="G422" s="40"/>
      <c r="H422" s="23"/>
      <c r="I422" s="23"/>
      <c r="J422" s="40"/>
      <c r="K422" s="36"/>
      <c r="L422" s="36"/>
      <c r="M422" s="40"/>
      <c r="N422" s="23"/>
      <c r="O422" s="36"/>
      <c r="P422" s="40"/>
      <c r="Q422" s="36"/>
      <c r="R422" s="36"/>
      <c r="S422" s="40"/>
      <c r="T422" s="23"/>
      <c r="U422" s="23"/>
      <c r="V422" s="40"/>
      <c r="W422" s="23"/>
      <c r="X422" s="23"/>
      <c r="Y422" s="40"/>
      <c r="Z422" s="23"/>
      <c r="AA422" s="23"/>
      <c r="AB422" s="40"/>
      <c r="AC422" s="42"/>
      <c r="AD422" s="42"/>
      <c r="AE422" s="40"/>
      <c r="AF422" s="42"/>
      <c r="AG422" s="42"/>
      <c r="AH422" s="23"/>
      <c r="AI422" s="42"/>
      <c r="AJ422" s="42"/>
      <c r="AK422" s="40"/>
      <c r="AL422" s="84"/>
      <c r="AM422" s="84"/>
      <c r="AN422" s="40"/>
      <c r="AO422" s="23"/>
    </row>
    <row r="423" spans="1:41" ht="15.75" x14ac:dyDescent="0.25">
      <c r="A423" s="44"/>
      <c r="B423" s="23"/>
      <c r="C423" s="23"/>
      <c r="D423" s="36"/>
      <c r="E423" s="23"/>
      <c r="F423" s="23"/>
      <c r="G423" s="40"/>
      <c r="H423" s="23"/>
      <c r="I423" s="23"/>
      <c r="J423" s="40"/>
      <c r="K423" s="36"/>
      <c r="L423" s="36"/>
      <c r="M423" s="40"/>
      <c r="N423" s="23"/>
      <c r="O423" s="36"/>
      <c r="P423" s="40"/>
      <c r="Q423" s="36"/>
      <c r="R423" s="36"/>
      <c r="S423" s="40"/>
      <c r="T423" s="23"/>
      <c r="U423" s="23"/>
      <c r="V423" s="40"/>
      <c r="W423" s="23"/>
      <c r="X423" s="23"/>
      <c r="Y423" s="40"/>
      <c r="Z423" s="23"/>
      <c r="AA423" s="23"/>
      <c r="AB423" s="40"/>
      <c r="AC423" s="42"/>
      <c r="AD423" s="42"/>
      <c r="AE423" s="40"/>
      <c r="AF423" s="42"/>
      <c r="AG423" s="42"/>
      <c r="AH423" s="23"/>
      <c r="AI423" s="42"/>
      <c r="AJ423" s="42"/>
      <c r="AK423" s="40"/>
      <c r="AL423" s="84"/>
      <c r="AM423" s="84"/>
      <c r="AN423" s="40"/>
      <c r="AO423" s="23"/>
    </row>
    <row r="424" spans="1:41" ht="15.75" x14ac:dyDescent="0.25">
      <c r="A424" s="44"/>
      <c r="B424" s="23"/>
      <c r="C424" s="23"/>
      <c r="D424" s="36"/>
      <c r="E424" s="23"/>
      <c r="F424" s="23"/>
      <c r="G424" s="40"/>
      <c r="H424" s="23"/>
      <c r="I424" s="23"/>
      <c r="J424" s="40"/>
      <c r="K424" s="36"/>
      <c r="L424" s="36"/>
      <c r="M424" s="40"/>
      <c r="N424" s="23"/>
      <c r="O424" s="36"/>
      <c r="P424" s="40"/>
      <c r="Q424" s="36"/>
      <c r="R424" s="36"/>
      <c r="S424" s="40"/>
      <c r="T424" s="23"/>
      <c r="U424" s="23"/>
      <c r="V424" s="40"/>
      <c r="W424" s="23"/>
      <c r="X424" s="23"/>
      <c r="Y424" s="40"/>
      <c r="Z424" s="23"/>
      <c r="AA424" s="23"/>
      <c r="AB424" s="40"/>
      <c r="AC424" s="42"/>
      <c r="AD424" s="42"/>
      <c r="AE424" s="40"/>
      <c r="AF424" s="42"/>
      <c r="AG424" s="42"/>
      <c r="AH424" s="23"/>
      <c r="AI424" s="42"/>
      <c r="AJ424" s="42"/>
      <c r="AK424" s="40"/>
      <c r="AL424" s="84"/>
      <c r="AM424" s="84"/>
      <c r="AN424" s="40"/>
      <c r="AO424" s="23"/>
    </row>
    <row r="425" spans="1:41" ht="15.75" x14ac:dyDescent="0.25">
      <c r="A425" s="44"/>
      <c r="B425" s="23"/>
      <c r="C425" s="23"/>
      <c r="D425" s="36"/>
      <c r="E425" s="23"/>
      <c r="F425" s="23"/>
      <c r="G425" s="40"/>
      <c r="H425" s="23"/>
      <c r="I425" s="23"/>
      <c r="J425" s="40"/>
      <c r="K425" s="36"/>
      <c r="L425" s="36"/>
      <c r="M425" s="40"/>
      <c r="N425" s="23"/>
      <c r="O425" s="36"/>
      <c r="P425" s="40"/>
      <c r="Q425" s="36"/>
      <c r="R425" s="36"/>
      <c r="S425" s="40"/>
      <c r="T425" s="23"/>
      <c r="U425" s="23"/>
      <c r="V425" s="40"/>
      <c r="W425" s="23"/>
      <c r="X425" s="23"/>
      <c r="Y425" s="40"/>
      <c r="Z425" s="23"/>
      <c r="AA425" s="23"/>
      <c r="AB425" s="40"/>
      <c r="AC425" s="42"/>
      <c r="AD425" s="42"/>
      <c r="AE425" s="40"/>
      <c r="AF425" s="42"/>
      <c r="AG425" s="42"/>
      <c r="AH425" s="23"/>
      <c r="AI425" s="42"/>
      <c r="AJ425" s="42"/>
      <c r="AK425" s="40"/>
      <c r="AL425" s="84"/>
      <c r="AM425" s="84"/>
      <c r="AN425" s="40"/>
      <c r="AO425" s="23"/>
    </row>
    <row r="426" spans="1:41" ht="15.75" x14ac:dyDescent="0.25">
      <c r="A426" s="44"/>
      <c r="B426" s="23"/>
      <c r="C426" s="23"/>
      <c r="D426" s="36"/>
      <c r="E426" s="23"/>
      <c r="F426" s="23"/>
      <c r="G426" s="40"/>
      <c r="H426" s="23"/>
      <c r="I426" s="23"/>
      <c r="J426" s="40"/>
      <c r="K426" s="36"/>
      <c r="L426" s="36"/>
      <c r="M426" s="40"/>
      <c r="N426" s="23"/>
      <c r="O426" s="36"/>
      <c r="P426" s="40"/>
      <c r="Q426" s="36"/>
      <c r="R426" s="36"/>
      <c r="S426" s="40"/>
      <c r="T426" s="23"/>
      <c r="U426" s="23"/>
      <c r="V426" s="40"/>
      <c r="W426" s="23"/>
      <c r="X426" s="23"/>
      <c r="Y426" s="40"/>
      <c r="Z426" s="23"/>
      <c r="AA426" s="23"/>
      <c r="AB426" s="40"/>
      <c r="AC426" s="42"/>
      <c r="AD426" s="42"/>
      <c r="AE426" s="40"/>
      <c r="AF426" s="42"/>
      <c r="AG426" s="42"/>
      <c r="AH426" s="23"/>
      <c r="AI426" s="42"/>
      <c r="AJ426" s="42"/>
      <c r="AK426" s="40"/>
      <c r="AL426" s="84"/>
      <c r="AM426" s="84"/>
      <c r="AN426" s="40"/>
      <c r="AO426" s="23"/>
    </row>
    <row r="427" spans="1:41" ht="15.75" x14ac:dyDescent="0.25">
      <c r="A427" s="44"/>
      <c r="B427" s="23"/>
      <c r="C427" s="23"/>
      <c r="D427" s="36"/>
      <c r="E427" s="23"/>
      <c r="F427" s="23"/>
      <c r="G427" s="40"/>
      <c r="H427" s="23"/>
      <c r="I427" s="23"/>
      <c r="J427" s="40"/>
      <c r="K427" s="36"/>
      <c r="L427" s="36"/>
      <c r="M427" s="40"/>
      <c r="N427" s="23"/>
      <c r="O427" s="36"/>
      <c r="P427" s="40"/>
      <c r="Q427" s="36"/>
      <c r="R427" s="36"/>
      <c r="S427" s="40"/>
      <c r="T427" s="23"/>
      <c r="U427" s="23"/>
      <c r="V427" s="40"/>
      <c r="W427" s="23"/>
      <c r="X427" s="23"/>
      <c r="Y427" s="40"/>
      <c r="Z427" s="23"/>
      <c r="AA427" s="23"/>
      <c r="AB427" s="40"/>
      <c r="AC427" s="42"/>
      <c r="AD427" s="42"/>
      <c r="AE427" s="40"/>
      <c r="AF427" s="42"/>
      <c r="AG427" s="42"/>
      <c r="AH427" s="23"/>
      <c r="AI427" s="42"/>
      <c r="AJ427" s="42"/>
      <c r="AK427" s="40"/>
      <c r="AL427" s="84"/>
      <c r="AM427" s="84"/>
      <c r="AN427" s="40"/>
      <c r="AO427" s="23"/>
    </row>
    <row r="428" spans="1:41" ht="15.75" x14ac:dyDescent="0.25">
      <c r="A428" s="44"/>
      <c r="B428" s="23"/>
      <c r="C428" s="23"/>
      <c r="D428" s="36"/>
      <c r="E428" s="23"/>
      <c r="F428" s="23"/>
      <c r="G428" s="40"/>
      <c r="H428" s="23"/>
      <c r="I428" s="23"/>
      <c r="J428" s="40"/>
      <c r="K428" s="36"/>
      <c r="L428" s="36"/>
      <c r="M428" s="40"/>
      <c r="N428" s="23"/>
      <c r="O428" s="36"/>
      <c r="P428" s="40"/>
      <c r="Q428" s="36"/>
      <c r="R428" s="36"/>
      <c r="S428" s="40"/>
      <c r="T428" s="23"/>
      <c r="U428" s="23"/>
      <c r="V428" s="40"/>
      <c r="W428" s="23"/>
      <c r="X428" s="23"/>
      <c r="Y428" s="40"/>
      <c r="Z428" s="23"/>
      <c r="AA428" s="23"/>
      <c r="AB428" s="40"/>
      <c r="AC428" s="42"/>
      <c r="AD428" s="42"/>
      <c r="AE428" s="40"/>
      <c r="AF428" s="42"/>
      <c r="AG428" s="42"/>
      <c r="AH428" s="23"/>
      <c r="AI428" s="42"/>
      <c r="AJ428" s="42"/>
      <c r="AK428" s="40"/>
      <c r="AL428" s="84"/>
      <c r="AM428" s="84"/>
      <c r="AN428" s="40"/>
      <c r="AO428" s="23"/>
    </row>
    <row r="429" spans="1:41" ht="15.75" x14ac:dyDescent="0.25">
      <c r="A429" s="44"/>
      <c r="B429" s="23"/>
      <c r="C429" s="23"/>
      <c r="D429" s="36"/>
      <c r="E429" s="23"/>
      <c r="F429" s="23"/>
      <c r="G429" s="40"/>
      <c r="H429" s="23"/>
      <c r="I429" s="23"/>
      <c r="J429" s="40"/>
      <c r="K429" s="36"/>
      <c r="L429" s="36"/>
      <c r="M429" s="40"/>
      <c r="N429" s="23"/>
      <c r="O429" s="36"/>
      <c r="P429" s="40"/>
      <c r="Q429" s="36"/>
      <c r="R429" s="36"/>
      <c r="S429" s="40"/>
      <c r="T429" s="23"/>
      <c r="U429" s="23"/>
      <c r="V429" s="40"/>
      <c r="W429" s="23"/>
      <c r="X429" s="23"/>
      <c r="Y429" s="40"/>
      <c r="Z429" s="23"/>
      <c r="AA429" s="23"/>
      <c r="AB429" s="40"/>
      <c r="AC429" s="42"/>
      <c r="AD429" s="42"/>
      <c r="AE429" s="40"/>
      <c r="AF429" s="42"/>
      <c r="AG429" s="42"/>
      <c r="AH429" s="23"/>
      <c r="AI429" s="42"/>
      <c r="AJ429" s="42"/>
      <c r="AK429" s="40"/>
      <c r="AL429" s="84"/>
      <c r="AM429" s="84"/>
      <c r="AN429" s="40"/>
      <c r="AO429" s="23"/>
    </row>
    <row r="430" spans="1:41" ht="15.75" x14ac:dyDescent="0.25">
      <c r="A430" s="44"/>
      <c r="B430" s="23"/>
      <c r="C430" s="23"/>
      <c r="D430" s="36"/>
      <c r="E430" s="23"/>
      <c r="F430" s="23"/>
      <c r="G430" s="40"/>
      <c r="H430" s="23"/>
      <c r="I430" s="23"/>
      <c r="J430" s="40"/>
      <c r="K430" s="36"/>
      <c r="L430" s="36"/>
      <c r="M430" s="40"/>
      <c r="N430" s="23"/>
      <c r="O430" s="36"/>
      <c r="P430" s="40"/>
      <c r="Q430" s="36"/>
      <c r="R430" s="36"/>
      <c r="S430" s="40"/>
      <c r="T430" s="23"/>
      <c r="U430" s="23"/>
      <c r="V430" s="40"/>
      <c r="W430" s="23"/>
      <c r="X430" s="23"/>
      <c r="Y430" s="40"/>
      <c r="Z430" s="23"/>
      <c r="AA430" s="23"/>
      <c r="AB430" s="40"/>
      <c r="AC430" s="42"/>
      <c r="AD430" s="42"/>
      <c r="AE430" s="40"/>
      <c r="AF430" s="42"/>
      <c r="AG430" s="42"/>
      <c r="AH430" s="23"/>
      <c r="AI430" s="42"/>
      <c r="AJ430" s="42"/>
      <c r="AK430" s="40"/>
      <c r="AL430" s="84"/>
      <c r="AM430" s="84"/>
      <c r="AN430" s="40"/>
      <c r="AO430" s="23"/>
    </row>
    <row r="431" spans="1:41" ht="15.75" x14ac:dyDescent="0.25">
      <c r="A431" s="44"/>
      <c r="B431" s="23"/>
      <c r="C431" s="23"/>
      <c r="D431" s="36"/>
      <c r="E431" s="23"/>
      <c r="F431" s="23"/>
      <c r="G431" s="40"/>
      <c r="H431" s="23"/>
      <c r="I431" s="23"/>
      <c r="J431" s="40"/>
      <c r="K431" s="36"/>
      <c r="L431" s="36"/>
      <c r="M431" s="40"/>
      <c r="N431" s="23"/>
      <c r="O431" s="36"/>
      <c r="P431" s="40"/>
      <c r="Q431" s="36"/>
      <c r="R431" s="36"/>
      <c r="S431" s="40"/>
      <c r="T431" s="23"/>
      <c r="U431" s="23"/>
      <c r="V431" s="40"/>
      <c r="W431" s="23"/>
      <c r="X431" s="23"/>
      <c r="Y431" s="40"/>
      <c r="Z431" s="23"/>
      <c r="AA431" s="23"/>
      <c r="AB431" s="40"/>
      <c r="AC431" s="42"/>
      <c r="AD431" s="42"/>
      <c r="AE431" s="40"/>
      <c r="AF431" s="42"/>
      <c r="AG431" s="42"/>
      <c r="AH431" s="23"/>
      <c r="AI431" s="42"/>
      <c r="AJ431" s="42"/>
      <c r="AK431" s="40"/>
      <c r="AL431" s="84"/>
      <c r="AM431" s="84"/>
      <c r="AN431" s="40"/>
      <c r="AO431" s="23"/>
    </row>
    <row r="432" spans="1:41" ht="15.75" x14ac:dyDescent="0.25">
      <c r="A432" s="44"/>
      <c r="B432" s="23"/>
      <c r="C432" s="23"/>
      <c r="D432" s="36"/>
      <c r="E432" s="23"/>
      <c r="F432" s="23"/>
      <c r="G432" s="40"/>
      <c r="H432" s="23"/>
      <c r="I432" s="23"/>
      <c r="J432" s="40"/>
      <c r="K432" s="36"/>
      <c r="L432" s="36"/>
      <c r="M432" s="40"/>
      <c r="N432" s="23"/>
      <c r="O432" s="36"/>
      <c r="P432" s="40"/>
      <c r="Q432" s="36"/>
      <c r="R432" s="36"/>
      <c r="S432" s="40"/>
      <c r="T432" s="23"/>
      <c r="U432" s="23"/>
      <c r="V432" s="40"/>
      <c r="W432" s="23"/>
      <c r="X432" s="23"/>
      <c r="Y432" s="40"/>
      <c r="Z432" s="23"/>
      <c r="AA432" s="23"/>
      <c r="AB432" s="40"/>
      <c r="AC432" s="42"/>
      <c r="AD432" s="42"/>
      <c r="AE432" s="40"/>
      <c r="AF432" s="42"/>
      <c r="AG432" s="42"/>
      <c r="AH432" s="23"/>
      <c r="AI432" s="42"/>
      <c r="AJ432" s="42"/>
      <c r="AK432" s="40"/>
      <c r="AL432" s="84"/>
      <c r="AM432" s="84"/>
      <c r="AN432" s="40"/>
      <c r="AO432" s="23"/>
    </row>
    <row r="433" spans="1:41" ht="15.75" x14ac:dyDescent="0.25">
      <c r="A433" s="44"/>
      <c r="B433" s="23"/>
      <c r="C433" s="23"/>
      <c r="D433" s="36"/>
      <c r="E433" s="23"/>
      <c r="F433" s="23"/>
      <c r="G433" s="40"/>
      <c r="H433" s="23"/>
      <c r="I433" s="23"/>
      <c r="J433" s="40"/>
      <c r="K433" s="36"/>
      <c r="L433" s="36"/>
      <c r="M433" s="40"/>
      <c r="N433" s="23"/>
      <c r="O433" s="36"/>
      <c r="P433" s="40"/>
      <c r="Q433" s="36"/>
      <c r="R433" s="36"/>
      <c r="S433" s="40"/>
      <c r="T433" s="23"/>
      <c r="U433" s="23"/>
      <c r="V433" s="40"/>
      <c r="W433" s="23"/>
      <c r="X433" s="23"/>
      <c r="Y433" s="40"/>
      <c r="Z433" s="23"/>
      <c r="AA433" s="23"/>
      <c r="AB433" s="40"/>
      <c r="AC433" s="42"/>
      <c r="AD433" s="42"/>
      <c r="AE433" s="40"/>
      <c r="AF433" s="42"/>
      <c r="AG433" s="42"/>
      <c r="AH433" s="23"/>
      <c r="AI433" s="42"/>
      <c r="AJ433" s="42"/>
      <c r="AK433" s="40"/>
      <c r="AL433" s="84"/>
      <c r="AM433" s="84"/>
      <c r="AN433" s="40"/>
      <c r="AO433" s="23"/>
    </row>
    <row r="434" spans="1:41" ht="15.75" x14ac:dyDescent="0.25">
      <c r="A434" s="44"/>
      <c r="B434" s="23"/>
      <c r="C434" s="23"/>
      <c r="D434" s="36"/>
      <c r="E434" s="23"/>
      <c r="F434" s="23"/>
      <c r="G434" s="40"/>
      <c r="H434" s="23"/>
      <c r="I434" s="23"/>
      <c r="J434" s="40"/>
      <c r="K434" s="36"/>
      <c r="L434" s="36"/>
      <c r="M434" s="40"/>
      <c r="N434" s="23"/>
      <c r="O434" s="36"/>
      <c r="P434" s="40"/>
      <c r="Q434" s="36"/>
      <c r="R434" s="36"/>
      <c r="S434" s="40"/>
      <c r="T434" s="23"/>
      <c r="U434" s="23"/>
      <c r="V434" s="40"/>
      <c r="W434" s="23"/>
      <c r="X434" s="23"/>
      <c r="Y434" s="40"/>
      <c r="Z434" s="23"/>
      <c r="AA434" s="23"/>
      <c r="AB434" s="40"/>
      <c r="AC434" s="42"/>
      <c r="AD434" s="42"/>
      <c r="AE434" s="40"/>
      <c r="AF434" s="42"/>
      <c r="AG434" s="42"/>
      <c r="AH434" s="23"/>
      <c r="AI434" s="42"/>
      <c r="AJ434" s="42"/>
      <c r="AK434" s="40"/>
      <c r="AL434" s="84"/>
      <c r="AM434" s="84"/>
      <c r="AN434" s="40"/>
      <c r="AO434" s="23"/>
    </row>
    <row r="435" spans="1:41" ht="15.75" x14ac:dyDescent="0.25">
      <c r="A435" s="44"/>
      <c r="B435" s="23"/>
      <c r="C435" s="23"/>
      <c r="D435" s="36"/>
      <c r="E435" s="23"/>
      <c r="F435" s="23"/>
      <c r="G435" s="40"/>
      <c r="H435" s="23"/>
      <c r="I435" s="23"/>
      <c r="J435" s="40"/>
      <c r="K435" s="36"/>
      <c r="L435" s="36"/>
      <c r="M435" s="40"/>
      <c r="N435" s="23"/>
      <c r="O435" s="36"/>
      <c r="P435" s="40"/>
      <c r="Q435" s="36"/>
      <c r="R435" s="36"/>
      <c r="S435" s="40"/>
      <c r="T435" s="23"/>
      <c r="U435" s="23"/>
      <c r="V435" s="40"/>
      <c r="W435" s="23"/>
      <c r="X435" s="23"/>
      <c r="Y435" s="40"/>
      <c r="Z435" s="23"/>
      <c r="AA435" s="23"/>
      <c r="AB435" s="40"/>
      <c r="AC435" s="42"/>
      <c r="AD435" s="42"/>
      <c r="AE435" s="40"/>
      <c r="AF435" s="42"/>
      <c r="AG435" s="42"/>
      <c r="AH435" s="23"/>
      <c r="AI435" s="42"/>
      <c r="AJ435" s="42"/>
      <c r="AK435" s="40"/>
      <c r="AL435" s="84"/>
      <c r="AM435" s="84"/>
      <c r="AN435" s="40"/>
      <c r="AO435" s="23"/>
    </row>
    <row r="436" spans="1:41" ht="15.75" x14ac:dyDescent="0.25">
      <c r="A436" s="44"/>
      <c r="B436" s="23"/>
      <c r="C436" s="23"/>
      <c r="D436" s="36"/>
      <c r="E436" s="23"/>
      <c r="F436" s="23"/>
      <c r="G436" s="40"/>
      <c r="H436" s="23"/>
      <c r="I436" s="23"/>
      <c r="J436" s="40"/>
      <c r="K436" s="36"/>
      <c r="L436" s="36"/>
      <c r="M436" s="40"/>
      <c r="N436" s="23"/>
      <c r="O436" s="36"/>
      <c r="P436" s="40"/>
      <c r="Q436" s="36"/>
      <c r="R436" s="36"/>
      <c r="S436" s="40"/>
      <c r="T436" s="23"/>
      <c r="U436" s="23"/>
      <c r="V436" s="40"/>
      <c r="W436" s="23"/>
      <c r="X436" s="23"/>
      <c r="Y436" s="40"/>
      <c r="Z436" s="23"/>
      <c r="AA436" s="23"/>
      <c r="AB436" s="40"/>
      <c r="AC436" s="42"/>
      <c r="AD436" s="42"/>
      <c r="AE436" s="40"/>
      <c r="AF436" s="42"/>
      <c r="AG436" s="42"/>
      <c r="AH436" s="23"/>
      <c r="AI436" s="42"/>
      <c r="AJ436" s="42"/>
      <c r="AK436" s="40"/>
      <c r="AL436" s="84"/>
      <c r="AM436" s="84"/>
      <c r="AN436" s="40"/>
      <c r="AO436" s="23"/>
    </row>
    <row r="437" spans="1:41" ht="15.75" x14ac:dyDescent="0.25">
      <c r="A437" s="44"/>
      <c r="B437" s="23"/>
      <c r="C437" s="23"/>
      <c r="D437" s="36"/>
      <c r="E437" s="23"/>
      <c r="F437" s="23"/>
      <c r="G437" s="40"/>
      <c r="H437" s="23"/>
      <c r="I437" s="23"/>
      <c r="J437" s="40"/>
      <c r="K437" s="36"/>
      <c r="L437" s="36"/>
      <c r="M437" s="40"/>
      <c r="N437" s="23"/>
      <c r="O437" s="36"/>
      <c r="P437" s="40"/>
      <c r="Q437" s="36"/>
      <c r="R437" s="36"/>
      <c r="S437" s="40"/>
      <c r="T437" s="23"/>
      <c r="U437" s="23"/>
      <c r="V437" s="40"/>
      <c r="W437" s="23"/>
      <c r="X437" s="23"/>
      <c r="Y437" s="40"/>
      <c r="Z437" s="23"/>
      <c r="AA437" s="23"/>
      <c r="AB437" s="40"/>
      <c r="AC437" s="42"/>
      <c r="AD437" s="42"/>
      <c r="AE437" s="40"/>
      <c r="AF437" s="42"/>
      <c r="AG437" s="42"/>
      <c r="AH437" s="23"/>
      <c r="AI437" s="42"/>
      <c r="AJ437" s="42"/>
      <c r="AK437" s="40"/>
      <c r="AL437" s="84"/>
      <c r="AM437" s="84"/>
      <c r="AN437" s="40"/>
      <c r="AO437" s="23"/>
    </row>
    <row r="438" spans="1:41" ht="15.75" x14ac:dyDescent="0.25">
      <c r="A438" s="44"/>
      <c r="B438" s="23"/>
      <c r="C438" s="23"/>
      <c r="D438" s="36"/>
      <c r="E438" s="23"/>
      <c r="F438" s="23"/>
      <c r="G438" s="40"/>
      <c r="H438" s="23"/>
      <c r="I438" s="23"/>
      <c r="J438" s="40"/>
      <c r="K438" s="36"/>
      <c r="L438" s="36"/>
      <c r="M438" s="40"/>
      <c r="N438" s="23"/>
      <c r="O438" s="36"/>
      <c r="P438" s="40"/>
      <c r="Q438" s="36"/>
      <c r="R438" s="36"/>
      <c r="S438" s="40"/>
      <c r="T438" s="23"/>
      <c r="U438" s="23"/>
      <c r="V438" s="40"/>
      <c r="W438" s="23"/>
      <c r="X438" s="23"/>
      <c r="Y438" s="40"/>
      <c r="Z438" s="23"/>
      <c r="AA438" s="23"/>
      <c r="AB438" s="40"/>
      <c r="AC438" s="42"/>
      <c r="AD438" s="42"/>
      <c r="AE438" s="40"/>
      <c r="AF438" s="42"/>
      <c r="AG438" s="42"/>
      <c r="AH438" s="23"/>
      <c r="AI438" s="42"/>
      <c r="AJ438" s="42"/>
      <c r="AK438" s="40"/>
      <c r="AL438" s="84"/>
      <c r="AM438" s="84"/>
      <c r="AN438" s="40"/>
      <c r="AO438" s="23"/>
    </row>
    <row r="439" spans="1:41" ht="15.75" x14ac:dyDescent="0.25">
      <c r="A439" s="44"/>
      <c r="B439" s="23"/>
      <c r="C439" s="23"/>
      <c r="D439" s="36"/>
      <c r="E439" s="23"/>
      <c r="F439" s="23"/>
      <c r="G439" s="40"/>
      <c r="H439" s="23"/>
      <c r="I439" s="23"/>
      <c r="J439" s="40"/>
      <c r="K439" s="36"/>
      <c r="L439" s="36"/>
      <c r="M439" s="40"/>
      <c r="N439" s="23"/>
      <c r="O439" s="36"/>
      <c r="P439" s="40"/>
      <c r="Q439" s="36"/>
      <c r="R439" s="36"/>
      <c r="S439" s="40"/>
      <c r="T439" s="23"/>
      <c r="U439" s="23"/>
      <c r="V439" s="40"/>
      <c r="W439" s="23"/>
      <c r="X439" s="23"/>
      <c r="Y439" s="40"/>
      <c r="Z439" s="23"/>
      <c r="AA439" s="23"/>
      <c r="AB439" s="40"/>
      <c r="AC439" s="42"/>
      <c r="AD439" s="42"/>
      <c r="AE439" s="40"/>
      <c r="AF439" s="42"/>
      <c r="AG439" s="42"/>
      <c r="AH439" s="23"/>
      <c r="AI439" s="42"/>
      <c r="AJ439" s="42"/>
      <c r="AK439" s="40"/>
      <c r="AL439" s="84"/>
      <c r="AM439" s="84"/>
      <c r="AN439" s="40"/>
      <c r="AO439" s="23"/>
    </row>
    <row r="440" spans="1:41" ht="15.75" x14ac:dyDescent="0.25">
      <c r="A440" s="44"/>
      <c r="B440" s="23"/>
      <c r="C440" s="23"/>
      <c r="D440" s="36"/>
      <c r="E440" s="23"/>
      <c r="F440" s="23"/>
      <c r="G440" s="40"/>
      <c r="H440" s="23"/>
      <c r="I440" s="23"/>
      <c r="J440" s="40"/>
      <c r="K440" s="36"/>
      <c r="L440" s="36"/>
      <c r="M440" s="40"/>
      <c r="N440" s="23"/>
      <c r="O440" s="36"/>
      <c r="P440" s="40"/>
      <c r="Q440" s="36"/>
      <c r="R440" s="36"/>
      <c r="S440" s="40"/>
      <c r="T440" s="23"/>
      <c r="U440" s="23"/>
      <c r="V440" s="40"/>
      <c r="W440" s="23"/>
      <c r="X440" s="23"/>
      <c r="Y440" s="40"/>
      <c r="Z440" s="23"/>
      <c r="AA440" s="23"/>
      <c r="AB440" s="40"/>
      <c r="AC440" s="42"/>
      <c r="AD440" s="42"/>
      <c r="AE440" s="40"/>
      <c r="AF440" s="42"/>
      <c r="AG440" s="42"/>
      <c r="AH440" s="23"/>
      <c r="AI440" s="42"/>
      <c r="AJ440" s="42"/>
      <c r="AK440" s="40"/>
      <c r="AL440" s="84"/>
      <c r="AM440" s="84"/>
      <c r="AN440" s="40"/>
      <c r="AO440" s="23"/>
    </row>
    <row r="441" spans="1:41" ht="15.75" x14ac:dyDescent="0.25">
      <c r="A441" s="44"/>
      <c r="B441" s="23"/>
      <c r="C441" s="23"/>
      <c r="D441" s="36"/>
      <c r="E441" s="23"/>
      <c r="F441" s="23"/>
      <c r="G441" s="40"/>
      <c r="H441" s="23"/>
      <c r="I441" s="23"/>
      <c r="J441" s="40"/>
      <c r="K441" s="36"/>
      <c r="L441" s="36"/>
      <c r="M441" s="40"/>
      <c r="N441" s="23"/>
      <c r="O441" s="36"/>
      <c r="P441" s="40"/>
      <c r="Q441" s="36"/>
      <c r="R441" s="36"/>
      <c r="S441" s="40"/>
      <c r="T441" s="23"/>
      <c r="U441" s="23"/>
      <c r="V441" s="40"/>
      <c r="W441" s="23"/>
      <c r="X441" s="23"/>
      <c r="Y441" s="40"/>
      <c r="Z441" s="23"/>
      <c r="AA441" s="23"/>
      <c r="AB441" s="40"/>
      <c r="AC441" s="42"/>
      <c r="AD441" s="42"/>
      <c r="AE441" s="40"/>
      <c r="AF441" s="42"/>
      <c r="AG441" s="42"/>
      <c r="AH441" s="23"/>
      <c r="AI441" s="42"/>
      <c r="AJ441" s="42"/>
      <c r="AK441" s="40"/>
      <c r="AL441" s="84"/>
      <c r="AM441" s="84"/>
      <c r="AN441" s="40"/>
      <c r="AO441" s="23"/>
    </row>
    <row r="442" spans="1:41" ht="15.75" x14ac:dyDescent="0.25">
      <c r="A442" s="44"/>
      <c r="B442" s="23"/>
      <c r="C442" s="23"/>
      <c r="D442" s="36"/>
      <c r="E442" s="23"/>
      <c r="F442" s="23"/>
      <c r="G442" s="40"/>
      <c r="H442" s="23"/>
      <c r="I442" s="23"/>
      <c r="J442" s="40"/>
      <c r="K442" s="36"/>
      <c r="L442" s="36"/>
      <c r="M442" s="40"/>
      <c r="N442" s="23"/>
      <c r="O442" s="36"/>
      <c r="P442" s="40"/>
      <c r="Q442" s="36"/>
      <c r="R442" s="36"/>
      <c r="S442" s="40"/>
      <c r="T442" s="23"/>
      <c r="U442" s="23"/>
      <c r="V442" s="40"/>
      <c r="W442" s="23"/>
      <c r="X442" s="23"/>
      <c r="Y442" s="40"/>
      <c r="Z442" s="23"/>
      <c r="AA442" s="23"/>
      <c r="AB442" s="40"/>
      <c r="AC442" s="42"/>
      <c r="AD442" s="42"/>
      <c r="AE442" s="40"/>
      <c r="AF442" s="42"/>
      <c r="AG442" s="42"/>
      <c r="AH442" s="23"/>
      <c r="AI442" s="42"/>
      <c r="AJ442" s="42"/>
      <c r="AK442" s="40"/>
      <c r="AL442" s="84"/>
      <c r="AM442" s="84"/>
      <c r="AN442" s="40"/>
      <c r="AO442" s="23"/>
    </row>
    <row r="443" spans="1:41" ht="15.75" x14ac:dyDescent="0.25">
      <c r="A443" s="44"/>
      <c r="B443" s="23"/>
      <c r="C443" s="23"/>
      <c r="D443" s="36"/>
      <c r="E443" s="23"/>
      <c r="F443" s="23"/>
      <c r="G443" s="40"/>
      <c r="H443" s="23"/>
      <c r="I443" s="23"/>
      <c r="J443" s="40"/>
      <c r="K443" s="36"/>
      <c r="L443" s="36"/>
      <c r="M443" s="40"/>
      <c r="N443" s="23"/>
      <c r="O443" s="36"/>
      <c r="P443" s="40"/>
      <c r="Q443" s="36"/>
      <c r="R443" s="36"/>
      <c r="S443" s="40"/>
      <c r="T443" s="23"/>
      <c r="U443" s="23"/>
      <c r="V443" s="40"/>
      <c r="W443" s="23"/>
      <c r="X443" s="23"/>
      <c r="Y443" s="40"/>
      <c r="Z443" s="23"/>
      <c r="AA443" s="23"/>
      <c r="AB443" s="40"/>
      <c r="AC443" s="42"/>
      <c r="AD443" s="42"/>
      <c r="AE443" s="40"/>
      <c r="AF443" s="42"/>
      <c r="AG443" s="42"/>
      <c r="AH443" s="23"/>
      <c r="AI443" s="42"/>
      <c r="AJ443" s="42"/>
      <c r="AK443" s="40"/>
      <c r="AL443" s="84"/>
      <c r="AM443" s="84"/>
      <c r="AN443" s="40"/>
      <c r="AO443" s="23"/>
    </row>
    <row r="444" spans="1:41" ht="15.75" x14ac:dyDescent="0.25">
      <c r="A444" s="44"/>
      <c r="B444" s="23"/>
      <c r="C444" s="23"/>
      <c r="D444" s="36"/>
      <c r="E444" s="23"/>
      <c r="F444" s="23"/>
      <c r="G444" s="40"/>
      <c r="H444" s="23"/>
      <c r="I444" s="23"/>
      <c r="J444" s="40"/>
      <c r="K444" s="36"/>
      <c r="L444" s="36"/>
      <c r="M444" s="40"/>
      <c r="N444" s="23"/>
      <c r="O444" s="36"/>
      <c r="P444" s="40"/>
      <c r="Q444" s="36"/>
      <c r="R444" s="36"/>
      <c r="S444" s="40"/>
      <c r="T444" s="23"/>
      <c r="U444" s="23"/>
      <c r="V444" s="40"/>
      <c r="W444" s="23"/>
      <c r="X444" s="23"/>
      <c r="Y444" s="40"/>
      <c r="Z444" s="23"/>
      <c r="AA444" s="23"/>
      <c r="AB444" s="40"/>
      <c r="AC444" s="42"/>
      <c r="AD444" s="42"/>
      <c r="AE444" s="40"/>
      <c r="AF444" s="42"/>
      <c r="AG444" s="42"/>
      <c r="AH444" s="23"/>
      <c r="AI444" s="42"/>
      <c r="AJ444" s="42"/>
      <c r="AK444" s="40"/>
      <c r="AL444" s="84"/>
      <c r="AM444" s="84"/>
      <c r="AN444" s="40"/>
      <c r="AO444" s="23"/>
    </row>
    <row r="445" spans="1:41" ht="15.75" x14ac:dyDescent="0.25">
      <c r="A445" s="44"/>
      <c r="B445" s="23"/>
      <c r="C445" s="23"/>
      <c r="D445" s="36"/>
      <c r="E445" s="23"/>
      <c r="F445" s="23"/>
      <c r="G445" s="40"/>
      <c r="H445" s="23"/>
      <c r="I445" s="23"/>
      <c r="J445" s="40"/>
      <c r="K445" s="36"/>
      <c r="L445" s="36"/>
      <c r="M445" s="40"/>
      <c r="N445" s="23"/>
      <c r="O445" s="36"/>
      <c r="P445" s="40"/>
      <c r="Q445" s="36"/>
      <c r="R445" s="36"/>
      <c r="S445" s="40"/>
      <c r="T445" s="23"/>
      <c r="U445" s="23"/>
      <c r="V445" s="40"/>
      <c r="W445" s="23"/>
      <c r="X445" s="23"/>
      <c r="Y445" s="40"/>
      <c r="Z445" s="23"/>
      <c r="AA445" s="23"/>
      <c r="AB445" s="40"/>
      <c r="AC445" s="42"/>
      <c r="AD445" s="42"/>
      <c r="AE445" s="40"/>
      <c r="AF445" s="42"/>
      <c r="AG445" s="42"/>
      <c r="AH445" s="23"/>
      <c r="AI445" s="42"/>
      <c r="AJ445" s="42"/>
      <c r="AK445" s="40"/>
      <c r="AL445" s="84"/>
      <c r="AM445" s="84"/>
      <c r="AN445" s="40"/>
      <c r="AO445" s="23"/>
    </row>
    <row r="446" spans="1:41" ht="15.75" x14ac:dyDescent="0.25">
      <c r="A446" s="44"/>
      <c r="B446" s="23"/>
      <c r="C446" s="23"/>
      <c r="D446" s="36"/>
      <c r="E446" s="23"/>
      <c r="F446" s="23"/>
      <c r="G446" s="40"/>
      <c r="H446" s="23"/>
      <c r="I446" s="23"/>
      <c r="J446" s="40"/>
      <c r="K446" s="36"/>
      <c r="L446" s="36"/>
      <c r="M446" s="40"/>
      <c r="N446" s="23"/>
      <c r="O446" s="36"/>
      <c r="P446" s="40"/>
      <c r="Q446" s="36"/>
      <c r="R446" s="36"/>
      <c r="S446" s="40"/>
      <c r="T446" s="23"/>
      <c r="U446" s="23"/>
      <c r="V446" s="40"/>
      <c r="W446" s="23"/>
      <c r="X446" s="23"/>
      <c r="Y446" s="40"/>
      <c r="Z446" s="23"/>
      <c r="AA446" s="23"/>
      <c r="AB446" s="40"/>
      <c r="AC446" s="42"/>
      <c r="AD446" s="42"/>
      <c r="AE446" s="40"/>
      <c r="AF446" s="42"/>
      <c r="AG446" s="42"/>
      <c r="AH446" s="23"/>
      <c r="AI446" s="42"/>
      <c r="AJ446" s="42"/>
      <c r="AK446" s="40"/>
      <c r="AL446" s="84"/>
      <c r="AM446" s="84"/>
      <c r="AN446" s="40"/>
      <c r="AO446" s="23"/>
    </row>
    <row r="447" spans="1:41" ht="15.75" x14ac:dyDescent="0.25">
      <c r="A447" s="44"/>
      <c r="B447" s="23"/>
      <c r="C447" s="23"/>
      <c r="D447" s="36"/>
      <c r="E447" s="23"/>
      <c r="F447" s="23"/>
      <c r="G447" s="40"/>
      <c r="H447" s="23"/>
      <c r="I447" s="23"/>
      <c r="J447" s="40"/>
      <c r="K447" s="36"/>
      <c r="L447" s="36"/>
      <c r="M447" s="40"/>
      <c r="N447" s="23"/>
      <c r="O447" s="36"/>
      <c r="P447" s="40"/>
      <c r="Q447" s="36"/>
      <c r="R447" s="36"/>
      <c r="S447" s="40"/>
      <c r="T447" s="23"/>
      <c r="U447" s="23"/>
      <c r="V447" s="40"/>
      <c r="W447" s="23"/>
      <c r="X447" s="23"/>
      <c r="Y447" s="40"/>
      <c r="Z447" s="23"/>
      <c r="AA447" s="23"/>
      <c r="AB447" s="40"/>
      <c r="AC447" s="42"/>
      <c r="AD447" s="42"/>
      <c r="AE447" s="40"/>
      <c r="AF447" s="42"/>
      <c r="AG447" s="42"/>
      <c r="AH447" s="23"/>
      <c r="AI447" s="42"/>
      <c r="AJ447" s="42"/>
      <c r="AK447" s="40"/>
      <c r="AL447" s="84"/>
      <c r="AM447" s="84"/>
      <c r="AN447" s="40"/>
      <c r="AO447" s="23"/>
    </row>
    <row r="448" spans="1:41" ht="15.75" x14ac:dyDescent="0.25">
      <c r="A448" s="44"/>
      <c r="B448" s="23"/>
      <c r="C448" s="23"/>
      <c r="D448" s="36"/>
      <c r="E448" s="23"/>
      <c r="F448" s="23"/>
      <c r="G448" s="40"/>
      <c r="H448" s="23"/>
      <c r="I448" s="23"/>
      <c r="J448" s="40"/>
      <c r="K448" s="36"/>
      <c r="L448" s="36"/>
      <c r="M448" s="40"/>
      <c r="N448" s="23"/>
      <c r="O448" s="36"/>
      <c r="P448" s="40"/>
      <c r="Q448" s="36"/>
      <c r="R448" s="36"/>
      <c r="S448" s="40"/>
      <c r="T448" s="23"/>
      <c r="U448" s="23"/>
      <c r="V448" s="40"/>
      <c r="W448" s="23"/>
      <c r="X448" s="23"/>
      <c r="Y448" s="40"/>
      <c r="Z448" s="23"/>
      <c r="AA448" s="23"/>
      <c r="AB448" s="40"/>
      <c r="AC448" s="42"/>
      <c r="AD448" s="42"/>
      <c r="AE448" s="40"/>
      <c r="AF448" s="42"/>
      <c r="AG448" s="42"/>
      <c r="AH448" s="23"/>
      <c r="AI448" s="42"/>
      <c r="AJ448" s="42"/>
      <c r="AK448" s="40"/>
      <c r="AL448" s="84"/>
      <c r="AM448" s="84"/>
      <c r="AN448" s="40"/>
      <c r="AO448" s="23"/>
    </row>
    <row r="449" spans="1:41" ht="15.75" x14ac:dyDescent="0.25">
      <c r="A449" s="44"/>
      <c r="B449" s="23"/>
      <c r="C449" s="23"/>
      <c r="D449" s="36"/>
      <c r="E449" s="23"/>
      <c r="F449" s="23"/>
      <c r="G449" s="40"/>
      <c r="H449" s="23"/>
      <c r="I449" s="23"/>
      <c r="J449" s="40"/>
      <c r="K449" s="36"/>
      <c r="L449" s="36"/>
      <c r="M449" s="40"/>
      <c r="N449" s="23"/>
      <c r="O449" s="36"/>
      <c r="P449" s="40"/>
      <c r="Q449" s="36"/>
      <c r="R449" s="36"/>
      <c r="S449" s="40"/>
      <c r="T449" s="23"/>
      <c r="U449" s="23"/>
      <c r="V449" s="40"/>
      <c r="W449" s="23"/>
      <c r="X449" s="23"/>
      <c r="Y449" s="40"/>
      <c r="Z449" s="23"/>
      <c r="AA449" s="23"/>
      <c r="AB449" s="40"/>
      <c r="AC449" s="42"/>
      <c r="AD449" s="42"/>
      <c r="AE449" s="40"/>
      <c r="AF449" s="42"/>
      <c r="AG449" s="42"/>
      <c r="AH449" s="23"/>
      <c r="AI449" s="42"/>
      <c r="AJ449" s="42"/>
      <c r="AK449" s="40"/>
      <c r="AL449" s="84"/>
      <c r="AM449" s="84"/>
      <c r="AN449" s="40"/>
      <c r="AO449" s="23"/>
    </row>
    <row r="450" spans="1:41" ht="15.75" x14ac:dyDescent="0.25">
      <c r="A450" s="44"/>
      <c r="B450" s="23"/>
      <c r="C450" s="23"/>
      <c r="D450" s="36"/>
      <c r="E450" s="23"/>
      <c r="F450" s="23"/>
      <c r="G450" s="40"/>
      <c r="H450" s="23"/>
      <c r="I450" s="23"/>
      <c r="J450" s="40"/>
      <c r="K450" s="36"/>
      <c r="L450" s="36"/>
      <c r="M450" s="40"/>
      <c r="N450" s="23"/>
      <c r="O450" s="36"/>
      <c r="P450" s="40"/>
      <c r="Q450" s="36"/>
      <c r="R450" s="36"/>
      <c r="S450" s="40"/>
      <c r="T450" s="23"/>
      <c r="U450" s="23"/>
      <c r="V450" s="40"/>
      <c r="W450" s="23"/>
      <c r="X450" s="23"/>
      <c r="Y450" s="40"/>
      <c r="Z450" s="23"/>
      <c r="AA450" s="23"/>
      <c r="AB450" s="40"/>
      <c r="AC450" s="42"/>
      <c r="AD450" s="42"/>
      <c r="AE450" s="40"/>
      <c r="AF450" s="42"/>
      <c r="AG450" s="42"/>
      <c r="AH450" s="23"/>
      <c r="AI450" s="42"/>
      <c r="AJ450" s="42"/>
      <c r="AK450" s="40"/>
      <c r="AL450" s="84"/>
      <c r="AM450" s="84"/>
      <c r="AN450" s="40"/>
      <c r="AO450" s="23"/>
    </row>
    <row r="451" spans="1:41" ht="15.75" x14ac:dyDescent="0.25">
      <c r="A451" s="44"/>
      <c r="B451" s="23"/>
      <c r="C451" s="23"/>
      <c r="D451" s="36"/>
      <c r="E451" s="23"/>
      <c r="F451" s="23"/>
      <c r="G451" s="40"/>
      <c r="H451" s="23"/>
      <c r="I451" s="23"/>
      <c r="J451" s="40"/>
      <c r="K451" s="36"/>
      <c r="L451" s="36"/>
      <c r="M451" s="40"/>
      <c r="N451" s="23"/>
      <c r="O451" s="36"/>
      <c r="P451" s="40"/>
      <c r="Q451" s="36"/>
      <c r="R451" s="36"/>
      <c r="S451" s="40"/>
      <c r="T451" s="23"/>
      <c r="U451" s="23"/>
      <c r="V451" s="40"/>
      <c r="W451" s="23"/>
      <c r="X451" s="23"/>
      <c r="Y451" s="40"/>
      <c r="Z451" s="23"/>
      <c r="AA451" s="23"/>
      <c r="AB451" s="40"/>
      <c r="AC451" s="42"/>
      <c r="AD451" s="42"/>
      <c r="AE451" s="40"/>
      <c r="AF451" s="42"/>
      <c r="AG451" s="42"/>
      <c r="AH451" s="23"/>
      <c r="AI451" s="42"/>
      <c r="AJ451" s="42"/>
      <c r="AK451" s="40"/>
      <c r="AL451" s="84"/>
      <c r="AM451" s="84"/>
      <c r="AN451" s="40"/>
      <c r="AO451" s="23"/>
    </row>
    <row r="452" spans="1:41" ht="15.75" x14ac:dyDescent="0.25">
      <c r="A452" s="44"/>
      <c r="B452" s="23"/>
      <c r="C452" s="23"/>
      <c r="D452" s="36"/>
      <c r="E452" s="23"/>
      <c r="F452" s="23"/>
      <c r="G452" s="40"/>
      <c r="H452" s="23"/>
      <c r="I452" s="23"/>
      <c r="J452" s="40"/>
      <c r="K452" s="36"/>
      <c r="L452" s="36"/>
      <c r="M452" s="40"/>
      <c r="N452" s="23"/>
      <c r="O452" s="36"/>
      <c r="P452" s="40"/>
      <c r="Q452" s="36"/>
      <c r="R452" s="36"/>
      <c r="S452" s="40"/>
      <c r="T452" s="23"/>
      <c r="U452" s="23"/>
      <c r="V452" s="40"/>
      <c r="W452" s="23"/>
      <c r="X452" s="23"/>
      <c r="Y452" s="40"/>
      <c r="Z452" s="23"/>
      <c r="AA452" s="23"/>
      <c r="AB452" s="40"/>
      <c r="AC452" s="42"/>
      <c r="AD452" s="42"/>
      <c r="AE452" s="40"/>
      <c r="AF452" s="42"/>
      <c r="AG452" s="42"/>
      <c r="AH452" s="23"/>
      <c r="AI452" s="42"/>
      <c r="AJ452" s="42"/>
      <c r="AK452" s="40"/>
      <c r="AL452" s="84"/>
      <c r="AM452" s="84"/>
      <c r="AN452" s="40"/>
      <c r="AO452" s="23"/>
    </row>
    <row r="453" spans="1:41" ht="15.75" x14ac:dyDescent="0.25">
      <c r="A453" s="44"/>
      <c r="B453" s="23"/>
      <c r="C453" s="23"/>
      <c r="D453" s="36"/>
      <c r="E453" s="23"/>
      <c r="F453" s="23"/>
      <c r="G453" s="40"/>
      <c r="H453" s="23"/>
      <c r="I453" s="23"/>
      <c r="J453" s="40"/>
      <c r="K453" s="36"/>
      <c r="L453" s="36"/>
      <c r="M453" s="40"/>
      <c r="N453" s="23"/>
      <c r="O453" s="36"/>
      <c r="P453" s="40"/>
      <c r="Q453" s="36"/>
      <c r="R453" s="36"/>
      <c r="S453" s="40"/>
      <c r="T453" s="23"/>
      <c r="U453" s="23"/>
      <c r="V453" s="40"/>
      <c r="W453" s="23"/>
      <c r="X453" s="23"/>
      <c r="Y453" s="40"/>
      <c r="Z453" s="23"/>
      <c r="AA453" s="23"/>
      <c r="AB453" s="40"/>
      <c r="AC453" s="42"/>
      <c r="AD453" s="42"/>
      <c r="AE453" s="40"/>
      <c r="AF453" s="42"/>
      <c r="AG453" s="42"/>
      <c r="AH453" s="23"/>
      <c r="AI453" s="42"/>
      <c r="AJ453" s="42"/>
      <c r="AK453" s="40"/>
      <c r="AL453" s="84"/>
      <c r="AM453" s="84"/>
      <c r="AN453" s="40"/>
      <c r="AO453" s="23"/>
    </row>
    <row r="454" spans="1:41" ht="15.75" x14ac:dyDescent="0.25">
      <c r="A454" s="44"/>
      <c r="B454" s="23"/>
      <c r="C454" s="23"/>
      <c r="D454" s="36"/>
      <c r="E454" s="23"/>
      <c r="F454" s="23"/>
      <c r="G454" s="40"/>
      <c r="H454" s="23"/>
      <c r="I454" s="23"/>
      <c r="J454" s="40"/>
      <c r="K454" s="36"/>
      <c r="L454" s="36"/>
      <c r="M454" s="40"/>
      <c r="N454" s="23"/>
      <c r="O454" s="36"/>
      <c r="P454" s="40"/>
      <c r="Q454" s="36"/>
      <c r="R454" s="36"/>
      <c r="S454" s="40"/>
      <c r="T454" s="23"/>
      <c r="U454" s="23"/>
      <c r="V454" s="40"/>
      <c r="W454" s="23"/>
      <c r="X454" s="23"/>
      <c r="Y454" s="40"/>
      <c r="Z454" s="23"/>
      <c r="AA454" s="23"/>
      <c r="AB454" s="40"/>
      <c r="AC454" s="42"/>
      <c r="AD454" s="42"/>
      <c r="AE454" s="40"/>
      <c r="AF454" s="42"/>
      <c r="AG454" s="42"/>
      <c r="AH454" s="23"/>
      <c r="AI454" s="42"/>
      <c r="AJ454" s="42"/>
      <c r="AK454" s="40"/>
      <c r="AL454" s="84"/>
      <c r="AM454" s="84"/>
      <c r="AN454" s="40"/>
      <c r="AO454" s="23"/>
    </row>
    <row r="455" spans="1:41" ht="15.75" x14ac:dyDescent="0.25">
      <c r="A455" s="44"/>
      <c r="B455" s="23"/>
      <c r="C455" s="23"/>
      <c r="D455" s="36"/>
      <c r="E455" s="23"/>
      <c r="F455" s="23"/>
      <c r="G455" s="40"/>
      <c r="H455" s="23"/>
      <c r="I455" s="23"/>
      <c r="J455" s="40"/>
      <c r="K455" s="36"/>
      <c r="L455" s="36"/>
      <c r="M455" s="40"/>
      <c r="N455" s="23"/>
      <c r="O455" s="36"/>
      <c r="P455" s="40"/>
      <c r="Q455" s="36"/>
      <c r="R455" s="36"/>
      <c r="S455" s="40"/>
      <c r="T455" s="23"/>
      <c r="U455" s="23"/>
      <c r="V455" s="40"/>
      <c r="W455" s="23"/>
      <c r="X455" s="23"/>
      <c r="Y455" s="40"/>
      <c r="Z455" s="23"/>
      <c r="AA455" s="23"/>
      <c r="AB455" s="40"/>
      <c r="AC455" s="42"/>
      <c r="AD455" s="42"/>
      <c r="AE455" s="40"/>
      <c r="AF455" s="42"/>
      <c r="AG455" s="42"/>
      <c r="AH455" s="23"/>
      <c r="AI455" s="42"/>
      <c r="AJ455" s="42"/>
      <c r="AK455" s="40"/>
      <c r="AL455" s="84"/>
      <c r="AM455" s="84"/>
      <c r="AN455" s="40"/>
      <c r="AO455" s="23"/>
    </row>
    <row r="456" spans="1:41" ht="15.75" x14ac:dyDescent="0.25">
      <c r="A456" s="44"/>
      <c r="B456" s="23"/>
      <c r="C456" s="23"/>
      <c r="D456" s="36"/>
      <c r="E456" s="23"/>
      <c r="F456" s="23"/>
      <c r="G456" s="40"/>
      <c r="H456" s="23"/>
      <c r="I456" s="23"/>
      <c r="J456" s="40"/>
      <c r="K456" s="36"/>
      <c r="L456" s="36"/>
      <c r="M456" s="40"/>
      <c r="N456" s="23"/>
      <c r="O456" s="36"/>
      <c r="P456" s="40"/>
      <c r="Q456" s="36"/>
      <c r="R456" s="36"/>
      <c r="S456" s="40"/>
      <c r="T456" s="23"/>
      <c r="U456" s="23"/>
      <c r="V456" s="40"/>
      <c r="W456" s="23"/>
      <c r="X456" s="23"/>
      <c r="Y456" s="40"/>
      <c r="Z456" s="23"/>
      <c r="AA456" s="23"/>
      <c r="AB456" s="40"/>
      <c r="AC456" s="42"/>
      <c r="AD456" s="42"/>
      <c r="AE456" s="40"/>
      <c r="AF456" s="42"/>
      <c r="AG456" s="42"/>
      <c r="AH456" s="23"/>
      <c r="AI456" s="42"/>
      <c r="AJ456" s="42"/>
      <c r="AK456" s="40"/>
      <c r="AL456" s="84"/>
      <c r="AM456" s="84"/>
      <c r="AN456" s="40"/>
      <c r="AO456" s="23"/>
    </row>
    <row r="457" spans="1:41" ht="15.75" x14ac:dyDescent="0.25">
      <c r="A457" s="44"/>
      <c r="B457" s="23"/>
      <c r="C457" s="23"/>
      <c r="D457" s="36"/>
      <c r="E457" s="23"/>
      <c r="F457" s="23"/>
      <c r="G457" s="40"/>
      <c r="H457" s="23"/>
      <c r="I457" s="23"/>
      <c r="J457" s="40"/>
      <c r="K457" s="36"/>
      <c r="L457" s="36"/>
      <c r="M457" s="40"/>
      <c r="N457" s="23"/>
      <c r="O457" s="36"/>
      <c r="P457" s="40"/>
      <c r="Q457" s="36"/>
      <c r="R457" s="36"/>
      <c r="S457" s="40"/>
      <c r="T457" s="23"/>
      <c r="U457" s="23"/>
      <c r="V457" s="40"/>
      <c r="W457" s="23"/>
      <c r="X457" s="23"/>
      <c r="Y457" s="40"/>
      <c r="Z457" s="23"/>
      <c r="AA457" s="23"/>
      <c r="AB457" s="40"/>
      <c r="AC457" s="42"/>
      <c r="AD457" s="42"/>
      <c r="AE457" s="40"/>
      <c r="AF457" s="42"/>
      <c r="AG457" s="42"/>
      <c r="AH457" s="23"/>
      <c r="AI457" s="42"/>
      <c r="AJ457" s="42"/>
      <c r="AK457" s="40"/>
      <c r="AL457" s="84"/>
      <c r="AM457" s="84"/>
      <c r="AN457" s="40"/>
      <c r="AO457" s="23"/>
    </row>
    <row r="458" spans="1:41" ht="15.75" x14ac:dyDescent="0.25">
      <c r="A458" s="44"/>
      <c r="B458" s="23"/>
      <c r="C458" s="23"/>
      <c r="D458" s="36"/>
      <c r="E458" s="23"/>
      <c r="F458" s="23"/>
      <c r="G458" s="40"/>
      <c r="H458" s="23"/>
      <c r="I458" s="23"/>
      <c r="J458" s="40"/>
      <c r="K458" s="36"/>
      <c r="L458" s="36"/>
      <c r="M458" s="40"/>
      <c r="N458" s="23"/>
      <c r="O458" s="36"/>
      <c r="P458" s="40"/>
      <c r="Q458" s="36"/>
      <c r="R458" s="36"/>
      <c r="S458" s="40"/>
      <c r="T458" s="23"/>
      <c r="U458" s="23"/>
      <c r="V458" s="40"/>
      <c r="W458" s="23"/>
      <c r="X458" s="23"/>
      <c r="Y458" s="40"/>
      <c r="Z458" s="23"/>
      <c r="AA458" s="23"/>
      <c r="AB458" s="40"/>
      <c r="AC458" s="42"/>
      <c r="AD458" s="42"/>
      <c r="AE458" s="40"/>
      <c r="AF458" s="42"/>
      <c r="AG458" s="42"/>
      <c r="AH458" s="23"/>
      <c r="AI458" s="42"/>
      <c r="AJ458" s="42"/>
      <c r="AK458" s="40"/>
      <c r="AL458" s="84"/>
      <c r="AM458" s="84"/>
      <c r="AN458" s="40"/>
      <c r="AO458" s="23"/>
    </row>
    <row r="459" spans="1:41" ht="15.75" x14ac:dyDescent="0.25">
      <c r="A459" s="44"/>
      <c r="B459" s="23"/>
      <c r="C459" s="23"/>
      <c r="D459" s="36"/>
      <c r="E459" s="23"/>
      <c r="F459" s="23"/>
      <c r="G459" s="40"/>
      <c r="H459" s="23"/>
      <c r="I459" s="23"/>
      <c r="J459" s="40"/>
      <c r="K459" s="36"/>
      <c r="L459" s="36"/>
      <c r="M459" s="40"/>
      <c r="N459" s="23"/>
      <c r="O459" s="36"/>
      <c r="P459" s="40"/>
      <c r="Q459" s="36"/>
      <c r="R459" s="36"/>
      <c r="S459" s="40"/>
      <c r="T459" s="23"/>
      <c r="U459" s="23"/>
      <c r="V459" s="40"/>
      <c r="W459" s="23"/>
      <c r="X459" s="23"/>
      <c r="Y459" s="40"/>
      <c r="Z459" s="23"/>
      <c r="AA459" s="23"/>
      <c r="AB459" s="40"/>
      <c r="AC459" s="42"/>
      <c r="AD459" s="42"/>
      <c r="AE459" s="40"/>
      <c r="AF459" s="42"/>
      <c r="AG459" s="42"/>
      <c r="AH459" s="23"/>
      <c r="AI459" s="42"/>
      <c r="AJ459" s="42"/>
      <c r="AK459" s="40"/>
      <c r="AL459" s="84"/>
      <c r="AM459" s="84"/>
      <c r="AN459" s="40"/>
      <c r="AO459" s="23"/>
    </row>
    <row r="460" spans="1:41" ht="15.75" x14ac:dyDescent="0.25">
      <c r="A460" s="44"/>
      <c r="B460" s="23"/>
      <c r="C460" s="23"/>
      <c r="D460" s="36"/>
      <c r="E460" s="23"/>
      <c r="F460" s="23"/>
      <c r="G460" s="40"/>
      <c r="H460" s="23"/>
      <c r="I460" s="23"/>
      <c r="J460" s="40"/>
      <c r="K460" s="36"/>
      <c r="L460" s="36"/>
      <c r="M460" s="40"/>
      <c r="N460" s="23"/>
      <c r="O460" s="36"/>
      <c r="P460" s="40"/>
      <c r="Q460" s="36"/>
      <c r="R460" s="36"/>
      <c r="S460" s="40"/>
      <c r="T460" s="23"/>
      <c r="U460" s="23"/>
      <c r="V460" s="40"/>
      <c r="W460" s="23"/>
      <c r="X460" s="23"/>
      <c r="Y460" s="40"/>
      <c r="Z460" s="23"/>
      <c r="AA460" s="23"/>
      <c r="AB460" s="40"/>
      <c r="AC460" s="42"/>
      <c r="AD460" s="42"/>
      <c r="AE460" s="40"/>
      <c r="AF460" s="42"/>
      <c r="AG460" s="42"/>
      <c r="AH460" s="23"/>
      <c r="AI460" s="42"/>
      <c r="AJ460" s="42"/>
      <c r="AK460" s="40"/>
      <c r="AL460" s="84"/>
      <c r="AM460" s="84"/>
      <c r="AN460" s="40"/>
      <c r="AO460" s="23"/>
    </row>
    <row r="461" spans="1:41" ht="15.75" x14ac:dyDescent="0.25">
      <c r="A461" s="44"/>
      <c r="B461" s="23"/>
      <c r="C461" s="23"/>
      <c r="D461" s="36"/>
      <c r="E461" s="23"/>
      <c r="F461" s="23"/>
      <c r="G461" s="40"/>
      <c r="H461" s="23"/>
      <c r="I461" s="23"/>
      <c r="J461" s="40"/>
      <c r="K461" s="36"/>
      <c r="L461" s="36"/>
      <c r="M461" s="40"/>
      <c r="N461" s="23"/>
      <c r="O461" s="36"/>
      <c r="P461" s="40"/>
      <c r="Q461" s="36"/>
      <c r="R461" s="36"/>
      <c r="S461" s="40"/>
      <c r="T461" s="23"/>
      <c r="U461" s="23"/>
      <c r="V461" s="40"/>
      <c r="W461" s="23"/>
      <c r="X461" s="23"/>
      <c r="Y461" s="40"/>
      <c r="Z461" s="23"/>
      <c r="AA461" s="23"/>
      <c r="AB461" s="40"/>
      <c r="AC461" s="42"/>
      <c r="AD461" s="42"/>
      <c r="AE461" s="40"/>
      <c r="AF461" s="42"/>
      <c r="AG461" s="42"/>
      <c r="AH461" s="23"/>
      <c r="AI461" s="42"/>
      <c r="AJ461" s="42"/>
      <c r="AK461" s="40"/>
      <c r="AL461" s="84"/>
      <c r="AM461" s="84"/>
      <c r="AN461" s="40"/>
      <c r="AO461" s="23"/>
    </row>
    <row r="462" spans="1:41" ht="15.75" x14ac:dyDescent="0.25">
      <c r="A462" s="44"/>
      <c r="B462" s="23"/>
      <c r="C462" s="23"/>
      <c r="D462" s="36"/>
      <c r="E462" s="23"/>
      <c r="F462" s="23"/>
      <c r="G462" s="40"/>
      <c r="H462" s="23"/>
      <c r="I462" s="23"/>
      <c r="J462" s="40"/>
      <c r="K462" s="36"/>
      <c r="L462" s="36"/>
      <c r="M462" s="40"/>
      <c r="N462" s="23"/>
      <c r="O462" s="36"/>
      <c r="P462" s="40"/>
      <c r="Q462" s="36"/>
      <c r="R462" s="36"/>
      <c r="S462" s="40"/>
      <c r="T462" s="23"/>
      <c r="U462" s="23"/>
      <c r="V462" s="40"/>
      <c r="W462" s="23"/>
      <c r="X462" s="23"/>
      <c r="Y462" s="40"/>
      <c r="Z462" s="23"/>
      <c r="AA462" s="23"/>
      <c r="AB462" s="40"/>
      <c r="AC462" s="42"/>
      <c r="AD462" s="42"/>
      <c r="AE462" s="40"/>
      <c r="AF462" s="42"/>
      <c r="AG462" s="42"/>
      <c r="AH462" s="23"/>
      <c r="AI462" s="42"/>
      <c r="AJ462" s="42"/>
      <c r="AK462" s="40"/>
      <c r="AL462" s="84"/>
      <c r="AM462" s="84"/>
      <c r="AN462" s="40"/>
      <c r="AO462" s="23"/>
    </row>
    <row r="463" spans="1:41" ht="15.75" x14ac:dyDescent="0.25">
      <c r="A463" s="44"/>
      <c r="B463" s="23"/>
      <c r="C463" s="23"/>
      <c r="D463" s="36"/>
      <c r="E463" s="23"/>
      <c r="F463" s="23"/>
      <c r="G463" s="40"/>
      <c r="H463" s="23"/>
      <c r="I463" s="23"/>
      <c r="J463" s="40"/>
      <c r="K463" s="36"/>
      <c r="L463" s="36"/>
      <c r="M463" s="40"/>
      <c r="N463" s="23"/>
      <c r="O463" s="36"/>
      <c r="P463" s="40"/>
      <c r="Q463" s="36"/>
      <c r="R463" s="36"/>
      <c r="S463" s="40"/>
      <c r="T463" s="23"/>
      <c r="U463" s="23"/>
      <c r="V463" s="40"/>
      <c r="W463" s="23"/>
      <c r="X463" s="23"/>
      <c r="Y463" s="40"/>
      <c r="Z463" s="23"/>
      <c r="AA463" s="23"/>
      <c r="AB463" s="40"/>
      <c r="AC463" s="42"/>
      <c r="AD463" s="42"/>
      <c r="AE463" s="40"/>
      <c r="AF463" s="42"/>
      <c r="AG463" s="42"/>
      <c r="AH463" s="23"/>
      <c r="AI463" s="42"/>
      <c r="AJ463" s="42"/>
      <c r="AK463" s="40"/>
      <c r="AL463" s="84"/>
      <c r="AM463" s="84"/>
      <c r="AN463" s="40"/>
      <c r="AO463" s="23"/>
    </row>
    <row r="464" spans="1:41" ht="15.75" x14ac:dyDescent="0.25">
      <c r="A464" s="44"/>
      <c r="B464" s="23"/>
      <c r="C464" s="23"/>
      <c r="D464" s="36"/>
      <c r="E464" s="23"/>
      <c r="F464" s="23"/>
      <c r="G464" s="40"/>
      <c r="H464" s="23"/>
      <c r="I464" s="23"/>
      <c r="J464" s="40"/>
      <c r="K464" s="36"/>
      <c r="L464" s="36"/>
      <c r="M464" s="40"/>
      <c r="N464" s="23"/>
      <c r="O464" s="36"/>
      <c r="P464" s="40"/>
      <c r="Q464" s="36"/>
      <c r="R464" s="36"/>
      <c r="S464" s="40"/>
      <c r="T464" s="23"/>
      <c r="U464" s="23"/>
      <c r="V464" s="40"/>
      <c r="W464" s="23"/>
      <c r="X464" s="23"/>
      <c r="Y464" s="40"/>
      <c r="Z464" s="23"/>
      <c r="AA464" s="23"/>
      <c r="AB464" s="40"/>
      <c r="AC464" s="42"/>
      <c r="AD464" s="42"/>
      <c r="AE464" s="40"/>
      <c r="AF464" s="42"/>
      <c r="AG464" s="42"/>
      <c r="AH464" s="23"/>
      <c r="AI464" s="42"/>
      <c r="AJ464" s="42"/>
      <c r="AK464" s="40"/>
      <c r="AL464" s="84"/>
      <c r="AM464" s="84"/>
      <c r="AN464" s="40"/>
      <c r="AO464" s="23"/>
    </row>
    <row r="465" spans="1:41" ht="15.75" x14ac:dyDescent="0.25">
      <c r="A465" s="44"/>
      <c r="B465" s="23"/>
      <c r="C465" s="23"/>
      <c r="D465" s="36"/>
      <c r="E465" s="23"/>
      <c r="F465" s="23"/>
      <c r="G465" s="40"/>
      <c r="H465" s="23"/>
      <c r="I465" s="23"/>
      <c r="J465" s="40"/>
      <c r="K465" s="36"/>
      <c r="L465" s="36"/>
      <c r="M465" s="40"/>
      <c r="N465" s="23"/>
      <c r="O465" s="36"/>
      <c r="P465" s="40"/>
      <c r="Q465" s="36"/>
      <c r="R465" s="36"/>
      <c r="S465" s="40"/>
      <c r="T465" s="23"/>
      <c r="U465" s="23"/>
      <c r="V465" s="40"/>
      <c r="W465" s="23"/>
      <c r="X465" s="23"/>
      <c r="Y465" s="40"/>
      <c r="Z465" s="23"/>
      <c r="AA465" s="23"/>
      <c r="AB465" s="40"/>
      <c r="AC465" s="42"/>
      <c r="AD465" s="42"/>
      <c r="AE465" s="40"/>
      <c r="AF465" s="42"/>
      <c r="AG465" s="42"/>
      <c r="AH465" s="23"/>
      <c r="AI465" s="42"/>
      <c r="AJ465" s="42"/>
      <c r="AK465" s="40"/>
      <c r="AL465" s="84"/>
      <c r="AM465" s="84"/>
      <c r="AN465" s="40"/>
      <c r="AO465" s="23"/>
    </row>
    <row r="466" spans="1:41" ht="15.75" x14ac:dyDescent="0.25">
      <c r="A466" s="44"/>
      <c r="B466" s="23"/>
      <c r="C466" s="23"/>
      <c r="D466" s="36"/>
      <c r="E466" s="23"/>
      <c r="F466" s="23"/>
      <c r="G466" s="40"/>
      <c r="H466" s="23"/>
      <c r="I466" s="23"/>
      <c r="J466" s="40"/>
      <c r="K466" s="36"/>
      <c r="L466" s="36"/>
      <c r="M466" s="40"/>
      <c r="N466" s="23"/>
      <c r="O466" s="36"/>
      <c r="P466" s="40"/>
      <c r="Q466" s="36"/>
      <c r="R466" s="36"/>
      <c r="S466" s="40"/>
      <c r="T466" s="23"/>
      <c r="U466" s="23"/>
      <c r="V466" s="40"/>
      <c r="W466" s="23"/>
      <c r="X466" s="23"/>
      <c r="Y466" s="40"/>
      <c r="Z466" s="23"/>
      <c r="AA466" s="23"/>
      <c r="AB466" s="40"/>
      <c r="AC466" s="42"/>
      <c r="AD466" s="42"/>
      <c r="AE466" s="40"/>
      <c r="AF466" s="42"/>
      <c r="AG466" s="42"/>
      <c r="AH466" s="23"/>
      <c r="AI466" s="42"/>
      <c r="AJ466" s="42"/>
      <c r="AK466" s="40"/>
      <c r="AL466" s="84"/>
      <c r="AM466" s="84"/>
      <c r="AN466" s="40"/>
      <c r="AO466" s="23"/>
    </row>
    <row r="467" spans="1:41" ht="15.75" x14ac:dyDescent="0.25">
      <c r="A467" s="44"/>
      <c r="B467" s="23"/>
      <c r="C467" s="23"/>
      <c r="D467" s="36"/>
      <c r="E467" s="23"/>
      <c r="F467" s="23"/>
      <c r="G467" s="40"/>
      <c r="H467" s="23"/>
      <c r="I467" s="23"/>
      <c r="J467" s="40"/>
      <c r="K467" s="36"/>
      <c r="L467" s="36"/>
      <c r="M467" s="40"/>
      <c r="N467" s="23"/>
      <c r="O467" s="36"/>
      <c r="P467" s="40"/>
      <c r="Q467" s="36"/>
      <c r="R467" s="36"/>
      <c r="S467" s="40"/>
      <c r="T467" s="23"/>
      <c r="U467" s="23"/>
      <c r="V467" s="40"/>
      <c r="W467" s="23"/>
      <c r="X467" s="23"/>
      <c r="Y467" s="40"/>
      <c r="Z467" s="23"/>
      <c r="AA467" s="23"/>
      <c r="AB467" s="40"/>
      <c r="AC467" s="42"/>
      <c r="AD467" s="42"/>
      <c r="AE467" s="40"/>
      <c r="AF467" s="42"/>
      <c r="AG467" s="42"/>
      <c r="AH467" s="23"/>
      <c r="AI467" s="42"/>
      <c r="AJ467" s="42"/>
      <c r="AK467" s="40"/>
      <c r="AL467" s="84"/>
      <c r="AM467" s="84"/>
      <c r="AN467" s="40"/>
      <c r="AO467" s="23"/>
    </row>
    <row r="468" spans="1:41" ht="15.75" x14ac:dyDescent="0.25">
      <c r="A468" s="44"/>
      <c r="B468" s="23"/>
      <c r="C468" s="23"/>
      <c r="D468" s="36"/>
      <c r="E468" s="23"/>
      <c r="F468" s="23"/>
      <c r="G468" s="40"/>
      <c r="H468" s="23"/>
      <c r="I468" s="23"/>
      <c r="J468" s="40"/>
      <c r="K468" s="36"/>
      <c r="L468" s="36"/>
      <c r="M468" s="40"/>
      <c r="N468" s="23"/>
      <c r="O468" s="36"/>
      <c r="P468" s="40"/>
      <c r="Q468" s="36"/>
      <c r="R468" s="36"/>
      <c r="S468" s="40"/>
      <c r="T468" s="23"/>
      <c r="U468" s="23"/>
      <c r="V468" s="40"/>
      <c r="W468" s="23"/>
      <c r="X468" s="23"/>
      <c r="Y468" s="40"/>
      <c r="Z468" s="23"/>
      <c r="AA468" s="23"/>
      <c r="AB468" s="40"/>
      <c r="AC468" s="42"/>
      <c r="AD468" s="42"/>
      <c r="AE468" s="40"/>
      <c r="AF468" s="42"/>
      <c r="AG468" s="42"/>
      <c r="AH468" s="23"/>
      <c r="AI468" s="42"/>
      <c r="AJ468" s="42"/>
      <c r="AK468" s="40"/>
      <c r="AL468" s="84"/>
      <c r="AM468" s="84"/>
      <c r="AN468" s="40"/>
      <c r="AO468" s="23"/>
    </row>
    <row r="469" spans="1:41" ht="15.75" x14ac:dyDescent="0.25">
      <c r="A469" s="44"/>
      <c r="B469" s="23"/>
      <c r="C469" s="23"/>
      <c r="D469" s="36"/>
      <c r="E469" s="23"/>
      <c r="F469" s="23"/>
      <c r="G469" s="40"/>
      <c r="H469" s="23"/>
      <c r="I469" s="23"/>
      <c r="J469" s="40"/>
      <c r="K469" s="36"/>
      <c r="L469" s="36"/>
      <c r="M469" s="40"/>
      <c r="N469" s="23"/>
      <c r="O469" s="36"/>
      <c r="P469" s="40"/>
      <c r="Q469" s="36"/>
      <c r="R469" s="36"/>
      <c r="S469" s="40"/>
      <c r="T469" s="23"/>
      <c r="U469" s="23"/>
      <c r="V469" s="40"/>
      <c r="W469" s="23"/>
      <c r="X469" s="23"/>
      <c r="Y469" s="40"/>
      <c r="Z469" s="23"/>
      <c r="AA469" s="23"/>
      <c r="AB469" s="40"/>
      <c r="AC469" s="42"/>
      <c r="AD469" s="42"/>
      <c r="AE469" s="40"/>
      <c r="AF469" s="42"/>
      <c r="AG469" s="42"/>
      <c r="AH469" s="23"/>
      <c r="AI469" s="42"/>
      <c r="AJ469" s="42"/>
      <c r="AK469" s="40"/>
      <c r="AL469" s="84"/>
      <c r="AM469" s="84"/>
      <c r="AN469" s="40"/>
      <c r="AO469" s="23"/>
    </row>
    <row r="470" spans="1:41" ht="15.75" x14ac:dyDescent="0.25">
      <c r="A470" s="44"/>
      <c r="B470" s="23"/>
      <c r="C470" s="23"/>
      <c r="D470" s="36"/>
      <c r="E470" s="23"/>
      <c r="F470" s="23"/>
      <c r="G470" s="40"/>
      <c r="H470" s="23"/>
      <c r="I470" s="23"/>
      <c r="J470" s="40"/>
      <c r="K470" s="36"/>
      <c r="L470" s="36"/>
      <c r="M470" s="40"/>
      <c r="N470" s="23"/>
      <c r="O470" s="36"/>
      <c r="P470" s="40"/>
      <c r="Q470" s="36"/>
      <c r="R470" s="36"/>
      <c r="S470" s="40"/>
      <c r="T470" s="23"/>
      <c r="U470" s="23"/>
      <c r="V470" s="40"/>
      <c r="W470" s="23"/>
      <c r="X470" s="23"/>
      <c r="Y470" s="40"/>
      <c r="Z470" s="23"/>
      <c r="AA470" s="23"/>
      <c r="AB470" s="40"/>
      <c r="AC470" s="42"/>
      <c r="AD470" s="42"/>
      <c r="AE470" s="40"/>
      <c r="AF470" s="42"/>
      <c r="AG470" s="42"/>
      <c r="AH470" s="23"/>
      <c r="AI470" s="42"/>
      <c r="AJ470" s="42"/>
      <c r="AK470" s="40"/>
      <c r="AL470" s="84"/>
      <c r="AM470" s="84"/>
      <c r="AN470" s="40"/>
      <c r="AO470" s="23"/>
    </row>
    <row r="471" spans="1:41" ht="15.75" x14ac:dyDescent="0.25">
      <c r="A471" s="44"/>
      <c r="B471" s="23"/>
      <c r="C471" s="23"/>
      <c r="D471" s="36"/>
      <c r="E471" s="23"/>
      <c r="F471" s="23"/>
      <c r="G471" s="40"/>
      <c r="H471" s="23"/>
      <c r="I471" s="23"/>
      <c r="J471" s="40"/>
      <c r="K471" s="36"/>
      <c r="L471" s="36"/>
      <c r="M471" s="40"/>
      <c r="N471" s="23"/>
      <c r="O471" s="36"/>
      <c r="P471" s="40"/>
      <c r="Q471" s="36"/>
      <c r="R471" s="36"/>
      <c r="S471" s="40"/>
      <c r="T471" s="23"/>
      <c r="U471" s="23"/>
      <c r="V471" s="40"/>
      <c r="W471" s="23"/>
      <c r="X471" s="23"/>
      <c r="Y471" s="40"/>
      <c r="Z471" s="23"/>
      <c r="AA471" s="23"/>
      <c r="AB471" s="40"/>
      <c r="AC471" s="42"/>
      <c r="AD471" s="42"/>
      <c r="AE471" s="40"/>
      <c r="AF471" s="42"/>
      <c r="AG471" s="42"/>
      <c r="AH471" s="23"/>
      <c r="AI471" s="42"/>
      <c r="AJ471" s="42"/>
      <c r="AK471" s="40"/>
      <c r="AL471" s="84"/>
      <c r="AM471" s="84"/>
      <c r="AN471" s="40"/>
      <c r="AO471" s="23"/>
    </row>
    <row r="472" spans="1:41" ht="15.75" x14ac:dyDescent="0.25">
      <c r="A472" s="44"/>
      <c r="B472" s="23"/>
      <c r="C472" s="23"/>
      <c r="D472" s="36"/>
      <c r="E472" s="23"/>
      <c r="F472" s="23"/>
      <c r="G472" s="40"/>
      <c r="H472" s="23"/>
      <c r="I472" s="23"/>
      <c r="J472" s="40"/>
      <c r="K472" s="36"/>
      <c r="L472" s="36"/>
      <c r="M472" s="40"/>
      <c r="N472" s="23"/>
      <c r="O472" s="36"/>
      <c r="P472" s="40"/>
      <c r="Q472" s="36"/>
      <c r="R472" s="36"/>
      <c r="S472" s="40"/>
      <c r="T472" s="23"/>
      <c r="U472" s="23"/>
      <c r="V472" s="40"/>
      <c r="W472" s="23"/>
      <c r="X472" s="23"/>
      <c r="Y472" s="40"/>
      <c r="Z472" s="23"/>
      <c r="AA472" s="23"/>
      <c r="AB472" s="40"/>
      <c r="AC472" s="42"/>
      <c r="AD472" s="42"/>
      <c r="AE472" s="40"/>
      <c r="AF472" s="42"/>
      <c r="AG472" s="42"/>
      <c r="AH472" s="23"/>
      <c r="AI472" s="42"/>
      <c r="AJ472" s="42"/>
      <c r="AK472" s="40"/>
      <c r="AL472" s="84"/>
      <c r="AM472" s="84"/>
      <c r="AN472" s="40"/>
      <c r="AO472" s="23"/>
    </row>
    <row r="473" spans="1:41" ht="15.75" x14ac:dyDescent="0.25">
      <c r="A473" s="44"/>
      <c r="B473" s="23"/>
      <c r="C473" s="23"/>
      <c r="D473" s="36"/>
      <c r="E473" s="23"/>
      <c r="F473" s="23"/>
      <c r="G473" s="40"/>
      <c r="H473" s="23"/>
      <c r="I473" s="23"/>
      <c r="J473" s="40"/>
      <c r="K473" s="36"/>
      <c r="L473" s="36"/>
      <c r="M473" s="40"/>
      <c r="N473" s="23"/>
      <c r="O473" s="36"/>
      <c r="P473" s="40"/>
      <c r="Q473" s="36"/>
      <c r="R473" s="36"/>
      <c r="S473" s="40"/>
      <c r="T473" s="23"/>
      <c r="U473" s="23"/>
      <c r="V473" s="40"/>
      <c r="W473" s="23"/>
      <c r="X473" s="23"/>
      <c r="Y473" s="40"/>
      <c r="Z473" s="23"/>
      <c r="AA473" s="23"/>
      <c r="AB473" s="40"/>
      <c r="AC473" s="42"/>
      <c r="AD473" s="42"/>
      <c r="AE473" s="40"/>
      <c r="AF473" s="42"/>
      <c r="AG473" s="42"/>
      <c r="AH473" s="23"/>
      <c r="AI473" s="42"/>
      <c r="AJ473" s="42"/>
      <c r="AK473" s="40"/>
      <c r="AL473" s="84"/>
      <c r="AM473" s="84"/>
      <c r="AN473" s="40"/>
      <c r="AO473" s="23"/>
    </row>
    <row r="474" spans="1:41" ht="15.75" x14ac:dyDescent="0.25">
      <c r="A474" s="44"/>
      <c r="B474" s="23"/>
      <c r="C474" s="23"/>
      <c r="D474" s="36"/>
      <c r="E474" s="23"/>
      <c r="F474" s="23"/>
      <c r="G474" s="40"/>
      <c r="H474" s="23"/>
      <c r="I474" s="23"/>
      <c r="J474" s="40"/>
      <c r="K474" s="36"/>
      <c r="L474" s="36"/>
      <c r="M474" s="40"/>
      <c r="N474" s="23"/>
      <c r="O474" s="36"/>
      <c r="P474" s="40"/>
      <c r="Q474" s="36"/>
      <c r="R474" s="36"/>
      <c r="S474" s="40"/>
      <c r="T474" s="23"/>
      <c r="U474" s="23"/>
      <c r="V474" s="40"/>
      <c r="W474" s="23"/>
      <c r="X474" s="23"/>
      <c r="Y474" s="40"/>
      <c r="Z474" s="23"/>
      <c r="AA474" s="23"/>
      <c r="AB474" s="40"/>
      <c r="AC474" s="42"/>
      <c r="AD474" s="42"/>
      <c r="AE474" s="40"/>
      <c r="AF474" s="42"/>
      <c r="AG474" s="42"/>
      <c r="AH474" s="23"/>
      <c r="AI474" s="42"/>
      <c r="AJ474" s="42"/>
      <c r="AK474" s="40"/>
      <c r="AL474" s="84"/>
      <c r="AM474" s="84"/>
      <c r="AN474" s="40"/>
      <c r="AO474" s="23"/>
    </row>
    <row r="475" spans="1:41" ht="15.75" x14ac:dyDescent="0.25">
      <c r="A475" s="44"/>
      <c r="B475" s="23"/>
      <c r="C475" s="23"/>
      <c r="D475" s="36"/>
      <c r="E475" s="23"/>
      <c r="F475" s="23"/>
      <c r="G475" s="40"/>
      <c r="H475" s="23"/>
      <c r="I475" s="23"/>
      <c r="J475" s="40"/>
      <c r="K475" s="36"/>
      <c r="L475" s="36"/>
      <c r="M475" s="40"/>
      <c r="N475" s="23"/>
      <c r="O475" s="36"/>
      <c r="P475" s="40"/>
      <c r="Q475" s="36"/>
      <c r="R475" s="36"/>
      <c r="S475" s="40"/>
      <c r="T475" s="23"/>
      <c r="U475" s="23"/>
      <c r="V475" s="40"/>
      <c r="W475" s="23"/>
      <c r="X475" s="23"/>
      <c r="Y475" s="40"/>
      <c r="Z475" s="23"/>
      <c r="AA475" s="23"/>
      <c r="AB475" s="40"/>
      <c r="AC475" s="42"/>
      <c r="AD475" s="42"/>
      <c r="AE475" s="40"/>
      <c r="AF475" s="42"/>
      <c r="AG475" s="42"/>
      <c r="AH475" s="23"/>
      <c r="AI475" s="42"/>
      <c r="AJ475" s="42"/>
      <c r="AK475" s="40"/>
      <c r="AL475" s="84"/>
      <c r="AM475" s="84"/>
      <c r="AN475" s="40"/>
      <c r="AO475" s="23"/>
    </row>
    <row r="476" spans="1:41" ht="15.75" x14ac:dyDescent="0.25">
      <c r="A476" s="44"/>
      <c r="B476" s="23"/>
      <c r="C476" s="23"/>
      <c r="D476" s="36"/>
      <c r="E476" s="23"/>
      <c r="F476" s="23"/>
      <c r="G476" s="40"/>
      <c r="H476" s="23"/>
      <c r="I476" s="23"/>
      <c r="J476" s="40"/>
      <c r="K476" s="36"/>
      <c r="L476" s="36"/>
      <c r="M476" s="40"/>
      <c r="N476" s="23"/>
      <c r="O476" s="36"/>
      <c r="P476" s="40"/>
      <c r="Q476" s="36"/>
      <c r="R476" s="36"/>
      <c r="S476" s="40"/>
      <c r="T476" s="23"/>
      <c r="U476" s="23"/>
      <c r="V476" s="40"/>
      <c r="W476" s="23"/>
      <c r="X476" s="23"/>
      <c r="Y476" s="40"/>
      <c r="Z476" s="23"/>
      <c r="AA476" s="23"/>
      <c r="AB476" s="40"/>
      <c r="AC476" s="42"/>
      <c r="AD476" s="42"/>
      <c r="AE476" s="40"/>
      <c r="AF476" s="42"/>
      <c r="AG476" s="42"/>
      <c r="AH476" s="23"/>
      <c r="AI476" s="42"/>
      <c r="AJ476" s="42"/>
      <c r="AK476" s="40"/>
      <c r="AL476" s="84"/>
      <c r="AM476" s="84"/>
      <c r="AN476" s="40"/>
      <c r="AO476" s="23"/>
    </row>
    <row r="477" spans="1:41" ht="15.75" x14ac:dyDescent="0.25">
      <c r="A477" s="44"/>
      <c r="B477" s="23"/>
      <c r="C477" s="23"/>
      <c r="D477" s="36"/>
      <c r="E477" s="23"/>
      <c r="F477" s="23"/>
      <c r="G477" s="40"/>
      <c r="H477" s="23"/>
      <c r="I477" s="23"/>
      <c r="J477" s="40"/>
      <c r="K477" s="36"/>
      <c r="L477" s="36"/>
      <c r="M477" s="40"/>
      <c r="N477" s="23"/>
      <c r="O477" s="36"/>
      <c r="P477" s="40"/>
      <c r="Q477" s="36"/>
      <c r="R477" s="36"/>
      <c r="S477" s="40"/>
      <c r="T477" s="23"/>
      <c r="U477" s="23"/>
      <c r="V477" s="40"/>
      <c r="W477" s="23"/>
      <c r="X477" s="23"/>
      <c r="Y477" s="40"/>
      <c r="Z477" s="23"/>
      <c r="AA477" s="23"/>
      <c r="AB477" s="40"/>
      <c r="AC477" s="42"/>
      <c r="AD477" s="42"/>
      <c r="AE477" s="40"/>
      <c r="AF477" s="42"/>
      <c r="AG477" s="42"/>
      <c r="AH477" s="23"/>
      <c r="AI477" s="42"/>
      <c r="AJ477" s="42"/>
      <c r="AK477" s="40"/>
      <c r="AL477" s="84"/>
      <c r="AM477" s="84"/>
      <c r="AN477" s="40"/>
      <c r="AO477" s="23"/>
    </row>
    <row r="478" spans="1:41" ht="15.75" x14ac:dyDescent="0.25">
      <c r="A478" s="44"/>
      <c r="B478" s="23"/>
      <c r="C478" s="23"/>
      <c r="D478" s="36"/>
      <c r="E478" s="23"/>
      <c r="F478" s="23"/>
      <c r="G478" s="40"/>
      <c r="H478" s="23"/>
      <c r="I478" s="23"/>
      <c r="J478" s="40"/>
      <c r="K478" s="36"/>
      <c r="L478" s="36"/>
      <c r="M478" s="40"/>
      <c r="N478" s="23"/>
      <c r="O478" s="36"/>
      <c r="P478" s="40"/>
      <c r="Q478" s="36"/>
      <c r="R478" s="36"/>
      <c r="S478" s="40"/>
      <c r="T478" s="23"/>
      <c r="U478" s="23"/>
      <c r="V478" s="40"/>
      <c r="W478" s="23"/>
      <c r="X478" s="23"/>
      <c r="Y478" s="40"/>
      <c r="Z478" s="23"/>
      <c r="AA478" s="23"/>
      <c r="AB478" s="40"/>
      <c r="AC478" s="42"/>
      <c r="AD478" s="42"/>
      <c r="AE478" s="40"/>
      <c r="AF478" s="42"/>
      <c r="AG478" s="42"/>
      <c r="AH478" s="23"/>
      <c r="AI478" s="42"/>
      <c r="AJ478" s="42"/>
      <c r="AK478" s="40"/>
      <c r="AL478" s="84"/>
      <c r="AM478" s="84"/>
      <c r="AN478" s="40"/>
      <c r="AO478" s="23"/>
    </row>
    <row r="479" spans="1:41" ht="15.75" x14ac:dyDescent="0.25">
      <c r="A479" s="44"/>
      <c r="B479" s="23"/>
      <c r="C479" s="23"/>
      <c r="D479" s="36"/>
      <c r="E479" s="23"/>
      <c r="F479" s="23"/>
      <c r="G479" s="40"/>
      <c r="H479" s="23"/>
      <c r="I479" s="23"/>
      <c r="J479" s="40"/>
      <c r="K479" s="36"/>
      <c r="L479" s="36"/>
      <c r="M479" s="40"/>
      <c r="N479" s="23"/>
      <c r="O479" s="36"/>
      <c r="P479" s="40"/>
      <c r="Q479" s="36"/>
      <c r="R479" s="36"/>
      <c r="S479" s="40"/>
      <c r="T479" s="23"/>
      <c r="U479" s="23"/>
      <c r="V479" s="40"/>
      <c r="W479" s="23"/>
      <c r="X479" s="23"/>
      <c r="Y479" s="40"/>
      <c r="Z479" s="23"/>
      <c r="AA479" s="23"/>
      <c r="AB479" s="40"/>
      <c r="AC479" s="42"/>
      <c r="AD479" s="42"/>
      <c r="AE479" s="40"/>
      <c r="AF479" s="42"/>
      <c r="AG479" s="42"/>
      <c r="AH479" s="23"/>
      <c r="AI479" s="42"/>
      <c r="AJ479" s="42"/>
      <c r="AK479" s="40"/>
      <c r="AL479" s="84"/>
      <c r="AM479" s="84"/>
      <c r="AN479" s="40"/>
      <c r="AO479" s="23"/>
    </row>
    <row r="480" spans="1:41" ht="15.75" x14ac:dyDescent="0.25">
      <c r="A480" s="44"/>
      <c r="B480" s="23"/>
      <c r="C480" s="23"/>
      <c r="D480" s="36"/>
      <c r="E480" s="23"/>
      <c r="F480" s="23"/>
      <c r="G480" s="40"/>
      <c r="H480" s="23"/>
      <c r="I480" s="23"/>
      <c r="J480" s="40"/>
      <c r="K480" s="36"/>
      <c r="L480" s="36"/>
      <c r="M480" s="40"/>
      <c r="N480" s="23"/>
      <c r="O480" s="36"/>
      <c r="P480" s="40"/>
      <c r="Q480" s="36"/>
      <c r="R480" s="36"/>
      <c r="S480" s="40"/>
      <c r="T480" s="23"/>
      <c r="U480" s="23"/>
      <c r="V480" s="40"/>
      <c r="W480" s="23"/>
      <c r="X480" s="23"/>
      <c r="Y480" s="40"/>
      <c r="Z480" s="23"/>
      <c r="AA480" s="23"/>
      <c r="AB480" s="40"/>
      <c r="AC480" s="42"/>
      <c r="AD480" s="42"/>
      <c r="AE480" s="40"/>
      <c r="AF480" s="42"/>
      <c r="AG480" s="42"/>
      <c r="AH480" s="23"/>
      <c r="AI480" s="42"/>
      <c r="AJ480" s="42"/>
      <c r="AK480" s="40"/>
      <c r="AL480" s="84"/>
      <c r="AM480" s="84"/>
      <c r="AN480" s="40"/>
      <c r="AO480" s="23"/>
    </row>
    <row r="481" spans="1:41" ht="15.75" x14ac:dyDescent="0.25">
      <c r="A481" s="44"/>
      <c r="B481" s="23"/>
      <c r="C481" s="23"/>
      <c r="D481" s="36"/>
      <c r="E481" s="23"/>
      <c r="F481" s="23"/>
      <c r="G481" s="40"/>
      <c r="H481" s="23"/>
      <c r="I481" s="23"/>
      <c r="J481" s="40"/>
      <c r="K481" s="36"/>
      <c r="L481" s="36"/>
      <c r="M481" s="40"/>
      <c r="N481" s="23"/>
      <c r="O481" s="36"/>
      <c r="P481" s="40"/>
      <c r="Q481" s="36"/>
      <c r="R481" s="36"/>
      <c r="S481" s="40"/>
      <c r="T481" s="23"/>
      <c r="U481" s="23"/>
      <c r="V481" s="40"/>
      <c r="W481" s="23"/>
      <c r="X481" s="23"/>
      <c r="Y481" s="40"/>
      <c r="Z481" s="23"/>
      <c r="AA481" s="23"/>
      <c r="AB481" s="40"/>
      <c r="AC481" s="42"/>
      <c r="AD481" s="42"/>
      <c r="AE481" s="40"/>
      <c r="AF481" s="42"/>
      <c r="AG481" s="42"/>
      <c r="AH481" s="23"/>
      <c r="AI481" s="42"/>
      <c r="AJ481" s="42"/>
      <c r="AK481" s="40"/>
      <c r="AL481" s="84"/>
      <c r="AM481" s="84"/>
      <c r="AN481" s="40"/>
      <c r="AO481" s="23"/>
    </row>
    <row r="482" spans="1:41" ht="15.75" x14ac:dyDescent="0.25">
      <c r="A482" s="44"/>
      <c r="B482" s="23"/>
      <c r="C482" s="23"/>
      <c r="D482" s="36"/>
      <c r="E482" s="23"/>
      <c r="F482" s="23"/>
      <c r="G482" s="40"/>
      <c r="H482" s="23"/>
      <c r="I482" s="23"/>
      <c r="J482" s="40"/>
      <c r="K482" s="36"/>
      <c r="L482" s="36"/>
      <c r="M482" s="40"/>
      <c r="N482" s="23"/>
      <c r="O482" s="36"/>
      <c r="P482" s="40"/>
      <c r="Q482" s="36"/>
      <c r="R482" s="36"/>
      <c r="S482" s="40"/>
      <c r="T482" s="23"/>
      <c r="U482" s="23"/>
      <c r="V482" s="40"/>
      <c r="W482" s="23"/>
      <c r="X482" s="23"/>
      <c r="Y482" s="40"/>
      <c r="Z482" s="23"/>
      <c r="AA482" s="23"/>
      <c r="AB482" s="40"/>
      <c r="AC482" s="42"/>
      <c r="AD482" s="42"/>
      <c r="AE482" s="40"/>
      <c r="AF482" s="42"/>
      <c r="AG482" s="42"/>
      <c r="AH482" s="23"/>
      <c r="AI482" s="42"/>
      <c r="AJ482" s="42"/>
      <c r="AK482" s="40"/>
      <c r="AL482" s="84"/>
      <c r="AM482" s="84"/>
      <c r="AN482" s="40"/>
      <c r="AO482" s="23"/>
    </row>
    <row r="483" spans="1:41" ht="15.75" x14ac:dyDescent="0.25">
      <c r="A483" s="44"/>
      <c r="B483" s="23"/>
      <c r="C483" s="23"/>
      <c r="D483" s="36"/>
      <c r="E483" s="23"/>
      <c r="F483" s="23"/>
      <c r="G483" s="40"/>
      <c r="H483" s="23"/>
      <c r="I483" s="23"/>
      <c r="J483" s="40"/>
      <c r="K483" s="36"/>
      <c r="L483" s="36"/>
      <c r="M483" s="40"/>
      <c r="N483" s="23"/>
      <c r="O483" s="36"/>
      <c r="P483" s="40"/>
      <c r="Q483" s="36"/>
      <c r="R483" s="36"/>
      <c r="S483" s="40"/>
      <c r="T483" s="23"/>
      <c r="U483" s="23"/>
      <c r="V483" s="40"/>
      <c r="W483" s="23"/>
      <c r="X483" s="23"/>
      <c r="Y483" s="40"/>
      <c r="Z483" s="23"/>
      <c r="AA483" s="23"/>
      <c r="AB483" s="40"/>
      <c r="AC483" s="42"/>
      <c r="AD483" s="42"/>
      <c r="AE483" s="40"/>
      <c r="AF483" s="42"/>
      <c r="AG483" s="42"/>
      <c r="AH483" s="23"/>
      <c r="AI483" s="42"/>
      <c r="AJ483" s="42"/>
      <c r="AK483" s="40"/>
      <c r="AL483" s="84"/>
      <c r="AM483" s="84"/>
      <c r="AN483" s="40"/>
      <c r="AO483" s="23"/>
    </row>
    <row r="484" spans="1:41" ht="15.75" x14ac:dyDescent="0.25">
      <c r="A484" s="44"/>
      <c r="B484" s="23"/>
      <c r="C484" s="23"/>
      <c r="D484" s="36"/>
      <c r="E484" s="23"/>
      <c r="F484" s="23"/>
      <c r="G484" s="40"/>
      <c r="H484" s="23"/>
      <c r="I484" s="23"/>
      <c r="J484" s="40"/>
      <c r="K484" s="36"/>
      <c r="L484" s="36"/>
      <c r="M484" s="40"/>
      <c r="N484" s="23"/>
      <c r="O484" s="36"/>
      <c r="P484" s="40"/>
      <c r="Q484" s="36"/>
      <c r="R484" s="36"/>
      <c r="S484" s="40"/>
      <c r="T484" s="23"/>
      <c r="U484" s="23"/>
      <c r="V484" s="40"/>
      <c r="W484" s="23"/>
      <c r="X484" s="23"/>
      <c r="Y484" s="40"/>
      <c r="Z484" s="23"/>
      <c r="AA484" s="23"/>
      <c r="AB484" s="40"/>
      <c r="AC484" s="42"/>
      <c r="AD484" s="42"/>
      <c r="AE484" s="40"/>
      <c r="AF484" s="42"/>
      <c r="AG484" s="42"/>
      <c r="AH484" s="23"/>
      <c r="AI484" s="42"/>
      <c r="AJ484" s="42"/>
      <c r="AK484" s="40"/>
      <c r="AL484" s="84"/>
      <c r="AM484" s="84"/>
      <c r="AN484" s="40"/>
      <c r="AO484" s="23"/>
    </row>
    <row r="485" spans="1:41" ht="15.75" x14ac:dyDescent="0.25">
      <c r="A485" s="44"/>
      <c r="B485" s="23"/>
      <c r="C485" s="23"/>
      <c r="D485" s="36"/>
      <c r="E485" s="23"/>
      <c r="F485" s="23"/>
      <c r="G485" s="40"/>
      <c r="H485" s="23"/>
      <c r="I485" s="23"/>
      <c r="J485" s="40"/>
      <c r="K485" s="36"/>
      <c r="L485" s="36"/>
      <c r="M485" s="40"/>
      <c r="N485" s="23"/>
      <c r="O485" s="36"/>
      <c r="P485" s="40"/>
      <c r="Q485" s="36"/>
      <c r="R485" s="36"/>
      <c r="S485" s="40"/>
      <c r="T485" s="23"/>
      <c r="U485" s="23"/>
      <c r="V485" s="40"/>
      <c r="W485" s="23"/>
      <c r="X485" s="23"/>
      <c r="Y485" s="40"/>
      <c r="Z485" s="23"/>
      <c r="AA485" s="23"/>
      <c r="AB485" s="40"/>
      <c r="AC485" s="42"/>
      <c r="AD485" s="42"/>
      <c r="AE485" s="40"/>
      <c r="AF485" s="42"/>
      <c r="AG485" s="42"/>
      <c r="AH485" s="23"/>
      <c r="AI485" s="42"/>
      <c r="AJ485" s="42"/>
      <c r="AK485" s="40"/>
      <c r="AL485" s="84"/>
      <c r="AM485" s="84"/>
      <c r="AN485" s="40"/>
      <c r="AO485" s="23"/>
    </row>
    <row r="486" spans="1:41" ht="15.75" x14ac:dyDescent="0.25">
      <c r="A486" s="44"/>
      <c r="B486" s="23"/>
      <c r="C486" s="23"/>
      <c r="D486" s="36"/>
      <c r="E486" s="23"/>
      <c r="F486" s="23"/>
      <c r="G486" s="40"/>
      <c r="H486" s="23"/>
      <c r="I486" s="23"/>
      <c r="J486" s="40"/>
      <c r="K486" s="36"/>
      <c r="L486" s="36"/>
      <c r="M486" s="40"/>
      <c r="N486" s="23"/>
      <c r="O486" s="36"/>
      <c r="P486" s="40"/>
      <c r="Q486" s="36"/>
      <c r="R486" s="36"/>
      <c r="S486" s="40"/>
      <c r="T486" s="23"/>
      <c r="U486" s="23"/>
      <c r="V486" s="40"/>
      <c r="W486" s="23"/>
      <c r="X486" s="23"/>
      <c r="Y486" s="40"/>
      <c r="Z486" s="23"/>
      <c r="AA486" s="23"/>
      <c r="AB486" s="40"/>
      <c r="AC486" s="42"/>
      <c r="AD486" s="42"/>
      <c r="AE486" s="40"/>
      <c r="AF486" s="42"/>
      <c r="AG486" s="42"/>
      <c r="AH486" s="23"/>
      <c r="AI486" s="42"/>
      <c r="AJ486" s="42"/>
      <c r="AK486" s="40"/>
      <c r="AL486" s="84"/>
      <c r="AM486" s="84"/>
      <c r="AN486" s="40"/>
      <c r="AO486" s="23"/>
    </row>
    <row r="487" spans="1:41" ht="15.75" x14ac:dyDescent="0.25">
      <c r="A487" s="44"/>
      <c r="B487" s="23"/>
      <c r="C487" s="23"/>
      <c r="D487" s="36"/>
      <c r="E487" s="23"/>
      <c r="F487" s="23"/>
      <c r="G487" s="40"/>
      <c r="H487" s="23"/>
      <c r="I487" s="23"/>
      <c r="J487" s="40"/>
      <c r="K487" s="36"/>
      <c r="L487" s="36"/>
      <c r="M487" s="40"/>
      <c r="N487" s="23"/>
      <c r="O487" s="36"/>
      <c r="P487" s="40"/>
      <c r="Q487" s="36"/>
      <c r="R487" s="36"/>
      <c r="S487" s="40"/>
      <c r="T487" s="23"/>
      <c r="U487" s="23"/>
      <c r="V487" s="40"/>
      <c r="W487" s="23"/>
      <c r="X487" s="23"/>
      <c r="Y487" s="40"/>
      <c r="Z487" s="23"/>
      <c r="AA487" s="23"/>
      <c r="AB487" s="40"/>
      <c r="AC487" s="42"/>
      <c r="AD487" s="42"/>
      <c r="AE487" s="40"/>
      <c r="AF487" s="42"/>
      <c r="AG487" s="42"/>
      <c r="AH487" s="23"/>
      <c r="AI487" s="42"/>
      <c r="AJ487" s="42"/>
      <c r="AK487" s="40"/>
      <c r="AL487" s="84"/>
      <c r="AM487" s="84"/>
      <c r="AN487" s="40"/>
      <c r="AO487" s="23"/>
    </row>
    <row r="488" spans="1:41" ht="15.75" x14ac:dyDescent="0.25">
      <c r="A488" s="44"/>
      <c r="B488" s="23"/>
      <c r="C488" s="23"/>
      <c r="D488" s="36"/>
      <c r="E488" s="23"/>
      <c r="F488" s="23"/>
      <c r="G488" s="40"/>
      <c r="H488" s="23"/>
      <c r="I488" s="23"/>
      <c r="J488" s="40"/>
      <c r="K488" s="36"/>
      <c r="L488" s="36"/>
      <c r="M488" s="40"/>
      <c r="N488" s="23"/>
      <c r="O488" s="36"/>
      <c r="P488" s="40"/>
      <c r="Q488" s="36"/>
      <c r="R488" s="36"/>
      <c r="S488" s="40"/>
      <c r="T488" s="23"/>
      <c r="U488" s="23"/>
      <c r="V488" s="40"/>
      <c r="W488" s="23"/>
      <c r="X488" s="23"/>
      <c r="Y488" s="40"/>
      <c r="Z488" s="23"/>
      <c r="AA488" s="23"/>
      <c r="AB488" s="40"/>
      <c r="AC488" s="42"/>
      <c r="AD488" s="42"/>
      <c r="AE488" s="40"/>
      <c r="AF488" s="42"/>
      <c r="AG488" s="42"/>
      <c r="AH488" s="23"/>
      <c r="AI488" s="42"/>
      <c r="AJ488" s="42"/>
      <c r="AK488" s="40"/>
      <c r="AL488" s="84"/>
      <c r="AM488" s="84"/>
      <c r="AN488" s="40"/>
      <c r="AO488" s="23"/>
    </row>
    <row r="489" spans="1:41" ht="15.75" x14ac:dyDescent="0.25">
      <c r="A489" s="44"/>
      <c r="B489" s="23"/>
      <c r="C489" s="23"/>
      <c r="D489" s="36"/>
      <c r="E489" s="23"/>
      <c r="F489" s="23"/>
      <c r="G489" s="40"/>
      <c r="H489" s="23"/>
      <c r="I489" s="23"/>
      <c r="J489" s="40"/>
      <c r="K489" s="36"/>
      <c r="L489" s="36"/>
      <c r="M489" s="40"/>
      <c r="N489" s="23"/>
      <c r="O489" s="36"/>
      <c r="P489" s="40"/>
      <c r="Q489" s="36"/>
      <c r="R489" s="36"/>
      <c r="S489" s="40"/>
      <c r="T489" s="23"/>
      <c r="U489" s="23"/>
      <c r="V489" s="40"/>
      <c r="W489" s="23"/>
      <c r="X489" s="23"/>
      <c r="Y489" s="40"/>
      <c r="Z489" s="23"/>
      <c r="AA489" s="23"/>
      <c r="AB489" s="40"/>
      <c r="AC489" s="42"/>
      <c r="AD489" s="42"/>
      <c r="AE489" s="40"/>
      <c r="AF489" s="42"/>
      <c r="AG489" s="42"/>
      <c r="AH489" s="23"/>
      <c r="AI489" s="42"/>
      <c r="AJ489" s="42"/>
      <c r="AK489" s="40"/>
      <c r="AL489" s="84"/>
      <c r="AM489" s="84"/>
      <c r="AN489" s="40"/>
      <c r="AO489" s="23"/>
    </row>
    <row r="490" spans="1:41" ht="15.75" x14ac:dyDescent="0.25">
      <c r="A490" s="44"/>
      <c r="B490" s="23"/>
      <c r="C490" s="23"/>
      <c r="D490" s="36"/>
      <c r="E490" s="23"/>
      <c r="F490" s="23"/>
      <c r="G490" s="40"/>
      <c r="H490" s="23"/>
      <c r="I490" s="23"/>
      <c r="J490" s="40"/>
      <c r="K490" s="36"/>
      <c r="L490" s="36"/>
      <c r="M490" s="40"/>
      <c r="N490" s="23"/>
      <c r="O490" s="36"/>
      <c r="P490" s="40"/>
      <c r="Q490" s="36"/>
      <c r="R490" s="36"/>
      <c r="S490" s="40"/>
      <c r="T490" s="23"/>
      <c r="U490" s="23"/>
      <c r="V490" s="40"/>
      <c r="W490" s="23"/>
      <c r="X490" s="23"/>
      <c r="Y490" s="40"/>
      <c r="Z490" s="23"/>
      <c r="AA490" s="23"/>
      <c r="AB490" s="40"/>
      <c r="AC490" s="42"/>
      <c r="AD490" s="42"/>
      <c r="AE490" s="40"/>
      <c r="AF490" s="42"/>
      <c r="AG490" s="42"/>
      <c r="AH490" s="23"/>
      <c r="AI490" s="42"/>
      <c r="AJ490" s="42"/>
      <c r="AK490" s="40"/>
      <c r="AL490" s="84"/>
      <c r="AM490" s="84"/>
      <c r="AN490" s="40"/>
      <c r="AO490" s="23"/>
    </row>
    <row r="491" spans="1:41" ht="15.75" x14ac:dyDescent="0.25">
      <c r="A491" s="44"/>
      <c r="B491" s="23"/>
      <c r="C491" s="23"/>
      <c r="D491" s="36"/>
      <c r="E491" s="23"/>
      <c r="F491" s="23"/>
      <c r="G491" s="40"/>
      <c r="H491" s="23"/>
      <c r="I491" s="23"/>
      <c r="J491" s="40"/>
      <c r="K491" s="36"/>
      <c r="L491" s="36"/>
      <c r="M491" s="40"/>
      <c r="N491" s="23"/>
      <c r="O491" s="36"/>
      <c r="P491" s="40"/>
      <c r="Q491" s="36"/>
      <c r="R491" s="36"/>
      <c r="S491" s="40"/>
      <c r="T491" s="23"/>
      <c r="U491" s="23"/>
      <c r="V491" s="40"/>
      <c r="W491" s="23"/>
      <c r="X491" s="23"/>
      <c r="Y491" s="40"/>
      <c r="Z491" s="23"/>
      <c r="AA491" s="23"/>
      <c r="AB491" s="40"/>
      <c r="AC491" s="42"/>
      <c r="AD491" s="42"/>
      <c r="AE491" s="40"/>
      <c r="AF491" s="42"/>
      <c r="AG491" s="42"/>
      <c r="AH491" s="23"/>
      <c r="AI491" s="42"/>
      <c r="AJ491" s="42"/>
      <c r="AK491" s="40"/>
      <c r="AL491" s="84"/>
      <c r="AM491" s="84"/>
      <c r="AN491" s="40"/>
      <c r="AO491" s="23"/>
    </row>
    <row r="492" spans="1:41" ht="15.75" x14ac:dyDescent="0.25">
      <c r="A492" s="44"/>
      <c r="B492" s="23"/>
      <c r="C492" s="23"/>
      <c r="D492" s="36"/>
      <c r="E492" s="23"/>
      <c r="F492" s="23"/>
      <c r="G492" s="40"/>
      <c r="H492" s="23"/>
      <c r="I492" s="23"/>
      <c r="J492" s="40"/>
      <c r="K492" s="36"/>
      <c r="L492" s="36"/>
      <c r="M492" s="40"/>
      <c r="N492" s="23"/>
      <c r="O492" s="36"/>
      <c r="P492" s="40"/>
      <c r="Q492" s="36"/>
      <c r="R492" s="36"/>
      <c r="S492" s="40"/>
      <c r="T492" s="23"/>
      <c r="U492" s="23"/>
      <c r="V492" s="40"/>
      <c r="W492" s="23"/>
      <c r="X492" s="23"/>
      <c r="Y492" s="40"/>
      <c r="Z492" s="23"/>
      <c r="AA492" s="23"/>
      <c r="AB492" s="40"/>
      <c r="AC492" s="42"/>
      <c r="AD492" s="42"/>
      <c r="AE492" s="40"/>
      <c r="AF492" s="42"/>
      <c r="AG492" s="42"/>
      <c r="AH492" s="23"/>
      <c r="AI492" s="42"/>
      <c r="AJ492" s="42"/>
      <c r="AK492" s="40"/>
      <c r="AL492" s="84"/>
      <c r="AM492" s="84"/>
      <c r="AN492" s="40"/>
      <c r="AO492" s="23"/>
    </row>
    <row r="493" spans="1:41" ht="15.75" x14ac:dyDescent="0.25">
      <c r="A493" s="44"/>
      <c r="B493" s="23"/>
      <c r="C493" s="23"/>
      <c r="D493" s="36"/>
      <c r="E493" s="23"/>
      <c r="F493" s="23"/>
      <c r="G493" s="40"/>
      <c r="H493" s="23"/>
      <c r="I493" s="23"/>
      <c r="J493" s="40"/>
      <c r="K493" s="36"/>
      <c r="L493" s="36"/>
      <c r="M493" s="40"/>
      <c r="N493" s="23"/>
      <c r="O493" s="36"/>
      <c r="P493" s="40"/>
      <c r="Q493" s="36"/>
      <c r="R493" s="36"/>
      <c r="S493" s="40"/>
      <c r="T493" s="23"/>
      <c r="U493" s="23"/>
      <c r="V493" s="40"/>
      <c r="W493" s="23"/>
      <c r="X493" s="23"/>
      <c r="Y493" s="40"/>
      <c r="Z493" s="23"/>
      <c r="AA493" s="23"/>
      <c r="AB493" s="40"/>
      <c r="AC493" s="42"/>
      <c r="AD493" s="42"/>
      <c r="AE493" s="40"/>
      <c r="AF493" s="42"/>
      <c r="AG493" s="42"/>
      <c r="AH493" s="23"/>
      <c r="AI493" s="42"/>
      <c r="AJ493" s="42"/>
      <c r="AK493" s="40"/>
      <c r="AL493" s="84"/>
      <c r="AM493" s="84"/>
      <c r="AN493" s="40"/>
      <c r="AO493" s="23"/>
    </row>
    <row r="494" spans="1:41" ht="15.75" x14ac:dyDescent="0.25">
      <c r="A494" s="44"/>
      <c r="B494" s="23"/>
      <c r="C494" s="23"/>
      <c r="D494" s="36"/>
      <c r="E494" s="23"/>
      <c r="F494" s="23"/>
      <c r="G494" s="40"/>
      <c r="H494" s="23"/>
      <c r="I494" s="23"/>
      <c r="J494" s="40"/>
      <c r="K494" s="36"/>
      <c r="L494" s="36"/>
      <c r="M494" s="40"/>
      <c r="N494" s="23"/>
      <c r="O494" s="36"/>
      <c r="P494" s="40"/>
      <c r="Q494" s="36"/>
      <c r="R494" s="36"/>
      <c r="S494" s="40"/>
      <c r="T494" s="23"/>
      <c r="U494" s="23"/>
      <c r="V494" s="40"/>
      <c r="W494" s="23"/>
      <c r="X494" s="23"/>
      <c r="Y494" s="40"/>
      <c r="Z494" s="23"/>
      <c r="AA494" s="23"/>
      <c r="AB494" s="40"/>
      <c r="AC494" s="42"/>
      <c r="AD494" s="42"/>
      <c r="AE494" s="40"/>
      <c r="AF494" s="42"/>
      <c r="AG494" s="42"/>
      <c r="AH494" s="23"/>
      <c r="AI494" s="42"/>
      <c r="AJ494" s="42"/>
      <c r="AK494" s="40"/>
      <c r="AL494" s="84"/>
      <c r="AM494" s="84"/>
      <c r="AN494" s="40"/>
      <c r="AO494" s="23"/>
    </row>
    <row r="495" spans="1:41" ht="15.75" x14ac:dyDescent="0.25">
      <c r="A495" s="44"/>
      <c r="B495" s="23"/>
      <c r="C495" s="23"/>
      <c r="D495" s="36"/>
      <c r="E495" s="23"/>
      <c r="F495" s="23"/>
      <c r="G495" s="40"/>
      <c r="H495" s="23"/>
      <c r="I495" s="23"/>
      <c r="J495" s="40"/>
      <c r="K495" s="36"/>
      <c r="L495" s="36"/>
      <c r="M495" s="40"/>
      <c r="N495" s="23"/>
      <c r="O495" s="36"/>
      <c r="P495" s="40"/>
      <c r="Q495" s="36"/>
      <c r="R495" s="36"/>
      <c r="S495" s="40"/>
      <c r="T495" s="23"/>
      <c r="U495" s="23"/>
      <c r="V495" s="40"/>
      <c r="W495" s="23"/>
      <c r="X495" s="23"/>
      <c r="Y495" s="40"/>
      <c r="Z495" s="23"/>
      <c r="AA495" s="23"/>
      <c r="AB495" s="40"/>
      <c r="AC495" s="42"/>
      <c r="AD495" s="42"/>
      <c r="AE495" s="40"/>
      <c r="AF495" s="42"/>
      <c r="AG495" s="42"/>
      <c r="AH495" s="23"/>
      <c r="AI495" s="42"/>
      <c r="AJ495" s="42"/>
      <c r="AK495" s="40"/>
      <c r="AL495" s="84"/>
      <c r="AM495" s="84"/>
      <c r="AN495" s="40"/>
      <c r="AO495" s="23"/>
    </row>
    <row r="496" spans="1:41" ht="15.75" x14ac:dyDescent="0.25">
      <c r="A496" s="44"/>
      <c r="B496" s="23"/>
      <c r="C496" s="23"/>
      <c r="D496" s="36"/>
      <c r="E496" s="23"/>
      <c r="F496" s="23"/>
      <c r="G496" s="40"/>
      <c r="H496" s="23"/>
      <c r="I496" s="23"/>
      <c r="J496" s="40"/>
      <c r="K496" s="36"/>
      <c r="L496" s="36"/>
      <c r="M496" s="40"/>
      <c r="N496" s="23"/>
      <c r="O496" s="36"/>
      <c r="P496" s="40"/>
      <c r="Q496" s="36"/>
      <c r="R496" s="36"/>
      <c r="S496" s="40"/>
      <c r="T496" s="23"/>
      <c r="U496" s="23"/>
      <c r="V496" s="40"/>
      <c r="W496" s="23"/>
      <c r="X496" s="23"/>
      <c r="Y496" s="40"/>
      <c r="Z496" s="23"/>
      <c r="AA496" s="23"/>
      <c r="AB496" s="40"/>
      <c r="AC496" s="42"/>
      <c r="AD496" s="42"/>
      <c r="AE496" s="40"/>
      <c r="AF496" s="42"/>
      <c r="AG496" s="42"/>
      <c r="AH496" s="23"/>
      <c r="AI496" s="42"/>
      <c r="AJ496" s="42"/>
      <c r="AK496" s="40"/>
      <c r="AL496" s="84"/>
      <c r="AM496" s="84"/>
      <c r="AN496" s="40"/>
      <c r="AO496" s="23"/>
    </row>
    <row r="497" spans="1:41" ht="15.75" x14ac:dyDescent="0.25">
      <c r="A497" s="44"/>
      <c r="B497" s="23"/>
      <c r="C497" s="23"/>
      <c r="D497" s="36"/>
      <c r="E497" s="23"/>
      <c r="F497" s="23"/>
      <c r="G497" s="40"/>
      <c r="H497" s="23"/>
      <c r="I497" s="23"/>
      <c r="J497" s="40"/>
      <c r="K497" s="36"/>
      <c r="L497" s="36"/>
      <c r="M497" s="40"/>
      <c r="N497" s="23"/>
      <c r="O497" s="36"/>
      <c r="P497" s="40"/>
      <c r="Q497" s="36"/>
      <c r="R497" s="36"/>
      <c r="S497" s="40"/>
      <c r="T497" s="23"/>
      <c r="U497" s="23"/>
      <c r="V497" s="40"/>
      <c r="W497" s="23"/>
      <c r="X497" s="23"/>
      <c r="Y497" s="40"/>
      <c r="Z497" s="23"/>
      <c r="AA497" s="23"/>
      <c r="AB497" s="40"/>
      <c r="AC497" s="42"/>
      <c r="AD497" s="42"/>
      <c r="AE497" s="40"/>
      <c r="AF497" s="42"/>
      <c r="AG497" s="42"/>
      <c r="AH497" s="23"/>
      <c r="AI497" s="42"/>
      <c r="AJ497" s="42"/>
      <c r="AK497" s="40"/>
      <c r="AL497" s="84"/>
      <c r="AM497" s="84"/>
      <c r="AN497" s="40"/>
      <c r="AO497" s="23"/>
    </row>
    <row r="498" spans="1:41" ht="15.75" x14ac:dyDescent="0.25">
      <c r="A498" s="44"/>
      <c r="B498" s="23"/>
      <c r="C498" s="23"/>
      <c r="D498" s="36"/>
      <c r="E498" s="23"/>
      <c r="F498" s="23"/>
      <c r="G498" s="40"/>
      <c r="H498" s="23"/>
      <c r="I498" s="23"/>
      <c r="J498" s="40"/>
      <c r="K498" s="36"/>
      <c r="L498" s="36"/>
      <c r="M498" s="40"/>
      <c r="N498" s="23"/>
      <c r="O498" s="36"/>
      <c r="P498" s="40"/>
      <c r="Q498" s="36"/>
      <c r="R498" s="36"/>
      <c r="S498" s="40"/>
      <c r="T498" s="23"/>
      <c r="U498" s="23"/>
      <c r="V498" s="40"/>
      <c r="W498" s="23"/>
      <c r="X498" s="23"/>
      <c r="Y498" s="40"/>
      <c r="Z498" s="23"/>
      <c r="AA498" s="23"/>
      <c r="AB498" s="40"/>
      <c r="AC498" s="42"/>
      <c r="AD498" s="42"/>
      <c r="AE498" s="40"/>
      <c r="AF498" s="42"/>
      <c r="AG498" s="42"/>
      <c r="AH498" s="23"/>
      <c r="AI498" s="42"/>
      <c r="AJ498" s="42"/>
      <c r="AK498" s="40"/>
      <c r="AL498" s="84"/>
      <c r="AM498" s="84"/>
      <c r="AN498" s="40"/>
      <c r="AO498" s="23"/>
    </row>
    <row r="499" spans="1:41" ht="15.75" x14ac:dyDescent="0.25">
      <c r="A499" s="44"/>
      <c r="B499" s="23"/>
      <c r="C499" s="23"/>
      <c r="D499" s="36"/>
      <c r="E499" s="23"/>
      <c r="F499" s="23"/>
      <c r="G499" s="40"/>
      <c r="H499" s="23"/>
      <c r="I499" s="23"/>
      <c r="J499" s="40"/>
      <c r="K499" s="36"/>
      <c r="L499" s="36"/>
      <c r="M499" s="40"/>
      <c r="N499" s="23"/>
      <c r="O499" s="36"/>
      <c r="P499" s="40"/>
      <c r="Q499" s="36"/>
      <c r="R499" s="36"/>
      <c r="S499" s="40"/>
      <c r="T499" s="23"/>
      <c r="U499" s="23"/>
      <c r="V499" s="40"/>
      <c r="W499" s="23"/>
      <c r="X499" s="23"/>
      <c r="Y499" s="40"/>
      <c r="Z499" s="23"/>
      <c r="AA499" s="23"/>
      <c r="AB499" s="40"/>
      <c r="AC499" s="42"/>
      <c r="AD499" s="42"/>
      <c r="AE499" s="40"/>
      <c r="AF499" s="42"/>
      <c r="AG499" s="42"/>
      <c r="AH499" s="23"/>
      <c r="AI499" s="42"/>
      <c r="AJ499" s="42"/>
      <c r="AK499" s="40"/>
      <c r="AL499" s="84"/>
      <c r="AM499" s="84"/>
      <c r="AN499" s="40"/>
      <c r="AO499" s="23"/>
    </row>
    <row r="500" spans="1:41" ht="15.75" x14ac:dyDescent="0.25">
      <c r="A500" s="44"/>
      <c r="B500" s="23"/>
      <c r="C500" s="23"/>
      <c r="D500" s="36"/>
      <c r="E500" s="23"/>
      <c r="F500" s="23"/>
      <c r="G500" s="40"/>
      <c r="H500" s="23"/>
      <c r="I500" s="23"/>
      <c r="J500" s="40"/>
      <c r="K500" s="36"/>
      <c r="L500" s="36"/>
      <c r="M500" s="40"/>
      <c r="N500" s="23"/>
      <c r="O500" s="36"/>
      <c r="P500" s="40"/>
      <c r="Q500" s="36"/>
      <c r="R500" s="36"/>
      <c r="S500" s="40"/>
      <c r="T500" s="23"/>
      <c r="U500" s="23"/>
      <c r="V500" s="40"/>
      <c r="W500" s="23"/>
      <c r="X500" s="23"/>
      <c r="Y500" s="40"/>
      <c r="Z500" s="23"/>
      <c r="AA500" s="23"/>
      <c r="AB500" s="40"/>
      <c r="AC500" s="42"/>
      <c r="AD500" s="42"/>
      <c r="AE500" s="40"/>
      <c r="AF500" s="42"/>
      <c r="AG500" s="42"/>
      <c r="AH500" s="23"/>
      <c r="AI500" s="42"/>
      <c r="AJ500" s="42"/>
      <c r="AK500" s="40"/>
      <c r="AL500" s="84"/>
      <c r="AM500" s="84"/>
      <c r="AN500" s="40"/>
      <c r="AO500" s="23"/>
    </row>
    <row r="501" spans="1:41" ht="15.75" x14ac:dyDescent="0.25">
      <c r="A501" s="44"/>
      <c r="B501" s="23"/>
      <c r="C501" s="23"/>
      <c r="D501" s="36"/>
      <c r="E501" s="23"/>
      <c r="F501" s="23"/>
      <c r="G501" s="40"/>
      <c r="H501" s="23"/>
      <c r="I501" s="23"/>
      <c r="J501" s="40"/>
      <c r="K501" s="36"/>
      <c r="L501" s="36"/>
      <c r="M501" s="40"/>
      <c r="N501" s="23"/>
      <c r="O501" s="36"/>
      <c r="P501" s="40"/>
      <c r="Q501" s="36"/>
      <c r="R501" s="36"/>
      <c r="S501" s="40"/>
      <c r="T501" s="23"/>
      <c r="U501" s="23"/>
      <c r="V501" s="40"/>
      <c r="W501" s="23"/>
      <c r="X501" s="23"/>
      <c r="Y501" s="40"/>
      <c r="Z501" s="23"/>
      <c r="AA501" s="23"/>
      <c r="AB501" s="40"/>
      <c r="AC501" s="42"/>
      <c r="AD501" s="42"/>
      <c r="AE501" s="40"/>
      <c r="AF501" s="42"/>
      <c r="AG501" s="42"/>
      <c r="AH501" s="23"/>
      <c r="AI501" s="42"/>
      <c r="AJ501" s="42"/>
      <c r="AK501" s="40"/>
      <c r="AL501" s="84"/>
      <c r="AM501" s="84"/>
      <c r="AN501" s="40"/>
      <c r="AO501" s="23"/>
    </row>
    <row r="502" spans="1:41" ht="15.75" x14ac:dyDescent="0.25">
      <c r="A502" s="44"/>
      <c r="B502" s="23"/>
      <c r="C502" s="23"/>
      <c r="D502" s="36"/>
      <c r="E502" s="23"/>
      <c r="F502" s="23"/>
      <c r="G502" s="40"/>
      <c r="H502" s="23"/>
      <c r="I502" s="23"/>
      <c r="J502" s="40"/>
      <c r="K502" s="36"/>
      <c r="L502" s="36"/>
      <c r="M502" s="40"/>
      <c r="N502" s="23"/>
      <c r="O502" s="36"/>
      <c r="P502" s="40"/>
      <c r="Q502" s="36"/>
      <c r="R502" s="36"/>
      <c r="S502" s="40"/>
      <c r="T502" s="23"/>
      <c r="U502" s="23"/>
      <c r="V502" s="40"/>
      <c r="W502" s="23"/>
      <c r="X502" s="23"/>
      <c r="Y502" s="40"/>
      <c r="Z502" s="23"/>
      <c r="AA502" s="23"/>
      <c r="AB502" s="40"/>
      <c r="AC502" s="42"/>
      <c r="AD502" s="42"/>
      <c r="AE502" s="40"/>
      <c r="AF502" s="42"/>
      <c r="AG502" s="42"/>
      <c r="AH502" s="23"/>
      <c r="AI502" s="42"/>
      <c r="AJ502" s="42"/>
      <c r="AK502" s="40"/>
      <c r="AL502" s="84"/>
      <c r="AM502" s="84"/>
      <c r="AN502" s="40"/>
      <c r="AO502" s="23"/>
    </row>
    <row r="503" spans="1:41" ht="15.75" x14ac:dyDescent="0.25">
      <c r="A503" s="44"/>
      <c r="B503" s="23"/>
      <c r="C503" s="23"/>
      <c r="D503" s="36"/>
      <c r="E503" s="23"/>
      <c r="F503" s="23"/>
      <c r="G503" s="40"/>
      <c r="H503" s="23"/>
      <c r="I503" s="23"/>
      <c r="J503" s="40"/>
      <c r="K503" s="36"/>
      <c r="L503" s="36"/>
      <c r="M503" s="40"/>
      <c r="N503" s="23"/>
      <c r="O503" s="36"/>
      <c r="P503" s="40"/>
      <c r="Q503" s="36"/>
      <c r="R503" s="36"/>
      <c r="S503" s="40"/>
      <c r="T503" s="23"/>
      <c r="U503" s="23"/>
      <c r="V503" s="40"/>
      <c r="W503" s="23"/>
      <c r="X503" s="23"/>
      <c r="Y503" s="40"/>
      <c r="Z503" s="23"/>
      <c r="AA503" s="23"/>
      <c r="AB503" s="40"/>
      <c r="AC503" s="42"/>
      <c r="AD503" s="42"/>
      <c r="AE503" s="40"/>
      <c r="AF503" s="42"/>
      <c r="AG503" s="42"/>
      <c r="AH503" s="23"/>
      <c r="AI503" s="42"/>
      <c r="AJ503" s="42"/>
      <c r="AK503" s="40"/>
      <c r="AL503" s="84"/>
      <c r="AM503" s="84"/>
      <c r="AN503" s="40"/>
      <c r="AO503" s="23"/>
    </row>
    <row r="504" spans="1:41" ht="15.75" x14ac:dyDescent="0.25">
      <c r="A504" s="44"/>
      <c r="B504" s="23"/>
      <c r="C504" s="23"/>
      <c r="D504" s="36"/>
      <c r="E504" s="23"/>
      <c r="F504" s="23"/>
      <c r="G504" s="40"/>
      <c r="H504" s="23"/>
      <c r="I504" s="23"/>
      <c r="J504" s="40"/>
      <c r="K504" s="36"/>
      <c r="L504" s="36"/>
      <c r="M504" s="40"/>
      <c r="N504" s="23"/>
      <c r="O504" s="36"/>
      <c r="P504" s="40"/>
      <c r="Q504" s="36"/>
      <c r="R504" s="36"/>
      <c r="S504" s="40"/>
      <c r="T504" s="23"/>
      <c r="U504" s="23"/>
      <c r="V504" s="40"/>
      <c r="W504" s="23"/>
      <c r="X504" s="23"/>
      <c r="Y504" s="40"/>
      <c r="Z504" s="23"/>
      <c r="AA504" s="23"/>
      <c r="AB504" s="40"/>
      <c r="AC504" s="42"/>
      <c r="AD504" s="42"/>
      <c r="AE504" s="40"/>
      <c r="AF504" s="42"/>
      <c r="AG504" s="42"/>
      <c r="AH504" s="23"/>
      <c r="AI504" s="42"/>
      <c r="AJ504" s="42"/>
      <c r="AK504" s="40"/>
      <c r="AL504" s="84"/>
      <c r="AM504" s="84"/>
      <c r="AN504" s="40"/>
      <c r="AO504" s="23"/>
    </row>
    <row r="505" spans="1:41" ht="15.75" x14ac:dyDescent="0.25">
      <c r="A505" s="44"/>
      <c r="B505" s="23"/>
      <c r="C505" s="23"/>
      <c r="D505" s="36"/>
      <c r="E505" s="23"/>
      <c r="F505" s="23"/>
      <c r="G505" s="40"/>
      <c r="H505" s="23"/>
      <c r="I505" s="23"/>
      <c r="J505" s="40"/>
      <c r="K505" s="36"/>
      <c r="L505" s="36"/>
      <c r="M505" s="40"/>
      <c r="N505" s="23"/>
      <c r="O505" s="36"/>
      <c r="P505" s="40"/>
      <c r="Q505" s="36"/>
      <c r="R505" s="36"/>
      <c r="S505" s="40"/>
      <c r="T505" s="23"/>
      <c r="U505" s="23"/>
      <c r="V505" s="40"/>
      <c r="W505" s="23"/>
      <c r="X505" s="23"/>
      <c r="Y505" s="40"/>
      <c r="Z505" s="23"/>
      <c r="AA505" s="23"/>
      <c r="AB505" s="40"/>
      <c r="AC505" s="42"/>
      <c r="AD505" s="42"/>
      <c r="AE505" s="40"/>
      <c r="AF505" s="42"/>
      <c r="AG505" s="42"/>
      <c r="AH505" s="23"/>
      <c r="AI505" s="42"/>
      <c r="AJ505" s="42"/>
      <c r="AK505" s="40"/>
      <c r="AL505" s="84"/>
      <c r="AM505" s="84"/>
      <c r="AN505" s="40"/>
      <c r="AO505" s="23"/>
    </row>
    <row r="506" spans="1:41" ht="15.75" x14ac:dyDescent="0.25">
      <c r="A506" s="44"/>
      <c r="B506" s="23"/>
      <c r="C506" s="23"/>
      <c r="D506" s="36"/>
      <c r="E506" s="23"/>
      <c r="F506" s="23"/>
      <c r="G506" s="40"/>
      <c r="H506" s="23"/>
      <c r="I506" s="23"/>
      <c r="J506" s="40"/>
      <c r="K506" s="36"/>
      <c r="L506" s="36"/>
      <c r="M506" s="40"/>
      <c r="N506" s="23"/>
      <c r="O506" s="36"/>
      <c r="P506" s="40"/>
      <c r="Q506" s="36"/>
      <c r="R506" s="36"/>
      <c r="S506" s="40"/>
      <c r="T506" s="23"/>
      <c r="U506" s="23"/>
      <c r="V506" s="40"/>
      <c r="W506" s="23"/>
      <c r="X506" s="23"/>
      <c r="Y506" s="40"/>
      <c r="Z506" s="23"/>
      <c r="AA506" s="23"/>
      <c r="AB506" s="40"/>
      <c r="AC506" s="42"/>
      <c r="AD506" s="42"/>
      <c r="AE506" s="40"/>
      <c r="AF506" s="42"/>
      <c r="AG506" s="42"/>
      <c r="AH506" s="23"/>
      <c r="AI506" s="42"/>
      <c r="AJ506" s="42"/>
      <c r="AK506" s="40"/>
      <c r="AL506" s="84"/>
      <c r="AM506" s="84"/>
      <c r="AN506" s="40"/>
      <c r="AO506" s="23"/>
    </row>
    <row r="507" spans="1:41" ht="15.75" x14ac:dyDescent="0.25">
      <c r="A507" s="44"/>
      <c r="B507" s="23"/>
      <c r="C507" s="23"/>
      <c r="D507" s="36"/>
      <c r="E507" s="23"/>
      <c r="F507" s="23"/>
      <c r="G507" s="40"/>
      <c r="H507" s="23"/>
      <c r="I507" s="23"/>
      <c r="J507" s="40"/>
      <c r="K507" s="36"/>
      <c r="L507" s="36"/>
      <c r="M507" s="40"/>
      <c r="N507" s="23"/>
      <c r="O507" s="36"/>
      <c r="P507" s="40"/>
      <c r="Q507" s="36"/>
      <c r="R507" s="36"/>
      <c r="S507" s="40"/>
      <c r="T507" s="23"/>
      <c r="U507" s="23"/>
      <c r="V507" s="40"/>
      <c r="W507" s="23"/>
      <c r="X507" s="23"/>
      <c r="Y507" s="40"/>
      <c r="Z507" s="23"/>
      <c r="AA507" s="23"/>
      <c r="AB507" s="40"/>
      <c r="AC507" s="42"/>
      <c r="AD507" s="42"/>
      <c r="AE507" s="40"/>
      <c r="AF507" s="42"/>
      <c r="AG507" s="42"/>
      <c r="AH507" s="23"/>
      <c r="AI507" s="42"/>
      <c r="AJ507" s="42"/>
      <c r="AK507" s="40"/>
      <c r="AL507" s="84"/>
      <c r="AM507" s="84"/>
      <c r="AN507" s="40"/>
      <c r="AO507" s="23"/>
    </row>
    <row r="508" spans="1:41" ht="15.75" x14ac:dyDescent="0.25">
      <c r="A508" s="44"/>
      <c r="B508" s="23"/>
      <c r="C508" s="23"/>
      <c r="D508" s="36"/>
      <c r="E508" s="23"/>
      <c r="F508" s="23"/>
      <c r="G508" s="40"/>
      <c r="H508" s="23"/>
      <c r="I508" s="23"/>
      <c r="J508" s="40"/>
      <c r="K508" s="36"/>
      <c r="L508" s="36"/>
      <c r="M508" s="40"/>
      <c r="N508" s="23"/>
      <c r="O508" s="36"/>
      <c r="P508" s="40"/>
      <c r="Q508" s="36"/>
      <c r="R508" s="36"/>
      <c r="S508" s="40"/>
      <c r="T508" s="23"/>
      <c r="U508" s="23"/>
      <c r="V508" s="40"/>
      <c r="W508" s="23"/>
      <c r="X508" s="23"/>
      <c r="Y508" s="40"/>
      <c r="Z508" s="23"/>
      <c r="AA508" s="23"/>
      <c r="AB508" s="40"/>
      <c r="AC508" s="42"/>
      <c r="AD508" s="42"/>
      <c r="AE508" s="40"/>
      <c r="AF508" s="42"/>
      <c r="AG508" s="42"/>
      <c r="AH508" s="23"/>
      <c r="AI508" s="42"/>
      <c r="AJ508" s="42"/>
      <c r="AK508" s="40"/>
      <c r="AL508" s="84"/>
      <c r="AM508" s="84"/>
      <c r="AN508" s="40"/>
      <c r="AO508" s="23"/>
    </row>
    <row r="509" spans="1:41" ht="15.75" x14ac:dyDescent="0.25">
      <c r="A509" s="44"/>
      <c r="B509" s="23"/>
      <c r="C509" s="23"/>
      <c r="D509" s="36"/>
      <c r="E509" s="23"/>
      <c r="F509" s="23"/>
      <c r="G509" s="40"/>
      <c r="H509" s="23"/>
      <c r="I509" s="23"/>
      <c r="J509" s="40"/>
      <c r="K509" s="36"/>
      <c r="L509" s="36"/>
      <c r="M509" s="40"/>
      <c r="N509" s="23"/>
      <c r="O509" s="36"/>
      <c r="P509" s="40"/>
      <c r="Q509" s="36"/>
      <c r="R509" s="36"/>
      <c r="S509" s="40"/>
      <c r="T509" s="23"/>
      <c r="U509" s="23"/>
      <c r="V509" s="40"/>
      <c r="W509" s="23"/>
      <c r="X509" s="23"/>
      <c r="Y509" s="40"/>
      <c r="Z509" s="23"/>
      <c r="AA509" s="23"/>
      <c r="AB509" s="40"/>
      <c r="AC509" s="42"/>
      <c r="AD509" s="42"/>
      <c r="AE509" s="40"/>
      <c r="AF509" s="42"/>
      <c r="AG509" s="42"/>
      <c r="AH509" s="23"/>
      <c r="AI509" s="42"/>
      <c r="AJ509" s="42"/>
      <c r="AK509" s="40"/>
      <c r="AL509" s="84"/>
      <c r="AM509" s="84"/>
      <c r="AN509" s="40"/>
      <c r="AO509" s="23"/>
    </row>
    <row r="510" spans="1:41" ht="15.75" x14ac:dyDescent="0.25">
      <c r="A510" s="44"/>
      <c r="B510" s="23"/>
      <c r="C510" s="23"/>
      <c r="D510" s="36"/>
      <c r="E510" s="23"/>
      <c r="F510" s="23"/>
      <c r="G510" s="40"/>
      <c r="H510" s="23"/>
      <c r="I510" s="23"/>
      <c r="J510" s="40"/>
      <c r="K510" s="36"/>
      <c r="L510" s="36"/>
      <c r="M510" s="40"/>
      <c r="N510" s="23"/>
      <c r="O510" s="36"/>
      <c r="P510" s="40"/>
      <c r="Q510" s="36"/>
      <c r="R510" s="36"/>
      <c r="S510" s="40"/>
      <c r="T510" s="23"/>
      <c r="U510" s="23"/>
      <c r="V510" s="40"/>
      <c r="W510" s="23"/>
      <c r="X510" s="23"/>
      <c r="Y510" s="40"/>
      <c r="Z510" s="23"/>
      <c r="AA510" s="23"/>
      <c r="AB510" s="40"/>
      <c r="AC510" s="42"/>
      <c r="AD510" s="42"/>
      <c r="AE510" s="40"/>
      <c r="AF510" s="42"/>
      <c r="AG510" s="42"/>
      <c r="AH510" s="23"/>
      <c r="AI510" s="42"/>
      <c r="AJ510" s="42"/>
      <c r="AK510" s="40"/>
      <c r="AL510" s="84"/>
      <c r="AM510" s="84"/>
      <c r="AN510" s="40"/>
      <c r="AO510" s="23"/>
    </row>
    <row r="511" spans="1:41" ht="15.75" x14ac:dyDescent="0.25">
      <c r="A511" s="44"/>
      <c r="B511" s="23"/>
      <c r="C511" s="23"/>
      <c r="D511" s="36"/>
      <c r="E511" s="23"/>
      <c r="F511" s="23"/>
      <c r="G511" s="40"/>
      <c r="H511" s="23"/>
      <c r="I511" s="23"/>
      <c r="J511" s="40"/>
      <c r="K511" s="36"/>
      <c r="L511" s="36"/>
      <c r="M511" s="40"/>
      <c r="N511" s="23"/>
      <c r="O511" s="36"/>
      <c r="P511" s="40"/>
      <c r="Q511" s="36"/>
      <c r="R511" s="36"/>
      <c r="S511" s="40"/>
      <c r="T511" s="23"/>
      <c r="U511" s="23"/>
      <c r="V511" s="40"/>
      <c r="W511" s="23"/>
      <c r="X511" s="23"/>
      <c r="Y511" s="40"/>
      <c r="Z511" s="23"/>
      <c r="AA511" s="23"/>
      <c r="AB511" s="40"/>
      <c r="AC511" s="42"/>
      <c r="AD511" s="42"/>
      <c r="AE511" s="40"/>
      <c r="AF511" s="42"/>
      <c r="AG511" s="42"/>
      <c r="AH511" s="23"/>
      <c r="AI511" s="42"/>
      <c r="AJ511" s="42"/>
      <c r="AK511" s="40"/>
      <c r="AL511" s="84"/>
      <c r="AM511" s="84"/>
      <c r="AN511" s="40"/>
      <c r="AO511" s="23"/>
    </row>
    <row r="512" spans="1:41" ht="15.75" x14ac:dyDescent="0.25">
      <c r="A512" s="44"/>
      <c r="B512" s="23"/>
      <c r="C512" s="23"/>
      <c r="D512" s="36"/>
      <c r="E512" s="23"/>
      <c r="F512" s="23"/>
      <c r="G512" s="40"/>
      <c r="H512" s="23"/>
      <c r="I512" s="23"/>
      <c r="J512" s="40"/>
      <c r="K512" s="36"/>
      <c r="L512" s="36"/>
      <c r="M512" s="40"/>
      <c r="N512" s="23"/>
      <c r="O512" s="36"/>
      <c r="P512" s="40"/>
      <c r="Q512" s="36"/>
      <c r="R512" s="36"/>
      <c r="S512" s="40"/>
      <c r="T512" s="23"/>
      <c r="U512" s="23"/>
      <c r="V512" s="40"/>
      <c r="W512" s="23"/>
      <c r="X512" s="23"/>
      <c r="Y512" s="40"/>
      <c r="Z512" s="23"/>
      <c r="AA512" s="23"/>
      <c r="AB512" s="40"/>
      <c r="AC512" s="42"/>
      <c r="AD512" s="42"/>
      <c r="AE512" s="40"/>
      <c r="AF512" s="42"/>
      <c r="AG512" s="42"/>
      <c r="AH512" s="23"/>
      <c r="AI512" s="42"/>
      <c r="AJ512" s="42"/>
      <c r="AK512" s="40"/>
      <c r="AL512" s="84"/>
      <c r="AM512" s="84"/>
      <c r="AN512" s="40"/>
      <c r="AO512" s="23"/>
    </row>
    <row r="513" spans="1:41" ht="15.75" x14ac:dyDescent="0.25">
      <c r="A513" s="44"/>
      <c r="B513" s="23"/>
      <c r="C513" s="23"/>
      <c r="D513" s="36"/>
      <c r="E513" s="23"/>
      <c r="F513" s="23"/>
      <c r="G513" s="40"/>
      <c r="H513" s="23"/>
      <c r="I513" s="23"/>
      <c r="J513" s="40"/>
      <c r="K513" s="36"/>
      <c r="L513" s="36"/>
      <c r="M513" s="40"/>
      <c r="N513" s="23"/>
      <c r="O513" s="36"/>
      <c r="P513" s="40"/>
      <c r="Q513" s="36"/>
      <c r="R513" s="36"/>
      <c r="S513" s="40"/>
      <c r="T513" s="23"/>
      <c r="U513" s="23"/>
      <c r="V513" s="40"/>
      <c r="W513" s="23"/>
      <c r="X513" s="23"/>
      <c r="Y513" s="40"/>
      <c r="Z513" s="23"/>
      <c r="AA513" s="23"/>
      <c r="AB513" s="40"/>
      <c r="AC513" s="42"/>
      <c r="AD513" s="42"/>
      <c r="AE513" s="40"/>
      <c r="AF513" s="42"/>
      <c r="AG513" s="42"/>
      <c r="AH513" s="23"/>
      <c r="AI513" s="42"/>
      <c r="AJ513" s="42"/>
      <c r="AK513" s="40"/>
      <c r="AL513" s="84"/>
      <c r="AM513" s="84"/>
      <c r="AN513" s="40"/>
      <c r="AO513" s="23"/>
    </row>
    <row r="514" spans="1:41" ht="15.75" x14ac:dyDescent="0.25">
      <c r="A514" s="44"/>
      <c r="B514" s="23"/>
      <c r="C514" s="23"/>
      <c r="D514" s="36"/>
      <c r="E514" s="23"/>
      <c r="F514" s="23"/>
      <c r="G514" s="40"/>
      <c r="H514" s="23"/>
      <c r="I514" s="23"/>
      <c r="J514" s="40"/>
      <c r="K514" s="36"/>
      <c r="L514" s="36"/>
      <c r="M514" s="40"/>
      <c r="N514" s="23"/>
      <c r="O514" s="36"/>
      <c r="P514" s="40"/>
      <c r="Q514" s="36"/>
      <c r="R514" s="36"/>
      <c r="S514" s="40"/>
      <c r="T514" s="23"/>
      <c r="U514" s="23"/>
      <c r="V514" s="40"/>
      <c r="W514" s="23"/>
      <c r="X514" s="23"/>
      <c r="Y514" s="40"/>
      <c r="Z514" s="23"/>
      <c r="AA514" s="23"/>
      <c r="AB514" s="40"/>
      <c r="AC514" s="42"/>
      <c r="AD514" s="42"/>
      <c r="AE514" s="40"/>
      <c r="AF514" s="42"/>
      <c r="AG514" s="42"/>
      <c r="AH514" s="23"/>
      <c r="AI514" s="42"/>
      <c r="AJ514" s="42"/>
      <c r="AK514" s="40"/>
      <c r="AL514" s="84"/>
      <c r="AM514" s="84"/>
      <c r="AN514" s="40"/>
      <c r="AO514" s="23"/>
    </row>
    <row r="515" spans="1:41" ht="15.75" x14ac:dyDescent="0.25">
      <c r="A515" s="44"/>
      <c r="B515" s="23"/>
      <c r="C515" s="23"/>
      <c r="D515" s="36"/>
      <c r="E515" s="23"/>
      <c r="F515" s="23"/>
      <c r="G515" s="40"/>
      <c r="H515" s="23"/>
      <c r="I515" s="23"/>
      <c r="J515" s="40"/>
      <c r="K515" s="36"/>
      <c r="L515" s="36"/>
      <c r="M515" s="40"/>
      <c r="N515" s="23"/>
      <c r="O515" s="36"/>
      <c r="P515" s="40"/>
      <c r="Q515" s="36"/>
      <c r="R515" s="36"/>
      <c r="S515" s="40"/>
      <c r="T515" s="23"/>
      <c r="U515" s="23"/>
      <c r="V515" s="40"/>
      <c r="W515" s="23"/>
      <c r="X515" s="23"/>
      <c r="Y515" s="40"/>
      <c r="Z515" s="23"/>
      <c r="AA515" s="23"/>
      <c r="AB515" s="40"/>
      <c r="AC515" s="42"/>
      <c r="AD515" s="42"/>
      <c r="AE515" s="40"/>
      <c r="AF515" s="42"/>
      <c r="AG515" s="42"/>
      <c r="AH515" s="23"/>
      <c r="AI515" s="42"/>
      <c r="AJ515" s="42"/>
      <c r="AK515" s="40"/>
      <c r="AL515" s="84"/>
      <c r="AM515" s="84"/>
      <c r="AN515" s="40"/>
      <c r="AO515" s="23"/>
    </row>
    <row r="516" spans="1:41" ht="15.75" x14ac:dyDescent="0.25">
      <c r="A516" s="44"/>
      <c r="B516" s="23"/>
      <c r="C516" s="23"/>
      <c r="D516" s="36"/>
      <c r="E516" s="23"/>
      <c r="F516" s="23"/>
      <c r="G516" s="40"/>
      <c r="H516" s="23"/>
      <c r="I516" s="23"/>
      <c r="J516" s="40"/>
      <c r="K516" s="36"/>
      <c r="L516" s="36"/>
      <c r="M516" s="40"/>
      <c r="N516" s="23"/>
      <c r="O516" s="36"/>
      <c r="P516" s="40"/>
      <c r="Q516" s="36"/>
      <c r="R516" s="36"/>
      <c r="S516" s="40"/>
      <c r="T516" s="23"/>
      <c r="U516" s="23"/>
      <c r="V516" s="40"/>
      <c r="W516" s="23"/>
      <c r="X516" s="23"/>
      <c r="Y516" s="40"/>
      <c r="Z516" s="23"/>
      <c r="AA516" s="23"/>
      <c r="AB516" s="40"/>
      <c r="AC516" s="42"/>
      <c r="AD516" s="42"/>
      <c r="AE516" s="40"/>
      <c r="AF516" s="42"/>
      <c r="AG516" s="42"/>
      <c r="AH516" s="23"/>
      <c r="AI516" s="42"/>
      <c r="AJ516" s="42"/>
      <c r="AK516" s="40"/>
      <c r="AL516" s="84"/>
      <c r="AM516" s="84"/>
      <c r="AN516" s="40"/>
      <c r="AO516" s="23"/>
    </row>
    <row r="517" spans="1:41" ht="15.75" x14ac:dyDescent="0.25">
      <c r="A517" s="44"/>
      <c r="B517" s="23"/>
      <c r="C517" s="23"/>
      <c r="D517" s="36"/>
      <c r="E517" s="23"/>
      <c r="F517" s="23"/>
      <c r="G517" s="40"/>
      <c r="H517" s="23"/>
      <c r="I517" s="23"/>
      <c r="J517" s="40"/>
      <c r="K517" s="36"/>
      <c r="L517" s="36"/>
      <c r="M517" s="40"/>
      <c r="N517" s="23"/>
      <c r="O517" s="36"/>
      <c r="P517" s="40"/>
      <c r="Q517" s="36"/>
      <c r="R517" s="36"/>
      <c r="S517" s="40"/>
      <c r="T517" s="23"/>
      <c r="U517" s="23"/>
      <c r="V517" s="40"/>
      <c r="W517" s="23"/>
      <c r="X517" s="23"/>
      <c r="Y517" s="40"/>
      <c r="Z517" s="23"/>
      <c r="AA517" s="23"/>
      <c r="AB517" s="40"/>
      <c r="AC517" s="42"/>
      <c r="AD517" s="42"/>
      <c r="AE517" s="40"/>
      <c r="AF517" s="42"/>
      <c r="AG517" s="42"/>
      <c r="AH517" s="23"/>
      <c r="AI517" s="42"/>
      <c r="AJ517" s="42"/>
      <c r="AK517" s="40"/>
      <c r="AL517" s="84"/>
      <c r="AM517" s="84"/>
      <c r="AN517" s="40"/>
      <c r="AO517" s="23"/>
    </row>
    <row r="518" spans="1:41" ht="15.75" x14ac:dyDescent="0.25">
      <c r="A518" s="44"/>
      <c r="B518" s="23"/>
      <c r="C518" s="23"/>
      <c r="D518" s="36"/>
      <c r="E518" s="23"/>
      <c r="F518" s="23"/>
      <c r="G518" s="40"/>
      <c r="H518" s="23"/>
      <c r="I518" s="23"/>
      <c r="J518" s="40"/>
      <c r="K518" s="36"/>
      <c r="L518" s="36"/>
      <c r="M518" s="40"/>
      <c r="N518" s="23"/>
      <c r="O518" s="36"/>
      <c r="P518" s="40"/>
      <c r="Q518" s="36"/>
      <c r="R518" s="36"/>
      <c r="S518" s="40"/>
      <c r="T518" s="23"/>
      <c r="U518" s="23"/>
      <c r="V518" s="40"/>
      <c r="W518" s="23"/>
      <c r="X518" s="23"/>
      <c r="Y518" s="40"/>
      <c r="Z518" s="23"/>
      <c r="AA518" s="23"/>
      <c r="AB518" s="40"/>
      <c r="AC518" s="42"/>
      <c r="AD518" s="42"/>
      <c r="AE518" s="40"/>
      <c r="AF518" s="42"/>
      <c r="AG518" s="42"/>
      <c r="AH518" s="23"/>
      <c r="AI518" s="42"/>
      <c r="AJ518" s="42"/>
      <c r="AK518" s="40"/>
      <c r="AL518" s="84"/>
      <c r="AM518" s="84"/>
      <c r="AN518" s="40"/>
      <c r="AO518" s="23"/>
    </row>
    <row r="519" spans="1:41" ht="15.75" x14ac:dyDescent="0.25">
      <c r="A519" s="44"/>
      <c r="B519" s="23"/>
      <c r="C519" s="23"/>
      <c r="D519" s="36"/>
      <c r="E519" s="23"/>
      <c r="F519" s="23"/>
      <c r="G519" s="40"/>
      <c r="H519" s="23"/>
      <c r="I519" s="23"/>
      <c r="J519" s="40"/>
      <c r="K519" s="36"/>
      <c r="L519" s="36"/>
      <c r="M519" s="40"/>
      <c r="N519" s="23"/>
      <c r="O519" s="36"/>
      <c r="P519" s="40"/>
      <c r="Q519" s="36"/>
      <c r="R519" s="36"/>
      <c r="S519" s="40"/>
      <c r="T519" s="23"/>
      <c r="U519" s="23"/>
      <c r="V519" s="40"/>
      <c r="W519" s="23"/>
      <c r="X519" s="23"/>
      <c r="Y519" s="40"/>
      <c r="Z519" s="23"/>
      <c r="AA519" s="23"/>
      <c r="AB519" s="40"/>
      <c r="AC519" s="42"/>
      <c r="AD519" s="42"/>
      <c r="AE519" s="40"/>
      <c r="AF519" s="42"/>
      <c r="AG519" s="42"/>
      <c r="AH519" s="23"/>
      <c r="AI519" s="42"/>
      <c r="AJ519" s="42"/>
      <c r="AK519" s="40"/>
      <c r="AL519" s="84"/>
      <c r="AM519" s="84"/>
      <c r="AN519" s="40"/>
      <c r="AO519" s="23"/>
    </row>
    <row r="520" spans="1:41" ht="15.75" x14ac:dyDescent="0.25">
      <c r="A520" s="44"/>
      <c r="B520" s="23"/>
      <c r="C520" s="23"/>
      <c r="D520" s="36"/>
      <c r="E520" s="23"/>
      <c r="F520" s="23"/>
      <c r="G520" s="40"/>
      <c r="H520" s="23"/>
      <c r="I520" s="23"/>
      <c r="J520" s="40"/>
      <c r="K520" s="36"/>
      <c r="L520" s="36"/>
      <c r="M520" s="40"/>
      <c r="N520" s="23"/>
      <c r="O520" s="36"/>
      <c r="P520" s="40"/>
      <c r="Q520" s="36"/>
      <c r="R520" s="36"/>
      <c r="S520" s="40"/>
      <c r="T520" s="23"/>
      <c r="U520" s="23"/>
      <c r="V520" s="40"/>
      <c r="W520" s="23"/>
      <c r="X520" s="23"/>
      <c r="Y520" s="40"/>
      <c r="Z520" s="23"/>
      <c r="AA520" s="23"/>
      <c r="AB520" s="40"/>
      <c r="AC520" s="42"/>
      <c r="AD520" s="42"/>
      <c r="AE520" s="40"/>
      <c r="AF520" s="42"/>
      <c r="AG520" s="42"/>
      <c r="AH520" s="23"/>
      <c r="AI520" s="42"/>
      <c r="AJ520" s="42"/>
      <c r="AK520" s="40"/>
      <c r="AL520" s="84"/>
      <c r="AM520" s="84"/>
      <c r="AN520" s="40"/>
      <c r="AO520" s="23"/>
    </row>
    <row r="521" spans="1:41" ht="15.75" x14ac:dyDescent="0.25">
      <c r="A521" s="44"/>
      <c r="B521" s="23"/>
      <c r="C521" s="23"/>
      <c r="D521" s="36"/>
      <c r="E521" s="23"/>
      <c r="F521" s="23"/>
      <c r="G521" s="40"/>
      <c r="H521" s="23"/>
      <c r="I521" s="23"/>
      <c r="J521" s="40"/>
      <c r="K521" s="36"/>
      <c r="L521" s="36"/>
      <c r="M521" s="40"/>
      <c r="N521" s="23"/>
      <c r="O521" s="36"/>
      <c r="P521" s="40"/>
      <c r="Q521" s="36"/>
      <c r="R521" s="36"/>
      <c r="S521" s="40"/>
      <c r="T521" s="23"/>
      <c r="U521" s="23"/>
      <c r="V521" s="40"/>
      <c r="W521" s="23"/>
      <c r="X521" s="23"/>
      <c r="Y521" s="40"/>
      <c r="Z521" s="23"/>
      <c r="AA521" s="23"/>
      <c r="AB521" s="40"/>
      <c r="AC521" s="42"/>
      <c r="AD521" s="42"/>
      <c r="AE521" s="40"/>
      <c r="AF521" s="42"/>
      <c r="AG521" s="42"/>
      <c r="AH521" s="23"/>
      <c r="AI521" s="42"/>
      <c r="AJ521" s="42"/>
      <c r="AK521" s="40"/>
      <c r="AL521" s="84"/>
      <c r="AM521" s="84"/>
      <c r="AN521" s="40"/>
      <c r="AO521" s="23"/>
    </row>
    <row r="522" spans="1:41" ht="15.75" x14ac:dyDescent="0.25">
      <c r="A522" s="44"/>
      <c r="B522" s="23"/>
      <c r="C522" s="23"/>
      <c r="D522" s="36"/>
      <c r="E522" s="23"/>
      <c r="F522" s="23"/>
      <c r="G522" s="40"/>
      <c r="H522" s="23"/>
      <c r="I522" s="23"/>
      <c r="J522" s="40"/>
      <c r="K522" s="36"/>
      <c r="L522" s="36"/>
      <c r="M522" s="40"/>
      <c r="N522" s="23"/>
      <c r="O522" s="36"/>
      <c r="P522" s="40"/>
      <c r="Q522" s="36"/>
      <c r="R522" s="36"/>
      <c r="S522" s="40"/>
      <c r="T522" s="23"/>
      <c r="U522" s="23"/>
      <c r="V522" s="40"/>
      <c r="W522" s="23"/>
      <c r="X522" s="23"/>
      <c r="Y522" s="40"/>
      <c r="Z522" s="23"/>
      <c r="AA522" s="23"/>
      <c r="AB522" s="40"/>
      <c r="AC522" s="42"/>
      <c r="AD522" s="42"/>
      <c r="AE522" s="40"/>
      <c r="AF522" s="42"/>
      <c r="AG522" s="42"/>
      <c r="AH522" s="23"/>
      <c r="AI522" s="42"/>
      <c r="AJ522" s="42"/>
      <c r="AK522" s="40"/>
      <c r="AL522" s="84"/>
      <c r="AM522" s="84"/>
      <c r="AN522" s="40"/>
      <c r="AO522" s="23"/>
    </row>
    <row r="523" spans="1:41" ht="15.75" x14ac:dyDescent="0.25">
      <c r="A523" s="44"/>
      <c r="B523" s="23"/>
      <c r="C523" s="23"/>
      <c r="D523" s="36"/>
      <c r="E523" s="23"/>
      <c r="F523" s="23"/>
      <c r="G523" s="40"/>
      <c r="H523" s="23"/>
      <c r="I523" s="23"/>
      <c r="J523" s="40"/>
      <c r="K523" s="36"/>
      <c r="L523" s="36"/>
      <c r="M523" s="40"/>
      <c r="N523" s="23"/>
      <c r="O523" s="36"/>
      <c r="P523" s="40"/>
      <c r="Q523" s="36"/>
      <c r="R523" s="36"/>
      <c r="S523" s="40"/>
      <c r="T523" s="23"/>
      <c r="U523" s="23"/>
      <c r="V523" s="40"/>
      <c r="W523" s="23"/>
      <c r="X523" s="23"/>
      <c r="Y523" s="40"/>
      <c r="Z523" s="23"/>
      <c r="AA523" s="23"/>
      <c r="AB523" s="40"/>
      <c r="AC523" s="42"/>
      <c r="AD523" s="42"/>
      <c r="AE523" s="40"/>
      <c r="AF523" s="42"/>
      <c r="AG523" s="42"/>
      <c r="AH523" s="23"/>
      <c r="AI523" s="42"/>
      <c r="AJ523" s="42"/>
      <c r="AK523" s="40"/>
      <c r="AL523" s="84"/>
      <c r="AM523" s="84"/>
      <c r="AN523" s="40"/>
      <c r="AO523" s="23"/>
    </row>
    <row r="524" spans="1:41" ht="15.75" x14ac:dyDescent="0.25">
      <c r="A524" s="44"/>
      <c r="B524" s="23"/>
      <c r="C524" s="23"/>
      <c r="D524" s="36"/>
      <c r="E524" s="23"/>
      <c r="F524" s="23"/>
      <c r="G524" s="40"/>
      <c r="H524" s="23"/>
      <c r="I524" s="23"/>
      <c r="J524" s="40"/>
      <c r="K524" s="36"/>
      <c r="L524" s="36"/>
      <c r="M524" s="40"/>
      <c r="N524" s="23"/>
      <c r="O524" s="36"/>
      <c r="P524" s="40"/>
      <c r="Q524" s="36"/>
      <c r="R524" s="36"/>
      <c r="S524" s="40"/>
      <c r="T524" s="23"/>
      <c r="U524" s="23"/>
      <c r="V524" s="40"/>
      <c r="W524" s="23"/>
      <c r="X524" s="23"/>
      <c r="Y524" s="40"/>
      <c r="Z524" s="23"/>
      <c r="AA524" s="23"/>
      <c r="AB524" s="40"/>
      <c r="AC524" s="42"/>
      <c r="AD524" s="42"/>
      <c r="AE524" s="40"/>
      <c r="AF524" s="42"/>
      <c r="AG524" s="42"/>
      <c r="AH524" s="23"/>
      <c r="AI524" s="42"/>
      <c r="AJ524" s="42"/>
      <c r="AK524" s="40"/>
      <c r="AL524" s="84"/>
      <c r="AM524" s="84"/>
      <c r="AN524" s="40"/>
      <c r="AO524" s="23"/>
    </row>
    <row r="525" spans="1:41" ht="15.75" x14ac:dyDescent="0.25">
      <c r="A525" s="44"/>
      <c r="B525" s="23"/>
      <c r="C525" s="23"/>
      <c r="D525" s="36"/>
      <c r="E525" s="23"/>
      <c r="F525" s="23"/>
      <c r="G525" s="40"/>
      <c r="H525" s="23"/>
      <c r="I525" s="23"/>
      <c r="J525" s="40"/>
      <c r="K525" s="36"/>
      <c r="L525" s="36"/>
      <c r="M525" s="40"/>
      <c r="N525" s="23"/>
      <c r="O525" s="36"/>
      <c r="P525" s="40"/>
      <c r="Q525" s="36"/>
      <c r="R525" s="36"/>
      <c r="S525" s="40"/>
      <c r="T525" s="23"/>
      <c r="U525" s="23"/>
      <c r="V525" s="40"/>
      <c r="W525" s="23"/>
      <c r="X525" s="23"/>
      <c r="Y525" s="40"/>
      <c r="Z525" s="23"/>
      <c r="AA525" s="23"/>
      <c r="AB525" s="40"/>
      <c r="AC525" s="42"/>
      <c r="AD525" s="42"/>
      <c r="AE525" s="40"/>
      <c r="AF525" s="42"/>
      <c r="AG525" s="42"/>
      <c r="AH525" s="23"/>
      <c r="AI525" s="42"/>
      <c r="AJ525" s="42"/>
      <c r="AK525" s="40"/>
      <c r="AL525" s="84"/>
      <c r="AM525" s="84"/>
      <c r="AN525" s="40"/>
      <c r="AO525" s="23"/>
    </row>
    <row r="526" spans="1:41" ht="15.75" x14ac:dyDescent="0.25">
      <c r="A526" s="44"/>
      <c r="B526" s="23"/>
      <c r="C526" s="23"/>
      <c r="D526" s="36"/>
      <c r="E526" s="23"/>
      <c r="F526" s="23"/>
      <c r="G526" s="40"/>
      <c r="H526" s="23"/>
      <c r="I526" s="23"/>
      <c r="J526" s="40"/>
      <c r="K526" s="36"/>
      <c r="L526" s="36"/>
      <c r="M526" s="40"/>
      <c r="N526" s="23"/>
      <c r="O526" s="36"/>
      <c r="P526" s="40"/>
      <c r="Q526" s="36"/>
      <c r="R526" s="36"/>
      <c r="S526" s="40"/>
      <c r="T526" s="23"/>
      <c r="U526" s="23"/>
      <c r="V526" s="40"/>
      <c r="W526" s="23"/>
      <c r="X526" s="23"/>
      <c r="Y526" s="40"/>
      <c r="Z526" s="23"/>
      <c r="AA526" s="23"/>
      <c r="AB526" s="40"/>
      <c r="AC526" s="42"/>
      <c r="AD526" s="42"/>
      <c r="AE526" s="40"/>
      <c r="AF526" s="42"/>
      <c r="AG526" s="42"/>
      <c r="AH526" s="23"/>
      <c r="AI526" s="42"/>
      <c r="AJ526" s="42"/>
      <c r="AK526" s="40"/>
      <c r="AL526" s="84"/>
      <c r="AM526" s="84"/>
      <c r="AN526" s="40"/>
      <c r="AO526" s="23"/>
    </row>
    <row r="527" spans="1:41" ht="15.75" x14ac:dyDescent="0.25">
      <c r="A527" s="44"/>
      <c r="B527" s="23"/>
      <c r="C527" s="23"/>
      <c r="D527" s="36"/>
      <c r="E527" s="23"/>
      <c r="F527" s="23"/>
      <c r="G527" s="40"/>
      <c r="H527" s="23"/>
      <c r="I527" s="23"/>
      <c r="J527" s="40"/>
      <c r="K527" s="36"/>
      <c r="L527" s="36"/>
      <c r="M527" s="40"/>
      <c r="N527" s="23"/>
      <c r="O527" s="36"/>
      <c r="P527" s="40"/>
      <c r="Q527" s="36"/>
      <c r="R527" s="36"/>
      <c r="S527" s="40"/>
      <c r="T527" s="23"/>
      <c r="U527" s="23"/>
      <c r="V527" s="40"/>
      <c r="W527" s="23"/>
      <c r="X527" s="23"/>
      <c r="Y527" s="40"/>
      <c r="Z527" s="23"/>
      <c r="AA527" s="23"/>
      <c r="AB527" s="40"/>
      <c r="AC527" s="42"/>
      <c r="AD527" s="42"/>
      <c r="AE527" s="40"/>
      <c r="AF527" s="42"/>
      <c r="AG527" s="42"/>
      <c r="AH527" s="23"/>
      <c r="AI527" s="42"/>
      <c r="AJ527" s="42"/>
      <c r="AK527" s="40"/>
      <c r="AL527" s="84"/>
      <c r="AM527" s="84"/>
      <c r="AN527" s="40"/>
      <c r="AO527" s="23"/>
    </row>
    <row r="528" spans="1:41" ht="15.75" x14ac:dyDescent="0.25">
      <c r="A528" s="44"/>
      <c r="B528" s="23"/>
      <c r="C528" s="23"/>
      <c r="D528" s="36"/>
      <c r="E528" s="23"/>
      <c r="F528" s="23"/>
      <c r="G528" s="40"/>
      <c r="H528" s="23"/>
      <c r="I528" s="23"/>
      <c r="J528" s="40"/>
      <c r="K528" s="36"/>
      <c r="L528" s="36"/>
      <c r="M528" s="40"/>
      <c r="N528" s="23"/>
      <c r="O528" s="36"/>
      <c r="P528" s="40"/>
      <c r="Q528" s="36"/>
      <c r="R528" s="36"/>
      <c r="S528" s="40"/>
      <c r="T528" s="23"/>
      <c r="U528" s="23"/>
      <c r="V528" s="40"/>
      <c r="W528" s="23"/>
      <c r="X528" s="23"/>
      <c r="Y528" s="40"/>
      <c r="Z528" s="23"/>
      <c r="AA528" s="23"/>
      <c r="AB528" s="40"/>
      <c r="AC528" s="42"/>
      <c r="AD528" s="42"/>
      <c r="AE528" s="40"/>
      <c r="AF528" s="42"/>
      <c r="AG528" s="42"/>
      <c r="AH528" s="23"/>
      <c r="AI528" s="42"/>
      <c r="AJ528" s="42"/>
      <c r="AK528" s="40"/>
      <c r="AL528" s="84"/>
      <c r="AM528" s="84"/>
      <c r="AN528" s="40"/>
      <c r="AO528" s="23"/>
    </row>
    <row r="529" spans="1:41" ht="15.75" x14ac:dyDescent="0.25">
      <c r="A529" s="44"/>
      <c r="B529" s="23"/>
      <c r="C529" s="23"/>
      <c r="D529" s="36"/>
      <c r="E529" s="23"/>
      <c r="F529" s="23"/>
      <c r="G529" s="40"/>
      <c r="H529" s="23"/>
      <c r="I529" s="23"/>
      <c r="J529" s="40"/>
      <c r="K529" s="36"/>
      <c r="L529" s="36"/>
      <c r="M529" s="40"/>
      <c r="N529" s="23"/>
      <c r="O529" s="36"/>
      <c r="P529" s="40"/>
      <c r="Q529" s="36"/>
      <c r="R529" s="36"/>
      <c r="S529" s="40"/>
      <c r="T529" s="23"/>
      <c r="U529" s="23"/>
      <c r="V529" s="40"/>
      <c r="W529" s="23"/>
      <c r="X529" s="23"/>
      <c r="Y529" s="40"/>
      <c r="Z529" s="23"/>
      <c r="AA529" s="23"/>
      <c r="AB529" s="40"/>
      <c r="AC529" s="42"/>
      <c r="AD529" s="42"/>
      <c r="AE529" s="40"/>
      <c r="AF529" s="42"/>
      <c r="AG529" s="42"/>
      <c r="AH529" s="23"/>
      <c r="AI529" s="42"/>
      <c r="AJ529" s="42"/>
      <c r="AK529" s="40"/>
      <c r="AL529" s="84"/>
      <c r="AM529" s="84"/>
      <c r="AN529" s="40"/>
      <c r="AO529" s="23"/>
    </row>
    <row r="530" spans="1:41" ht="15.75" x14ac:dyDescent="0.25">
      <c r="A530" s="44"/>
      <c r="B530" s="23"/>
      <c r="C530" s="23"/>
      <c r="D530" s="36"/>
      <c r="E530" s="23"/>
      <c r="F530" s="23"/>
      <c r="G530" s="40"/>
      <c r="H530" s="23"/>
      <c r="I530" s="23"/>
      <c r="J530" s="40"/>
      <c r="K530" s="36"/>
      <c r="L530" s="36"/>
      <c r="M530" s="40"/>
      <c r="N530" s="23"/>
      <c r="O530" s="36"/>
      <c r="P530" s="40"/>
      <c r="Q530" s="36"/>
      <c r="R530" s="36"/>
      <c r="S530" s="40"/>
      <c r="T530" s="23"/>
      <c r="U530" s="23"/>
      <c r="V530" s="40"/>
      <c r="W530" s="23"/>
      <c r="X530" s="23"/>
      <c r="Y530" s="40"/>
      <c r="Z530" s="23"/>
      <c r="AA530" s="23"/>
      <c r="AB530" s="40"/>
      <c r="AC530" s="42"/>
      <c r="AD530" s="42"/>
      <c r="AE530" s="40"/>
      <c r="AF530" s="42"/>
      <c r="AG530" s="42"/>
      <c r="AH530" s="23"/>
      <c r="AI530" s="42"/>
      <c r="AJ530" s="42"/>
      <c r="AK530" s="40"/>
      <c r="AL530" s="84"/>
      <c r="AM530" s="84"/>
      <c r="AN530" s="40"/>
      <c r="AO530" s="23"/>
    </row>
    <row r="531" spans="1:41" ht="15.75" x14ac:dyDescent="0.25">
      <c r="A531" s="44"/>
      <c r="B531" s="23"/>
      <c r="C531" s="23"/>
      <c r="D531" s="36"/>
      <c r="E531" s="23"/>
      <c r="F531" s="23"/>
      <c r="G531" s="40"/>
      <c r="H531" s="23"/>
      <c r="I531" s="23"/>
      <c r="J531" s="40"/>
      <c r="K531" s="36"/>
      <c r="L531" s="36"/>
      <c r="M531" s="40"/>
      <c r="N531" s="23"/>
      <c r="O531" s="36"/>
      <c r="P531" s="40"/>
      <c r="Q531" s="36"/>
      <c r="R531" s="36"/>
      <c r="S531" s="40"/>
      <c r="T531" s="23"/>
      <c r="U531" s="23"/>
      <c r="V531" s="40"/>
      <c r="W531" s="23"/>
      <c r="X531" s="23"/>
      <c r="Y531" s="40"/>
      <c r="Z531" s="23"/>
      <c r="AA531" s="23"/>
      <c r="AB531" s="40"/>
      <c r="AC531" s="42"/>
      <c r="AD531" s="42"/>
      <c r="AE531" s="40"/>
      <c r="AF531" s="42"/>
      <c r="AG531" s="42"/>
      <c r="AH531" s="23"/>
      <c r="AI531" s="42"/>
      <c r="AJ531" s="42"/>
      <c r="AK531" s="40"/>
      <c r="AL531" s="84"/>
      <c r="AM531" s="84"/>
      <c r="AN531" s="40"/>
      <c r="AO531" s="23"/>
    </row>
    <row r="532" spans="1:41" ht="15.75" x14ac:dyDescent="0.25">
      <c r="A532" s="44"/>
      <c r="B532" s="23"/>
      <c r="C532" s="23"/>
      <c r="D532" s="36"/>
      <c r="E532" s="23"/>
      <c r="F532" s="23"/>
      <c r="G532" s="40"/>
      <c r="H532" s="23"/>
      <c r="I532" s="23"/>
      <c r="J532" s="40"/>
      <c r="K532" s="36"/>
      <c r="L532" s="36"/>
      <c r="M532" s="40"/>
      <c r="N532" s="23"/>
      <c r="O532" s="36"/>
      <c r="P532" s="40"/>
      <c r="Q532" s="36"/>
      <c r="R532" s="36"/>
      <c r="S532" s="40"/>
      <c r="T532" s="23"/>
      <c r="U532" s="23"/>
      <c r="V532" s="40"/>
      <c r="W532" s="23"/>
      <c r="X532" s="23"/>
      <c r="Y532" s="40"/>
      <c r="Z532" s="23"/>
      <c r="AA532" s="23"/>
      <c r="AB532" s="40"/>
      <c r="AC532" s="42"/>
      <c r="AD532" s="42"/>
      <c r="AE532" s="40"/>
      <c r="AF532" s="42"/>
      <c r="AG532" s="42"/>
      <c r="AH532" s="23"/>
      <c r="AI532" s="42"/>
      <c r="AJ532" s="42"/>
      <c r="AK532" s="40"/>
      <c r="AL532" s="84"/>
      <c r="AM532" s="84"/>
      <c r="AN532" s="40"/>
      <c r="AO532" s="23"/>
    </row>
    <row r="533" spans="1:41" ht="15.75" x14ac:dyDescent="0.25">
      <c r="A533" s="44"/>
      <c r="B533" s="23"/>
      <c r="C533" s="23"/>
      <c r="D533" s="36"/>
      <c r="E533" s="23"/>
      <c r="F533" s="23"/>
      <c r="G533" s="40"/>
      <c r="H533" s="23"/>
      <c r="I533" s="23"/>
      <c r="J533" s="40"/>
      <c r="K533" s="36"/>
      <c r="L533" s="36"/>
      <c r="M533" s="40"/>
      <c r="N533" s="23"/>
      <c r="O533" s="36"/>
      <c r="P533" s="40"/>
      <c r="Q533" s="36"/>
      <c r="R533" s="36"/>
      <c r="S533" s="40"/>
      <c r="T533" s="23"/>
      <c r="U533" s="23"/>
      <c r="V533" s="40"/>
      <c r="W533" s="23"/>
      <c r="X533" s="23"/>
      <c r="Y533" s="40"/>
      <c r="Z533" s="23"/>
      <c r="AA533" s="23"/>
      <c r="AB533" s="40"/>
      <c r="AC533" s="42"/>
      <c r="AD533" s="42"/>
      <c r="AE533" s="40"/>
      <c r="AF533" s="42"/>
      <c r="AG533" s="42"/>
      <c r="AH533" s="23"/>
      <c r="AI533" s="42"/>
      <c r="AJ533" s="42"/>
      <c r="AK533" s="40"/>
      <c r="AL533" s="84"/>
      <c r="AM533" s="84"/>
      <c r="AN533" s="40"/>
      <c r="AO533" s="23"/>
    </row>
    <row r="534" spans="1:41" ht="15.75" x14ac:dyDescent="0.25">
      <c r="A534" s="44"/>
      <c r="B534" s="23"/>
      <c r="C534" s="23"/>
      <c r="D534" s="36"/>
      <c r="E534" s="23"/>
      <c r="F534" s="23"/>
      <c r="G534" s="40"/>
      <c r="H534" s="23"/>
      <c r="I534" s="23"/>
      <c r="J534" s="40"/>
      <c r="K534" s="36"/>
      <c r="L534" s="36"/>
      <c r="M534" s="40"/>
      <c r="N534" s="23"/>
      <c r="O534" s="36"/>
      <c r="P534" s="40"/>
      <c r="Q534" s="36"/>
      <c r="R534" s="36"/>
      <c r="S534" s="40"/>
      <c r="T534" s="23"/>
      <c r="U534" s="23"/>
      <c r="V534" s="40"/>
      <c r="W534" s="23"/>
      <c r="X534" s="23"/>
      <c r="Y534" s="40"/>
      <c r="Z534" s="23"/>
      <c r="AA534" s="23"/>
      <c r="AB534" s="40"/>
      <c r="AC534" s="42"/>
      <c r="AD534" s="42"/>
      <c r="AE534" s="40"/>
      <c r="AF534" s="42"/>
      <c r="AG534" s="42"/>
      <c r="AH534" s="23"/>
      <c r="AI534" s="42"/>
      <c r="AJ534" s="42"/>
      <c r="AK534" s="40"/>
      <c r="AL534" s="84"/>
      <c r="AM534" s="84"/>
      <c r="AN534" s="40"/>
      <c r="AO534" s="23"/>
    </row>
    <row r="535" spans="1:41" ht="15.75" x14ac:dyDescent="0.25">
      <c r="A535" s="44"/>
      <c r="B535" s="23"/>
      <c r="C535" s="23"/>
      <c r="D535" s="36"/>
      <c r="E535" s="23"/>
      <c r="F535" s="23"/>
      <c r="G535" s="40"/>
      <c r="H535" s="23"/>
      <c r="I535" s="23"/>
      <c r="J535" s="40"/>
      <c r="K535" s="36"/>
      <c r="L535" s="36"/>
      <c r="M535" s="40"/>
      <c r="N535" s="23"/>
      <c r="O535" s="36"/>
      <c r="P535" s="40"/>
      <c r="Q535" s="36"/>
      <c r="R535" s="36"/>
      <c r="S535" s="40"/>
      <c r="T535" s="23"/>
      <c r="U535" s="23"/>
      <c r="V535" s="40"/>
      <c r="W535" s="23"/>
      <c r="X535" s="23"/>
      <c r="Y535" s="40"/>
      <c r="Z535" s="23"/>
      <c r="AA535" s="23"/>
      <c r="AB535" s="40"/>
      <c r="AC535" s="42"/>
      <c r="AD535" s="42"/>
      <c r="AE535" s="40"/>
      <c r="AF535" s="42"/>
      <c r="AG535" s="42"/>
      <c r="AH535" s="23"/>
      <c r="AI535" s="42"/>
      <c r="AJ535" s="42"/>
      <c r="AK535" s="40"/>
      <c r="AL535" s="84"/>
      <c r="AM535" s="84"/>
      <c r="AN535" s="40"/>
      <c r="AO535" s="23"/>
    </row>
    <row r="536" spans="1:41" ht="15.75" x14ac:dyDescent="0.25">
      <c r="A536" s="44"/>
      <c r="B536" s="23"/>
      <c r="C536" s="23"/>
      <c r="D536" s="36"/>
      <c r="E536" s="23"/>
      <c r="F536" s="23"/>
      <c r="G536" s="40"/>
      <c r="H536" s="23"/>
      <c r="I536" s="23"/>
      <c r="J536" s="40"/>
      <c r="K536" s="36"/>
      <c r="L536" s="36"/>
      <c r="M536" s="40"/>
      <c r="N536" s="23"/>
      <c r="O536" s="36"/>
      <c r="P536" s="40"/>
      <c r="Q536" s="36"/>
      <c r="R536" s="36"/>
      <c r="S536" s="40"/>
      <c r="T536" s="23"/>
      <c r="U536" s="23"/>
      <c r="V536" s="40"/>
      <c r="W536" s="23"/>
      <c r="X536" s="23"/>
      <c r="Y536" s="40"/>
      <c r="Z536" s="23"/>
      <c r="AA536" s="23"/>
      <c r="AB536" s="40"/>
      <c r="AC536" s="42"/>
      <c r="AD536" s="42"/>
      <c r="AE536" s="40"/>
      <c r="AF536" s="42"/>
      <c r="AG536" s="42"/>
      <c r="AH536" s="23"/>
      <c r="AI536" s="42"/>
      <c r="AJ536" s="42"/>
      <c r="AK536" s="40"/>
      <c r="AL536" s="84"/>
      <c r="AM536" s="84"/>
      <c r="AN536" s="40"/>
      <c r="AO536" s="23"/>
    </row>
    <row r="537" spans="1:41" ht="15.75" x14ac:dyDescent="0.25">
      <c r="A537" s="44"/>
      <c r="B537" s="23"/>
      <c r="C537" s="23"/>
      <c r="D537" s="36"/>
      <c r="E537" s="23"/>
      <c r="F537" s="23"/>
      <c r="G537" s="40"/>
      <c r="H537" s="23"/>
      <c r="I537" s="23"/>
      <c r="J537" s="40"/>
      <c r="K537" s="36"/>
      <c r="L537" s="36"/>
      <c r="M537" s="40"/>
      <c r="N537" s="23"/>
      <c r="O537" s="36"/>
      <c r="P537" s="40"/>
      <c r="Q537" s="36"/>
      <c r="R537" s="36"/>
      <c r="S537" s="40"/>
      <c r="T537" s="23"/>
      <c r="U537" s="23"/>
      <c r="V537" s="40"/>
      <c r="W537" s="23"/>
      <c r="X537" s="23"/>
      <c r="Y537" s="40"/>
      <c r="Z537" s="23"/>
      <c r="AA537" s="23"/>
      <c r="AB537" s="40"/>
      <c r="AC537" s="42"/>
      <c r="AD537" s="42"/>
      <c r="AE537" s="40"/>
      <c r="AF537" s="42"/>
      <c r="AG537" s="42"/>
      <c r="AH537" s="23"/>
      <c r="AI537" s="42"/>
      <c r="AJ537" s="42"/>
      <c r="AK537" s="40"/>
      <c r="AL537" s="84"/>
      <c r="AM537" s="84"/>
      <c r="AN537" s="40"/>
      <c r="AO537" s="23"/>
    </row>
    <row r="538" spans="1:41" ht="15.75" x14ac:dyDescent="0.25">
      <c r="A538" s="44"/>
      <c r="B538" s="23"/>
      <c r="C538" s="23"/>
      <c r="D538" s="36"/>
      <c r="E538" s="23"/>
      <c r="F538" s="23"/>
      <c r="G538" s="40"/>
      <c r="H538" s="23"/>
      <c r="I538" s="23"/>
      <c r="J538" s="40"/>
      <c r="K538" s="36"/>
      <c r="L538" s="36"/>
      <c r="M538" s="40"/>
      <c r="N538" s="23"/>
      <c r="O538" s="36"/>
      <c r="P538" s="40"/>
      <c r="Q538" s="36"/>
      <c r="R538" s="36"/>
      <c r="S538" s="40"/>
      <c r="T538" s="23"/>
      <c r="U538" s="23"/>
      <c r="V538" s="40"/>
      <c r="W538" s="23"/>
      <c r="X538" s="23"/>
      <c r="Y538" s="40"/>
      <c r="Z538" s="23"/>
      <c r="AA538" s="23"/>
      <c r="AB538" s="40"/>
      <c r="AC538" s="42"/>
      <c r="AD538" s="42"/>
      <c r="AE538" s="40"/>
      <c r="AF538" s="42"/>
      <c r="AG538" s="42"/>
      <c r="AH538" s="23"/>
      <c r="AI538" s="42"/>
      <c r="AJ538" s="42"/>
      <c r="AK538" s="40"/>
      <c r="AL538" s="84"/>
      <c r="AM538" s="84"/>
      <c r="AN538" s="40"/>
      <c r="AO538" s="23"/>
    </row>
    <row r="539" spans="1:41" ht="15.75" x14ac:dyDescent="0.25">
      <c r="A539" s="44"/>
      <c r="B539" s="23"/>
      <c r="C539" s="23"/>
      <c r="D539" s="36"/>
      <c r="E539" s="23"/>
      <c r="F539" s="23"/>
      <c r="G539" s="40"/>
      <c r="H539" s="23"/>
      <c r="I539" s="23"/>
      <c r="J539" s="40"/>
      <c r="K539" s="36"/>
      <c r="L539" s="36"/>
      <c r="M539" s="40"/>
      <c r="N539" s="23"/>
      <c r="O539" s="36"/>
      <c r="P539" s="40"/>
      <c r="Q539" s="36"/>
      <c r="R539" s="36"/>
      <c r="S539" s="40"/>
      <c r="T539" s="23"/>
      <c r="U539" s="23"/>
      <c r="V539" s="40"/>
      <c r="W539" s="23"/>
      <c r="X539" s="23"/>
      <c r="Y539" s="40"/>
      <c r="Z539" s="23"/>
      <c r="AA539" s="23"/>
      <c r="AB539" s="40"/>
      <c r="AC539" s="42"/>
      <c r="AD539" s="42"/>
      <c r="AE539" s="40"/>
      <c r="AF539" s="42"/>
      <c r="AG539" s="42"/>
      <c r="AH539" s="23"/>
      <c r="AI539" s="42"/>
      <c r="AJ539" s="42"/>
      <c r="AK539" s="40"/>
      <c r="AL539" s="84"/>
      <c r="AM539" s="84"/>
      <c r="AN539" s="40"/>
      <c r="AO539" s="23"/>
    </row>
    <row r="540" spans="1:41" ht="15.75" x14ac:dyDescent="0.25">
      <c r="A540" s="44"/>
      <c r="B540" s="23"/>
      <c r="C540" s="23"/>
      <c r="D540" s="36"/>
      <c r="E540" s="23"/>
      <c r="F540" s="23"/>
      <c r="G540" s="40"/>
      <c r="H540" s="23"/>
      <c r="I540" s="23"/>
      <c r="J540" s="40"/>
      <c r="K540" s="36"/>
      <c r="L540" s="36"/>
      <c r="M540" s="40"/>
      <c r="N540" s="23"/>
      <c r="O540" s="36"/>
      <c r="P540" s="40"/>
      <c r="Q540" s="36"/>
      <c r="R540" s="36"/>
      <c r="S540" s="40"/>
      <c r="T540" s="23"/>
      <c r="U540" s="23"/>
      <c r="V540" s="40"/>
      <c r="W540" s="23"/>
      <c r="X540" s="23"/>
      <c r="Y540" s="40"/>
      <c r="Z540" s="23"/>
      <c r="AA540" s="23"/>
      <c r="AB540" s="40"/>
      <c r="AC540" s="42"/>
      <c r="AD540" s="42"/>
      <c r="AE540" s="40"/>
      <c r="AF540" s="42"/>
      <c r="AG540" s="42"/>
      <c r="AH540" s="23"/>
      <c r="AI540" s="42"/>
      <c r="AJ540" s="42"/>
      <c r="AK540" s="40"/>
      <c r="AL540" s="84"/>
      <c r="AM540" s="84"/>
      <c r="AN540" s="40"/>
      <c r="AO540" s="23"/>
    </row>
    <row r="541" spans="1:41" ht="15.75" x14ac:dyDescent="0.25">
      <c r="A541" s="44"/>
      <c r="B541" s="23"/>
      <c r="C541" s="23"/>
      <c r="D541" s="36"/>
      <c r="E541" s="23"/>
      <c r="F541" s="23"/>
      <c r="G541" s="40"/>
      <c r="H541" s="23"/>
      <c r="I541" s="23"/>
      <c r="J541" s="40"/>
      <c r="K541" s="36"/>
      <c r="L541" s="36"/>
      <c r="M541" s="40"/>
      <c r="N541" s="23"/>
      <c r="O541" s="36"/>
      <c r="P541" s="40"/>
      <c r="Q541" s="36"/>
      <c r="R541" s="36"/>
      <c r="S541" s="40"/>
      <c r="T541" s="23"/>
      <c r="U541" s="23"/>
      <c r="V541" s="40"/>
      <c r="W541" s="23"/>
      <c r="X541" s="23"/>
      <c r="Y541" s="40"/>
      <c r="Z541" s="23"/>
      <c r="AA541" s="23"/>
      <c r="AB541" s="40"/>
      <c r="AC541" s="42"/>
      <c r="AD541" s="42"/>
      <c r="AE541" s="40"/>
      <c r="AF541" s="42"/>
      <c r="AG541" s="42"/>
      <c r="AH541" s="23"/>
      <c r="AI541" s="42"/>
      <c r="AJ541" s="42"/>
      <c r="AK541" s="40"/>
      <c r="AL541" s="84"/>
      <c r="AM541" s="84"/>
      <c r="AN541" s="40"/>
      <c r="AO541" s="23"/>
    </row>
    <row r="542" spans="1:41" ht="15.75" x14ac:dyDescent="0.25">
      <c r="A542" s="44"/>
      <c r="B542" s="23"/>
      <c r="C542" s="23"/>
      <c r="D542" s="36"/>
      <c r="E542" s="23"/>
      <c r="F542" s="23"/>
      <c r="G542" s="40"/>
      <c r="H542" s="23"/>
      <c r="I542" s="23"/>
      <c r="J542" s="40"/>
      <c r="K542" s="36"/>
      <c r="L542" s="36"/>
      <c r="M542" s="40"/>
      <c r="N542" s="23"/>
      <c r="O542" s="36"/>
      <c r="P542" s="40"/>
      <c r="Q542" s="36"/>
      <c r="R542" s="36"/>
      <c r="S542" s="40"/>
      <c r="T542" s="23"/>
      <c r="U542" s="23"/>
      <c r="V542" s="40"/>
      <c r="W542" s="23"/>
      <c r="X542" s="23"/>
      <c r="Y542" s="40"/>
      <c r="Z542" s="23"/>
      <c r="AA542" s="23"/>
      <c r="AB542" s="40"/>
      <c r="AC542" s="42"/>
      <c r="AD542" s="42"/>
      <c r="AE542" s="40"/>
      <c r="AF542" s="42"/>
      <c r="AG542" s="42"/>
      <c r="AH542" s="23"/>
      <c r="AI542" s="42"/>
      <c r="AJ542" s="42"/>
      <c r="AK542" s="40"/>
      <c r="AL542" s="84"/>
      <c r="AM542" s="84"/>
      <c r="AN542" s="40"/>
      <c r="AO542" s="23"/>
    </row>
    <row r="543" spans="1:41" ht="15.75" x14ac:dyDescent="0.25">
      <c r="A543" s="44"/>
      <c r="B543" s="23"/>
      <c r="C543" s="23"/>
      <c r="D543" s="36"/>
      <c r="E543" s="23"/>
      <c r="F543" s="23"/>
      <c r="G543" s="40"/>
      <c r="H543" s="23"/>
      <c r="I543" s="23"/>
      <c r="J543" s="40"/>
      <c r="K543" s="36"/>
      <c r="L543" s="36"/>
      <c r="M543" s="40"/>
      <c r="N543" s="23"/>
      <c r="O543" s="36"/>
      <c r="P543" s="40"/>
      <c r="Q543" s="36"/>
      <c r="R543" s="36"/>
      <c r="S543" s="40"/>
      <c r="T543" s="23"/>
      <c r="U543" s="23"/>
      <c r="V543" s="40"/>
      <c r="W543" s="23"/>
      <c r="X543" s="23"/>
      <c r="Y543" s="40"/>
      <c r="Z543" s="23"/>
      <c r="AA543" s="23"/>
      <c r="AB543" s="40"/>
      <c r="AC543" s="42"/>
      <c r="AD543" s="42"/>
      <c r="AE543" s="40"/>
      <c r="AF543" s="42"/>
      <c r="AG543" s="42"/>
      <c r="AH543" s="23"/>
      <c r="AI543" s="42"/>
      <c r="AJ543" s="42"/>
      <c r="AK543" s="40"/>
      <c r="AL543" s="84"/>
      <c r="AM543" s="84"/>
      <c r="AN543" s="40"/>
      <c r="AO543" s="23"/>
    </row>
    <row r="544" spans="1:41" ht="15.75" x14ac:dyDescent="0.25">
      <c r="A544" s="44"/>
      <c r="B544" s="23"/>
      <c r="C544" s="23"/>
      <c r="D544" s="36"/>
      <c r="E544" s="23"/>
      <c r="F544" s="23"/>
      <c r="G544" s="40"/>
      <c r="H544" s="23"/>
      <c r="I544" s="23"/>
      <c r="J544" s="40"/>
      <c r="K544" s="36"/>
      <c r="L544" s="36"/>
      <c r="M544" s="40"/>
      <c r="N544" s="23"/>
      <c r="O544" s="36"/>
      <c r="P544" s="40"/>
      <c r="Q544" s="36"/>
      <c r="R544" s="36"/>
      <c r="S544" s="40"/>
      <c r="T544" s="23"/>
      <c r="U544" s="23"/>
      <c r="V544" s="40"/>
      <c r="W544" s="23"/>
      <c r="X544" s="23"/>
      <c r="Y544" s="40"/>
      <c r="Z544" s="23"/>
      <c r="AA544" s="23"/>
      <c r="AB544" s="40"/>
      <c r="AC544" s="42"/>
      <c r="AD544" s="42"/>
      <c r="AE544" s="40"/>
      <c r="AF544" s="42"/>
      <c r="AG544" s="42"/>
      <c r="AH544" s="23"/>
      <c r="AI544" s="42"/>
      <c r="AJ544" s="42"/>
      <c r="AK544" s="40"/>
      <c r="AL544" s="84"/>
      <c r="AM544" s="84"/>
      <c r="AN544" s="40"/>
      <c r="AO544" s="23"/>
    </row>
    <row r="545" spans="1:41" ht="15.75" x14ac:dyDescent="0.25">
      <c r="A545" s="44"/>
      <c r="B545" s="23"/>
      <c r="C545" s="23"/>
      <c r="D545" s="36"/>
      <c r="E545" s="23"/>
      <c r="F545" s="23"/>
      <c r="G545" s="40"/>
      <c r="H545" s="23"/>
      <c r="I545" s="23"/>
      <c r="J545" s="40"/>
      <c r="K545" s="36"/>
      <c r="L545" s="36"/>
      <c r="M545" s="40"/>
      <c r="N545" s="23"/>
      <c r="O545" s="36"/>
      <c r="P545" s="40"/>
      <c r="Q545" s="36"/>
      <c r="R545" s="36"/>
      <c r="S545" s="40"/>
      <c r="T545" s="23"/>
      <c r="U545" s="23"/>
      <c r="V545" s="40"/>
      <c r="W545" s="23"/>
      <c r="X545" s="23"/>
      <c r="Y545" s="40"/>
      <c r="Z545" s="23"/>
      <c r="AA545" s="23"/>
      <c r="AB545" s="40"/>
      <c r="AC545" s="42"/>
      <c r="AD545" s="42"/>
      <c r="AE545" s="40"/>
      <c r="AF545" s="42"/>
      <c r="AG545" s="42"/>
      <c r="AH545" s="23"/>
      <c r="AI545" s="42"/>
      <c r="AJ545" s="42"/>
      <c r="AK545" s="40"/>
      <c r="AL545" s="84"/>
      <c r="AM545" s="84"/>
      <c r="AN545" s="40"/>
      <c r="AO545" s="23"/>
    </row>
    <row r="546" spans="1:41" ht="15.75" x14ac:dyDescent="0.25">
      <c r="A546" s="44"/>
      <c r="B546" s="23"/>
      <c r="C546" s="23"/>
      <c r="D546" s="36"/>
      <c r="E546" s="23"/>
      <c r="F546" s="23"/>
      <c r="G546" s="40"/>
      <c r="H546" s="23"/>
      <c r="I546" s="23"/>
      <c r="J546" s="40"/>
      <c r="K546" s="36"/>
      <c r="L546" s="36"/>
      <c r="M546" s="40"/>
      <c r="N546" s="23"/>
      <c r="O546" s="36"/>
      <c r="P546" s="40"/>
      <c r="Q546" s="36"/>
      <c r="R546" s="36"/>
      <c r="S546" s="40"/>
      <c r="T546" s="23"/>
      <c r="U546" s="23"/>
      <c r="V546" s="40"/>
      <c r="W546" s="23"/>
      <c r="X546" s="23"/>
      <c r="Y546" s="40"/>
      <c r="Z546" s="23"/>
      <c r="AA546" s="23"/>
      <c r="AB546" s="40"/>
      <c r="AC546" s="42"/>
      <c r="AD546" s="42"/>
      <c r="AE546" s="40"/>
      <c r="AF546" s="42"/>
      <c r="AG546" s="42"/>
      <c r="AH546" s="23"/>
      <c r="AI546" s="42"/>
      <c r="AJ546" s="42"/>
      <c r="AK546" s="40"/>
      <c r="AL546" s="84"/>
      <c r="AM546" s="84"/>
      <c r="AN546" s="40"/>
      <c r="AO546" s="23"/>
    </row>
    <row r="547" spans="1:41" ht="15.75" x14ac:dyDescent="0.25">
      <c r="A547" s="44"/>
      <c r="B547" s="23"/>
      <c r="C547" s="23"/>
      <c r="D547" s="36"/>
      <c r="E547" s="23"/>
      <c r="F547" s="23"/>
      <c r="G547" s="40"/>
      <c r="H547" s="23"/>
      <c r="I547" s="23"/>
      <c r="J547" s="40"/>
      <c r="K547" s="36"/>
      <c r="L547" s="36"/>
      <c r="M547" s="40"/>
      <c r="N547" s="23"/>
      <c r="O547" s="36"/>
      <c r="P547" s="40"/>
      <c r="Q547" s="36"/>
      <c r="R547" s="36"/>
      <c r="S547" s="40"/>
      <c r="T547" s="23"/>
      <c r="U547" s="23"/>
      <c r="V547" s="40"/>
      <c r="W547" s="23"/>
      <c r="X547" s="23"/>
      <c r="Y547" s="40"/>
      <c r="Z547" s="23"/>
      <c r="AA547" s="23"/>
      <c r="AB547" s="40"/>
      <c r="AC547" s="42"/>
      <c r="AD547" s="42"/>
      <c r="AE547" s="40"/>
      <c r="AF547" s="42"/>
      <c r="AG547" s="42"/>
      <c r="AH547" s="23"/>
      <c r="AI547" s="42"/>
      <c r="AJ547" s="42"/>
      <c r="AK547" s="40"/>
      <c r="AL547" s="84"/>
      <c r="AM547" s="84"/>
      <c r="AN547" s="40"/>
      <c r="AO547" s="23"/>
    </row>
    <row r="548" spans="1:41" ht="15.75" x14ac:dyDescent="0.25">
      <c r="A548" s="44"/>
      <c r="B548" s="23"/>
      <c r="C548" s="23"/>
      <c r="D548" s="36"/>
      <c r="E548" s="23"/>
      <c r="F548" s="23"/>
      <c r="G548" s="40"/>
      <c r="H548" s="23"/>
      <c r="I548" s="23"/>
      <c r="J548" s="40"/>
      <c r="K548" s="36"/>
      <c r="L548" s="36"/>
      <c r="M548" s="40"/>
      <c r="N548" s="23"/>
      <c r="O548" s="36"/>
      <c r="P548" s="40"/>
      <c r="Q548" s="36"/>
      <c r="R548" s="36"/>
      <c r="S548" s="40"/>
      <c r="T548" s="23"/>
      <c r="U548" s="23"/>
      <c r="V548" s="40"/>
      <c r="W548" s="23"/>
      <c r="X548" s="23"/>
      <c r="Y548" s="40"/>
      <c r="Z548" s="23"/>
      <c r="AA548" s="23"/>
      <c r="AB548" s="40"/>
      <c r="AC548" s="42"/>
      <c r="AD548" s="42"/>
      <c r="AE548" s="40"/>
      <c r="AF548" s="42"/>
      <c r="AG548" s="42"/>
      <c r="AH548" s="23"/>
      <c r="AI548" s="42"/>
      <c r="AJ548" s="42"/>
      <c r="AK548" s="40"/>
      <c r="AL548" s="84"/>
      <c r="AM548" s="84"/>
      <c r="AN548" s="40"/>
      <c r="AO548" s="23"/>
    </row>
    <row r="549" spans="1:41" ht="15.75" x14ac:dyDescent="0.25">
      <c r="A549" s="44"/>
      <c r="B549" s="23"/>
      <c r="C549" s="23"/>
      <c r="D549" s="36"/>
      <c r="E549" s="23"/>
      <c r="F549" s="23"/>
      <c r="G549" s="40"/>
      <c r="H549" s="23"/>
      <c r="I549" s="23"/>
      <c r="J549" s="40"/>
      <c r="K549" s="36"/>
      <c r="L549" s="36"/>
      <c r="M549" s="40"/>
      <c r="N549" s="23"/>
      <c r="O549" s="36"/>
      <c r="P549" s="40"/>
      <c r="Q549" s="36"/>
      <c r="R549" s="36"/>
      <c r="S549" s="40"/>
      <c r="T549" s="23"/>
      <c r="U549" s="23"/>
      <c r="V549" s="40"/>
      <c r="W549" s="23"/>
      <c r="X549" s="23"/>
      <c r="Y549" s="40"/>
      <c r="Z549" s="23"/>
      <c r="AA549" s="23"/>
      <c r="AB549" s="40"/>
      <c r="AC549" s="42"/>
      <c r="AD549" s="42"/>
      <c r="AE549" s="40"/>
      <c r="AF549" s="42"/>
      <c r="AG549" s="42"/>
      <c r="AH549" s="23"/>
      <c r="AI549" s="42"/>
      <c r="AJ549" s="42"/>
      <c r="AK549" s="40"/>
      <c r="AL549" s="84"/>
      <c r="AM549" s="84"/>
      <c r="AN549" s="40"/>
      <c r="AO549" s="23"/>
    </row>
    <row r="550" spans="1:41" ht="15.75" x14ac:dyDescent="0.25">
      <c r="A550" s="44"/>
      <c r="B550" s="23"/>
      <c r="C550" s="23"/>
      <c r="D550" s="36"/>
      <c r="E550" s="23"/>
      <c r="F550" s="23"/>
      <c r="G550" s="40"/>
      <c r="H550" s="23"/>
      <c r="I550" s="23"/>
      <c r="J550" s="40"/>
      <c r="K550" s="36"/>
      <c r="L550" s="36"/>
      <c r="M550" s="40"/>
      <c r="N550" s="23"/>
      <c r="O550" s="36"/>
      <c r="P550" s="40"/>
      <c r="Q550" s="36"/>
      <c r="R550" s="36"/>
      <c r="S550" s="40"/>
      <c r="T550" s="23"/>
      <c r="U550" s="23"/>
      <c r="V550" s="40"/>
      <c r="W550" s="23"/>
      <c r="X550" s="23"/>
      <c r="Y550" s="40"/>
      <c r="Z550" s="23"/>
      <c r="AA550" s="23"/>
      <c r="AB550" s="40"/>
      <c r="AC550" s="42"/>
      <c r="AD550" s="42"/>
      <c r="AE550" s="40"/>
      <c r="AF550" s="42"/>
      <c r="AG550" s="42"/>
      <c r="AH550" s="23"/>
      <c r="AI550" s="42"/>
      <c r="AJ550" s="42"/>
      <c r="AK550" s="40"/>
      <c r="AL550" s="84"/>
      <c r="AM550" s="84"/>
      <c r="AN550" s="40"/>
      <c r="AO550" s="23"/>
    </row>
    <row r="551" spans="1:41" ht="15.75" x14ac:dyDescent="0.25">
      <c r="A551" s="44"/>
      <c r="B551" s="23"/>
      <c r="C551" s="23"/>
      <c r="D551" s="36"/>
      <c r="E551" s="23"/>
      <c r="F551" s="23"/>
      <c r="G551" s="40"/>
      <c r="H551" s="23"/>
      <c r="I551" s="23"/>
      <c r="J551" s="40"/>
      <c r="K551" s="36"/>
      <c r="L551" s="36"/>
      <c r="M551" s="40"/>
      <c r="N551" s="23"/>
      <c r="O551" s="36"/>
      <c r="P551" s="40"/>
      <c r="Q551" s="36"/>
      <c r="R551" s="36"/>
      <c r="S551" s="40"/>
      <c r="T551" s="23"/>
      <c r="U551" s="23"/>
      <c r="V551" s="40"/>
      <c r="W551" s="23"/>
      <c r="X551" s="23"/>
      <c r="Y551" s="40"/>
      <c r="Z551" s="23"/>
      <c r="AA551" s="23"/>
      <c r="AB551" s="40"/>
      <c r="AC551" s="42"/>
      <c r="AD551" s="42"/>
      <c r="AE551" s="40"/>
      <c r="AF551" s="42"/>
      <c r="AG551" s="42"/>
      <c r="AH551" s="23"/>
      <c r="AI551" s="42"/>
      <c r="AJ551" s="42"/>
      <c r="AK551" s="40"/>
      <c r="AL551" s="84"/>
      <c r="AM551" s="84"/>
      <c r="AN551" s="40"/>
      <c r="AO551" s="23"/>
    </row>
    <row r="552" spans="1:41" ht="15.75" x14ac:dyDescent="0.25">
      <c r="A552" s="44"/>
      <c r="B552" s="23"/>
      <c r="C552" s="23"/>
      <c r="D552" s="36"/>
      <c r="E552" s="23"/>
      <c r="F552" s="23"/>
      <c r="G552" s="40"/>
      <c r="H552" s="23"/>
      <c r="I552" s="23"/>
      <c r="J552" s="40"/>
      <c r="K552" s="36"/>
      <c r="L552" s="36"/>
      <c r="M552" s="40"/>
      <c r="N552" s="23"/>
      <c r="O552" s="36"/>
      <c r="P552" s="40"/>
      <c r="Q552" s="36"/>
      <c r="R552" s="36"/>
      <c r="S552" s="40"/>
      <c r="T552" s="23"/>
      <c r="U552" s="23"/>
      <c r="V552" s="40"/>
      <c r="W552" s="23"/>
      <c r="X552" s="23"/>
      <c r="Y552" s="40"/>
      <c r="Z552" s="23"/>
      <c r="AA552" s="23"/>
      <c r="AB552" s="40"/>
      <c r="AC552" s="42"/>
      <c r="AD552" s="42"/>
      <c r="AE552" s="40"/>
      <c r="AF552" s="42"/>
      <c r="AG552" s="42"/>
      <c r="AH552" s="23"/>
      <c r="AI552" s="42"/>
      <c r="AJ552" s="42"/>
      <c r="AK552" s="40"/>
      <c r="AL552" s="84"/>
      <c r="AM552" s="84"/>
      <c r="AN552" s="40"/>
      <c r="AO552" s="23"/>
    </row>
    <row r="553" spans="1:41" ht="15.75" x14ac:dyDescent="0.25">
      <c r="A553" s="44"/>
      <c r="B553" s="23"/>
      <c r="C553" s="23"/>
      <c r="D553" s="36"/>
      <c r="E553" s="23"/>
      <c r="F553" s="23"/>
      <c r="G553" s="40"/>
      <c r="H553" s="23"/>
      <c r="I553" s="23"/>
      <c r="J553" s="40"/>
      <c r="K553" s="36"/>
      <c r="L553" s="36"/>
      <c r="M553" s="40"/>
      <c r="N553" s="23"/>
      <c r="O553" s="36"/>
      <c r="P553" s="40"/>
      <c r="Q553" s="36"/>
      <c r="R553" s="36"/>
      <c r="S553" s="40"/>
      <c r="T553" s="23"/>
      <c r="U553" s="23"/>
      <c r="V553" s="40"/>
      <c r="W553" s="23"/>
      <c r="X553" s="23"/>
      <c r="Y553" s="40"/>
      <c r="Z553" s="23"/>
      <c r="AA553" s="23"/>
      <c r="AB553" s="40"/>
      <c r="AC553" s="42"/>
      <c r="AD553" s="42"/>
      <c r="AE553" s="40"/>
      <c r="AF553" s="42"/>
      <c r="AG553" s="42"/>
      <c r="AH553" s="23"/>
      <c r="AI553" s="42"/>
      <c r="AJ553" s="42"/>
      <c r="AK553" s="40"/>
      <c r="AL553" s="84"/>
      <c r="AM553" s="84"/>
      <c r="AN553" s="40"/>
      <c r="AO553" s="23"/>
    </row>
    <row r="554" spans="1:41" ht="15.75" x14ac:dyDescent="0.25">
      <c r="A554" s="44"/>
      <c r="B554" s="23"/>
      <c r="C554" s="23"/>
      <c r="D554" s="36"/>
      <c r="E554" s="23"/>
      <c r="F554" s="23"/>
      <c r="G554" s="40"/>
      <c r="H554" s="23"/>
      <c r="I554" s="23"/>
      <c r="J554" s="40"/>
      <c r="K554" s="36"/>
      <c r="L554" s="36"/>
      <c r="M554" s="40"/>
      <c r="N554" s="23"/>
      <c r="O554" s="36"/>
      <c r="P554" s="40"/>
      <c r="Q554" s="36"/>
      <c r="R554" s="36"/>
      <c r="S554" s="40"/>
      <c r="T554" s="23"/>
      <c r="U554" s="23"/>
      <c r="V554" s="40"/>
      <c r="W554" s="23"/>
      <c r="X554" s="23"/>
      <c r="Y554" s="40"/>
      <c r="Z554" s="23"/>
      <c r="AA554" s="23"/>
      <c r="AB554" s="40"/>
      <c r="AC554" s="42"/>
      <c r="AD554" s="42"/>
      <c r="AE554" s="40"/>
      <c r="AF554" s="42"/>
      <c r="AG554" s="42"/>
      <c r="AH554" s="23"/>
      <c r="AI554" s="42"/>
      <c r="AJ554" s="42"/>
      <c r="AK554" s="40"/>
      <c r="AL554" s="84"/>
      <c r="AM554" s="84"/>
      <c r="AN554" s="40"/>
      <c r="AO554" s="23"/>
    </row>
    <row r="555" spans="1:41" ht="15.75" x14ac:dyDescent="0.25">
      <c r="A555" s="44"/>
      <c r="B555" s="23"/>
      <c r="C555" s="23"/>
      <c r="D555" s="36"/>
      <c r="E555" s="23"/>
      <c r="F555" s="23"/>
      <c r="G555" s="40"/>
      <c r="H555" s="23"/>
      <c r="I555" s="23"/>
      <c r="J555" s="40"/>
      <c r="K555" s="36"/>
      <c r="L555" s="36"/>
      <c r="M555" s="40"/>
      <c r="N555" s="23"/>
      <c r="O555" s="36"/>
      <c r="P555" s="40"/>
      <c r="Q555" s="36"/>
      <c r="R555" s="36"/>
      <c r="S555" s="40"/>
      <c r="T555" s="23"/>
      <c r="U555" s="23"/>
      <c r="V555" s="40"/>
      <c r="W555" s="23"/>
      <c r="X555" s="23"/>
      <c r="Y555" s="40"/>
      <c r="Z555" s="23"/>
      <c r="AA555" s="23"/>
      <c r="AB555" s="40"/>
      <c r="AC555" s="42"/>
      <c r="AD555" s="42"/>
      <c r="AE555" s="40"/>
      <c r="AF555" s="42"/>
      <c r="AG555" s="42"/>
      <c r="AH555" s="23"/>
      <c r="AI555" s="42"/>
      <c r="AJ555" s="42"/>
      <c r="AK555" s="40"/>
      <c r="AL555" s="84"/>
      <c r="AM555" s="84"/>
      <c r="AN555" s="40"/>
      <c r="AO555" s="23"/>
    </row>
    <row r="556" spans="1:41" ht="15.75" x14ac:dyDescent="0.25">
      <c r="A556" s="44"/>
      <c r="B556" s="23"/>
      <c r="C556" s="23"/>
      <c r="D556" s="36"/>
      <c r="E556" s="23"/>
      <c r="F556" s="23"/>
      <c r="G556" s="40"/>
      <c r="H556" s="23"/>
      <c r="I556" s="23"/>
      <c r="J556" s="40"/>
      <c r="K556" s="36"/>
      <c r="L556" s="36"/>
      <c r="M556" s="40"/>
      <c r="N556" s="23"/>
      <c r="O556" s="36"/>
      <c r="P556" s="40"/>
      <c r="Q556" s="36"/>
      <c r="R556" s="36"/>
      <c r="S556" s="40"/>
      <c r="T556" s="23"/>
      <c r="U556" s="23"/>
      <c r="V556" s="40"/>
      <c r="W556" s="23"/>
      <c r="X556" s="23"/>
      <c r="Y556" s="40"/>
      <c r="Z556" s="23"/>
      <c r="AA556" s="23"/>
      <c r="AB556" s="40"/>
      <c r="AC556" s="42"/>
      <c r="AD556" s="42"/>
      <c r="AE556" s="40"/>
      <c r="AF556" s="42"/>
      <c r="AG556" s="42"/>
      <c r="AH556" s="23"/>
      <c r="AI556" s="42"/>
      <c r="AJ556" s="42"/>
      <c r="AK556" s="40"/>
      <c r="AL556" s="84"/>
      <c r="AM556" s="84"/>
      <c r="AN556" s="40"/>
      <c r="AO556" s="23"/>
    </row>
    <row r="557" spans="1:41" ht="15.75" x14ac:dyDescent="0.25">
      <c r="A557" s="44"/>
      <c r="B557" s="23"/>
      <c r="C557" s="23"/>
      <c r="D557" s="36"/>
      <c r="E557" s="23"/>
      <c r="F557" s="23"/>
      <c r="G557" s="40"/>
      <c r="H557" s="23"/>
      <c r="I557" s="23"/>
      <c r="J557" s="40"/>
      <c r="K557" s="36"/>
      <c r="L557" s="36"/>
      <c r="M557" s="40"/>
      <c r="N557" s="23"/>
      <c r="O557" s="36"/>
      <c r="P557" s="40"/>
      <c r="Q557" s="36"/>
      <c r="R557" s="36"/>
      <c r="S557" s="40"/>
      <c r="T557" s="23"/>
      <c r="U557" s="23"/>
      <c r="V557" s="40"/>
      <c r="W557" s="23"/>
      <c r="X557" s="23"/>
      <c r="Y557" s="40"/>
      <c r="Z557" s="23"/>
      <c r="AA557" s="23"/>
      <c r="AB557" s="40"/>
      <c r="AC557" s="42"/>
      <c r="AD557" s="42"/>
      <c r="AE557" s="40"/>
      <c r="AF557" s="42"/>
      <c r="AG557" s="42"/>
      <c r="AH557" s="23"/>
      <c r="AI557" s="42"/>
      <c r="AJ557" s="42"/>
      <c r="AK557" s="40"/>
      <c r="AL557" s="84"/>
      <c r="AM557" s="84"/>
      <c r="AN557" s="40"/>
      <c r="AO557" s="23"/>
    </row>
    <row r="558" spans="1:41" ht="15.75" x14ac:dyDescent="0.25">
      <c r="A558" s="44"/>
      <c r="B558" s="23"/>
      <c r="C558" s="23"/>
      <c r="D558" s="36"/>
      <c r="E558" s="23"/>
      <c r="F558" s="23"/>
      <c r="G558" s="40"/>
      <c r="H558" s="23"/>
      <c r="I558" s="23"/>
      <c r="J558" s="40"/>
      <c r="K558" s="36"/>
      <c r="L558" s="36"/>
      <c r="M558" s="40"/>
      <c r="N558" s="23"/>
      <c r="O558" s="36"/>
      <c r="P558" s="40"/>
      <c r="Q558" s="36"/>
      <c r="R558" s="36"/>
      <c r="S558" s="40"/>
      <c r="T558" s="23"/>
      <c r="U558" s="23"/>
      <c r="V558" s="40"/>
      <c r="W558" s="23"/>
      <c r="X558" s="23"/>
      <c r="Y558" s="40"/>
      <c r="Z558" s="23"/>
      <c r="AA558" s="23"/>
      <c r="AB558" s="40"/>
      <c r="AC558" s="42"/>
      <c r="AD558" s="42"/>
      <c r="AE558" s="40"/>
      <c r="AF558" s="42"/>
      <c r="AG558" s="42"/>
      <c r="AH558" s="23"/>
      <c r="AI558" s="42"/>
      <c r="AJ558" s="42"/>
      <c r="AK558" s="40"/>
      <c r="AL558" s="84"/>
      <c r="AM558" s="84"/>
      <c r="AN558" s="40"/>
      <c r="AO558" s="23"/>
    </row>
    <row r="559" spans="1:41" ht="15.75" x14ac:dyDescent="0.25">
      <c r="A559" s="44"/>
      <c r="B559" s="23"/>
      <c r="C559" s="23"/>
      <c r="D559" s="36"/>
      <c r="E559" s="23"/>
      <c r="F559" s="23"/>
      <c r="G559" s="40"/>
      <c r="H559" s="23"/>
      <c r="I559" s="23"/>
      <c r="J559" s="40"/>
      <c r="K559" s="36"/>
      <c r="L559" s="36"/>
      <c r="M559" s="40"/>
      <c r="N559" s="23"/>
      <c r="O559" s="36"/>
      <c r="P559" s="40"/>
      <c r="Q559" s="36"/>
      <c r="R559" s="36"/>
      <c r="S559" s="40"/>
      <c r="T559" s="23"/>
      <c r="U559" s="23"/>
      <c r="V559" s="40"/>
      <c r="W559" s="23"/>
      <c r="X559" s="23"/>
      <c r="Y559" s="40"/>
      <c r="Z559" s="23"/>
      <c r="AA559" s="23"/>
      <c r="AB559" s="40"/>
      <c r="AC559" s="42"/>
      <c r="AD559" s="42"/>
      <c r="AE559" s="40"/>
      <c r="AF559" s="42"/>
      <c r="AG559" s="42"/>
      <c r="AH559" s="23"/>
      <c r="AI559" s="42"/>
      <c r="AJ559" s="42"/>
      <c r="AK559" s="40"/>
      <c r="AL559" s="84"/>
      <c r="AM559" s="84"/>
      <c r="AN559" s="40"/>
      <c r="AO559" s="23"/>
    </row>
    <row r="560" spans="1:41" ht="15.75" x14ac:dyDescent="0.25">
      <c r="A560" s="44"/>
      <c r="B560" s="23"/>
      <c r="C560" s="23"/>
      <c r="D560" s="36"/>
      <c r="E560" s="23"/>
      <c r="F560" s="23"/>
      <c r="G560" s="40"/>
      <c r="H560" s="23"/>
      <c r="I560" s="23"/>
      <c r="J560" s="40"/>
      <c r="K560" s="36"/>
      <c r="L560" s="36"/>
      <c r="M560" s="40"/>
      <c r="N560" s="23"/>
      <c r="O560" s="36"/>
      <c r="P560" s="40"/>
      <c r="Q560" s="36"/>
      <c r="R560" s="36"/>
      <c r="S560" s="40"/>
      <c r="T560" s="23"/>
      <c r="U560" s="23"/>
      <c r="V560" s="40"/>
      <c r="W560" s="23"/>
      <c r="X560" s="23"/>
      <c r="Y560" s="40"/>
      <c r="Z560" s="23"/>
      <c r="AA560" s="23"/>
      <c r="AB560" s="40"/>
      <c r="AC560" s="42"/>
      <c r="AD560" s="42"/>
      <c r="AE560" s="40"/>
      <c r="AF560" s="42"/>
      <c r="AG560" s="42"/>
      <c r="AH560" s="23"/>
      <c r="AI560" s="42"/>
      <c r="AJ560" s="42"/>
      <c r="AK560" s="40"/>
      <c r="AL560" s="84"/>
      <c r="AM560" s="84"/>
      <c r="AN560" s="40"/>
      <c r="AO560" s="23"/>
    </row>
    <row r="561" spans="1:41" ht="15.75" x14ac:dyDescent="0.25">
      <c r="A561" s="44"/>
      <c r="B561" s="23"/>
      <c r="C561" s="23"/>
      <c r="D561" s="36"/>
      <c r="E561" s="23"/>
      <c r="F561" s="23"/>
      <c r="G561" s="40"/>
      <c r="H561" s="23"/>
      <c r="I561" s="23"/>
      <c r="J561" s="40"/>
      <c r="K561" s="36"/>
      <c r="L561" s="36"/>
      <c r="M561" s="40"/>
      <c r="N561" s="23"/>
      <c r="O561" s="36"/>
      <c r="P561" s="40"/>
      <c r="Q561" s="36"/>
      <c r="R561" s="36"/>
      <c r="S561" s="40"/>
      <c r="T561" s="23"/>
      <c r="U561" s="23"/>
      <c r="V561" s="40"/>
      <c r="W561" s="23"/>
      <c r="X561" s="23"/>
      <c r="Y561" s="40"/>
      <c r="Z561" s="23"/>
      <c r="AA561" s="23"/>
      <c r="AB561" s="40"/>
      <c r="AC561" s="42"/>
      <c r="AD561" s="42"/>
      <c r="AE561" s="40"/>
      <c r="AF561" s="42"/>
      <c r="AG561" s="42"/>
      <c r="AH561" s="23"/>
      <c r="AI561" s="42"/>
      <c r="AJ561" s="42"/>
      <c r="AK561" s="40"/>
      <c r="AL561" s="84"/>
      <c r="AM561" s="84"/>
      <c r="AN561" s="40"/>
      <c r="AO561" s="23"/>
    </row>
    <row r="562" spans="1:41" ht="15.75" x14ac:dyDescent="0.25">
      <c r="A562" s="44"/>
      <c r="B562" s="23"/>
      <c r="C562" s="23"/>
      <c r="D562" s="36"/>
      <c r="E562" s="23"/>
      <c r="F562" s="23"/>
      <c r="G562" s="40"/>
      <c r="H562" s="23"/>
      <c r="I562" s="23"/>
      <c r="J562" s="40"/>
      <c r="K562" s="36"/>
      <c r="L562" s="36"/>
      <c r="M562" s="40"/>
      <c r="N562" s="23"/>
      <c r="O562" s="36"/>
      <c r="P562" s="40"/>
      <c r="Q562" s="36"/>
      <c r="R562" s="36"/>
      <c r="S562" s="40"/>
      <c r="T562" s="23"/>
      <c r="U562" s="23"/>
      <c r="V562" s="40"/>
      <c r="W562" s="23"/>
      <c r="X562" s="23"/>
      <c r="Y562" s="40"/>
      <c r="Z562" s="23"/>
      <c r="AA562" s="23"/>
      <c r="AB562" s="40"/>
      <c r="AC562" s="42"/>
      <c r="AD562" s="42"/>
      <c r="AE562" s="40"/>
      <c r="AF562" s="42"/>
      <c r="AG562" s="42"/>
      <c r="AH562" s="23"/>
      <c r="AI562" s="42"/>
      <c r="AJ562" s="42"/>
      <c r="AK562" s="40"/>
      <c r="AL562" s="84"/>
      <c r="AM562" s="84"/>
      <c r="AN562" s="40"/>
      <c r="AO562" s="23"/>
    </row>
    <row r="563" spans="1:41" ht="15.75" x14ac:dyDescent="0.25">
      <c r="A563" s="44"/>
      <c r="B563" s="23"/>
      <c r="C563" s="23"/>
      <c r="D563" s="36"/>
      <c r="E563" s="23"/>
      <c r="F563" s="23"/>
      <c r="G563" s="40"/>
      <c r="H563" s="23"/>
      <c r="I563" s="23"/>
      <c r="J563" s="40"/>
      <c r="K563" s="36"/>
      <c r="L563" s="36"/>
      <c r="M563" s="40"/>
      <c r="N563" s="23"/>
      <c r="O563" s="36"/>
      <c r="P563" s="40"/>
      <c r="Q563" s="36"/>
      <c r="R563" s="36"/>
      <c r="S563" s="40"/>
      <c r="T563" s="23"/>
      <c r="U563" s="23"/>
      <c r="V563" s="40"/>
      <c r="W563" s="23"/>
      <c r="X563" s="23"/>
      <c r="Y563" s="40"/>
      <c r="Z563" s="23"/>
      <c r="AA563" s="23"/>
      <c r="AB563" s="40"/>
      <c r="AC563" s="42"/>
      <c r="AD563" s="42"/>
      <c r="AE563" s="40"/>
      <c r="AF563" s="42"/>
      <c r="AG563" s="42"/>
      <c r="AH563" s="23"/>
      <c r="AI563" s="42"/>
      <c r="AJ563" s="42"/>
      <c r="AK563" s="40"/>
      <c r="AL563" s="84"/>
      <c r="AM563" s="84"/>
      <c r="AN563" s="40"/>
      <c r="AO563" s="23"/>
    </row>
    <row r="564" spans="1:41" ht="15.75" x14ac:dyDescent="0.25">
      <c r="A564" s="44"/>
      <c r="B564" s="23"/>
      <c r="C564" s="23"/>
      <c r="D564" s="36"/>
      <c r="E564" s="23"/>
      <c r="F564" s="23"/>
      <c r="G564" s="40"/>
      <c r="H564" s="23"/>
      <c r="I564" s="23"/>
      <c r="J564" s="40"/>
      <c r="K564" s="36"/>
      <c r="L564" s="36"/>
      <c r="M564" s="40"/>
      <c r="N564" s="23"/>
      <c r="O564" s="36"/>
      <c r="P564" s="40"/>
      <c r="Q564" s="36"/>
      <c r="R564" s="36"/>
      <c r="S564" s="40"/>
      <c r="T564" s="23"/>
      <c r="U564" s="23"/>
      <c r="V564" s="40"/>
      <c r="W564" s="23"/>
      <c r="X564" s="23"/>
      <c r="Y564" s="40"/>
      <c r="Z564" s="23"/>
      <c r="AA564" s="23"/>
      <c r="AB564" s="40"/>
      <c r="AC564" s="42"/>
      <c r="AD564" s="42"/>
      <c r="AE564" s="40"/>
      <c r="AF564" s="42"/>
      <c r="AG564" s="42"/>
      <c r="AH564" s="23"/>
      <c r="AI564" s="42"/>
      <c r="AJ564" s="42"/>
      <c r="AK564" s="40"/>
      <c r="AL564" s="84"/>
      <c r="AM564" s="84"/>
      <c r="AN564" s="40"/>
      <c r="AO564" s="23"/>
    </row>
    <row r="565" spans="1:41" ht="15.75" x14ac:dyDescent="0.25">
      <c r="A565" s="44"/>
      <c r="B565" s="23"/>
      <c r="C565" s="23"/>
      <c r="D565" s="36"/>
      <c r="E565" s="23"/>
      <c r="F565" s="23"/>
      <c r="G565" s="40"/>
      <c r="H565" s="23"/>
      <c r="I565" s="23"/>
      <c r="J565" s="40"/>
      <c r="K565" s="36"/>
      <c r="L565" s="36"/>
      <c r="M565" s="40"/>
      <c r="N565" s="23"/>
      <c r="O565" s="36"/>
      <c r="P565" s="40"/>
      <c r="Q565" s="36"/>
      <c r="R565" s="36"/>
      <c r="S565" s="40"/>
      <c r="T565" s="23"/>
      <c r="U565" s="23"/>
      <c r="V565" s="40"/>
      <c r="W565" s="23"/>
      <c r="X565" s="23"/>
      <c r="Y565" s="40"/>
      <c r="Z565" s="23"/>
      <c r="AA565" s="23"/>
      <c r="AB565" s="40"/>
      <c r="AC565" s="42"/>
      <c r="AD565" s="42"/>
      <c r="AE565" s="40"/>
      <c r="AF565" s="42"/>
      <c r="AG565" s="42"/>
      <c r="AH565" s="23"/>
      <c r="AI565" s="42"/>
      <c r="AJ565" s="42"/>
      <c r="AK565" s="40"/>
      <c r="AL565" s="84"/>
      <c r="AM565" s="84"/>
      <c r="AN565" s="40"/>
      <c r="AO565" s="23"/>
    </row>
    <row r="566" spans="1:41" ht="15.75" x14ac:dyDescent="0.25">
      <c r="A566" s="44"/>
      <c r="B566" s="23"/>
      <c r="C566" s="23"/>
      <c r="D566" s="36"/>
      <c r="E566" s="23"/>
      <c r="F566" s="23"/>
      <c r="G566" s="40"/>
      <c r="H566" s="23"/>
      <c r="I566" s="23"/>
      <c r="J566" s="40"/>
      <c r="K566" s="36"/>
      <c r="L566" s="36"/>
      <c r="M566" s="40"/>
      <c r="N566" s="23"/>
      <c r="O566" s="36"/>
      <c r="P566" s="40"/>
      <c r="Q566" s="36"/>
      <c r="R566" s="36"/>
      <c r="S566" s="40"/>
      <c r="T566" s="23"/>
      <c r="U566" s="23"/>
      <c r="V566" s="40"/>
      <c r="W566" s="23"/>
      <c r="X566" s="23"/>
      <c r="Y566" s="40"/>
      <c r="Z566" s="23"/>
      <c r="AA566" s="23"/>
      <c r="AB566" s="40"/>
      <c r="AC566" s="42"/>
      <c r="AD566" s="42"/>
      <c r="AE566" s="40"/>
      <c r="AF566" s="42"/>
      <c r="AG566" s="42"/>
      <c r="AH566" s="23"/>
      <c r="AI566" s="42"/>
      <c r="AJ566" s="42"/>
      <c r="AK566" s="40"/>
      <c r="AL566" s="84"/>
      <c r="AM566" s="84"/>
      <c r="AN566" s="40"/>
      <c r="AO566" s="23"/>
    </row>
    <row r="567" spans="1:41" ht="15.75" x14ac:dyDescent="0.25">
      <c r="A567" s="44"/>
      <c r="B567" s="23"/>
      <c r="C567" s="23"/>
      <c r="D567" s="36"/>
      <c r="E567" s="23"/>
      <c r="F567" s="23"/>
      <c r="G567" s="40"/>
      <c r="H567" s="23"/>
      <c r="I567" s="23"/>
      <c r="J567" s="40"/>
      <c r="K567" s="36"/>
      <c r="L567" s="36"/>
      <c r="M567" s="40"/>
      <c r="N567" s="23"/>
      <c r="O567" s="36"/>
      <c r="P567" s="40"/>
      <c r="Q567" s="36"/>
      <c r="R567" s="36"/>
      <c r="S567" s="40"/>
      <c r="T567" s="23"/>
      <c r="U567" s="23"/>
      <c r="V567" s="40"/>
      <c r="W567" s="23"/>
      <c r="X567" s="23"/>
      <c r="Y567" s="40"/>
      <c r="Z567" s="23"/>
      <c r="AA567" s="23"/>
      <c r="AB567" s="40"/>
      <c r="AC567" s="42"/>
      <c r="AD567" s="42"/>
      <c r="AE567" s="40"/>
      <c r="AF567" s="42"/>
      <c r="AG567" s="42"/>
      <c r="AH567" s="23"/>
      <c r="AI567" s="42"/>
      <c r="AJ567" s="42"/>
      <c r="AK567" s="40"/>
      <c r="AL567" s="84"/>
      <c r="AM567" s="84"/>
      <c r="AN567" s="40"/>
      <c r="AO567" s="23"/>
    </row>
    <row r="568" spans="1:41" ht="15.75" x14ac:dyDescent="0.25">
      <c r="A568" s="44"/>
      <c r="B568" s="23"/>
      <c r="C568" s="23"/>
      <c r="D568" s="36"/>
      <c r="E568" s="23"/>
      <c r="F568" s="23"/>
      <c r="G568" s="40"/>
      <c r="H568" s="23"/>
      <c r="I568" s="23"/>
      <c r="J568" s="40"/>
      <c r="K568" s="36"/>
      <c r="L568" s="36"/>
      <c r="M568" s="40"/>
      <c r="N568" s="23"/>
      <c r="O568" s="36"/>
      <c r="P568" s="40"/>
      <c r="Q568" s="36"/>
      <c r="R568" s="36"/>
      <c r="S568" s="40"/>
      <c r="T568" s="23"/>
      <c r="U568" s="23"/>
      <c r="V568" s="40"/>
      <c r="W568" s="23"/>
      <c r="X568" s="23"/>
      <c r="Y568" s="40"/>
      <c r="Z568" s="23"/>
      <c r="AA568" s="23"/>
      <c r="AB568" s="40"/>
      <c r="AC568" s="42"/>
      <c r="AD568" s="42"/>
      <c r="AE568" s="40"/>
      <c r="AF568" s="42"/>
      <c r="AG568" s="42"/>
      <c r="AH568" s="23"/>
      <c r="AI568" s="42"/>
      <c r="AJ568" s="42"/>
      <c r="AK568" s="40"/>
      <c r="AL568" s="84"/>
      <c r="AM568" s="84"/>
      <c r="AN568" s="40"/>
      <c r="AO568" s="23"/>
    </row>
    <row r="569" spans="1:41" ht="15.75" x14ac:dyDescent="0.25">
      <c r="A569" s="44"/>
      <c r="B569" s="23"/>
      <c r="C569" s="23"/>
      <c r="D569" s="36"/>
      <c r="E569" s="23"/>
      <c r="F569" s="23"/>
      <c r="G569" s="40"/>
      <c r="H569" s="23"/>
      <c r="I569" s="23"/>
      <c r="J569" s="40"/>
      <c r="K569" s="36"/>
      <c r="L569" s="36"/>
      <c r="M569" s="40"/>
      <c r="N569" s="23"/>
      <c r="O569" s="36"/>
      <c r="P569" s="40"/>
      <c r="Q569" s="36"/>
      <c r="R569" s="36"/>
      <c r="S569" s="40"/>
      <c r="T569" s="23"/>
      <c r="U569" s="23"/>
      <c r="V569" s="40"/>
      <c r="W569" s="23"/>
      <c r="X569" s="23"/>
      <c r="Y569" s="40"/>
      <c r="Z569" s="23"/>
      <c r="AA569" s="23"/>
      <c r="AB569" s="40"/>
      <c r="AC569" s="42"/>
      <c r="AD569" s="42"/>
      <c r="AE569" s="40"/>
      <c r="AF569" s="42"/>
      <c r="AG569" s="42"/>
      <c r="AH569" s="23"/>
      <c r="AI569" s="42"/>
      <c r="AJ569" s="42"/>
      <c r="AK569" s="40"/>
      <c r="AL569" s="84"/>
      <c r="AM569" s="84"/>
      <c r="AN569" s="40"/>
      <c r="AO569" s="23"/>
    </row>
    <row r="570" spans="1:41" ht="15.75" x14ac:dyDescent="0.25">
      <c r="A570" s="44"/>
      <c r="B570" s="23"/>
      <c r="C570" s="23"/>
      <c r="D570" s="36"/>
      <c r="E570" s="23"/>
      <c r="F570" s="23"/>
      <c r="G570" s="40"/>
      <c r="H570" s="23"/>
      <c r="I570" s="23"/>
      <c r="J570" s="40"/>
      <c r="K570" s="36"/>
      <c r="L570" s="36"/>
      <c r="M570" s="40"/>
      <c r="N570" s="23"/>
      <c r="O570" s="36"/>
      <c r="P570" s="40"/>
      <c r="Q570" s="36"/>
      <c r="R570" s="36"/>
      <c r="S570" s="40"/>
      <c r="T570" s="23"/>
      <c r="U570" s="23"/>
      <c r="V570" s="40"/>
      <c r="W570" s="23"/>
      <c r="X570" s="23"/>
      <c r="Y570" s="40"/>
      <c r="Z570" s="23"/>
      <c r="AA570" s="23"/>
      <c r="AB570" s="40"/>
      <c r="AC570" s="42"/>
      <c r="AD570" s="42"/>
      <c r="AE570" s="40"/>
      <c r="AF570" s="42"/>
      <c r="AG570" s="42"/>
      <c r="AH570" s="23"/>
      <c r="AI570" s="42"/>
      <c r="AJ570" s="42"/>
      <c r="AK570" s="40"/>
      <c r="AL570" s="84"/>
      <c r="AM570" s="84"/>
      <c r="AN570" s="40"/>
      <c r="AO570" s="23"/>
    </row>
    <row r="571" spans="1:41" ht="15.75" x14ac:dyDescent="0.25">
      <c r="A571" s="44"/>
      <c r="B571" s="23"/>
      <c r="C571" s="23"/>
      <c r="D571" s="36"/>
      <c r="E571" s="23"/>
      <c r="F571" s="23"/>
      <c r="G571" s="40"/>
      <c r="H571" s="23"/>
      <c r="I571" s="23"/>
      <c r="J571" s="40"/>
      <c r="K571" s="36"/>
      <c r="L571" s="36"/>
      <c r="M571" s="40"/>
      <c r="N571" s="23"/>
      <c r="O571" s="36"/>
      <c r="P571" s="40"/>
      <c r="Q571" s="36"/>
      <c r="R571" s="36"/>
      <c r="S571" s="40"/>
      <c r="T571" s="23"/>
      <c r="U571" s="23"/>
      <c r="V571" s="40"/>
      <c r="W571" s="23"/>
      <c r="X571" s="23"/>
      <c r="Y571" s="40"/>
      <c r="Z571" s="23"/>
      <c r="AA571" s="23"/>
      <c r="AB571" s="40"/>
      <c r="AC571" s="42"/>
      <c r="AD571" s="42"/>
      <c r="AE571" s="40"/>
      <c r="AF571" s="42"/>
      <c r="AG571" s="42"/>
      <c r="AH571" s="23"/>
      <c r="AI571" s="42"/>
      <c r="AJ571" s="42"/>
      <c r="AK571" s="40"/>
      <c r="AL571" s="84"/>
      <c r="AM571" s="84"/>
      <c r="AN571" s="40"/>
      <c r="AO571" s="23"/>
    </row>
    <row r="572" spans="1:41" ht="15.75" x14ac:dyDescent="0.25">
      <c r="A572" s="44"/>
      <c r="B572" s="23"/>
      <c r="C572" s="23"/>
      <c r="D572" s="36"/>
      <c r="E572" s="23"/>
      <c r="F572" s="23"/>
      <c r="G572" s="40"/>
      <c r="H572" s="23"/>
      <c r="I572" s="23"/>
      <c r="J572" s="40"/>
      <c r="K572" s="36"/>
      <c r="L572" s="36"/>
      <c r="M572" s="40"/>
      <c r="N572" s="23"/>
      <c r="O572" s="36"/>
      <c r="P572" s="40"/>
      <c r="Q572" s="36"/>
      <c r="R572" s="36"/>
      <c r="S572" s="40"/>
      <c r="T572" s="23"/>
      <c r="U572" s="23"/>
      <c r="V572" s="40"/>
      <c r="W572" s="23"/>
      <c r="X572" s="23"/>
      <c r="Y572" s="40"/>
      <c r="Z572" s="23"/>
      <c r="AA572" s="23"/>
      <c r="AB572" s="40"/>
      <c r="AC572" s="42"/>
      <c r="AD572" s="42"/>
      <c r="AE572" s="40"/>
      <c r="AF572" s="42"/>
      <c r="AG572" s="42"/>
      <c r="AH572" s="23"/>
      <c r="AI572" s="42"/>
      <c r="AJ572" s="42"/>
      <c r="AK572" s="40"/>
      <c r="AL572" s="84"/>
      <c r="AM572" s="84"/>
      <c r="AN572" s="40"/>
      <c r="AO572" s="23"/>
    </row>
    <row r="573" spans="1:41" ht="15.75" x14ac:dyDescent="0.25">
      <c r="A573" s="44"/>
      <c r="B573" s="23"/>
      <c r="C573" s="23"/>
      <c r="D573" s="36"/>
      <c r="E573" s="23"/>
      <c r="F573" s="23"/>
      <c r="G573" s="40"/>
      <c r="H573" s="23"/>
      <c r="I573" s="23"/>
      <c r="J573" s="40"/>
      <c r="K573" s="36"/>
      <c r="L573" s="36"/>
      <c r="M573" s="40"/>
      <c r="N573" s="23"/>
      <c r="O573" s="36"/>
      <c r="P573" s="40"/>
      <c r="Q573" s="36"/>
      <c r="R573" s="36"/>
      <c r="S573" s="40"/>
      <c r="T573" s="23"/>
      <c r="U573" s="23"/>
      <c r="V573" s="40"/>
      <c r="W573" s="23"/>
      <c r="X573" s="23"/>
      <c r="Y573" s="40"/>
      <c r="Z573" s="23"/>
      <c r="AA573" s="23"/>
      <c r="AB573" s="40"/>
      <c r="AC573" s="42"/>
      <c r="AD573" s="42"/>
      <c r="AE573" s="40"/>
      <c r="AF573" s="42"/>
      <c r="AG573" s="42"/>
      <c r="AH573" s="23"/>
      <c r="AI573" s="42"/>
      <c r="AJ573" s="42"/>
      <c r="AK573" s="40"/>
      <c r="AL573" s="84"/>
      <c r="AM573" s="84"/>
      <c r="AN573" s="40"/>
      <c r="AO573" s="23"/>
    </row>
    <row r="574" spans="1:41" ht="15.75" x14ac:dyDescent="0.25">
      <c r="A574" s="44"/>
      <c r="B574" s="23"/>
      <c r="C574" s="23"/>
      <c r="D574" s="36"/>
      <c r="E574" s="23"/>
      <c r="F574" s="23"/>
      <c r="G574" s="40"/>
      <c r="H574" s="23"/>
      <c r="I574" s="23"/>
      <c r="J574" s="40"/>
      <c r="K574" s="36"/>
      <c r="L574" s="36"/>
      <c r="M574" s="40"/>
      <c r="N574" s="23"/>
      <c r="O574" s="36"/>
      <c r="P574" s="40"/>
      <c r="Q574" s="36"/>
      <c r="R574" s="36"/>
      <c r="S574" s="40"/>
      <c r="T574" s="23"/>
      <c r="U574" s="23"/>
      <c r="V574" s="40"/>
      <c r="W574" s="23"/>
      <c r="X574" s="23"/>
      <c r="Y574" s="40"/>
      <c r="Z574" s="23"/>
      <c r="AA574" s="23"/>
      <c r="AB574" s="40"/>
      <c r="AC574" s="42"/>
      <c r="AD574" s="42"/>
      <c r="AE574" s="40"/>
      <c r="AF574" s="42"/>
      <c r="AG574" s="42"/>
      <c r="AH574" s="23"/>
      <c r="AI574" s="42"/>
      <c r="AJ574" s="42"/>
      <c r="AK574" s="40"/>
      <c r="AL574" s="84"/>
      <c r="AM574" s="84"/>
      <c r="AN574" s="40"/>
      <c r="AO574" s="23"/>
    </row>
    <row r="575" spans="1:41" ht="15.75" x14ac:dyDescent="0.25">
      <c r="A575" s="44"/>
      <c r="B575" s="23"/>
      <c r="C575" s="23"/>
      <c r="D575" s="36"/>
      <c r="E575" s="23"/>
      <c r="F575" s="23"/>
      <c r="G575" s="40"/>
      <c r="H575" s="23"/>
      <c r="I575" s="23"/>
      <c r="J575" s="40"/>
      <c r="K575" s="36"/>
      <c r="L575" s="36"/>
      <c r="M575" s="40"/>
      <c r="N575" s="23"/>
      <c r="O575" s="36"/>
      <c r="P575" s="40"/>
      <c r="Q575" s="36"/>
      <c r="R575" s="36"/>
      <c r="S575" s="40"/>
      <c r="T575" s="23"/>
      <c r="U575" s="23"/>
      <c r="V575" s="40"/>
      <c r="W575" s="23"/>
      <c r="X575" s="23"/>
      <c r="Y575" s="40"/>
      <c r="Z575" s="23"/>
      <c r="AA575" s="23"/>
      <c r="AB575" s="40"/>
      <c r="AC575" s="42"/>
      <c r="AD575" s="42"/>
      <c r="AE575" s="40"/>
      <c r="AF575" s="42"/>
      <c r="AG575" s="42"/>
      <c r="AH575" s="23"/>
      <c r="AI575" s="42"/>
      <c r="AJ575" s="42"/>
      <c r="AK575" s="40"/>
      <c r="AL575" s="84"/>
      <c r="AM575" s="84"/>
      <c r="AN575" s="40"/>
      <c r="AO575" s="23"/>
    </row>
    <row r="576" spans="1:41" ht="15.75" x14ac:dyDescent="0.25">
      <c r="A576" s="44"/>
      <c r="B576" s="23"/>
      <c r="C576" s="23"/>
      <c r="D576" s="36"/>
      <c r="E576" s="23"/>
      <c r="F576" s="23"/>
      <c r="G576" s="40"/>
      <c r="H576" s="23"/>
      <c r="I576" s="23"/>
      <c r="J576" s="40"/>
      <c r="K576" s="36"/>
      <c r="L576" s="36"/>
      <c r="M576" s="40"/>
      <c r="N576" s="23"/>
      <c r="O576" s="36"/>
      <c r="P576" s="40"/>
      <c r="Q576" s="36"/>
      <c r="R576" s="36"/>
      <c r="S576" s="40"/>
      <c r="T576" s="23"/>
      <c r="U576" s="23"/>
      <c r="V576" s="40"/>
      <c r="W576" s="23"/>
      <c r="X576" s="23"/>
      <c r="Y576" s="40"/>
      <c r="Z576" s="23"/>
      <c r="AA576" s="23"/>
      <c r="AB576" s="40"/>
      <c r="AC576" s="42"/>
      <c r="AD576" s="42"/>
      <c r="AE576" s="40"/>
      <c r="AF576" s="42"/>
      <c r="AG576" s="42"/>
      <c r="AH576" s="23"/>
      <c r="AI576" s="42"/>
      <c r="AJ576" s="42"/>
      <c r="AK576" s="40"/>
      <c r="AL576" s="84"/>
      <c r="AM576" s="84"/>
      <c r="AN576" s="40"/>
      <c r="AO576" s="23"/>
    </row>
    <row r="577" spans="1:41" ht="15.75" x14ac:dyDescent="0.25">
      <c r="A577" s="44"/>
      <c r="B577" s="23"/>
      <c r="C577" s="23"/>
      <c r="D577" s="36"/>
      <c r="E577" s="23"/>
      <c r="F577" s="23"/>
      <c r="G577" s="40"/>
      <c r="H577" s="23"/>
      <c r="I577" s="23"/>
      <c r="J577" s="40"/>
      <c r="K577" s="36"/>
      <c r="L577" s="36"/>
      <c r="M577" s="40"/>
      <c r="N577" s="23"/>
      <c r="O577" s="36"/>
      <c r="P577" s="40"/>
      <c r="Q577" s="36"/>
      <c r="R577" s="36"/>
      <c r="S577" s="40"/>
      <c r="T577" s="23"/>
      <c r="U577" s="23"/>
      <c r="V577" s="40"/>
      <c r="W577" s="23"/>
      <c r="X577" s="23"/>
      <c r="Y577" s="40"/>
      <c r="Z577" s="23"/>
      <c r="AA577" s="23"/>
      <c r="AB577" s="40"/>
      <c r="AC577" s="42"/>
      <c r="AD577" s="42"/>
      <c r="AE577" s="40"/>
      <c r="AF577" s="42"/>
      <c r="AG577" s="42"/>
      <c r="AH577" s="23"/>
      <c r="AI577" s="42"/>
      <c r="AJ577" s="42"/>
      <c r="AK577" s="40"/>
      <c r="AL577" s="84"/>
      <c r="AM577" s="84"/>
      <c r="AN577" s="40"/>
      <c r="AO577" s="23"/>
    </row>
    <row r="578" spans="1:41" ht="15.75" x14ac:dyDescent="0.25">
      <c r="A578" s="44"/>
      <c r="B578" s="23"/>
      <c r="C578" s="23"/>
      <c r="D578" s="36"/>
      <c r="E578" s="23"/>
      <c r="F578" s="23"/>
      <c r="G578" s="40"/>
      <c r="H578" s="23"/>
      <c r="I578" s="23"/>
      <c r="J578" s="40"/>
      <c r="K578" s="36"/>
      <c r="L578" s="36"/>
      <c r="M578" s="40"/>
      <c r="N578" s="23"/>
      <c r="O578" s="36"/>
      <c r="P578" s="40"/>
      <c r="Q578" s="36"/>
      <c r="R578" s="36"/>
      <c r="S578" s="40"/>
      <c r="T578" s="23"/>
      <c r="U578" s="23"/>
      <c r="V578" s="40"/>
      <c r="W578" s="23"/>
      <c r="X578" s="23"/>
      <c r="Y578" s="40"/>
      <c r="Z578" s="23"/>
      <c r="AA578" s="23"/>
      <c r="AB578" s="40"/>
      <c r="AC578" s="42"/>
      <c r="AD578" s="42"/>
      <c r="AE578" s="40"/>
      <c r="AF578" s="42"/>
      <c r="AG578" s="42"/>
      <c r="AH578" s="23"/>
      <c r="AI578" s="42"/>
      <c r="AJ578" s="42"/>
      <c r="AK578" s="40"/>
      <c r="AL578" s="84"/>
      <c r="AM578" s="84"/>
      <c r="AN578" s="40"/>
      <c r="AO578" s="23"/>
    </row>
    <row r="579" spans="1:41" ht="15.75" x14ac:dyDescent="0.25">
      <c r="A579" s="44"/>
      <c r="B579" s="23"/>
      <c r="C579" s="23"/>
      <c r="D579" s="36"/>
      <c r="E579" s="23"/>
      <c r="F579" s="23"/>
      <c r="G579" s="40"/>
      <c r="H579" s="23"/>
      <c r="I579" s="23"/>
      <c r="J579" s="40"/>
      <c r="K579" s="36"/>
      <c r="L579" s="36"/>
      <c r="M579" s="40"/>
      <c r="N579" s="23"/>
      <c r="O579" s="36"/>
      <c r="P579" s="40"/>
      <c r="Q579" s="36"/>
      <c r="R579" s="36"/>
      <c r="S579" s="40"/>
      <c r="T579" s="23"/>
      <c r="U579" s="23"/>
      <c r="V579" s="40"/>
      <c r="W579" s="23"/>
      <c r="X579" s="23"/>
      <c r="Y579" s="40"/>
      <c r="Z579" s="23"/>
      <c r="AA579" s="23"/>
      <c r="AB579" s="40"/>
      <c r="AC579" s="42"/>
      <c r="AD579" s="42"/>
      <c r="AE579" s="40"/>
      <c r="AF579" s="42"/>
      <c r="AG579" s="42"/>
      <c r="AH579" s="23"/>
      <c r="AI579" s="42"/>
      <c r="AJ579" s="42"/>
      <c r="AK579" s="40"/>
      <c r="AL579" s="84"/>
      <c r="AM579" s="84"/>
      <c r="AN579" s="40"/>
      <c r="AO579" s="23"/>
    </row>
    <row r="580" spans="1:41" ht="15.75" x14ac:dyDescent="0.25">
      <c r="A580" s="44"/>
      <c r="B580" s="23"/>
      <c r="C580" s="23"/>
      <c r="D580" s="36"/>
      <c r="E580" s="23"/>
      <c r="F580" s="23"/>
      <c r="G580" s="40"/>
      <c r="H580" s="23"/>
      <c r="I580" s="23"/>
      <c r="J580" s="40"/>
      <c r="K580" s="36"/>
      <c r="L580" s="36"/>
      <c r="M580" s="40"/>
      <c r="N580" s="23"/>
      <c r="O580" s="36"/>
      <c r="P580" s="40"/>
      <c r="Q580" s="36"/>
      <c r="R580" s="36"/>
      <c r="S580" s="40"/>
      <c r="T580" s="23"/>
      <c r="U580" s="23"/>
      <c r="V580" s="40"/>
      <c r="W580" s="23"/>
      <c r="X580" s="23"/>
      <c r="Y580" s="40"/>
      <c r="Z580" s="23"/>
      <c r="AA580" s="23"/>
      <c r="AB580" s="40"/>
      <c r="AC580" s="42"/>
      <c r="AD580" s="42"/>
      <c r="AE580" s="40"/>
      <c r="AF580" s="42"/>
      <c r="AG580" s="42"/>
      <c r="AH580" s="23"/>
      <c r="AI580" s="42"/>
      <c r="AJ580" s="42"/>
      <c r="AK580" s="40"/>
      <c r="AL580" s="84"/>
      <c r="AM580" s="84"/>
      <c r="AN580" s="40"/>
      <c r="AO580" s="23"/>
    </row>
    <row r="581" spans="1:41" ht="15.75" x14ac:dyDescent="0.25">
      <c r="A581" s="44"/>
      <c r="B581" s="23"/>
      <c r="C581" s="23"/>
      <c r="D581" s="36"/>
      <c r="E581" s="23"/>
      <c r="F581" s="23"/>
      <c r="G581" s="40"/>
      <c r="H581" s="23"/>
      <c r="I581" s="23"/>
      <c r="J581" s="40"/>
      <c r="K581" s="36"/>
      <c r="L581" s="36"/>
      <c r="M581" s="40"/>
      <c r="N581" s="23"/>
      <c r="O581" s="36"/>
      <c r="P581" s="40"/>
      <c r="Q581" s="36"/>
      <c r="R581" s="36"/>
      <c r="S581" s="40"/>
      <c r="T581" s="23"/>
      <c r="U581" s="23"/>
      <c r="V581" s="40"/>
      <c r="W581" s="23"/>
      <c r="X581" s="23"/>
      <c r="Y581" s="40"/>
      <c r="Z581" s="23"/>
      <c r="AA581" s="23"/>
      <c r="AB581" s="40"/>
      <c r="AC581" s="42"/>
      <c r="AD581" s="42"/>
      <c r="AE581" s="40"/>
      <c r="AF581" s="42"/>
      <c r="AG581" s="42"/>
      <c r="AH581" s="23"/>
      <c r="AI581" s="42"/>
      <c r="AJ581" s="42"/>
      <c r="AK581" s="40"/>
      <c r="AL581" s="84"/>
      <c r="AM581" s="84"/>
      <c r="AN581" s="40"/>
      <c r="AO581" s="23"/>
    </row>
    <row r="582" spans="1:41" ht="15.75" x14ac:dyDescent="0.25">
      <c r="A582" s="44"/>
      <c r="B582" s="23"/>
      <c r="C582" s="23"/>
      <c r="D582" s="36"/>
      <c r="E582" s="23"/>
      <c r="F582" s="23"/>
      <c r="G582" s="40"/>
      <c r="H582" s="23"/>
      <c r="I582" s="23"/>
      <c r="J582" s="40"/>
      <c r="K582" s="36"/>
      <c r="L582" s="36"/>
      <c r="M582" s="40"/>
      <c r="N582" s="23"/>
      <c r="O582" s="36"/>
      <c r="P582" s="40"/>
      <c r="Q582" s="36"/>
      <c r="R582" s="36"/>
      <c r="S582" s="40"/>
      <c r="T582" s="23"/>
      <c r="U582" s="23"/>
      <c r="V582" s="40"/>
      <c r="W582" s="23"/>
      <c r="X582" s="23"/>
      <c r="Y582" s="40"/>
      <c r="Z582" s="23"/>
      <c r="AA582" s="23"/>
      <c r="AB582" s="40"/>
      <c r="AC582" s="42"/>
      <c r="AD582" s="42"/>
      <c r="AE582" s="40"/>
      <c r="AF582" s="42"/>
      <c r="AG582" s="42"/>
      <c r="AH582" s="23"/>
      <c r="AI582" s="42"/>
      <c r="AJ582" s="42"/>
      <c r="AK582" s="40"/>
      <c r="AL582" s="84"/>
      <c r="AM582" s="84"/>
      <c r="AN582" s="40"/>
      <c r="AO582" s="23"/>
    </row>
    <row r="583" spans="1:41" ht="15.75" x14ac:dyDescent="0.25">
      <c r="A583" s="44"/>
      <c r="B583" s="23"/>
      <c r="C583" s="23"/>
      <c r="D583" s="36"/>
      <c r="E583" s="23"/>
      <c r="F583" s="23"/>
      <c r="G583" s="40"/>
      <c r="H583" s="23"/>
      <c r="I583" s="23"/>
      <c r="J583" s="40"/>
      <c r="K583" s="36"/>
      <c r="L583" s="36"/>
      <c r="M583" s="40"/>
      <c r="N583" s="23"/>
      <c r="O583" s="36"/>
      <c r="P583" s="40"/>
      <c r="Q583" s="36"/>
      <c r="R583" s="36"/>
      <c r="S583" s="40"/>
      <c r="T583" s="23"/>
      <c r="U583" s="23"/>
      <c r="V583" s="40"/>
      <c r="W583" s="23"/>
      <c r="X583" s="23"/>
      <c r="Y583" s="40"/>
      <c r="Z583" s="23"/>
      <c r="AA583" s="23"/>
      <c r="AB583" s="40"/>
      <c r="AC583" s="42"/>
      <c r="AD583" s="42"/>
      <c r="AE583" s="40"/>
      <c r="AF583" s="42"/>
      <c r="AG583" s="42"/>
      <c r="AH583" s="23"/>
      <c r="AI583" s="42"/>
      <c r="AJ583" s="42"/>
      <c r="AK583" s="40"/>
      <c r="AL583" s="84"/>
      <c r="AM583" s="84"/>
      <c r="AN583" s="40"/>
      <c r="AO583" s="23"/>
    </row>
    <row r="584" spans="1:41" ht="15.75" x14ac:dyDescent="0.25">
      <c r="A584" s="44"/>
      <c r="B584" s="23"/>
      <c r="C584" s="23"/>
      <c r="D584" s="36"/>
      <c r="E584" s="23"/>
      <c r="F584" s="23"/>
      <c r="G584" s="40"/>
      <c r="H584" s="23"/>
      <c r="I584" s="23"/>
      <c r="J584" s="40"/>
      <c r="K584" s="36"/>
      <c r="L584" s="36"/>
      <c r="M584" s="40"/>
      <c r="N584" s="23"/>
      <c r="O584" s="36"/>
      <c r="P584" s="40"/>
      <c r="Q584" s="36"/>
      <c r="R584" s="36"/>
      <c r="S584" s="40"/>
      <c r="T584" s="23"/>
      <c r="U584" s="23"/>
      <c r="V584" s="40"/>
      <c r="W584" s="23"/>
      <c r="X584" s="23"/>
      <c r="Y584" s="40"/>
      <c r="Z584" s="23"/>
      <c r="AA584" s="23"/>
      <c r="AB584" s="40"/>
      <c r="AC584" s="42"/>
      <c r="AD584" s="42"/>
      <c r="AE584" s="40"/>
      <c r="AF584" s="42"/>
      <c r="AG584" s="42"/>
      <c r="AH584" s="23"/>
      <c r="AI584" s="42"/>
      <c r="AJ584" s="42"/>
      <c r="AK584" s="40"/>
      <c r="AL584" s="84"/>
      <c r="AM584" s="84"/>
      <c r="AN584" s="40"/>
      <c r="AO584" s="23"/>
    </row>
    <row r="585" spans="1:41" ht="15.75" x14ac:dyDescent="0.25">
      <c r="A585" s="44"/>
      <c r="B585" s="23"/>
      <c r="C585" s="23"/>
      <c r="D585" s="36"/>
      <c r="E585" s="23"/>
      <c r="F585" s="23"/>
      <c r="G585" s="40"/>
      <c r="H585" s="23"/>
      <c r="I585" s="23"/>
      <c r="J585" s="40"/>
      <c r="K585" s="36"/>
      <c r="L585" s="36"/>
      <c r="M585" s="40"/>
      <c r="N585" s="23"/>
      <c r="O585" s="36"/>
      <c r="P585" s="40"/>
      <c r="Q585" s="36"/>
      <c r="R585" s="36"/>
      <c r="S585" s="40"/>
      <c r="T585" s="23"/>
      <c r="U585" s="23"/>
      <c r="V585" s="40"/>
      <c r="W585" s="23"/>
      <c r="X585" s="23"/>
      <c r="Y585" s="40"/>
      <c r="Z585" s="23"/>
      <c r="AA585" s="23"/>
      <c r="AB585" s="40"/>
      <c r="AC585" s="42"/>
      <c r="AD585" s="42"/>
      <c r="AE585" s="40"/>
      <c r="AF585" s="42"/>
      <c r="AG585" s="42"/>
      <c r="AH585" s="23"/>
      <c r="AI585" s="42"/>
      <c r="AJ585" s="42"/>
      <c r="AK585" s="40"/>
      <c r="AL585" s="84"/>
      <c r="AM585" s="84"/>
      <c r="AN585" s="40"/>
      <c r="AO585" s="23"/>
    </row>
    <row r="586" spans="1:41" ht="15.75" x14ac:dyDescent="0.25">
      <c r="A586" s="44"/>
      <c r="B586" s="23"/>
      <c r="C586" s="23"/>
      <c r="D586" s="36"/>
      <c r="E586" s="23"/>
      <c r="F586" s="23"/>
      <c r="G586" s="40"/>
      <c r="H586" s="23"/>
      <c r="I586" s="23"/>
      <c r="J586" s="40"/>
      <c r="K586" s="36"/>
      <c r="L586" s="36"/>
      <c r="M586" s="40"/>
      <c r="N586" s="23"/>
      <c r="O586" s="36"/>
      <c r="P586" s="40"/>
      <c r="Q586" s="36"/>
      <c r="R586" s="36"/>
      <c r="S586" s="40"/>
      <c r="T586" s="23"/>
      <c r="U586" s="23"/>
      <c r="V586" s="40"/>
      <c r="W586" s="23"/>
      <c r="X586" s="23"/>
      <c r="Y586" s="40"/>
      <c r="Z586" s="23"/>
      <c r="AA586" s="23"/>
      <c r="AB586" s="40"/>
      <c r="AC586" s="42"/>
      <c r="AD586" s="42"/>
      <c r="AE586" s="40"/>
      <c r="AF586" s="42"/>
      <c r="AG586" s="42"/>
      <c r="AH586" s="23"/>
      <c r="AI586" s="42"/>
      <c r="AJ586" s="42"/>
      <c r="AK586" s="40"/>
      <c r="AL586" s="84"/>
      <c r="AM586" s="84"/>
      <c r="AN586" s="40"/>
      <c r="AO586" s="23"/>
    </row>
    <row r="587" spans="1:41" ht="15.75" x14ac:dyDescent="0.25">
      <c r="A587" s="44"/>
      <c r="B587" s="23"/>
      <c r="C587" s="23"/>
      <c r="D587" s="36"/>
      <c r="E587" s="23"/>
      <c r="F587" s="23"/>
      <c r="G587" s="40"/>
      <c r="H587" s="23"/>
      <c r="I587" s="23"/>
      <c r="J587" s="40"/>
      <c r="K587" s="36"/>
      <c r="L587" s="36"/>
      <c r="M587" s="40"/>
      <c r="N587" s="23"/>
      <c r="O587" s="36"/>
      <c r="P587" s="40"/>
      <c r="Q587" s="36"/>
      <c r="R587" s="36"/>
      <c r="S587" s="40"/>
      <c r="T587" s="23"/>
      <c r="U587" s="23"/>
      <c r="V587" s="40"/>
      <c r="W587" s="23"/>
      <c r="X587" s="23"/>
      <c r="Y587" s="40"/>
      <c r="Z587" s="23"/>
      <c r="AA587" s="23"/>
      <c r="AB587" s="40"/>
      <c r="AC587" s="42"/>
      <c r="AD587" s="42"/>
      <c r="AE587" s="40"/>
      <c r="AF587" s="42"/>
      <c r="AG587" s="42"/>
      <c r="AH587" s="23"/>
      <c r="AI587" s="42"/>
      <c r="AJ587" s="42"/>
      <c r="AK587" s="40"/>
      <c r="AL587" s="84"/>
      <c r="AM587" s="84"/>
      <c r="AN587" s="40"/>
      <c r="AO587" s="23"/>
    </row>
    <row r="588" spans="1:41" ht="15.75" x14ac:dyDescent="0.25">
      <c r="A588" s="44"/>
      <c r="B588" s="23"/>
      <c r="C588" s="23"/>
      <c r="D588" s="36"/>
      <c r="E588" s="23"/>
      <c r="F588" s="23"/>
      <c r="G588" s="40"/>
      <c r="H588" s="23"/>
      <c r="I588" s="23"/>
      <c r="J588" s="40"/>
      <c r="K588" s="36"/>
      <c r="L588" s="36"/>
      <c r="M588" s="40"/>
      <c r="N588" s="23"/>
      <c r="O588" s="36"/>
      <c r="P588" s="40"/>
      <c r="Q588" s="36"/>
      <c r="R588" s="36"/>
      <c r="S588" s="40"/>
      <c r="T588" s="23"/>
      <c r="U588" s="23"/>
      <c r="V588" s="40"/>
      <c r="W588" s="23"/>
      <c r="X588" s="23"/>
      <c r="Y588" s="40"/>
      <c r="Z588" s="23"/>
      <c r="AA588" s="23"/>
      <c r="AB588" s="40"/>
      <c r="AC588" s="42"/>
      <c r="AD588" s="42"/>
      <c r="AE588" s="40"/>
      <c r="AF588" s="42"/>
      <c r="AG588" s="42"/>
      <c r="AH588" s="23"/>
      <c r="AI588" s="42"/>
      <c r="AJ588" s="42"/>
      <c r="AK588" s="40"/>
      <c r="AL588" s="84"/>
      <c r="AM588" s="84"/>
      <c r="AN588" s="40"/>
      <c r="AO588" s="23"/>
    </row>
    <row r="589" spans="1:41" ht="15.75" x14ac:dyDescent="0.25">
      <c r="A589" s="44"/>
      <c r="B589" s="23"/>
      <c r="C589" s="23"/>
      <c r="D589" s="36"/>
      <c r="E589" s="23"/>
      <c r="F589" s="23"/>
      <c r="G589" s="40"/>
      <c r="H589" s="23"/>
      <c r="I589" s="23"/>
      <c r="J589" s="40"/>
      <c r="K589" s="36"/>
      <c r="L589" s="36"/>
      <c r="M589" s="40"/>
      <c r="N589" s="23"/>
      <c r="O589" s="36"/>
      <c r="P589" s="40"/>
      <c r="Q589" s="36"/>
      <c r="R589" s="36"/>
      <c r="S589" s="40"/>
      <c r="T589" s="23"/>
      <c r="U589" s="23"/>
      <c r="V589" s="40"/>
      <c r="W589" s="23"/>
      <c r="X589" s="23"/>
      <c r="Y589" s="40"/>
      <c r="Z589" s="23"/>
      <c r="AA589" s="23"/>
      <c r="AB589" s="40"/>
      <c r="AC589" s="42"/>
      <c r="AD589" s="42"/>
      <c r="AE589" s="40"/>
      <c r="AF589" s="42"/>
      <c r="AG589" s="42"/>
      <c r="AH589" s="23"/>
      <c r="AI589" s="42"/>
      <c r="AJ589" s="42"/>
      <c r="AK589" s="40"/>
      <c r="AL589" s="84"/>
      <c r="AM589" s="84"/>
      <c r="AN589" s="40"/>
      <c r="AO589" s="23"/>
    </row>
    <row r="590" spans="1:41" ht="15.75" x14ac:dyDescent="0.25">
      <c r="A590" s="44"/>
      <c r="B590" s="23"/>
      <c r="C590" s="23"/>
      <c r="D590" s="36"/>
      <c r="E590" s="23"/>
      <c r="F590" s="23"/>
      <c r="G590" s="40"/>
      <c r="H590" s="23"/>
      <c r="I590" s="23"/>
      <c r="J590" s="40"/>
      <c r="K590" s="36"/>
      <c r="L590" s="36"/>
      <c r="M590" s="40"/>
      <c r="N590" s="23"/>
      <c r="O590" s="36"/>
      <c r="P590" s="40"/>
      <c r="Q590" s="36"/>
      <c r="R590" s="36"/>
      <c r="S590" s="40"/>
      <c r="T590" s="23"/>
      <c r="U590" s="23"/>
      <c r="V590" s="40"/>
      <c r="W590" s="23"/>
      <c r="X590" s="23"/>
      <c r="Y590" s="40"/>
      <c r="Z590" s="23"/>
      <c r="AA590" s="23"/>
      <c r="AB590" s="40"/>
      <c r="AC590" s="42"/>
      <c r="AD590" s="42"/>
      <c r="AE590" s="40"/>
      <c r="AF590" s="42"/>
      <c r="AG590" s="42"/>
      <c r="AH590" s="23"/>
      <c r="AI590" s="42"/>
      <c r="AJ590" s="42"/>
      <c r="AK590" s="40"/>
      <c r="AL590" s="84"/>
      <c r="AM590" s="84"/>
      <c r="AN590" s="40"/>
      <c r="AO590" s="23"/>
    </row>
    <row r="591" spans="1:41" ht="15.75" x14ac:dyDescent="0.25">
      <c r="A591" s="44"/>
      <c r="B591" s="23"/>
      <c r="C591" s="23"/>
      <c r="D591" s="36"/>
      <c r="E591" s="23"/>
      <c r="F591" s="23"/>
      <c r="G591" s="40"/>
      <c r="H591" s="23"/>
      <c r="I591" s="23"/>
      <c r="J591" s="40"/>
      <c r="K591" s="36"/>
      <c r="L591" s="36"/>
      <c r="M591" s="40"/>
      <c r="N591" s="23"/>
      <c r="O591" s="36"/>
      <c r="P591" s="40"/>
      <c r="Q591" s="36"/>
      <c r="R591" s="36"/>
      <c r="S591" s="40"/>
      <c r="T591" s="23"/>
      <c r="U591" s="23"/>
      <c r="V591" s="40"/>
      <c r="W591" s="23"/>
      <c r="X591" s="23"/>
      <c r="Y591" s="40"/>
      <c r="Z591" s="23"/>
      <c r="AA591" s="23"/>
      <c r="AB591" s="40"/>
      <c r="AC591" s="42"/>
      <c r="AD591" s="42"/>
      <c r="AE591" s="40"/>
      <c r="AF591" s="42"/>
      <c r="AG591" s="42"/>
      <c r="AH591" s="23"/>
      <c r="AI591" s="42"/>
      <c r="AJ591" s="42"/>
      <c r="AK591" s="40"/>
      <c r="AL591" s="84"/>
      <c r="AM591" s="84"/>
      <c r="AN591" s="40"/>
      <c r="AO591" s="23"/>
    </row>
    <row r="592" spans="1:41" ht="15.75" x14ac:dyDescent="0.25">
      <c r="A592" s="44"/>
      <c r="B592" s="23"/>
      <c r="C592" s="23"/>
      <c r="D592" s="36"/>
      <c r="E592" s="23"/>
      <c r="F592" s="23"/>
      <c r="G592" s="40"/>
      <c r="H592" s="23"/>
      <c r="I592" s="23"/>
      <c r="J592" s="40"/>
      <c r="K592" s="36"/>
      <c r="L592" s="36"/>
      <c r="M592" s="40"/>
      <c r="N592" s="23"/>
      <c r="O592" s="36"/>
      <c r="P592" s="40"/>
      <c r="Q592" s="36"/>
      <c r="R592" s="36"/>
      <c r="S592" s="40"/>
      <c r="T592" s="23"/>
      <c r="U592" s="23"/>
      <c r="V592" s="40"/>
      <c r="W592" s="23"/>
      <c r="X592" s="23"/>
      <c r="Y592" s="40"/>
      <c r="Z592" s="23"/>
      <c r="AA592" s="23"/>
      <c r="AB592" s="40"/>
      <c r="AC592" s="42"/>
      <c r="AD592" s="42"/>
      <c r="AE592" s="40"/>
      <c r="AF592" s="42"/>
      <c r="AG592" s="42"/>
      <c r="AH592" s="23"/>
      <c r="AI592" s="42"/>
      <c r="AJ592" s="42"/>
      <c r="AK592" s="40"/>
      <c r="AL592" s="84"/>
      <c r="AM592" s="84"/>
      <c r="AN592" s="40"/>
      <c r="AO592" s="23"/>
    </row>
    <row r="593" spans="1:41" ht="15.75" x14ac:dyDescent="0.25">
      <c r="A593" s="44"/>
      <c r="B593" s="23"/>
      <c r="C593" s="23"/>
      <c r="D593" s="36"/>
      <c r="E593" s="23"/>
      <c r="F593" s="23"/>
      <c r="G593" s="40"/>
      <c r="H593" s="23"/>
      <c r="I593" s="23"/>
      <c r="J593" s="40"/>
      <c r="K593" s="36"/>
      <c r="L593" s="36"/>
      <c r="M593" s="40"/>
      <c r="N593" s="23"/>
      <c r="O593" s="36"/>
      <c r="P593" s="40"/>
      <c r="Q593" s="36"/>
      <c r="R593" s="36"/>
      <c r="S593" s="40"/>
      <c r="T593" s="23"/>
      <c r="U593" s="23"/>
      <c r="V593" s="40"/>
      <c r="W593" s="23"/>
      <c r="X593" s="23"/>
      <c r="Y593" s="40"/>
      <c r="Z593" s="23"/>
      <c r="AA593" s="23"/>
      <c r="AB593" s="40"/>
      <c r="AC593" s="42"/>
      <c r="AD593" s="42"/>
      <c r="AE593" s="40"/>
      <c r="AF593" s="42"/>
      <c r="AG593" s="42"/>
      <c r="AH593" s="23"/>
      <c r="AI593" s="42"/>
      <c r="AJ593" s="42"/>
      <c r="AK593" s="40"/>
      <c r="AL593" s="84"/>
      <c r="AM593" s="84"/>
      <c r="AN593" s="40"/>
      <c r="AO593" s="23"/>
    </row>
    <row r="594" spans="1:41" ht="15.75" x14ac:dyDescent="0.25">
      <c r="A594" s="44"/>
      <c r="B594" s="23"/>
      <c r="C594" s="23"/>
      <c r="D594" s="36"/>
      <c r="E594" s="23"/>
      <c r="F594" s="23"/>
      <c r="G594" s="40"/>
      <c r="H594" s="23"/>
      <c r="I594" s="23"/>
      <c r="J594" s="40"/>
      <c r="K594" s="36"/>
      <c r="L594" s="36"/>
      <c r="M594" s="40"/>
      <c r="N594" s="23"/>
      <c r="O594" s="36"/>
      <c r="P594" s="40"/>
      <c r="Q594" s="36"/>
      <c r="R594" s="36"/>
      <c r="S594" s="40"/>
      <c r="T594" s="23"/>
      <c r="U594" s="23"/>
      <c r="V594" s="40"/>
      <c r="W594" s="23"/>
      <c r="X594" s="23"/>
      <c r="Y594" s="40"/>
      <c r="Z594" s="23"/>
      <c r="AA594" s="23"/>
      <c r="AB594" s="40"/>
      <c r="AC594" s="42"/>
      <c r="AD594" s="42"/>
      <c r="AE594" s="40"/>
      <c r="AF594" s="42"/>
      <c r="AG594" s="42"/>
      <c r="AH594" s="23"/>
      <c r="AI594" s="42"/>
      <c r="AJ594" s="42"/>
      <c r="AK594" s="40"/>
      <c r="AL594" s="84"/>
      <c r="AM594" s="84"/>
      <c r="AN594" s="40"/>
      <c r="AO594" s="23"/>
    </row>
    <row r="595" spans="1:41" ht="15.75" x14ac:dyDescent="0.25">
      <c r="A595" s="44"/>
      <c r="B595" s="23"/>
      <c r="C595" s="23"/>
      <c r="D595" s="36"/>
      <c r="E595" s="23"/>
      <c r="F595" s="23"/>
      <c r="G595" s="40"/>
      <c r="H595" s="23"/>
      <c r="I595" s="23"/>
      <c r="J595" s="40"/>
      <c r="K595" s="36"/>
      <c r="L595" s="36"/>
      <c r="M595" s="40"/>
      <c r="N595" s="23"/>
      <c r="O595" s="36"/>
      <c r="P595" s="40"/>
      <c r="Q595" s="36"/>
      <c r="R595" s="36"/>
      <c r="S595" s="40"/>
      <c r="T595" s="23"/>
      <c r="U595" s="23"/>
      <c r="V595" s="40"/>
      <c r="W595" s="23"/>
      <c r="X595" s="23"/>
      <c r="Y595" s="40"/>
      <c r="Z595" s="23"/>
      <c r="AA595" s="23"/>
      <c r="AB595" s="40"/>
      <c r="AC595" s="42"/>
      <c r="AD595" s="42"/>
      <c r="AE595" s="40"/>
      <c r="AF595" s="42"/>
      <c r="AG595" s="42"/>
      <c r="AH595" s="23"/>
      <c r="AI595" s="42"/>
      <c r="AJ595" s="42"/>
      <c r="AK595" s="40"/>
      <c r="AL595" s="84"/>
      <c r="AM595" s="84"/>
      <c r="AN595" s="40"/>
      <c r="AO595" s="23"/>
    </row>
    <row r="596" spans="1:41" ht="15.75" x14ac:dyDescent="0.25">
      <c r="A596" s="44"/>
      <c r="B596" s="23"/>
      <c r="C596" s="23"/>
      <c r="D596" s="36"/>
      <c r="E596" s="23"/>
      <c r="F596" s="23"/>
      <c r="G596" s="40"/>
      <c r="H596" s="23"/>
      <c r="I596" s="23"/>
      <c r="J596" s="40"/>
      <c r="K596" s="36"/>
      <c r="L596" s="36"/>
      <c r="M596" s="40"/>
      <c r="N596" s="23"/>
      <c r="O596" s="36"/>
      <c r="P596" s="40"/>
      <c r="Q596" s="36"/>
      <c r="R596" s="36"/>
      <c r="S596" s="40"/>
      <c r="T596" s="23"/>
      <c r="U596" s="23"/>
      <c r="V596" s="40"/>
      <c r="W596" s="23"/>
      <c r="X596" s="23"/>
      <c r="Y596" s="40"/>
      <c r="Z596" s="23"/>
      <c r="AA596" s="23"/>
      <c r="AB596" s="40"/>
      <c r="AC596" s="42"/>
      <c r="AD596" s="42"/>
      <c r="AE596" s="40"/>
      <c r="AF596" s="42"/>
      <c r="AG596" s="42"/>
      <c r="AH596" s="23"/>
      <c r="AI596" s="42"/>
      <c r="AJ596" s="42"/>
      <c r="AK596" s="40"/>
      <c r="AL596" s="84"/>
      <c r="AM596" s="84"/>
      <c r="AN596" s="40"/>
      <c r="AO596" s="23"/>
    </row>
    <row r="597" spans="1:41" ht="15.75" x14ac:dyDescent="0.25">
      <c r="A597" s="44"/>
      <c r="B597" s="23"/>
      <c r="C597" s="23"/>
      <c r="D597" s="36"/>
      <c r="E597" s="23"/>
      <c r="F597" s="23"/>
      <c r="G597" s="40"/>
      <c r="H597" s="23"/>
      <c r="I597" s="23"/>
      <c r="J597" s="40"/>
      <c r="K597" s="36"/>
      <c r="L597" s="36"/>
      <c r="M597" s="40"/>
      <c r="N597" s="23"/>
      <c r="O597" s="36"/>
      <c r="P597" s="40"/>
      <c r="Q597" s="36"/>
      <c r="R597" s="36"/>
      <c r="S597" s="40"/>
      <c r="T597" s="23"/>
      <c r="U597" s="23"/>
      <c r="V597" s="40"/>
      <c r="W597" s="23"/>
      <c r="X597" s="23"/>
      <c r="Y597" s="40"/>
      <c r="Z597" s="23"/>
      <c r="AA597" s="23"/>
      <c r="AB597" s="40"/>
      <c r="AC597" s="42"/>
      <c r="AD597" s="42"/>
      <c r="AE597" s="40"/>
      <c r="AF597" s="42"/>
      <c r="AG597" s="42"/>
      <c r="AH597" s="23"/>
      <c r="AI597" s="42"/>
      <c r="AJ597" s="42"/>
      <c r="AK597" s="40"/>
      <c r="AL597" s="84"/>
      <c r="AM597" s="84"/>
      <c r="AN597" s="40"/>
      <c r="AO597" s="23"/>
    </row>
    <row r="598" spans="1:41" ht="15.75" x14ac:dyDescent="0.25">
      <c r="A598" s="44"/>
      <c r="B598" s="23"/>
      <c r="C598" s="23"/>
      <c r="D598" s="36"/>
      <c r="E598" s="23"/>
      <c r="F598" s="23"/>
      <c r="G598" s="40"/>
      <c r="H598" s="23"/>
      <c r="I598" s="23"/>
      <c r="J598" s="40"/>
      <c r="K598" s="36"/>
      <c r="L598" s="36"/>
      <c r="M598" s="40"/>
      <c r="N598" s="23"/>
      <c r="O598" s="36"/>
      <c r="P598" s="40"/>
      <c r="Q598" s="36"/>
      <c r="R598" s="36"/>
      <c r="S598" s="40"/>
      <c r="T598" s="23"/>
      <c r="U598" s="23"/>
      <c r="V598" s="40"/>
      <c r="W598" s="23"/>
      <c r="X598" s="23"/>
      <c r="Y598" s="40"/>
      <c r="Z598" s="23"/>
      <c r="AA598" s="23"/>
      <c r="AB598" s="40"/>
      <c r="AC598" s="42"/>
      <c r="AD598" s="42"/>
      <c r="AE598" s="40"/>
      <c r="AF598" s="42"/>
      <c r="AG598" s="42"/>
      <c r="AH598" s="23"/>
      <c r="AI598" s="42"/>
      <c r="AJ598" s="42"/>
      <c r="AK598" s="40"/>
      <c r="AL598" s="84"/>
      <c r="AM598" s="84"/>
      <c r="AN598" s="40"/>
      <c r="AO598" s="23"/>
    </row>
    <row r="599" spans="1:41" ht="15.75" x14ac:dyDescent="0.25">
      <c r="A599" s="44"/>
      <c r="B599" s="23"/>
      <c r="C599" s="23"/>
      <c r="D599" s="36"/>
      <c r="E599" s="23"/>
      <c r="F599" s="23"/>
      <c r="G599" s="40"/>
      <c r="H599" s="23"/>
      <c r="I599" s="23"/>
      <c r="J599" s="40"/>
      <c r="K599" s="36"/>
      <c r="L599" s="36"/>
      <c r="M599" s="40"/>
      <c r="N599" s="23"/>
      <c r="O599" s="36"/>
      <c r="P599" s="40"/>
      <c r="Q599" s="36"/>
      <c r="R599" s="36"/>
      <c r="S599" s="40"/>
      <c r="T599" s="23"/>
      <c r="U599" s="23"/>
      <c r="V599" s="40"/>
      <c r="W599" s="23"/>
      <c r="X599" s="23"/>
      <c r="Y599" s="40"/>
      <c r="Z599" s="23"/>
      <c r="AA599" s="23"/>
      <c r="AB599" s="40"/>
      <c r="AC599" s="42"/>
      <c r="AD599" s="42"/>
      <c r="AE599" s="40"/>
      <c r="AF599" s="42"/>
      <c r="AG599" s="42"/>
      <c r="AH599" s="23"/>
      <c r="AI599" s="42"/>
      <c r="AJ599" s="42"/>
      <c r="AK599" s="40"/>
      <c r="AL599" s="84"/>
      <c r="AM599" s="84"/>
      <c r="AN599" s="40"/>
      <c r="AO599" s="23"/>
    </row>
    <row r="600" spans="1:41" ht="15.75" x14ac:dyDescent="0.25">
      <c r="A600" s="44"/>
      <c r="B600" s="23"/>
      <c r="C600" s="23"/>
      <c r="D600" s="36"/>
      <c r="E600" s="23"/>
      <c r="F600" s="23"/>
      <c r="G600" s="40"/>
      <c r="H600" s="23"/>
      <c r="I600" s="23"/>
      <c r="J600" s="40"/>
      <c r="K600" s="36"/>
      <c r="L600" s="36"/>
      <c r="M600" s="40"/>
      <c r="N600" s="23"/>
      <c r="O600" s="36"/>
      <c r="P600" s="40"/>
      <c r="Q600" s="36"/>
      <c r="R600" s="36"/>
      <c r="S600" s="40"/>
      <c r="T600" s="23"/>
      <c r="U600" s="23"/>
      <c r="V600" s="40"/>
      <c r="W600" s="23"/>
      <c r="X600" s="23"/>
      <c r="Y600" s="40"/>
      <c r="Z600" s="23"/>
      <c r="AA600" s="23"/>
      <c r="AB600" s="40"/>
      <c r="AC600" s="42"/>
      <c r="AD600" s="42"/>
      <c r="AE600" s="40"/>
      <c r="AF600" s="42"/>
      <c r="AG600" s="42"/>
      <c r="AH600" s="23"/>
      <c r="AI600" s="42"/>
      <c r="AJ600" s="42"/>
      <c r="AK600" s="40"/>
      <c r="AL600" s="84"/>
      <c r="AM600" s="84"/>
      <c r="AN600" s="40"/>
      <c r="AO600" s="23"/>
    </row>
    <row r="601" spans="1:41" ht="15.75" x14ac:dyDescent="0.25">
      <c r="A601" s="44"/>
      <c r="B601" s="23"/>
      <c r="C601" s="23"/>
      <c r="D601" s="36"/>
      <c r="E601" s="23"/>
      <c r="F601" s="23"/>
      <c r="G601" s="40"/>
      <c r="H601" s="23"/>
      <c r="I601" s="23"/>
      <c r="J601" s="40"/>
      <c r="K601" s="36"/>
      <c r="L601" s="36"/>
      <c r="M601" s="40"/>
      <c r="N601" s="23"/>
      <c r="O601" s="36"/>
      <c r="P601" s="40"/>
      <c r="Q601" s="36"/>
      <c r="R601" s="36"/>
      <c r="S601" s="40"/>
      <c r="T601" s="23"/>
      <c r="U601" s="23"/>
      <c r="V601" s="40"/>
      <c r="W601" s="23"/>
      <c r="X601" s="23"/>
      <c r="Y601" s="40"/>
      <c r="Z601" s="23"/>
      <c r="AA601" s="23"/>
      <c r="AB601" s="40"/>
      <c r="AC601" s="42"/>
      <c r="AD601" s="42"/>
      <c r="AE601" s="40"/>
      <c r="AF601" s="42"/>
      <c r="AG601" s="42"/>
      <c r="AH601" s="23"/>
      <c r="AI601" s="42"/>
      <c r="AJ601" s="42"/>
      <c r="AK601" s="40"/>
      <c r="AL601" s="84"/>
      <c r="AM601" s="84"/>
      <c r="AN601" s="40"/>
      <c r="AO601" s="23"/>
    </row>
    <row r="602" spans="1:41" ht="15.75" x14ac:dyDescent="0.25">
      <c r="A602" s="44"/>
      <c r="B602" s="23"/>
      <c r="C602" s="23"/>
      <c r="D602" s="36"/>
      <c r="E602" s="23"/>
      <c r="F602" s="23"/>
      <c r="G602" s="40"/>
      <c r="H602" s="23"/>
      <c r="I602" s="23"/>
      <c r="J602" s="40"/>
      <c r="K602" s="36"/>
      <c r="L602" s="36"/>
      <c r="M602" s="40"/>
      <c r="N602" s="23"/>
      <c r="O602" s="36"/>
      <c r="P602" s="40"/>
      <c r="Q602" s="36"/>
      <c r="R602" s="36"/>
      <c r="S602" s="40"/>
      <c r="T602" s="23"/>
      <c r="U602" s="23"/>
      <c r="V602" s="40"/>
      <c r="W602" s="23"/>
      <c r="X602" s="23"/>
      <c r="Y602" s="40"/>
      <c r="Z602" s="23"/>
      <c r="AA602" s="23"/>
      <c r="AB602" s="40"/>
      <c r="AC602" s="42"/>
      <c r="AD602" s="42"/>
      <c r="AE602" s="40"/>
      <c r="AF602" s="42"/>
      <c r="AG602" s="42"/>
      <c r="AH602" s="23"/>
      <c r="AI602" s="42"/>
      <c r="AJ602" s="42"/>
      <c r="AK602" s="40"/>
      <c r="AL602" s="84"/>
      <c r="AM602" s="84"/>
      <c r="AN602" s="40"/>
      <c r="AO602" s="23"/>
    </row>
    <row r="603" spans="1:41" ht="15.75" x14ac:dyDescent="0.25">
      <c r="A603" s="44"/>
      <c r="B603" s="23"/>
      <c r="C603" s="23"/>
      <c r="D603" s="36"/>
      <c r="E603" s="23"/>
      <c r="F603" s="23"/>
      <c r="G603" s="40"/>
      <c r="H603" s="23"/>
      <c r="I603" s="23"/>
      <c r="J603" s="40"/>
      <c r="K603" s="36"/>
      <c r="L603" s="36"/>
      <c r="M603" s="40"/>
      <c r="N603" s="23"/>
      <c r="O603" s="36"/>
      <c r="P603" s="40"/>
      <c r="Q603" s="36"/>
      <c r="R603" s="36"/>
      <c r="S603" s="40"/>
      <c r="T603" s="23"/>
      <c r="U603" s="23"/>
      <c r="V603" s="40"/>
      <c r="W603" s="23"/>
      <c r="X603" s="23"/>
      <c r="Y603" s="40"/>
      <c r="Z603" s="23"/>
      <c r="AA603" s="23"/>
      <c r="AB603" s="40"/>
      <c r="AC603" s="42"/>
      <c r="AD603" s="42"/>
      <c r="AE603" s="40"/>
      <c r="AF603" s="42"/>
      <c r="AG603" s="42"/>
      <c r="AH603" s="23"/>
      <c r="AI603" s="42"/>
      <c r="AJ603" s="42"/>
      <c r="AK603" s="40"/>
      <c r="AL603" s="84"/>
      <c r="AM603" s="84"/>
      <c r="AN603" s="40"/>
      <c r="AO603" s="23"/>
    </row>
    <row r="604" spans="1:41" ht="15.75" x14ac:dyDescent="0.25">
      <c r="A604" s="44"/>
      <c r="B604" s="23"/>
      <c r="C604" s="23"/>
      <c r="D604" s="36"/>
      <c r="E604" s="23"/>
      <c r="F604" s="23"/>
      <c r="G604" s="40"/>
      <c r="H604" s="23"/>
      <c r="I604" s="23"/>
      <c r="J604" s="40"/>
      <c r="K604" s="36"/>
      <c r="L604" s="36"/>
      <c r="M604" s="40"/>
      <c r="N604" s="23"/>
      <c r="O604" s="36"/>
      <c r="P604" s="40"/>
      <c r="Q604" s="36"/>
      <c r="R604" s="36"/>
      <c r="S604" s="40"/>
      <c r="T604" s="23"/>
      <c r="U604" s="23"/>
      <c r="V604" s="40"/>
      <c r="W604" s="23"/>
      <c r="X604" s="23"/>
      <c r="Y604" s="40"/>
      <c r="Z604" s="23"/>
      <c r="AA604" s="23"/>
      <c r="AB604" s="40"/>
      <c r="AC604" s="42"/>
      <c r="AD604" s="42"/>
      <c r="AE604" s="40"/>
      <c r="AF604" s="42"/>
      <c r="AG604" s="42"/>
      <c r="AH604" s="23"/>
      <c r="AI604" s="42"/>
      <c r="AJ604" s="42"/>
      <c r="AK604" s="40"/>
      <c r="AL604" s="84"/>
      <c r="AM604" s="84"/>
      <c r="AN604" s="40"/>
      <c r="AO604" s="23"/>
    </row>
    <row r="605" spans="1:41" ht="15.75" x14ac:dyDescent="0.25">
      <c r="A605" s="44"/>
      <c r="B605" s="23"/>
      <c r="C605" s="23"/>
      <c r="D605" s="36"/>
      <c r="E605" s="23"/>
      <c r="F605" s="23"/>
      <c r="G605" s="40"/>
      <c r="H605" s="23"/>
      <c r="I605" s="23"/>
      <c r="J605" s="40"/>
      <c r="K605" s="36"/>
      <c r="L605" s="36"/>
      <c r="M605" s="40"/>
      <c r="N605" s="23"/>
      <c r="O605" s="36"/>
      <c r="P605" s="40"/>
      <c r="Q605" s="36"/>
      <c r="R605" s="36"/>
      <c r="S605" s="40"/>
      <c r="T605" s="23"/>
      <c r="U605" s="23"/>
      <c r="V605" s="40"/>
      <c r="W605" s="23"/>
      <c r="X605" s="23"/>
      <c r="Y605" s="40"/>
      <c r="Z605" s="23"/>
      <c r="AA605" s="23"/>
      <c r="AB605" s="40"/>
      <c r="AC605" s="42"/>
      <c r="AD605" s="42"/>
      <c r="AE605" s="40"/>
      <c r="AF605" s="42"/>
      <c r="AG605" s="42"/>
      <c r="AH605" s="23"/>
      <c r="AI605" s="42"/>
      <c r="AJ605" s="42"/>
      <c r="AK605" s="40"/>
      <c r="AL605" s="84"/>
      <c r="AM605" s="84"/>
      <c r="AN605" s="40"/>
      <c r="AO605" s="23"/>
    </row>
    <row r="606" spans="1:41" ht="15.75" x14ac:dyDescent="0.25">
      <c r="A606" s="44"/>
      <c r="B606" s="23"/>
      <c r="C606" s="23"/>
      <c r="D606" s="36"/>
      <c r="E606" s="23"/>
      <c r="F606" s="23"/>
      <c r="G606" s="40"/>
      <c r="H606" s="23"/>
      <c r="I606" s="23"/>
      <c r="J606" s="40"/>
      <c r="K606" s="36"/>
      <c r="L606" s="36"/>
      <c r="M606" s="40"/>
      <c r="N606" s="23"/>
      <c r="O606" s="36"/>
      <c r="P606" s="40"/>
      <c r="Q606" s="36"/>
      <c r="R606" s="36"/>
      <c r="S606" s="40"/>
      <c r="T606" s="23"/>
      <c r="U606" s="23"/>
      <c r="V606" s="40"/>
      <c r="W606" s="23"/>
      <c r="X606" s="23"/>
      <c r="Y606" s="40"/>
      <c r="Z606" s="23"/>
      <c r="AA606" s="23"/>
      <c r="AB606" s="40"/>
      <c r="AC606" s="42"/>
      <c r="AD606" s="42"/>
      <c r="AE606" s="40"/>
      <c r="AF606" s="42"/>
      <c r="AG606" s="42"/>
      <c r="AH606" s="23"/>
      <c r="AI606" s="42"/>
      <c r="AJ606" s="42"/>
      <c r="AK606" s="40"/>
      <c r="AL606" s="84"/>
      <c r="AM606" s="84"/>
      <c r="AN606" s="40"/>
      <c r="AO606" s="23"/>
    </row>
    <row r="607" spans="1:41" ht="15.75" x14ac:dyDescent="0.25">
      <c r="A607" s="44"/>
      <c r="B607" s="23"/>
      <c r="C607" s="23"/>
      <c r="D607" s="36"/>
      <c r="E607" s="23"/>
      <c r="F607" s="23"/>
      <c r="G607" s="40"/>
      <c r="H607" s="23"/>
      <c r="I607" s="23"/>
      <c r="J607" s="40"/>
      <c r="K607" s="36"/>
      <c r="L607" s="36"/>
      <c r="M607" s="40"/>
      <c r="N607" s="23"/>
      <c r="O607" s="36"/>
      <c r="P607" s="40"/>
      <c r="Q607" s="36"/>
      <c r="R607" s="36"/>
      <c r="S607" s="40"/>
      <c r="T607" s="23"/>
      <c r="U607" s="23"/>
      <c r="V607" s="40"/>
      <c r="W607" s="23"/>
      <c r="X607" s="23"/>
      <c r="Y607" s="40"/>
      <c r="Z607" s="23"/>
      <c r="AA607" s="23"/>
      <c r="AB607" s="40"/>
      <c r="AC607" s="42"/>
      <c r="AD607" s="42"/>
      <c r="AE607" s="40"/>
      <c r="AF607" s="42"/>
      <c r="AG607" s="42"/>
      <c r="AH607" s="23"/>
      <c r="AI607" s="42"/>
      <c r="AJ607" s="42"/>
      <c r="AK607" s="40"/>
      <c r="AL607" s="84"/>
      <c r="AM607" s="84"/>
      <c r="AN607" s="40"/>
      <c r="AO607" s="23"/>
    </row>
    <row r="608" spans="1:41" ht="15.75" x14ac:dyDescent="0.25">
      <c r="A608" s="44"/>
      <c r="B608" s="23"/>
      <c r="C608" s="23"/>
      <c r="D608" s="36"/>
      <c r="E608" s="23"/>
      <c r="F608" s="23"/>
      <c r="G608" s="40"/>
      <c r="H608" s="23"/>
      <c r="I608" s="23"/>
      <c r="J608" s="40"/>
      <c r="K608" s="36"/>
      <c r="L608" s="36"/>
      <c r="M608" s="40"/>
      <c r="N608" s="23"/>
      <c r="O608" s="36"/>
      <c r="P608" s="40"/>
      <c r="Q608" s="36"/>
      <c r="R608" s="36"/>
      <c r="S608" s="40"/>
      <c r="T608" s="23"/>
      <c r="U608" s="23"/>
      <c r="V608" s="40"/>
      <c r="W608" s="23"/>
      <c r="X608" s="23"/>
      <c r="Y608" s="40"/>
      <c r="Z608" s="23"/>
      <c r="AA608" s="23"/>
      <c r="AB608" s="40"/>
      <c r="AC608" s="42"/>
      <c r="AD608" s="42"/>
      <c r="AE608" s="40"/>
      <c r="AF608" s="42"/>
      <c r="AG608" s="42"/>
      <c r="AH608" s="23"/>
      <c r="AI608" s="42"/>
      <c r="AJ608" s="42"/>
      <c r="AK608" s="40"/>
      <c r="AL608" s="84"/>
      <c r="AM608" s="84"/>
      <c r="AN608" s="40"/>
      <c r="AO608" s="23"/>
    </row>
    <row r="609" spans="1:41" ht="15.75" x14ac:dyDescent="0.25">
      <c r="A609" s="44"/>
      <c r="B609" s="23"/>
      <c r="C609" s="23"/>
      <c r="D609" s="36"/>
      <c r="E609" s="23"/>
      <c r="F609" s="23"/>
      <c r="G609" s="40"/>
      <c r="H609" s="23"/>
      <c r="I609" s="23"/>
      <c r="J609" s="40"/>
      <c r="K609" s="36"/>
      <c r="L609" s="36"/>
      <c r="M609" s="40"/>
      <c r="N609" s="23"/>
      <c r="O609" s="36"/>
      <c r="P609" s="40"/>
      <c r="Q609" s="36"/>
      <c r="R609" s="36"/>
      <c r="S609" s="40"/>
      <c r="T609" s="23"/>
      <c r="U609" s="23"/>
      <c r="V609" s="40"/>
      <c r="W609" s="23"/>
      <c r="X609" s="23"/>
      <c r="Y609" s="40"/>
      <c r="Z609" s="23"/>
      <c r="AA609" s="23"/>
      <c r="AB609" s="40"/>
      <c r="AC609" s="42"/>
      <c r="AD609" s="42"/>
      <c r="AE609" s="40"/>
      <c r="AF609" s="42"/>
      <c r="AG609" s="42"/>
      <c r="AH609" s="23"/>
      <c r="AI609" s="42"/>
      <c r="AJ609" s="42"/>
      <c r="AK609" s="40"/>
      <c r="AL609" s="84"/>
      <c r="AM609" s="84"/>
      <c r="AN609" s="40"/>
      <c r="AO609" s="23"/>
    </row>
    <row r="610" spans="1:41" ht="15.75" x14ac:dyDescent="0.25">
      <c r="A610" s="44"/>
      <c r="B610" s="23"/>
      <c r="C610" s="23"/>
      <c r="D610" s="36"/>
      <c r="E610" s="23"/>
      <c r="F610" s="23"/>
      <c r="G610" s="40"/>
      <c r="H610" s="23"/>
      <c r="I610" s="23"/>
      <c r="J610" s="40"/>
      <c r="K610" s="36"/>
      <c r="L610" s="36"/>
      <c r="M610" s="40"/>
      <c r="N610" s="23"/>
      <c r="O610" s="36"/>
      <c r="P610" s="40"/>
      <c r="Q610" s="36"/>
      <c r="R610" s="36"/>
      <c r="S610" s="40"/>
      <c r="T610" s="23"/>
      <c r="U610" s="23"/>
      <c r="V610" s="40"/>
      <c r="W610" s="23"/>
      <c r="X610" s="23"/>
      <c r="Y610" s="40"/>
      <c r="Z610" s="23"/>
      <c r="AA610" s="23"/>
      <c r="AB610" s="40"/>
      <c r="AC610" s="42"/>
      <c r="AD610" s="42"/>
      <c r="AE610" s="40"/>
      <c r="AF610" s="42"/>
      <c r="AG610" s="42"/>
      <c r="AH610" s="23"/>
      <c r="AI610" s="42"/>
      <c r="AJ610" s="42"/>
      <c r="AK610" s="40"/>
      <c r="AL610" s="84"/>
      <c r="AM610" s="84"/>
      <c r="AN610" s="40"/>
      <c r="AO610" s="23"/>
    </row>
    <row r="611" spans="1:41" ht="15.75" x14ac:dyDescent="0.25">
      <c r="A611" s="44"/>
      <c r="B611" s="23"/>
      <c r="C611" s="23"/>
      <c r="D611" s="36"/>
      <c r="E611" s="23"/>
      <c r="F611" s="23"/>
      <c r="G611" s="40"/>
      <c r="H611" s="23"/>
      <c r="I611" s="23"/>
      <c r="J611" s="40"/>
      <c r="K611" s="36"/>
      <c r="L611" s="36"/>
      <c r="M611" s="40"/>
      <c r="N611" s="23"/>
      <c r="O611" s="36"/>
      <c r="P611" s="40"/>
      <c r="Q611" s="36"/>
      <c r="R611" s="36"/>
      <c r="S611" s="40"/>
      <c r="T611" s="23"/>
      <c r="U611" s="23"/>
      <c r="V611" s="40"/>
      <c r="W611" s="23"/>
      <c r="X611" s="23"/>
      <c r="Y611" s="40"/>
      <c r="Z611" s="23"/>
      <c r="AA611" s="23"/>
      <c r="AB611" s="40"/>
      <c r="AC611" s="42"/>
      <c r="AD611" s="42"/>
      <c r="AE611" s="40"/>
      <c r="AF611" s="42"/>
      <c r="AG611" s="42"/>
      <c r="AH611" s="23"/>
      <c r="AI611" s="42"/>
      <c r="AJ611" s="42"/>
      <c r="AK611" s="40"/>
      <c r="AL611" s="84"/>
      <c r="AM611" s="84"/>
      <c r="AN611" s="40"/>
      <c r="AO611" s="23"/>
    </row>
    <row r="612" spans="1:41" ht="15.75" x14ac:dyDescent="0.25">
      <c r="A612" s="44"/>
      <c r="B612" s="23"/>
      <c r="C612" s="23"/>
      <c r="D612" s="36"/>
      <c r="E612" s="23"/>
      <c r="F612" s="23"/>
      <c r="G612" s="40"/>
      <c r="H612" s="23"/>
      <c r="I612" s="23"/>
      <c r="J612" s="40"/>
      <c r="K612" s="36"/>
      <c r="L612" s="36"/>
      <c r="M612" s="40"/>
      <c r="N612" s="23"/>
      <c r="O612" s="36"/>
      <c r="P612" s="40"/>
      <c r="Q612" s="36"/>
      <c r="R612" s="36"/>
      <c r="S612" s="40"/>
      <c r="T612" s="23"/>
      <c r="U612" s="23"/>
      <c r="V612" s="40"/>
      <c r="W612" s="23"/>
      <c r="X612" s="23"/>
      <c r="Y612" s="40"/>
      <c r="Z612" s="23"/>
      <c r="AA612" s="23"/>
      <c r="AB612" s="40"/>
      <c r="AC612" s="42"/>
      <c r="AD612" s="42"/>
      <c r="AE612" s="40"/>
      <c r="AF612" s="42"/>
      <c r="AG612" s="42"/>
      <c r="AH612" s="23"/>
      <c r="AI612" s="42"/>
      <c r="AJ612" s="42"/>
      <c r="AK612" s="40"/>
      <c r="AL612" s="84"/>
      <c r="AM612" s="84"/>
      <c r="AN612" s="40"/>
      <c r="AO612" s="23"/>
    </row>
    <row r="613" spans="1:41" ht="15.75" x14ac:dyDescent="0.25">
      <c r="A613" s="44"/>
      <c r="B613" s="23"/>
      <c r="C613" s="23"/>
      <c r="D613" s="36"/>
      <c r="E613" s="23"/>
      <c r="F613" s="23"/>
      <c r="G613" s="40"/>
      <c r="H613" s="23"/>
      <c r="I613" s="23"/>
      <c r="J613" s="40"/>
      <c r="K613" s="36"/>
      <c r="L613" s="36"/>
      <c r="M613" s="40"/>
      <c r="N613" s="23"/>
      <c r="O613" s="36"/>
      <c r="P613" s="40"/>
      <c r="Q613" s="36"/>
      <c r="R613" s="36"/>
      <c r="S613" s="40"/>
      <c r="T613" s="23"/>
      <c r="U613" s="23"/>
      <c r="V613" s="40"/>
      <c r="W613" s="23"/>
      <c r="X613" s="23"/>
      <c r="Y613" s="40"/>
      <c r="Z613" s="23"/>
      <c r="AA613" s="23"/>
      <c r="AB613" s="40"/>
      <c r="AC613" s="42"/>
      <c r="AD613" s="42"/>
      <c r="AE613" s="40"/>
      <c r="AF613" s="42"/>
      <c r="AG613" s="42"/>
      <c r="AH613" s="23"/>
      <c r="AI613" s="42"/>
      <c r="AJ613" s="42"/>
      <c r="AK613" s="40"/>
      <c r="AL613" s="84"/>
      <c r="AM613" s="84"/>
      <c r="AN613" s="40"/>
      <c r="AO613" s="23"/>
    </row>
    <row r="614" spans="1:41" ht="15.75" x14ac:dyDescent="0.25">
      <c r="A614" s="44"/>
      <c r="B614" s="23"/>
      <c r="C614" s="23"/>
      <c r="D614" s="36"/>
      <c r="E614" s="23"/>
      <c r="F614" s="23"/>
      <c r="G614" s="40"/>
      <c r="H614" s="23"/>
      <c r="I614" s="23"/>
      <c r="J614" s="40"/>
      <c r="K614" s="36"/>
      <c r="L614" s="36"/>
      <c r="M614" s="40"/>
      <c r="N614" s="23"/>
      <c r="O614" s="36"/>
      <c r="P614" s="40"/>
      <c r="Q614" s="36"/>
      <c r="R614" s="36"/>
      <c r="S614" s="40"/>
      <c r="T614" s="23"/>
      <c r="U614" s="23"/>
      <c r="V614" s="40"/>
      <c r="W614" s="23"/>
      <c r="X614" s="23"/>
      <c r="Y614" s="40"/>
      <c r="Z614" s="23"/>
      <c r="AA614" s="23"/>
      <c r="AB614" s="40"/>
      <c r="AC614" s="42"/>
      <c r="AD614" s="42"/>
      <c r="AE614" s="40"/>
      <c r="AF614" s="42"/>
      <c r="AG614" s="42"/>
      <c r="AH614" s="23"/>
      <c r="AI614" s="42"/>
      <c r="AJ614" s="42"/>
      <c r="AK614" s="40"/>
      <c r="AL614" s="84"/>
      <c r="AM614" s="84"/>
      <c r="AN614" s="40"/>
      <c r="AO614" s="23"/>
    </row>
    <row r="615" spans="1:41" ht="15.75" x14ac:dyDescent="0.25">
      <c r="A615" s="44"/>
      <c r="B615" s="23"/>
      <c r="C615" s="23"/>
      <c r="D615" s="36"/>
      <c r="E615" s="23"/>
      <c r="F615" s="23"/>
      <c r="G615" s="40"/>
      <c r="H615" s="23"/>
      <c r="I615" s="23"/>
      <c r="J615" s="40"/>
      <c r="K615" s="36"/>
      <c r="L615" s="36"/>
      <c r="M615" s="40"/>
      <c r="N615" s="23"/>
      <c r="O615" s="36"/>
      <c r="P615" s="40"/>
      <c r="Q615" s="36"/>
      <c r="R615" s="36"/>
      <c r="S615" s="40"/>
      <c r="T615" s="23"/>
      <c r="U615" s="23"/>
      <c r="V615" s="40"/>
      <c r="W615" s="23"/>
      <c r="X615" s="23"/>
      <c r="Y615" s="40"/>
      <c r="Z615" s="23"/>
      <c r="AA615" s="23"/>
      <c r="AB615" s="40"/>
      <c r="AC615" s="42"/>
      <c r="AD615" s="42"/>
      <c r="AE615" s="40"/>
      <c r="AF615" s="42"/>
      <c r="AG615" s="42"/>
      <c r="AH615" s="23"/>
      <c r="AI615" s="42"/>
      <c r="AJ615" s="42"/>
      <c r="AK615" s="40"/>
      <c r="AL615" s="84"/>
      <c r="AM615" s="84"/>
      <c r="AN615" s="40"/>
      <c r="AO615" s="23"/>
    </row>
    <row r="616" spans="1:41" ht="15.75" x14ac:dyDescent="0.25">
      <c r="A616" s="44"/>
      <c r="B616" s="23"/>
      <c r="C616" s="23"/>
      <c r="D616" s="36"/>
      <c r="E616" s="23"/>
      <c r="F616" s="23"/>
      <c r="G616" s="40"/>
      <c r="H616" s="23"/>
      <c r="I616" s="23"/>
      <c r="J616" s="40"/>
      <c r="K616" s="36"/>
      <c r="L616" s="36"/>
      <c r="M616" s="40"/>
      <c r="N616" s="23"/>
      <c r="O616" s="36"/>
      <c r="P616" s="40"/>
      <c r="Q616" s="36"/>
      <c r="R616" s="36"/>
      <c r="S616" s="40"/>
      <c r="T616" s="23"/>
      <c r="U616" s="23"/>
      <c r="V616" s="40"/>
      <c r="W616" s="23"/>
      <c r="X616" s="23"/>
      <c r="Y616" s="40"/>
      <c r="Z616" s="23"/>
      <c r="AA616" s="23"/>
      <c r="AB616" s="40"/>
      <c r="AC616" s="42"/>
      <c r="AD616" s="42"/>
      <c r="AE616" s="40"/>
      <c r="AF616" s="42"/>
      <c r="AG616" s="42"/>
      <c r="AH616" s="23"/>
      <c r="AI616" s="42"/>
      <c r="AJ616" s="42"/>
      <c r="AK616" s="40"/>
      <c r="AL616" s="84"/>
      <c r="AM616" s="84"/>
      <c r="AN616" s="40"/>
      <c r="AO616" s="23"/>
    </row>
    <row r="617" spans="1:41" ht="15.75" x14ac:dyDescent="0.25">
      <c r="A617" s="44"/>
      <c r="B617" s="23"/>
      <c r="C617" s="23"/>
      <c r="D617" s="36"/>
      <c r="E617" s="23"/>
      <c r="F617" s="23"/>
      <c r="G617" s="40"/>
      <c r="H617" s="23"/>
      <c r="I617" s="23"/>
      <c r="J617" s="40"/>
      <c r="K617" s="36"/>
      <c r="L617" s="36"/>
      <c r="M617" s="40"/>
      <c r="N617" s="23"/>
      <c r="O617" s="36"/>
      <c r="P617" s="40"/>
      <c r="Q617" s="36"/>
      <c r="R617" s="36"/>
      <c r="S617" s="40"/>
      <c r="T617" s="23"/>
      <c r="U617" s="23"/>
      <c r="V617" s="40"/>
      <c r="W617" s="23"/>
      <c r="X617" s="23"/>
      <c r="Y617" s="40"/>
      <c r="Z617" s="23"/>
      <c r="AA617" s="23"/>
      <c r="AB617" s="40"/>
      <c r="AC617" s="42"/>
      <c r="AD617" s="42"/>
      <c r="AE617" s="40"/>
      <c r="AF617" s="42"/>
      <c r="AG617" s="42"/>
      <c r="AH617" s="23"/>
      <c r="AI617" s="42"/>
      <c r="AJ617" s="42"/>
      <c r="AK617" s="40"/>
      <c r="AL617" s="84"/>
      <c r="AM617" s="84"/>
      <c r="AN617" s="40"/>
      <c r="AO617" s="23"/>
    </row>
    <row r="618" spans="1:41" ht="15.75" x14ac:dyDescent="0.25">
      <c r="A618" s="44"/>
      <c r="B618" s="23"/>
      <c r="C618" s="23"/>
      <c r="D618" s="36"/>
      <c r="E618" s="23"/>
      <c r="F618" s="23"/>
      <c r="G618" s="40"/>
      <c r="H618" s="23"/>
      <c r="I618" s="23"/>
      <c r="J618" s="40"/>
      <c r="K618" s="36"/>
      <c r="L618" s="36"/>
      <c r="M618" s="40"/>
      <c r="N618" s="23"/>
      <c r="O618" s="36"/>
      <c r="P618" s="40"/>
      <c r="Q618" s="36"/>
      <c r="R618" s="36"/>
      <c r="S618" s="40"/>
      <c r="T618" s="23"/>
      <c r="U618" s="23"/>
      <c r="V618" s="40"/>
      <c r="W618" s="23"/>
      <c r="X618" s="23"/>
      <c r="Y618" s="40"/>
      <c r="Z618" s="23"/>
      <c r="AA618" s="23"/>
      <c r="AB618" s="40"/>
      <c r="AC618" s="42"/>
      <c r="AD618" s="42"/>
      <c r="AE618" s="40"/>
      <c r="AF618" s="42"/>
      <c r="AG618" s="42"/>
      <c r="AH618" s="23"/>
      <c r="AI618" s="42"/>
      <c r="AJ618" s="42"/>
      <c r="AK618" s="40"/>
      <c r="AL618" s="84"/>
      <c r="AM618" s="84"/>
      <c r="AN618" s="40"/>
      <c r="AO618" s="23"/>
    </row>
    <row r="619" spans="1:41" ht="15.75" x14ac:dyDescent="0.25">
      <c r="A619" s="44"/>
      <c r="B619" s="23"/>
      <c r="C619" s="23"/>
      <c r="D619" s="36"/>
      <c r="E619" s="23"/>
      <c r="F619" s="23"/>
      <c r="G619" s="40"/>
      <c r="H619" s="23"/>
      <c r="I619" s="23"/>
      <c r="J619" s="40"/>
      <c r="K619" s="36"/>
      <c r="L619" s="36"/>
      <c r="M619" s="40"/>
      <c r="N619" s="23"/>
      <c r="O619" s="36"/>
      <c r="P619" s="40"/>
      <c r="Q619" s="36"/>
      <c r="R619" s="36"/>
      <c r="S619" s="40"/>
      <c r="T619" s="23"/>
      <c r="U619" s="23"/>
      <c r="V619" s="40"/>
      <c r="W619" s="23"/>
      <c r="X619" s="23"/>
      <c r="Y619" s="40"/>
      <c r="Z619" s="23"/>
      <c r="AA619" s="23"/>
      <c r="AB619" s="40"/>
      <c r="AC619" s="42"/>
      <c r="AD619" s="42"/>
      <c r="AE619" s="40"/>
      <c r="AF619" s="42"/>
      <c r="AG619" s="42"/>
      <c r="AH619" s="23"/>
      <c r="AI619" s="42"/>
      <c r="AJ619" s="42"/>
      <c r="AK619" s="40"/>
      <c r="AL619" s="84"/>
      <c r="AM619" s="84"/>
      <c r="AN619" s="40"/>
      <c r="AO619" s="23"/>
    </row>
    <row r="620" spans="1:41" ht="15.75" x14ac:dyDescent="0.25">
      <c r="A620" s="44"/>
      <c r="B620" s="23"/>
      <c r="C620" s="23"/>
      <c r="D620" s="36"/>
      <c r="E620" s="23"/>
      <c r="F620" s="23"/>
      <c r="G620" s="40"/>
      <c r="H620" s="23"/>
      <c r="I620" s="23"/>
      <c r="J620" s="40"/>
      <c r="K620" s="36"/>
      <c r="L620" s="36"/>
      <c r="M620" s="40"/>
      <c r="N620" s="23"/>
      <c r="O620" s="36"/>
      <c r="P620" s="40"/>
      <c r="Q620" s="36"/>
      <c r="R620" s="36"/>
      <c r="S620" s="40"/>
      <c r="T620" s="23"/>
      <c r="U620" s="23"/>
      <c r="V620" s="40"/>
      <c r="W620" s="23"/>
      <c r="X620" s="23"/>
      <c r="Y620" s="40"/>
      <c r="Z620" s="23"/>
      <c r="AA620" s="23"/>
      <c r="AB620" s="40"/>
      <c r="AC620" s="42"/>
      <c r="AD620" s="42"/>
      <c r="AE620" s="40"/>
      <c r="AF620" s="42"/>
      <c r="AG620" s="42"/>
      <c r="AH620" s="23"/>
      <c r="AI620" s="42"/>
      <c r="AJ620" s="42"/>
      <c r="AK620" s="40"/>
      <c r="AL620" s="84"/>
      <c r="AM620" s="84"/>
      <c r="AN620" s="40"/>
      <c r="AO620" s="23"/>
    </row>
    <row r="621" spans="1:41" ht="15.75" x14ac:dyDescent="0.25">
      <c r="A621" s="44"/>
      <c r="B621" s="23"/>
      <c r="C621" s="23"/>
      <c r="D621" s="36"/>
      <c r="E621" s="23"/>
      <c r="F621" s="23"/>
      <c r="G621" s="40"/>
      <c r="H621" s="23"/>
      <c r="I621" s="23"/>
      <c r="J621" s="40"/>
      <c r="K621" s="36"/>
      <c r="L621" s="36"/>
      <c r="M621" s="40"/>
      <c r="N621" s="23"/>
      <c r="O621" s="36"/>
      <c r="P621" s="40"/>
      <c r="Q621" s="36"/>
      <c r="R621" s="36"/>
      <c r="S621" s="40"/>
      <c r="T621" s="23"/>
      <c r="U621" s="23"/>
      <c r="V621" s="40"/>
      <c r="W621" s="23"/>
      <c r="X621" s="23"/>
      <c r="Y621" s="40"/>
      <c r="Z621" s="23"/>
      <c r="AA621" s="23"/>
      <c r="AB621" s="40"/>
      <c r="AC621" s="42"/>
      <c r="AD621" s="42"/>
      <c r="AE621" s="40"/>
      <c r="AF621" s="42"/>
      <c r="AG621" s="42"/>
      <c r="AH621" s="23"/>
      <c r="AI621" s="42"/>
      <c r="AJ621" s="42"/>
      <c r="AK621" s="40"/>
      <c r="AL621" s="84"/>
      <c r="AM621" s="84"/>
      <c r="AN621" s="40"/>
      <c r="AO621" s="23"/>
    </row>
    <row r="622" spans="1:41" ht="15.75" x14ac:dyDescent="0.25">
      <c r="A622" s="44"/>
      <c r="B622" s="23"/>
      <c r="C622" s="23"/>
      <c r="D622" s="36"/>
      <c r="E622" s="23"/>
      <c r="F622" s="23"/>
      <c r="G622" s="40"/>
      <c r="H622" s="23"/>
      <c r="I622" s="23"/>
      <c r="J622" s="40"/>
      <c r="K622" s="36"/>
      <c r="L622" s="36"/>
      <c r="M622" s="40"/>
      <c r="N622" s="23"/>
      <c r="O622" s="36"/>
      <c r="P622" s="40"/>
      <c r="Q622" s="36"/>
      <c r="R622" s="36"/>
      <c r="S622" s="40"/>
      <c r="T622" s="23"/>
      <c r="U622" s="23"/>
      <c r="V622" s="40"/>
      <c r="W622" s="23"/>
      <c r="X622" s="23"/>
      <c r="Y622" s="40"/>
      <c r="Z622" s="23"/>
      <c r="AA622" s="23"/>
      <c r="AB622" s="40"/>
      <c r="AC622" s="42"/>
      <c r="AD622" s="42"/>
      <c r="AE622" s="40"/>
      <c r="AF622" s="42"/>
      <c r="AG622" s="42"/>
      <c r="AH622" s="23"/>
      <c r="AI622" s="42"/>
      <c r="AJ622" s="42"/>
      <c r="AK622" s="40"/>
      <c r="AL622" s="84"/>
      <c r="AM622" s="84"/>
      <c r="AN622" s="40"/>
      <c r="AO622" s="23"/>
    </row>
    <row r="623" spans="1:41" ht="15.75" x14ac:dyDescent="0.25">
      <c r="A623" s="44"/>
      <c r="B623" s="23"/>
      <c r="C623" s="23"/>
      <c r="D623" s="36"/>
      <c r="E623" s="23"/>
      <c r="F623" s="23"/>
      <c r="G623" s="40"/>
      <c r="H623" s="23"/>
      <c r="I623" s="23"/>
      <c r="J623" s="40"/>
      <c r="K623" s="36"/>
      <c r="L623" s="36"/>
      <c r="M623" s="40"/>
      <c r="N623" s="23"/>
      <c r="O623" s="36"/>
      <c r="P623" s="40"/>
      <c r="Q623" s="36"/>
      <c r="R623" s="36"/>
      <c r="S623" s="40"/>
      <c r="T623" s="23"/>
      <c r="U623" s="23"/>
      <c r="V623" s="40"/>
      <c r="W623" s="23"/>
      <c r="X623" s="23"/>
      <c r="Y623" s="40"/>
      <c r="Z623" s="23"/>
      <c r="AA623" s="23"/>
      <c r="AB623" s="40"/>
      <c r="AC623" s="42"/>
      <c r="AD623" s="42"/>
      <c r="AE623" s="40"/>
      <c r="AF623" s="42"/>
      <c r="AG623" s="42"/>
      <c r="AH623" s="23"/>
      <c r="AI623" s="42"/>
      <c r="AJ623" s="42"/>
      <c r="AK623" s="40"/>
      <c r="AL623" s="84"/>
      <c r="AM623" s="84"/>
      <c r="AN623" s="40"/>
      <c r="AO623" s="23"/>
    </row>
    <row r="624" spans="1:41" ht="15.75" x14ac:dyDescent="0.25">
      <c r="A624" s="44"/>
      <c r="B624" s="23"/>
      <c r="C624" s="23"/>
      <c r="D624" s="36"/>
      <c r="E624" s="23"/>
      <c r="F624" s="23"/>
      <c r="G624" s="40"/>
      <c r="H624" s="23"/>
      <c r="I624" s="23"/>
      <c r="J624" s="40"/>
      <c r="K624" s="36"/>
      <c r="L624" s="36"/>
      <c r="M624" s="40"/>
      <c r="N624" s="23"/>
      <c r="O624" s="36"/>
      <c r="P624" s="40"/>
      <c r="Q624" s="36"/>
      <c r="R624" s="36"/>
      <c r="S624" s="40"/>
      <c r="T624" s="23"/>
      <c r="U624" s="23"/>
      <c r="V624" s="40"/>
      <c r="W624" s="23"/>
      <c r="X624" s="23"/>
      <c r="Y624" s="40"/>
      <c r="Z624" s="23"/>
      <c r="AA624" s="23"/>
      <c r="AB624" s="40"/>
      <c r="AC624" s="42"/>
      <c r="AD624" s="42"/>
      <c r="AE624" s="40"/>
      <c r="AF624" s="42"/>
      <c r="AG624" s="42"/>
      <c r="AH624" s="23"/>
      <c r="AI624" s="42"/>
      <c r="AJ624" s="42"/>
      <c r="AK624" s="40"/>
      <c r="AL624" s="84"/>
      <c r="AM624" s="84"/>
      <c r="AN624" s="40"/>
      <c r="AO624" s="23"/>
    </row>
    <row r="625" spans="1:41" ht="15.75" x14ac:dyDescent="0.25">
      <c r="A625" s="44"/>
      <c r="B625" s="23"/>
      <c r="C625" s="23"/>
      <c r="D625" s="36"/>
      <c r="E625" s="23"/>
      <c r="F625" s="23"/>
      <c r="G625" s="40"/>
      <c r="H625" s="23"/>
      <c r="I625" s="23"/>
      <c r="J625" s="40"/>
      <c r="K625" s="36"/>
      <c r="L625" s="36"/>
      <c r="M625" s="40"/>
      <c r="N625" s="23"/>
      <c r="O625" s="36"/>
      <c r="P625" s="40"/>
      <c r="Q625" s="36"/>
      <c r="R625" s="36"/>
      <c r="S625" s="40"/>
      <c r="T625" s="23"/>
      <c r="U625" s="23"/>
      <c r="V625" s="40"/>
      <c r="W625" s="23"/>
      <c r="X625" s="23"/>
      <c r="Y625" s="40"/>
      <c r="Z625" s="23"/>
      <c r="AA625" s="23"/>
      <c r="AB625" s="40"/>
      <c r="AC625" s="42"/>
      <c r="AD625" s="42"/>
      <c r="AE625" s="40"/>
      <c r="AF625" s="42"/>
      <c r="AG625" s="42"/>
      <c r="AH625" s="23"/>
      <c r="AI625" s="42"/>
      <c r="AJ625" s="42"/>
      <c r="AK625" s="40"/>
      <c r="AL625" s="84"/>
      <c r="AM625" s="84"/>
      <c r="AN625" s="40"/>
      <c r="AO625" s="23"/>
    </row>
    <row r="626" spans="1:41" ht="15.75" x14ac:dyDescent="0.25">
      <c r="A626" s="44"/>
      <c r="B626" s="23"/>
      <c r="C626" s="23"/>
      <c r="D626" s="36"/>
      <c r="E626" s="23"/>
      <c r="F626" s="23"/>
      <c r="G626" s="40"/>
      <c r="H626" s="23"/>
      <c r="I626" s="23"/>
      <c r="J626" s="40"/>
      <c r="K626" s="36"/>
      <c r="L626" s="36"/>
      <c r="M626" s="40"/>
      <c r="N626" s="23"/>
      <c r="O626" s="36"/>
      <c r="P626" s="40"/>
      <c r="Q626" s="36"/>
      <c r="R626" s="36"/>
      <c r="S626" s="40"/>
      <c r="T626" s="23"/>
      <c r="U626" s="23"/>
      <c r="V626" s="40"/>
      <c r="W626" s="23"/>
      <c r="X626" s="23"/>
      <c r="Y626" s="40"/>
      <c r="Z626" s="23"/>
      <c r="AA626" s="23"/>
      <c r="AB626" s="40"/>
      <c r="AC626" s="42"/>
      <c r="AD626" s="42"/>
      <c r="AE626" s="40"/>
      <c r="AF626" s="42"/>
      <c r="AG626" s="42"/>
      <c r="AH626" s="23"/>
      <c r="AI626" s="42"/>
      <c r="AJ626" s="42"/>
      <c r="AK626" s="40"/>
      <c r="AL626" s="84"/>
      <c r="AM626" s="84"/>
      <c r="AN626" s="40"/>
      <c r="AO626" s="23"/>
    </row>
    <row r="627" spans="1:41" ht="15.75" x14ac:dyDescent="0.25">
      <c r="A627" s="44"/>
      <c r="B627" s="23"/>
      <c r="C627" s="23"/>
      <c r="D627" s="36"/>
      <c r="E627" s="23"/>
      <c r="F627" s="23"/>
      <c r="G627" s="40"/>
      <c r="H627" s="23"/>
      <c r="I627" s="23"/>
      <c r="J627" s="40"/>
      <c r="K627" s="36"/>
      <c r="L627" s="36"/>
      <c r="M627" s="40"/>
      <c r="N627" s="23"/>
      <c r="O627" s="36"/>
      <c r="P627" s="40"/>
      <c r="Q627" s="36"/>
      <c r="R627" s="36"/>
      <c r="S627" s="40"/>
      <c r="T627" s="23"/>
      <c r="U627" s="23"/>
      <c r="V627" s="40"/>
      <c r="W627" s="23"/>
      <c r="X627" s="23"/>
      <c r="Y627" s="40"/>
      <c r="Z627" s="23"/>
      <c r="AA627" s="23"/>
      <c r="AB627" s="40"/>
      <c r="AC627" s="42"/>
      <c r="AD627" s="42"/>
      <c r="AE627" s="40"/>
      <c r="AF627" s="42"/>
      <c r="AG627" s="42"/>
      <c r="AH627" s="23"/>
      <c r="AI627" s="42"/>
      <c r="AJ627" s="42"/>
      <c r="AK627" s="40"/>
      <c r="AL627" s="84"/>
      <c r="AM627" s="84"/>
      <c r="AN627" s="40"/>
      <c r="AO627" s="23"/>
    </row>
    <row r="628" spans="1:41" ht="15.75" x14ac:dyDescent="0.25">
      <c r="A628" s="44"/>
      <c r="B628" s="23"/>
      <c r="C628" s="23"/>
      <c r="D628" s="36"/>
      <c r="E628" s="23"/>
      <c r="F628" s="23"/>
      <c r="G628" s="40"/>
      <c r="H628" s="23"/>
      <c r="I628" s="23"/>
      <c r="J628" s="40"/>
      <c r="K628" s="36"/>
      <c r="L628" s="36"/>
      <c r="M628" s="40"/>
      <c r="N628" s="23"/>
      <c r="O628" s="36"/>
      <c r="P628" s="40"/>
      <c r="Q628" s="36"/>
      <c r="R628" s="36"/>
      <c r="S628" s="40"/>
      <c r="T628" s="23"/>
      <c r="U628" s="23"/>
      <c r="V628" s="40"/>
      <c r="W628" s="23"/>
      <c r="X628" s="23"/>
      <c r="Y628" s="40"/>
      <c r="Z628" s="23"/>
      <c r="AA628" s="23"/>
      <c r="AB628" s="40"/>
      <c r="AC628" s="42"/>
      <c r="AD628" s="42"/>
      <c r="AE628" s="40"/>
      <c r="AF628" s="42"/>
      <c r="AG628" s="42"/>
      <c r="AH628" s="23"/>
      <c r="AI628" s="42"/>
      <c r="AJ628" s="42"/>
      <c r="AK628" s="40"/>
      <c r="AL628" s="84"/>
      <c r="AM628" s="84"/>
      <c r="AN628" s="40"/>
      <c r="AO628" s="23"/>
    </row>
    <row r="629" spans="1:41" ht="15.75" x14ac:dyDescent="0.25">
      <c r="A629" s="44"/>
      <c r="B629" s="23"/>
      <c r="C629" s="23"/>
      <c r="D629" s="36"/>
      <c r="E629" s="23"/>
      <c r="F629" s="23"/>
      <c r="G629" s="40"/>
      <c r="H629" s="23"/>
      <c r="I629" s="23"/>
      <c r="J629" s="40"/>
      <c r="K629" s="36"/>
      <c r="L629" s="36"/>
      <c r="M629" s="40"/>
      <c r="N629" s="23"/>
      <c r="O629" s="36"/>
      <c r="P629" s="40"/>
      <c r="Q629" s="36"/>
      <c r="R629" s="36"/>
      <c r="S629" s="40"/>
      <c r="T629" s="23"/>
      <c r="U629" s="23"/>
      <c r="V629" s="40"/>
      <c r="W629" s="23"/>
      <c r="X629" s="23"/>
      <c r="Y629" s="40"/>
      <c r="Z629" s="23"/>
      <c r="AA629" s="23"/>
      <c r="AB629" s="40"/>
      <c r="AC629" s="42"/>
      <c r="AD629" s="42"/>
      <c r="AE629" s="40"/>
      <c r="AF629" s="42"/>
      <c r="AG629" s="42"/>
      <c r="AH629" s="23"/>
      <c r="AI629" s="42"/>
      <c r="AJ629" s="42"/>
      <c r="AK629" s="40"/>
      <c r="AL629" s="84"/>
      <c r="AM629" s="84"/>
      <c r="AN629" s="40"/>
      <c r="AO629" s="23"/>
    </row>
    <row r="630" spans="1:41" ht="15.75" x14ac:dyDescent="0.25">
      <c r="A630" s="44"/>
      <c r="B630" s="23"/>
      <c r="C630" s="23"/>
      <c r="D630" s="36"/>
      <c r="E630" s="23"/>
      <c r="F630" s="23"/>
      <c r="G630" s="40"/>
      <c r="H630" s="23"/>
      <c r="I630" s="23"/>
      <c r="J630" s="40"/>
      <c r="K630" s="36"/>
      <c r="L630" s="36"/>
      <c r="M630" s="40"/>
      <c r="N630" s="23"/>
      <c r="O630" s="36"/>
      <c r="P630" s="40"/>
      <c r="Q630" s="36"/>
      <c r="R630" s="36"/>
      <c r="S630" s="40"/>
      <c r="T630" s="23"/>
      <c r="U630" s="23"/>
      <c r="V630" s="40"/>
      <c r="W630" s="23"/>
      <c r="X630" s="23"/>
      <c r="Y630" s="40"/>
      <c r="Z630" s="23"/>
      <c r="AA630" s="23"/>
      <c r="AB630" s="40"/>
      <c r="AC630" s="42"/>
      <c r="AD630" s="42"/>
      <c r="AE630" s="40"/>
      <c r="AF630" s="42"/>
      <c r="AG630" s="42"/>
      <c r="AH630" s="23"/>
      <c r="AI630" s="42"/>
      <c r="AJ630" s="42"/>
      <c r="AK630" s="40"/>
      <c r="AL630" s="84"/>
      <c r="AM630" s="84"/>
      <c r="AN630" s="40"/>
      <c r="AO630" s="23"/>
    </row>
    <row r="631" spans="1:41" ht="15.75" x14ac:dyDescent="0.25">
      <c r="A631" s="44"/>
      <c r="B631" s="23"/>
      <c r="C631" s="23"/>
      <c r="D631" s="36"/>
      <c r="E631" s="23"/>
      <c r="F631" s="23"/>
      <c r="G631" s="40"/>
      <c r="H631" s="23"/>
      <c r="I631" s="23"/>
      <c r="J631" s="40"/>
      <c r="K631" s="36"/>
      <c r="L631" s="36"/>
      <c r="M631" s="40"/>
      <c r="N631" s="23"/>
      <c r="O631" s="36"/>
      <c r="P631" s="40"/>
      <c r="Q631" s="36"/>
      <c r="R631" s="36"/>
      <c r="S631" s="40"/>
      <c r="T631" s="23"/>
      <c r="U631" s="23"/>
      <c r="V631" s="40"/>
      <c r="W631" s="23"/>
      <c r="X631" s="23"/>
      <c r="Y631" s="40"/>
      <c r="Z631" s="23"/>
      <c r="AA631" s="23"/>
      <c r="AB631" s="40"/>
      <c r="AC631" s="42"/>
      <c r="AD631" s="42"/>
      <c r="AE631" s="40"/>
      <c r="AF631" s="42"/>
      <c r="AG631" s="42"/>
      <c r="AH631" s="23"/>
      <c r="AI631" s="42"/>
      <c r="AJ631" s="42"/>
      <c r="AK631" s="40"/>
      <c r="AL631" s="84"/>
      <c r="AM631" s="84"/>
      <c r="AN631" s="40"/>
      <c r="AO631" s="23"/>
    </row>
    <row r="632" spans="1:41" ht="15.75" x14ac:dyDescent="0.25">
      <c r="A632" s="44"/>
      <c r="B632" s="23"/>
      <c r="C632" s="23"/>
      <c r="D632" s="36"/>
      <c r="E632" s="23"/>
      <c r="F632" s="23"/>
      <c r="G632" s="40"/>
      <c r="H632" s="23"/>
      <c r="I632" s="23"/>
      <c r="J632" s="40"/>
      <c r="K632" s="36"/>
      <c r="L632" s="36"/>
      <c r="M632" s="40"/>
      <c r="N632" s="23"/>
      <c r="O632" s="36"/>
      <c r="P632" s="40"/>
      <c r="Q632" s="36"/>
      <c r="R632" s="36"/>
      <c r="S632" s="40"/>
      <c r="T632" s="23"/>
      <c r="U632" s="23"/>
      <c r="V632" s="40"/>
      <c r="W632" s="23"/>
      <c r="X632" s="23"/>
      <c r="Y632" s="40"/>
      <c r="Z632" s="23"/>
      <c r="AA632" s="23"/>
      <c r="AB632" s="40"/>
      <c r="AC632" s="42"/>
      <c r="AD632" s="42"/>
      <c r="AE632" s="40"/>
      <c r="AF632" s="42"/>
      <c r="AG632" s="42"/>
      <c r="AH632" s="23"/>
      <c r="AI632" s="42"/>
      <c r="AJ632" s="42"/>
      <c r="AK632" s="40"/>
      <c r="AL632" s="84"/>
      <c r="AM632" s="84"/>
      <c r="AN632" s="40"/>
      <c r="AO632" s="23"/>
    </row>
    <row r="633" spans="1:41" ht="15.75" x14ac:dyDescent="0.25">
      <c r="A633" s="44"/>
      <c r="B633" s="23"/>
      <c r="C633" s="23"/>
      <c r="D633" s="36"/>
      <c r="E633" s="23"/>
      <c r="F633" s="23"/>
      <c r="G633" s="40"/>
      <c r="H633" s="23"/>
      <c r="I633" s="23"/>
      <c r="J633" s="40"/>
      <c r="K633" s="36"/>
      <c r="L633" s="36"/>
      <c r="M633" s="40"/>
      <c r="N633" s="23"/>
      <c r="O633" s="36"/>
      <c r="P633" s="40"/>
      <c r="Q633" s="36"/>
      <c r="R633" s="36"/>
      <c r="S633" s="40"/>
      <c r="T633" s="23"/>
      <c r="U633" s="23"/>
      <c r="V633" s="40"/>
      <c r="W633" s="23"/>
      <c r="X633" s="23"/>
      <c r="Y633" s="40"/>
      <c r="Z633" s="23"/>
      <c r="AA633" s="23"/>
      <c r="AB633" s="40"/>
      <c r="AC633" s="42"/>
      <c r="AD633" s="42"/>
      <c r="AE633" s="40"/>
      <c r="AF633" s="42"/>
      <c r="AG633" s="42"/>
      <c r="AH633" s="23"/>
      <c r="AI633" s="42"/>
      <c r="AJ633" s="42"/>
      <c r="AK633" s="40"/>
      <c r="AL633" s="84"/>
      <c r="AM633" s="84"/>
      <c r="AN633" s="40"/>
      <c r="AO633" s="23"/>
    </row>
    <row r="634" spans="1:41" ht="15.75" x14ac:dyDescent="0.25">
      <c r="A634" s="44"/>
      <c r="B634" s="23"/>
      <c r="C634" s="23"/>
      <c r="D634" s="36"/>
      <c r="E634" s="23"/>
      <c r="F634" s="23"/>
      <c r="G634" s="40"/>
      <c r="H634" s="23"/>
      <c r="I634" s="23"/>
      <c r="J634" s="40"/>
      <c r="K634" s="36"/>
      <c r="L634" s="36"/>
      <c r="M634" s="40"/>
      <c r="N634" s="23"/>
      <c r="O634" s="36"/>
      <c r="P634" s="40"/>
      <c r="Q634" s="36"/>
      <c r="R634" s="36"/>
      <c r="S634" s="40"/>
      <c r="T634" s="23"/>
      <c r="U634" s="23"/>
      <c r="V634" s="40"/>
      <c r="W634" s="23"/>
      <c r="X634" s="23"/>
      <c r="Y634" s="40"/>
      <c r="Z634" s="23"/>
      <c r="AA634" s="23"/>
      <c r="AB634" s="40"/>
      <c r="AC634" s="42"/>
      <c r="AD634" s="42"/>
      <c r="AE634" s="40"/>
      <c r="AF634" s="42"/>
      <c r="AG634" s="42"/>
      <c r="AH634" s="23"/>
      <c r="AI634" s="42"/>
      <c r="AJ634" s="42"/>
      <c r="AK634" s="40"/>
      <c r="AL634" s="84"/>
      <c r="AM634" s="84"/>
      <c r="AN634" s="40"/>
      <c r="AO634" s="23"/>
    </row>
    <row r="635" spans="1:41" ht="15.75" x14ac:dyDescent="0.25">
      <c r="A635" s="44"/>
      <c r="B635" s="23"/>
      <c r="C635" s="23"/>
      <c r="D635" s="36"/>
      <c r="E635" s="23"/>
      <c r="F635" s="23"/>
      <c r="G635" s="40"/>
      <c r="H635" s="23"/>
      <c r="I635" s="23"/>
      <c r="J635" s="40"/>
      <c r="K635" s="36"/>
      <c r="L635" s="36"/>
      <c r="M635" s="40"/>
      <c r="N635" s="23"/>
      <c r="O635" s="36"/>
      <c r="P635" s="40"/>
      <c r="Q635" s="36"/>
      <c r="R635" s="36"/>
      <c r="S635" s="40"/>
      <c r="T635" s="23"/>
      <c r="U635" s="23"/>
      <c r="V635" s="40"/>
      <c r="W635" s="23"/>
      <c r="X635" s="23"/>
      <c r="Y635" s="40"/>
      <c r="Z635" s="23"/>
      <c r="AA635" s="23"/>
      <c r="AB635" s="40"/>
      <c r="AC635" s="42"/>
      <c r="AD635" s="42"/>
      <c r="AE635" s="40"/>
      <c r="AF635" s="42"/>
      <c r="AG635" s="42"/>
      <c r="AH635" s="23"/>
      <c r="AI635" s="42"/>
      <c r="AJ635" s="42"/>
      <c r="AK635" s="40"/>
      <c r="AL635" s="84"/>
      <c r="AM635" s="84"/>
      <c r="AN635" s="40"/>
      <c r="AO635" s="23"/>
    </row>
    <row r="636" spans="1:41" ht="15.75" x14ac:dyDescent="0.25">
      <c r="A636" s="44"/>
      <c r="B636" s="23"/>
      <c r="C636" s="23"/>
      <c r="D636" s="36"/>
      <c r="E636" s="23"/>
      <c r="F636" s="23"/>
      <c r="G636" s="40"/>
      <c r="H636" s="23"/>
      <c r="I636" s="23"/>
      <c r="J636" s="40"/>
      <c r="K636" s="36"/>
      <c r="L636" s="36"/>
      <c r="M636" s="40"/>
      <c r="N636" s="23"/>
      <c r="O636" s="36"/>
      <c r="P636" s="40"/>
      <c r="Q636" s="36"/>
      <c r="R636" s="36"/>
      <c r="S636" s="40"/>
      <c r="T636" s="23"/>
      <c r="U636" s="23"/>
      <c r="V636" s="40"/>
      <c r="W636" s="23"/>
      <c r="X636" s="23"/>
      <c r="Y636" s="40"/>
      <c r="Z636" s="23"/>
      <c r="AA636" s="23"/>
      <c r="AB636" s="40"/>
      <c r="AC636" s="42"/>
      <c r="AD636" s="42"/>
      <c r="AE636" s="40"/>
      <c r="AF636" s="42"/>
      <c r="AG636" s="42"/>
      <c r="AH636" s="23"/>
      <c r="AI636" s="42"/>
      <c r="AJ636" s="42"/>
      <c r="AK636" s="40"/>
      <c r="AL636" s="84"/>
      <c r="AM636" s="84"/>
      <c r="AN636" s="40"/>
      <c r="AO636" s="23"/>
    </row>
    <row r="637" spans="1:41" ht="15.75" x14ac:dyDescent="0.25">
      <c r="A637" s="44"/>
      <c r="B637" s="23"/>
      <c r="C637" s="23"/>
      <c r="D637" s="36"/>
      <c r="E637" s="23"/>
      <c r="F637" s="23"/>
      <c r="G637" s="40"/>
      <c r="H637" s="23"/>
      <c r="I637" s="23"/>
      <c r="J637" s="40"/>
      <c r="K637" s="36"/>
      <c r="L637" s="36"/>
      <c r="M637" s="40"/>
      <c r="N637" s="23"/>
      <c r="O637" s="36"/>
      <c r="P637" s="40"/>
      <c r="Q637" s="36"/>
      <c r="R637" s="36"/>
      <c r="S637" s="40"/>
      <c r="T637" s="23"/>
      <c r="U637" s="23"/>
      <c r="V637" s="40"/>
      <c r="W637" s="23"/>
      <c r="X637" s="23"/>
      <c r="Y637" s="40"/>
      <c r="Z637" s="23"/>
      <c r="AA637" s="23"/>
      <c r="AB637" s="40"/>
      <c r="AC637" s="42"/>
      <c r="AD637" s="42"/>
      <c r="AE637" s="40"/>
      <c r="AF637" s="42"/>
      <c r="AG637" s="42"/>
      <c r="AH637" s="23"/>
      <c r="AI637" s="42"/>
      <c r="AJ637" s="42"/>
      <c r="AK637" s="40"/>
      <c r="AL637" s="84"/>
      <c r="AM637" s="84"/>
      <c r="AN637" s="40"/>
      <c r="AO637" s="23"/>
    </row>
    <row r="638" spans="1:41" ht="15.75" x14ac:dyDescent="0.25">
      <c r="A638" s="44"/>
      <c r="B638" s="23"/>
      <c r="C638" s="23"/>
      <c r="D638" s="36"/>
      <c r="E638" s="23"/>
      <c r="F638" s="23"/>
      <c r="G638" s="40"/>
      <c r="H638" s="23"/>
      <c r="I638" s="23"/>
      <c r="J638" s="40"/>
      <c r="K638" s="36"/>
      <c r="L638" s="36"/>
      <c r="M638" s="40"/>
      <c r="N638" s="23"/>
      <c r="O638" s="36"/>
      <c r="P638" s="40"/>
      <c r="Q638" s="36"/>
      <c r="R638" s="36"/>
      <c r="S638" s="40"/>
      <c r="T638" s="23"/>
      <c r="U638" s="23"/>
      <c r="V638" s="40"/>
      <c r="W638" s="23"/>
      <c r="X638" s="23"/>
      <c r="Y638" s="40"/>
      <c r="Z638" s="23"/>
      <c r="AA638" s="23"/>
      <c r="AB638" s="40"/>
      <c r="AC638" s="42"/>
      <c r="AD638" s="42"/>
      <c r="AE638" s="40"/>
      <c r="AF638" s="42"/>
      <c r="AG638" s="42"/>
      <c r="AH638" s="23"/>
      <c r="AI638" s="42"/>
      <c r="AJ638" s="42"/>
      <c r="AK638" s="40"/>
      <c r="AL638" s="84"/>
      <c r="AM638" s="84"/>
      <c r="AN638" s="40"/>
      <c r="AO638" s="23"/>
    </row>
    <row r="639" spans="1:41" ht="15.75" x14ac:dyDescent="0.25">
      <c r="A639" s="44"/>
      <c r="B639" s="23"/>
      <c r="C639" s="23"/>
      <c r="D639" s="36"/>
      <c r="E639" s="23"/>
      <c r="F639" s="23"/>
      <c r="G639" s="40"/>
      <c r="H639" s="23"/>
      <c r="I639" s="23"/>
      <c r="J639" s="40"/>
      <c r="K639" s="36"/>
      <c r="L639" s="36"/>
      <c r="M639" s="40"/>
      <c r="N639" s="23"/>
      <c r="O639" s="36"/>
      <c r="P639" s="40"/>
      <c r="Q639" s="36"/>
      <c r="R639" s="36"/>
      <c r="S639" s="40"/>
      <c r="T639" s="23"/>
      <c r="U639" s="23"/>
      <c r="V639" s="40"/>
      <c r="W639" s="23"/>
      <c r="X639" s="23"/>
      <c r="Y639" s="40"/>
      <c r="Z639" s="23"/>
      <c r="AA639" s="23"/>
      <c r="AB639" s="40"/>
      <c r="AC639" s="42"/>
      <c r="AD639" s="42"/>
      <c r="AE639" s="40"/>
      <c r="AF639" s="42"/>
      <c r="AG639" s="42"/>
      <c r="AH639" s="23"/>
      <c r="AI639" s="42"/>
      <c r="AJ639" s="42"/>
      <c r="AK639" s="40"/>
      <c r="AL639" s="84"/>
      <c r="AM639" s="84"/>
      <c r="AN639" s="40"/>
      <c r="AO639" s="23"/>
    </row>
    <row r="640" spans="1:41" ht="15.75" x14ac:dyDescent="0.25">
      <c r="A640" s="44"/>
      <c r="B640" s="23"/>
      <c r="C640" s="23"/>
      <c r="D640" s="36"/>
      <c r="E640" s="23"/>
      <c r="F640" s="23"/>
      <c r="G640" s="40"/>
      <c r="H640" s="23"/>
      <c r="I640" s="23"/>
      <c r="J640" s="40"/>
      <c r="K640" s="36"/>
      <c r="L640" s="36"/>
      <c r="M640" s="40"/>
      <c r="N640" s="23"/>
      <c r="O640" s="36"/>
      <c r="P640" s="40"/>
      <c r="Q640" s="36"/>
      <c r="R640" s="36"/>
      <c r="S640" s="40"/>
      <c r="T640" s="23"/>
      <c r="U640" s="23"/>
      <c r="V640" s="40"/>
      <c r="W640" s="23"/>
      <c r="X640" s="23"/>
      <c r="Y640" s="40"/>
      <c r="Z640" s="23"/>
      <c r="AA640" s="23"/>
      <c r="AB640" s="40"/>
      <c r="AC640" s="42"/>
      <c r="AD640" s="42"/>
      <c r="AE640" s="40"/>
      <c r="AF640" s="42"/>
      <c r="AG640" s="42"/>
      <c r="AH640" s="23"/>
      <c r="AI640" s="42"/>
      <c r="AJ640" s="42"/>
      <c r="AK640" s="40"/>
      <c r="AL640" s="84"/>
      <c r="AM640" s="84"/>
      <c r="AN640" s="40"/>
      <c r="AO640" s="23"/>
    </row>
    <row r="641" spans="1:41" ht="15.75" x14ac:dyDescent="0.25">
      <c r="A641" s="44"/>
      <c r="B641" s="23"/>
      <c r="C641" s="23"/>
      <c r="D641" s="36"/>
      <c r="E641" s="23"/>
      <c r="F641" s="23"/>
      <c r="G641" s="40"/>
      <c r="H641" s="23"/>
      <c r="I641" s="23"/>
      <c r="J641" s="40"/>
      <c r="K641" s="36"/>
      <c r="L641" s="36"/>
      <c r="M641" s="40"/>
      <c r="N641" s="23"/>
      <c r="O641" s="36"/>
      <c r="P641" s="40"/>
      <c r="Q641" s="36"/>
      <c r="R641" s="36"/>
      <c r="S641" s="40"/>
      <c r="T641" s="23"/>
      <c r="U641" s="23"/>
      <c r="V641" s="40"/>
      <c r="W641" s="23"/>
      <c r="X641" s="23"/>
      <c r="Y641" s="40"/>
      <c r="Z641" s="23"/>
      <c r="AA641" s="23"/>
      <c r="AB641" s="40"/>
      <c r="AC641" s="42"/>
      <c r="AD641" s="42"/>
      <c r="AE641" s="40"/>
      <c r="AF641" s="42"/>
      <c r="AG641" s="42"/>
      <c r="AH641" s="23"/>
      <c r="AI641" s="42"/>
      <c r="AJ641" s="42"/>
      <c r="AK641" s="40"/>
      <c r="AL641" s="84"/>
      <c r="AM641" s="84"/>
      <c r="AN641" s="40"/>
      <c r="AO641" s="23"/>
    </row>
    <row r="642" spans="1:41" ht="15.75" x14ac:dyDescent="0.25">
      <c r="A642" s="44"/>
      <c r="B642" s="23"/>
      <c r="C642" s="23"/>
      <c r="D642" s="36"/>
      <c r="E642" s="23"/>
      <c r="F642" s="23"/>
      <c r="G642" s="40"/>
      <c r="H642" s="23"/>
      <c r="I642" s="23"/>
      <c r="J642" s="40"/>
      <c r="K642" s="36"/>
      <c r="L642" s="36"/>
      <c r="M642" s="40"/>
      <c r="N642" s="23"/>
      <c r="O642" s="36"/>
      <c r="P642" s="40"/>
      <c r="Q642" s="36"/>
      <c r="R642" s="36"/>
      <c r="S642" s="40"/>
      <c r="T642" s="23"/>
      <c r="U642" s="23"/>
      <c r="V642" s="40"/>
      <c r="W642" s="23"/>
      <c r="X642" s="23"/>
      <c r="Y642" s="40"/>
      <c r="Z642" s="23"/>
      <c r="AA642" s="23"/>
      <c r="AB642" s="40"/>
      <c r="AC642" s="42"/>
      <c r="AD642" s="42"/>
      <c r="AE642" s="40"/>
      <c r="AF642" s="42"/>
      <c r="AG642" s="42"/>
      <c r="AH642" s="23"/>
      <c r="AI642" s="42"/>
      <c r="AJ642" s="42"/>
      <c r="AK642" s="40"/>
      <c r="AL642" s="84"/>
      <c r="AM642" s="84"/>
      <c r="AN642" s="40"/>
      <c r="AO642" s="23"/>
    </row>
    <row r="643" spans="1:41" ht="15.75" x14ac:dyDescent="0.25">
      <c r="A643" s="44"/>
      <c r="B643" s="23"/>
      <c r="C643" s="23"/>
      <c r="D643" s="36"/>
      <c r="E643" s="23"/>
      <c r="F643" s="23"/>
      <c r="G643" s="40"/>
      <c r="H643" s="23"/>
      <c r="I643" s="23"/>
      <c r="J643" s="40"/>
      <c r="K643" s="36"/>
      <c r="L643" s="36"/>
      <c r="M643" s="40"/>
      <c r="N643" s="23"/>
      <c r="O643" s="36"/>
      <c r="P643" s="40"/>
      <c r="Q643" s="36"/>
      <c r="R643" s="36"/>
      <c r="S643" s="40"/>
      <c r="T643" s="23"/>
      <c r="U643" s="23"/>
      <c r="V643" s="40"/>
      <c r="W643" s="23"/>
      <c r="X643" s="23"/>
      <c r="Y643" s="40"/>
      <c r="Z643" s="23"/>
      <c r="AA643" s="23"/>
      <c r="AB643" s="40"/>
      <c r="AC643" s="42"/>
      <c r="AD643" s="42"/>
      <c r="AE643" s="40"/>
      <c r="AF643" s="42"/>
      <c r="AG643" s="42"/>
      <c r="AH643" s="23"/>
      <c r="AI643" s="42"/>
      <c r="AJ643" s="42"/>
      <c r="AK643" s="40"/>
      <c r="AL643" s="84"/>
      <c r="AM643" s="84"/>
      <c r="AN643" s="40"/>
      <c r="AO643" s="23"/>
    </row>
    <row r="644" spans="1:41" ht="15.75" x14ac:dyDescent="0.25">
      <c r="A644" s="44"/>
      <c r="B644" s="23"/>
      <c r="C644" s="23"/>
      <c r="D644" s="36"/>
      <c r="E644" s="23"/>
      <c r="F644" s="23"/>
      <c r="G644" s="40"/>
      <c r="H644" s="23"/>
      <c r="I644" s="23"/>
      <c r="J644" s="40"/>
      <c r="K644" s="36"/>
      <c r="L644" s="36"/>
      <c r="M644" s="40"/>
      <c r="N644" s="23"/>
      <c r="O644" s="36"/>
      <c r="P644" s="40"/>
      <c r="Q644" s="36"/>
      <c r="R644" s="36"/>
      <c r="S644" s="40"/>
      <c r="T644" s="23"/>
      <c r="U644" s="23"/>
      <c r="V644" s="40"/>
      <c r="W644" s="23"/>
      <c r="X644" s="23"/>
      <c r="Y644" s="40"/>
      <c r="Z644" s="23"/>
      <c r="AA644" s="23"/>
      <c r="AB644" s="40"/>
      <c r="AC644" s="42"/>
      <c r="AD644" s="42"/>
      <c r="AE644" s="40"/>
      <c r="AF644" s="42"/>
      <c r="AG644" s="42"/>
      <c r="AH644" s="23"/>
      <c r="AI644" s="42"/>
      <c r="AJ644" s="42"/>
      <c r="AK644" s="40"/>
      <c r="AL644" s="84"/>
      <c r="AM644" s="84"/>
      <c r="AN644" s="40"/>
      <c r="AO644" s="23"/>
    </row>
    <row r="645" spans="1:41" ht="15.75" x14ac:dyDescent="0.25">
      <c r="A645" s="44"/>
      <c r="B645" s="23"/>
      <c r="C645" s="23"/>
      <c r="D645" s="36"/>
      <c r="E645" s="23"/>
      <c r="F645" s="23"/>
      <c r="G645" s="40"/>
      <c r="H645" s="23"/>
      <c r="I645" s="23"/>
      <c r="J645" s="40"/>
      <c r="K645" s="36"/>
      <c r="L645" s="36"/>
      <c r="M645" s="40"/>
      <c r="N645" s="23"/>
      <c r="O645" s="36"/>
      <c r="P645" s="40"/>
      <c r="Q645" s="36"/>
      <c r="R645" s="36"/>
      <c r="S645" s="40"/>
      <c r="T645" s="23"/>
      <c r="U645" s="23"/>
      <c r="V645" s="40"/>
      <c r="W645" s="23"/>
      <c r="X645" s="23"/>
      <c r="Y645" s="40"/>
      <c r="Z645" s="23"/>
      <c r="AA645" s="23"/>
      <c r="AB645" s="40"/>
      <c r="AC645" s="42"/>
      <c r="AD645" s="42"/>
      <c r="AE645" s="40"/>
      <c r="AF645" s="42"/>
      <c r="AG645" s="42"/>
      <c r="AH645" s="23"/>
      <c r="AI645" s="42"/>
      <c r="AJ645" s="42"/>
      <c r="AK645" s="40"/>
      <c r="AL645" s="84"/>
      <c r="AM645" s="84"/>
      <c r="AN645" s="40"/>
      <c r="AO645" s="23"/>
    </row>
    <row r="646" spans="1:41" ht="15.75" x14ac:dyDescent="0.25">
      <c r="A646" s="44"/>
      <c r="B646" s="23"/>
      <c r="C646" s="23"/>
      <c r="D646" s="36"/>
      <c r="E646" s="23"/>
      <c r="F646" s="23"/>
      <c r="G646" s="40"/>
      <c r="H646" s="23"/>
      <c r="I646" s="23"/>
      <c r="J646" s="40"/>
      <c r="K646" s="36"/>
      <c r="L646" s="36"/>
      <c r="M646" s="40"/>
      <c r="N646" s="23"/>
      <c r="O646" s="36"/>
      <c r="P646" s="40"/>
      <c r="Q646" s="36"/>
      <c r="R646" s="36"/>
      <c r="S646" s="40"/>
      <c r="T646" s="23"/>
      <c r="U646" s="23"/>
      <c r="V646" s="40"/>
      <c r="W646" s="23"/>
      <c r="X646" s="23"/>
      <c r="Y646" s="40"/>
      <c r="Z646" s="23"/>
      <c r="AA646" s="23"/>
      <c r="AB646" s="40"/>
      <c r="AC646" s="42"/>
      <c r="AD646" s="42"/>
      <c r="AE646" s="40"/>
      <c r="AF646" s="42"/>
      <c r="AG646" s="42"/>
      <c r="AH646" s="23"/>
      <c r="AI646" s="42"/>
      <c r="AJ646" s="42"/>
      <c r="AK646" s="40"/>
      <c r="AL646" s="84"/>
      <c r="AM646" s="84"/>
      <c r="AN646" s="40"/>
      <c r="AO646" s="23"/>
    </row>
    <row r="647" spans="1:41" ht="15.75" x14ac:dyDescent="0.25">
      <c r="A647" s="44"/>
      <c r="B647" s="23"/>
      <c r="C647" s="23"/>
      <c r="D647" s="36"/>
      <c r="E647" s="23"/>
      <c r="F647" s="23"/>
      <c r="G647" s="40"/>
      <c r="H647" s="23"/>
      <c r="I647" s="23"/>
      <c r="J647" s="40"/>
      <c r="K647" s="36"/>
      <c r="L647" s="36"/>
      <c r="M647" s="40"/>
      <c r="N647" s="23"/>
      <c r="O647" s="36"/>
      <c r="P647" s="40"/>
      <c r="Q647" s="36"/>
      <c r="R647" s="36"/>
      <c r="S647" s="40"/>
      <c r="T647" s="23"/>
      <c r="U647" s="23"/>
      <c r="V647" s="40"/>
      <c r="W647" s="23"/>
      <c r="X647" s="23"/>
      <c r="Y647" s="40"/>
      <c r="Z647" s="23"/>
      <c r="AA647" s="23"/>
      <c r="AB647" s="40"/>
      <c r="AC647" s="42"/>
      <c r="AD647" s="42"/>
      <c r="AE647" s="40"/>
      <c r="AF647" s="42"/>
      <c r="AG647" s="42"/>
      <c r="AH647" s="23"/>
      <c r="AI647" s="42"/>
      <c r="AJ647" s="42"/>
      <c r="AK647" s="40"/>
      <c r="AL647" s="84"/>
      <c r="AM647" s="84"/>
      <c r="AN647" s="40"/>
      <c r="AO647" s="23"/>
    </row>
    <row r="648" spans="1:41" ht="15.75" x14ac:dyDescent="0.25">
      <c r="A648" s="44"/>
      <c r="B648" s="23"/>
      <c r="C648" s="23"/>
      <c r="D648" s="36"/>
      <c r="E648" s="23"/>
      <c r="F648" s="23"/>
      <c r="G648" s="40"/>
      <c r="H648" s="23"/>
      <c r="I648" s="23"/>
      <c r="J648" s="40"/>
      <c r="K648" s="36"/>
      <c r="L648" s="36"/>
      <c r="M648" s="40"/>
      <c r="N648" s="23"/>
      <c r="O648" s="36"/>
      <c r="P648" s="40"/>
      <c r="Q648" s="36"/>
      <c r="R648" s="36"/>
      <c r="S648" s="40"/>
      <c r="T648" s="23"/>
      <c r="U648" s="23"/>
      <c r="V648" s="40"/>
      <c r="W648" s="23"/>
      <c r="X648" s="23"/>
      <c r="Y648" s="40"/>
      <c r="Z648" s="23"/>
      <c r="AA648" s="23"/>
      <c r="AB648" s="40"/>
      <c r="AC648" s="42"/>
      <c r="AD648" s="42"/>
      <c r="AE648" s="40"/>
      <c r="AF648" s="42"/>
      <c r="AG648" s="42"/>
      <c r="AH648" s="23"/>
      <c r="AI648" s="42"/>
      <c r="AJ648" s="42"/>
      <c r="AK648" s="40"/>
      <c r="AL648" s="84"/>
      <c r="AM648" s="84"/>
      <c r="AN648" s="40"/>
      <c r="AO648" s="23"/>
    </row>
    <row r="649" spans="1:41" ht="15.75" x14ac:dyDescent="0.25">
      <c r="A649" s="44"/>
      <c r="B649" s="23"/>
      <c r="C649" s="23"/>
      <c r="D649" s="36"/>
      <c r="E649" s="23"/>
      <c r="F649" s="23"/>
      <c r="G649" s="40"/>
      <c r="H649" s="23"/>
      <c r="I649" s="23"/>
      <c r="J649" s="40"/>
      <c r="K649" s="36"/>
      <c r="L649" s="36"/>
      <c r="M649" s="40"/>
      <c r="N649" s="23"/>
      <c r="O649" s="36"/>
      <c r="P649" s="40"/>
      <c r="Q649" s="36"/>
      <c r="R649" s="36"/>
      <c r="S649" s="40"/>
      <c r="T649" s="23"/>
      <c r="U649" s="23"/>
      <c r="V649" s="40"/>
      <c r="W649" s="23"/>
      <c r="X649" s="23"/>
      <c r="Y649" s="40"/>
      <c r="Z649" s="23"/>
      <c r="AA649" s="23"/>
      <c r="AB649" s="40"/>
      <c r="AC649" s="42"/>
      <c r="AD649" s="42"/>
      <c r="AE649" s="40"/>
      <c r="AF649" s="42"/>
      <c r="AG649" s="42"/>
      <c r="AH649" s="23"/>
      <c r="AI649" s="42"/>
      <c r="AJ649" s="42"/>
      <c r="AK649" s="40"/>
      <c r="AL649" s="84"/>
      <c r="AM649" s="84"/>
      <c r="AN649" s="40"/>
      <c r="AO649" s="23"/>
    </row>
    <row r="650" spans="1:41" ht="15.75" x14ac:dyDescent="0.25">
      <c r="A650" s="44"/>
      <c r="B650" s="23"/>
      <c r="C650" s="23"/>
      <c r="D650" s="36"/>
      <c r="E650" s="23"/>
      <c r="F650" s="23"/>
      <c r="G650" s="40"/>
      <c r="H650" s="23"/>
      <c r="I650" s="23"/>
      <c r="J650" s="40"/>
      <c r="K650" s="36"/>
      <c r="L650" s="36"/>
      <c r="M650" s="40"/>
      <c r="N650" s="23"/>
      <c r="O650" s="36"/>
      <c r="P650" s="40"/>
      <c r="Q650" s="36"/>
      <c r="R650" s="36"/>
      <c r="S650" s="40"/>
      <c r="T650" s="23"/>
      <c r="U650" s="23"/>
      <c r="V650" s="40"/>
      <c r="W650" s="23"/>
      <c r="X650" s="23"/>
      <c r="Y650" s="40"/>
      <c r="Z650" s="23"/>
      <c r="AA650" s="23"/>
      <c r="AB650" s="40"/>
      <c r="AC650" s="42"/>
      <c r="AD650" s="42"/>
      <c r="AE650" s="40"/>
      <c r="AF650" s="42"/>
      <c r="AG650" s="42"/>
      <c r="AH650" s="23"/>
      <c r="AI650" s="42"/>
      <c r="AJ650" s="42"/>
      <c r="AK650" s="40"/>
      <c r="AL650" s="84"/>
      <c r="AM650" s="84"/>
      <c r="AN650" s="40"/>
      <c r="AO650" s="23"/>
    </row>
    <row r="651" spans="1:41" ht="15.75" x14ac:dyDescent="0.25">
      <c r="A651" s="44"/>
      <c r="B651" s="23"/>
      <c r="C651" s="23"/>
      <c r="D651" s="36"/>
      <c r="E651" s="23"/>
      <c r="F651" s="23"/>
      <c r="G651" s="40"/>
      <c r="H651" s="23"/>
      <c r="I651" s="23"/>
      <c r="J651" s="40"/>
      <c r="K651" s="36"/>
      <c r="L651" s="36"/>
      <c r="M651" s="40"/>
      <c r="N651" s="23"/>
      <c r="O651" s="36"/>
      <c r="P651" s="40"/>
      <c r="Q651" s="36"/>
      <c r="R651" s="36"/>
      <c r="S651" s="40"/>
      <c r="T651" s="23"/>
      <c r="U651" s="23"/>
      <c r="V651" s="40"/>
      <c r="W651" s="23"/>
      <c r="X651" s="23"/>
      <c r="Y651" s="40"/>
      <c r="Z651" s="23"/>
      <c r="AA651" s="23"/>
      <c r="AB651" s="40"/>
      <c r="AC651" s="42"/>
      <c r="AD651" s="42"/>
      <c r="AE651" s="40"/>
      <c r="AF651" s="42"/>
      <c r="AG651" s="42"/>
      <c r="AH651" s="23"/>
      <c r="AI651" s="42"/>
      <c r="AJ651" s="42"/>
      <c r="AK651" s="40"/>
      <c r="AL651" s="84"/>
      <c r="AM651" s="84"/>
      <c r="AN651" s="40"/>
      <c r="AO651" s="23"/>
    </row>
    <row r="652" spans="1:41" ht="15.75" x14ac:dyDescent="0.25">
      <c r="A652" s="44"/>
      <c r="B652" s="23"/>
      <c r="C652" s="23"/>
      <c r="D652" s="36"/>
      <c r="E652" s="23"/>
      <c r="F652" s="23"/>
      <c r="G652" s="40"/>
      <c r="H652" s="23"/>
      <c r="I652" s="23"/>
      <c r="J652" s="40"/>
      <c r="K652" s="36"/>
      <c r="L652" s="36"/>
      <c r="M652" s="40"/>
      <c r="N652" s="23"/>
      <c r="O652" s="36"/>
      <c r="P652" s="40"/>
      <c r="Q652" s="36"/>
      <c r="R652" s="36"/>
      <c r="S652" s="40"/>
      <c r="T652" s="23"/>
      <c r="U652" s="23"/>
      <c r="V652" s="40"/>
      <c r="W652" s="23"/>
      <c r="X652" s="23"/>
      <c r="Y652" s="40"/>
      <c r="Z652" s="23"/>
      <c r="AA652" s="23"/>
      <c r="AB652" s="40"/>
      <c r="AC652" s="42"/>
      <c r="AD652" s="42"/>
      <c r="AE652" s="40"/>
      <c r="AF652" s="42"/>
      <c r="AG652" s="42"/>
      <c r="AH652" s="23"/>
      <c r="AI652" s="42"/>
      <c r="AJ652" s="42"/>
      <c r="AK652" s="40"/>
      <c r="AL652" s="84"/>
      <c r="AM652" s="84"/>
      <c r="AN652" s="40"/>
      <c r="AO652" s="23"/>
    </row>
    <row r="653" spans="1:41" ht="15.75" x14ac:dyDescent="0.25">
      <c r="A653" s="44"/>
      <c r="B653" s="23"/>
      <c r="C653" s="23"/>
      <c r="D653" s="36"/>
      <c r="E653" s="23"/>
      <c r="F653" s="23"/>
      <c r="G653" s="40"/>
      <c r="H653" s="23"/>
      <c r="I653" s="23"/>
      <c r="J653" s="40"/>
      <c r="K653" s="36"/>
      <c r="L653" s="36"/>
      <c r="M653" s="40"/>
      <c r="N653" s="23"/>
      <c r="O653" s="36"/>
      <c r="P653" s="40"/>
      <c r="Q653" s="36"/>
      <c r="R653" s="36"/>
      <c r="S653" s="40"/>
      <c r="T653" s="23"/>
      <c r="U653" s="23"/>
      <c r="V653" s="40"/>
      <c r="W653" s="23"/>
      <c r="X653" s="23"/>
      <c r="Y653" s="40"/>
      <c r="Z653" s="23"/>
      <c r="AA653" s="23"/>
      <c r="AB653" s="40"/>
      <c r="AC653" s="42"/>
      <c r="AD653" s="42"/>
      <c r="AE653" s="40"/>
      <c r="AF653" s="42"/>
      <c r="AG653" s="42"/>
      <c r="AH653" s="23"/>
      <c r="AI653" s="42"/>
      <c r="AJ653" s="42"/>
      <c r="AK653" s="40"/>
      <c r="AL653" s="84"/>
      <c r="AM653" s="84"/>
      <c r="AN653" s="40"/>
      <c r="AO653" s="23"/>
    </row>
    <row r="654" spans="1:41" ht="15.75" x14ac:dyDescent="0.25">
      <c r="A654" s="44"/>
      <c r="B654" s="23"/>
      <c r="C654" s="23"/>
      <c r="D654" s="36"/>
      <c r="E654" s="23"/>
      <c r="F654" s="23"/>
      <c r="G654" s="40"/>
      <c r="H654" s="23"/>
      <c r="I654" s="23"/>
      <c r="J654" s="40"/>
      <c r="K654" s="36"/>
      <c r="L654" s="36"/>
      <c r="M654" s="40"/>
      <c r="N654" s="23"/>
      <c r="O654" s="36"/>
      <c r="P654" s="40"/>
      <c r="Q654" s="36"/>
      <c r="R654" s="36"/>
      <c r="S654" s="40"/>
      <c r="T654" s="23"/>
      <c r="U654" s="23"/>
      <c r="V654" s="40"/>
      <c r="W654" s="23"/>
      <c r="X654" s="23"/>
      <c r="Y654" s="40"/>
      <c r="Z654" s="23"/>
      <c r="AA654" s="23"/>
      <c r="AB654" s="40"/>
      <c r="AC654" s="42"/>
      <c r="AD654" s="42"/>
      <c r="AE654" s="40"/>
      <c r="AF654" s="42"/>
      <c r="AG654" s="42"/>
      <c r="AH654" s="23"/>
      <c r="AI654" s="42"/>
      <c r="AJ654" s="42"/>
      <c r="AK654" s="40"/>
      <c r="AL654" s="84"/>
      <c r="AM654" s="84"/>
      <c r="AN654" s="40"/>
      <c r="AO654" s="23"/>
    </row>
    <row r="655" spans="1:41" ht="15.75" x14ac:dyDescent="0.25">
      <c r="A655" s="44"/>
      <c r="B655" s="23"/>
      <c r="C655" s="23"/>
      <c r="D655" s="36"/>
      <c r="E655" s="23"/>
      <c r="F655" s="23"/>
      <c r="G655" s="40"/>
      <c r="H655" s="23"/>
      <c r="I655" s="23"/>
      <c r="J655" s="40"/>
      <c r="K655" s="36"/>
      <c r="L655" s="36"/>
      <c r="M655" s="40"/>
      <c r="N655" s="23"/>
      <c r="O655" s="36"/>
      <c r="P655" s="40"/>
      <c r="Q655" s="36"/>
      <c r="R655" s="36"/>
      <c r="S655" s="40"/>
      <c r="T655" s="23"/>
      <c r="U655" s="23"/>
      <c r="V655" s="40"/>
      <c r="W655" s="23"/>
      <c r="X655" s="23"/>
      <c r="Y655" s="40"/>
      <c r="Z655" s="23"/>
      <c r="AA655" s="23"/>
      <c r="AB655" s="40"/>
      <c r="AC655" s="42"/>
      <c r="AD655" s="42"/>
      <c r="AE655" s="40"/>
      <c r="AF655" s="42"/>
      <c r="AG655" s="42"/>
      <c r="AH655" s="23"/>
      <c r="AI655" s="42"/>
      <c r="AJ655" s="42"/>
      <c r="AK655" s="40"/>
      <c r="AL655" s="84"/>
      <c r="AM655" s="84"/>
      <c r="AN655" s="40"/>
      <c r="AO655" s="23"/>
    </row>
    <row r="656" spans="1:41" ht="15.75" x14ac:dyDescent="0.25">
      <c r="A656" s="44"/>
      <c r="B656" s="23"/>
      <c r="C656" s="23"/>
      <c r="D656" s="36"/>
      <c r="E656" s="23"/>
      <c r="F656" s="23"/>
      <c r="G656" s="40"/>
      <c r="H656" s="23"/>
      <c r="I656" s="23"/>
      <c r="J656" s="40"/>
      <c r="K656" s="36"/>
      <c r="L656" s="36"/>
      <c r="M656" s="40"/>
      <c r="N656" s="23"/>
      <c r="O656" s="36"/>
      <c r="P656" s="40"/>
      <c r="Q656" s="36"/>
      <c r="R656" s="36"/>
      <c r="S656" s="40"/>
      <c r="T656" s="23"/>
      <c r="U656" s="23"/>
      <c r="V656" s="40"/>
      <c r="W656" s="23"/>
      <c r="X656" s="23"/>
      <c r="Y656" s="40"/>
      <c r="Z656" s="23"/>
      <c r="AA656" s="23"/>
      <c r="AB656" s="40"/>
      <c r="AC656" s="42"/>
      <c r="AD656" s="42"/>
      <c r="AE656" s="40"/>
      <c r="AF656" s="42"/>
      <c r="AG656" s="42"/>
      <c r="AH656" s="23"/>
      <c r="AI656" s="42"/>
      <c r="AJ656" s="42"/>
      <c r="AK656" s="40"/>
      <c r="AL656" s="84"/>
      <c r="AM656" s="84"/>
      <c r="AN656" s="40"/>
      <c r="AO656" s="23"/>
    </row>
    <row r="657" spans="1:41" ht="15.75" x14ac:dyDescent="0.25">
      <c r="A657" s="44"/>
      <c r="B657" s="23"/>
      <c r="C657" s="23"/>
      <c r="D657" s="36"/>
      <c r="E657" s="23"/>
      <c r="F657" s="23"/>
      <c r="G657" s="40"/>
      <c r="H657" s="23"/>
      <c r="I657" s="23"/>
      <c r="J657" s="40"/>
      <c r="K657" s="36"/>
      <c r="L657" s="36"/>
      <c r="M657" s="40"/>
      <c r="N657" s="23"/>
      <c r="O657" s="36"/>
      <c r="P657" s="40"/>
      <c r="Q657" s="36"/>
      <c r="R657" s="36"/>
      <c r="S657" s="40"/>
      <c r="T657" s="23"/>
      <c r="U657" s="23"/>
      <c r="V657" s="40"/>
      <c r="W657" s="23"/>
      <c r="X657" s="23"/>
      <c r="Y657" s="40"/>
      <c r="Z657" s="23"/>
      <c r="AA657" s="23"/>
      <c r="AB657" s="40"/>
      <c r="AC657" s="42"/>
      <c r="AD657" s="42"/>
      <c r="AE657" s="40"/>
      <c r="AF657" s="42"/>
      <c r="AG657" s="42"/>
      <c r="AH657" s="23"/>
      <c r="AI657" s="42"/>
      <c r="AJ657" s="42"/>
      <c r="AK657" s="40"/>
      <c r="AL657" s="84"/>
      <c r="AM657" s="84"/>
      <c r="AN657" s="40"/>
      <c r="AO657" s="23"/>
    </row>
    <row r="658" spans="1:41" ht="15.75" x14ac:dyDescent="0.25">
      <c r="A658" s="44"/>
      <c r="B658" s="23"/>
      <c r="C658" s="23"/>
      <c r="D658" s="36"/>
      <c r="E658" s="23"/>
      <c r="F658" s="23"/>
      <c r="G658" s="40"/>
      <c r="H658" s="23"/>
      <c r="I658" s="23"/>
      <c r="J658" s="40"/>
      <c r="K658" s="36"/>
      <c r="L658" s="36"/>
      <c r="M658" s="40"/>
      <c r="N658" s="23"/>
      <c r="O658" s="36"/>
      <c r="P658" s="40"/>
      <c r="Q658" s="36"/>
      <c r="R658" s="36"/>
      <c r="S658" s="40"/>
      <c r="T658" s="23"/>
      <c r="U658" s="23"/>
      <c r="V658" s="40"/>
      <c r="W658" s="23"/>
      <c r="X658" s="23"/>
      <c r="Y658" s="40"/>
      <c r="Z658" s="23"/>
      <c r="AA658" s="23"/>
      <c r="AB658" s="40"/>
      <c r="AC658" s="42"/>
      <c r="AD658" s="42"/>
      <c r="AE658" s="40"/>
      <c r="AF658" s="42"/>
      <c r="AG658" s="42"/>
      <c r="AH658" s="23"/>
      <c r="AI658" s="42"/>
      <c r="AJ658" s="42"/>
      <c r="AK658" s="40"/>
      <c r="AL658" s="84"/>
      <c r="AM658" s="84"/>
      <c r="AN658" s="40"/>
      <c r="AO658" s="23"/>
    </row>
    <row r="659" spans="1:41" ht="15.75" x14ac:dyDescent="0.25">
      <c r="A659" s="44"/>
      <c r="B659" s="23"/>
      <c r="C659" s="23"/>
      <c r="D659" s="36"/>
      <c r="E659" s="23"/>
      <c r="F659" s="23"/>
      <c r="G659" s="40"/>
      <c r="H659" s="23"/>
      <c r="I659" s="23"/>
      <c r="J659" s="40"/>
      <c r="K659" s="36"/>
      <c r="L659" s="36"/>
      <c r="M659" s="40"/>
      <c r="N659" s="23"/>
      <c r="O659" s="36"/>
      <c r="P659" s="40"/>
      <c r="Q659" s="36"/>
      <c r="R659" s="36"/>
      <c r="S659" s="40"/>
      <c r="T659" s="23"/>
      <c r="U659" s="23"/>
      <c r="V659" s="40"/>
      <c r="W659" s="23"/>
      <c r="X659" s="23"/>
      <c r="Y659" s="40"/>
      <c r="Z659" s="23"/>
      <c r="AA659" s="23"/>
      <c r="AB659" s="40"/>
      <c r="AC659" s="42"/>
      <c r="AD659" s="42"/>
      <c r="AE659" s="40"/>
      <c r="AF659" s="42"/>
      <c r="AG659" s="42"/>
      <c r="AH659" s="23"/>
      <c r="AI659" s="42"/>
      <c r="AJ659" s="42"/>
      <c r="AK659" s="40"/>
      <c r="AL659" s="84"/>
      <c r="AM659" s="84"/>
      <c r="AN659" s="40"/>
      <c r="AO659" s="23"/>
    </row>
    <row r="660" spans="1:41" ht="15.75" x14ac:dyDescent="0.25">
      <c r="A660" s="44"/>
      <c r="B660" s="23"/>
      <c r="C660" s="23"/>
      <c r="D660" s="36"/>
      <c r="E660" s="23"/>
      <c r="F660" s="23"/>
      <c r="G660" s="40"/>
      <c r="H660" s="23"/>
      <c r="I660" s="23"/>
      <c r="J660" s="40"/>
      <c r="K660" s="36"/>
      <c r="L660" s="36"/>
      <c r="M660" s="40"/>
      <c r="N660" s="23"/>
      <c r="O660" s="36"/>
      <c r="P660" s="40"/>
      <c r="Q660" s="36"/>
      <c r="R660" s="36"/>
      <c r="S660" s="40"/>
      <c r="T660" s="23"/>
      <c r="U660" s="23"/>
      <c r="V660" s="40"/>
      <c r="W660" s="23"/>
      <c r="X660" s="23"/>
      <c r="Y660" s="40"/>
      <c r="Z660" s="23"/>
      <c r="AA660" s="23"/>
      <c r="AB660" s="40"/>
      <c r="AC660" s="42"/>
      <c r="AD660" s="42"/>
      <c r="AE660" s="40"/>
      <c r="AF660" s="42"/>
      <c r="AG660" s="42"/>
      <c r="AH660" s="23"/>
      <c r="AI660" s="42"/>
      <c r="AJ660" s="42"/>
      <c r="AK660" s="40"/>
      <c r="AL660" s="84"/>
      <c r="AM660" s="84"/>
      <c r="AN660" s="40"/>
      <c r="AO660" s="23"/>
    </row>
    <row r="661" spans="1:41" ht="15.75" x14ac:dyDescent="0.25">
      <c r="A661" s="44"/>
      <c r="B661" s="23"/>
      <c r="C661" s="23"/>
      <c r="D661" s="36"/>
      <c r="E661" s="23"/>
      <c r="F661" s="23"/>
      <c r="G661" s="40"/>
      <c r="H661" s="23"/>
      <c r="I661" s="23"/>
      <c r="J661" s="40"/>
      <c r="K661" s="36"/>
      <c r="L661" s="36"/>
      <c r="M661" s="40"/>
      <c r="N661" s="23"/>
      <c r="O661" s="36"/>
      <c r="P661" s="40"/>
      <c r="Q661" s="36"/>
      <c r="R661" s="36"/>
      <c r="S661" s="40"/>
      <c r="T661" s="23"/>
      <c r="U661" s="23"/>
      <c r="V661" s="40"/>
      <c r="W661" s="23"/>
      <c r="X661" s="23"/>
      <c r="Y661" s="40"/>
      <c r="Z661" s="23"/>
      <c r="AA661" s="23"/>
      <c r="AB661" s="40"/>
      <c r="AC661" s="42"/>
      <c r="AD661" s="42"/>
      <c r="AE661" s="40"/>
      <c r="AF661" s="42"/>
      <c r="AG661" s="42"/>
      <c r="AH661" s="23"/>
      <c r="AI661" s="42"/>
      <c r="AJ661" s="42"/>
      <c r="AK661" s="40"/>
      <c r="AL661" s="84"/>
      <c r="AM661" s="84"/>
      <c r="AN661" s="40"/>
      <c r="AO661" s="23"/>
    </row>
    <row r="662" spans="1:41" ht="15.75" x14ac:dyDescent="0.25">
      <c r="A662" s="44"/>
      <c r="B662" s="23"/>
      <c r="C662" s="23"/>
      <c r="D662" s="36"/>
      <c r="E662" s="23"/>
      <c r="F662" s="23"/>
      <c r="G662" s="40"/>
      <c r="H662" s="23"/>
      <c r="I662" s="23"/>
      <c r="J662" s="40"/>
      <c r="K662" s="36"/>
      <c r="L662" s="36"/>
      <c r="M662" s="40"/>
      <c r="N662" s="23"/>
      <c r="O662" s="36"/>
      <c r="P662" s="40"/>
      <c r="Q662" s="36"/>
      <c r="R662" s="36"/>
      <c r="S662" s="40"/>
      <c r="T662" s="23"/>
      <c r="U662" s="23"/>
      <c r="V662" s="40"/>
      <c r="W662" s="23"/>
      <c r="X662" s="23"/>
      <c r="Y662" s="40"/>
      <c r="Z662" s="23"/>
      <c r="AA662" s="23"/>
      <c r="AB662" s="40"/>
      <c r="AC662" s="42"/>
      <c r="AD662" s="42"/>
      <c r="AE662" s="40"/>
      <c r="AF662" s="42"/>
      <c r="AG662" s="42"/>
      <c r="AH662" s="23"/>
      <c r="AI662" s="42"/>
      <c r="AJ662" s="42"/>
      <c r="AK662" s="40"/>
      <c r="AL662" s="84"/>
      <c r="AM662" s="84"/>
      <c r="AN662" s="40"/>
      <c r="AO662" s="23"/>
    </row>
    <row r="663" spans="1:41" ht="15.75" x14ac:dyDescent="0.25">
      <c r="A663" s="44"/>
      <c r="B663" s="23"/>
      <c r="C663" s="23"/>
      <c r="D663" s="36"/>
      <c r="E663" s="23"/>
      <c r="F663" s="23"/>
      <c r="G663" s="40"/>
      <c r="H663" s="23"/>
      <c r="I663" s="23"/>
      <c r="J663" s="40"/>
      <c r="K663" s="36"/>
      <c r="L663" s="36"/>
      <c r="M663" s="40"/>
      <c r="N663" s="23"/>
      <c r="O663" s="36"/>
      <c r="P663" s="40"/>
      <c r="Q663" s="36"/>
      <c r="R663" s="36"/>
      <c r="S663" s="40"/>
      <c r="T663" s="23"/>
      <c r="U663" s="23"/>
      <c r="V663" s="40"/>
      <c r="W663" s="23"/>
      <c r="X663" s="23"/>
      <c r="Y663" s="40"/>
      <c r="Z663" s="23"/>
      <c r="AA663" s="23"/>
      <c r="AB663" s="40"/>
      <c r="AC663" s="42"/>
      <c r="AD663" s="42"/>
      <c r="AE663" s="40"/>
      <c r="AF663" s="42"/>
      <c r="AG663" s="42"/>
      <c r="AH663" s="23"/>
      <c r="AI663" s="42"/>
      <c r="AJ663" s="42"/>
      <c r="AK663" s="40"/>
      <c r="AL663" s="84"/>
      <c r="AM663" s="84"/>
      <c r="AN663" s="40"/>
      <c r="AO663" s="23"/>
    </row>
    <row r="664" spans="1:41" ht="15.75" x14ac:dyDescent="0.25">
      <c r="A664" s="44"/>
      <c r="B664" s="23"/>
      <c r="C664" s="23"/>
      <c r="D664" s="36"/>
      <c r="E664" s="23"/>
      <c r="F664" s="23"/>
      <c r="G664" s="40"/>
      <c r="H664" s="23"/>
      <c r="I664" s="23"/>
      <c r="J664" s="40"/>
      <c r="K664" s="36"/>
      <c r="L664" s="36"/>
      <c r="M664" s="40"/>
      <c r="N664" s="23"/>
      <c r="O664" s="36"/>
      <c r="P664" s="40"/>
      <c r="Q664" s="36"/>
      <c r="R664" s="36"/>
      <c r="S664" s="40"/>
      <c r="T664" s="23"/>
      <c r="U664" s="23"/>
      <c r="V664" s="40"/>
      <c r="W664" s="23"/>
      <c r="X664" s="23"/>
      <c r="Y664" s="40"/>
      <c r="Z664" s="23"/>
      <c r="AA664" s="23"/>
      <c r="AB664" s="40"/>
      <c r="AC664" s="42"/>
      <c r="AD664" s="42"/>
      <c r="AE664" s="40"/>
      <c r="AF664" s="42"/>
      <c r="AG664" s="42"/>
      <c r="AH664" s="23"/>
      <c r="AI664" s="42"/>
      <c r="AJ664" s="42"/>
      <c r="AK664" s="40"/>
      <c r="AL664" s="84"/>
      <c r="AM664" s="84"/>
      <c r="AN664" s="40"/>
      <c r="AO664" s="23"/>
    </row>
    <row r="665" spans="1:41" ht="15.75" x14ac:dyDescent="0.25">
      <c r="A665" s="44"/>
      <c r="B665" s="23"/>
      <c r="C665" s="23"/>
      <c r="D665" s="36"/>
      <c r="E665" s="23"/>
      <c r="F665" s="23"/>
      <c r="G665" s="40"/>
      <c r="H665" s="23"/>
      <c r="I665" s="23"/>
      <c r="J665" s="40"/>
      <c r="K665" s="36"/>
      <c r="L665" s="36"/>
      <c r="M665" s="40"/>
      <c r="N665" s="23"/>
      <c r="O665" s="36"/>
      <c r="P665" s="40"/>
      <c r="Q665" s="36"/>
      <c r="R665" s="36"/>
      <c r="S665" s="40"/>
      <c r="T665" s="23"/>
      <c r="U665" s="23"/>
      <c r="V665" s="40"/>
      <c r="W665" s="23"/>
      <c r="X665" s="23"/>
      <c r="Y665" s="40"/>
      <c r="Z665" s="23"/>
      <c r="AA665" s="23"/>
      <c r="AB665" s="40"/>
      <c r="AC665" s="42"/>
      <c r="AD665" s="42"/>
      <c r="AE665" s="40"/>
      <c r="AF665" s="42"/>
      <c r="AG665" s="42"/>
      <c r="AH665" s="23"/>
      <c r="AI665" s="42"/>
      <c r="AJ665" s="42"/>
      <c r="AK665" s="40"/>
      <c r="AL665" s="84"/>
      <c r="AM665" s="84"/>
      <c r="AN665" s="40"/>
      <c r="AO665" s="23"/>
    </row>
    <row r="666" spans="1:41" ht="15.75" x14ac:dyDescent="0.25">
      <c r="A666" s="44"/>
      <c r="B666" s="23"/>
      <c r="C666" s="23"/>
      <c r="D666" s="36"/>
      <c r="E666" s="23"/>
      <c r="F666" s="23"/>
      <c r="G666" s="40"/>
      <c r="H666" s="23"/>
      <c r="I666" s="23"/>
      <c r="J666" s="40"/>
      <c r="K666" s="36"/>
      <c r="L666" s="36"/>
      <c r="M666" s="40"/>
      <c r="N666" s="23"/>
      <c r="O666" s="36"/>
      <c r="P666" s="40"/>
      <c r="Q666" s="36"/>
      <c r="R666" s="36"/>
      <c r="S666" s="40"/>
      <c r="T666" s="23"/>
      <c r="U666" s="23"/>
      <c r="V666" s="40"/>
      <c r="W666" s="23"/>
      <c r="X666" s="23"/>
      <c r="Y666" s="40"/>
      <c r="Z666" s="23"/>
      <c r="AA666" s="23"/>
      <c r="AB666" s="40"/>
      <c r="AC666" s="42"/>
      <c r="AD666" s="42"/>
      <c r="AE666" s="40"/>
      <c r="AF666" s="42"/>
      <c r="AG666" s="42"/>
      <c r="AH666" s="23"/>
      <c r="AI666" s="42"/>
      <c r="AJ666" s="42"/>
      <c r="AK666" s="40"/>
      <c r="AL666" s="84"/>
      <c r="AM666" s="84"/>
      <c r="AN666" s="40"/>
      <c r="AO666" s="23"/>
    </row>
    <row r="667" spans="1:41" ht="15.75" x14ac:dyDescent="0.25">
      <c r="A667" s="44"/>
      <c r="B667" s="23"/>
      <c r="C667" s="23"/>
      <c r="D667" s="36"/>
      <c r="E667" s="23"/>
      <c r="F667" s="23"/>
      <c r="G667" s="40"/>
      <c r="H667" s="23"/>
      <c r="I667" s="23"/>
      <c r="J667" s="40"/>
      <c r="K667" s="36"/>
      <c r="L667" s="36"/>
      <c r="M667" s="40"/>
      <c r="N667" s="23"/>
      <c r="O667" s="36"/>
      <c r="P667" s="40"/>
      <c r="Q667" s="36"/>
      <c r="R667" s="36"/>
      <c r="S667" s="40"/>
      <c r="T667" s="23"/>
      <c r="U667" s="23"/>
      <c r="V667" s="40"/>
      <c r="W667" s="23"/>
      <c r="X667" s="23"/>
      <c r="Y667" s="40"/>
      <c r="Z667" s="23"/>
      <c r="AA667" s="23"/>
      <c r="AB667" s="40"/>
      <c r="AC667" s="42"/>
      <c r="AD667" s="42"/>
      <c r="AE667" s="40"/>
      <c r="AF667" s="42"/>
      <c r="AG667" s="42"/>
      <c r="AH667" s="23"/>
      <c r="AI667" s="42"/>
      <c r="AJ667" s="42"/>
      <c r="AK667" s="40"/>
      <c r="AL667" s="84"/>
      <c r="AM667" s="84"/>
      <c r="AN667" s="40"/>
      <c r="AO667" s="23"/>
    </row>
    <row r="668" spans="1:41" ht="15.75" x14ac:dyDescent="0.25">
      <c r="A668" s="44"/>
      <c r="B668" s="23"/>
      <c r="C668" s="23"/>
      <c r="D668" s="36"/>
      <c r="E668" s="23"/>
      <c r="F668" s="23"/>
      <c r="G668" s="40"/>
      <c r="H668" s="23"/>
      <c r="I668" s="23"/>
      <c r="J668" s="40"/>
      <c r="K668" s="36"/>
      <c r="L668" s="36"/>
      <c r="M668" s="40"/>
      <c r="N668" s="23"/>
      <c r="O668" s="36"/>
      <c r="P668" s="40"/>
      <c r="Q668" s="36"/>
      <c r="R668" s="36"/>
      <c r="S668" s="40"/>
      <c r="T668" s="23"/>
      <c r="U668" s="23"/>
      <c r="V668" s="40"/>
      <c r="W668" s="23"/>
      <c r="X668" s="23"/>
      <c r="Y668" s="40"/>
      <c r="Z668" s="23"/>
      <c r="AA668" s="23"/>
      <c r="AB668" s="40"/>
      <c r="AC668" s="42"/>
      <c r="AD668" s="42"/>
      <c r="AE668" s="40"/>
      <c r="AF668" s="42"/>
      <c r="AG668" s="42"/>
      <c r="AH668" s="23"/>
      <c r="AI668" s="42"/>
      <c r="AJ668" s="42"/>
      <c r="AK668" s="40"/>
      <c r="AL668" s="84"/>
      <c r="AM668" s="84"/>
      <c r="AN668" s="40"/>
      <c r="AO668" s="23"/>
    </row>
    <row r="669" spans="1:41" ht="15.75" x14ac:dyDescent="0.25">
      <c r="A669" s="44"/>
      <c r="B669" s="23"/>
      <c r="C669" s="23"/>
      <c r="D669" s="36"/>
      <c r="E669" s="23"/>
      <c r="F669" s="23"/>
      <c r="G669" s="40"/>
      <c r="H669" s="23"/>
      <c r="I669" s="23"/>
      <c r="J669" s="40"/>
      <c r="K669" s="36"/>
      <c r="L669" s="36"/>
      <c r="M669" s="40"/>
      <c r="N669" s="23"/>
      <c r="O669" s="36"/>
      <c r="P669" s="40"/>
      <c r="Q669" s="36"/>
      <c r="R669" s="36"/>
      <c r="S669" s="40"/>
      <c r="T669" s="23"/>
      <c r="U669" s="23"/>
      <c r="V669" s="40"/>
      <c r="W669" s="23"/>
      <c r="X669" s="23"/>
      <c r="Y669" s="40"/>
      <c r="Z669" s="23"/>
      <c r="AA669" s="23"/>
      <c r="AB669" s="40"/>
      <c r="AC669" s="42"/>
      <c r="AD669" s="42"/>
      <c r="AE669" s="40"/>
      <c r="AF669" s="42"/>
      <c r="AG669" s="42"/>
      <c r="AH669" s="23"/>
      <c r="AI669" s="42"/>
      <c r="AJ669" s="42"/>
      <c r="AK669" s="40"/>
      <c r="AL669" s="84"/>
      <c r="AM669" s="84"/>
      <c r="AN669" s="40"/>
      <c r="AO669" s="23"/>
    </row>
    <row r="670" spans="1:41" ht="15.75" x14ac:dyDescent="0.25">
      <c r="A670" s="44"/>
      <c r="B670" s="23"/>
      <c r="C670" s="23"/>
      <c r="D670" s="36"/>
      <c r="E670" s="23"/>
      <c r="F670" s="23"/>
      <c r="G670" s="40"/>
      <c r="H670" s="23"/>
      <c r="I670" s="23"/>
      <c r="J670" s="40"/>
      <c r="K670" s="36"/>
      <c r="L670" s="36"/>
      <c r="M670" s="40"/>
      <c r="N670" s="23"/>
      <c r="O670" s="36"/>
      <c r="P670" s="40"/>
      <c r="Q670" s="36"/>
      <c r="R670" s="36"/>
      <c r="S670" s="40"/>
      <c r="T670" s="23"/>
      <c r="U670" s="23"/>
      <c r="V670" s="40"/>
      <c r="W670" s="23"/>
      <c r="X670" s="23"/>
      <c r="Y670" s="40"/>
      <c r="Z670" s="23"/>
      <c r="AA670" s="23"/>
      <c r="AB670" s="40"/>
      <c r="AC670" s="42"/>
      <c r="AD670" s="42"/>
      <c r="AE670" s="40"/>
      <c r="AF670" s="42"/>
      <c r="AG670" s="42"/>
      <c r="AH670" s="23"/>
      <c r="AI670" s="42"/>
      <c r="AJ670" s="42"/>
      <c r="AK670" s="40"/>
      <c r="AL670" s="84"/>
      <c r="AM670" s="84"/>
      <c r="AN670" s="40"/>
      <c r="AO670" s="23"/>
    </row>
    <row r="671" spans="1:41" ht="15.75" x14ac:dyDescent="0.25">
      <c r="A671" s="44"/>
      <c r="B671" s="23"/>
      <c r="C671" s="23"/>
      <c r="D671" s="36"/>
      <c r="E671" s="23"/>
      <c r="F671" s="23"/>
      <c r="G671" s="40"/>
      <c r="H671" s="23"/>
      <c r="I671" s="23"/>
      <c r="J671" s="40"/>
      <c r="K671" s="36"/>
      <c r="L671" s="36"/>
      <c r="M671" s="40"/>
      <c r="N671" s="23"/>
      <c r="O671" s="36"/>
      <c r="P671" s="40"/>
      <c r="Q671" s="36"/>
      <c r="R671" s="36"/>
      <c r="S671" s="40"/>
      <c r="T671" s="23"/>
      <c r="U671" s="23"/>
      <c r="V671" s="40"/>
      <c r="W671" s="23"/>
      <c r="X671" s="23"/>
      <c r="Y671" s="40"/>
      <c r="Z671" s="23"/>
      <c r="AA671" s="23"/>
      <c r="AB671" s="40"/>
      <c r="AC671" s="42"/>
      <c r="AD671" s="42"/>
      <c r="AE671" s="40"/>
      <c r="AF671" s="42"/>
      <c r="AG671" s="42"/>
      <c r="AH671" s="23"/>
      <c r="AI671" s="42"/>
      <c r="AJ671" s="42"/>
      <c r="AK671" s="40"/>
      <c r="AL671" s="84"/>
      <c r="AM671" s="84"/>
      <c r="AN671" s="40"/>
      <c r="AO671" s="23"/>
    </row>
    <row r="672" spans="1:41" ht="15.75" x14ac:dyDescent="0.25">
      <c r="A672" s="44"/>
      <c r="B672" s="23"/>
      <c r="C672" s="23"/>
      <c r="D672" s="36"/>
      <c r="E672" s="23"/>
      <c r="F672" s="23"/>
      <c r="G672" s="40"/>
      <c r="H672" s="23"/>
      <c r="I672" s="23"/>
      <c r="J672" s="40"/>
      <c r="K672" s="36"/>
      <c r="L672" s="36"/>
      <c r="M672" s="40"/>
      <c r="N672" s="23"/>
      <c r="O672" s="36"/>
      <c r="P672" s="40"/>
      <c r="Q672" s="36"/>
      <c r="R672" s="36"/>
      <c r="S672" s="40"/>
      <c r="T672" s="23"/>
      <c r="U672" s="23"/>
      <c r="V672" s="40"/>
      <c r="W672" s="23"/>
      <c r="X672" s="23"/>
      <c r="Y672" s="40"/>
      <c r="Z672" s="23"/>
      <c r="AA672" s="23"/>
      <c r="AB672" s="40"/>
      <c r="AC672" s="42"/>
      <c r="AD672" s="42"/>
      <c r="AE672" s="40"/>
      <c r="AF672" s="42"/>
      <c r="AG672" s="42"/>
      <c r="AH672" s="23"/>
      <c r="AI672" s="42"/>
      <c r="AJ672" s="42"/>
      <c r="AK672" s="40"/>
      <c r="AL672" s="84"/>
      <c r="AM672" s="84"/>
      <c r="AN672" s="40"/>
      <c r="AO672" s="23"/>
    </row>
    <row r="673" spans="1:41" ht="15.75" x14ac:dyDescent="0.25">
      <c r="A673" s="44"/>
      <c r="B673" s="23"/>
      <c r="C673" s="23"/>
      <c r="D673" s="36"/>
      <c r="E673" s="23"/>
      <c r="F673" s="23"/>
      <c r="G673" s="40"/>
      <c r="H673" s="23"/>
      <c r="I673" s="23"/>
      <c r="J673" s="40"/>
      <c r="K673" s="36"/>
      <c r="L673" s="36"/>
      <c r="M673" s="40"/>
      <c r="N673" s="23"/>
      <c r="O673" s="36"/>
      <c r="P673" s="40"/>
      <c r="Q673" s="36"/>
      <c r="R673" s="36"/>
      <c r="S673" s="40"/>
      <c r="T673" s="23"/>
      <c r="U673" s="23"/>
      <c r="V673" s="40"/>
      <c r="W673" s="23"/>
      <c r="X673" s="23"/>
      <c r="Y673" s="40"/>
      <c r="Z673" s="23"/>
      <c r="AA673" s="23"/>
      <c r="AB673" s="40"/>
      <c r="AC673" s="42"/>
      <c r="AD673" s="42"/>
      <c r="AE673" s="40"/>
      <c r="AF673" s="42"/>
      <c r="AG673" s="42"/>
      <c r="AH673" s="23"/>
      <c r="AI673" s="42"/>
      <c r="AJ673" s="42"/>
      <c r="AK673" s="40"/>
      <c r="AL673" s="84"/>
      <c r="AM673" s="84"/>
      <c r="AN673" s="40"/>
      <c r="AO673" s="23"/>
    </row>
    <row r="674" spans="1:41" ht="15.75" x14ac:dyDescent="0.25">
      <c r="A674" s="44"/>
      <c r="B674" s="23"/>
      <c r="C674" s="23"/>
      <c r="D674" s="36"/>
      <c r="E674" s="23"/>
      <c r="F674" s="23"/>
      <c r="G674" s="40"/>
      <c r="H674" s="23"/>
      <c r="I674" s="23"/>
      <c r="J674" s="40"/>
      <c r="K674" s="36"/>
      <c r="L674" s="36"/>
      <c r="M674" s="40"/>
      <c r="N674" s="23"/>
      <c r="O674" s="36"/>
      <c r="P674" s="40"/>
      <c r="Q674" s="36"/>
      <c r="R674" s="36"/>
      <c r="S674" s="40"/>
      <c r="T674" s="23"/>
      <c r="U674" s="23"/>
      <c r="V674" s="40"/>
      <c r="W674" s="23"/>
      <c r="X674" s="23"/>
      <c r="Y674" s="40"/>
      <c r="Z674" s="23"/>
      <c r="AA674" s="23"/>
      <c r="AB674" s="40"/>
      <c r="AC674" s="42"/>
      <c r="AD674" s="42"/>
      <c r="AE674" s="40"/>
      <c r="AF674" s="42"/>
      <c r="AG674" s="42"/>
      <c r="AH674" s="23"/>
      <c r="AI674" s="42"/>
      <c r="AJ674" s="42"/>
      <c r="AK674" s="40"/>
      <c r="AL674" s="84"/>
      <c r="AM674" s="84"/>
      <c r="AN674" s="40"/>
      <c r="AO674" s="23"/>
    </row>
    <row r="675" spans="1:41" ht="15.75" x14ac:dyDescent="0.25">
      <c r="A675" s="44"/>
      <c r="B675" s="23"/>
      <c r="C675" s="23"/>
      <c r="D675" s="36"/>
      <c r="E675" s="23"/>
      <c r="F675" s="23"/>
      <c r="G675" s="40"/>
      <c r="H675" s="23"/>
      <c r="I675" s="23"/>
      <c r="J675" s="40"/>
      <c r="K675" s="36"/>
      <c r="L675" s="36"/>
      <c r="M675" s="40"/>
      <c r="N675" s="23"/>
      <c r="O675" s="36"/>
      <c r="P675" s="40"/>
      <c r="Q675" s="36"/>
      <c r="R675" s="36"/>
      <c r="S675" s="40"/>
      <c r="T675" s="23"/>
      <c r="U675" s="23"/>
      <c r="V675" s="40"/>
      <c r="W675" s="23"/>
      <c r="X675" s="23"/>
      <c r="Y675" s="40"/>
      <c r="Z675" s="23"/>
      <c r="AA675" s="23"/>
      <c r="AB675" s="40"/>
      <c r="AC675" s="42"/>
      <c r="AD675" s="42"/>
      <c r="AE675" s="40"/>
      <c r="AF675" s="42"/>
      <c r="AG675" s="42"/>
      <c r="AH675" s="23"/>
      <c r="AI675" s="42"/>
      <c r="AJ675" s="42"/>
      <c r="AK675" s="40"/>
      <c r="AL675" s="84"/>
      <c r="AM675" s="84"/>
      <c r="AN675" s="40"/>
      <c r="AO675" s="23"/>
    </row>
    <row r="676" spans="1:41" ht="15.75" x14ac:dyDescent="0.25">
      <c r="A676" s="44"/>
      <c r="B676" s="23"/>
      <c r="C676" s="23"/>
      <c r="D676" s="36"/>
      <c r="E676" s="23"/>
      <c r="F676" s="23"/>
      <c r="G676" s="40"/>
      <c r="H676" s="23"/>
      <c r="I676" s="23"/>
      <c r="J676" s="40"/>
      <c r="K676" s="36"/>
      <c r="L676" s="36"/>
      <c r="M676" s="40"/>
      <c r="N676" s="23"/>
      <c r="O676" s="36"/>
      <c r="P676" s="40"/>
      <c r="Q676" s="36"/>
      <c r="R676" s="36"/>
      <c r="S676" s="40"/>
      <c r="T676" s="23"/>
      <c r="U676" s="23"/>
      <c r="V676" s="40"/>
      <c r="W676" s="23"/>
      <c r="X676" s="23"/>
      <c r="Y676" s="40"/>
      <c r="Z676" s="23"/>
      <c r="AA676" s="23"/>
      <c r="AB676" s="40"/>
      <c r="AC676" s="42"/>
      <c r="AD676" s="42"/>
      <c r="AE676" s="40"/>
      <c r="AF676" s="42"/>
      <c r="AG676" s="42"/>
      <c r="AH676" s="23"/>
      <c r="AI676" s="42"/>
      <c r="AJ676" s="42"/>
      <c r="AK676" s="40"/>
      <c r="AL676" s="84"/>
      <c r="AM676" s="84"/>
      <c r="AN676" s="40"/>
      <c r="AO676" s="23"/>
    </row>
    <row r="677" spans="1:41" ht="15.75" x14ac:dyDescent="0.25">
      <c r="A677" s="44"/>
      <c r="B677" s="23"/>
      <c r="C677" s="23"/>
      <c r="D677" s="36"/>
      <c r="E677" s="23"/>
      <c r="F677" s="23"/>
      <c r="G677" s="40"/>
      <c r="H677" s="23"/>
      <c r="I677" s="23"/>
      <c r="J677" s="40"/>
      <c r="K677" s="36"/>
      <c r="L677" s="36"/>
      <c r="M677" s="40"/>
      <c r="N677" s="23"/>
      <c r="O677" s="36"/>
      <c r="P677" s="40"/>
      <c r="Q677" s="36"/>
      <c r="R677" s="36"/>
      <c r="S677" s="40"/>
      <c r="T677" s="23"/>
      <c r="U677" s="23"/>
      <c r="V677" s="40"/>
      <c r="W677" s="23"/>
      <c r="X677" s="23"/>
      <c r="Y677" s="40"/>
      <c r="Z677" s="23"/>
      <c r="AA677" s="23"/>
      <c r="AB677" s="40"/>
      <c r="AC677" s="42"/>
      <c r="AD677" s="42"/>
      <c r="AE677" s="40"/>
      <c r="AF677" s="42"/>
      <c r="AG677" s="42"/>
      <c r="AH677" s="23"/>
      <c r="AI677" s="42"/>
      <c r="AJ677" s="42"/>
      <c r="AK677" s="40"/>
      <c r="AL677" s="84"/>
      <c r="AM677" s="84"/>
      <c r="AN677" s="40"/>
      <c r="AO677" s="23"/>
    </row>
    <row r="678" spans="1:41" ht="15.75" x14ac:dyDescent="0.25">
      <c r="A678" s="44"/>
      <c r="B678" s="23"/>
      <c r="C678" s="23"/>
      <c r="D678" s="36"/>
      <c r="E678" s="23"/>
      <c r="F678" s="23"/>
      <c r="G678" s="40"/>
      <c r="H678" s="23"/>
      <c r="I678" s="23"/>
      <c r="J678" s="40"/>
      <c r="K678" s="36"/>
      <c r="L678" s="36"/>
      <c r="M678" s="40"/>
      <c r="N678" s="23"/>
      <c r="O678" s="36"/>
      <c r="P678" s="40"/>
      <c r="Q678" s="36"/>
      <c r="R678" s="36"/>
      <c r="S678" s="40"/>
      <c r="T678" s="23"/>
      <c r="U678" s="23"/>
      <c r="V678" s="40"/>
      <c r="W678" s="23"/>
      <c r="X678" s="23"/>
      <c r="Y678" s="40"/>
      <c r="Z678" s="23"/>
      <c r="AA678" s="23"/>
      <c r="AB678" s="40"/>
      <c r="AC678" s="42"/>
      <c r="AD678" s="42"/>
      <c r="AE678" s="40"/>
      <c r="AF678" s="42"/>
      <c r="AG678" s="42"/>
      <c r="AH678" s="23"/>
      <c r="AI678" s="42"/>
      <c r="AJ678" s="42"/>
      <c r="AK678" s="40"/>
      <c r="AL678" s="84"/>
      <c r="AM678" s="84"/>
      <c r="AN678" s="40"/>
      <c r="AO678" s="23"/>
    </row>
    <row r="679" spans="1:41" ht="15.75" x14ac:dyDescent="0.25">
      <c r="A679" s="44"/>
      <c r="B679" s="23"/>
      <c r="C679" s="23"/>
      <c r="D679" s="36"/>
      <c r="E679" s="23"/>
      <c r="F679" s="23"/>
      <c r="G679" s="40"/>
      <c r="H679" s="23"/>
      <c r="I679" s="23"/>
      <c r="J679" s="40"/>
      <c r="K679" s="36"/>
      <c r="L679" s="36"/>
      <c r="M679" s="40"/>
      <c r="N679" s="23"/>
      <c r="O679" s="36"/>
      <c r="P679" s="40"/>
      <c r="Q679" s="36"/>
      <c r="R679" s="36"/>
      <c r="S679" s="40"/>
      <c r="T679" s="23"/>
      <c r="U679" s="23"/>
      <c r="V679" s="40"/>
      <c r="W679" s="23"/>
      <c r="X679" s="23"/>
      <c r="Y679" s="40"/>
      <c r="Z679" s="23"/>
      <c r="AA679" s="23"/>
      <c r="AB679" s="40"/>
      <c r="AC679" s="42"/>
      <c r="AD679" s="42"/>
      <c r="AE679" s="40"/>
      <c r="AF679" s="42"/>
      <c r="AG679" s="42"/>
      <c r="AH679" s="23"/>
      <c r="AI679" s="42"/>
      <c r="AJ679" s="42"/>
      <c r="AK679" s="40"/>
      <c r="AL679" s="84"/>
      <c r="AM679" s="84"/>
      <c r="AN679" s="40"/>
      <c r="AO679" s="23"/>
    </row>
    <row r="680" spans="1:41" ht="15.75" x14ac:dyDescent="0.25">
      <c r="A680" s="44"/>
      <c r="B680" s="23"/>
      <c r="C680" s="23"/>
      <c r="D680" s="36"/>
      <c r="E680" s="23"/>
      <c r="F680" s="23"/>
      <c r="G680" s="40"/>
      <c r="H680" s="23"/>
      <c r="I680" s="23"/>
      <c r="J680" s="40"/>
      <c r="K680" s="36"/>
      <c r="L680" s="36"/>
      <c r="M680" s="40"/>
      <c r="N680" s="23"/>
      <c r="O680" s="36"/>
      <c r="P680" s="40"/>
      <c r="Q680" s="36"/>
      <c r="R680" s="36"/>
      <c r="S680" s="40"/>
      <c r="T680" s="23"/>
      <c r="U680" s="23"/>
      <c r="V680" s="40"/>
      <c r="W680" s="23"/>
      <c r="X680" s="23"/>
      <c r="Y680" s="40"/>
      <c r="Z680" s="23"/>
      <c r="AA680" s="23"/>
      <c r="AB680" s="40"/>
      <c r="AC680" s="42"/>
      <c r="AD680" s="42"/>
      <c r="AE680" s="40"/>
      <c r="AF680" s="42"/>
      <c r="AG680" s="42"/>
      <c r="AH680" s="23"/>
      <c r="AI680" s="42"/>
      <c r="AJ680" s="42"/>
      <c r="AK680" s="40"/>
      <c r="AL680" s="84"/>
      <c r="AM680" s="84"/>
      <c r="AN680" s="40"/>
      <c r="AO680" s="23"/>
    </row>
    <row r="681" spans="1:41" ht="15.75" x14ac:dyDescent="0.25">
      <c r="A681" s="44"/>
      <c r="B681" s="23"/>
      <c r="C681" s="23"/>
      <c r="D681" s="36"/>
      <c r="E681" s="23"/>
      <c r="F681" s="23"/>
      <c r="G681" s="40"/>
      <c r="H681" s="23"/>
      <c r="I681" s="23"/>
      <c r="J681" s="40"/>
      <c r="K681" s="36"/>
      <c r="L681" s="36"/>
      <c r="M681" s="40"/>
      <c r="N681" s="23"/>
      <c r="O681" s="36"/>
      <c r="P681" s="40"/>
      <c r="Q681" s="36"/>
      <c r="R681" s="36"/>
      <c r="S681" s="40"/>
      <c r="T681" s="23"/>
      <c r="U681" s="23"/>
      <c r="V681" s="40"/>
      <c r="W681" s="23"/>
      <c r="X681" s="23"/>
      <c r="Y681" s="40"/>
      <c r="Z681" s="23"/>
      <c r="AA681" s="23"/>
      <c r="AB681" s="40"/>
      <c r="AC681" s="42"/>
      <c r="AD681" s="42"/>
      <c r="AE681" s="40"/>
      <c r="AF681" s="42"/>
      <c r="AG681" s="42"/>
      <c r="AH681" s="23"/>
      <c r="AI681" s="42"/>
      <c r="AJ681" s="42"/>
      <c r="AK681" s="40"/>
      <c r="AL681" s="84"/>
      <c r="AM681" s="84"/>
      <c r="AN681" s="40"/>
      <c r="AO681" s="23"/>
    </row>
    <row r="682" spans="1:41" ht="15.75" x14ac:dyDescent="0.25">
      <c r="A682" s="44"/>
      <c r="B682" s="23"/>
      <c r="C682" s="23"/>
      <c r="D682" s="36"/>
      <c r="E682" s="23"/>
      <c r="F682" s="23"/>
      <c r="G682" s="40"/>
      <c r="H682" s="23"/>
      <c r="I682" s="23"/>
      <c r="J682" s="40"/>
      <c r="K682" s="36"/>
      <c r="L682" s="36"/>
      <c r="M682" s="40"/>
      <c r="N682" s="23"/>
      <c r="O682" s="36"/>
      <c r="P682" s="40"/>
      <c r="Q682" s="36"/>
      <c r="R682" s="36"/>
      <c r="S682" s="40"/>
      <c r="T682" s="23"/>
      <c r="U682" s="23"/>
      <c r="V682" s="40"/>
      <c r="W682" s="23"/>
      <c r="X682" s="23"/>
      <c r="Y682" s="40"/>
      <c r="Z682" s="23"/>
      <c r="AA682" s="23"/>
      <c r="AB682" s="40"/>
      <c r="AC682" s="42"/>
      <c r="AD682" s="42"/>
      <c r="AE682" s="40"/>
      <c r="AF682" s="42"/>
      <c r="AG682" s="42"/>
      <c r="AH682" s="23"/>
      <c r="AI682" s="42"/>
      <c r="AJ682" s="42"/>
      <c r="AK682" s="40"/>
      <c r="AL682" s="84"/>
      <c r="AM682" s="84"/>
      <c r="AN682" s="40"/>
      <c r="AO682" s="23"/>
    </row>
    <row r="683" spans="1:41" ht="15.75" x14ac:dyDescent="0.25">
      <c r="A683" s="44"/>
      <c r="B683" s="23"/>
      <c r="C683" s="23"/>
      <c r="D683" s="36"/>
      <c r="E683" s="23"/>
      <c r="F683" s="23"/>
      <c r="G683" s="40"/>
      <c r="H683" s="23"/>
      <c r="I683" s="23"/>
      <c r="J683" s="40"/>
      <c r="K683" s="36"/>
      <c r="L683" s="36"/>
      <c r="M683" s="40"/>
      <c r="N683" s="23"/>
      <c r="O683" s="36"/>
      <c r="P683" s="40"/>
      <c r="Q683" s="36"/>
      <c r="R683" s="36"/>
      <c r="S683" s="40"/>
      <c r="T683" s="23"/>
      <c r="U683" s="23"/>
      <c r="V683" s="40"/>
      <c r="W683" s="23"/>
      <c r="X683" s="23"/>
      <c r="Y683" s="40"/>
      <c r="Z683" s="23"/>
      <c r="AA683" s="23"/>
      <c r="AB683" s="40"/>
      <c r="AC683" s="42"/>
      <c r="AD683" s="42"/>
      <c r="AE683" s="40"/>
      <c r="AF683" s="42"/>
      <c r="AG683" s="42"/>
      <c r="AH683" s="23"/>
      <c r="AI683" s="42"/>
      <c r="AJ683" s="42"/>
      <c r="AK683" s="40"/>
      <c r="AL683" s="84"/>
      <c r="AM683" s="84"/>
      <c r="AN683" s="40"/>
      <c r="AO683" s="23"/>
    </row>
    <row r="684" spans="1:41" ht="15.75" x14ac:dyDescent="0.25">
      <c r="A684" s="44"/>
      <c r="B684" s="23"/>
      <c r="C684" s="23"/>
      <c r="D684" s="36"/>
      <c r="E684" s="23"/>
      <c r="F684" s="23"/>
      <c r="G684" s="40"/>
      <c r="H684" s="23"/>
      <c r="I684" s="23"/>
      <c r="J684" s="40"/>
      <c r="K684" s="36"/>
      <c r="L684" s="36"/>
      <c r="M684" s="40"/>
      <c r="N684" s="23"/>
      <c r="O684" s="36"/>
      <c r="P684" s="40"/>
      <c r="Q684" s="36"/>
      <c r="R684" s="36"/>
      <c r="S684" s="40"/>
      <c r="T684" s="23"/>
      <c r="U684" s="23"/>
      <c r="V684" s="40"/>
      <c r="W684" s="23"/>
      <c r="X684" s="23"/>
      <c r="Y684" s="40"/>
      <c r="Z684" s="23"/>
      <c r="AA684" s="23"/>
      <c r="AB684" s="40"/>
      <c r="AC684" s="42"/>
      <c r="AD684" s="42"/>
      <c r="AE684" s="40"/>
      <c r="AF684" s="42"/>
      <c r="AG684" s="42"/>
      <c r="AH684" s="23"/>
      <c r="AI684" s="42"/>
      <c r="AJ684" s="42"/>
      <c r="AK684" s="40"/>
      <c r="AL684" s="84"/>
      <c r="AM684" s="84"/>
      <c r="AN684" s="40"/>
      <c r="AO684" s="23"/>
    </row>
    <row r="685" spans="1:41" ht="15.75" x14ac:dyDescent="0.25">
      <c r="A685" s="44"/>
      <c r="B685" s="23"/>
      <c r="C685" s="23"/>
      <c r="D685" s="36"/>
      <c r="E685" s="23"/>
      <c r="F685" s="23"/>
      <c r="G685" s="40"/>
      <c r="H685" s="23"/>
      <c r="I685" s="23"/>
      <c r="J685" s="40"/>
      <c r="K685" s="36"/>
      <c r="L685" s="36"/>
      <c r="M685" s="40"/>
      <c r="N685" s="23"/>
      <c r="O685" s="36"/>
      <c r="P685" s="40"/>
      <c r="Q685" s="36"/>
      <c r="R685" s="36"/>
      <c r="S685" s="40"/>
      <c r="T685" s="23"/>
      <c r="U685" s="23"/>
      <c r="V685" s="40"/>
      <c r="W685" s="23"/>
      <c r="X685" s="23"/>
      <c r="Y685" s="40"/>
      <c r="Z685" s="23"/>
      <c r="AA685" s="23"/>
      <c r="AB685" s="40"/>
      <c r="AC685" s="42"/>
      <c r="AD685" s="42"/>
      <c r="AE685" s="40"/>
      <c r="AF685" s="42"/>
      <c r="AG685" s="42"/>
      <c r="AH685" s="23"/>
      <c r="AI685" s="42"/>
      <c r="AJ685" s="42"/>
      <c r="AK685" s="40"/>
      <c r="AL685" s="84"/>
      <c r="AM685" s="84"/>
      <c r="AN685" s="40"/>
      <c r="AO685" s="23"/>
    </row>
    <row r="686" spans="1:41" ht="15.75" x14ac:dyDescent="0.25">
      <c r="A686" s="44"/>
      <c r="B686" s="23"/>
      <c r="C686" s="23"/>
      <c r="D686" s="36"/>
      <c r="E686" s="23"/>
      <c r="F686" s="23"/>
      <c r="G686" s="40"/>
      <c r="H686" s="23"/>
      <c r="I686" s="23"/>
      <c r="J686" s="40"/>
      <c r="K686" s="36"/>
      <c r="L686" s="36"/>
      <c r="M686" s="40"/>
      <c r="N686" s="23"/>
      <c r="O686" s="36"/>
      <c r="P686" s="40"/>
      <c r="Q686" s="36"/>
      <c r="R686" s="36"/>
      <c r="S686" s="40"/>
      <c r="T686" s="23"/>
      <c r="U686" s="23"/>
      <c r="V686" s="40"/>
      <c r="W686" s="23"/>
      <c r="X686" s="23"/>
      <c r="Y686" s="40"/>
      <c r="Z686" s="23"/>
      <c r="AA686" s="23"/>
      <c r="AB686" s="40"/>
      <c r="AC686" s="42"/>
      <c r="AD686" s="42"/>
      <c r="AE686" s="40"/>
      <c r="AF686" s="42"/>
      <c r="AG686" s="42"/>
      <c r="AH686" s="23"/>
      <c r="AI686" s="42"/>
      <c r="AJ686" s="42"/>
      <c r="AK686" s="40"/>
      <c r="AL686" s="84"/>
      <c r="AM686" s="84"/>
      <c r="AN686" s="40"/>
      <c r="AO686" s="23"/>
    </row>
    <row r="687" spans="1:41" ht="15.75" x14ac:dyDescent="0.25">
      <c r="A687" s="44"/>
      <c r="B687" s="23"/>
      <c r="C687" s="23"/>
      <c r="D687" s="36"/>
      <c r="E687" s="23"/>
      <c r="F687" s="23"/>
      <c r="G687" s="40"/>
      <c r="H687" s="23"/>
      <c r="I687" s="23"/>
      <c r="J687" s="40"/>
      <c r="K687" s="36"/>
      <c r="L687" s="36"/>
      <c r="M687" s="40"/>
      <c r="N687" s="23"/>
      <c r="O687" s="36"/>
      <c r="P687" s="40"/>
      <c r="Q687" s="36"/>
      <c r="R687" s="36"/>
      <c r="S687" s="40"/>
      <c r="T687" s="23"/>
      <c r="U687" s="23"/>
      <c r="V687" s="40"/>
      <c r="W687" s="23"/>
      <c r="X687" s="23"/>
      <c r="Y687" s="40"/>
      <c r="Z687" s="23"/>
      <c r="AA687" s="23"/>
      <c r="AB687" s="40"/>
      <c r="AC687" s="42"/>
      <c r="AD687" s="42"/>
      <c r="AE687" s="40"/>
      <c r="AF687" s="42"/>
      <c r="AG687" s="42"/>
      <c r="AH687" s="23"/>
      <c r="AI687" s="42"/>
      <c r="AJ687" s="42"/>
      <c r="AK687" s="40"/>
      <c r="AL687" s="84"/>
      <c r="AM687" s="84"/>
      <c r="AN687" s="40"/>
      <c r="AO687" s="23"/>
    </row>
    <row r="688" spans="1:41" ht="15.75" x14ac:dyDescent="0.25">
      <c r="A688" s="44"/>
      <c r="B688" s="23"/>
      <c r="C688" s="23"/>
      <c r="D688" s="36"/>
      <c r="E688" s="23"/>
      <c r="F688" s="23"/>
      <c r="G688" s="40"/>
      <c r="H688" s="23"/>
      <c r="I688" s="23"/>
      <c r="J688" s="40"/>
      <c r="K688" s="36"/>
      <c r="L688" s="36"/>
      <c r="M688" s="40"/>
      <c r="N688" s="23"/>
      <c r="O688" s="36"/>
      <c r="P688" s="40"/>
      <c r="Q688" s="36"/>
      <c r="R688" s="36"/>
      <c r="S688" s="40"/>
      <c r="T688" s="23"/>
      <c r="U688" s="23"/>
      <c r="V688" s="40"/>
      <c r="W688" s="23"/>
      <c r="X688" s="23"/>
      <c r="Y688" s="40"/>
      <c r="Z688" s="23"/>
      <c r="AA688" s="23"/>
      <c r="AB688" s="40"/>
      <c r="AC688" s="42"/>
      <c r="AD688" s="42"/>
      <c r="AE688" s="40"/>
      <c r="AF688" s="42"/>
      <c r="AG688" s="42"/>
      <c r="AH688" s="23"/>
      <c r="AI688" s="42"/>
      <c r="AJ688" s="42"/>
      <c r="AK688" s="40"/>
      <c r="AL688" s="84"/>
      <c r="AM688" s="84"/>
      <c r="AN688" s="40"/>
      <c r="AO688" s="23"/>
    </row>
    <row r="689" spans="1:41" ht="15.75" x14ac:dyDescent="0.25">
      <c r="A689" s="44"/>
      <c r="B689" s="23"/>
      <c r="C689" s="23"/>
      <c r="D689" s="36"/>
      <c r="E689" s="23"/>
      <c r="F689" s="23"/>
      <c r="G689" s="40"/>
      <c r="H689" s="23"/>
      <c r="I689" s="23"/>
      <c r="J689" s="40"/>
      <c r="K689" s="36"/>
      <c r="L689" s="36"/>
      <c r="M689" s="40"/>
      <c r="N689" s="23"/>
      <c r="O689" s="36"/>
      <c r="P689" s="40"/>
      <c r="Q689" s="36"/>
      <c r="R689" s="36"/>
      <c r="S689" s="40"/>
      <c r="T689" s="23"/>
      <c r="U689" s="23"/>
      <c r="V689" s="40"/>
      <c r="W689" s="23"/>
      <c r="X689" s="23"/>
      <c r="Y689" s="40"/>
      <c r="Z689" s="23"/>
      <c r="AA689" s="23"/>
      <c r="AB689" s="40"/>
      <c r="AC689" s="42"/>
      <c r="AD689" s="42"/>
      <c r="AE689" s="40"/>
      <c r="AF689" s="42"/>
      <c r="AG689" s="42"/>
      <c r="AH689" s="23"/>
      <c r="AI689" s="42"/>
      <c r="AJ689" s="42"/>
      <c r="AK689" s="40"/>
      <c r="AL689" s="84"/>
      <c r="AM689" s="84"/>
      <c r="AN689" s="40"/>
      <c r="AO689" s="23"/>
    </row>
    <row r="690" spans="1:41" ht="15.75" x14ac:dyDescent="0.25">
      <c r="A690" s="44"/>
      <c r="B690" s="23"/>
      <c r="C690" s="23"/>
      <c r="D690" s="36"/>
      <c r="E690" s="23"/>
      <c r="F690" s="23"/>
      <c r="G690" s="40"/>
      <c r="H690" s="23"/>
      <c r="I690" s="23"/>
      <c r="J690" s="40"/>
      <c r="K690" s="36"/>
      <c r="L690" s="36"/>
      <c r="M690" s="40"/>
      <c r="N690" s="23"/>
      <c r="O690" s="36"/>
      <c r="P690" s="40"/>
      <c r="Q690" s="36"/>
      <c r="R690" s="36"/>
      <c r="S690" s="40"/>
      <c r="T690" s="23"/>
      <c r="U690" s="23"/>
      <c r="V690" s="40"/>
      <c r="W690" s="23"/>
      <c r="X690" s="23"/>
      <c r="Y690" s="40"/>
      <c r="Z690" s="23"/>
      <c r="AA690" s="23"/>
      <c r="AB690" s="40"/>
      <c r="AC690" s="42"/>
      <c r="AD690" s="42"/>
      <c r="AE690" s="40"/>
      <c r="AF690" s="42"/>
      <c r="AG690" s="42"/>
      <c r="AH690" s="23"/>
      <c r="AI690" s="42"/>
      <c r="AJ690" s="42"/>
      <c r="AK690" s="40"/>
      <c r="AL690" s="84"/>
      <c r="AM690" s="84"/>
      <c r="AN690" s="40"/>
      <c r="AO690" s="23"/>
    </row>
    <row r="691" spans="1:41" ht="15.75" x14ac:dyDescent="0.25">
      <c r="A691" s="44"/>
      <c r="B691" s="23"/>
      <c r="C691" s="23"/>
      <c r="D691" s="36"/>
      <c r="E691" s="23"/>
      <c r="F691" s="23"/>
      <c r="G691" s="40"/>
      <c r="H691" s="23"/>
      <c r="I691" s="23"/>
      <c r="J691" s="40"/>
      <c r="K691" s="36"/>
      <c r="L691" s="36"/>
      <c r="M691" s="40"/>
      <c r="N691" s="23"/>
      <c r="O691" s="36"/>
      <c r="P691" s="40"/>
      <c r="Q691" s="36"/>
      <c r="R691" s="36"/>
      <c r="S691" s="40"/>
      <c r="T691" s="23"/>
      <c r="U691" s="23"/>
      <c r="V691" s="40"/>
      <c r="W691" s="23"/>
      <c r="X691" s="23"/>
      <c r="Y691" s="40"/>
      <c r="Z691" s="23"/>
      <c r="AA691" s="23"/>
      <c r="AB691" s="40"/>
      <c r="AC691" s="42"/>
      <c r="AD691" s="42"/>
      <c r="AE691" s="40"/>
      <c r="AF691" s="42"/>
      <c r="AG691" s="42"/>
      <c r="AH691" s="23"/>
      <c r="AI691" s="42"/>
      <c r="AJ691" s="42"/>
      <c r="AK691" s="40"/>
      <c r="AL691" s="84"/>
      <c r="AM691" s="84"/>
      <c r="AN691" s="40"/>
      <c r="AO691" s="23"/>
    </row>
    <row r="692" spans="1:41" ht="15.75" x14ac:dyDescent="0.25">
      <c r="A692" s="44"/>
      <c r="B692" s="23"/>
      <c r="C692" s="23"/>
      <c r="D692" s="36"/>
      <c r="E692" s="23"/>
      <c r="F692" s="23"/>
      <c r="G692" s="40"/>
      <c r="H692" s="23"/>
      <c r="I692" s="23"/>
      <c r="J692" s="40"/>
      <c r="K692" s="36"/>
      <c r="L692" s="36"/>
      <c r="M692" s="40"/>
      <c r="N692" s="23"/>
      <c r="O692" s="36"/>
      <c r="P692" s="40"/>
      <c r="Q692" s="36"/>
      <c r="R692" s="36"/>
      <c r="S692" s="40"/>
      <c r="T692" s="23"/>
      <c r="U692" s="23"/>
      <c r="V692" s="40"/>
      <c r="W692" s="23"/>
      <c r="X692" s="23"/>
      <c r="Y692" s="40"/>
      <c r="Z692" s="23"/>
      <c r="AA692" s="23"/>
      <c r="AB692" s="40"/>
      <c r="AC692" s="42"/>
      <c r="AD692" s="42"/>
      <c r="AE692" s="40"/>
      <c r="AF692" s="42"/>
      <c r="AG692" s="42"/>
      <c r="AH692" s="23"/>
      <c r="AI692" s="42"/>
      <c r="AJ692" s="42"/>
      <c r="AK692" s="40"/>
      <c r="AL692" s="84"/>
      <c r="AM692" s="84"/>
      <c r="AN692" s="40"/>
      <c r="AO692" s="23"/>
    </row>
    <row r="693" spans="1:41" ht="15.75" x14ac:dyDescent="0.25">
      <c r="A693" s="44"/>
      <c r="B693" s="23"/>
      <c r="C693" s="23"/>
      <c r="D693" s="36"/>
      <c r="E693" s="23"/>
      <c r="F693" s="23"/>
      <c r="G693" s="40"/>
      <c r="H693" s="23"/>
      <c r="I693" s="23"/>
      <c r="J693" s="40"/>
      <c r="K693" s="36"/>
      <c r="L693" s="36"/>
      <c r="M693" s="40"/>
      <c r="N693" s="23"/>
      <c r="O693" s="36"/>
      <c r="P693" s="40"/>
      <c r="Q693" s="36"/>
      <c r="R693" s="36"/>
      <c r="S693" s="40"/>
      <c r="T693" s="23"/>
      <c r="U693" s="23"/>
      <c r="V693" s="40"/>
      <c r="W693" s="23"/>
      <c r="X693" s="23"/>
      <c r="Y693" s="40"/>
      <c r="Z693" s="23"/>
      <c r="AA693" s="23"/>
      <c r="AB693" s="40"/>
      <c r="AC693" s="42"/>
      <c r="AD693" s="42"/>
      <c r="AE693" s="40"/>
      <c r="AF693" s="42"/>
      <c r="AG693" s="42"/>
      <c r="AH693" s="23"/>
      <c r="AI693" s="42"/>
      <c r="AJ693" s="42"/>
      <c r="AK693" s="40"/>
      <c r="AL693" s="84"/>
      <c r="AM693" s="84"/>
      <c r="AN693" s="40"/>
      <c r="AO693" s="23"/>
    </row>
    <row r="694" spans="1:41" ht="15.75" x14ac:dyDescent="0.25">
      <c r="A694" s="44"/>
      <c r="B694" s="23"/>
      <c r="C694" s="23"/>
      <c r="D694" s="36"/>
      <c r="E694" s="23"/>
      <c r="F694" s="23"/>
      <c r="G694" s="40"/>
      <c r="H694" s="23"/>
      <c r="I694" s="23"/>
      <c r="J694" s="40"/>
      <c r="K694" s="36"/>
      <c r="L694" s="36"/>
      <c r="M694" s="40"/>
      <c r="N694" s="23"/>
      <c r="O694" s="36"/>
      <c r="P694" s="40"/>
      <c r="Q694" s="36"/>
      <c r="R694" s="36"/>
      <c r="S694" s="40"/>
      <c r="T694" s="23"/>
      <c r="U694" s="23"/>
      <c r="V694" s="40"/>
      <c r="W694" s="23"/>
      <c r="X694" s="23"/>
      <c r="Y694" s="40"/>
      <c r="Z694" s="23"/>
      <c r="AA694" s="23"/>
      <c r="AB694" s="40"/>
      <c r="AC694" s="42"/>
      <c r="AD694" s="42"/>
      <c r="AE694" s="40"/>
      <c r="AF694" s="42"/>
      <c r="AG694" s="42"/>
      <c r="AH694" s="23"/>
      <c r="AI694" s="42"/>
      <c r="AJ694" s="42"/>
      <c r="AK694" s="40"/>
      <c r="AL694" s="84"/>
      <c r="AM694" s="84"/>
      <c r="AN694" s="40"/>
      <c r="AO694" s="23"/>
    </row>
    <row r="695" spans="1:41" ht="15.75" x14ac:dyDescent="0.25">
      <c r="A695" s="44"/>
      <c r="B695" s="23"/>
      <c r="C695" s="23"/>
      <c r="D695" s="36"/>
      <c r="E695" s="23"/>
      <c r="F695" s="23"/>
      <c r="G695" s="40"/>
      <c r="H695" s="23"/>
      <c r="I695" s="23"/>
      <c r="J695" s="40"/>
      <c r="K695" s="36"/>
      <c r="L695" s="36"/>
      <c r="M695" s="40"/>
      <c r="N695" s="23"/>
      <c r="O695" s="36"/>
      <c r="P695" s="40"/>
      <c r="Q695" s="36"/>
      <c r="R695" s="36"/>
      <c r="S695" s="40"/>
      <c r="T695" s="23"/>
      <c r="U695" s="23"/>
      <c r="V695" s="40"/>
      <c r="W695" s="23"/>
      <c r="X695" s="23"/>
      <c r="Y695" s="40"/>
      <c r="Z695" s="23"/>
      <c r="AA695" s="23"/>
      <c r="AB695" s="40"/>
      <c r="AC695" s="42"/>
      <c r="AD695" s="42"/>
      <c r="AE695" s="40"/>
      <c r="AF695" s="42"/>
      <c r="AG695" s="42"/>
      <c r="AH695" s="23"/>
      <c r="AI695" s="42"/>
      <c r="AJ695" s="42"/>
      <c r="AK695" s="40"/>
      <c r="AL695" s="84"/>
      <c r="AM695" s="84"/>
      <c r="AN695" s="40"/>
      <c r="AO695" s="23"/>
    </row>
    <row r="696" spans="1:41" ht="15.75" x14ac:dyDescent="0.25">
      <c r="A696" s="44"/>
      <c r="B696" s="23"/>
      <c r="C696" s="23"/>
      <c r="D696" s="36"/>
      <c r="E696" s="23"/>
      <c r="F696" s="23"/>
      <c r="G696" s="40"/>
      <c r="H696" s="23"/>
      <c r="I696" s="23"/>
      <c r="J696" s="40"/>
      <c r="K696" s="36"/>
      <c r="L696" s="36"/>
      <c r="M696" s="40"/>
      <c r="N696" s="23"/>
      <c r="O696" s="36"/>
      <c r="P696" s="40"/>
      <c r="Q696" s="36"/>
      <c r="R696" s="36"/>
      <c r="S696" s="40"/>
      <c r="T696" s="23"/>
      <c r="U696" s="23"/>
      <c r="V696" s="40"/>
      <c r="W696" s="23"/>
      <c r="X696" s="23"/>
      <c r="Y696" s="40"/>
      <c r="Z696" s="23"/>
      <c r="AA696" s="23"/>
      <c r="AB696" s="40"/>
      <c r="AC696" s="42"/>
      <c r="AD696" s="42"/>
      <c r="AE696" s="40"/>
      <c r="AF696" s="42"/>
      <c r="AG696" s="42"/>
      <c r="AH696" s="23"/>
      <c r="AI696" s="42"/>
      <c r="AJ696" s="42"/>
      <c r="AK696" s="40"/>
      <c r="AL696" s="84"/>
      <c r="AM696" s="84"/>
      <c r="AN696" s="40"/>
      <c r="AO696" s="23"/>
    </row>
    <row r="697" spans="1:41" ht="15.75" x14ac:dyDescent="0.25">
      <c r="A697" s="44"/>
      <c r="B697" s="23"/>
      <c r="C697" s="23"/>
      <c r="D697" s="36"/>
      <c r="E697" s="23"/>
      <c r="F697" s="23"/>
      <c r="G697" s="40"/>
      <c r="H697" s="23"/>
      <c r="I697" s="23"/>
      <c r="J697" s="40"/>
      <c r="K697" s="36"/>
      <c r="L697" s="36"/>
      <c r="M697" s="40"/>
      <c r="N697" s="23"/>
      <c r="O697" s="36"/>
      <c r="P697" s="40"/>
      <c r="Q697" s="36"/>
      <c r="R697" s="36"/>
      <c r="S697" s="40"/>
      <c r="T697" s="23"/>
      <c r="U697" s="23"/>
      <c r="V697" s="40"/>
      <c r="W697" s="23"/>
      <c r="X697" s="23"/>
      <c r="Y697" s="40"/>
      <c r="Z697" s="23"/>
      <c r="AA697" s="23"/>
      <c r="AB697" s="40"/>
      <c r="AC697" s="42"/>
      <c r="AD697" s="42"/>
      <c r="AE697" s="40"/>
      <c r="AF697" s="42"/>
      <c r="AG697" s="42"/>
      <c r="AH697" s="23"/>
      <c r="AI697" s="42"/>
      <c r="AJ697" s="42"/>
      <c r="AK697" s="40"/>
      <c r="AL697" s="84"/>
      <c r="AM697" s="84"/>
      <c r="AN697" s="40"/>
      <c r="AO697" s="23"/>
    </row>
    <row r="698" spans="1:41" ht="15.75" x14ac:dyDescent="0.25">
      <c r="A698" s="44"/>
      <c r="B698" s="23"/>
      <c r="C698" s="23"/>
      <c r="D698" s="36"/>
      <c r="E698" s="23"/>
      <c r="F698" s="23"/>
      <c r="G698" s="40"/>
      <c r="H698" s="23"/>
      <c r="I698" s="23"/>
      <c r="J698" s="40"/>
      <c r="K698" s="36"/>
      <c r="L698" s="36"/>
      <c r="M698" s="40"/>
      <c r="N698" s="23"/>
      <c r="O698" s="36"/>
      <c r="P698" s="40"/>
      <c r="Q698" s="36"/>
      <c r="R698" s="36"/>
      <c r="S698" s="40"/>
      <c r="T698" s="23"/>
      <c r="U698" s="23"/>
      <c r="V698" s="40"/>
      <c r="W698" s="23"/>
      <c r="X698" s="23"/>
      <c r="Y698" s="40"/>
      <c r="Z698" s="23"/>
      <c r="AA698" s="23"/>
      <c r="AB698" s="40"/>
      <c r="AC698" s="42"/>
      <c r="AD698" s="42"/>
      <c r="AE698" s="40"/>
      <c r="AF698" s="42"/>
      <c r="AG698" s="42"/>
      <c r="AH698" s="23"/>
      <c r="AI698" s="42"/>
      <c r="AJ698" s="42"/>
      <c r="AK698" s="40"/>
      <c r="AL698" s="84"/>
      <c r="AM698" s="84"/>
      <c r="AN698" s="40"/>
      <c r="AO698" s="23"/>
    </row>
    <row r="699" spans="1:41" ht="15.75" x14ac:dyDescent="0.25">
      <c r="A699" s="44"/>
      <c r="B699" s="23"/>
      <c r="C699" s="23"/>
      <c r="D699" s="36"/>
      <c r="E699" s="23"/>
      <c r="F699" s="23"/>
      <c r="G699" s="40"/>
      <c r="H699" s="23"/>
      <c r="I699" s="23"/>
      <c r="J699" s="40"/>
      <c r="K699" s="36"/>
      <c r="L699" s="36"/>
      <c r="M699" s="40"/>
      <c r="N699" s="23"/>
      <c r="O699" s="36"/>
      <c r="P699" s="40"/>
      <c r="Q699" s="36"/>
      <c r="R699" s="36"/>
      <c r="S699" s="40"/>
      <c r="T699" s="23"/>
      <c r="U699" s="23"/>
      <c r="V699" s="40"/>
      <c r="W699" s="23"/>
      <c r="X699" s="23"/>
      <c r="Y699" s="40"/>
      <c r="Z699" s="23"/>
      <c r="AA699" s="23"/>
      <c r="AB699" s="40"/>
      <c r="AC699" s="42"/>
      <c r="AD699" s="42"/>
      <c r="AE699" s="40"/>
      <c r="AF699" s="42"/>
      <c r="AG699" s="42"/>
      <c r="AH699" s="23"/>
      <c r="AI699" s="42"/>
      <c r="AJ699" s="42"/>
      <c r="AK699" s="40"/>
      <c r="AL699" s="84"/>
      <c r="AM699" s="84"/>
      <c r="AN699" s="40"/>
      <c r="AO699" s="23"/>
    </row>
    <row r="700" spans="1:41" ht="15.75" x14ac:dyDescent="0.25">
      <c r="A700" s="44"/>
      <c r="B700" s="23"/>
      <c r="C700" s="23"/>
      <c r="D700" s="36"/>
      <c r="E700" s="23"/>
      <c r="F700" s="23"/>
      <c r="G700" s="40"/>
      <c r="H700" s="23"/>
      <c r="I700" s="23"/>
      <c r="J700" s="40"/>
      <c r="K700" s="36"/>
      <c r="L700" s="36"/>
      <c r="M700" s="40"/>
      <c r="N700" s="23"/>
      <c r="O700" s="36"/>
      <c r="P700" s="40"/>
      <c r="Q700" s="36"/>
      <c r="R700" s="36"/>
      <c r="S700" s="40"/>
      <c r="T700" s="23"/>
      <c r="U700" s="23"/>
      <c r="V700" s="40"/>
      <c r="W700" s="23"/>
      <c r="X700" s="23"/>
      <c r="Y700" s="40"/>
      <c r="Z700" s="23"/>
      <c r="AA700" s="23"/>
      <c r="AB700" s="40"/>
      <c r="AC700" s="42"/>
      <c r="AD700" s="42"/>
      <c r="AE700" s="40"/>
      <c r="AF700" s="42"/>
      <c r="AG700" s="42"/>
      <c r="AH700" s="23"/>
      <c r="AI700" s="42"/>
      <c r="AJ700" s="42"/>
      <c r="AK700" s="40"/>
      <c r="AL700" s="84"/>
      <c r="AM700" s="84"/>
      <c r="AN700" s="40"/>
      <c r="AO700" s="23"/>
    </row>
    <row r="701" spans="1:41" ht="15.75" x14ac:dyDescent="0.25">
      <c r="A701" s="44"/>
      <c r="B701" s="23"/>
      <c r="C701" s="23"/>
      <c r="D701" s="36"/>
      <c r="E701" s="23"/>
      <c r="F701" s="23"/>
      <c r="G701" s="40"/>
      <c r="H701" s="23"/>
      <c r="I701" s="23"/>
      <c r="J701" s="40"/>
      <c r="K701" s="36"/>
      <c r="L701" s="36"/>
      <c r="M701" s="40"/>
      <c r="N701" s="23"/>
      <c r="O701" s="36"/>
      <c r="P701" s="40"/>
      <c r="Q701" s="36"/>
      <c r="R701" s="36"/>
      <c r="S701" s="40"/>
      <c r="T701" s="23"/>
      <c r="U701" s="23"/>
      <c r="V701" s="40"/>
      <c r="W701" s="23"/>
      <c r="X701" s="23"/>
      <c r="Y701" s="40"/>
      <c r="Z701" s="23"/>
      <c r="AA701" s="23"/>
      <c r="AB701" s="40"/>
      <c r="AC701" s="42"/>
      <c r="AD701" s="42"/>
      <c r="AE701" s="40"/>
      <c r="AF701" s="42"/>
      <c r="AG701" s="42"/>
      <c r="AH701" s="23"/>
      <c r="AI701" s="42"/>
      <c r="AJ701" s="42"/>
      <c r="AK701" s="40"/>
      <c r="AL701" s="84"/>
      <c r="AM701" s="84"/>
      <c r="AN701" s="40"/>
      <c r="AO701" s="23"/>
    </row>
    <row r="702" spans="1:41" ht="15.75" x14ac:dyDescent="0.25">
      <c r="A702" s="44"/>
      <c r="B702" s="23"/>
      <c r="C702" s="23"/>
      <c r="D702" s="36"/>
      <c r="E702" s="23"/>
      <c r="F702" s="23"/>
      <c r="G702" s="40"/>
      <c r="H702" s="23"/>
      <c r="I702" s="23"/>
      <c r="J702" s="40"/>
      <c r="K702" s="36"/>
      <c r="L702" s="36"/>
      <c r="M702" s="40"/>
      <c r="N702" s="23"/>
      <c r="O702" s="36"/>
      <c r="P702" s="40"/>
      <c r="Q702" s="36"/>
      <c r="R702" s="36"/>
      <c r="S702" s="40"/>
      <c r="T702" s="23"/>
      <c r="U702" s="23"/>
      <c r="V702" s="40"/>
      <c r="W702" s="23"/>
      <c r="X702" s="23"/>
      <c r="Y702" s="40"/>
      <c r="Z702" s="23"/>
      <c r="AA702" s="23"/>
      <c r="AB702" s="40"/>
      <c r="AC702" s="42"/>
      <c r="AD702" s="42"/>
      <c r="AE702" s="40"/>
      <c r="AF702" s="42"/>
      <c r="AG702" s="42"/>
      <c r="AH702" s="23"/>
      <c r="AI702" s="42"/>
      <c r="AJ702" s="42"/>
      <c r="AK702" s="40"/>
      <c r="AL702" s="84"/>
      <c r="AM702" s="84"/>
      <c r="AN702" s="40"/>
      <c r="AO702" s="23"/>
    </row>
    <row r="703" spans="1:41" ht="15.75" x14ac:dyDescent="0.25">
      <c r="A703" s="44"/>
      <c r="B703" s="23"/>
      <c r="C703" s="23"/>
      <c r="D703" s="36"/>
      <c r="E703" s="23"/>
      <c r="F703" s="23"/>
      <c r="G703" s="40"/>
      <c r="H703" s="23"/>
      <c r="I703" s="23"/>
      <c r="J703" s="40"/>
      <c r="K703" s="36"/>
      <c r="L703" s="36"/>
      <c r="M703" s="40"/>
      <c r="N703" s="23"/>
      <c r="O703" s="36"/>
      <c r="P703" s="40"/>
      <c r="Q703" s="36"/>
      <c r="R703" s="36"/>
      <c r="S703" s="40"/>
      <c r="T703" s="23"/>
      <c r="U703" s="23"/>
      <c r="V703" s="40"/>
      <c r="W703" s="23"/>
      <c r="X703" s="23"/>
      <c r="Y703" s="40"/>
      <c r="Z703" s="23"/>
      <c r="AA703" s="23"/>
      <c r="AB703" s="40"/>
      <c r="AC703" s="42"/>
      <c r="AD703" s="42"/>
      <c r="AE703" s="40"/>
      <c r="AF703" s="42"/>
      <c r="AG703" s="42"/>
      <c r="AH703" s="23"/>
      <c r="AI703" s="42"/>
      <c r="AJ703" s="42"/>
      <c r="AK703" s="40"/>
      <c r="AL703" s="84"/>
      <c r="AM703" s="84"/>
      <c r="AN703" s="40"/>
      <c r="AO703" s="23"/>
    </row>
    <row r="704" spans="1:41" ht="15.75" x14ac:dyDescent="0.25">
      <c r="A704" s="44"/>
      <c r="B704" s="23"/>
      <c r="C704" s="23"/>
      <c r="D704" s="36"/>
      <c r="E704" s="23"/>
      <c r="F704" s="23"/>
      <c r="G704" s="40"/>
      <c r="H704" s="23"/>
      <c r="I704" s="23"/>
      <c r="J704" s="40"/>
      <c r="K704" s="36"/>
      <c r="L704" s="36"/>
      <c r="M704" s="40"/>
      <c r="N704" s="23"/>
      <c r="O704" s="36"/>
      <c r="P704" s="40"/>
      <c r="Q704" s="36"/>
      <c r="R704" s="36"/>
      <c r="S704" s="40"/>
      <c r="T704" s="23"/>
      <c r="U704" s="23"/>
      <c r="V704" s="40"/>
      <c r="W704" s="23"/>
      <c r="X704" s="23"/>
      <c r="Y704" s="40"/>
      <c r="Z704" s="23"/>
      <c r="AA704" s="23"/>
      <c r="AB704" s="40"/>
      <c r="AC704" s="42"/>
      <c r="AD704" s="42"/>
      <c r="AE704" s="40"/>
      <c r="AF704" s="42"/>
      <c r="AG704" s="42"/>
      <c r="AH704" s="23"/>
      <c r="AI704" s="42"/>
      <c r="AJ704" s="42"/>
      <c r="AK704" s="40"/>
      <c r="AL704" s="84"/>
      <c r="AM704" s="84"/>
      <c r="AN704" s="40"/>
      <c r="AO704" s="23"/>
    </row>
    <row r="705" spans="1:41" ht="15.75" x14ac:dyDescent="0.25">
      <c r="A705" s="44"/>
      <c r="B705" s="23"/>
      <c r="C705" s="23"/>
      <c r="D705" s="36"/>
      <c r="E705" s="23"/>
      <c r="F705" s="23"/>
      <c r="G705" s="40"/>
      <c r="H705" s="23"/>
      <c r="I705" s="23"/>
      <c r="J705" s="40"/>
      <c r="K705" s="36"/>
      <c r="L705" s="36"/>
      <c r="M705" s="40"/>
      <c r="N705" s="23"/>
      <c r="O705" s="36"/>
      <c r="P705" s="40"/>
      <c r="Q705" s="36"/>
      <c r="R705" s="36"/>
      <c r="S705" s="40"/>
      <c r="T705" s="23"/>
      <c r="U705" s="23"/>
      <c r="V705" s="40"/>
      <c r="W705" s="23"/>
      <c r="X705" s="23"/>
      <c r="Y705" s="40"/>
      <c r="Z705" s="23"/>
      <c r="AA705" s="23"/>
      <c r="AB705" s="40"/>
      <c r="AC705" s="42"/>
      <c r="AD705" s="42"/>
      <c r="AE705" s="40"/>
      <c r="AF705" s="42"/>
      <c r="AG705" s="42"/>
      <c r="AH705" s="23"/>
      <c r="AI705" s="42"/>
      <c r="AJ705" s="42"/>
      <c r="AK705" s="40"/>
      <c r="AL705" s="84"/>
      <c r="AM705" s="84"/>
      <c r="AN705" s="40"/>
      <c r="AO705" s="23"/>
    </row>
    <row r="706" spans="1:41" ht="15.75" x14ac:dyDescent="0.25">
      <c r="A706" s="44"/>
      <c r="B706" s="23"/>
      <c r="C706" s="23"/>
      <c r="D706" s="36"/>
      <c r="E706" s="23"/>
      <c r="F706" s="23"/>
      <c r="G706" s="40"/>
      <c r="H706" s="23"/>
      <c r="I706" s="23"/>
      <c r="J706" s="40"/>
      <c r="K706" s="36"/>
      <c r="L706" s="36"/>
      <c r="M706" s="40"/>
      <c r="N706" s="23"/>
      <c r="O706" s="36"/>
      <c r="P706" s="40"/>
      <c r="Q706" s="36"/>
      <c r="R706" s="36"/>
      <c r="S706" s="40"/>
      <c r="T706" s="23"/>
      <c r="U706" s="23"/>
      <c r="V706" s="40"/>
      <c r="W706" s="23"/>
      <c r="X706" s="23"/>
      <c r="Y706" s="40"/>
      <c r="Z706" s="23"/>
      <c r="AA706" s="23"/>
      <c r="AB706" s="40"/>
      <c r="AC706" s="42"/>
      <c r="AD706" s="42"/>
      <c r="AE706" s="40"/>
      <c r="AF706" s="42"/>
      <c r="AG706" s="42"/>
      <c r="AH706" s="23"/>
      <c r="AI706" s="42"/>
      <c r="AJ706" s="42"/>
      <c r="AK706" s="40"/>
      <c r="AL706" s="84"/>
      <c r="AM706" s="84"/>
      <c r="AN706" s="40"/>
      <c r="AO706" s="23"/>
    </row>
    <row r="707" spans="1:41" ht="15.75" x14ac:dyDescent="0.25">
      <c r="A707" s="44"/>
      <c r="B707" s="23"/>
      <c r="C707" s="23"/>
      <c r="D707" s="36"/>
      <c r="E707" s="23"/>
      <c r="F707" s="23"/>
      <c r="G707" s="40"/>
      <c r="H707" s="23"/>
      <c r="I707" s="23"/>
      <c r="J707" s="40"/>
      <c r="K707" s="36"/>
      <c r="L707" s="36"/>
      <c r="M707" s="40"/>
      <c r="N707" s="23"/>
      <c r="O707" s="36"/>
      <c r="P707" s="40"/>
      <c r="Q707" s="36"/>
      <c r="R707" s="36"/>
      <c r="S707" s="40"/>
      <c r="T707" s="23"/>
      <c r="U707" s="23"/>
      <c r="V707" s="40"/>
      <c r="W707" s="23"/>
      <c r="X707" s="23"/>
      <c r="Y707" s="40"/>
      <c r="Z707" s="23"/>
      <c r="AA707" s="23"/>
      <c r="AB707" s="40"/>
      <c r="AC707" s="42"/>
      <c r="AD707" s="42"/>
      <c r="AE707" s="40"/>
      <c r="AF707" s="42"/>
      <c r="AG707" s="42"/>
      <c r="AH707" s="23"/>
      <c r="AI707" s="42"/>
      <c r="AJ707" s="42"/>
      <c r="AK707" s="40"/>
      <c r="AL707" s="84"/>
      <c r="AM707" s="84"/>
      <c r="AN707" s="40"/>
      <c r="AO707" s="23"/>
    </row>
    <row r="708" spans="1:41" ht="15.75" x14ac:dyDescent="0.25">
      <c r="A708" s="44"/>
      <c r="B708" s="23"/>
      <c r="C708" s="23"/>
      <c r="D708" s="36"/>
      <c r="E708" s="23"/>
      <c r="F708" s="23"/>
      <c r="G708" s="40"/>
      <c r="H708" s="23"/>
      <c r="I708" s="23"/>
      <c r="J708" s="40"/>
      <c r="K708" s="36"/>
      <c r="L708" s="36"/>
      <c r="M708" s="40"/>
      <c r="N708" s="23"/>
      <c r="O708" s="36"/>
      <c r="P708" s="40"/>
      <c r="Q708" s="36"/>
      <c r="R708" s="36"/>
      <c r="S708" s="40"/>
      <c r="T708" s="23"/>
      <c r="U708" s="23"/>
      <c r="V708" s="40"/>
      <c r="W708" s="23"/>
      <c r="X708" s="23"/>
      <c r="Y708" s="40"/>
      <c r="Z708" s="23"/>
      <c r="AA708" s="23"/>
      <c r="AB708" s="40"/>
      <c r="AC708" s="42"/>
      <c r="AD708" s="42"/>
      <c r="AE708" s="40"/>
      <c r="AF708" s="42"/>
      <c r="AG708" s="42"/>
      <c r="AH708" s="23"/>
      <c r="AI708" s="42"/>
      <c r="AJ708" s="42"/>
      <c r="AK708" s="40"/>
      <c r="AL708" s="84"/>
      <c r="AM708" s="84"/>
      <c r="AN708" s="40"/>
      <c r="AO708" s="23"/>
    </row>
    <row r="709" spans="1:41" ht="15.75" x14ac:dyDescent="0.25">
      <c r="A709" s="44"/>
      <c r="B709" s="23"/>
      <c r="C709" s="23"/>
      <c r="D709" s="36"/>
      <c r="E709" s="23"/>
      <c r="F709" s="23"/>
      <c r="G709" s="40"/>
      <c r="H709" s="23"/>
      <c r="I709" s="23"/>
      <c r="J709" s="40"/>
      <c r="K709" s="36"/>
      <c r="L709" s="36"/>
      <c r="M709" s="40"/>
      <c r="N709" s="23"/>
      <c r="O709" s="36"/>
      <c r="P709" s="40"/>
      <c r="Q709" s="36"/>
      <c r="R709" s="36"/>
      <c r="S709" s="40"/>
      <c r="T709" s="23"/>
      <c r="U709" s="23"/>
      <c r="V709" s="40"/>
      <c r="W709" s="23"/>
      <c r="X709" s="23"/>
      <c r="Y709" s="40"/>
      <c r="Z709" s="23"/>
      <c r="AA709" s="23"/>
      <c r="AB709" s="40"/>
      <c r="AC709" s="42"/>
      <c r="AD709" s="42"/>
      <c r="AE709" s="40"/>
      <c r="AF709" s="42"/>
      <c r="AG709" s="42"/>
      <c r="AH709" s="23"/>
      <c r="AI709" s="42"/>
      <c r="AJ709" s="42"/>
      <c r="AK709" s="40"/>
      <c r="AL709" s="84"/>
      <c r="AM709" s="84"/>
      <c r="AN709" s="40"/>
      <c r="AO709" s="23"/>
    </row>
    <row r="710" spans="1:41" ht="15.75" x14ac:dyDescent="0.25">
      <c r="A710" s="44"/>
      <c r="B710" s="23"/>
      <c r="C710" s="23"/>
      <c r="D710" s="36"/>
      <c r="E710" s="23"/>
      <c r="F710" s="23"/>
      <c r="G710" s="40"/>
      <c r="H710" s="23"/>
      <c r="I710" s="23"/>
      <c r="J710" s="40"/>
      <c r="K710" s="36"/>
      <c r="L710" s="36"/>
      <c r="M710" s="40"/>
      <c r="N710" s="23"/>
      <c r="O710" s="36"/>
      <c r="P710" s="40"/>
      <c r="Q710" s="36"/>
      <c r="R710" s="36"/>
      <c r="S710" s="40"/>
      <c r="T710" s="23"/>
      <c r="U710" s="23"/>
      <c r="V710" s="40"/>
      <c r="W710" s="23"/>
      <c r="X710" s="23"/>
      <c r="Y710" s="40"/>
      <c r="Z710" s="23"/>
      <c r="AA710" s="23"/>
      <c r="AB710" s="40"/>
      <c r="AC710" s="42"/>
      <c r="AD710" s="42"/>
      <c r="AE710" s="40"/>
      <c r="AF710" s="42"/>
      <c r="AG710" s="42"/>
      <c r="AH710" s="23"/>
      <c r="AI710" s="42"/>
      <c r="AJ710" s="42"/>
      <c r="AK710" s="40"/>
      <c r="AL710" s="84"/>
      <c r="AM710" s="84"/>
      <c r="AN710" s="40"/>
      <c r="AO710" s="23"/>
    </row>
    <row r="711" spans="1:41" ht="15.75" x14ac:dyDescent="0.25">
      <c r="A711" s="44"/>
      <c r="B711" s="23"/>
      <c r="C711" s="23"/>
      <c r="D711" s="36"/>
      <c r="E711" s="23"/>
      <c r="F711" s="23"/>
      <c r="G711" s="40"/>
      <c r="H711" s="23"/>
      <c r="I711" s="23"/>
      <c r="J711" s="40"/>
      <c r="K711" s="36"/>
      <c r="L711" s="36"/>
      <c r="M711" s="40"/>
      <c r="N711" s="23"/>
      <c r="O711" s="36"/>
      <c r="P711" s="40"/>
      <c r="Q711" s="36"/>
      <c r="R711" s="36"/>
      <c r="S711" s="40"/>
      <c r="T711" s="23"/>
      <c r="U711" s="23"/>
      <c r="V711" s="40"/>
      <c r="W711" s="23"/>
      <c r="X711" s="23"/>
      <c r="Y711" s="40"/>
      <c r="Z711" s="23"/>
      <c r="AA711" s="23"/>
      <c r="AB711" s="40"/>
      <c r="AC711" s="42"/>
      <c r="AD711" s="42"/>
      <c r="AE711" s="40"/>
      <c r="AF711" s="42"/>
      <c r="AG711" s="42"/>
      <c r="AH711" s="23"/>
      <c r="AI711" s="42"/>
      <c r="AJ711" s="42"/>
      <c r="AK711" s="40"/>
      <c r="AL711" s="84"/>
      <c r="AM711" s="84"/>
      <c r="AN711" s="40"/>
      <c r="AO711" s="23"/>
    </row>
    <row r="712" spans="1:41" ht="15.75" x14ac:dyDescent="0.25">
      <c r="A712" s="44"/>
      <c r="B712" s="23"/>
      <c r="C712" s="23"/>
      <c r="D712" s="36"/>
      <c r="E712" s="23"/>
      <c r="F712" s="23"/>
      <c r="G712" s="40"/>
      <c r="H712" s="23"/>
      <c r="I712" s="23"/>
      <c r="J712" s="40"/>
      <c r="K712" s="36"/>
      <c r="L712" s="36"/>
      <c r="M712" s="40"/>
      <c r="N712" s="23"/>
      <c r="O712" s="36"/>
      <c r="P712" s="40"/>
      <c r="Q712" s="36"/>
      <c r="R712" s="36"/>
      <c r="S712" s="40"/>
      <c r="T712" s="23"/>
      <c r="U712" s="23"/>
      <c r="V712" s="40"/>
      <c r="W712" s="23"/>
      <c r="X712" s="23"/>
      <c r="Y712" s="40"/>
      <c r="Z712" s="23"/>
      <c r="AA712" s="23"/>
      <c r="AB712" s="40"/>
      <c r="AC712" s="42"/>
      <c r="AD712" s="42"/>
      <c r="AE712" s="40"/>
      <c r="AF712" s="42"/>
      <c r="AG712" s="42"/>
      <c r="AH712" s="23"/>
      <c r="AI712" s="42"/>
      <c r="AJ712" s="42"/>
      <c r="AK712" s="40"/>
      <c r="AL712" s="84"/>
      <c r="AM712" s="84"/>
      <c r="AN712" s="40"/>
      <c r="AO712" s="23"/>
    </row>
    <row r="713" spans="1:41" ht="15.75" x14ac:dyDescent="0.25">
      <c r="A713" s="44"/>
      <c r="B713" s="23"/>
      <c r="C713" s="23"/>
      <c r="D713" s="36"/>
      <c r="E713" s="23"/>
      <c r="F713" s="23"/>
      <c r="G713" s="40"/>
      <c r="H713" s="23"/>
      <c r="I713" s="23"/>
      <c r="J713" s="40"/>
      <c r="K713" s="36"/>
      <c r="L713" s="36"/>
      <c r="M713" s="40"/>
      <c r="N713" s="23"/>
      <c r="O713" s="36"/>
      <c r="P713" s="40"/>
      <c r="Q713" s="36"/>
      <c r="R713" s="36"/>
      <c r="S713" s="40"/>
      <c r="T713" s="23"/>
      <c r="U713" s="23"/>
      <c r="V713" s="40"/>
      <c r="W713" s="23"/>
      <c r="X713" s="23"/>
      <c r="Y713" s="40"/>
      <c r="Z713" s="23"/>
      <c r="AA713" s="23"/>
      <c r="AB713" s="40"/>
      <c r="AC713" s="42"/>
      <c r="AD713" s="42"/>
      <c r="AE713" s="40"/>
      <c r="AF713" s="42"/>
      <c r="AG713" s="42"/>
      <c r="AH713" s="23"/>
      <c r="AI713" s="42"/>
      <c r="AJ713" s="42"/>
      <c r="AK713" s="40"/>
      <c r="AL713" s="84"/>
      <c r="AM713" s="84"/>
      <c r="AN713" s="40"/>
      <c r="AO713" s="23"/>
    </row>
    <row r="714" spans="1:41" ht="15.75" x14ac:dyDescent="0.25">
      <c r="A714" s="44"/>
      <c r="B714" s="23"/>
      <c r="C714" s="23"/>
      <c r="D714" s="36"/>
      <c r="E714" s="23"/>
      <c r="F714" s="23"/>
      <c r="G714" s="40"/>
      <c r="H714" s="23"/>
      <c r="I714" s="23"/>
      <c r="J714" s="40"/>
      <c r="K714" s="36"/>
      <c r="L714" s="36"/>
      <c r="M714" s="40"/>
      <c r="N714" s="23"/>
      <c r="O714" s="36"/>
      <c r="P714" s="40"/>
      <c r="Q714" s="36"/>
      <c r="R714" s="36"/>
      <c r="S714" s="40"/>
      <c r="T714" s="23"/>
      <c r="U714" s="23"/>
      <c r="V714" s="40"/>
      <c r="W714" s="23"/>
      <c r="X714" s="23"/>
      <c r="Y714" s="40"/>
      <c r="Z714" s="23"/>
      <c r="AA714" s="23"/>
      <c r="AB714" s="40"/>
      <c r="AC714" s="42"/>
      <c r="AD714" s="42"/>
      <c r="AE714" s="40"/>
      <c r="AF714" s="42"/>
      <c r="AG714" s="42"/>
      <c r="AH714" s="23"/>
      <c r="AI714" s="42"/>
      <c r="AJ714" s="42"/>
      <c r="AK714" s="40"/>
      <c r="AL714" s="84"/>
      <c r="AM714" s="84"/>
      <c r="AN714" s="40"/>
      <c r="AO714" s="23"/>
    </row>
    <row r="715" spans="1:41" ht="15.75" x14ac:dyDescent="0.25">
      <c r="A715" s="44"/>
      <c r="B715" s="23"/>
      <c r="C715" s="23"/>
      <c r="D715" s="36"/>
      <c r="E715" s="23"/>
      <c r="F715" s="23"/>
      <c r="G715" s="40"/>
      <c r="H715" s="23"/>
      <c r="I715" s="23"/>
      <c r="J715" s="40"/>
      <c r="K715" s="36"/>
      <c r="L715" s="36"/>
      <c r="M715" s="40"/>
      <c r="N715" s="23"/>
      <c r="O715" s="36"/>
      <c r="P715" s="40"/>
      <c r="Q715" s="36"/>
      <c r="R715" s="36"/>
      <c r="S715" s="40"/>
      <c r="T715" s="23"/>
      <c r="U715" s="23"/>
      <c r="V715" s="40"/>
      <c r="W715" s="23"/>
      <c r="X715" s="23"/>
      <c r="Y715" s="40"/>
      <c r="Z715" s="23"/>
      <c r="AA715" s="23"/>
      <c r="AB715" s="40"/>
      <c r="AC715" s="42"/>
      <c r="AD715" s="42"/>
      <c r="AE715" s="40"/>
      <c r="AF715" s="42"/>
      <c r="AG715" s="42"/>
      <c r="AH715" s="23"/>
      <c r="AI715" s="42"/>
      <c r="AJ715" s="42"/>
      <c r="AK715" s="40"/>
      <c r="AL715" s="84"/>
      <c r="AM715" s="84"/>
      <c r="AN715" s="40"/>
      <c r="AO715" s="23"/>
    </row>
    <row r="716" spans="1:41" ht="15.75" x14ac:dyDescent="0.25">
      <c r="A716" s="44"/>
      <c r="B716" s="23"/>
      <c r="C716" s="23"/>
      <c r="D716" s="36"/>
      <c r="E716" s="23"/>
      <c r="F716" s="23"/>
      <c r="G716" s="40"/>
      <c r="H716" s="23"/>
      <c r="I716" s="23"/>
      <c r="J716" s="40"/>
      <c r="K716" s="36"/>
      <c r="L716" s="36"/>
      <c r="M716" s="40"/>
      <c r="N716" s="23"/>
      <c r="O716" s="36"/>
      <c r="P716" s="40"/>
      <c r="Q716" s="36"/>
      <c r="R716" s="36"/>
      <c r="S716" s="40"/>
      <c r="T716" s="23"/>
      <c r="U716" s="23"/>
      <c r="V716" s="40"/>
      <c r="W716" s="23"/>
      <c r="X716" s="23"/>
      <c r="Y716" s="40"/>
      <c r="Z716" s="23"/>
      <c r="AA716" s="23"/>
      <c r="AB716" s="40"/>
      <c r="AC716" s="42"/>
      <c r="AD716" s="42"/>
      <c r="AE716" s="40"/>
      <c r="AF716" s="42"/>
      <c r="AG716" s="42"/>
      <c r="AH716" s="23"/>
      <c r="AI716" s="42"/>
      <c r="AJ716" s="42"/>
      <c r="AK716" s="40"/>
      <c r="AL716" s="84"/>
      <c r="AM716" s="84"/>
      <c r="AN716" s="40"/>
      <c r="AO716" s="23"/>
    </row>
    <row r="717" spans="1:41" ht="15.75" x14ac:dyDescent="0.25">
      <c r="A717" s="44"/>
      <c r="B717" s="23"/>
      <c r="C717" s="23"/>
      <c r="D717" s="36"/>
      <c r="E717" s="23"/>
      <c r="F717" s="23"/>
      <c r="G717" s="40"/>
      <c r="H717" s="23"/>
      <c r="I717" s="23"/>
      <c r="J717" s="40"/>
      <c r="K717" s="36"/>
      <c r="L717" s="36"/>
      <c r="M717" s="40"/>
      <c r="N717" s="23"/>
      <c r="O717" s="36"/>
      <c r="P717" s="40"/>
      <c r="Q717" s="36"/>
      <c r="R717" s="36"/>
      <c r="S717" s="40"/>
      <c r="T717" s="23"/>
      <c r="U717" s="23"/>
      <c r="V717" s="40"/>
      <c r="W717" s="23"/>
      <c r="X717" s="23"/>
      <c r="Y717" s="40"/>
      <c r="Z717" s="23"/>
      <c r="AA717" s="23"/>
      <c r="AB717" s="40"/>
      <c r="AC717" s="42"/>
      <c r="AD717" s="42"/>
      <c r="AE717" s="40"/>
      <c r="AF717" s="42"/>
      <c r="AG717" s="42"/>
      <c r="AH717" s="23"/>
      <c r="AI717" s="42"/>
      <c r="AJ717" s="42"/>
      <c r="AK717" s="40"/>
      <c r="AL717" s="84"/>
      <c r="AM717" s="84"/>
      <c r="AN717" s="40"/>
      <c r="AO717" s="23"/>
    </row>
    <row r="718" spans="1:41" ht="15.75" x14ac:dyDescent="0.25">
      <c r="A718" s="44"/>
      <c r="B718" s="23"/>
      <c r="C718" s="23"/>
      <c r="D718" s="36"/>
      <c r="E718" s="23"/>
      <c r="F718" s="23"/>
      <c r="G718" s="40"/>
      <c r="H718" s="23"/>
      <c r="I718" s="23"/>
      <c r="J718" s="40"/>
      <c r="K718" s="36"/>
      <c r="L718" s="36"/>
      <c r="M718" s="40"/>
      <c r="N718" s="23"/>
      <c r="O718" s="36"/>
      <c r="P718" s="40"/>
      <c r="Q718" s="36"/>
      <c r="R718" s="36"/>
      <c r="S718" s="40"/>
      <c r="T718" s="23"/>
      <c r="U718" s="23"/>
      <c r="V718" s="40"/>
      <c r="W718" s="23"/>
      <c r="X718" s="23"/>
      <c r="Y718" s="40"/>
      <c r="Z718" s="23"/>
      <c r="AA718" s="23"/>
      <c r="AB718" s="40"/>
      <c r="AC718" s="42"/>
      <c r="AD718" s="42"/>
      <c r="AE718" s="40"/>
      <c r="AF718" s="42"/>
      <c r="AG718" s="42"/>
      <c r="AH718" s="23"/>
      <c r="AI718" s="42"/>
      <c r="AJ718" s="42"/>
      <c r="AK718" s="40"/>
      <c r="AL718" s="84"/>
      <c r="AM718" s="84"/>
      <c r="AN718" s="40"/>
      <c r="AO718" s="23"/>
    </row>
    <row r="719" spans="1:41" ht="15.75" x14ac:dyDescent="0.25">
      <c r="A719" s="44"/>
      <c r="B719" s="23"/>
      <c r="C719" s="23"/>
      <c r="D719" s="36"/>
      <c r="E719" s="23"/>
      <c r="F719" s="23"/>
      <c r="G719" s="40"/>
      <c r="H719" s="23"/>
      <c r="I719" s="23"/>
      <c r="J719" s="40"/>
      <c r="K719" s="36"/>
      <c r="L719" s="36"/>
      <c r="M719" s="40"/>
      <c r="N719" s="23"/>
      <c r="O719" s="36"/>
      <c r="P719" s="40"/>
      <c r="Q719" s="36"/>
      <c r="R719" s="36"/>
      <c r="S719" s="40"/>
      <c r="T719" s="23"/>
      <c r="U719" s="23"/>
      <c r="V719" s="40"/>
      <c r="W719" s="23"/>
      <c r="X719" s="23"/>
      <c r="Y719" s="40"/>
      <c r="Z719" s="23"/>
      <c r="AA719" s="23"/>
      <c r="AB719" s="40"/>
      <c r="AC719" s="42"/>
      <c r="AD719" s="42"/>
      <c r="AE719" s="40"/>
      <c r="AF719" s="42"/>
      <c r="AG719" s="42"/>
      <c r="AH719" s="23"/>
      <c r="AI719" s="42"/>
      <c r="AJ719" s="42"/>
      <c r="AK719" s="40"/>
      <c r="AL719" s="84"/>
      <c r="AM719" s="84"/>
      <c r="AN719" s="40"/>
      <c r="AO719" s="23"/>
    </row>
    <row r="720" spans="1:41" ht="15.75" x14ac:dyDescent="0.25">
      <c r="A720" s="44"/>
      <c r="B720" s="23"/>
      <c r="C720" s="23"/>
      <c r="D720" s="36"/>
      <c r="E720" s="23"/>
      <c r="F720" s="23"/>
      <c r="G720" s="40"/>
      <c r="H720" s="23"/>
      <c r="I720" s="23"/>
      <c r="J720" s="40"/>
      <c r="K720" s="36"/>
      <c r="L720" s="36"/>
      <c r="M720" s="40"/>
      <c r="N720" s="23"/>
      <c r="O720" s="36"/>
      <c r="P720" s="40"/>
      <c r="Q720" s="36"/>
      <c r="R720" s="36"/>
      <c r="S720" s="40"/>
      <c r="T720" s="23"/>
      <c r="U720" s="23"/>
      <c r="V720" s="40"/>
      <c r="W720" s="23"/>
      <c r="X720" s="23"/>
      <c r="Y720" s="40"/>
      <c r="Z720" s="23"/>
      <c r="AA720" s="23"/>
      <c r="AB720" s="40"/>
      <c r="AC720" s="42"/>
      <c r="AD720" s="42"/>
      <c r="AE720" s="40"/>
      <c r="AF720" s="42"/>
      <c r="AG720" s="42"/>
      <c r="AH720" s="23"/>
      <c r="AI720" s="42"/>
      <c r="AJ720" s="42"/>
      <c r="AK720" s="40"/>
      <c r="AL720" s="84"/>
      <c r="AM720" s="84"/>
      <c r="AN720" s="40"/>
      <c r="AO720" s="23"/>
    </row>
    <row r="721" spans="1:41" ht="15.75" x14ac:dyDescent="0.25">
      <c r="A721" s="44"/>
      <c r="B721" s="23"/>
      <c r="C721" s="23"/>
      <c r="D721" s="36"/>
      <c r="E721" s="23"/>
      <c r="F721" s="23"/>
      <c r="G721" s="40"/>
      <c r="H721" s="23"/>
      <c r="I721" s="23"/>
      <c r="J721" s="40"/>
      <c r="K721" s="36"/>
      <c r="L721" s="36"/>
      <c r="M721" s="40"/>
      <c r="N721" s="23"/>
      <c r="O721" s="36"/>
      <c r="P721" s="40"/>
      <c r="Q721" s="36"/>
      <c r="R721" s="36"/>
      <c r="S721" s="40"/>
      <c r="T721" s="23"/>
      <c r="U721" s="23"/>
      <c r="V721" s="40"/>
      <c r="W721" s="23"/>
      <c r="X721" s="23"/>
      <c r="Y721" s="40"/>
      <c r="Z721" s="23"/>
      <c r="AA721" s="23"/>
      <c r="AB721" s="40"/>
      <c r="AC721" s="42"/>
      <c r="AD721" s="42"/>
      <c r="AE721" s="40"/>
      <c r="AF721" s="42"/>
      <c r="AG721" s="42"/>
      <c r="AH721" s="23"/>
      <c r="AI721" s="42"/>
      <c r="AJ721" s="42"/>
      <c r="AK721" s="40"/>
      <c r="AL721" s="84"/>
      <c r="AM721" s="84"/>
      <c r="AN721" s="40"/>
      <c r="AO721" s="23"/>
    </row>
    <row r="722" spans="1:41" ht="15.75" x14ac:dyDescent="0.25">
      <c r="A722" s="44"/>
      <c r="B722" s="23"/>
      <c r="C722" s="23"/>
      <c r="D722" s="36"/>
      <c r="E722" s="23"/>
      <c r="F722" s="23"/>
      <c r="G722" s="40"/>
      <c r="H722" s="23"/>
      <c r="I722" s="23"/>
      <c r="J722" s="40"/>
      <c r="K722" s="36"/>
      <c r="L722" s="36"/>
      <c r="M722" s="40"/>
      <c r="N722" s="23"/>
      <c r="O722" s="36"/>
      <c r="P722" s="40"/>
      <c r="Q722" s="36"/>
      <c r="R722" s="36"/>
      <c r="S722" s="40"/>
      <c r="T722" s="23"/>
      <c r="U722" s="23"/>
      <c r="V722" s="40"/>
      <c r="W722" s="23"/>
      <c r="X722" s="23"/>
      <c r="Y722" s="40"/>
      <c r="Z722" s="23"/>
      <c r="AA722" s="23"/>
      <c r="AB722" s="40"/>
      <c r="AC722" s="42"/>
      <c r="AD722" s="42"/>
      <c r="AE722" s="40"/>
      <c r="AF722" s="42"/>
      <c r="AG722" s="42"/>
      <c r="AH722" s="23"/>
      <c r="AI722" s="42"/>
      <c r="AJ722" s="42"/>
      <c r="AK722" s="40"/>
      <c r="AL722" s="84"/>
      <c r="AM722" s="84"/>
      <c r="AN722" s="40"/>
      <c r="AO722" s="23"/>
    </row>
    <row r="723" spans="1:41" ht="15.75" x14ac:dyDescent="0.25">
      <c r="A723" s="44"/>
      <c r="B723" s="23"/>
      <c r="C723" s="23"/>
      <c r="D723" s="36"/>
      <c r="E723" s="23"/>
      <c r="F723" s="23"/>
      <c r="G723" s="40"/>
      <c r="H723" s="23"/>
      <c r="I723" s="23"/>
      <c r="J723" s="40"/>
      <c r="K723" s="36"/>
      <c r="L723" s="36"/>
      <c r="M723" s="40"/>
      <c r="N723" s="23"/>
      <c r="O723" s="36"/>
      <c r="P723" s="40"/>
      <c r="Q723" s="36"/>
      <c r="R723" s="36"/>
      <c r="S723" s="40"/>
      <c r="T723" s="23"/>
      <c r="U723" s="23"/>
      <c r="V723" s="40"/>
      <c r="W723" s="23"/>
      <c r="X723" s="23"/>
      <c r="Y723" s="40"/>
      <c r="Z723" s="23"/>
      <c r="AA723" s="23"/>
      <c r="AB723" s="40"/>
      <c r="AC723" s="42"/>
      <c r="AD723" s="42"/>
      <c r="AE723" s="40"/>
      <c r="AF723" s="42"/>
      <c r="AG723" s="42"/>
      <c r="AH723" s="23"/>
      <c r="AI723" s="42"/>
      <c r="AJ723" s="42"/>
      <c r="AK723" s="40"/>
      <c r="AL723" s="84"/>
      <c r="AM723" s="84"/>
      <c r="AN723" s="40"/>
      <c r="AO723" s="23"/>
    </row>
    <row r="724" spans="1:41" ht="15.75" x14ac:dyDescent="0.25">
      <c r="A724" s="44"/>
      <c r="B724" s="23"/>
      <c r="C724" s="23"/>
      <c r="D724" s="36"/>
      <c r="E724" s="23"/>
      <c r="F724" s="23"/>
      <c r="G724" s="40"/>
      <c r="H724" s="23"/>
      <c r="I724" s="23"/>
      <c r="J724" s="40"/>
      <c r="K724" s="36"/>
      <c r="L724" s="36"/>
      <c r="M724" s="40"/>
      <c r="N724" s="23"/>
      <c r="O724" s="36"/>
      <c r="P724" s="40"/>
      <c r="Q724" s="36"/>
      <c r="R724" s="36"/>
      <c r="S724" s="40"/>
      <c r="T724" s="23"/>
      <c r="U724" s="23"/>
      <c r="V724" s="40"/>
      <c r="W724" s="23"/>
      <c r="X724" s="23"/>
      <c r="Y724" s="40"/>
      <c r="Z724" s="23"/>
      <c r="AA724" s="23"/>
      <c r="AB724" s="40"/>
      <c r="AC724" s="42"/>
      <c r="AD724" s="42"/>
      <c r="AE724" s="40"/>
      <c r="AF724" s="42"/>
      <c r="AG724" s="42"/>
      <c r="AH724" s="23"/>
      <c r="AI724" s="42"/>
      <c r="AJ724" s="42"/>
      <c r="AK724" s="40"/>
      <c r="AL724" s="84"/>
      <c r="AM724" s="84"/>
      <c r="AN724" s="40"/>
      <c r="AO724" s="23"/>
    </row>
    <row r="725" spans="1:41" ht="15.75" x14ac:dyDescent="0.25">
      <c r="A725" s="44"/>
      <c r="B725" s="23"/>
      <c r="C725" s="23"/>
      <c r="D725" s="36"/>
      <c r="E725" s="23"/>
      <c r="F725" s="23"/>
      <c r="G725" s="40"/>
      <c r="H725" s="23"/>
      <c r="I725" s="23"/>
      <c r="J725" s="40"/>
      <c r="K725" s="36"/>
      <c r="L725" s="36"/>
      <c r="M725" s="40"/>
      <c r="N725" s="23"/>
      <c r="O725" s="36"/>
      <c r="P725" s="40"/>
      <c r="Q725" s="36"/>
      <c r="R725" s="36"/>
      <c r="S725" s="40"/>
      <c r="T725" s="23"/>
      <c r="U725" s="23"/>
      <c r="V725" s="40"/>
      <c r="W725" s="23"/>
      <c r="X725" s="23"/>
      <c r="Y725" s="40"/>
      <c r="Z725" s="23"/>
      <c r="AA725" s="23"/>
      <c r="AB725" s="40"/>
      <c r="AC725" s="42"/>
      <c r="AD725" s="42"/>
      <c r="AE725" s="40"/>
      <c r="AF725" s="42"/>
      <c r="AG725" s="42"/>
      <c r="AH725" s="23"/>
      <c r="AI725" s="42"/>
      <c r="AJ725" s="42"/>
      <c r="AK725" s="40"/>
      <c r="AL725" s="84"/>
      <c r="AM725" s="84"/>
      <c r="AN725" s="40"/>
      <c r="AO725" s="23"/>
    </row>
    <row r="726" spans="1:41" ht="15.75" x14ac:dyDescent="0.25">
      <c r="A726" s="44"/>
      <c r="B726" s="23"/>
      <c r="C726" s="23"/>
      <c r="D726" s="36"/>
      <c r="E726" s="23"/>
      <c r="F726" s="23"/>
      <c r="G726" s="40"/>
      <c r="H726" s="23"/>
      <c r="I726" s="23"/>
      <c r="J726" s="40"/>
      <c r="K726" s="36"/>
      <c r="L726" s="36"/>
      <c r="M726" s="40"/>
      <c r="N726" s="23"/>
      <c r="O726" s="36"/>
      <c r="P726" s="40"/>
      <c r="Q726" s="36"/>
      <c r="R726" s="36"/>
      <c r="S726" s="40"/>
      <c r="T726" s="23"/>
      <c r="U726" s="23"/>
      <c r="V726" s="40"/>
      <c r="W726" s="23"/>
      <c r="X726" s="23"/>
      <c r="Y726" s="40"/>
      <c r="Z726" s="23"/>
      <c r="AA726" s="23"/>
      <c r="AB726" s="40"/>
      <c r="AC726" s="42"/>
      <c r="AD726" s="42"/>
      <c r="AE726" s="40"/>
      <c r="AF726" s="42"/>
      <c r="AG726" s="42"/>
      <c r="AH726" s="23"/>
      <c r="AI726" s="42"/>
      <c r="AJ726" s="42"/>
      <c r="AK726" s="40"/>
      <c r="AL726" s="84"/>
      <c r="AM726" s="84"/>
      <c r="AN726" s="40"/>
      <c r="AO726" s="23"/>
    </row>
    <row r="727" spans="1:41" ht="15.75" x14ac:dyDescent="0.25">
      <c r="A727" s="44"/>
      <c r="B727" s="23"/>
      <c r="C727" s="23"/>
      <c r="D727" s="36"/>
      <c r="E727" s="23"/>
      <c r="F727" s="23"/>
      <c r="G727" s="40"/>
      <c r="H727" s="23"/>
      <c r="I727" s="23"/>
      <c r="J727" s="40"/>
      <c r="K727" s="36"/>
      <c r="L727" s="36"/>
      <c r="M727" s="40"/>
      <c r="N727" s="23"/>
      <c r="O727" s="36"/>
      <c r="P727" s="40"/>
      <c r="Q727" s="36"/>
      <c r="R727" s="36"/>
      <c r="S727" s="40"/>
      <c r="T727" s="23"/>
      <c r="U727" s="23"/>
      <c r="V727" s="40"/>
      <c r="W727" s="23"/>
      <c r="X727" s="23"/>
      <c r="Y727" s="40"/>
      <c r="Z727" s="23"/>
      <c r="AA727" s="23"/>
      <c r="AB727" s="40"/>
      <c r="AC727" s="42"/>
      <c r="AD727" s="42"/>
      <c r="AE727" s="40"/>
      <c r="AF727" s="42"/>
      <c r="AG727" s="42"/>
      <c r="AH727" s="23"/>
      <c r="AI727" s="42"/>
      <c r="AJ727" s="42"/>
      <c r="AK727" s="40"/>
      <c r="AL727" s="84"/>
      <c r="AM727" s="84"/>
      <c r="AN727" s="40"/>
      <c r="AO727" s="23"/>
    </row>
    <row r="728" spans="1:41" ht="15.75" x14ac:dyDescent="0.25">
      <c r="A728" s="44"/>
      <c r="B728" s="23"/>
      <c r="C728" s="23"/>
      <c r="D728" s="36"/>
      <c r="E728" s="23"/>
      <c r="F728" s="23"/>
      <c r="G728" s="40"/>
      <c r="H728" s="23"/>
      <c r="I728" s="23"/>
      <c r="J728" s="40"/>
      <c r="K728" s="36"/>
      <c r="L728" s="36"/>
      <c r="M728" s="40"/>
      <c r="N728" s="23"/>
      <c r="O728" s="36"/>
      <c r="P728" s="40"/>
      <c r="Q728" s="36"/>
      <c r="R728" s="36"/>
      <c r="S728" s="40"/>
      <c r="T728" s="23"/>
      <c r="U728" s="23"/>
      <c r="V728" s="40"/>
      <c r="W728" s="23"/>
      <c r="X728" s="23"/>
      <c r="Y728" s="40"/>
      <c r="Z728" s="23"/>
      <c r="AA728" s="23"/>
      <c r="AB728" s="40"/>
      <c r="AC728" s="42"/>
      <c r="AD728" s="42"/>
      <c r="AE728" s="40"/>
      <c r="AF728" s="42"/>
      <c r="AG728" s="42"/>
      <c r="AH728" s="23"/>
      <c r="AI728" s="42"/>
      <c r="AJ728" s="42"/>
      <c r="AK728" s="40"/>
      <c r="AL728" s="84"/>
      <c r="AM728" s="84"/>
      <c r="AN728" s="40"/>
      <c r="AO728" s="23"/>
    </row>
    <row r="729" spans="1:41" ht="15.75" x14ac:dyDescent="0.25">
      <c r="A729" s="44"/>
      <c r="B729" s="23"/>
      <c r="C729" s="23"/>
      <c r="D729" s="36"/>
      <c r="E729" s="23"/>
      <c r="F729" s="23"/>
      <c r="G729" s="40"/>
      <c r="H729" s="23"/>
      <c r="I729" s="23"/>
      <c r="J729" s="40"/>
      <c r="K729" s="36"/>
      <c r="L729" s="36"/>
      <c r="M729" s="40"/>
      <c r="N729" s="23"/>
      <c r="O729" s="36"/>
      <c r="P729" s="40"/>
      <c r="Q729" s="36"/>
      <c r="R729" s="36"/>
      <c r="S729" s="40"/>
      <c r="T729" s="23"/>
      <c r="U729" s="23"/>
      <c r="V729" s="40"/>
      <c r="W729" s="23"/>
      <c r="X729" s="23"/>
      <c r="Y729" s="40"/>
      <c r="Z729" s="23"/>
      <c r="AA729" s="23"/>
      <c r="AB729" s="40"/>
      <c r="AC729" s="42"/>
      <c r="AD729" s="42"/>
      <c r="AE729" s="40"/>
      <c r="AF729" s="42"/>
      <c r="AG729" s="42"/>
      <c r="AH729" s="23"/>
      <c r="AI729" s="42"/>
      <c r="AJ729" s="42"/>
      <c r="AK729" s="40"/>
      <c r="AL729" s="84"/>
      <c r="AM729" s="84"/>
      <c r="AN729" s="40"/>
      <c r="AO729" s="23"/>
    </row>
    <row r="730" spans="1:41" ht="15.75" x14ac:dyDescent="0.25">
      <c r="A730" s="44"/>
      <c r="B730" s="23"/>
      <c r="C730" s="23"/>
      <c r="D730" s="36"/>
      <c r="E730" s="23"/>
      <c r="F730" s="23"/>
      <c r="G730" s="40"/>
      <c r="H730" s="23"/>
      <c r="I730" s="23"/>
      <c r="J730" s="40"/>
      <c r="K730" s="36"/>
      <c r="L730" s="36"/>
      <c r="M730" s="40"/>
      <c r="N730" s="23"/>
      <c r="O730" s="36"/>
      <c r="P730" s="40"/>
      <c r="Q730" s="36"/>
      <c r="R730" s="36"/>
      <c r="S730" s="40"/>
      <c r="T730" s="23"/>
      <c r="U730" s="23"/>
      <c r="V730" s="40"/>
      <c r="W730" s="23"/>
      <c r="X730" s="23"/>
      <c r="Y730" s="40"/>
      <c r="Z730" s="23"/>
      <c r="AA730" s="23"/>
      <c r="AB730" s="40"/>
      <c r="AC730" s="42"/>
      <c r="AD730" s="42"/>
      <c r="AE730" s="40"/>
      <c r="AF730" s="42"/>
      <c r="AG730" s="42"/>
      <c r="AH730" s="23"/>
      <c r="AI730" s="42"/>
      <c r="AJ730" s="42"/>
      <c r="AK730" s="40"/>
      <c r="AL730" s="84"/>
      <c r="AM730" s="84"/>
      <c r="AN730" s="40"/>
      <c r="AO730" s="23"/>
    </row>
    <row r="731" spans="1:41" ht="15.75" x14ac:dyDescent="0.25">
      <c r="A731" s="44"/>
      <c r="B731" s="23"/>
      <c r="C731" s="23"/>
      <c r="D731" s="36"/>
      <c r="E731" s="23"/>
      <c r="F731" s="23"/>
      <c r="G731" s="40"/>
      <c r="H731" s="23"/>
      <c r="I731" s="23"/>
      <c r="J731" s="40"/>
      <c r="K731" s="36"/>
      <c r="L731" s="36"/>
      <c r="M731" s="40"/>
      <c r="N731" s="23"/>
      <c r="O731" s="36"/>
      <c r="P731" s="40"/>
      <c r="Q731" s="36"/>
      <c r="R731" s="36"/>
      <c r="S731" s="40"/>
      <c r="T731" s="23"/>
      <c r="U731" s="23"/>
      <c r="V731" s="40"/>
      <c r="W731" s="23"/>
      <c r="X731" s="23"/>
      <c r="Y731" s="40"/>
      <c r="Z731" s="23"/>
      <c r="AA731" s="23"/>
      <c r="AB731" s="40"/>
      <c r="AC731" s="42"/>
      <c r="AD731" s="42"/>
      <c r="AE731" s="40"/>
      <c r="AF731" s="42"/>
      <c r="AG731" s="42"/>
      <c r="AH731" s="23"/>
      <c r="AI731" s="42"/>
      <c r="AJ731" s="42"/>
      <c r="AK731" s="40"/>
      <c r="AL731" s="84"/>
      <c r="AM731" s="84"/>
      <c r="AN731" s="40"/>
      <c r="AO731" s="23"/>
    </row>
    <row r="732" spans="1:41" ht="15.75" x14ac:dyDescent="0.25">
      <c r="A732" s="44"/>
      <c r="B732" s="23"/>
      <c r="C732" s="23"/>
      <c r="D732" s="36"/>
      <c r="E732" s="23"/>
      <c r="F732" s="23"/>
      <c r="G732" s="40"/>
      <c r="H732" s="23"/>
      <c r="I732" s="23"/>
      <c r="J732" s="40"/>
      <c r="K732" s="36"/>
      <c r="L732" s="36"/>
      <c r="M732" s="40"/>
      <c r="N732" s="23"/>
      <c r="O732" s="36"/>
      <c r="P732" s="40"/>
      <c r="Q732" s="36"/>
      <c r="R732" s="36"/>
      <c r="S732" s="40"/>
      <c r="T732" s="23"/>
      <c r="U732" s="23"/>
      <c r="V732" s="40"/>
      <c r="W732" s="23"/>
      <c r="X732" s="23"/>
      <c r="Y732" s="40"/>
      <c r="Z732" s="23"/>
      <c r="AA732" s="23"/>
      <c r="AB732" s="40"/>
      <c r="AC732" s="42"/>
      <c r="AD732" s="42"/>
      <c r="AE732" s="40"/>
      <c r="AF732" s="42"/>
      <c r="AG732" s="42"/>
      <c r="AH732" s="23"/>
      <c r="AI732" s="42"/>
      <c r="AJ732" s="42"/>
      <c r="AK732" s="40"/>
      <c r="AL732" s="84"/>
      <c r="AM732" s="84"/>
      <c r="AN732" s="40"/>
      <c r="AO732" s="23"/>
    </row>
    <row r="733" spans="1:41" ht="15.75" x14ac:dyDescent="0.25">
      <c r="A733" s="44"/>
      <c r="B733" s="23"/>
      <c r="C733" s="23"/>
      <c r="D733" s="36"/>
      <c r="E733" s="23"/>
      <c r="F733" s="23"/>
      <c r="G733" s="40"/>
      <c r="H733" s="23"/>
      <c r="I733" s="23"/>
      <c r="J733" s="40"/>
      <c r="K733" s="36"/>
      <c r="L733" s="36"/>
      <c r="M733" s="40"/>
      <c r="N733" s="23"/>
      <c r="O733" s="36"/>
      <c r="P733" s="40"/>
      <c r="Q733" s="36"/>
      <c r="R733" s="36"/>
      <c r="S733" s="40"/>
      <c r="T733" s="23"/>
      <c r="U733" s="23"/>
      <c r="V733" s="40"/>
      <c r="W733" s="23"/>
      <c r="X733" s="23"/>
      <c r="Y733" s="40"/>
      <c r="Z733" s="23"/>
      <c r="AA733" s="23"/>
      <c r="AB733" s="40"/>
      <c r="AC733" s="42"/>
      <c r="AD733" s="42"/>
      <c r="AE733" s="40"/>
      <c r="AF733" s="42"/>
      <c r="AG733" s="42"/>
      <c r="AH733" s="23"/>
      <c r="AI733" s="42"/>
      <c r="AJ733" s="42"/>
      <c r="AK733" s="40"/>
      <c r="AL733" s="84"/>
      <c r="AM733" s="84"/>
      <c r="AN733" s="40"/>
      <c r="AO733" s="23"/>
    </row>
    <row r="734" spans="1:41" ht="15.75" x14ac:dyDescent="0.25">
      <c r="A734" s="44"/>
      <c r="B734" s="23"/>
      <c r="C734" s="23"/>
      <c r="D734" s="36"/>
      <c r="E734" s="23"/>
      <c r="F734" s="23"/>
      <c r="G734" s="40"/>
      <c r="H734" s="23"/>
      <c r="I734" s="23"/>
      <c r="J734" s="40"/>
      <c r="K734" s="36"/>
      <c r="L734" s="36"/>
      <c r="M734" s="40"/>
      <c r="N734" s="23"/>
      <c r="O734" s="36"/>
      <c r="P734" s="40"/>
      <c r="Q734" s="36"/>
      <c r="R734" s="36"/>
      <c r="S734" s="40"/>
      <c r="T734" s="23"/>
      <c r="U734" s="23"/>
      <c r="V734" s="40"/>
      <c r="W734" s="23"/>
      <c r="X734" s="23"/>
      <c r="Y734" s="40"/>
      <c r="Z734" s="23"/>
      <c r="AA734" s="23"/>
      <c r="AB734" s="40"/>
      <c r="AC734" s="42"/>
      <c r="AD734" s="42"/>
      <c r="AE734" s="40"/>
      <c r="AF734" s="42"/>
      <c r="AG734" s="42"/>
      <c r="AH734" s="23"/>
      <c r="AI734" s="42"/>
      <c r="AJ734" s="42"/>
      <c r="AK734" s="40"/>
      <c r="AL734" s="84"/>
      <c r="AM734" s="84"/>
      <c r="AN734" s="40"/>
      <c r="AO734" s="23"/>
    </row>
    <row r="735" spans="1:41" ht="15.75" x14ac:dyDescent="0.25">
      <c r="A735" s="44"/>
      <c r="B735" s="23"/>
      <c r="C735" s="23"/>
      <c r="D735" s="36"/>
      <c r="E735" s="23"/>
      <c r="F735" s="23"/>
      <c r="G735" s="40"/>
      <c r="H735" s="23"/>
      <c r="I735" s="23"/>
      <c r="J735" s="40"/>
      <c r="K735" s="36"/>
      <c r="L735" s="36"/>
      <c r="M735" s="40"/>
      <c r="N735" s="23"/>
      <c r="O735" s="36"/>
      <c r="P735" s="40"/>
      <c r="Q735" s="36"/>
      <c r="R735" s="36"/>
      <c r="S735" s="40"/>
      <c r="T735" s="23"/>
      <c r="U735" s="23"/>
      <c r="V735" s="40"/>
      <c r="W735" s="23"/>
      <c r="X735" s="23"/>
      <c r="Y735" s="40"/>
      <c r="Z735" s="23"/>
      <c r="AA735" s="23"/>
      <c r="AB735" s="40"/>
      <c r="AC735" s="42"/>
      <c r="AD735" s="42"/>
      <c r="AE735" s="40"/>
      <c r="AF735" s="42"/>
      <c r="AG735" s="42"/>
      <c r="AH735" s="23"/>
      <c r="AI735" s="42"/>
      <c r="AJ735" s="42"/>
      <c r="AK735" s="40"/>
      <c r="AL735" s="84"/>
      <c r="AM735" s="84"/>
      <c r="AN735" s="40"/>
      <c r="AO735" s="23"/>
    </row>
    <row r="736" spans="1:41" ht="15.75" x14ac:dyDescent="0.25">
      <c r="A736" s="44"/>
      <c r="B736" s="23"/>
      <c r="C736" s="23"/>
      <c r="D736" s="36"/>
      <c r="E736" s="23"/>
      <c r="F736" s="23"/>
      <c r="G736" s="40"/>
      <c r="H736" s="23"/>
      <c r="I736" s="23"/>
      <c r="J736" s="40"/>
      <c r="K736" s="36"/>
      <c r="L736" s="36"/>
      <c r="M736" s="40"/>
      <c r="N736" s="23"/>
      <c r="O736" s="36"/>
      <c r="P736" s="40"/>
      <c r="Q736" s="36"/>
      <c r="R736" s="36"/>
      <c r="S736" s="40"/>
      <c r="T736" s="23"/>
      <c r="U736" s="23"/>
      <c r="V736" s="40"/>
      <c r="W736" s="23"/>
      <c r="X736" s="23"/>
      <c r="Y736" s="40"/>
      <c r="Z736" s="23"/>
      <c r="AA736" s="23"/>
      <c r="AB736" s="40"/>
      <c r="AC736" s="42"/>
      <c r="AD736" s="42"/>
      <c r="AE736" s="40"/>
      <c r="AF736" s="42"/>
      <c r="AG736" s="42"/>
      <c r="AH736" s="23"/>
      <c r="AI736" s="42"/>
      <c r="AJ736" s="42"/>
      <c r="AK736" s="40"/>
      <c r="AL736" s="84"/>
      <c r="AM736" s="84"/>
      <c r="AN736" s="40"/>
      <c r="AO736" s="23"/>
    </row>
    <row r="737" spans="1:41" ht="15.75" x14ac:dyDescent="0.25">
      <c r="A737" s="44"/>
      <c r="B737" s="23"/>
      <c r="C737" s="23"/>
      <c r="D737" s="36"/>
      <c r="E737" s="23"/>
      <c r="F737" s="23"/>
      <c r="G737" s="40"/>
      <c r="H737" s="23"/>
      <c r="I737" s="23"/>
      <c r="J737" s="40"/>
      <c r="K737" s="36"/>
      <c r="L737" s="36"/>
      <c r="M737" s="40"/>
      <c r="N737" s="23"/>
      <c r="O737" s="36"/>
      <c r="P737" s="40"/>
      <c r="Q737" s="36"/>
      <c r="R737" s="36"/>
      <c r="S737" s="40"/>
      <c r="T737" s="23"/>
      <c r="U737" s="23"/>
      <c r="V737" s="40"/>
      <c r="W737" s="23"/>
      <c r="X737" s="23"/>
      <c r="Y737" s="40"/>
      <c r="Z737" s="23"/>
      <c r="AA737" s="23"/>
      <c r="AB737" s="40"/>
      <c r="AC737" s="42"/>
      <c r="AD737" s="42"/>
      <c r="AE737" s="40"/>
      <c r="AF737" s="42"/>
      <c r="AG737" s="42"/>
      <c r="AH737" s="23"/>
      <c r="AI737" s="42"/>
      <c r="AJ737" s="42"/>
      <c r="AK737" s="40"/>
      <c r="AL737" s="84"/>
      <c r="AM737" s="84"/>
      <c r="AN737" s="40"/>
      <c r="AO737" s="23"/>
    </row>
    <row r="738" spans="1:41" ht="15.75" x14ac:dyDescent="0.25">
      <c r="A738" s="44"/>
      <c r="B738" s="23"/>
      <c r="C738" s="23"/>
      <c r="D738" s="36"/>
      <c r="E738" s="23"/>
      <c r="F738" s="23"/>
      <c r="G738" s="40"/>
      <c r="H738" s="23"/>
      <c r="I738" s="23"/>
      <c r="J738" s="40"/>
      <c r="K738" s="36"/>
      <c r="L738" s="36"/>
      <c r="M738" s="40"/>
      <c r="N738" s="23"/>
      <c r="O738" s="36"/>
      <c r="P738" s="40"/>
      <c r="Q738" s="36"/>
      <c r="R738" s="36"/>
      <c r="S738" s="40"/>
      <c r="T738" s="23"/>
      <c r="U738" s="23"/>
      <c r="V738" s="40"/>
      <c r="W738" s="23"/>
      <c r="X738" s="23"/>
      <c r="Y738" s="40"/>
      <c r="Z738" s="23"/>
      <c r="AA738" s="23"/>
      <c r="AB738" s="40"/>
      <c r="AC738" s="42"/>
      <c r="AD738" s="42"/>
      <c r="AE738" s="40"/>
      <c r="AF738" s="42"/>
      <c r="AG738" s="42"/>
      <c r="AH738" s="23"/>
      <c r="AI738" s="42"/>
      <c r="AJ738" s="42"/>
      <c r="AK738" s="40"/>
      <c r="AL738" s="84"/>
      <c r="AM738" s="84"/>
      <c r="AN738" s="40"/>
      <c r="AO738" s="23"/>
    </row>
    <row r="739" spans="1:41" ht="15.75" x14ac:dyDescent="0.25">
      <c r="A739" s="44"/>
      <c r="B739" s="23"/>
      <c r="C739" s="23"/>
      <c r="D739" s="36"/>
      <c r="E739" s="23"/>
      <c r="F739" s="23"/>
      <c r="G739" s="40"/>
      <c r="H739" s="23"/>
      <c r="I739" s="23"/>
      <c r="J739" s="40"/>
      <c r="K739" s="36"/>
      <c r="L739" s="36"/>
      <c r="M739" s="40"/>
      <c r="N739" s="23"/>
      <c r="O739" s="36"/>
      <c r="P739" s="40"/>
      <c r="Q739" s="36"/>
      <c r="R739" s="36"/>
      <c r="S739" s="40"/>
      <c r="T739" s="23"/>
      <c r="U739" s="23"/>
      <c r="V739" s="40"/>
      <c r="W739" s="23"/>
      <c r="X739" s="23"/>
      <c r="Y739" s="40"/>
      <c r="Z739" s="23"/>
      <c r="AA739" s="23"/>
      <c r="AB739" s="40"/>
      <c r="AC739" s="42"/>
      <c r="AD739" s="42"/>
      <c r="AE739" s="40"/>
      <c r="AF739" s="42"/>
      <c r="AG739" s="42"/>
      <c r="AH739" s="23"/>
      <c r="AI739" s="42"/>
      <c r="AJ739" s="42"/>
      <c r="AK739" s="40"/>
      <c r="AL739" s="84"/>
      <c r="AM739" s="84"/>
      <c r="AN739" s="40"/>
      <c r="AO739" s="23"/>
    </row>
    <row r="740" spans="1:41" ht="15.75" x14ac:dyDescent="0.25">
      <c r="A740" s="44"/>
      <c r="B740" s="23"/>
      <c r="C740" s="23"/>
      <c r="D740" s="36"/>
      <c r="E740" s="23"/>
      <c r="F740" s="23"/>
      <c r="G740" s="40"/>
      <c r="H740" s="23"/>
      <c r="I740" s="23"/>
      <c r="J740" s="40"/>
      <c r="K740" s="36"/>
      <c r="L740" s="36"/>
      <c r="M740" s="40"/>
      <c r="N740" s="23"/>
      <c r="O740" s="36"/>
      <c r="P740" s="40"/>
      <c r="Q740" s="36"/>
      <c r="R740" s="36"/>
      <c r="S740" s="40"/>
      <c r="T740" s="23"/>
      <c r="U740" s="23"/>
      <c r="V740" s="40"/>
      <c r="W740" s="23"/>
      <c r="X740" s="23"/>
      <c r="Y740" s="40"/>
      <c r="Z740" s="23"/>
      <c r="AA740" s="23"/>
      <c r="AB740" s="40"/>
      <c r="AC740" s="42"/>
      <c r="AD740" s="42"/>
      <c r="AE740" s="40"/>
      <c r="AF740" s="42"/>
      <c r="AG740" s="42"/>
      <c r="AH740" s="23"/>
      <c r="AI740" s="42"/>
      <c r="AJ740" s="42"/>
      <c r="AK740" s="40"/>
      <c r="AL740" s="84"/>
      <c r="AM740" s="84"/>
      <c r="AN740" s="40"/>
      <c r="AO740" s="23"/>
    </row>
    <row r="741" spans="1:41" ht="15.75" x14ac:dyDescent="0.25">
      <c r="A741" s="44"/>
      <c r="B741" s="23"/>
      <c r="C741" s="23"/>
      <c r="D741" s="36"/>
      <c r="E741" s="23"/>
      <c r="F741" s="23"/>
      <c r="G741" s="40"/>
      <c r="H741" s="23"/>
      <c r="I741" s="23"/>
      <c r="J741" s="40"/>
      <c r="K741" s="36"/>
      <c r="L741" s="36"/>
      <c r="M741" s="40"/>
      <c r="N741" s="23"/>
      <c r="O741" s="36"/>
      <c r="P741" s="40"/>
      <c r="Q741" s="36"/>
      <c r="R741" s="36"/>
      <c r="S741" s="40"/>
      <c r="T741" s="23"/>
      <c r="U741" s="23"/>
      <c r="V741" s="40"/>
      <c r="W741" s="23"/>
      <c r="X741" s="23"/>
      <c r="Y741" s="40"/>
      <c r="Z741" s="23"/>
      <c r="AA741" s="23"/>
      <c r="AB741" s="40"/>
      <c r="AC741" s="42"/>
      <c r="AD741" s="42"/>
      <c r="AE741" s="40"/>
      <c r="AF741" s="42"/>
      <c r="AG741" s="42"/>
      <c r="AH741" s="23"/>
      <c r="AI741" s="42"/>
      <c r="AJ741" s="42"/>
      <c r="AK741" s="40"/>
      <c r="AL741" s="84"/>
      <c r="AM741" s="84"/>
      <c r="AN741" s="40"/>
      <c r="AO741" s="23"/>
    </row>
    <row r="742" spans="1:41" ht="15.75" x14ac:dyDescent="0.25">
      <c r="A742" s="44"/>
      <c r="B742" s="23"/>
      <c r="C742" s="23"/>
      <c r="D742" s="36"/>
      <c r="E742" s="23"/>
      <c r="F742" s="23"/>
      <c r="G742" s="40"/>
      <c r="H742" s="23"/>
      <c r="I742" s="23"/>
      <c r="J742" s="40"/>
      <c r="K742" s="36"/>
      <c r="L742" s="36"/>
      <c r="M742" s="40"/>
      <c r="N742" s="23"/>
      <c r="O742" s="36"/>
      <c r="P742" s="40"/>
      <c r="Q742" s="36"/>
      <c r="R742" s="36"/>
      <c r="S742" s="40"/>
      <c r="T742" s="23"/>
      <c r="U742" s="23"/>
      <c r="V742" s="40"/>
      <c r="W742" s="23"/>
      <c r="X742" s="23"/>
      <c r="Y742" s="40"/>
      <c r="Z742" s="23"/>
      <c r="AA742" s="23"/>
      <c r="AB742" s="40"/>
      <c r="AC742" s="42"/>
      <c r="AD742" s="42"/>
      <c r="AE742" s="40"/>
      <c r="AF742" s="42"/>
      <c r="AG742" s="42"/>
      <c r="AH742" s="23"/>
      <c r="AI742" s="42"/>
      <c r="AJ742" s="42"/>
      <c r="AK742" s="40"/>
      <c r="AL742" s="84"/>
      <c r="AM742" s="84"/>
      <c r="AN742" s="40"/>
      <c r="AO742" s="23"/>
    </row>
    <row r="743" spans="1:41" ht="15.75" x14ac:dyDescent="0.25">
      <c r="A743" s="44"/>
      <c r="B743" s="23"/>
      <c r="C743" s="23"/>
      <c r="D743" s="36"/>
      <c r="E743" s="23"/>
      <c r="F743" s="23"/>
      <c r="G743" s="40"/>
      <c r="H743" s="23"/>
      <c r="I743" s="23"/>
      <c r="J743" s="40"/>
      <c r="K743" s="36"/>
      <c r="L743" s="36"/>
      <c r="M743" s="40"/>
      <c r="N743" s="23"/>
      <c r="O743" s="36"/>
      <c r="P743" s="40"/>
      <c r="Q743" s="36"/>
      <c r="R743" s="36"/>
      <c r="S743" s="40"/>
      <c r="T743" s="23"/>
      <c r="U743" s="23"/>
      <c r="V743" s="40"/>
      <c r="W743" s="23"/>
      <c r="X743" s="23"/>
      <c r="Y743" s="40"/>
      <c r="Z743" s="23"/>
      <c r="AA743" s="23"/>
      <c r="AB743" s="40"/>
      <c r="AC743" s="42"/>
      <c r="AD743" s="42"/>
      <c r="AE743" s="40"/>
      <c r="AF743" s="42"/>
      <c r="AG743" s="42"/>
      <c r="AH743" s="23"/>
      <c r="AI743" s="42"/>
      <c r="AJ743" s="42"/>
      <c r="AK743" s="40"/>
      <c r="AL743" s="84"/>
      <c r="AM743" s="84"/>
      <c r="AN743" s="40"/>
      <c r="AO743" s="23"/>
    </row>
    <row r="744" spans="1:41" ht="15.75" x14ac:dyDescent="0.25">
      <c r="A744" s="44"/>
      <c r="B744" s="23"/>
      <c r="C744" s="23"/>
      <c r="D744" s="36"/>
      <c r="E744" s="23"/>
      <c r="F744" s="23"/>
      <c r="G744" s="40"/>
      <c r="H744" s="23"/>
      <c r="I744" s="23"/>
      <c r="J744" s="40"/>
      <c r="K744" s="36"/>
      <c r="L744" s="36"/>
      <c r="M744" s="40"/>
      <c r="N744" s="23"/>
      <c r="O744" s="36"/>
      <c r="P744" s="40"/>
      <c r="Q744" s="36"/>
      <c r="R744" s="36"/>
      <c r="S744" s="40"/>
      <c r="T744" s="23"/>
      <c r="U744" s="23"/>
      <c r="V744" s="40"/>
      <c r="W744" s="23"/>
      <c r="X744" s="23"/>
      <c r="Y744" s="40"/>
      <c r="Z744" s="23"/>
      <c r="AA744" s="23"/>
      <c r="AB744" s="40"/>
      <c r="AC744" s="42"/>
      <c r="AD744" s="42"/>
      <c r="AE744" s="40"/>
      <c r="AF744" s="42"/>
      <c r="AG744" s="42"/>
      <c r="AH744" s="23"/>
      <c r="AI744" s="42"/>
      <c r="AJ744" s="42"/>
      <c r="AK744" s="40"/>
      <c r="AL744" s="84"/>
      <c r="AM744" s="84"/>
      <c r="AN744" s="40"/>
      <c r="AO744" s="23"/>
    </row>
    <row r="745" spans="1:41" ht="15.75" x14ac:dyDescent="0.25">
      <c r="A745" s="44"/>
      <c r="B745" s="23"/>
      <c r="C745" s="23"/>
      <c r="D745" s="36"/>
      <c r="E745" s="23"/>
      <c r="F745" s="23"/>
      <c r="G745" s="40"/>
      <c r="H745" s="23"/>
      <c r="I745" s="23"/>
      <c r="J745" s="40"/>
      <c r="K745" s="36"/>
      <c r="L745" s="36"/>
      <c r="M745" s="40"/>
      <c r="N745" s="23"/>
      <c r="O745" s="36"/>
      <c r="P745" s="40"/>
      <c r="Q745" s="36"/>
      <c r="R745" s="36"/>
      <c r="S745" s="40"/>
      <c r="T745" s="23"/>
      <c r="U745" s="23"/>
      <c r="V745" s="40"/>
      <c r="W745" s="23"/>
      <c r="X745" s="23"/>
      <c r="Y745" s="40"/>
      <c r="Z745" s="23"/>
      <c r="AA745" s="23"/>
      <c r="AB745" s="40"/>
      <c r="AC745" s="42"/>
      <c r="AD745" s="42"/>
      <c r="AE745" s="40"/>
      <c r="AF745" s="42"/>
      <c r="AG745" s="42"/>
      <c r="AH745" s="23"/>
      <c r="AI745" s="42"/>
      <c r="AJ745" s="42"/>
      <c r="AK745" s="40"/>
      <c r="AL745" s="84"/>
      <c r="AM745" s="84"/>
      <c r="AN745" s="40"/>
      <c r="AO745" s="23"/>
    </row>
    <row r="746" spans="1:41" ht="15.75" x14ac:dyDescent="0.25">
      <c r="A746" s="44"/>
      <c r="B746" s="23"/>
      <c r="C746" s="23"/>
      <c r="D746" s="36"/>
      <c r="E746" s="23"/>
      <c r="F746" s="23"/>
      <c r="G746" s="40"/>
      <c r="H746" s="23"/>
      <c r="I746" s="23"/>
      <c r="J746" s="40"/>
      <c r="K746" s="36"/>
      <c r="L746" s="36"/>
      <c r="M746" s="40"/>
      <c r="N746" s="23"/>
      <c r="O746" s="36"/>
      <c r="P746" s="40"/>
      <c r="Q746" s="36"/>
      <c r="R746" s="36"/>
      <c r="S746" s="40"/>
      <c r="T746" s="23"/>
      <c r="U746" s="23"/>
      <c r="V746" s="40"/>
      <c r="W746" s="23"/>
      <c r="X746" s="23"/>
      <c r="Y746" s="40"/>
      <c r="Z746" s="23"/>
      <c r="AA746" s="23"/>
      <c r="AB746" s="40"/>
      <c r="AC746" s="42"/>
      <c r="AD746" s="42"/>
      <c r="AE746" s="40"/>
      <c r="AF746" s="42"/>
      <c r="AG746" s="42"/>
      <c r="AH746" s="23"/>
      <c r="AI746" s="42"/>
      <c r="AJ746" s="42"/>
      <c r="AK746" s="40"/>
      <c r="AL746" s="84"/>
      <c r="AM746" s="84"/>
      <c r="AN746" s="40"/>
      <c r="AO746" s="23"/>
    </row>
    <row r="747" spans="1:41" ht="15.75" x14ac:dyDescent="0.25">
      <c r="A747" s="44"/>
      <c r="B747" s="23"/>
      <c r="C747" s="23"/>
      <c r="D747" s="36"/>
      <c r="E747" s="23"/>
      <c r="F747" s="23"/>
      <c r="G747" s="40"/>
      <c r="H747" s="23"/>
      <c r="I747" s="23"/>
      <c r="J747" s="40"/>
      <c r="K747" s="36"/>
      <c r="L747" s="36"/>
      <c r="M747" s="40"/>
      <c r="N747" s="23"/>
      <c r="O747" s="36"/>
      <c r="P747" s="40"/>
      <c r="Q747" s="36"/>
      <c r="R747" s="36"/>
      <c r="S747" s="40"/>
      <c r="T747" s="23"/>
      <c r="U747" s="23"/>
      <c r="V747" s="40"/>
      <c r="W747" s="23"/>
      <c r="X747" s="23"/>
      <c r="Y747" s="40"/>
      <c r="Z747" s="23"/>
      <c r="AA747" s="23"/>
      <c r="AB747" s="40"/>
      <c r="AC747" s="42"/>
      <c r="AD747" s="42"/>
      <c r="AE747" s="40"/>
      <c r="AF747" s="42"/>
      <c r="AG747" s="42"/>
      <c r="AH747" s="23"/>
      <c r="AI747" s="42"/>
      <c r="AJ747" s="42"/>
      <c r="AK747" s="40"/>
      <c r="AL747" s="84"/>
      <c r="AM747" s="84"/>
      <c r="AN747" s="40"/>
      <c r="AO747" s="23"/>
    </row>
    <row r="748" spans="1:41" ht="15.75" x14ac:dyDescent="0.25">
      <c r="A748" s="44"/>
      <c r="B748" s="23"/>
      <c r="C748" s="23"/>
      <c r="D748" s="36"/>
      <c r="E748" s="23"/>
      <c r="F748" s="23"/>
      <c r="G748" s="40"/>
      <c r="H748" s="23"/>
      <c r="I748" s="23"/>
      <c r="J748" s="40"/>
      <c r="K748" s="36"/>
      <c r="L748" s="36"/>
      <c r="M748" s="40"/>
      <c r="N748" s="23"/>
      <c r="O748" s="36"/>
      <c r="P748" s="40"/>
      <c r="Q748" s="36"/>
      <c r="R748" s="36"/>
      <c r="S748" s="40"/>
      <c r="T748" s="23"/>
      <c r="U748" s="23"/>
      <c r="V748" s="40"/>
      <c r="W748" s="23"/>
      <c r="X748" s="23"/>
      <c r="Y748" s="40"/>
      <c r="Z748" s="23"/>
      <c r="AA748" s="23"/>
      <c r="AB748" s="40"/>
      <c r="AC748" s="42"/>
      <c r="AD748" s="42"/>
      <c r="AE748" s="40"/>
      <c r="AF748" s="42"/>
      <c r="AG748" s="42"/>
      <c r="AH748" s="23"/>
      <c r="AI748" s="42"/>
      <c r="AJ748" s="42"/>
      <c r="AK748" s="40"/>
      <c r="AL748" s="84"/>
      <c r="AM748" s="84"/>
      <c r="AN748" s="40"/>
      <c r="AO748" s="23"/>
    </row>
    <row r="749" spans="1:41" ht="15.75" x14ac:dyDescent="0.25">
      <c r="A749" s="44"/>
      <c r="B749" s="23"/>
      <c r="C749" s="23"/>
      <c r="D749" s="36"/>
      <c r="E749" s="23"/>
      <c r="F749" s="23"/>
      <c r="G749" s="40"/>
      <c r="H749" s="23"/>
      <c r="I749" s="23"/>
      <c r="J749" s="40"/>
      <c r="K749" s="36"/>
      <c r="L749" s="36"/>
      <c r="M749" s="40"/>
      <c r="N749" s="23"/>
      <c r="O749" s="36"/>
      <c r="P749" s="40"/>
      <c r="Q749" s="36"/>
      <c r="R749" s="36"/>
      <c r="S749" s="40"/>
      <c r="T749" s="23"/>
      <c r="U749" s="23"/>
      <c r="V749" s="40"/>
      <c r="W749" s="23"/>
      <c r="X749" s="23"/>
      <c r="Y749" s="40"/>
      <c r="Z749" s="23"/>
      <c r="AA749" s="23"/>
      <c r="AB749" s="40"/>
      <c r="AC749" s="42"/>
      <c r="AD749" s="42"/>
      <c r="AE749" s="40"/>
      <c r="AF749" s="42"/>
      <c r="AG749" s="42"/>
      <c r="AH749" s="23"/>
      <c r="AI749" s="42"/>
      <c r="AJ749" s="42"/>
      <c r="AK749" s="40"/>
      <c r="AL749" s="84"/>
      <c r="AM749" s="84"/>
      <c r="AN749" s="40"/>
      <c r="AO749" s="23"/>
    </row>
    <row r="750" spans="1:41" ht="15.75" x14ac:dyDescent="0.25">
      <c r="A750" s="44"/>
      <c r="B750" s="23"/>
      <c r="C750" s="23"/>
      <c r="D750" s="36"/>
      <c r="E750" s="23"/>
      <c r="F750" s="23"/>
      <c r="G750" s="40"/>
      <c r="H750" s="23"/>
      <c r="I750" s="23"/>
      <c r="J750" s="40"/>
      <c r="K750" s="36"/>
      <c r="L750" s="36"/>
      <c r="M750" s="40"/>
      <c r="N750" s="23"/>
      <c r="O750" s="36"/>
      <c r="P750" s="40"/>
      <c r="Q750" s="36"/>
      <c r="R750" s="36"/>
      <c r="S750" s="40"/>
      <c r="T750" s="23"/>
      <c r="U750" s="23"/>
      <c r="V750" s="40"/>
      <c r="W750" s="23"/>
      <c r="X750" s="23"/>
      <c r="Y750" s="40"/>
      <c r="Z750" s="23"/>
      <c r="AA750" s="23"/>
      <c r="AB750" s="40"/>
      <c r="AC750" s="42"/>
      <c r="AD750" s="42"/>
      <c r="AE750" s="40"/>
      <c r="AF750" s="42"/>
      <c r="AG750" s="42"/>
      <c r="AH750" s="23"/>
      <c r="AI750" s="42"/>
      <c r="AJ750" s="42"/>
      <c r="AK750" s="40"/>
      <c r="AL750" s="84"/>
      <c r="AM750" s="84"/>
      <c r="AN750" s="40"/>
      <c r="AO750" s="23"/>
    </row>
    <row r="751" spans="1:41" ht="15.75" x14ac:dyDescent="0.25">
      <c r="A751" s="44"/>
      <c r="B751" s="23"/>
      <c r="C751" s="23"/>
      <c r="D751" s="36"/>
      <c r="E751" s="23"/>
      <c r="F751" s="23"/>
      <c r="G751" s="40"/>
      <c r="H751" s="23"/>
      <c r="I751" s="23"/>
      <c r="J751" s="40"/>
      <c r="K751" s="36"/>
      <c r="L751" s="36"/>
      <c r="M751" s="40"/>
      <c r="N751" s="23"/>
      <c r="O751" s="36"/>
      <c r="P751" s="40"/>
      <c r="Q751" s="36"/>
      <c r="R751" s="36"/>
      <c r="S751" s="40"/>
      <c r="T751" s="23"/>
      <c r="U751" s="23"/>
      <c r="V751" s="40"/>
      <c r="W751" s="23"/>
      <c r="X751" s="23"/>
      <c r="Y751" s="40"/>
      <c r="Z751" s="23"/>
      <c r="AA751" s="23"/>
      <c r="AB751" s="40"/>
      <c r="AC751" s="42"/>
      <c r="AD751" s="42"/>
      <c r="AE751" s="40"/>
      <c r="AF751" s="42"/>
      <c r="AG751" s="42"/>
      <c r="AH751" s="23"/>
      <c r="AI751" s="42"/>
      <c r="AJ751" s="42"/>
      <c r="AK751" s="40"/>
      <c r="AL751" s="84"/>
      <c r="AM751" s="84"/>
      <c r="AN751" s="40"/>
      <c r="AO751" s="23"/>
    </row>
    <row r="752" spans="1:41" ht="15.75" x14ac:dyDescent="0.25">
      <c r="A752" s="44"/>
      <c r="B752" s="23"/>
      <c r="C752" s="23"/>
      <c r="D752" s="36"/>
      <c r="E752" s="23"/>
      <c r="F752" s="23"/>
      <c r="G752" s="40"/>
      <c r="H752" s="23"/>
      <c r="I752" s="23"/>
      <c r="J752" s="40"/>
      <c r="K752" s="36"/>
      <c r="L752" s="36"/>
      <c r="M752" s="40"/>
      <c r="N752" s="23"/>
      <c r="O752" s="36"/>
      <c r="P752" s="40"/>
      <c r="Q752" s="36"/>
      <c r="R752" s="36"/>
      <c r="S752" s="40"/>
      <c r="T752" s="23"/>
      <c r="U752" s="23"/>
      <c r="V752" s="40"/>
      <c r="W752" s="23"/>
      <c r="X752" s="23"/>
      <c r="Y752" s="40"/>
      <c r="Z752" s="23"/>
      <c r="AA752" s="23"/>
      <c r="AB752" s="40"/>
      <c r="AC752" s="42"/>
      <c r="AD752" s="42"/>
      <c r="AE752" s="40"/>
      <c r="AF752" s="42"/>
      <c r="AG752" s="42"/>
      <c r="AH752" s="23"/>
      <c r="AI752" s="42"/>
      <c r="AJ752" s="42"/>
      <c r="AK752" s="40"/>
      <c r="AL752" s="84"/>
      <c r="AM752" s="84"/>
      <c r="AN752" s="40"/>
      <c r="AO752" s="23"/>
    </row>
    <row r="753" spans="1:41" ht="15.75" x14ac:dyDescent="0.25">
      <c r="A753" s="44"/>
      <c r="B753" s="23"/>
      <c r="C753" s="23"/>
      <c r="D753" s="36"/>
      <c r="E753" s="23"/>
      <c r="F753" s="23"/>
      <c r="G753" s="40"/>
      <c r="H753" s="23"/>
      <c r="I753" s="23"/>
      <c r="J753" s="40"/>
      <c r="K753" s="36"/>
      <c r="L753" s="36"/>
      <c r="M753" s="40"/>
      <c r="N753" s="23"/>
      <c r="O753" s="36"/>
      <c r="P753" s="40"/>
      <c r="Q753" s="36"/>
      <c r="R753" s="36"/>
      <c r="S753" s="40"/>
      <c r="T753" s="23"/>
      <c r="U753" s="23"/>
      <c r="V753" s="40"/>
      <c r="W753" s="23"/>
      <c r="X753" s="23"/>
      <c r="Y753" s="40"/>
      <c r="Z753" s="23"/>
      <c r="AA753" s="23"/>
      <c r="AB753" s="40"/>
      <c r="AC753" s="42"/>
      <c r="AD753" s="42"/>
      <c r="AE753" s="40"/>
      <c r="AF753" s="42"/>
      <c r="AG753" s="42"/>
      <c r="AH753" s="23"/>
      <c r="AI753" s="42"/>
      <c r="AJ753" s="42"/>
      <c r="AK753" s="40"/>
      <c r="AL753" s="84"/>
      <c r="AM753" s="84"/>
      <c r="AN753" s="40"/>
      <c r="AO753" s="23"/>
    </row>
    <row r="754" spans="1:41" ht="15.75" x14ac:dyDescent="0.25">
      <c r="A754" s="44"/>
      <c r="B754" s="23"/>
      <c r="C754" s="23"/>
      <c r="D754" s="36"/>
      <c r="E754" s="23"/>
      <c r="F754" s="23"/>
      <c r="G754" s="40"/>
      <c r="H754" s="23"/>
      <c r="I754" s="23"/>
      <c r="J754" s="40"/>
      <c r="K754" s="36"/>
      <c r="L754" s="36"/>
      <c r="M754" s="40"/>
      <c r="N754" s="23"/>
      <c r="O754" s="36"/>
      <c r="P754" s="40"/>
      <c r="Q754" s="36"/>
      <c r="R754" s="36"/>
      <c r="S754" s="40"/>
      <c r="T754" s="23"/>
      <c r="U754" s="23"/>
      <c r="V754" s="40"/>
      <c r="W754" s="23"/>
      <c r="X754" s="23"/>
      <c r="Y754" s="40"/>
      <c r="Z754" s="23"/>
      <c r="AA754" s="23"/>
      <c r="AB754" s="40"/>
      <c r="AC754" s="42"/>
      <c r="AD754" s="42"/>
      <c r="AE754" s="40"/>
      <c r="AF754" s="42"/>
      <c r="AG754" s="42"/>
      <c r="AH754" s="23"/>
      <c r="AI754" s="42"/>
      <c r="AJ754" s="42"/>
      <c r="AK754" s="40"/>
      <c r="AL754" s="84"/>
      <c r="AM754" s="84"/>
      <c r="AN754" s="40"/>
      <c r="AO754" s="23"/>
    </row>
    <row r="755" spans="1:41" ht="15.75" x14ac:dyDescent="0.25">
      <c r="A755" s="44"/>
      <c r="B755" s="23"/>
      <c r="C755" s="23"/>
      <c r="D755" s="36"/>
      <c r="E755" s="23"/>
      <c r="F755" s="23"/>
      <c r="G755" s="40"/>
      <c r="H755" s="23"/>
      <c r="I755" s="23"/>
      <c r="J755" s="40"/>
      <c r="K755" s="36"/>
      <c r="L755" s="36"/>
      <c r="M755" s="40"/>
      <c r="N755" s="23"/>
      <c r="O755" s="36"/>
      <c r="P755" s="40"/>
      <c r="Q755" s="36"/>
      <c r="R755" s="36"/>
      <c r="S755" s="40"/>
      <c r="T755" s="23"/>
      <c r="U755" s="23"/>
      <c r="V755" s="40"/>
      <c r="W755" s="23"/>
      <c r="X755" s="23"/>
      <c r="Y755" s="40"/>
      <c r="Z755" s="23"/>
      <c r="AA755" s="23"/>
      <c r="AB755" s="40"/>
      <c r="AC755" s="42"/>
      <c r="AD755" s="42"/>
      <c r="AE755" s="40"/>
      <c r="AF755" s="42"/>
      <c r="AG755" s="42"/>
      <c r="AH755" s="23"/>
      <c r="AI755" s="42"/>
      <c r="AJ755" s="42"/>
      <c r="AK755" s="40"/>
      <c r="AL755" s="84"/>
      <c r="AM755" s="84"/>
      <c r="AN755" s="40"/>
      <c r="AO755" s="23"/>
    </row>
    <row r="756" spans="1:41" ht="15.75" x14ac:dyDescent="0.25">
      <c r="A756" s="44"/>
      <c r="B756" s="23"/>
      <c r="C756" s="23"/>
      <c r="D756" s="36"/>
      <c r="E756" s="23"/>
      <c r="F756" s="23"/>
      <c r="G756" s="40"/>
      <c r="H756" s="23"/>
      <c r="I756" s="23"/>
      <c r="J756" s="40"/>
      <c r="K756" s="36"/>
      <c r="L756" s="36"/>
      <c r="M756" s="40"/>
      <c r="N756" s="23"/>
      <c r="O756" s="36"/>
      <c r="P756" s="40"/>
      <c r="Q756" s="36"/>
      <c r="R756" s="36"/>
      <c r="S756" s="40"/>
      <c r="T756" s="23"/>
      <c r="U756" s="23"/>
      <c r="V756" s="40"/>
      <c r="W756" s="23"/>
      <c r="X756" s="23"/>
      <c r="Y756" s="40"/>
      <c r="Z756" s="23"/>
      <c r="AA756" s="23"/>
      <c r="AB756" s="40"/>
      <c r="AC756" s="42"/>
      <c r="AD756" s="42"/>
      <c r="AE756" s="40"/>
      <c r="AF756" s="42"/>
      <c r="AG756" s="42"/>
      <c r="AH756" s="23"/>
      <c r="AI756" s="42"/>
      <c r="AJ756" s="42"/>
      <c r="AK756" s="40"/>
      <c r="AL756" s="84"/>
      <c r="AM756" s="84"/>
      <c r="AN756" s="40"/>
      <c r="AO756" s="23"/>
    </row>
    <row r="757" spans="1:41" ht="15.75" x14ac:dyDescent="0.25">
      <c r="A757" s="44"/>
      <c r="B757" s="23"/>
      <c r="C757" s="23"/>
      <c r="D757" s="36"/>
      <c r="E757" s="23"/>
      <c r="F757" s="23"/>
      <c r="G757" s="40"/>
      <c r="H757" s="23"/>
      <c r="I757" s="23"/>
      <c r="J757" s="40"/>
      <c r="K757" s="36"/>
      <c r="L757" s="36"/>
      <c r="M757" s="40"/>
      <c r="N757" s="23"/>
      <c r="O757" s="36"/>
      <c r="P757" s="40"/>
      <c r="Q757" s="36"/>
      <c r="R757" s="36"/>
      <c r="S757" s="40"/>
      <c r="T757" s="23"/>
      <c r="U757" s="23"/>
      <c r="V757" s="40"/>
      <c r="W757" s="23"/>
      <c r="X757" s="23"/>
      <c r="Y757" s="40"/>
      <c r="Z757" s="23"/>
      <c r="AA757" s="23"/>
      <c r="AB757" s="40"/>
      <c r="AC757" s="42"/>
      <c r="AD757" s="42"/>
      <c r="AE757" s="40"/>
      <c r="AF757" s="42"/>
      <c r="AG757" s="42"/>
      <c r="AH757" s="23"/>
      <c r="AI757" s="42"/>
      <c r="AJ757" s="42"/>
      <c r="AK757" s="40"/>
      <c r="AL757" s="84"/>
      <c r="AM757" s="84"/>
      <c r="AN757" s="40"/>
      <c r="AO757" s="23"/>
    </row>
    <row r="758" spans="1:41" ht="15.75" x14ac:dyDescent="0.25">
      <c r="A758" s="44"/>
      <c r="B758" s="23"/>
      <c r="C758" s="23"/>
      <c r="D758" s="36"/>
      <c r="E758" s="23"/>
      <c r="F758" s="23"/>
      <c r="G758" s="40"/>
      <c r="H758" s="23"/>
      <c r="I758" s="23"/>
      <c r="J758" s="40"/>
      <c r="K758" s="36"/>
      <c r="L758" s="36"/>
      <c r="M758" s="40"/>
      <c r="N758" s="23"/>
      <c r="O758" s="36"/>
      <c r="P758" s="40"/>
      <c r="Q758" s="36"/>
      <c r="R758" s="36"/>
      <c r="S758" s="40"/>
      <c r="T758" s="23"/>
      <c r="U758" s="23"/>
      <c r="V758" s="40"/>
      <c r="W758" s="23"/>
      <c r="X758" s="23"/>
      <c r="Y758" s="40"/>
      <c r="Z758" s="23"/>
      <c r="AA758" s="23"/>
      <c r="AB758" s="40"/>
      <c r="AC758" s="42"/>
      <c r="AD758" s="42"/>
      <c r="AE758" s="40"/>
      <c r="AF758" s="42"/>
      <c r="AG758" s="42"/>
      <c r="AH758" s="23"/>
      <c r="AI758" s="42"/>
      <c r="AJ758" s="42"/>
      <c r="AK758" s="40"/>
      <c r="AL758" s="84"/>
      <c r="AM758" s="84"/>
      <c r="AN758" s="40"/>
      <c r="AO758" s="23"/>
    </row>
    <row r="759" spans="1:41" ht="15.75" x14ac:dyDescent="0.25">
      <c r="A759" s="44"/>
      <c r="B759" s="23"/>
      <c r="C759" s="23"/>
      <c r="D759" s="36"/>
      <c r="E759" s="23"/>
      <c r="F759" s="23"/>
      <c r="G759" s="40"/>
      <c r="H759" s="23"/>
      <c r="I759" s="23"/>
      <c r="J759" s="40"/>
      <c r="K759" s="36"/>
      <c r="L759" s="36"/>
      <c r="M759" s="40"/>
      <c r="N759" s="23"/>
      <c r="O759" s="36"/>
      <c r="P759" s="40"/>
      <c r="Q759" s="36"/>
      <c r="R759" s="36"/>
      <c r="S759" s="40"/>
      <c r="T759" s="23"/>
      <c r="U759" s="23"/>
      <c r="V759" s="40"/>
      <c r="W759" s="23"/>
      <c r="X759" s="23"/>
      <c r="Y759" s="40"/>
      <c r="Z759" s="23"/>
      <c r="AA759" s="23"/>
      <c r="AB759" s="40"/>
      <c r="AC759" s="42"/>
      <c r="AD759" s="42"/>
      <c r="AE759" s="40"/>
      <c r="AF759" s="42"/>
      <c r="AG759" s="42"/>
      <c r="AH759" s="23"/>
      <c r="AI759" s="42"/>
      <c r="AJ759" s="42"/>
      <c r="AK759" s="40"/>
      <c r="AL759" s="84"/>
      <c r="AM759" s="84"/>
      <c r="AN759" s="40"/>
      <c r="AO759" s="23"/>
    </row>
    <row r="760" spans="1:41" ht="15.75" x14ac:dyDescent="0.25">
      <c r="A760" s="44"/>
      <c r="B760" s="23"/>
      <c r="C760" s="23"/>
      <c r="D760" s="36"/>
      <c r="E760" s="23"/>
      <c r="F760" s="23"/>
      <c r="G760" s="40"/>
      <c r="H760" s="23"/>
      <c r="I760" s="23"/>
      <c r="J760" s="40"/>
      <c r="K760" s="36"/>
      <c r="L760" s="36"/>
      <c r="M760" s="40"/>
      <c r="N760" s="23"/>
      <c r="O760" s="36"/>
      <c r="P760" s="40"/>
      <c r="Q760" s="36"/>
      <c r="R760" s="36"/>
      <c r="S760" s="40"/>
      <c r="T760" s="23"/>
      <c r="U760" s="23"/>
      <c r="V760" s="40"/>
      <c r="W760" s="23"/>
      <c r="X760" s="23"/>
      <c r="Y760" s="40"/>
      <c r="Z760" s="23"/>
      <c r="AA760" s="23"/>
      <c r="AB760" s="40"/>
      <c r="AC760" s="42"/>
      <c r="AD760" s="42"/>
      <c r="AE760" s="40"/>
      <c r="AF760" s="42"/>
      <c r="AG760" s="42"/>
      <c r="AH760" s="23"/>
      <c r="AI760" s="42"/>
      <c r="AJ760" s="42"/>
      <c r="AK760" s="40"/>
      <c r="AL760" s="84"/>
      <c r="AM760" s="84"/>
      <c r="AN760" s="40"/>
      <c r="AO760" s="23"/>
    </row>
    <row r="761" spans="1:41" ht="15.75" x14ac:dyDescent="0.25">
      <c r="A761" s="44"/>
      <c r="B761" s="23"/>
      <c r="C761" s="23"/>
      <c r="D761" s="36"/>
      <c r="E761" s="23"/>
      <c r="F761" s="23"/>
      <c r="G761" s="40"/>
      <c r="H761" s="23"/>
      <c r="I761" s="23"/>
      <c r="J761" s="40"/>
      <c r="K761" s="36"/>
      <c r="L761" s="36"/>
      <c r="M761" s="40"/>
      <c r="N761" s="23"/>
      <c r="O761" s="36"/>
      <c r="P761" s="40"/>
      <c r="Q761" s="36"/>
      <c r="R761" s="36"/>
      <c r="S761" s="40"/>
      <c r="T761" s="23"/>
      <c r="U761" s="23"/>
      <c r="V761" s="40"/>
      <c r="W761" s="23"/>
      <c r="X761" s="23"/>
      <c r="Y761" s="40"/>
      <c r="Z761" s="23"/>
      <c r="AA761" s="23"/>
      <c r="AB761" s="40"/>
      <c r="AC761" s="42"/>
      <c r="AD761" s="42"/>
      <c r="AE761" s="40"/>
      <c r="AF761" s="42"/>
      <c r="AG761" s="42"/>
      <c r="AH761" s="23"/>
      <c r="AI761" s="42"/>
      <c r="AJ761" s="42"/>
      <c r="AK761" s="40"/>
      <c r="AL761" s="84"/>
      <c r="AM761" s="84"/>
      <c r="AN761" s="40"/>
      <c r="AO761" s="23"/>
    </row>
    <row r="762" spans="1:41" ht="15.75" x14ac:dyDescent="0.25">
      <c r="A762" s="44"/>
      <c r="B762" s="23"/>
      <c r="C762" s="23"/>
      <c r="D762" s="36"/>
      <c r="E762" s="23"/>
      <c r="F762" s="23"/>
      <c r="G762" s="40"/>
      <c r="H762" s="23"/>
      <c r="I762" s="23"/>
      <c r="J762" s="40"/>
      <c r="K762" s="36"/>
      <c r="L762" s="36"/>
      <c r="M762" s="40"/>
      <c r="N762" s="23"/>
      <c r="O762" s="36"/>
      <c r="P762" s="40"/>
      <c r="Q762" s="36"/>
      <c r="R762" s="36"/>
      <c r="S762" s="40"/>
      <c r="T762" s="23"/>
      <c r="U762" s="23"/>
      <c r="V762" s="40"/>
      <c r="W762" s="23"/>
      <c r="X762" s="23"/>
      <c r="Y762" s="40"/>
      <c r="Z762" s="23"/>
      <c r="AA762" s="23"/>
      <c r="AB762" s="40"/>
      <c r="AC762" s="42"/>
      <c r="AD762" s="42"/>
      <c r="AE762" s="40"/>
      <c r="AF762" s="42"/>
      <c r="AG762" s="42"/>
      <c r="AH762" s="23"/>
      <c r="AI762" s="42"/>
      <c r="AJ762" s="42"/>
      <c r="AK762" s="40"/>
      <c r="AL762" s="84"/>
      <c r="AM762" s="84"/>
      <c r="AN762" s="40"/>
      <c r="AO762" s="23"/>
    </row>
    <row r="763" spans="1:41" ht="15.75" x14ac:dyDescent="0.25">
      <c r="A763" s="44"/>
      <c r="B763" s="23"/>
      <c r="C763" s="23"/>
      <c r="D763" s="36"/>
      <c r="E763" s="23"/>
      <c r="F763" s="23"/>
      <c r="G763" s="40"/>
      <c r="H763" s="23"/>
      <c r="I763" s="23"/>
      <c r="J763" s="40"/>
      <c r="K763" s="36"/>
      <c r="L763" s="36"/>
      <c r="M763" s="40"/>
      <c r="N763" s="23"/>
      <c r="O763" s="36"/>
      <c r="P763" s="40"/>
      <c r="Q763" s="36"/>
      <c r="R763" s="36"/>
      <c r="S763" s="40"/>
      <c r="T763" s="23"/>
      <c r="U763" s="23"/>
      <c r="V763" s="40"/>
      <c r="W763" s="23"/>
      <c r="X763" s="23"/>
      <c r="Y763" s="40"/>
      <c r="Z763" s="23"/>
      <c r="AA763" s="23"/>
      <c r="AB763" s="40"/>
      <c r="AC763" s="42"/>
      <c r="AD763" s="42"/>
      <c r="AE763" s="40"/>
      <c r="AF763" s="42"/>
      <c r="AG763" s="42"/>
      <c r="AH763" s="23"/>
      <c r="AI763" s="42"/>
      <c r="AJ763" s="42"/>
      <c r="AK763" s="40"/>
      <c r="AL763" s="84"/>
      <c r="AM763" s="84"/>
      <c r="AN763" s="40"/>
      <c r="AO763" s="23"/>
    </row>
    <row r="764" spans="1:41" ht="15.75" x14ac:dyDescent="0.25">
      <c r="A764" s="44"/>
      <c r="B764" s="23"/>
      <c r="C764" s="23"/>
      <c r="D764" s="36"/>
      <c r="E764" s="23"/>
      <c r="F764" s="23"/>
      <c r="G764" s="40"/>
      <c r="H764" s="23"/>
      <c r="I764" s="23"/>
      <c r="J764" s="40"/>
      <c r="K764" s="36"/>
      <c r="L764" s="36"/>
      <c r="M764" s="40"/>
      <c r="N764" s="23"/>
      <c r="O764" s="36"/>
      <c r="P764" s="40"/>
      <c r="Q764" s="36"/>
      <c r="R764" s="36"/>
      <c r="S764" s="40"/>
      <c r="T764" s="23"/>
      <c r="U764" s="23"/>
      <c r="V764" s="40"/>
      <c r="W764" s="23"/>
      <c r="X764" s="23"/>
      <c r="Y764" s="40"/>
      <c r="Z764" s="23"/>
      <c r="AA764" s="23"/>
      <c r="AB764" s="40"/>
      <c r="AC764" s="42"/>
      <c r="AD764" s="42"/>
      <c r="AE764" s="40"/>
      <c r="AF764" s="42"/>
      <c r="AG764" s="42"/>
      <c r="AH764" s="23"/>
      <c r="AI764" s="42"/>
      <c r="AJ764" s="42"/>
      <c r="AK764" s="40"/>
      <c r="AL764" s="84"/>
      <c r="AM764" s="84"/>
      <c r="AN764" s="40"/>
      <c r="AO764" s="23"/>
    </row>
    <row r="765" spans="1:41" ht="15.75" x14ac:dyDescent="0.25">
      <c r="A765" s="44"/>
      <c r="B765" s="23"/>
      <c r="C765" s="23"/>
      <c r="D765" s="36"/>
      <c r="E765" s="23"/>
      <c r="F765" s="23"/>
      <c r="G765" s="40"/>
      <c r="H765" s="23"/>
      <c r="I765" s="23"/>
      <c r="J765" s="40"/>
      <c r="K765" s="36"/>
      <c r="L765" s="36"/>
      <c r="M765" s="40"/>
      <c r="N765" s="23"/>
      <c r="O765" s="36"/>
      <c r="P765" s="40"/>
      <c r="Q765" s="36"/>
      <c r="R765" s="36"/>
      <c r="S765" s="40"/>
      <c r="T765" s="23"/>
      <c r="U765" s="23"/>
      <c r="V765" s="40"/>
      <c r="W765" s="23"/>
      <c r="X765" s="23"/>
      <c r="Y765" s="40"/>
      <c r="Z765" s="23"/>
      <c r="AA765" s="23"/>
      <c r="AB765" s="40"/>
      <c r="AC765" s="42"/>
      <c r="AD765" s="42"/>
      <c r="AE765" s="40"/>
      <c r="AF765" s="42"/>
      <c r="AG765" s="42"/>
      <c r="AH765" s="23"/>
      <c r="AI765" s="42"/>
      <c r="AJ765" s="42"/>
      <c r="AK765" s="40"/>
      <c r="AL765" s="84"/>
      <c r="AM765" s="84"/>
      <c r="AN765" s="40"/>
      <c r="AO765" s="23"/>
    </row>
    <row r="766" spans="1:41" ht="15.75" x14ac:dyDescent="0.25">
      <c r="A766" s="44"/>
      <c r="B766" s="23"/>
      <c r="C766" s="23"/>
      <c r="D766" s="36"/>
      <c r="E766" s="23"/>
      <c r="F766" s="23"/>
      <c r="G766" s="40"/>
      <c r="H766" s="23"/>
      <c r="I766" s="23"/>
      <c r="J766" s="40"/>
      <c r="K766" s="36"/>
      <c r="L766" s="36"/>
      <c r="M766" s="40"/>
      <c r="N766" s="23"/>
      <c r="O766" s="36"/>
      <c r="P766" s="40"/>
      <c r="Q766" s="36"/>
      <c r="R766" s="36"/>
      <c r="S766" s="40"/>
      <c r="T766" s="23"/>
      <c r="U766" s="23"/>
      <c r="V766" s="40"/>
      <c r="W766" s="23"/>
      <c r="X766" s="23"/>
      <c r="Y766" s="40"/>
      <c r="Z766" s="23"/>
      <c r="AA766" s="23"/>
      <c r="AB766" s="40"/>
      <c r="AC766" s="42"/>
      <c r="AD766" s="42"/>
      <c r="AE766" s="40"/>
      <c r="AF766" s="42"/>
      <c r="AG766" s="42"/>
      <c r="AH766" s="23"/>
      <c r="AI766" s="42"/>
      <c r="AJ766" s="42"/>
      <c r="AK766" s="40"/>
      <c r="AL766" s="84"/>
      <c r="AM766" s="84"/>
      <c r="AN766" s="40"/>
      <c r="AO766" s="23"/>
    </row>
    <row r="767" spans="1:41" ht="15.75" x14ac:dyDescent="0.25">
      <c r="A767" s="44"/>
      <c r="B767" s="23"/>
      <c r="C767" s="23"/>
      <c r="D767" s="36"/>
      <c r="E767" s="23"/>
      <c r="F767" s="23"/>
      <c r="G767" s="40"/>
      <c r="H767" s="23"/>
      <c r="I767" s="23"/>
      <c r="J767" s="40"/>
      <c r="K767" s="36"/>
      <c r="L767" s="36"/>
      <c r="M767" s="40"/>
      <c r="N767" s="23"/>
      <c r="O767" s="36"/>
      <c r="P767" s="40"/>
      <c r="Q767" s="36"/>
      <c r="R767" s="36"/>
      <c r="S767" s="40"/>
      <c r="T767" s="23"/>
      <c r="U767" s="23"/>
      <c r="V767" s="40"/>
      <c r="W767" s="23"/>
      <c r="X767" s="23"/>
      <c r="Y767" s="40"/>
      <c r="Z767" s="23"/>
      <c r="AA767" s="23"/>
      <c r="AB767" s="40"/>
      <c r="AC767" s="42"/>
      <c r="AD767" s="42"/>
      <c r="AE767" s="40"/>
      <c r="AF767" s="42"/>
      <c r="AG767" s="42"/>
      <c r="AH767" s="23"/>
      <c r="AI767" s="42"/>
      <c r="AJ767" s="42"/>
      <c r="AK767" s="40"/>
      <c r="AL767" s="84"/>
      <c r="AM767" s="84"/>
      <c r="AN767" s="40"/>
      <c r="AO767" s="23"/>
    </row>
    <row r="768" spans="1:41" ht="15.75" x14ac:dyDescent="0.25">
      <c r="A768" s="44"/>
      <c r="B768" s="23"/>
      <c r="C768" s="23"/>
      <c r="D768" s="36"/>
      <c r="E768" s="23"/>
      <c r="F768" s="23"/>
      <c r="G768" s="40"/>
      <c r="H768" s="23"/>
      <c r="I768" s="23"/>
      <c r="J768" s="40"/>
      <c r="K768" s="36"/>
      <c r="L768" s="36"/>
      <c r="M768" s="40"/>
      <c r="N768" s="23"/>
      <c r="O768" s="36"/>
      <c r="P768" s="40"/>
      <c r="Q768" s="36"/>
      <c r="R768" s="36"/>
      <c r="S768" s="40"/>
      <c r="T768" s="23"/>
      <c r="U768" s="23"/>
      <c r="V768" s="40"/>
      <c r="W768" s="23"/>
      <c r="X768" s="23"/>
      <c r="Y768" s="40"/>
      <c r="Z768" s="23"/>
      <c r="AA768" s="23"/>
      <c r="AB768" s="40"/>
      <c r="AC768" s="42"/>
      <c r="AD768" s="42"/>
      <c r="AE768" s="40"/>
      <c r="AF768" s="42"/>
      <c r="AG768" s="42"/>
      <c r="AH768" s="23"/>
      <c r="AI768" s="42"/>
      <c r="AJ768" s="42"/>
      <c r="AK768" s="40"/>
      <c r="AL768" s="84"/>
      <c r="AM768" s="84"/>
      <c r="AN768" s="40"/>
      <c r="AO768" s="23"/>
    </row>
    <row r="769" spans="1:41" ht="15.75" x14ac:dyDescent="0.25">
      <c r="A769" s="44"/>
      <c r="B769" s="23"/>
      <c r="C769" s="23"/>
      <c r="D769" s="36"/>
      <c r="E769" s="23"/>
      <c r="F769" s="23"/>
      <c r="G769" s="40"/>
      <c r="H769" s="23"/>
      <c r="I769" s="23"/>
      <c r="J769" s="40"/>
      <c r="K769" s="36"/>
      <c r="L769" s="36"/>
      <c r="M769" s="40"/>
      <c r="N769" s="23"/>
      <c r="O769" s="36"/>
      <c r="P769" s="40"/>
      <c r="Q769" s="36"/>
      <c r="R769" s="36"/>
      <c r="S769" s="40"/>
      <c r="T769" s="23"/>
      <c r="U769" s="23"/>
      <c r="V769" s="40"/>
      <c r="W769" s="23"/>
      <c r="X769" s="23"/>
      <c r="Y769" s="40"/>
      <c r="Z769" s="23"/>
      <c r="AA769" s="23"/>
      <c r="AB769" s="40"/>
      <c r="AC769" s="42"/>
      <c r="AD769" s="42"/>
      <c r="AE769" s="40"/>
      <c r="AF769" s="42"/>
      <c r="AG769" s="42"/>
      <c r="AH769" s="23"/>
      <c r="AI769" s="42"/>
      <c r="AJ769" s="42"/>
      <c r="AK769" s="40"/>
      <c r="AL769" s="84"/>
      <c r="AM769" s="84"/>
      <c r="AN769" s="40"/>
      <c r="AO769" s="23"/>
    </row>
    <row r="770" spans="1:41" ht="15.75" x14ac:dyDescent="0.25">
      <c r="A770" s="44"/>
      <c r="B770" s="23"/>
      <c r="C770" s="23"/>
      <c r="D770" s="36"/>
      <c r="E770" s="23"/>
      <c r="F770" s="23"/>
      <c r="G770" s="40"/>
      <c r="H770" s="23"/>
      <c r="I770" s="23"/>
      <c r="J770" s="40"/>
      <c r="K770" s="36"/>
      <c r="L770" s="36"/>
      <c r="M770" s="40"/>
      <c r="N770" s="23"/>
      <c r="O770" s="36"/>
      <c r="P770" s="40"/>
      <c r="Q770" s="36"/>
      <c r="R770" s="36"/>
      <c r="S770" s="40"/>
      <c r="T770" s="23"/>
      <c r="U770" s="23"/>
      <c r="V770" s="40"/>
      <c r="W770" s="23"/>
      <c r="X770" s="23"/>
      <c r="Y770" s="40"/>
      <c r="Z770" s="23"/>
      <c r="AA770" s="23"/>
      <c r="AB770" s="40"/>
      <c r="AC770" s="42"/>
      <c r="AD770" s="42"/>
      <c r="AE770" s="40"/>
      <c r="AF770" s="42"/>
      <c r="AG770" s="42"/>
      <c r="AH770" s="23"/>
      <c r="AI770" s="42"/>
      <c r="AJ770" s="42"/>
      <c r="AK770" s="40"/>
      <c r="AL770" s="84"/>
      <c r="AM770" s="84"/>
      <c r="AN770" s="40"/>
      <c r="AO770" s="23"/>
    </row>
    <row r="771" spans="1:41" ht="15.75" x14ac:dyDescent="0.25">
      <c r="A771" s="44"/>
      <c r="B771" s="23"/>
      <c r="C771" s="23"/>
      <c r="D771" s="36"/>
      <c r="E771" s="23"/>
      <c r="F771" s="23"/>
      <c r="G771" s="40"/>
      <c r="H771" s="23"/>
      <c r="I771" s="23"/>
      <c r="J771" s="40"/>
      <c r="K771" s="36"/>
      <c r="L771" s="36"/>
      <c r="M771" s="40"/>
      <c r="N771" s="23"/>
      <c r="O771" s="36"/>
      <c r="P771" s="40"/>
      <c r="Q771" s="36"/>
      <c r="R771" s="36"/>
      <c r="S771" s="40"/>
      <c r="T771" s="23"/>
      <c r="U771" s="23"/>
      <c r="V771" s="40"/>
      <c r="W771" s="23"/>
      <c r="X771" s="23"/>
      <c r="Y771" s="40"/>
      <c r="Z771" s="23"/>
      <c r="AA771" s="23"/>
      <c r="AB771" s="40"/>
      <c r="AC771" s="42"/>
      <c r="AD771" s="42"/>
      <c r="AE771" s="40"/>
      <c r="AF771" s="42"/>
      <c r="AG771" s="42"/>
      <c r="AH771" s="23"/>
      <c r="AI771" s="42"/>
      <c r="AJ771" s="42"/>
      <c r="AK771" s="40"/>
      <c r="AL771" s="84"/>
      <c r="AM771" s="84"/>
      <c r="AN771" s="40"/>
      <c r="AO771" s="23"/>
    </row>
    <row r="772" spans="1:41" ht="15.75" x14ac:dyDescent="0.25">
      <c r="A772" s="44"/>
      <c r="B772" s="23"/>
      <c r="C772" s="23"/>
      <c r="D772" s="36"/>
      <c r="E772" s="23"/>
      <c r="F772" s="23"/>
      <c r="G772" s="40"/>
      <c r="H772" s="23"/>
      <c r="I772" s="23"/>
      <c r="J772" s="40"/>
      <c r="K772" s="36"/>
      <c r="L772" s="36"/>
      <c r="M772" s="40"/>
      <c r="N772" s="23"/>
      <c r="O772" s="36"/>
      <c r="P772" s="40"/>
      <c r="Q772" s="36"/>
      <c r="R772" s="36"/>
      <c r="S772" s="40"/>
      <c r="T772" s="23"/>
      <c r="U772" s="23"/>
      <c r="V772" s="40"/>
      <c r="W772" s="23"/>
      <c r="X772" s="23"/>
      <c r="Y772" s="40"/>
      <c r="Z772" s="23"/>
      <c r="AA772" s="23"/>
      <c r="AB772" s="40"/>
      <c r="AC772" s="42"/>
      <c r="AD772" s="42"/>
      <c r="AE772" s="40"/>
      <c r="AF772" s="42"/>
      <c r="AG772" s="42"/>
      <c r="AH772" s="23"/>
      <c r="AI772" s="42"/>
      <c r="AJ772" s="42"/>
      <c r="AK772" s="40"/>
      <c r="AL772" s="84"/>
      <c r="AM772" s="84"/>
      <c r="AN772" s="40"/>
      <c r="AO772" s="23"/>
    </row>
    <row r="773" spans="1:41" ht="15.75" x14ac:dyDescent="0.25">
      <c r="A773" s="44"/>
      <c r="B773" s="23"/>
      <c r="C773" s="23"/>
      <c r="D773" s="36"/>
      <c r="E773" s="23"/>
      <c r="F773" s="23"/>
      <c r="G773" s="40"/>
      <c r="H773" s="23"/>
      <c r="I773" s="23"/>
      <c r="J773" s="40"/>
      <c r="K773" s="36"/>
      <c r="L773" s="36"/>
      <c r="M773" s="40"/>
      <c r="N773" s="23"/>
      <c r="O773" s="36"/>
      <c r="P773" s="40"/>
      <c r="Q773" s="36"/>
      <c r="R773" s="36"/>
      <c r="S773" s="40"/>
      <c r="T773" s="23"/>
      <c r="U773" s="23"/>
      <c r="V773" s="40"/>
      <c r="W773" s="23"/>
      <c r="X773" s="23"/>
      <c r="Y773" s="40"/>
      <c r="Z773" s="23"/>
      <c r="AA773" s="23"/>
      <c r="AB773" s="40"/>
      <c r="AC773" s="42"/>
      <c r="AD773" s="42"/>
      <c r="AE773" s="40"/>
      <c r="AF773" s="42"/>
      <c r="AG773" s="42"/>
      <c r="AH773" s="23"/>
      <c r="AI773" s="42"/>
      <c r="AJ773" s="42"/>
      <c r="AK773" s="40"/>
      <c r="AL773" s="84"/>
      <c r="AM773" s="84"/>
      <c r="AN773" s="40"/>
      <c r="AO773" s="23"/>
    </row>
    <row r="774" spans="1:41" ht="15.75" x14ac:dyDescent="0.25">
      <c r="A774" s="44"/>
      <c r="B774" s="23"/>
      <c r="C774" s="23"/>
      <c r="D774" s="36"/>
      <c r="E774" s="23"/>
      <c r="F774" s="23"/>
      <c r="G774" s="40"/>
      <c r="H774" s="23"/>
      <c r="I774" s="23"/>
      <c r="J774" s="40"/>
      <c r="K774" s="36"/>
      <c r="L774" s="36"/>
      <c r="M774" s="40"/>
      <c r="N774" s="23"/>
      <c r="O774" s="36"/>
      <c r="P774" s="40"/>
      <c r="Q774" s="36"/>
      <c r="R774" s="36"/>
      <c r="S774" s="40"/>
      <c r="T774" s="23"/>
      <c r="U774" s="23"/>
      <c r="V774" s="40"/>
      <c r="W774" s="23"/>
      <c r="X774" s="23"/>
      <c r="Y774" s="40"/>
      <c r="Z774" s="23"/>
      <c r="AA774" s="23"/>
      <c r="AB774" s="40"/>
      <c r="AC774" s="42"/>
      <c r="AD774" s="42"/>
      <c r="AE774" s="40"/>
      <c r="AF774" s="42"/>
      <c r="AG774" s="42"/>
      <c r="AH774" s="23"/>
      <c r="AI774" s="42"/>
      <c r="AJ774" s="42"/>
      <c r="AK774" s="40"/>
      <c r="AL774" s="84"/>
      <c r="AM774" s="84"/>
      <c r="AN774" s="40"/>
      <c r="AO774" s="23"/>
    </row>
    <row r="775" spans="1:41" ht="15.75" x14ac:dyDescent="0.25">
      <c r="A775" s="44"/>
      <c r="B775" s="23"/>
      <c r="C775" s="23"/>
      <c r="D775" s="36"/>
      <c r="E775" s="23"/>
      <c r="F775" s="23"/>
      <c r="G775" s="40"/>
      <c r="H775" s="23"/>
      <c r="I775" s="23"/>
      <c r="J775" s="40"/>
      <c r="K775" s="36"/>
      <c r="L775" s="36"/>
      <c r="M775" s="40"/>
      <c r="N775" s="23"/>
      <c r="O775" s="36"/>
      <c r="P775" s="40"/>
      <c r="Q775" s="36"/>
      <c r="R775" s="36"/>
      <c r="S775" s="40"/>
      <c r="T775" s="23"/>
      <c r="U775" s="23"/>
      <c r="V775" s="40"/>
      <c r="W775" s="23"/>
      <c r="X775" s="23"/>
      <c r="Y775" s="40"/>
      <c r="Z775" s="23"/>
      <c r="AA775" s="23"/>
      <c r="AB775" s="40"/>
      <c r="AC775" s="42"/>
      <c r="AD775" s="42"/>
      <c r="AE775" s="40"/>
      <c r="AF775" s="42"/>
      <c r="AG775" s="42"/>
      <c r="AH775" s="23"/>
      <c r="AI775" s="42"/>
      <c r="AJ775" s="42"/>
      <c r="AK775" s="40"/>
      <c r="AL775" s="84"/>
      <c r="AM775" s="84"/>
      <c r="AN775" s="40"/>
      <c r="AO775" s="23"/>
    </row>
    <row r="776" spans="1:41" ht="15.75" x14ac:dyDescent="0.25">
      <c r="A776" s="44"/>
      <c r="B776" s="23"/>
      <c r="C776" s="23"/>
      <c r="D776" s="36"/>
      <c r="E776" s="23"/>
      <c r="F776" s="23"/>
      <c r="G776" s="40"/>
      <c r="H776" s="23"/>
      <c r="I776" s="23"/>
      <c r="J776" s="40"/>
      <c r="K776" s="36"/>
      <c r="L776" s="36"/>
      <c r="M776" s="40"/>
      <c r="N776" s="23"/>
      <c r="O776" s="36"/>
      <c r="P776" s="40"/>
      <c r="Q776" s="36"/>
      <c r="R776" s="36"/>
      <c r="S776" s="40"/>
      <c r="T776" s="23"/>
      <c r="U776" s="23"/>
      <c r="V776" s="40"/>
      <c r="W776" s="23"/>
      <c r="X776" s="23"/>
      <c r="Y776" s="40"/>
      <c r="Z776" s="23"/>
      <c r="AA776" s="23"/>
      <c r="AB776" s="40"/>
      <c r="AC776" s="42"/>
      <c r="AD776" s="42"/>
      <c r="AE776" s="40"/>
      <c r="AF776" s="42"/>
      <c r="AG776" s="42"/>
      <c r="AH776" s="23"/>
      <c r="AI776" s="42"/>
      <c r="AJ776" s="42"/>
      <c r="AK776" s="40"/>
      <c r="AL776" s="84"/>
      <c r="AM776" s="84"/>
      <c r="AN776" s="40"/>
      <c r="AO776" s="23"/>
    </row>
    <row r="777" spans="1:41" ht="15.75" x14ac:dyDescent="0.25">
      <c r="A777" s="44"/>
      <c r="B777" s="23"/>
      <c r="C777" s="23"/>
      <c r="D777" s="36"/>
      <c r="E777" s="23"/>
      <c r="F777" s="23"/>
      <c r="G777" s="40"/>
      <c r="H777" s="23"/>
      <c r="I777" s="23"/>
      <c r="J777" s="40"/>
      <c r="K777" s="36"/>
      <c r="L777" s="36"/>
      <c r="M777" s="40"/>
      <c r="N777" s="23"/>
      <c r="O777" s="36"/>
      <c r="P777" s="40"/>
      <c r="Q777" s="36"/>
      <c r="R777" s="36"/>
      <c r="S777" s="40"/>
      <c r="T777" s="23"/>
      <c r="U777" s="23"/>
      <c r="V777" s="40"/>
      <c r="W777" s="23"/>
      <c r="X777" s="23"/>
      <c r="Y777" s="40"/>
      <c r="Z777" s="23"/>
      <c r="AA777" s="23"/>
      <c r="AB777" s="40"/>
      <c r="AC777" s="42"/>
      <c r="AD777" s="42"/>
      <c r="AE777" s="40"/>
      <c r="AF777" s="42"/>
      <c r="AG777" s="42"/>
      <c r="AH777" s="23"/>
      <c r="AI777" s="42"/>
      <c r="AJ777" s="42"/>
      <c r="AK777" s="40"/>
      <c r="AL777" s="84"/>
      <c r="AM777" s="84"/>
      <c r="AN777" s="40"/>
      <c r="AO777" s="23"/>
    </row>
    <row r="778" spans="1:41" ht="15.75" x14ac:dyDescent="0.25">
      <c r="A778" s="44"/>
      <c r="B778" s="23"/>
      <c r="C778" s="23"/>
      <c r="D778" s="36"/>
      <c r="E778" s="23"/>
      <c r="F778" s="23"/>
      <c r="G778" s="40"/>
      <c r="H778" s="23"/>
      <c r="I778" s="23"/>
      <c r="J778" s="40"/>
      <c r="K778" s="36"/>
      <c r="L778" s="36"/>
      <c r="M778" s="40"/>
      <c r="N778" s="23"/>
      <c r="O778" s="36"/>
      <c r="P778" s="40"/>
      <c r="Q778" s="36"/>
      <c r="R778" s="36"/>
      <c r="S778" s="40"/>
      <c r="T778" s="23"/>
      <c r="U778" s="23"/>
      <c r="V778" s="40"/>
      <c r="W778" s="23"/>
      <c r="X778" s="23"/>
      <c r="Y778" s="40"/>
      <c r="Z778" s="23"/>
      <c r="AA778" s="23"/>
      <c r="AB778" s="40"/>
      <c r="AC778" s="42"/>
      <c r="AD778" s="42"/>
      <c r="AE778" s="40"/>
      <c r="AF778" s="42"/>
      <c r="AG778" s="42"/>
      <c r="AH778" s="23"/>
      <c r="AI778" s="42"/>
      <c r="AJ778" s="42"/>
      <c r="AK778" s="40"/>
      <c r="AL778" s="84"/>
      <c r="AM778" s="84"/>
      <c r="AN778" s="40"/>
      <c r="AO778" s="23"/>
    </row>
    <row r="779" spans="1:41" ht="15.75" x14ac:dyDescent="0.25">
      <c r="A779" s="44"/>
      <c r="B779" s="23"/>
      <c r="C779" s="23"/>
      <c r="D779" s="36"/>
      <c r="E779" s="23"/>
      <c r="F779" s="23"/>
      <c r="G779" s="40"/>
      <c r="H779" s="23"/>
      <c r="I779" s="23"/>
      <c r="J779" s="40"/>
      <c r="K779" s="36"/>
      <c r="L779" s="36"/>
      <c r="M779" s="40"/>
      <c r="N779" s="23"/>
      <c r="O779" s="36"/>
      <c r="P779" s="40"/>
      <c r="Q779" s="36"/>
      <c r="R779" s="36"/>
      <c r="S779" s="40"/>
      <c r="T779" s="23"/>
      <c r="U779" s="23"/>
      <c r="V779" s="40"/>
      <c r="W779" s="23"/>
      <c r="X779" s="23"/>
      <c r="Y779" s="40"/>
      <c r="Z779" s="23"/>
      <c r="AA779" s="23"/>
      <c r="AB779" s="40"/>
      <c r="AC779" s="42"/>
      <c r="AD779" s="42"/>
      <c r="AE779" s="40"/>
      <c r="AF779" s="42"/>
      <c r="AG779" s="42"/>
      <c r="AH779" s="23"/>
      <c r="AI779" s="42"/>
      <c r="AJ779" s="42"/>
      <c r="AK779" s="40"/>
      <c r="AL779" s="84"/>
      <c r="AM779" s="84"/>
      <c r="AN779" s="40"/>
      <c r="AO779" s="23"/>
    </row>
    <row r="780" spans="1:41" ht="15.75" x14ac:dyDescent="0.25">
      <c r="A780" s="44"/>
      <c r="B780" s="23"/>
      <c r="C780" s="23"/>
      <c r="D780" s="36"/>
      <c r="E780" s="23"/>
      <c r="F780" s="23"/>
      <c r="G780" s="40"/>
      <c r="H780" s="23"/>
      <c r="I780" s="23"/>
      <c r="J780" s="40"/>
      <c r="K780" s="36"/>
      <c r="L780" s="36"/>
      <c r="M780" s="40"/>
      <c r="N780" s="23"/>
      <c r="O780" s="36"/>
      <c r="P780" s="40"/>
      <c r="Q780" s="36"/>
      <c r="R780" s="36"/>
      <c r="S780" s="40"/>
      <c r="T780" s="23"/>
      <c r="U780" s="23"/>
      <c r="V780" s="40"/>
      <c r="W780" s="23"/>
      <c r="X780" s="23"/>
      <c r="Y780" s="40"/>
      <c r="Z780" s="23"/>
      <c r="AA780" s="23"/>
      <c r="AB780" s="40"/>
      <c r="AC780" s="42"/>
      <c r="AD780" s="42"/>
      <c r="AE780" s="40"/>
      <c r="AF780" s="42"/>
      <c r="AG780" s="42"/>
      <c r="AH780" s="23"/>
      <c r="AI780" s="42"/>
      <c r="AJ780" s="42"/>
      <c r="AK780" s="40"/>
      <c r="AL780" s="84"/>
      <c r="AM780" s="84"/>
      <c r="AN780" s="40"/>
      <c r="AO780" s="23"/>
    </row>
    <row r="781" spans="1:41" ht="15.75" x14ac:dyDescent="0.25">
      <c r="A781" s="44"/>
      <c r="B781" s="23"/>
      <c r="C781" s="23"/>
      <c r="D781" s="36"/>
      <c r="E781" s="23"/>
      <c r="F781" s="23"/>
      <c r="G781" s="40"/>
      <c r="H781" s="23"/>
      <c r="I781" s="23"/>
      <c r="J781" s="40"/>
      <c r="K781" s="36"/>
      <c r="L781" s="36"/>
      <c r="M781" s="40"/>
      <c r="N781" s="23"/>
      <c r="O781" s="36"/>
      <c r="P781" s="40"/>
      <c r="Q781" s="36"/>
      <c r="R781" s="36"/>
      <c r="S781" s="40"/>
      <c r="T781" s="23"/>
      <c r="U781" s="23"/>
      <c r="V781" s="40"/>
      <c r="W781" s="23"/>
      <c r="X781" s="23"/>
      <c r="Y781" s="40"/>
      <c r="Z781" s="23"/>
      <c r="AA781" s="23"/>
      <c r="AB781" s="40"/>
      <c r="AC781" s="42"/>
      <c r="AD781" s="42"/>
      <c r="AE781" s="40"/>
      <c r="AF781" s="42"/>
      <c r="AG781" s="42"/>
      <c r="AH781" s="23"/>
      <c r="AI781" s="42"/>
      <c r="AJ781" s="42"/>
      <c r="AK781" s="40"/>
      <c r="AL781" s="84"/>
      <c r="AM781" s="84"/>
      <c r="AN781" s="40"/>
      <c r="AO781" s="23"/>
    </row>
    <row r="782" spans="1:41" ht="15.75" x14ac:dyDescent="0.25">
      <c r="A782" s="44"/>
      <c r="B782" s="23"/>
      <c r="C782" s="23"/>
      <c r="D782" s="36"/>
      <c r="E782" s="23"/>
      <c r="F782" s="23"/>
      <c r="G782" s="40"/>
      <c r="H782" s="23"/>
      <c r="I782" s="23"/>
      <c r="J782" s="40"/>
      <c r="K782" s="36"/>
      <c r="L782" s="36"/>
      <c r="M782" s="40"/>
      <c r="N782" s="23"/>
      <c r="O782" s="36"/>
      <c r="P782" s="40"/>
      <c r="Q782" s="36"/>
      <c r="R782" s="36"/>
      <c r="S782" s="40"/>
      <c r="T782" s="23"/>
      <c r="U782" s="23"/>
      <c r="V782" s="40"/>
      <c r="W782" s="23"/>
      <c r="X782" s="23"/>
      <c r="Y782" s="40"/>
      <c r="Z782" s="23"/>
      <c r="AA782" s="23"/>
      <c r="AB782" s="40"/>
      <c r="AC782" s="42"/>
      <c r="AD782" s="42"/>
      <c r="AE782" s="40"/>
      <c r="AF782" s="42"/>
      <c r="AG782" s="42"/>
      <c r="AH782" s="23"/>
      <c r="AI782" s="42"/>
      <c r="AJ782" s="42"/>
      <c r="AK782" s="40"/>
      <c r="AL782" s="84"/>
      <c r="AM782" s="84"/>
      <c r="AN782" s="40"/>
      <c r="AO782" s="23"/>
    </row>
    <row r="783" spans="1:41" ht="15.75" x14ac:dyDescent="0.25">
      <c r="A783" s="44"/>
      <c r="B783" s="23"/>
      <c r="C783" s="23"/>
      <c r="D783" s="36"/>
      <c r="E783" s="23"/>
      <c r="F783" s="23"/>
      <c r="G783" s="40"/>
      <c r="H783" s="23"/>
      <c r="I783" s="23"/>
      <c r="J783" s="40"/>
      <c r="K783" s="36"/>
      <c r="L783" s="36"/>
      <c r="M783" s="40"/>
      <c r="N783" s="23"/>
      <c r="O783" s="36"/>
      <c r="P783" s="40"/>
      <c r="Q783" s="36"/>
      <c r="R783" s="36"/>
      <c r="S783" s="40"/>
      <c r="T783" s="23"/>
      <c r="U783" s="23"/>
      <c r="V783" s="40"/>
      <c r="W783" s="23"/>
      <c r="X783" s="23"/>
      <c r="Y783" s="40"/>
      <c r="Z783" s="23"/>
      <c r="AA783" s="23"/>
      <c r="AB783" s="40"/>
      <c r="AC783" s="42"/>
      <c r="AD783" s="42"/>
      <c r="AE783" s="40"/>
      <c r="AF783" s="42"/>
      <c r="AG783" s="42"/>
      <c r="AH783" s="23"/>
      <c r="AI783" s="42"/>
      <c r="AJ783" s="42"/>
      <c r="AK783" s="40"/>
      <c r="AL783" s="84"/>
      <c r="AM783" s="84"/>
      <c r="AN783" s="40"/>
      <c r="AO783" s="23"/>
    </row>
    <row r="784" spans="1:41" ht="15.75" x14ac:dyDescent="0.25">
      <c r="A784" s="44"/>
      <c r="B784" s="23"/>
      <c r="C784" s="23"/>
      <c r="D784" s="36"/>
      <c r="E784" s="23"/>
      <c r="F784" s="23"/>
      <c r="G784" s="40"/>
      <c r="H784" s="23"/>
      <c r="I784" s="23"/>
      <c r="J784" s="40"/>
      <c r="K784" s="36"/>
      <c r="L784" s="36"/>
      <c r="M784" s="40"/>
      <c r="N784" s="23"/>
      <c r="O784" s="36"/>
      <c r="P784" s="40"/>
      <c r="Q784" s="36"/>
      <c r="R784" s="36"/>
      <c r="S784" s="40"/>
      <c r="T784" s="23"/>
      <c r="U784" s="23"/>
      <c r="V784" s="40"/>
      <c r="W784" s="23"/>
      <c r="X784" s="23"/>
      <c r="Y784" s="40"/>
      <c r="Z784" s="23"/>
      <c r="AA784" s="23"/>
      <c r="AB784" s="40"/>
      <c r="AC784" s="42"/>
      <c r="AD784" s="42"/>
      <c r="AE784" s="40"/>
      <c r="AF784" s="42"/>
      <c r="AG784" s="42"/>
      <c r="AH784" s="23"/>
      <c r="AI784" s="42"/>
      <c r="AJ784" s="42"/>
      <c r="AK784" s="40"/>
      <c r="AL784" s="84"/>
      <c r="AM784" s="84"/>
      <c r="AN784" s="40"/>
      <c r="AO784" s="23"/>
    </row>
    <row r="785" spans="1:41" ht="15.75" x14ac:dyDescent="0.25">
      <c r="A785" s="44"/>
      <c r="B785" s="23"/>
      <c r="C785" s="23"/>
      <c r="D785" s="36"/>
      <c r="E785" s="23"/>
      <c r="F785" s="23"/>
      <c r="G785" s="40"/>
      <c r="H785" s="23"/>
      <c r="I785" s="23"/>
      <c r="J785" s="40"/>
      <c r="K785" s="36"/>
      <c r="L785" s="36"/>
      <c r="M785" s="40"/>
      <c r="N785" s="23"/>
      <c r="O785" s="36"/>
      <c r="P785" s="40"/>
      <c r="Q785" s="36"/>
      <c r="R785" s="36"/>
      <c r="S785" s="40"/>
      <c r="T785" s="23"/>
      <c r="U785" s="23"/>
      <c r="V785" s="40"/>
      <c r="W785" s="23"/>
      <c r="X785" s="23"/>
      <c r="Y785" s="40"/>
      <c r="Z785" s="23"/>
      <c r="AA785" s="23"/>
      <c r="AB785" s="40"/>
      <c r="AC785" s="42"/>
      <c r="AD785" s="42"/>
      <c r="AE785" s="40"/>
      <c r="AF785" s="42"/>
      <c r="AG785" s="42"/>
      <c r="AH785" s="23"/>
      <c r="AI785" s="42"/>
      <c r="AJ785" s="42"/>
      <c r="AK785" s="40"/>
      <c r="AL785" s="84"/>
      <c r="AM785" s="84"/>
      <c r="AN785" s="40"/>
      <c r="AO785" s="23"/>
    </row>
    <row r="786" spans="1:41" ht="15.75" x14ac:dyDescent="0.25">
      <c r="A786" s="44"/>
      <c r="B786" s="23"/>
      <c r="C786" s="23"/>
      <c r="D786" s="36"/>
      <c r="E786" s="23"/>
      <c r="F786" s="23"/>
      <c r="G786" s="40"/>
      <c r="H786" s="23"/>
      <c r="I786" s="23"/>
      <c r="J786" s="40"/>
      <c r="K786" s="36"/>
      <c r="L786" s="36"/>
      <c r="M786" s="40"/>
      <c r="N786" s="23"/>
      <c r="O786" s="36"/>
      <c r="P786" s="40"/>
      <c r="Q786" s="36"/>
      <c r="R786" s="36"/>
      <c r="S786" s="40"/>
      <c r="T786" s="23"/>
      <c r="U786" s="23"/>
      <c r="V786" s="40"/>
      <c r="W786" s="23"/>
      <c r="X786" s="23"/>
      <c r="Y786" s="40"/>
      <c r="Z786" s="23"/>
      <c r="AA786" s="23"/>
      <c r="AB786" s="40"/>
      <c r="AC786" s="42"/>
      <c r="AD786" s="42"/>
      <c r="AE786" s="40"/>
      <c r="AF786" s="42"/>
      <c r="AG786" s="42"/>
      <c r="AH786" s="23"/>
      <c r="AI786" s="42"/>
      <c r="AJ786" s="42"/>
      <c r="AK786" s="40"/>
      <c r="AL786" s="84"/>
      <c r="AM786" s="84"/>
      <c r="AN786" s="40"/>
      <c r="AO786" s="23"/>
    </row>
    <row r="787" spans="1:41" ht="15.75" x14ac:dyDescent="0.25">
      <c r="A787" s="44"/>
      <c r="B787" s="23"/>
      <c r="C787" s="23"/>
      <c r="D787" s="36"/>
      <c r="E787" s="23"/>
      <c r="F787" s="23"/>
      <c r="G787" s="40"/>
      <c r="H787" s="23"/>
      <c r="I787" s="23"/>
      <c r="J787" s="40"/>
      <c r="K787" s="36"/>
      <c r="L787" s="36"/>
      <c r="M787" s="40"/>
      <c r="N787" s="23"/>
      <c r="O787" s="36"/>
      <c r="P787" s="40"/>
      <c r="Q787" s="36"/>
      <c r="R787" s="36"/>
      <c r="S787" s="40"/>
      <c r="T787" s="23"/>
      <c r="U787" s="23"/>
      <c r="V787" s="40"/>
      <c r="W787" s="23"/>
      <c r="X787" s="23"/>
      <c r="Y787" s="40"/>
      <c r="Z787" s="23"/>
      <c r="AA787" s="23"/>
      <c r="AB787" s="40"/>
      <c r="AC787" s="42"/>
      <c r="AD787" s="42"/>
      <c r="AE787" s="40"/>
      <c r="AF787" s="42"/>
      <c r="AG787" s="42"/>
      <c r="AH787" s="23"/>
      <c r="AI787" s="42"/>
      <c r="AJ787" s="42"/>
      <c r="AK787" s="40"/>
      <c r="AL787" s="84"/>
      <c r="AM787" s="84"/>
      <c r="AN787" s="40"/>
      <c r="AO787" s="23"/>
    </row>
    <row r="788" spans="1:41" ht="15.75" x14ac:dyDescent="0.25">
      <c r="A788" s="44"/>
      <c r="B788" s="23"/>
      <c r="C788" s="23"/>
      <c r="D788" s="36"/>
      <c r="E788" s="23"/>
      <c r="F788" s="23"/>
      <c r="G788" s="40"/>
      <c r="H788" s="23"/>
      <c r="I788" s="23"/>
      <c r="J788" s="40"/>
      <c r="K788" s="36"/>
      <c r="L788" s="36"/>
      <c r="M788" s="40"/>
      <c r="N788" s="23"/>
      <c r="O788" s="36"/>
      <c r="P788" s="40"/>
      <c r="Q788" s="36"/>
      <c r="R788" s="36"/>
      <c r="S788" s="40"/>
      <c r="T788" s="23"/>
      <c r="U788" s="23"/>
      <c r="V788" s="40"/>
      <c r="W788" s="23"/>
      <c r="X788" s="23"/>
      <c r="Y788" s="40"/>
      <c r="Z788" s="23"/>
      <c r="AA788" s="23"/>
      <c r="AB788" s="40"/>
      <c r="AC788" s="42"/>
      <c r="AD788" s="42"/>
      <c r="AE788" s="40"/>
      <c r="AF788" s="42"/>
      <c r="AG788" s="42"/>
      <c r="AH788" s="23"/>
      <c r="AI788" s="42"/>
      <c r="AJ788" s="42"/>
      <c r="AK788" s="40"/>
      <c r="AL788" s="84"/>
      <c r="AM788" s="84"/>
      <c r="AN788" s="40"/>
      <c r="AO788" s="23"/>
    </row>
    <row r="789" spans="1:41" ht="15.75" x14ac:dyDescent="0.25">
      <c r="A789" s="44"/>
      <c r="B789" s="23"/>
      <c r="C789" s="23"/>
      <c r="D789" s="36"/>
      <c r="E789" s="23"/>
      <c r="F789" s="23"/>
      <c r="G789" s="40"/>
      <c r="H789" s="23"/>
      <c r="I789" s="23"/>
      <c r="J789" s="40"/>
      <c r="K789" s="36"/>
      <c r="L789" s="36"/>
      <c r="M789" s="40"/>
      <c r="N789" s="23"/>
      <c r="O789" s="36"/>
      <c r="P789" s="40"/>
      <c r="Q789" s="36"/>
      <c r="R789" s="36"/>
      <c r="S789" s="40"/>
      <c r="T789" s="23"/>
      <c r="U789" s="23"/>
      <c r="V789" s="40"/>
      <c r="W789" s="23"/>
      <c r="X789" s="23"/>
      <c r="Y789" s="40"/>
      <c r="Z789" s="23"/>
      <c r="AA789" s="23"/>
      <c r="AB789" s="40"/>
      <c r="AC789" s="42"/>
      <c r="AD789" s="42"/>
      <c r="AE789" s="40"/>
      <c r="AF789" s="42"/>
      <c r="AG789" s="42"/>
      <c r="AH789" s="23"/>
      <c r="AI789" s="42"/>
      <c r="AJ789" s="42"/>
      <c r="AK789" s="40"/>
      <c r="AL789" s="84"/>
      <c r="AM789" s="84"/>
      <c r="AN789" s="40"/>
      <c r="AO789" s="23"/>
    </row>
    <row r="790" spans="1:41" ht="15.75" x14ac:dyDescent="0.25">
      <c r="A790" s="44"/>
      <c r="B790" s="23"/>
      <c r="C790" s="23"/>
      <c r="D790" s="36"/>
      <c r="E790" s="23"/>
      <c r="F790" s="23"/>
      <c r="G790" s="40"/>
      <c r="H790" s="23"/>
      <c r="I790" s="23"/>
      <c r="J790" s="40"/>
      <c r="K790" s="36"/>
      <c r="L790" s="36"/>
      <c r="M790" s="40"/>
      <c r="N790" s="23"/>
      <c r="O790" s="36"/>
      <c r="P790" s="40"/>
      <c r="Q790" s="36"/>
      <c r="R790" s="36"/>
      <c r="S790" s="40"/>
      <c r="T790" s="23"/>
      <c r="U790" s="23"/>
      <c r="V790" s="40"/>
      <c r="W790" s="23"/>
      <c r="X790" s="23"/>
      <c r="Y790" s="40"/>
      <c r="Z790" s="23"/>
      <c r="AA790" s="23"/>
      <c r="AB790" s="40"/>
      <c r="AC790" s="42"/>
      <c r="AD790" s="42"/>
      <c r="AE790" s="40"/>
      <c r="AF790" s="42"/>
      <c r="AG790" s="42"/>
      <c r="AH790" s="23"/>
      <c r="AI790" s="42"/>
      <c r="AJ790" s="42"/>
      <c r="AK790" s="40"/>
      <c r="AL790" s="84"/>
      <c r="AM790" s="84"/>
      <c r="AN790" s="40"/>
      <c r="AO790" s="23"/>
    </row>
    <row r="791" spans="1:41" ht="15.75" x14ac:dyDescent="0.25">
      <c r="A791" s="44"/>
      <c r="B791" s="23"/>
      <c r="C791" s="23"/>
      <c r="D791" s="36"/>
      <c r="E791" s="23"/>
      <c r="F791" s="23"/>
      <c r="G791" s="40"/>
      <c r="H791" s="23"/>
      <c r="I791" s="23"/>
      <c r="J791" s="40"/>
      <c r="K791" s="36"/>
      <c r="L791" s="36"/>
      <c r="M791" s="40"/>
      <c r="N791" s="23"/>
      <c r="O791" s="36"/>
      <c r="P791" s="40"/>
      <c r="Q791" s="36"/>
      <c r="R791" s="36"/>
      <c r="S791" s="40"/>
      <c r="T791" s="23"/>
      <c r="U791" s="23"/>
      <c r="V791" s="40"/>
      <c r="W791" s="23"/>
      <c r="X791" s="23"/>
      <c r="Y791" s="40"/>
      <c r="Z791" s="23"/>
      <c r="AA791" s="23"/>
      <c r="AB791" s="40"/>
      <c r="AC791" s="42"/>
      <c r="AD791" s="42"/>
      <c r="AE791" s="40"/>
      <c r="AF791" s="42"/>
      <c r="AG791" s="42"/>
      <c r="AH791" s="23"/>
      <c r="AI791" s="42"/>
      <c r="AJ791" s="42"/>
      <c r="AK791" s="40"/>
      <c r="AL791" s="84"/>
      <c r="AM791" s="84"/>
      <c r="AN791" s="40"/>
      <c r="AO791" s="23"/>
    </row>
    <row r="792" spans="1:41" ht="15.75" x14ac:dyDescent="0.25">
      <c r="A792" s="44"/>
      <c r="B792" s="23"/>
      <c r="C792" s="23"/>
      <c r="D792" s="36"/>
      <c r="E792" s="23"/>
      <c r="F792" s="23"/>
      <c r="G792" s="40"/>
      <c r="H792" s="23"/>
      <c r="I792" s="23"/>
      <c r="J792" s="40"/>
      <c r="K792" s="36"/>
      <c r="L792" s="36"/>
      <c r="M792" s="40"/>
      <c r="N792" s="23"/>
      <c r="O792" s="36"/>
      <c r="P792" s="40"/>
      <c r="Q792" s="36"/>
      <c r="R792" s="36"/>
      <c r="S792" s="40"/>
      <c r="T792" s="23"/>
      <c r="U792" s="23"/>
      <c r="V792" s="40"/>
      <c r="W792" s="23"/>
      <c r="X792" s="23"/>
      <c r="Y792" s="40"/>
      <c r="Z792" s="23"/>
      <c r="AA792" s="23"/>
      <c r="AB792" s="40"/>
      <c r="AC792" s="42"/>
      <c r="AD792" s="42"/>
      <c r="AE792" s="40"/>
      <c r="AF792" s="42"/>
      <c r="AG792" s="42"/>
      <c r="AH792" s="23"/>
      <c r="AI792" s="42"/>
      <c r="AJ792" s="42"/>
      <c r="AK792" s="40"/>
      <c r="AL792" s="84"/>
      <c r="AM792" s="84"/>
      <c r="AN792" s="40"/>
      <c r="AO792" s="23"/>
    </row>
    <row r="793" spans="1:41" ht="15.75" x14ac:dyDescent="0.25">
      <c r="A793" s="44"/>
      <c r="B793" s="23"/>
      <c r="C793" s="23"/>
      <c r="D793" s="36"/>
      <c r="E793" s="23"/>
      <c r="F793" s="23"/>
      <c r="G793" s="40"/>
      <c r="H793" s="23"/>
      <c r="I793" s="23"/>
      <c r="J793" s="40"/>
      <c r="K793" s="36"/>
      <c r="L793" s="36"/>
      <c r="M793" s="40"/>
      <c r="N793" s="23"/>
      <c r="O793" s="36"/>
      <c r="P793" s="40"/>
      <c r="Q793" s="36"/>
      <c r="R793" s="36"/>
      <c r="S793" s="40"/>
      <c r="T793" s="23"/>
      <c r="U793" s="23"/>
      <c r="V793" s="40"/>
      <c r="W793" s="23"/>
      <c r="X793" s="23"/>
      <c r="Y793" s="40"/>
      <c r="Z793" s="23"/>
      <c r="AA793" s="23"/>
      <c r="AB793" s="40"/>
      <c r="AC793" s="42"/>
      <c r="AD793" s="42"/>
      <c r="AE793" s="40"/>
      <c r="AF793" s="42"/>
      <c r="AG793" s="42"/>
      <c r="AH793" s="23"/>
      <c r="AI793" s="42"/>
      <c r="AJ793" s="42"/>
      <c r="AK793" s="40"/>
      <c r="AL793" s="84"/>
      <c r="AM793" s="84"/>
      <c r="AN793" s="40"/>
      <c r="AO793" s="23"/>
    </row>
    <row r="794" spans="1:41" ht="15.75" x14ac:dyDescent="0.25">
      <c r="A794" s="44"/>
      <c r="B794" s="23"/>
      <c r="C794" s="23"/>
      <c r="D794" s="36"/>
      <c r="E794" s="23"/>
      <c r="F794" s="23"/>
      <c r="G794" s="40"/>
      <c r="H794" s="23"/>
      <c r="I794" s="23"/>
      <c r="J794" s="40"/>
      <c r="K794" s="36"/>
      <c r="L794" s="36"/>
      <c r="M794" s="40"/>
      <c r="N794" s="23"/>
      <c r="O794" s="36"/>
      <c r="P794" s="40"/>
      <c r="Q794" s="36"/>
      <c r="R794" s="36"/>
      <c r="S794" s="40"/>
      <c r="T794" s="23"/>
      <c r="U794" s="23"/>
      <c r="V794" s="40"/>
      <c r="W794" s="23"/>
      <c r="X794" s="23"/>
      <c r="Y794" s="40"/>
      <c r="Z794" s="23"/>
      <c r="AA794" s="23"/>
      <c r="AB794" s="40"/>
      <c r="AC794" s="42"/>
      <c r="AD794" s="42"/>
      <c r="AE794" s="40"/>
      <c r="AF794" s="42"/>
      <c r="AG794" s="42"/>
      <c r="AH794" s="23"/>
      <c r="AI794" s="42"/>
      <c r="AJ794" s="42"/>
      <c r="AK794" s="40"/>
      <c r="AL794" s="84"/>
      <c r="AM794" s="84"/>
      <c r="AN794" s="40"/>
      <c r="AO794" s="23"/>
    </row>
    <row r="795" spans="1:41" ht="15.75" x14ac:dyDescent="0.25">
      <c r="A795" s="44"/>
      <c r="B795" s="23"/>
      <c r="C795" s="23"/>
      <c r="D795" s="36"/>
      <c r="E795" s="23"/>
      <c r="F795" s="23"/>
      <c r="G795" s="40"/>
      <c r="H795" s="23"/>
      <c r="I795" s="23"/>
      <c r="J795" s="40"/>
      <c r="K795" s="36"/>
      <c r="L795" s="36"/>
      <c r="M795" s="40"/>
      <c r="N795" s="23"/>
      <c r="O795" s="36"/>
      <c r="P795" s="40"/>
      <c r="Q795" s="36"/>
      <c r="R795" s="36"/>
      <c r="S795" s="40"/>
      <c r="T795" s="23"/>
      <c r="U795" s="23"/>
      <c r="V795" s="40"/>
      <c r="W795" s="23"/>
      <c r="X795" s="23"/>
      <c r="Y795" s="40"/>
      <c r="Z795" s="23"/>
      <c r="AA795" s="23"/>
      <c r="AB795" s="40"/>
      <c r="AC795" s="42"/>
      <c r="AD795" s="42"/>
      <c r="AE795" s="40"/>
      <c r="AF795" s="42"/>
      <c r="AG795" s="42"/>
      <c r="AH795" s="23"/>
      <c r="AI795" s="42"/>
      <c r="AJ795" s="42"/>
      <c r="AK795" s="40"/>
      <c r="AL795" s="84"/>
      <c r="AM795" s="84"/>
      <c r="AN795" s="40"/>
      <c r="AO795" s="23"/>
    </row>
    <row r="796" spans="1:41" ht="15.75" x14ac:dyDescent="0.25">
      <c r="A796" s="44"/>
      <c r="B796" s="23"/>
      <c r="C796" s="23"/>
      <c r="D796" s="36"/>
      <c r="E796" s="23"/>
      <c r="F796" s="23"/>
      <c r="G796" s="40"/>
      <c r="H796" s="23"/>
      <c r="I796" s="23"/>
      <c r="J796" s="40"/>
      <c r="K796" s="36"/>
      <c r="L796" s="36"/>
      <c r="M796" s="40"/>
      <c r="N796" s="23"/>
      <c r="O796" s="36"/>
      <c r="P796" s="40"/>
      <c r="Q796" s="36"/>
      <c r="R796" s="36"/>
      <c r="S796" s="40"/>
      <c r="T796" s="23"/>
      <c r="U796" s="23"/>
      <c r="V796" s="40"/>
      <c r="W796" s="23"/>
      <c r="X796" s="23"/>
      <c r="Y796" s="40"/>
      <c r="Z796" s="23"/>
      <c r="AA796" s="23"/>
      <c r="AB796" s="40"/>
      <c r="AC796" s="42"/>
      <c r="AD796" s="42"/>
      <c r="AE796" s="40"/>
      <c r="AF796" s="42"/>
      <c r="AG796" s="42"/>
      <c r="AH796" s="23"/>
      <c r="AI796" s="42"/>
      <c r="AJ796" s="42"/>
      <c r="AK796" s="40"/>
      <c r="AL796" s="84"/>
      <c r="AM796" s="84"/>
      <c r="AN796" s="40"/>
      <c r="AO796" s="23"/>
    </row>
    <row r="797" spans="1:41" ht="15.75" x14ac:dyDescent="0.25">
      <c r="A797" s="44"/>
      <c r="B797" s="23"/>
      <c r="C797" s="23"/>
      <c r="D797" s="36"/>
      <c r="E797" s="23"/>
      <c r="F797" s="23"/>
      <c r="G797" s="40"/>
      <c r="H797" s="23"/>
      <c r="I797" s="23"/>
      <c r="J797" s="40"/>
      <c r="K797" s="36"/>
      <c r="L797" s="36"/>
      <c r="M797" s="40"/>
      <c r="N797" s="23"/>
      <c r="O797" s="36"/>
      <c r="P797" s="40"/>
      <c r="Q797" s="36"/>
      <c r="R797" s="36"/>
      <c r="S797" s="40"/>
      <c r="T797" s="23"/>
      <c r="U797" s="23"/>
      <c r="V797" s="40"/>
      <c r="W797" s="23"/>
      <c r="X797" s="23"/>
      <c r="Y797" s="40"/>
      <c r="Z797" s="23"/>
      <c r="AA797" s="23"/>
      <c r="AB797" s="40"/>
      <c r="AC797" s="42"/>
      <c r="AD797" s="42"/>
      <c r="AE797" s="40"/>
      <c r="AF797" s="42"/>
      <c r="AG797" s="42"/>
      <c r="AH797" s="23"/>
      <c r="AI797" s="42"/>
      <c r="AJ797" s="42"/>
      <c r="AK797" s="40"/>
      <c r="AL797" s="84"/>
      <c r="AM797" s="84"/>
      <c r="AN797" s="40"/>
      <c r="AO797" s="23"/>
    </row>
    <row r="798" spans="1:41" ht="15.75" x14ac:dyDescent="0.25">
      <c r="A798" s="44"/>
      <c r="B798" s="23"/>
      <c r="C798" s="23"/>
      <c r="D798" s="36"/>
      <c r="E798" s="23"/>
      <c r="F798" s="23"/>
      <c r="G798" s="40"/>
      <c r="H798" s="23"/>
      <c r="I798" s="23"/>
      <c r="J798" s="40"/>
      <c r="K798" s="36"/>
      <c r="L798" s="36"/>
      <c r="M798" s="40"/>
      <c r="N798" s="23"/>
      <c r="O798" s="36"/>
      <c r="P798" s="40"/>
      <c r="Q798" s="36"/>
      <c r="R798" s="36"/>
      <c r="S798" s="40"/>
      <c r="T798" s="23"/>
      <c r="U798" s="23"/>
      <c r="V798" s="40"/>
      <c r="W798" s="23"/>
      <c r="X798" s="23"/>
      <c r="Y798" s="40"/>
      <c r="Z798" s="23"/>
      <c r="AA798" s="23"/>
      <c r="AB798" s="40"/>
      <c r="AC798" s="42"/>
      <c r="AD798" s="42"/>
      <c r="AE798" s="40"/>
      <c r="AF798" s="42"/>
      <c r="AG798" s="42"/>
      <c r="AH798" s="23"/>
      <c r="AI798" s="42"/>
      <c r="AJ798" s="42"/>
      <c r="AK798" s="40"/>
      <c r="AL798" s="84"/>
      <c r="AM798" s="84"/>
      <c r="AN798" s="40"/>
      <c r="AO798" s="23"/>
    </row>
    <row r="799" spans="1:41" ht="15.75" x14ac:dyDescent="0.25">
      <c r="A799" s="44"/>
      <c r="B799" s="23"/>
      <c r="C799" s="23"/>
      <c r="D799" s="36"/>
      <c r="E799" s="23"/>
      <c r="F799" s="23"/>
      <c r="G799" s="40"/>
      <c r="H799" s="23"/>
      <c r="I799" s="23"/>
      <c r="J799" s="40"/>
      <c r="K799" s="36"/>
      <c r="L799" s="36"/>
      <c r="M799" s="40"/>
      <c r="N799" s="23"/>
      <c r="O799" s="36"/>
      <c r="P799" s="40"/>
      <c r="Q799" s="36"/>
      <c r="R799" s="36"/>
      <c r="S799" s="40"/>
      <c r="T799" s="23"/>
      <c r="U799" s="23"/>
      <c r="V799" s="40"/>
      <c r="W799" s="23"/>
      <c r="X799" s="23"/>
      <c r="Y799" s="40"/>
      <c r="Z799" s="23"/>
      <c r="AA799" s="23"/>
      <c r="AB799" s="40"/>
      <c r="AC799" s="42"/>
      <c r="AD799" s="42"/>
      <c r="AE799" s="40"/>
      <c r="AF799" s="42"/>
      <c r="AG799" s="42"/>
      <c r="AH799" s="23"/>
      <c r="AI799" s="42"/>
      <c r="AJ799" s="42"/>
      <c r="AK799" s="40"/>
      <c r="AL799" s="84"/>
      <c r="AM799" s="84"/>
      <c r="AN799" s="40"/>
      <c r="AO799" s="23"/>
    </row>
    <row r="800" spans="1:41" ht="15.75" x14ac:dyDescent="0.25">
      <c r="A800" s="44"/>
      <c r="B800" s="23"/>
      <c r="C800" s="23"/>
      <c r="D800" s="36"/>
      <c r="E800" s="23"/>
      <c r="F800" s="23"/>
      <c r="G800" s="40"/>
      <c r="H800" s="23"/>
      <c r="I800" s="23"/>
      <c r="J800" s="40"/>
      <c r="K800" s="36"/>
      <c r="L800" s="36"/>
      <c r="M800" s="40"/>
      <c r="N800" s="23"/>
      <c r="O800" s="36"/>
      <c r="P800" s="40"/>
      <c r="Q800" s="36"/>
      <c r="R800" s="36"/>
      <c r="S800" s="40"/>
      <c r="T800" s="23"/>
      <c r="U800" s="23"/>
      <c r="V800" s="40"/>
      <c r="W800" s="23"/>
      <c r="X800" s="23"/>
      <c r="Y800" s="40"/>
      <c r="Z800" s="23"/>
      <c r="AA800" s="23"/>
      <c r="AB800" s="40"/>
      <c r="AC800" s="42"/>
      <c r="AD800" s="42"/>
      <c r="AE800" s="40"/>
      <c r="AF800" s="42"/>
      <c r="AG800" s="42"/>
      <c r="AH800" s="23"/>
      <c r="AI800" s="42"/>
      <c r="AJ800" s="42"/>
      <c r="AK800" s="40"/>
      <c r="AL800" s="84"/>
      <c r="AM800" s="84"/>
      <c r="AN800" s="40"/>
      <c r="AO800" s="23"/>
    </row>
    <row r="801" spans="1:41" ht="15.75" x14ac:dyDescent="0.25">
      <c r="A801" s="44"/>
      <c r="B801" s="23"/>
      <c r="C801" s="23"/>
      <c r="D801" s="36"/>
      <c r="E801" s="23"/>
      <c r="F801" s="23"/>
      <c r="G801" s="40"/>
      <c r="H801" s="23"/>
      <c r="I801" s="23"/>
      <c r="J801" s="40"/>
      <c r="K801" s="36"/>
      <c r="L801" s="36"/>
      <c r="M801" s="40"/>
      <c r="N801" s="23"/>
      <c r="O801" s="36"/>
      <c r="P801" s="40"/>
      <c r="Q801" s="36"/>
      <c r="R801" s="36"/>
      <c r="S801" s="40"/>
      <c r="T801" s="23"/>
      <c r="U801" s="23"/>
      <c r="V801" s="40"/>
      <c r="W801" s="23"/>
      <c r="X801" s="23"/>
      <c r="Y801" s="40"/>
      <c r="Z801" s="23"/>
      <c r="AA801" s="23"/>
      <c r="AB801" s="40"/>
      <c r="AC801" s="42"/>
      <c r="AD801" s="42"/>
      <c r="AE801" s="40"/>
      <c r="AF801" s="42"/>
      <c r="AG801" s="42"/>
      <c r="AH801" s="23"/>
      <c r="AI801" s="42"/>
      <c r="AJ801" s="42"/>
      <c r="AK801" s="40"/>
      <c r="AL801" s="84"/>
      <c r="AM801" s="84"/>
      <c r="AN801" s="40"/>
      <c r="AO801" s="23"/>
    </row>
    <row r="802" spans="1:41" ht="15.75" x14ac:dyDescent="0.25">
      <c r="A802" s="44"/>
      <c r="B802" s="23"/>
      <c r="C802" s="23"/>
      <c r="D802" s="36"/>
      <c r="E802" s="23"/>
      <c r="F802" s="23"/>
      <c r="G802" s="40"/>
      <c r="H802" s="23"/>
      <c r="I802" s="23"/>
      <c r="J802" s="40"/>
      <c r="K802" s="36"/>
      <c r="L802" s="36"/>
      <c r="M802" s="40"/>
      <c r="N802" s="23"/>
      <c r="O802" s="36"/>
      <c r="P802" s="40"/>
      <c r="Q802" s="36"/>
      <c r="R802" s="36"/>
      <c r="S802" s="40"/>
      <c r="T802" s="23"/>
      <c r="U802" s="23"/>
      <c r="V802" s="40"/>
      <c r="W802" s="23"/>
      <c r="X802" s="23"/>
      <c r="Y802" s="40"/>
      <c r="Z802" s="23"/>
      <c r="AA802" s="23"/>
      <c r="AB802" s="40"/>
      <c r="AC802" s="42"/>
      <c r="AD802" s="42"/>
      <c r="AE802" s="40"/>
      <c r="AF802" s="42"/>
      <c r="AG802" s="42"/>
      <c r="AH802" s="23"/>
      <c r="AI802" s="42"/>
      <c r="AJ802" s="42"/>
      <c r="AK802" s="40"/>
      <c r="AL802" s="84"/>
      <c r="AM802" s="84"/>
      <c r="AN802" s="40"/>
      <c r="AO802" s="23"/>
    </row>
    <row r="803" spans="1:41" ht="15.75" x14ac:dyDescent="0.25">
      <c r="A803" s="44"/>
      <c r="B803" s="23"/>
      <c r="C803" s="23"/>
      <c r="D803" s="36"/>
      <c r="E803" s="23"/>
      <c r="F803" s="23"/>
      <c r="G803" s="40"/>
      <c r="H803" s="23"/>
      <c r="I803" s="23"/>
      <c r="J803" s="40"/>
      <c r="K803" s="36"/>
      <c r="L803" s="36"/>
      <c r="M803" s="40"/>
      <c r="N803" s="23"/>
      <c r="O803" s="36"/>
      <c r="P803" s="40"/>
      <c r="Q803" s="36"/>
      <c r="R803" s="36"/>
      <c r="S803" s="40"/>
      <c r="T803" s="23"/>
      <c r="U803" s="23"/>
      <c r="V803" s="40"/>
      <c r="W803" s="23"/>
      <c r="X803" s="23"/>
      <c r="Y803" s="40"/>
      <c r="Z803" s="23"/>
      <c r="AA803" s="23"/>
      <c r="AB803" s="40"/>
      <c r="AC803" s="42"/>
      <c r="AD803" s="42"/>
      <c r="AE803" s="40"/>
      <c r="AF803" s="42"/>
      <c r="AG803" s="42"/>
      <c r="AH803" s="23"/>
      <c r="AI803" s="42"/>
      <c r="AJ803" s="42"/>
      <c r="AK803" s="40"/>
      <c r="AL803" s="84"/>
      <c r="AM803" s="84"/>
      <c r="AN803" s="40"/>
      <c r="AO803" s="23"/>
    </row>
    <row r="804" spans="1:41" ht="15.75" x14ac:dyDescent="0.25">
      <c r="A804" s="44"/>
      <c r="B804" s="23"/>
      <c r="C804" s="23"/>
      <c r="D804" s="36"/>
      <c r="E804" s="23"/>
      <c r="F804" s="23"/>
      <c r="G804" s="40"/>
      <c r="H804" s="23"/>
      <c r="I804" s="23"/>
      <c r="J804" s="40"/>
      <c r="K804" s="36"/>
      <c r="L804" s="36"/>
      <c r="M804" s="40"/>
      <c r="N804" s="23"/>
      <c r="O804" s="36"/>
      <c r="P804" s="40"/>
      <c r="Q804" s="36"/>
      <c r="R804" s="36"/>
      <c r="S804" s="40"/>
      <c r="T804" s="23"/>
      <c r="U804" s="23"/>
      <c r="V804" s="40"/>
      <c r="W804" s="23"/>
      <c r="X804" s="23"/>
      <c r="Y804" s="40"/>
      <c r="Z804" s="23"/>
      <c r="AA804" s="23"/>
      <c r="AB804" s="40"/>
      <c r="AC804" s="42"/>
      <c r="AD804" s="42"/>
      <c r="AE804" s="40"/>
      <c r="AF804" s="42"/>
      <c r="AG804" s="42"/>
      <c r="AH804" s="23"/>
      <c r="AI804" s="42"/>
      <c r="AJ804" s="42"/>
      <c r="AK804" s="40"/>
      <c r="AL804" s="84"/>
      <c r="AM804" s="84"/>
      <c r="AN804" s="40"/>
      <c r="AO804" s="23"/>
    </row>
    <row r="805" spans="1:41" ht="15.75" x14ac:dyDescent="0.25">
      <c r="A805" s="44"/>
      <c r="B805" s="23"/>
      <c r="C805" s="23"/>
      <c r="D805" s="36"/>
      <c r="E805" s="23"/>
      <c r="F805" s="23"/>
      <c r="G805" s="40"/>
      <c r="H805" s="23"/>
      <c r="I805" s="23"/>
      <c r="J805" s="40"/>
      <c r="K805" s="36"/>
      <c r="L805" s="36"/>
      <c r="M805" s="40"/>
      <c r="N805" s="23"/>
      <c r="O805" s="36"/>
      <c r="P805" s="40"/>
      <c r="Q805" s="36"/>
      <c r="R805" s="36"/>
      <c r="S805" s="40"/>
      <c r="T805" s="23"/>
      <c r="U805" s="23"/>
      <c r="V805" s="40"/>
      <c r="W805" s="23"/>
      <c r="X805" s="23"/>
      <c r="Y805" s="40"/>
      <c r="Z805" s="23"/>
      <c r="AA805" s="23"/>
      <c r="AB805" s="40"/>
      <c r="AC805" s="42"/>
      <c r="AD805" s="42"/>
      <c r="AE805" s="40"/>
      <c r="AF805" s="42"/>
      <c r="AG805" s="42"/>
      <c r="AH805" s="23"/>
      <c r="AI805" s="42"/>
      <c r="AJ805" s="42"/>
      <c r="AK805" s="40"/>
      <c r="AL805" s="84"/>
      <c r="AM805" s="84"/>
      <c r="AN805" s="40"/>
      <c r="AO805" s="23"/>
    </row>
    <row r="806" spans="1:41" ht="15.75" x14ac:dyDescent="0.25">
      <c r="A806" s="44"/>
      <c r="B806" s="23"/>
      <c r="C806" s="23"/>
      <c r="D806" s="36"/>
      <c r="E806" s="23"/>
      <c r="F806" s="23"/>
      <c r="G806" s="40"/>
      <c r="H806" s="23"/>
      <c r="I806" s="23"/>
      <c r="J806" s="40"/>
      <c r="K806" s="36"/>
      <c r="L806" s="36"/>
      <c r="M806" s="40"/>
      <c r="N806" s="23"/>
      <c r="O806" s="36"/>
      <c r="P806" s="40"/>
      <c r="Q806" s="36"/>
      <c r="R806" s="36"/>
      <c r="S806" s="40"/>
      <c r="T806" s="23"/>
      <c r="U806" s="23"/>
      <c r="V806" s="40"/>
      <c r="W806" s="23"/>
      <c r="X806" s="23"/>
      <c r="Y806" s="40"/>
      <c r="Z806" s="23"/>
      <c r="AA806" s="23"/>
      <c r="AB806" s="40"/>
      <c r="AC806" s="42"/>
      <c r="AD806" s="42"/>
      <c r="AE806" s="40"/>
      <c r="AF806" s="42"/>
      <c r="AG806" s="42"/>
      <c r="AH806" s="23"/>
      <c r="AI806" s="42"/>
      <c r="AJ806" s="42"/>
      <c r="AK806" s="40"/>
      <c r="AL806" s="84"/>
      <c r="AM806" s="84"/>
      <c r="AN806" s="40"/>
      <c r="AO806" s="23"/>
    </row>
    <row r="807" spans="1:41" ht="15.75" x14ac:dyDescent="0.25">
      <c r="A807" s="44"/>
      <c r="B807" s="23"/>
      <c r="C807" s="23"/>
      <c r="D807" s="36"/>
      <c r="E807" s="23"/>
      <c r="F807" s="23"/>
      <c r="G807" s="40"/>
      <c r="H807" s="23"/>
      <c r="I807" s="23"/>
      <c r="J807" s="40"/>
      <c r="K807" s="36"/>
      <c r="L807" s="36"/>
      <c r="M807" s="40"/>
      <c r="N807" s="23"/>
      <c r="O807" s="36"/>
      <c r="P807" s="40"/>
      <c r="Q807" s="36"/>
      <c r="R807" s="36"/>
      <c r="S807" s="40"/>
      <c r="T807" s="23"/>
      <c r="U807" s="23"/>
      <c r="V807" s="40"/>
      <c r="W807" s="23"/>
      <c r="X807" s="23"/>
      <c r="Y807" s="40"/>
      <c r="Z807" s="23"/>
      <c r="AA807" s="23"/>
      <c r="AB807" s="40"/>
      <c r="AC807" s="42"/>
      <c r="AD807" s="42"/>
      <c r="AE807" s="40"/>
      <c r="AF807" s="42"/>
      <c r="AG807" s="42"/>
      <c r="AH807" s="23"/>
      <c r="AI807" s="42"/>
      <c r="AJ807" s="42"/>
      <c r="AK807" s="40"/>
      <c r="AL807" s="84"/>
      <c r="AM807" s="84"/>
      <c r="AN807" s="40"/>
      <c r="AO807" s="23"/>
    </row>
    <row r="808" spans="1:41" ht="15.75" x14ac:dyDescent="0.25">
      <c r="A808" s="44"/>
      <c r="B808" s="23"/>
      <c r="C808" s="23"/>
      <c r="D808" s="36"/>
      <c r="E808" s="23"/>
      <c r="F808" s="23"/>
      <c r="G808" s="40"/>
      <c r="H808" s="23"/>
      <c r="I808" s="23"/>
      <c r="J808" s="40"/>
      <c r="K808" s="36"/>
      <c r="L808" s="36"/>
      <c r="M808" s="40"/>
      <c r="N808" s="23"/>
      <c r="O808" s="36"/>
      <c r="P808" s="40"/>
      <c r="Q808" s="36"/>
      <c r="R808" s="36"/>
      <c r="S808" s="40"/>
      <c r="T808" s="23"/>
      <c r="U808" s="23"/>
      <c r="V808" s="40"/>
      <c r="W808" s="23"/>
      <c r="X808" s="23"/>
      <c r="Y808" s="40"/>
      <c r="Z808" s="23"/>
      <c r="AA808" s="23"/>
      <c r="AB808" s="40"/>
      <c r="AC808" s="42"/>
      <c r="AD808" s="42"/>
      <c r="AE808" s="40"/>
      <c r="AF808" s="42"/>
      <c r="AG808" s="42"/>
      <c r="AH808" s="23"/>
      <c r="AI808" s="42"/>
      <c r="AJ808" s="42"/>
      <c r="AK808" s="40"/>
      <c r="AL808" s="84"/>
      <c r="AM808" s="84"/>
      <c r="AN808" s="40"/>
      <c r="AO808" s="23"/>
    </row>
    <row r="809" spans="1:41" ht="15.75" x14ac:dyDescent="0.25">
      <c r="A809" s="44"/>
      <c r="B809" s="23"/>
      <c r="C809" s="23"/>
      <c r="D809" s="36"/>
      <c r="E809" s="23"/>
      <c r="F809" s="23"/>
      <c r="G809" s="40"/>
      <c r="H809" s="23"/>
      <c r="I809" s="23"/>
      <c r="J809" s="40"/>
      <c r="K809" s="36"/>
      <c r="L809" s="36"/>
      <c r="M809" s="40"/>
      <c r="N809" s="23"/>
      <c r="O809" s="36"/>
      <c r="P809" s="40"/>
      <c r="Q809" s="36"/>
      <c r="R809" s="36"/>
      <c r="S809" s="40"/>
      <c r="T809" s="23"/>
      <c r="U809" s="23"/>
      <c r="V809" s="40"/>
      <c r="W809" s="23"/>
      <c r="X809" s="23"/>
      <c r="Y809" s="40"/>
      <c r="Z809" s="23"/>
      <c r="AA809" s="23"/>
      <c r="AB809" s="40"/>
      <c r="AC809" s="42"/>
      <c r="AD809" s="42"/>
      <c r="AE809" s="40"/>
      <c r="AF809" s="42"/>
      <c r="AG809" s="42"/>
      <c r="AH809" s="23"/>
      <c r="AI809" s="42"/>
      <c r="AJ809" s="42"/>
      <c r="AK809" s="40"/>
      <c r="AL809" s="84"/>
      <c r="AM809" s="84"/>
      <c r="AN809" s="40"/>
      <c r="AO809" s="23"/>
    </row>
    <row r="810" spans="1:41" ht="15.75" x14ac:dyDescent="0.25">
      <c r="A810" s="44"/>
      <c r="B810" s="23"/>
      <c r="C810" s="23"/>
      <c r="D810" s="36"/>
      <c r="E810" s="23"/>
      <c r="F810" s="23"/>
      <c r="G810" s="40"/>
      <c r="H810" s="23"/>
      <c r="I810" s="23"/>
      <c r="J810" s="40"/>
      <c r="K810" s="36"/>
      <c r="L810" s="36"/>
      <c r="M810" s="40"/>
      <c r="N810" s="23"/>
      <c r="O810" s="36"/>
      <c r="P810" s="40"/>
      <c r="Q810" s="36"/>
      <c r="R810" s="36"/>
      <c r="S810" s="40"/>
      <c r="T810" s="23"/>
      <c r="U810" s="23"/>
      <c r="V810" s="40"/>
      <c r="W810" s="23"/>
      <c r="X810" s="23"/>
      <c r="Y810" s="40"/>
      <c r="Z810" s="23"/>
      <c r="AA810" s="23"/>
      <c r="AB810" s="40"/>
      <c r="AC810" s="42"/>
      <c r="AD810" s="42"/>
      <c r="AE810" s="40"/>
      <c r="AF810" s="42"/>
      <c r="AG810" s="42"/>
      <c r="AH810" s="23"/>
      <c r="AI810" s="42"/>
      <c r="AJ810" s="42"/>
      <c r="AK810" s="40"/>
      <c r="AL810" s="84"/>
      <c r="AM810" s="84"/>
      <c r="AN810" s="40"/>
      <c r="AO810" s="23"/>
    </row>
    <row r="811" spans="1:41" ht="15.75" x14ac:dyDescent="0.25">
      <c r="A811" s="44"/>
      <c r="B811" s="23"/>
      <c r="C811" s="23"/>
      <c r="D811" s="36"/>
      <c r="E811" s="23"/>
      <c r="F811" s="23"/>
      <c r="G811" s="40"/>
      <c r="H811" s="23"/>
      <c r="I811" s="23"/>
      <c r="J811" s="40"/>
      <c r="K811" s="36"/>
      <c r="L811" s="36"/>
      <c r="M811" s="40"/>
      <c r="N811" s="23"/>
      <c r="O811" s="36"/>
      <c r="P811" s="40"/>
      <c r="Q811" s="36"/>
      <c r="R811" s="36"/>
      <c r="S811" s="40"/>
      <c r="T811" s="23"/>
      <c r="U811" s="23"/>
      <c r="V811" s="40"/>
      <c r="W811" s="23"/>
      <c r="X811" s="23"/>
      <c r="Y811" s="40"/>
      <c r="Z811" s="23"/>
      <c r="AA811" s="23"/>
      <c r="AB811" s="40"/>
      <c r="AC811" s="42"/>
      <c r="AD811" s="42"/>
      <c r="AE811" s="40"/>
      <c r="AF811" s="42"/>
      <c r="AG811" s="42"/>
      <c r="AH811" s="23"/>
      <c r="AI811" s="42"/>
      <c r="AJ811" s="42"/>
      <c r="AK811" s="40"/>
      <c r="AL811" s="84"/>
      <c r="AM811" s="84"/>
      <c r="AN811" s="40"/>
      <c r="AO811" s="23"/>
    </row>
    <row r="812" spans="1:41" ht="15.75" x14ac:dyDescent="0.25">
      <c r="A812" s="44"/>
      <c r="B812" s="23"/>
      <c r="C812" s="23"/>
      <c r="D812" s="36"/>
      <c r="E812" s="23"/>
      <c r="F812" s="23"/>
      <c r="G812" s="40"/>
      <c r="H812" s="23"/>
      <c r="I812" s="23"/>
      <c r="J812" s="40"/>
      <c r="K812" s="36"/>
      <c r="L812" s="36"/>
      <c r="M812" s="40"/>
      <c r="N812" s="23"/>
      <c r="O812" s="36"/>
      <c r="P812" s="40"/>
      <c r="Q812" s="36"/>
      <c r="R812" s="36"/>
      <c r="S812" s="40"/>
      <c r="T812" s="23"/>
      <c r="U812" s="23"/>
      <c r="V812" s="40"/>
      <c r="W812" s="23"/>
      <c r="X812" s="23"/>
      <c r="Y812" s="40"/>
      <c r="Z812" s="23"/>
      <c r="AA812" s="23"/>
      <c r="AB812" s="40"/>
      <c r="AC812" s="42"/>
      <c r="AD812" s="42"/>
      <c r="AE812" s="40"/>
      <c r="AF812" s="42"/>
      <c r="AG812" s="42"/>
      <c r="AH812" s="23"/>
      <c r="AI812" s="42"/>
      <c r="AJ812" s="42"/>
      <c r="AK812" s="40"/>
      <c r="AL812" s="84"/>
      <c r="AM812" s="84"/>
      <c r="AN812" s="40"/>
      <c r="AO812" s="23"/>
    </row>
    <row r="813" spans="1:41" ht="15.75" x14ac:dyDescent="0.25">
      <c r="A813" s="44"/>
      <c r="B813" s="23"/>
      <c r="C813" s="23"/>
      <c r="D813" s="36"/>
      <c r="E813" s="23"/>
      <c r="F813" s="23"/>
      <c r="G813" s="40"/>
      <c r="H813" s="23"/>
      <c r="I813" s="23"/>
      <c r="J813" s="40"/>
      <c r="K813" s="36"/>
      <c r="L813" s="36"/>
      <c r="M813" s="40"/>
      <c r="N813" s="23"/>
      <c r="O813" s="36"/>
      <c r="P813" s="40"/>
      <c r="Q813" s="36"/>
      <c r="R813" s="36"/>
      <c r="S813" s="40"/>
      <c r="T813" s="23"/>
      <c r="U813" s="23"/>
      <c r="V813" s="40"/>
      <c r="W813" s="23"/>
      <c r="X813" s="23"/>
      <c r="Y813" s="40"/>
      <c r="Z813" s="23"/>
      <c r="AA813" s="23"/>
      <c r="AB813" s="40"/>
      <c r="AC813" s="42"/>
      <c r="AD813" s="42"/>
      <c r="AE813" s="40"/>
      <c r="AF813" s="42"/>
      <c r="AG813" s="42"/>
      <c r="AH813" s="23"/>
      <c r="AI813" s="42"/>
      <c r="AJ813" s="42"/>
      <c r="AK813" s="40"/>
      <c r="AL813" s="84"/>
      <c r="AM813" s="84"/>
      <c r="AN813" s="40"/>
      <c r="AO813" s="23"/>
    </row>
    <row r="814" spans="1:41" ht="15.75" x14ac:dyDescent="0.25">
      <c r="A814" s="44"/>
      <c r="B814" s="23"/>
      <c r="C814" s="23"/>
      <c r="D814" s="36"/>
      <c r="E814" s="23"/>
      <c r="F814" s="23"/>
      <c r="G814" s="40"/>
      <c r="H814" s="23"/>
      <c r="I814" s="23"/>
      <c r="J814" s="40"/>
      <c r="K814" s="36"/>
      <c r="L814" s="36"/>
      <c r="M814" s="40"/>
      <c r="N814" s="23"/>
      <c r="O814" s="36"/>
      <c r="P814" s="40"/>
      <c r="Q814" s="36"/>
      <c r="R814" s="36"/>
      <c r="S814" s="40"/>
      <c r="T814" s="23"/>
      <c r="U814" s="23"/>
      <c r="V814" s="40"/>
      <c r="W814" s="23"/>
      <c r="X814" s="23"/>
      <c r="Y814" s="40"/>
      <c r="Z814" s="23"/>
      <c r="AA814" s="23"/>
      <c r="AB814" s="40"/>
      <c r="AC814" s="42"/>
      <c r="AD814" s="42"/>
      <c r="AE814" s="40"/>
      <c r="AF814" s="42"/>
      <c r="AG814" s="42"/>
      <c r="AH814" s="23"/>
      <c r="AI814" s="42"/>
      <c r="AJ814" s="42"/>
      <c r="AK814" s="40"/>
      <c r="AL814" s="84"/>
      <c r="AM814" s="84"/>
      <c r="AN814" s="40"/>
      <c r="AO814" s="23"/>
    </row>
    <row r="815" spans="1:41" ht="15.75" x14ac:dyDescent="0.25">
      <c r="A815" s="44"/>
      <c r="B815" s="23"/>
      <c r="C815" s="23"/>
      <c r="D815" s="36"/>
      <c r="E815" s="23"/>
      <c r="F815" s="23"/>
      <c r="G815" s="40"/>
      <c r="H815" s="23"/>
      <c r="I815" s="23"/>
      <c r="J815" s="40"/>
      <c r="K815" s="36"/>
      <c r="L815" s="36"/>
      <c r="M815" s="40"/>
      <c r="N815" s="23"/>
      <c r="O815" s="36"/>
      <c r="P815" s="40"/>
      <c r="Q815" s="36"/>
      <c r="R815" s="36"/>
      <c r="S815" s="40"/>
      <c r="T815" s="23"/>
      <c r="U815" s="23"/>
      <c r="V815" s="40"/>
      <c r="W815" s="23"/>
      <c r="X815" s="23"/>
      <c r="Y815" s="40"/>
      <c r="Z815" s="23"/>
      <c r="AA815" s="23"/>
      <c r="AB815" s="40"/>
      <c r="AC815" s="42"/>
      <c r="AD815" s="42"/>
      <c r="AE815" s="40"/>
      <c r="AF815" s="42"/>
      <c r="AG815" s="42"/>
      <c r="AH815" s="23"/>
      <c r="AI815" s="42"/>
      <c r="AJ815" s="42"/>
      <c r="AK815" s="40"/>
      <c r="AL815" s="84"/>
      <c r="AM815" s="84"/>
      <c r="AN815" s="40"/>
      <c r="AO815" s="23"/>
    </row>
    <row r="816" spans="1:41" ht="15.75" x14ac:dyDescent="0.25">
      <c r="A816" s="44"/>
      <c r="B816" s="23"/>
      <c r="C816" s="23"/>
      <c r="D816" s="36"/>
      <c r="E816" s="23"/>
      <c r="F816" s="23"/>
      <c r="G816" s="40"/>
      <c r="H816" s="23"/>
      <c r="I816" s="23"/>
      <c r="J816" s="40"/>
      <c r="K816" s="36"/>
      <c r="L816" s="36"/>
      <c r="M816" s="40"/>
      <c r="N816" s="23"/>
      <c r="O816" s="36"/>
      <c r="P816" s="40"/>
      <c r="Q816" s="36"/>
      <c r="R816" s="36"/>
      <c r="S816" s="40"/>
      <c r="T816" s="23"/>
      <c r="U816" s="23"/>
      <c r="V816" s="40"/>
      <c r="W816" s="23"/>
      <c r="X816" s="23"/>
      <c r="Y816" s="40"/>
      <c r="Z816" s="23"/>
      <c r="AA816" s="23"/>
      <c r="AB816" s="40"/>
      <c r="AC816" s="42"/>
      <c r="AD816" s="42"/>
      <c r="AE816" s="40"/>
      <c r="AF816" s="42"/>
      <c r="AG816" s="42"/>
      <c r="AH816" s="23"/>
      <c r="AI816" s="42"/>
      <c r="AJ816" s="42"/>
      <c r="AK816" s="40"/>
      <c r="AL816" s="84"/>
      <c r="AM816" s="84"/>
      <c r="AN816" s="40"/>
      <c r="AO816" s="23"/>
    </row>
    <row r="817" spans="1:41" ht="15.75" x14ac:dyDescent="0.25">
      <c r="A817" s="44"/>
      <c r="B817" s="23"/>
      <c r="C817" s="23"/>
      <c r="D817" s="36"/>
      <c r="E817" s="23"/>
      <c r="F817" s="23"/>
      <c r="G817" s="40"/>
      <c r="H817" s="23"/>
      <c r="I817" s="23"/>
      <c r="J817" s="40"/>
      <c r="K817" s="36"/>
      <c r="L817" s="36"/>
      <c r="M817" s="40"/>
      <c r="N817" s="23"/>
      <c r="O817" s="36"/>
      <c r="P817" s="40"/>
      <c r="Q817" s="36"/>
      <c r="R817" s="36"/>
      <c r="S817" s="40"/>
      <c r="T817" s="23"/>
      <c r="U817" s="23"/>
      <c r="V817" s="40"/>
      <c r="W817" s="23"/>
      <c r="X817" s="23"/>
      <c r="Y817" s="40"/>
      <c r="Z817" s="23"/>
      <c r="AA817" s="23"/>
      <c r="AB817" s="40"/>
      <c r="AC817" s="42"/>
      <c r="AD817" s="42"/>
      <c r="AE817" s="40"/>
      <c r="AF817" s="42"/>
      <c r="AG817" s="42"/>
      <c r="AH817" s="23"/>
      <c r="AI817" s="42"/>
      <c r="AJ817" s="42"/>
      <c r="AK817" s="40"/>
      <c r="AL817" s="84"/>
      <c r="AM817" s="84"/>
      <c r="AN817" s="40"/>
      <c r="AO817" s="23"/>
    </row>
    <row r="818" spans="1:41" ht="15.75" x14ac:dyDescent="0.25">
      <c r="A818" s="44"/>
      <c r="B818" s="23"/>
      <c r="C818" s="23"/>
      <c r="D818" s="36"/>
      <c r="E818" s="23"/>
      <c r="F818" s="23"/>
      <c r="G818" s="40"/>
      <c r="H818" s="23"/>
      <c r="I818" s="23"/>
      <c r="J818" s="40"/>
      <c r="K818" s="36"/>
      <c r="L818" s="36"/>
      <c r="M818" s="40"/>
      <c r="N818" s="23"/>
      <c r="O818" s="36"/>
      <c r="P818" s="40"/>
      <c r="Q818" s="36"/>
      <c r="R818" s="36"/>
      <c r="S818" s="40"/>
      <c r="T818" s="23"/>
      <c r="U818" s="23"/>
      <c r="V818" s="40"/>
      <c r="W818" s="23"/>
      <c r="X818" s="23"/>
      <c r="Y818" s="40"/>
      <c r="Z818" s="23"/>
      <c r="AA818" s="23"/>
      <c r="AB818" s="40"/>
      <c r="AC818" s="42"/>
      <c r="AD818" s="42"/>
      <c r="AE818" s="40"/>
      <c r="AF818" s="42"/>
      <c r="AG818" s="42"/>
      <c r="AH818" s="23"/>
      <c r="AI818" s="42"/>
      <c r="AJ818" s="42"/>
      <c r="AK818" s="40"/>
      <c r="AL818" s="84"/>
      <c r="AM818" s="84"/>
      <c r="AN818" s="40"/>
      <c r="AO818" s="23"/>
    </row>
    <row r="819" spans="1:41" ht="15.75" x14ac:dyDescent="0.25">
      <c r="A819" s="44"/>
      <c r="B819" s="23"/>
      <c r="C819" s="23"/>
      <c r="D819" s="36"/>
      <c r="E819" s="23"/>
      <c r="F819" s="23"/>
      <c r="G819" s="40"/>
      <c r="H819" s="23"/>
      <c r="I819" s="23"/>
      <c r="J819" s="40"/>
      <c r="K819" s="36"/>
      <c r="L819" s="36"/>
      <c r="M819" s="40"/>
      <c r="N819" s="23"/>
      <c r="O819" s="36"/>
      <c r="P819" s="40"/>
      <c r="Q819" s="36"/>
      <c r="R819" s="36"/>
      <c r="S819" s="40"/>
      <c r="T819" s="23"/>
      <c r="U819" s="23"/>
      <c r="V819" s="40"/>
      <c r="W819" s="23"/>
      <c r="X819" s="23"/>
      <c r="Y819" s="40"/>
      <c r="Z819" s="23"/>
      <c r="AA819" s="23"/>
      <c r="AB819" s="40"/>
      <c r="AC819" s="42"/>
      <c r="AD819" s="42"/>
      <c r="AE819" s="40"/>
      <c r="AF819" s="42"/>
      <c r="AG819" s="42"/>
      <c r="AH819" s="23"/>
      <c r="AI819" s="42"/>
      <c r="AJ819" s="42"/>
      <c r="AK819" s="40"/>
      <c r="AL819" s="84"/>
      <c r="AM819" s="84"/>
      <c r="AN819" s="40"/>
      <c r="AO819" s="23"/>
    </row>
    <row r="820" spans="1:41" ht="15.75" x14ac:dyDescent="0.25">
      <c r="A820" s="44"/>
      <c r="B820" s="23"/>
      <c r="C820" s="23"/>
      <c r="D820" s="36"/>
      <c r="E820" s="23"/>
      <c r="F820" s="23"/>
      <c r="G820" s="40"/>
      <c r="H820" s="23"/>
      <c r="I820" s="23"/>
      <c r="J820" s="40"/>
      <c r="K820" s="36"/>
      <c r="L820" s="36"/>
      <c r="M820" s="40"/>
      <c r="N820" s="23"/>
      <c r="O820" s="36"/>
      <c r="P820" s="40"/>
      <c r="Q820" s="36"/>
      <c r="R820" s="36"/>
      <c r="S820" s="40"/>
      <c r="T820" s="23"/>
      <c r="U820" s="23"/>
      <c r="V820" s="40"/>
      <c r="W820" s="23"/>
      <c r="X820" s="23"/>
      <c r="Y820" s="40"/>
      <c r="Z820" s="23"/>
      <c r="AA820" s="23"/>
      <c r="AB820" s="40"/>
      <c r="AC820" s="42"/>
      <c r="AD820" s="42"/>
      <c r="AE820" s="40"/>
      <c r="AF820" s="42"/>
      <c r="AG820" s="42"/>
      <c r="AH820" s="23"/>
      <c r="AI820" s="42"/>
      <c r="AJ820" s="42"/>
      <c r="AK820" s="40"/>
      <c r="AL820" s="84"/>
      <c r="AM820" s="84"/>
      <c r="AN820" s="40"/>
      <c r="AO820" s="23"/>
    </row>
    <row r="821" spans="1:41" ht="15.75" x14ac:dyDescent="0.25">
      <c r="A821" s="44"/>
      <c r="B821" s="23"/>
      <c r="C821" s="23"/>
      <c r="D821" s="36"/>
      <c r="E821" s="23"/>
      <c r="F821" s="23"/>
      <c r="G821" s="40"/>
      <c r="H821" s="23"/>
      <c r="I821" s="23"/>
      <c r="J821" s="40"/>
      <c r="K821" s="36"/>
      <c r="L821" s="36"/>
      <c r="M821" s="40"/>
      <c r="N821" s="23"/>
      <c r="O821" s="36"/>
      <c r="P821" s="40"/>
      <c r="Q821" s="36"/>
      <c r="R821" s="36"/>
      <c r="S821" s="40"/>
      <c r="T821" s="23"/>
      <c r="U821" s="23"/>
      <c r="V821" s="40"/>
      <c r="W821" s="23"/>
      <c r="X821" s="23"/>
      <c r="Y821" s="40"/>
      <c r="Z821" s="23"/>
      <c r="AA821" s="23"/>
      <c r="AB821" s="40"/>
      <c r="AC821" s="42"/>
      <c r="AD821" s="42"/>
      <c r="AE821" s="40"/>
      <c r="AF821" s="42"/>
      <c r="AG821" s="42"/>
      <c r="AH821" s="23"/>
      <c r="AI821" s="42"/>
      <c r="AJ821" s="42"/>
      <c r="AK821" s="40"/>
      <c r="AL821" s="84"/>
      <c r="AM821" s="84"/>
      <c r="AN821" s="40"/>
      <c r="AO821" s="23"/>
    </row>
    <row r="822" spans="1:41" ht="15.75" x14ac:dyDescent="0.25">
      <c r="A822" s="44"/>
      <c r="B822" s="23"/>
      <c r="C822" s="23"/>
      <c r="D822" s="36"/>
      <c r="E822" s="23"/>
      <c r="F822" s="23"/>
      <c r="G822" s="40"/>
      <c r="H822" s="23"/>
      <c r="I822" s="23"/>
      <c r="J822" s="40"/>
      <c r="K822" s="36"/>
      <c r="L822" s="36"/>
      <c r="M822" s="40"/>
      <c r="N822" s="23"/>
      <c r="O822" s="36"/>
      <c r="P822" s="40"/>
      <c r="Q822" s="36"/>
      <c r="R822" s="36"/>
      <c r="S822" s="40"/>
      <c r="T822" s="23"/>
      <c r="U822" s="23"/>
      <c r="V822" s="40"/>
      <c r="W822" s="23"/>
      <c r="X822" s="23"/>
      <c r="Y822" s="40"/>
      <c r="Z822" s="23"/>
      <c r="AA822" s="23"/>
      <c r="AB822" s="40"/>
      <c r="AC822" s="42"/>
      <c r="AD822" s="42"/>
      <c r="AE822" s="40"/>
      <c r="AF822" s="42"/>
      <c r="AG822" s="42"/>
      <c r="AH822" s="23"/>
      <c r="AI822" s="42"/>
      <c r="AJ822" s="42"/>
      <c r="AK822" s="40"/>
      <c r="AL822" s="84"/>
      <c r="AM822" s="84"/>
      <c r="AN822" s="40"/>
      <c r="AO822" s="23"/>
    </row>
    <row r="823" spans="1:41" ht="15.75" x14ac:dyDescent="0.25">
      <c r="A823" s="44"/>
      <c r="B823" s="23"/>
      <c r="C823" s="23"/>
      <c r="D823" s="36"/>
      <c r="E823" s="23"/>
      <c r="F823" s="23"/>
      <c r="G823" s="40"/>
      <c r="H823" s="23"/>
      <c r="I823" s="23"/>
      <c r="J823" s="40"/>
      <c r="K823" s="36"/>
      <c r="L823" s="36"/>
      <c r="M823" s="40"/>
      <c r="N823" s="23"/>
      <c r="O823" s="36"/>
      <c r="P823" s="40"/>
      <c r="Q823" s="36"/>
      <c r="R823" s="36"/>
      <c r="S823" s="40"/>
      <c r="T823" s="23"/>
      <c r="U823" s="23"/>
      <c r="V823" s="40"/>
      <c r="W823" s="23"/>
      <c r="X823" s="23"/>
      <c r="Y823" s="40"/>
      <c r="Z823" s="23"/>
      <c r="AA823" s="23"/>
      <c r="AB823" s="40"/>
      <c r="AC823" s="42"/>
      <c r="AD823" s="42"/>
      <c r="AE823" s="40"/>
      <c r="AF823" s="42"/>
      <c r="AG823" s="42"/>
      <c r="AH823" s="23"/>
      <c r="AI823" s="42"/>
      <c r="AJ823" s="42"/>
      <c r="AK823" s="40"/>
      <c r="AL823" s="84"/>
      <c r="AM823" s="84"/>
      <c r="AN823" s="40"/>
      <c r="AO823" s="23"/>
    </row>
    <row r="824" spans="1:41" ht="15.75" x14ac:dyDescent="0.25">
      <c r="A824" s="44"/>
      <c r="B824" s="23"/>
      <c r="C824" s="23"/>
      <c r="D824" s="36"/>
      <c r="E824" s="23"/>
      <c r="F824" s="23"/>
      <c r="G824" s="40"/>
      <c r="H824" s="23"/>
      <c r="I824" s="23"/>
      <c r="J824" s="40"/>
      <c r="K824" s="36"/>
      <c r="L824" s="36"/>
      <c r="M824" s="40"/>
      <c r="N824" s="23"/>
      <c r="O824" s="36"/>
      <c r="P824" s="40"/>
      <c r="Q824" s="36"/>
      <c r="R824" s="36"/>
      <c r="S824" s="40"/>
      <c r="T824" s="23"/>
      <c r="U824" s="23"/>
      <c r="V824" s="40"/>
      <c r="W824" s="23"/>
      <c r="X824" s="23"/>
      <c r="Y824" s="40"/>
      <c r="Z824" s="23"/>
      <c r="AA824" s="23"/>
      <c r="AB824" s="40"/>
      <c r="AC824" s="42"/>
      <c r="AD824" s="42"/>
      <c r="AE824" s="40"/>
      <c r="AF824" s="42"/>
      <c r="AG824" s="42"/>
      <c r="AH824" s="23"/>
      <c r="AI824" s="42"/>
      <c r="AJ824" s="42"/>
      <c r="AK824" s="40"/>
      <c r="AL824" s="84"/>
      <c r="AM824" s="84"/>
      <c r="AN824" s="40"/>
      <c r="AO824" s="23"/>
    </row>
    <row r="825" spans="1:41" ht="15.75" x14ac:dyDescent="0.25">
      <c r="A825" s="44"/>
      <c r="B825" s="23"/>
      <c r="C825" s="23"/>
      <c r="D825" s="36"/>
      <c r="E825" s="23"/>
      <c r="F825" s="23"/>
      <c r="G825" s="40"/>
      <c r="H825" s="23"/>
      <c r="I825" s="23"/>
      <c r="J825" s="40"/>
      <c r="K825" s="36"/>
      <c r="L825" s="36"/>
      <c r="M825" s="40"/>
      <c r="N825" s="23"/>
      <c r="O825" s="36"/>
      <c r="P825" s="40"/>
      <c r="Q825" s="36"/>
      <c r="R825" s="36"/>
      <c r="S825" s="40"/>
      <c r="T825" s="23"/>
      <c r="U825" s="23"/>
      <c r="V825" s="40"/>
      <c r="W825" s="23"/>
      <c r="X825" s="23"/>
      <c r="Y825" s="40"/>
      <c r="Z825" s="23"/>
      <c r="AA825" s="23"/>
      <c r="AB825" s="40"/>
      <c r="AC825" s="42"/>
      <c r="AD825" s="42"/>
      <c r="AE825" s="40"/>
      <c r="AF825" s="42"/>
      <c r="AG825" s="42"/>
      <c r="AH825" s="23"/>
      <c r="AI825" s="42"/>
      <c r="AJ825" s="42"/>
      <c r="AK825" s="40"/>
      <c r="AL825" s="84"/>
      <c r="AM825" s="84"/>
      <c r="AN825" s="40"/>
      <c r="AO825" s="23"/>
    </row>
    <row r="826" spans="1:41" ht="15.75" x14ac:dyDescent="0.25">
      <c r="A826" s="44"/>
      <c r="B826" s="23"/>
      <c r="C826" s="23"/>
      <c r="D826" s="36"/>
      <c r="E826" s="23"/>
      <c r="F826" s="23"/>
      <c r="G826" s="40"/>
      <c r="H826" s="23"/>
      <c r="I826" s="23"/>
      <c r="J826" s="40"/>
      <c r="K826" s="36"/>
      <c r="L826" s="36"/>
      <c r="M826" s="40"/>
      <c r="N826" s="23"/>
      <c r="O826" s="36"/>
      <c r="P826" s="40"/>
      <c r="Q826" s="36"/>
      <c r="R826" s="36"/>
      <c r="S826" s="40"/>
      <c r="T826" s="23"/>
      <c r="U826" s="23"/>
      <c r="V826" s="40"/>
      <c r="W826" s="23"/>
      <c r="X826" s="23"/>
      <c r="Y826" s="40"/>
      <c r="Z826" s="23"/>
      <c r="AA826" s="23"/>
      <c r="AB826" s="40"/>
      <c r="AC826" s="42"/>
      <c r="AD826" s="42"/>
      <c r="AE826" s="40"/>
      <c r="AF826" s="42"/>
      <c r="AG826" s="42"/>
      <c r="AH826" s="23"/>
      <c r="AI826" s="42"/>
      <c r="AJ826" s="42"/>
      <c r="AK826" s="40"/>
      <c r="AL826" s="84"/>
      <c r="AM826" s="84"/>
      <c r="AN826" s="40"/>
      <c r="AO826" s="23"/>
    </row>
    <row r="827" spans="1:41" ht="15.75" x14ac:dyDescent="0.25">
      <c r="A827" s="44"/>
      <c r="B827" s="23"/>
      <c r="C827" s="23"/>
      <c r="D827" s="36"/>
      <c r="E827" s="23"/>
      <c r="F827" s="23"/>
      <c r="G827" s="40"/>
      <c r="H827" s="23"/>
      <c r="I827" s="23"/>
      <c r="J827" s="40"/>
      <c r="K827" s="36"/>
      <c r="L827" s="36"/>
      <c r="M827" s="40"/>
      <c r="N827" s="23"/>
      <c r="O827" s="36"/>
      <c r="P827" s="40"/>
      <c r="Q827" s="36"/>
      <c r="R827" s="36"/>
      <c r="S827" s="40"/>
      <c r="T827" s="23"/>
      <c r="U827" s="23"/>
      <c r="V827" s="40"/>
      <c r="W827" s="23"/>
      <c r="X827" s="23"/>
      <c r="Y827" s="40"/>
      <c r="Z827" s="23"/>
      <c r="AA827" s="23"/>
      <c r="AB827" s="40"/>
      <c r="AC827" s="42"/>
      <c r="AD827" s="42"/>
      <c r="AE827" s="40"/>
      <c r="AF827" s="42"/>
      <c r="AG827" s="42"/>
      <c r="AH827" s="23"/>
      <c r="AI827" s="42"/>
      <c r="AJ827" s="42"/>
      <c r="AK827" s="40"/>
      <c r="AL827" s="84"/>
      <c r="AM827" s="84"/>
      <c r="AN827" s="40"/>
      <c r="AO827" s="23"/>
    </row>
    <row r="828" spans="1:41" ht="15.75" x14ac:dyDescent="0.25">
      <c r="A828" s="44"/>
      <c r="B828" s="23"/>
      <c r="C828" s="23"/>
      <c r="D828" s="36"/>
      <c r="E828" s="23"/>
      <c r="F828" s="23"/>
      <c r="G828" s="40"/>
      <c r="H828" s="23"/>
      <c r="I828" s="23"/>
      <c r="J828" s="40"/>
      <c r="K828" s="36"/>
      <c r="L828" s="36"/>
      <c r="M828" s="40"/>
      <c r="N828" s="23"/>
      <c r="O828" s="36"/>
      <c r="P828" s="40"/>
      <c r="Q828" s="36"/>
      <c r="R828" s="36"/>
      <c r="S828" s="40"/>
      <c r="T828" s="23"/>
      <c r="U828" s="23"/>
      <c r="V828" s="40"/>
      <c r="W828" s="23"/>
      <c r="X828" s="23"/>
      <c r="Y828" s="40"/>
      <c r="Z828" s="23"/>
      <c r="AA828" s="23"/>
      <c r="AB828" s="40"/>
      <c r="AC828" s="42"/>
      <c r="AD828" s="42"/>
      <c r="AE828" s="40"/>
      <c r="AF828" s="42"/>
      <c r="AG828" s="42"/>
      <c r="AH828" s="23"/>
      <c r="AI828" s="42"/>
      <c r="AJ828" s="42"/>
      <c r="AK828" s="40"/>
      <c r="AL828" s="84"/>
      <c r="AM828" s="84"/>
      <c r="AN828" s="40"/>
      <c r="AO828" s="23"/>
    </row>
    <row r="829" spans="1:41" ht="15.75" x14ac:dyDescent="0.25">
      <c r="A829" s="44"/>
      <c r="B829" s="23"/>
      <c r="C829" s="23"/>
      <c r="D829" s="36"/>
      <c r="E829" s="23"/>
      <c r="F829" s="23"/>
      <c r="G829" s="40"/>
      <c r="H829" s="23"/>
      <c r="I829" s="23"/>
      <c r="J829" s="40"/>
      <c r="K829" s="36"/>
      <c r="L829" s="36"/>
      <c r="M829" s="40"/>
      <c r="N829" s="23"/>
      <c r="O829" s="36"/>
      <c r="P829" s="40"/>
      <c r="Q829" s="36"/>
      <c r="R829" s="36"/>
      <c r="S829" s="40"/>
      <c r="T829" s="23"/>
      <c r="U829" s="23"/>
      <c r="V829" s="40"/>
      <c r="W829" s="23"/>
      <c r="X829" s="23"/>
      <c r="Y829" s="40"/>
      <c r="Z829" s="23"/>
      <c r="AA829" s="23"/>
      <c r="AB829" s="40"/>
      <c r="AC829" s="42"/>
      <c r="AD829" s="42"/>
      <c r="AE829" s="40"/>
      <c r="AF829" s="42"/>
      <c r="AG829" s="42"/>
      <c r="AH829" s="23"/>
      <c r="AI829" s="42"/>
      <c r="AJ829" s="42"/>
      <c r="AK829" s="40"/>
      <c r="AL829" s="84"/>
      <c r="AM829" s="84"/>
      <c r="AN829" s="40"/>
      <c r="AO829" s="23"/>
    </row>
    <row r="830" spans="1:41" ht="15.75" x14ac:dyDescent="0.25">
      <c r="A830" s="44"/>
      <c r="B830" s="23"/>
      <c r="C830" s="23"/>
      <c r="D830" s="36"/>
      <c r="E830" s="23"/>
      <c r="F830" s="23"/>
      <c r="G830" s="40"/>
      <c r="H830" s="23"/>
      <c r="I830" s="23"/>
      <c r="J830" s="40"/>
      <c r="K830" s="36"/>
      <c r="L830" s="36"/>
      <c r="M830" s="40"/>
      <c r="N830" s="23"/>
      <c r="O830" s="36"/>
      <c r="P830" s="40"/>
      <c r="Q830" s="36"/>
      <c r="R830" s="36"/>
      <c r="S830" s="40"/>
      <c r="T830" s="23"/>
      <c r="U830" s="23"/>
      <c r="V830" s="40"/>
      <c r="W830" s="23"/>
      <c r="X830" s="23"/>
      <c r="Y830" s="40"/>
      <c r="Z830" s="23"/>
      <c r="AA830" s="23"/>
      <c r="AB830" s="40"/>
      <c r="AC830" s="42"/>
      <c r="AD830" s="42"/>
      <c r="AE830" s="40"/>
      <c r="AF830" s="42"/>
      <c r="AG830" s="42"/>
      <c r="AH830" s="23"/>
      <c r="AI830" s="42"/>
      <c r="AJ830" s="42"/>
      <c r="AK830" s="40"/>
      <c r="AL830" s="84"/>
      <c r="AM830" s="84"/>
      <c r="AN830" s="40"/>
      <c r="AO830" s="23"/>
    </row>
    <row r="831" spans="1:41" ht="15.75" x14ac:dyDescent="0.25">
      <c r="A831" s="44"/>
      <c r="B831" s="23"/>
      <c r="C831" s="23"/>
      <c r="D831" s="36"/>
      <c r="E831" s="23"/>
      <c r="F831" s="23"/>
      <c r="G831" s="40"/>
      <c r="H831" s="23"/>
      <c r="I831" s="23"/>
      <c r="J831" s="40"/>
      <c r="K831" s="36"/>
      <c r="L831" s="36"/>
      <c r="M831" s="40"/>
      <c r="N831" s="23"/>
      <c r="O831" s="36"/>
      <c r="P831" s="40"/>
      <c r="Q831" s="36"/>
      <c r="R831" s="36"/>
      <c r="S831" s="40"/>
      <c r="T831" s="23"/>
      <c r="U831" s="23"/>
      <c r="V831" s="40"/>
      <c r="W831" s="23"/>
      <c r="X831" s="23"/>
      <c r="Y831" s="40"/>
      <c r="Z831" s="23"/>
      <c r="AA831" s="23"/>
      <c r="AB831" s="40"/>
      <c r="AC831" s="42"/>
      <c r="AD831" s="42"/>
      <c r="AE831" s="40"/>
      <c r="AF831" s="42"/>
      <c r="AG831" s="42"/>
      <c r="AH831" s="23"/>
      <c r="AI831" s="42"/>
      <c r="AJ831" s="42"/>
      <c r="AK831" s="40"/>
      <c r="AL831" s="84"/>
      <c r="AM831" s="84"/>
      <c r="AN831" s="40"/>
      <c r="AO831" s="23"/>
    </row>
    <row r="832" spans="1:41" ht="15.75" x14ac:dyDescent="0.25">
      <c r="A832" s="44"/>
      <c r="B832" s="23"/>
      <c r="C832" s="23"/>
      <c r="D832" s="36"/>
      <c r="E832" s="23"/>
      <c r="F832" s="23"/>
      <c r="G832" s="40"/>
      <c r="H832" s="23"/>
      <c r="I832" s="23"/>
      <c r="J832" s="40"/>
      <c r="K832" s="36"/>
      <c r="L832" s="36"/>
      <c r="M832" s="40"/>
      <c r="N832" s="23"/>
      <c r="O832" s="36"/>
      <c r="P832" s="40"/>
      <c r="Q832" s="36"/>
      <c r="R832" s="36"/>
      <c r="S832" s="40"/>
      <c r="T832" s="23"/>
      <c r="U832" s="23"/>
      <c r="V832" s="40"/>
      <c r="W832" s="23"/>
      <c r="X832" s="23"/>
      <c r="Y832" s="40"/>
      <c r="Z832" s="23"/>
      <c r="AA832" s="23"/>
      <c r="AB832" s="40"/>
      <c r="AC832" s="42"/>
      <c r="AD832" s="42"/>
      <c r="AE832" s="40"/>
      <c r="AF832" s="42"/>
      <c r="AG832" s="42"/>
      <c r="AH832" s="23"/>
      <c r="AI832" s="42"/>
      <c r="AJ832" s="42"/>
      <c r="AK832" s="40"/>
      <c r="AL832" s="84"/>
      <c r="AM832" s="84"/>
      <c r="AN832" s="40"/>
      <c r="AO832" s="23"/>
    </row>
    <row r="833" spans="1:41" ht="15.75" x14ac:dyDescent="0.25">
      <c r="A833" s="44"/>
      <c r="B833" s="23"/>
      <c r="C833" s="23"/>
      <c r="D833" s="36"/>
      <c r="E833" s="23"/>
      <c r="F833" s="23"/>
      <c r="G833" s="40"/>
      <c r="H833" s="23"/>
      <c r="I833" s="23"/>
      <c r="J833" s="40"/>
      <c r="K833" s="36"/>
      <c r="L833" s="36"/>
      <c r="M833" s="40"/>
      <c r="N833" s="23"/>
      <c r="O833" s="36"/>
      <c r="P833" s="40"/>
      <c r="Q833" s="36"/>
      <c r="R833" s="36"/>
      <c r="S833" s="40"/>
      <c r="T833" s="23"/>
      <c r="U833" s="23"/>
      <c r="V833" s="40"/>
      <c r="W833" s="23"/>
      <c r="X833" s="23"/>
      <c r="Y833" s="40"/>
      <c r="Z833" s="23"/>
      <c r="AA833" s="23"/>
      <c r="AB833" s="40"/>
      <c r="AC833" s="42"/>
      <c r="AD833" s="42"/>
      <c r="AE833" s="40"/>
      <c r="AF833" s="42"/>
      <c r="AG833" s="42"/>
      <c r="AH833" s="23"/>
      <c r="AI833" s="42"/>
      <c r="AJ833" s="42"/>
      <c r="AK833" s="40"/>
      <c r="AL833" s="84"/>
      <c r="AM833" s="84"/>
      <c r="AN833" s="40"/>
      <c r="AO833" s="23"/>
    </row>
    <row r="834" spans="1:41" ht="15.75" x14ac:dyDescent="0.25">
      <c r="A834" s="44"/>
      <c r="B834" s="23"/>
      <c r="C834" s="23"/>
      <c r="D834" s="36"/>
      <c r="E834" s="23"/>
      <c r="F834" s="23"/>
      <c r="G834" s="40"/>
      <c r="H834" s="23"/>
      <c r="I834" s="23"/>
      <c r="J834" s="40"/>
      <c r="K834" s="36"/>
      <c r="L834" s="36"/>
      <c r="M834" s="40"/>
      <c r="N834" s="23"/>
      <c r="O834" s="36"/>
      <c r="P834" s="40"/>
      <c r="Q834" s="36"/>
      <c r="R834" s="36"/>
      <c r="S834" s="40"/>
      <c r="T834" s="23"/>
      <c r="U834" s="23"/>
      <c r="V834" s="40"/>
      <c r="W834" s="23"/>
      <c r="X834" s="23"/>
      <c r="Y834" s="40"/>
      <c r="Z834" s="23"/>
      <c r="AA834" s="23"/>
      <c r="AB834" s="40"/>
      <c r="AC834" s="42"/>
      <c r="AD834" s="42"/>
      <c r="AE834" s="40"/>
      <c r="AF834" s="42"/>
      <c r="AG834" s="42"/>
      <c r="AH834" s="23"/>
      <c r="AI834" s="42"/>
      <c r="AJ834" s="42"/>
      <c r="AK834" s="40"/>
      <c r="AL834" s="84"/>
      <c r="AM834" s="84"/>
      <c r="AN834" s="40"/>
      <c r="AO834" s="23"/>
    </row>
    <row r="835" spans="1:41" ht="15.75" x14ac:dyDescent="0.25">
      <c r="A835" s="44"/>
      <c r="B835" s="23"/>
      <c r="C835" s="23"/>
      <c r="D835" s="36"/>
      <c r="E835" s="23"/>
      <c r="F835" s="23"/>
      <c r="G835" s="40"/>
      <c r="H835" s="23"/>
      <c r="I835" s="23"/>
      <c r="J835" s="40"/>
      <c r="K835" s="36"/>
      <c r="L835" s="36"/>
      <c r="M835" s="40"/>
      <c r="N835" s="23"/>
      <c r="O835" s="36"/>
      <c r="P835" s="40"/>
      <c r="Q835" s="36"/>
      <c r="R835" s="36"/>
      <c r="S835" s="40"/>
      <c r="T835" s="23"/>
      <c r="U835" s="23"/>
      <c r="V835" s="40"/>
      <c r="W835" s="23"/>
      <c r="X835" s="23"/>
      <c r="Y835" s="40"/>
      <c r="Z835" s="23"/>
      <c r="AA835" s="23"/>
      <c r="AB835" s="40"/>
      <c r="AC835" s="42"/>
      <c r="AD835" s="42"/>
      <c r="AE835" s="40"/>
      <c r="AF835" s="42"/>
      <c r="AG835" s="42"/>
      <c r="AH835" s="23"/>
      <c r="AI835" s="42"/>
      <c r="AJ835" s="42"/>
      <c r="AK835" s="40"/>
      <c r="AL835" s="84"/>
      <c r="AM835" s="84"/>
      <c r="AN835" s="40"/>
      <c r="AO835" s="23"/>
    </row>
    <row r="836" spans="1:41" ht="15.75" x14ac:dyDescent="0.25">
      <c r="A836" s="44"/>
      <c r="B836" s="23"/>
      <c r="C836" s="23"/>
      <c r="D836" s="36"/>
      <c r="E836" s="23"/>
      <c r="F836" s="23"/>
      <c r="G836" s="40"/>
      <c r="H836" s="23"/>
      <c r="I836" s="23"/>
      <c r="J836" s="40"/>
      <c r="K836" s="36"/>
      <c r="L836" s="36"/>
      <c r="M836" s="40"/>
      <c r="N836" s="23"/>
      <c r="O836" s="36"/>
      <c r="P836" s="40"/>
      <c r="Q836" s="36"/>
      <c r="R836" s="36"/>
      <c r="S836" s="40"/>
      <c r="T836" s="23"/>
      <c r="U836" s="23"/>
      <c r="V836" s="40"/>
      <c r="W836" s="23"/>
      <c r="X836" s="23"/>
      <c r="Y836" s="40"/>
      <c r="Z836" s="23"/>
      <c r="AA836" s="23"/>
      <c r="AB836" s="40"/>
      <c r="AC836" s="42"/>
      <c r="AD836" s="42"/>
      <c r="AE836" s="40"/>
      <c r="AF836" s="42"/>
      <c r="AG836" s="42"/>
      <c r="AH836" s="23"/>
      <c r="AI836" s="42"/>
      <c r="AJ836" s="42"/>
      <c r="AK836" s="40"/>
      <c r="AL836" s="84"/>
      <c r="AM836" s="84"/>
      <c r="AN836" s="40"/>
      <c r="AO836" s="23"/>
    </row>
    <row r="837" spans="1:41" ht="15.75" x14ac:dyDescent="0.25">
      <c r="A837" s="44"/>
      <c r="B837" s="23"/>
      <c r="C837" s="23"/>
      <c r="D837" s="36"/>
      <c r="E837" s="23"/>
      <c r="F837" s="23"/>
      <c r="G837" s="40"/>
      <c r="H837" s="23"/>
      <c r="I837" s="23"/>
      <c r="J837" s="40"/>
      <c r="K837" s="36"/>
      <c r="L837" s="36"/>
      <c r="M837" s="40"/>
      <c r="N837" s="23"/>
      <c r="O837" s="36"/>
      <c r="P837" s="40"/>
      <c r="Q837" s="36"/>
      <c r="R837" s="36"/>
      <c r="S837" s="40"/>
      <c r="T837" s="23"/>
      <c r="U837" s="23"/>
      <c r="V837" s="40"/>
      <c r="W837" s="23"/>
      <c r="X837" s="23"/>
      <c r="Y837" s="40"/>
      <c r="Z837" s="23"/>
      <c r="AA837" s="23"/>
      <c r="AB837" s="40"/>
      <c r="AC837" s="42"/>
      <c r="AD837" s="42"/>
      <c r="AE837" s="40"/>
      <c r="AF837" s="42"/>
      <c r="AG837" s="42"/>
      <c r="AH837" s="23"/>
      <c r="AI837" s="42"/>
      <c r="AJ837" s="42"/>
      <c r="AK837" s="40"/>
      <c r="AL837" s="84"/>
      <c r="AM837" s="84"/>
      <c r="AN837" s="40"/>
      <c r="AO837" s="23"/>
    </row>
    <row r="838" spans="1:41" ht="15.75" x14ac:dyDescent="0.25">
      <c r="A838" s="44"/>
      <c r="B838" s="23"/>
      <c r="C838" s="23"/>
      <c r="D838" s="36"/>
      <c r="E838" s="23"/>
      <c r="F838" s="23"/>
      <c r="G838" s="40"/>
      <c r="H838" s="23"/>
      <c r="I838" s="23"/>
      <c r="J838" s="40"/>
      <c r="K838" s="36"/>
      <c r="L838" s="36"/>
      <c r="M838" s="40"/>
      <c r="N838" s="23"/>
      <c r="O838" s="36"/>
      <c r="P838" s="40"/>
      <c r="Q838" s="36"/>
      <c r="R838" s="36"/>
      <c r="S838" s="40"/>
      <c r="T838" s="23"/>
      <c r="U838" s="23"/>
      <c r="V838" s="40"/>
      <c r="W838" s="23"/>
      <c r="X838" s="23"/>
      <c r="Y838" s="40"/>
      <c r="Z838" s="23"/>
      <c r="AA838" s="23"/>
      <c r="AB838" s="40"/>
      <c r="AC838" s="42"/>
      <c r="AD838" s="42"/>
      <c r="AE838" s="40"/>
      <c r="AF838" s="42"/>
      <c r="AG838" s="42"/>
      <c r="AH838" s="23"/>
      <c r="AI838" s="42"/>
      <c r="AJ838" s="42"/>
      <c r="AK838" s="40"/>
      <c r="AL838" s="84"/>
      <c r="AM838" s="84"/>
      <c r="AN838" s="40"/>
      <c r="AO838" s="23"/>
    </row>
    <row r="839" spans="1:41" ht="15.75" x14ac:dyDescent="0.25">
      <c r="A839" s="44"/>
      <c r="B839" s="23"/>
      <c r="C839" s="23"/>
      <c r="D839" s="36"/>
      <c r="E839" s="23"/>
      <c r="F839" s="23"/>
      <c r="G839" s="40"/>
      <c r="H839" s="23"/>
      <c r="I839" s="23"/>
      <c r="J839" s="40"/>
      <c r="K839" s="36"/>
      <c r="L839" s="36"/>
      <c r="M839" s="40"/>
      <c r="N839" s="23"/>
      <c r="O839" s="36"/>
      <c r="P839" s="40"/>
      <c r="Q839" s="36"/>
      <c r="R839" s="36"/>
      <c r="S839" s="40"/>
      <c r="T839" s="23"/>
      <c r="U839" s="23"/>
      <c r="V839" s="40"/>
      <c r="W839" s="23"/>
      <c r="X839" s="23"/>
      <c r="Y839" s="40"/>
      <c r="Z839" s="23"/>
      <c r="AA839" s="23"/>
      <c r="AB839" s="40"/>
      <c r="AC839" s="42"/>
      <c r="AD839" s="42"/>
      <c r="AE839" s="40"/>
      <c r="AF839" s="42"/>
      <c r="AG839" s="42"/>
      <c r="AH839" s="23"/>
      <c r="AI839" s="42"/>
      <c r="AJ839" s="42"/>
      <c r="AK839" s="40"/>
      <c r="AL839" s="84"/>
      <c r="AM839" s="84"/>
      <c r="AN839" s="40"/>
      <c r="AO839" s="23"/>
    </row>
    <row r="840" spans="1:41" ht="15.75" x14ac:dyDescent="0.25">
      <c r="A840" s="44"/>
      <c r="B840" s="23"/>
      <c r="C840" s="23"/>
      <c r="D840" s="36"/>
      <c r="E840" s="23"/>
      <c r="F840" s="23"/>
      <c r="G840" s="40"/>
      <c r="H840" s="23"/>
      <c r="I840" s="23"/>
      <c r="J840" s="40"/>
      <c r="K840" s="36"/>
      <c r="L840" s="36"/>
      <c r="M840" s="40"/>
      <c r="N840" s="23"/>
      <c r="O840" s="36"/>
      <c r="P840" s="40"/>
      <c r="Q840" s="36"/>
      <c r="R840" s="36"/>
      <c r="S840" s="40"/>
      <c r="T840" s="23"/>
      <c r="U840" s="23"/>
      <c r="V840" s="40"/>
      <c r="W840" s="23"/>
      <c r="X840" s="23"/>
      <c r="Y840" s="40"/>
      <c r="Z840" s="23"/>
      <c r="AA840" s="23"/>
      <c r="AB840" s="40"/>
      <c r="AC840" s="42"/>
      <c r="AD840" s="42"/>
      <c r="AE840" s="40"/>
      <c r="AF840" s="42"/>
      <c r="AG840" s="42"/>
      <c r="AH840" s="23"/>
      <c r="AI840" s="42"/>
      <c r="AJ840" s="42"/>
      <c r="AK840" s="40"/>
      <c r="AL840" s="84"/>
      <c r="AM840" s="84"/>
      <c r="AN840" s="40"/>
      <c r="AO840" s="23"/>
    </row>
    <row r="841" spans="1:41" ht="15.75" x14ac:dyDescent="0.25">
      <c r="A841" s="44"/>
      <c r="B841" s="23"/>
      <c r="C841" s="23"/>
      <c r="D841" s="36"/>
      <c r="E841" s="23"/>
      <c r="F841" s="23"/>
      <c r="G841" s="40"/>
      <c r="H841" s="23"/>
      <c r="I841" s="23"/>
      <c r="J841" s="40"/>
      <c r="K841" s="36"/>
      <c r="L841" s="36"/>
      <c r="M841" s="40"/>
      <c r="N841" s="23"/>
      <c r="O841" s="36"/>
      <c r="P841" s="40"/>
      <c r="Q841" s="36"/>
      <c r="R841" s="36"/>
      <c r="S841" s="40"/>
      <c r="T841" s="23"/>
      <c r="U841" s="23"/>
      <c r="V841" s="40"/>
      <c r="W841" s="23"/>
      <c r="X841" s="23"/>
      <c r="Y841" s="40"/>
      <c r="Z841" s="23"/>
      <c r="AA841" s="23"/>
      <c r="AB841" s="40"/>
      <c r="AC841" s="42"/>
      <c r="AD841" s="42"/>
      <c r="AE841" s="40"/>
      <c r="AF841" s="42"/>
      <c r="AG841" s="42"/>
      <c r="AH841" s="23"/>
      <c r="AI841" s="42"/>
      <c r="AJ841" s="42"/>
      <c r="AK841" s="40"/>
      <c r="AL841" s="84"/>
      <c r="AM841" s="84"/>
      <c r="AN841" s="40"/>
      <c r="AO841" s="23"/>
    </row>
    <row r="842" spans="1:41" ht="15.75" x14ac:dyDescent="0.25">
      <c r="A842" s="44"/>
      <c r="B842" s="23"/>
      <c r="C842" s="23"/>
      <c r="D842" s="36"/>
      <c r="E842" s="23"/>
      <c r="F842" s="23"/>
      <c r="G842" s="40"/>
      <c r="H842" s="23"/>
      <c r="I842" s="23"/>
      <c r="J842" s="40"/>
      <c r="K842" s="36"/>
      <c r="L842" s="36"/>
      <c r="M842" s="40"/>
      <c r="N842" s="23"/>
      <c r="O842" s="36"/>
      <c r="P842" s="40"/>
      <c r="Q842" s="36"/>
      <c r="R842" s="36"/>
      <c r="S842" s="40"/>
      <c r="T842" s="23"/>
      <c r="U842" s="23"/>
      <c r="V842" s="40"/>
      <c r="W842" s="23"/>
      <c r="X842" s="23"/>
      <c r="Y842" s="40"/>
      <c r="Z842" s="23"/>
      <c r="AA842" s="23"/>
      <c r="AB842" s="40"/>
      <c r="AC842" s="42"/>
      <c r="AD842" s="42"/>
      <c r="AE842" s="40"/>
      <c r="AF842" s="42"/>
      <c r="AG842" s="42"/>
      <c r="AH842" s="23"/>
      <c r="AI842" s="42"/>
      <c r="AJ842" s="42"/>
      <c r="AK842" s="40"/>
      <c r="AL842" s="84"/>
      <c r="AM842" s="84"/>
      <c r="AN842" s="40"/>
      <c r="AO842" s="23"/>
    </row>
    <row r="843" spans="1:41" ht="15.75" x14ac:dyDescent="0.25">
      <c r="A843" s="44"/>
      <c r="B843" s="23"/>
      <c r="C843" s="23"/>
      <c r="D843" s="36"/>
      <c r="E843" s="23"/>
      <c r="F843" s="23"/>
      <c r="G843" s="40"/>
      <c r="H843" s="23"/>
      <c r="I843" s="23"/>
      <c r="J843" s="40"/>
      <c r="K843" s="36"/>
      <c r="L843" s="36"/>
      <c r="M843" s="40"/>
      <c r="N843" s="23"/>
      <c r="O843" s="36"/>
      <c r="P843" s="40"/>
      <c r="Q843" s="36"/>
      <c r="R843" s="36"/>
      <c r="S843" s="40"/>
      <c r="T843" s="23"/>
      <c r="U843" s="23"/>
      <c r="V843" s="40"/>
      <c r="W843" s="23"/>
      <c r="X843" s="23"/>
      <c r="Y843" s="40"/>
      <c r="Z843" s="23"/>
      <c r="AA843" s="23"/>
      <c r="AB843" s="40"/>
      <c r="AC843" s="42"/>
      <c r="AD843" s="42"/>
      <c r="AE843" s="40"/>
      <c r="AF843" s="42"/>
      <c r="AG843" s="42"/>
      <c r="AH843" s="23"/>
      <c r="AI843" s="42"/>
      <c r="AJ843" s="42"/>
      <c r="AK843" s="40"/>
      <c r="AL843" s="84"/>
      <c r="AM843" s="84"/>
      <c r="AN843" s="40"/>
      <c r="AO843" s="23"/>
    </row>
    <row r="844" spans="1:41" ht="15.75" x14ac:dyDescent="0.25">
      <c r="A844" s="44"/>
      <c r="B844" s="23"/>
      <c r="C844" s="23"/>
      <c r="D844" s="36"/>
      <c r="E844" s="23"/>
      <c r="F844" s="23"/>
      <c r="G844" s="40"/>
      <c r="H844" s="23"/>
      <c r="I844" s="23"/>
      <c r="J844" s="40"/>
      <c r="K844" s="36"/>
      <c r="L844" s="36"/>
      <c r="M844" s="40"/>
      <c r="N844" s="23"/>
      <c r="O844" s="36"/>
      <c r="P844" s="40"/>
      <c r="Q844" s="36"/>
      <c r="R844" s="36"/>
      <c r="S844" s="40"/>
      <c r="T844" s="23"/>
      <c r="U844" s="23"/>
      <c r="V844" s="40"/>
      <c r="W844" s="23"/>
      <c r="X844" s="23"/>
      <c r="Y844" s="40"/>
      <c r="Z844" s="23"/>
      <c r="AA844" s="23"/>
      <c r="AB844" s="40"/>
      <c r="AC844" s="42"/>
      <c r="AD844" s="42"/>
      <c r="AE844" s="40"/>
      <c r="AF844" s="42"/>
      <c r="AG844" s="42"/>
      <c r="AH844" s="23"/>
      <c r="AI844" s="42"/>
      <c r="AJ844" s="42"/>
      <c r="AK844" s="40"/>
      <c r="AL844" s="84"/>
      <c r="AM844" s="84"/>
      <c r="AN844" s="40"/>
      <c r="AO844" s="23"/>
    </row>
    <row r="845" spans="1:41" ht="15.75" x14ac:dyDescent="0.25">
      <c r="A845" s="44"/>
      <c r="B845" s="23"/>
      <c r="C845" s="23"/>
      <c r="D845" s="36"/>
      <c r="E845" s="23"/>
      <c r="F845" s="23"/>
      <c r="G845" s="40"/>
      <c r="H845" s="23"/>
      <c r="I845" s="23"/>
      <c r="J845" s="40"/>
      <c r="K845" s="36"/>
      <c r="L845" s="36"/>
      <c r="M845" s="40"/>
      <c r="N845" s="23"/>
      <c r="O845" s="36"/>
      <c r="P845" s="40"/>
      <c r="Q845" s="36"/>
      <c r="R845" s="36"/>
      <c r="S845" s="40"/>
      <c r="T845" s="23"/>
      <c r="U845" s="23"/>
      <c r="V845" s="40"/>
      <c r="W845" s="23"/>
      <c r="X845" s="23"/>
      <c r="Y845" s="40"/>
      <c r="Z845" s="23"/>
      <c r="AA845" s="23"/>
      <c r="AB845" s="40"/>
      <c r="AC845" s="42"/>
      <c r="AD845" s="42"/>
      <c r="AE845" s="40"/>
      <c r="AF845" s="42"/>
      <c r="AG845" s="42"/>
      <c r="AH845" s="23"/>
      <c r="AI845" s="42"/>
      <c r="AJ845" s="42"/>
      <c r="AK845" s="40"/>
      <c r="AL845" s="84"/>
      <c r="AM845" s="84"/>
      <c r="AN845" s="40"/>
      <c r="AO845" s="23"/>
    </row>
    <row r="846" spans="1:41" ht="15.75" x14ac:dyDescent="0.25">
      <c r="A846" s="44"/>
      <c r="B846" s="23"/>
      <c r="C846" s="23"/>
      <c r="D846" s="36"/>
      <c r="E846" s="23"/>
      <c r="F846" s="23"/>
      <c r="G846" s="40"/>
      <c r="H846" s="23"/>
      <c r="I846" s="23"/>
      <c r="J846" s="40"/>
      <c r="K846" s="36"/>
      <c r="L846" s="36"/>
      <c r="M846" s="40"/>
      <c r="N846" s="23"/>
      <c r="O846" s="36"/>
      <c r="P846" s="40"/>
      <c r="Q846" s="36"/>
      <c r="R846" s="36"/>
      <c r="S846" s="40"/>
      <c r="T846" s="23"/>
      <c r="U846" s="23"/>
      <c r="V846" s="40"/>
      <c r="W846" s="23"/>
      <c r="X846" s="23"/>
      <c r="Y846" s="40"/>
      <c r="Z846" s="23"/>
      <c r="AA846" s="23"/>
      <c r="AB846" s="40"/>
      <c r="AC846" s="42"/>
      <c r="AD846" s="42"/>
      <c r="AE846" s="40"/>
      <c r="AF846" s="42"/>
      <c r="AG846" s="42"/>
      <c r="AH846" s="23"/>
      <c r="AI846" s="42"/>
      <c r="AJ846" s="42"/>
      <c r="AK846" s="40"/>
      <c r="AL846" s="84"/>
      <c r="AM846" s="84"/>
      <c r="AN846" s="40"/>
      <c r="AO846" s="23"/>
    </row>
    <row r="847" spans="1:41" ht="15.75" x14ac:dyDescent="0.25">
      <c r="A847" s="44"/>
      <c r="B847" s="23"/>
      <c r="C847" s="23"/>
      <c r="D847" s="36"/>
      <c r="E847" s="23"/>
      <c r="F847" s="23"/>
      <c r="G847" s="40"/>
      <c r="H847" s="23"/>
      <c r="I847" s="23"/>
      <c r="J847" s="40"/>
      <c r="K847" s="36"/>
      <c r="L847" s="36"/>
      <c r="M847" s="40"/>
      <c r="N847" s="23"/>
      <c r="O847" s="36"/>
      <c r="P847" s="40"/>
      <c r="Q847" s="36"/>
      <c r="R847" s="36"/>
      <c r="S847" s="40"/>
      <c r="T847" s="23"/>
      <c r="U847" s="23"/>
      <c r="V847" s="40"/>
      <c r="W847" s="23"/>
      <c r="X847" s="23"/>
      <c r="Y847" s="40"/>
      <c r="Z847" s="23"/>
      <c r="AA847" s="23"/>
      <c r="AB847" s="40"/>
      <c r="AC847" s="42"/>
      <c r="AD847" s="42"/>
      <c r="AE847" s="40"/>
      <c r="AF847" s="42"/>
      <c r="AG847" s="42"/>
      <c r="AH847" s="23"/>
      <c r="AI847" s="42"/>
      <c r="AJ847" s="42"/>
      <c r="AK847" s="40"/>
      <c r="AL847" s="84"/>
      <c r="AM847" s="84"/>
      <c r="AN847" s="40"/>
      <c r="AO847" s="23"/>
    </row>
    <row r="848" spans="1:41" ht="15.75" x14ac:dyDescent="0.25">
      <c r="A848" s="44"/>
      <c r="B848" s="23"/>
      <c r="C848" s="23"/>
      <c r="D848" s="36"/>
      <c r="E848" s="23"/>
      <c r="F848" s="23"/>
      <c r="G848" s="40"/>
      <c r="H848" s="23"/>
      <c r="I848" s="23"/>
      <c r="J848" s="40"/>
      <c r="K848" s="36"/>
      <c r="L848" s="36"/>
      <c r="M848" s="40"/>
      <c r="N848" s="23"/>
      <c r="O848" s="36"/>
      <c r="P848" s="40"/>
      <c r="Q848" s="36"/>
      <c r="R848" s="36"/>
      <c r="S848" s="40"/>
      <c r="T848" s="23"/>
      <c r="U848" s="23"/>
      <c r="V848" s="40"/>
      <c r="W848" s="23"/>
      <c r="X848" s="23"/>
      <c r="Y848" s="40"/>
      <c r="Z848" s="23"/>
      <c r="AA848" s="23"/>
      <c r="AB848" s="40"/>
      <c r="AC848" s="42"/>
      <c r="AD848" s="42"/>
      <c r="AE848" s="40"/>
      <c r="AF848" s="42"/>
      <c r="AG848" s="42"/>
      <c r="AH848" s="23"/>
      <c r="AI848" s="42"/>
      <c r="AJ848" s="42"/>
      <c r="AK848" s="40"/>
      <c r="AL848" s="84"/>
      <c r="AM848" s="84"/>
      <c r="AN848" s="40"/>
      <c r="AO848" s="23"/>
    </row>
    <row r="849" spans="1:41" ht="15.75" x14ac:dyDescent="0.25">
      <c r="A849" s="44"/>
      <c r="B849" s="23"/>
      <c r="C849" s="23"/>
      <c r="D849" s="36"/>
      <c r="E849" s="23"/>
      <c r="F849" s="23"/>
      <c r="G849" s="40"/>
      <c r="H849" s="23"/>
      <c r="I849" s="23"/>
      <c r="J849" s="40"/>
      <c r="K849" s="36"/>
      <c r="L849" s="36"/>
      <c r="M849" s="40"/>
      <c r="N849" s="23"/>
      <c r="O849" s="36"/>
      <c r="P849" s="40"/>
      <c r="Q849" s="36"/>
      <c r="R849" s="36"/>
      <c r="S849" s="40"/>
      <c r="T849" s="23"/>
      <c r="U849" s="23"/>
      <c r="V849" s="40"/>
      <c r="W849" s="23"/>
      <c r="X849" s="23"/>
      <c r="Y849" s="40"/>
      <c r="Z849" s="23"/>
      <c r="AA849" s="23"/>
      <c r="AB849" s="40"/>
      <c r="AC849" s="42"/>
      <c r="AD849" s="42"/>
      <c r="AE849" s="40"/>
      <c r="AF849" s="42"/>
      <c r="AG849" s="42"/>
      <c r="AH849" s="23"/>
      <c r="AI849" s="42"/>
      <c r="AJ849" s="42"/>
      <c r="AK849" s="40"/>
      <c r="AL849" s="84"/>
      <c r="AM849" s="84"/>
      <c r="AN849" s="40"/>
      <c r="AO849" s="23"/>
    </row>
    <row r="850" spans="1:41" ht="15.75" x14ac:dyDescent="0.25">
      <c r="A850" s="44"/>
      <c r="B850" s="23"/>
      <c r="C850" s="23"/>
      <c r="D850" s="36"/>
      <c r="E850" s="23"/>
      <c r="F850" s="23"/>
      <c r="G850" s="40"/>
      <c r="H850" s="23"/>
      <c r="I850" s="23"/>
      <c r="J850" s="40"/>
      <c r="K850" s="36"/>
      <c r="L850" s="36"/>
      <c r="M850" s="40"/>
      <c r="N850" s="23"/>
      <c r="O850" s="36"/>
      <c r="P850" s="40"/>
      <c r="Q850" s="36"/>
      <c r="R850" s="36"/>
      <c r="S850" s="40"/>
      <c r="T850" s="23"/>
      <c r="U850" s="23"/>
      <c r="V850" s="40"/>
      <c r="W850" s="23"/>
      <c r="X850" s="23"/>
      <c r="Y850" s="40"/>
      <c r="Z850" s="23"/>
      <c r="AA850" s="23"/>
      <c r="AB850" s="40"/>
      <c r="AC850" s="42"/>
      <c r="AD850" s="42"/>
      <c r="AE850" s="40"/>
      <c r="AF850" s="42"/>
      <c r="AG850" s="42"/>
      <c r="AH850" s="23"/>
      <c r="AI850" s="42"/>
      <c r="AJ850" s="42"/>
      <c r="AK850" s="40"/>
      <c r="AL850" s="84"/>
      <c r="AM850" s="84"/>
      <c r="AN850" s="40"/>
      <c r="AO850" s="23"/>
    </row>
    <row r="851" spans="1:41" ht="15.75" x14ac:dyDescent="0.25">
      <c r="A851" s="44"/>
      <c r="B851" s="23"/>
      <c r="C851" s="23"/>
      <c r="D851" s="36"/>
      <c r="E851" s="23"/>
      <c r="F851" s="23"/>
      <c r="G851" s="40"/>
      <c r="H851" s="23"/>
      <c r="I851" s="23"/>
      <c r="J851" s="40"/>
      <c r="K851" s="36"/>
      <c r="L851" s="36"/>
      <c r="M851" s="40"/>
      <c r="N851" s="23"/>
      <c r="O851" s="36"/>
      <c r="P851" s="40"/>
      <c r="Q851" s="36"/>
      <c r="R851" s="36"/>
      <c r="S851" s="40"/>
      <c r="T851" s="23"/>
      <c r="U851" s="23"/>
      <c r="V851" s="40"/>
      <c r="W851" s="23"/>
      <c r="X851" s="23"/>
      <c r="Y851" s="40"/>
      <c r="Z851" s="23"/>
      <c r="AA851" s="23"/>
      <c r="AB851" s="40"/>
      <c r="AC851" s="42"/>
      <c r="AD851" s="42"/>
      <c r="AE851" s="40"/>
      <c r="AF851" s="42"/>
      <c r="AG851" s="42"/>
      <c r="AH851" s="23"/>
      <c r="AI851" s="42"/>
      <c r="AJ851" s="42"/>
      <c r="AK851" s="40"/>
      <c r="AL851" s="84"/>
      <c r="AM851" s="84"/>
      <c r="AN851" s="40"/>
      <c r="AO851" s="23"/>
    </row>
    <row r="852" spans="1:41" ht="15.75" x14ac:dyDescent="0.25">
      <c r="A852" s="44"/>
      <c r="B852" s="23"/>
      <c r="C852" s="23"/>
      <c r="D852" s="36"/>
      <c r="E852" s="23"/>
      <c r="F852" s="23"/>
      <c r="G852" s="40"/>
      <c r="H852" s="23"/>
      <c r="I852" s="23"/>
      <c r="J852" s="40"/>
      <c r="K852" s="36"/>
      <c r="L852" s="36"/>
      <c r="M852" s="40"/>
      <c r="N852" s="23"/>
      <c r="O852" s="36"/>
      <c r="P852" s="40"/>
      <c r="Q852" s="36"/>
      <c r="R852" s="36"/>
      <c r="S852" s="40"/>
      <c r="T852" s="23"/>
      <c r="U852" s="23"/>
      <c r="V852" s="40"/>
      <c r="W852" s="23"/>
      <c r="X852" s="23"/>
      <c r="Y852" s="40"/>
      <c r="Z852" s="23"/>
      <c r="AA852" s="23"/>
      <c r="AB852" s="40"/>
      <c r="AC852" s="42"/>
      <c r="AD852" s="42"/>
      <c r="AE852" s="40"/>
      <c r="AF852" s="42"/>
      <c r="AG852" s="42"/>
      <c r="AH852" s="23"/>
      <c r="AI852" s="42"/>
      <c r="AJ852" s="42"/>
      <c r="AK852" s="40"/>
      <c r="AL852" s="84"/>
      <c r="AM852" s="84"/>
      <c r="AN852" s="40"/>
      <c r="AO852" s="23"/>
    </row>
    <row r="853" spans="1:41" ht="15.75" x14ac:dyDescent="0.25">
      <c r="A853" s="44"/>
      <c r="B853" s="23"/>
      <c r="C853" s="23"/>
      <c r="D853" s="36"/>
      <c r="E853" s="23"/>
      <c r="F853" s="23"/>
      <c r="G853" s="40"/>
      <c r="H853" s="23"/>
      <c r="I853" s="23"/>
      <c r="J853" s="40"/>
      <c r="K853" s="36"/>
      <c r="L853" s="36"/>
      <c r="M853" s="40"/>
      <c r="N853" s="23"/>
      <c r="O853" s="36"/>
      <c r="P853" s="40"/>
      <c r="Q853" s="36"/>
      <c r="R853" s="36"/>
      <c r="S853" s="40"/>
      <c r="T853" s="23"/>
      <c r="U853" s="23"/>
      <c r="V853" s="40"/>
      <c r="W853" s="23"/>
      <c r="X853" s="23"/>
      <c r="Y853" s="40"/>
      <c r="Z853" s="23"/>
      <c r="AA853" s="23"/>
      <c r="AB853" s="40"/>
      <c r="AC853" s="42"/>
      <c r="AD853" s="42"/>
      <c r="AE853" s="40"/>
      <c r="AF853" s="42"/>
      <c r="AG853" s="42"/>
      <c r="AH853" s="23"/>
      <c r="AI853" s="42"/>
      <c r="AJ853" s="42"/>
      <c r="AK853" s="40"/>
      <c r="AL853" s="84"/>
      <c r="AM853" s="84"/>
      <c r="AN853" s="40"/>
      <c r="AO853" s="23"/>
    </row>
    <row r="854" spans="1:41" ht="15.75" x14ac:dyDescent="0.25">
      <c r="A854" s="44"/>
      <c r="B854" s="23"/>
      <c r="C854" s="23"/>
      <c r="D854" s="36"/>
      <c r="E854" s="23"/>
      <c r="F854" s="23"/>
      <c r="G854" s="40"/>
      <c r="H854" s="23"/>
      <c r="I854" s="23"/>
      <c r="J854" s="40"/>
      <c r="K854" s="36"/>
      <c r="L854" s="36"/>
      <c r="M854" s="40"/>
      <c r="N854" s="23"/>
      <c r="O854" s="36"/>
      <c r="P854" s="40"/>
      <c r="Q854" s="36"/>
      <c r="R854" s="36"/>
      <c r="S854" s="40"/>
      <c r="T854" s="23"/>
      <c r="U854" s="23"/>
      <c r="V854" s="40"/>
      <c r="W854" s="23"/>
      <c r="X854" s="23"/>
      <c r="Y854" s="40"/>
      <c r="Z854" s="23"/>
      <c r="AA854" s="23"/>
      <c r="AB854" s="40"/>
      <c r="AC854" s="42"/>
      <c r="AD854" s="42"/>
      <c r="AE854" s="40"/>
      <c r="AF854" s="42"/>
      <c r="AG854" s="42"/>
      <c r="AH854" s="23"/>
      <c r="AI854" s="42"/>
      <c r="AJ854" s="42"/>
      <c r="AK854" s="40"/>
      <c r="AL854" s="84"/>
      <c r="AM854" s="84"/>
      <c r="AN854" s="40"/>
      <c r="AO854" s="23"/>
    </row>
    <row r="855" spans="1:41" ht="15.75" x14ac:dyDescent="0.25">
      <c r="A855" s="44"/>
      <c r="B855" s="23"/>
      <c r="C855" s="23"/>
      <c r="D855" s="36"/>
      <c r="E855" s="23"/>
      <c r="F855" s="23"/>
      <c r="G855" s="40"/>
      <c r="H855" s="23"/>
      <c r="I855" s="23"/>
      <c r="J855" s="40"/>
      <c r="K855" s="36"/>
      <c r="L855" s="36"/>
      <c r="M855" s="40"/>
      <c r="N855" s="23"/>
      <c r="O855" s="36"/>
      <c r="P855" s="40"/>
      <c r="Q855" s="36"/>
      <c r="R855" s="36"/>
      <c r="S855" s="40"/>
      <c r="T855" s="23"/>
      <c r="U855" s="23"/>
      <c r="V855" s="40"/>
      <c r="W855" s="23"/>
      <c r="X855" s="23"/>
      <c r="Y855" s="40"/>
      <c r="Z855" s="23"/>
      <c r="AA855" s="23"/>
      <c r="AB855" s="40"/>
      <c r="AC855" s="42"/>
      <c r="AD855" s="42"/>
      <c r="AE855" s="40"/>
      <c r="AF855" s="42"/>
      <c r="AG855" s="42"/>
      <c r="AH855" s="23"/>
      <c r="AI855" s="42"/>
      <c r="AJ855" s="42"/>
      <c r="AK855" s="40"/>
      <c r="AL855" s="84"/>
      <c r="AM855" s="84"/>
      <c r="AN855" s="40"/>
      <c r="AO855" s="23"/>
    </row>
    <row r="856" spans="1:41" ht="15.75" x14ac:dyDescent="0.25">
      <c r="A856" s="44"/>
      <c r="B856" s="23"/>
      <c r="C856" s="23"/>
      <c r="D856" s="36"/>
      <c r="E856" s="23"/>
      <c r="F856" s="23"/>
      <c r="G856" s="40"/>
      <c r="H856" s="23"/>
      <c r="I856" s="23"/>
      <c r="J856" s="40"/>
      <c r="K856" s="36"/>
      <c r="L856" s="36"/>
      <c r="M856" s="40"/>
      <c r="N856" s="23"/>
      <c r="O856" s="36"/>
      <c r="P856" s="40"/>
      <c r="Q856" s="36"/>
      <c r="R856" s="36"/>
      <c r="S856" s="40"/>
      <c r="T856" s="23"/>
      <c r="U856" s="23"/>
      <c r="V856" s="40"/>
      <c r="W856" s="23"/>
      <c r="X856" s="23"/>
      <c r="Y856" s="40"/>
      <c r="Z856" s="23"/>
      <c r="AA856" s="23"/>
      <c r="AB856" s="40"/>
      <c r="AC856" s="42"/>
      <c r="AD856" s="42"/>
      <c r="AE856" s="40"/>
      <c r="AF856" s="42"/>
      <c r="AG856" s="42"/>
      <c r="AH856" s="23"/>
      <c r="AI856" s="42"/>
      <c r="AJ856" s="42"/>
      <c r="AK856" s="40"/>
      <c r="AL856" s="84"/>
      <c r="AM856" s="84"/>
      <c r="AN856" s="40"/>
      <c r="AO856" s="23"/>
    </row>
    <row r="857" spans="1:41" ht="15.75" x14ac:dyDescent="0.25">
      <c r="A857" s="44"/>
      <c r="B857" s="23"/>
      <c r="C857" s="23"/>
      <c r="D857" s="36"/>
      <c r="E857" s="23"/>
      <c r="F857" s="23"/>
      <c r="G857" s="40"/>
      <c r="H857" s="23"/>
      <c r="I857" s="23"/>
      <c r="J857" s="40"/>
      <c r="K857" s="36"/>
      <c r="L857" s="36"/>
      <c r="M857" s="40"/>
      <c r="N857" s="23"/>
      <c r="O857" s="36"/>
      <c r="P857" s="40"/>
      <c r="Q857" s="36"/>
      <c r="R857" s="36"/>
      <c r="S857" s="40"/>
      <c r="T857" s="23"/>
      <c r="U857" s="23"/>
      <c r="V857" s="40"/>
      <c r="W857" s="23"/>
      <c r="X857" s="23"/>
      <c r="Y857" s="40"/>
      <c r="Z857" s="23"/>
      <c r="AA857" s="23"/>
      <c r="AB857" s="40"/>
      <c r="AC857" s="42"/>
      <c r="AD857" s="42"/>
      <c r="AE857" s="40"/>
      <c r="AF857" s="42"/>
      <c r="AG857" s="42"/>
      <c r="AH857" s="23"/>
      <c r="AI857" s="42"/>
      <c r="AJ857" s="42"/>
      <c r="AK857" s="40"/>
      <c r="AL857" s="84"/>
      <c r="AM857" s="84"/>
      <c r="AN857" s="40"/>
      <c r="AO857" s="23"/>
    </row>
    <row r="858" spans="1:41" ht="15.75" x14ac:dyDescent="0.25">
      <c r="A858" s="44"/>
      <c r="B858" s="23"/>
      <c r="C858" s="23"/>
      <c r="D858" s="36"/>
      <c r="E858" s="23"/>
      <c r="F858" s="23"/>
      <c r="G858" s="40"/>
      <c r="H858" s="23"/>
      <c r="I858" s="23"/>
      <c r="J858" s="40"/>
      <c r="K858" s="36"/>
      <c r="L858" s="36"/>
      <c r="M858" s="40"/>
      <c r="N858" s="23"/>
      <c r="O858" s="36"/>
      <c r="P858" s="40"/>
      <c r="Q858" s="36"/>
      <c r="R858" s="36"/>
      <c r="S858" s="40"/>
      <c r="T858" s="23"/>
      <c r="U858" s="23"/>
      <c r="V858" s="40"/>
      <c r="W858" s="23"/>
      <c r="X858" s="23"/>
      <c r="Y858" s="40"/>
      <c r="Z858" s="23"/>
      <c r="AA858" s="23"/>
      <c r="AB858" s="40"/>
      <c r="AC858" s="42"/>
      <c r="AD858" s="42"/>
      <c r="AE858" s="40"/>
      <c r="AF858" s="42"/>
      <c r="AG858" s="42"/>
      <c r="AH858" s="23"/>
      <c r="AI858" s="42"/>
      <c r="AJ858" s="42"/>
      <c r="AK858" s="40"/>
      <c r="AL858" s="84"/>
      <c r="AM858" s="84"/>
      <c r="AN858" s="40"/>
      <c r="AO858" s="23"/>
    </row>
    <row r="859" spans="1:41" ht="15.75" x14ac:dyDescent="0.25">
      <c r="A859" s="44"/>
      <c r="B859" s="23"/>
      <c r="C859" s="23"/>
      <c r="D859" s="36"/>
      <c r="E859" s="23"/>
      <c r="F859" s="23"/>
      <c r="G859" s="40"/>
      <c r="H859" s="23"/>
      <c r="I859" s="23"/>
      <c r="J859" s="40"/>
      <c r="K859" s="36"/>
      <c r="L859" s="36"/>
      <c r="M859" s="40"/>
      <c r="N859" s="23"/>
      <c r="O859" s="36"/>
      <c r="P859" s="40"/>
      <c r="Q859" s="36"/>
      <c r="R859" s="36"/>
      <c r="S859" s="40"/>
      <c r="T859" s="23"/>
      <c r="U859" s="23"/>
      <c r="V859" s="40"/>
      <c r="W859" s="23"/>
      <c r="X859" s="23"/>
      <c r="Y859" s="40"/>
      <c r="Z859" s="23"/>
      <c r="AA859" s="23"/>
      <c r="AB859" s="40"/>
      <c r="AC859" s="42"/>
      <c r="AD859" s="42"/>
      <c r="AE859" s="40"/>
      <c r="AF859" s="42"/>
      <c r="AG859" s="42"/>
      <c r="AH859" s="23"/>
      <c r="AI859" s="42"/>
      <c r="AJ859" s="42"/>
      <c r="AK859" s="40"/>
      <c r="AL859" s="84"/>
      <c r="AM859" s="84"/>
      <c r="AN859" s="40"/>
      <c r="AO859" s="23"/>
    </row>
    <row r="860" spans="1:41" ht="15.75" x14ac:dyDescent="0.25">
      <c r="A860" s="44"/>
      <c r="B860" s="23"/>
      <c r="C860" s="23"/>
      <c r="D860" s="36"/>
      <c r="E860" s="23"/>
      <c r="F860" s="23"/>
      <c r="G860" s="40"/>
      <c r="H860" s="23"/>
      <c r="I860" s="23"/>
      <c r="J860" s="40"/>
      <c r="K860" s="36"/>
      <c r="L860" s="36"/>
      <c r="M860" s="40"/>
      <c r="N860" s="23"/>
      <c r="O860" s="36"/>
      <c r="P860" s="40"/>
      <c r="Q860" s="36"/>
      <c r="R860" s="36"/>
      <c r="S860" s="40"/>
      <c r="T860" s="23"/>
      <c r="U860" s="23"/>
      <c r="V860" s="40"/>
      <c r="W860" s="23"/>
      <c r="X860" s="23"/>
      <c r="Y860" s="40"/>
      <c r="Z860" s="23"/>
      <c r="AA860" s="23"/>
      <c r="AB860" s="40"/>
      <c r="AC860" s="42"/>
      <c r="AD860" s="42"/>
      <c r="AE860" s="40"/>
      <c r="AF860" s="42"/>
      <c r="AG860" s="42"/>
      <c r="AH860" s="23"/>
      <c r="AI860" s="42"/>
      <c r="AJ860" s="42"/>
      <c r="AK860" s="40"/>
      <c r="AL860" s="84"/>
      <c r="AM860" s="84"/>
      <c r="AN860" s="40"/>
      <c r="AO860" s="23"/>
    </row>
    <row r="861" spans="1:41" ht="15.75" x14ac:dyDescent="0.25">
      <c r="A861" s="44"/>
      <c r="B861" s="23"/>
      <c r="C861" s="23"/>
      <c r="D861" s="36"/>
      <c r="E861" s="23"/>
      <c r="F861" s="23"/>
      <c r="G861" s="40"/>
      <c r="H861" s="23"/>
      <c r="I861" s="23"/>
      <c r="J861" s="40"/>
      <c r="K861" s="36"/>
      <c r="L861" s="36"/>
      <c r="M861" s="40"/>
      <c r="N861" s="23"/>
      <c r="O861" s="36"/>
      <c r="P861" s="40"/>
      <c r="Q861" s="36"/>
      <c r="R861" s="36"/>
      <c r="S861" s="40"/>
      <c r="T861" s="23"/>
      <c r="U861" s="23"/>
      <c r="V861" s="40"/>
      <c r="W861" s="23"/>
      <c r="X861" s="23"/>
      <c r="Y861" s="40"/>
      <c r="Z861" s="23"/>
      <c r="AA861" s="23"/>
      <c r="AB861" s="40"/>
      <c r="AC861" s="42"/>
      <c r="AD861" s="42"/>
      <c r="AE861" s="40"/>
      <c r="AF861" s="42"/>
      <c r="AG861" s="42"/>
      <c r="AH861" s="23"/>
      <c r="AI861" s="42"/>
      <c r="AJ861" s="42"/>
      <c r="AK861" s="40"/>
      <c r="AL861" s="84"/>
      <c r="AM861" s="84"/>
      <c r="AN861" s="40"/>
      <c r="AO861" s="23"/>
    </row>
    <row r="862" spans="1:41" ht="15.75" x14ac:dyDescent="0.25">
      <c r="A862" s="44"/>
      <c r="B862" s="23"/>
      <c r="C862" s="23"/>
      <c r="D862" s="36"/>
      <c r="E862" s="23"/>
      <c r="F862" s="23"/>
      <c r="G862" s="40"/>
      <c r="H862" s="23"/>
      <c r="I862" s="23"/>
      <c r="J862" s="40"/>
      <c r="K862" s="36"/>
      <c r="L862" s="36"/>
      <c r="M862" s="40"/>
      <c r="N862" s="23"/>
      <c r="O862" s="36"/>
      <c r="P862" s="40"/>
      <c r="Q862" s="36"/>
      <c r="R862" s="36"/>
      <c r="S862" s="40"/>
      <c r="T862" s="23"/>
      <c r="U862" s="23"/>
      <c r="V862" s="40"/>
      <c r="W862" s="23"/>
      <c r="X862" s="23"/>
      <c r="Y862" s="40"/>
      <c r="Z862" s="23"/>
      <c r="AA862" s="23"/>
      <c r="AB862" s="40"/>
      <c r="AC862" s="42"/>
      <c r="AD862" s="42"/>
      <c r="AE862" s="40"/>
      <c r="AF862" s="42"/>
      <c r="AG862" s="42"/>
      <c r="AH862" s="23"/>
      <c r="AI862" s="42"/>
      <c r="AJ862" s="42"/>
      <c r="AK862" s="40"/>
      <c r="AL862" s="84"/>
      <c r="AM862" s="84"/>
      <c r="AN862" s="40"/>
      <c r="AO862" s="23"/>
    </row>
    <row r="863" spans="1:41" ht="15.75" x14ac:dyDescent="0.25">
      <c r="A863" s="44"/>
      <c r="B863" s="23"/>
      <c r="C863" s="23"/>
      <c r="D863" s="36"/>
      <c r="E863" s="23"/>
      <c r="F863" s="23"/>
      <c r="G863" s="40"/>
      <c r="H863" s="23"/>
      <c r="I863" s="23"/>
      <c r="J863" s="40"/>
      <c r="K863" s="36"/>
      <c r="L863" s="36"/>
      <c r="M863" s="40"/>
      <c r="N863" s="23"/>
      <c r="O863" s="36"/>
      <c r="P863" s="40"/>
      <c r="Q863" s="36"/>
      <c r="R863" s="36"/>
      <c r="S863" s="40"/>
      <c r="T863" s="23"/>
      <c r="U863" s="23"/>
      <c r="V863" s="40"/>
      <c r="W863" s="23"/>
      <c r="X863" s="23"/>
      <c r="Y863" s="40"/>
      <c r="Z863" s="23"/>
      <c r="AA863" s="23"/>
      <c r="AB863" s="40"/>
      <c r="AC863" s="42"/>
      <c r="AD863" s="42"/>
      <c r="AE863" s="40"/>
      <c r="AF863" s="42"/>
      <c r="AG863" s="42"/>
      <c r="AH863" s="23"/>
      <c r="AI863" s="42"/>
      <c r="AJ863" s="42"/>
      <c r="AK863" s="40"/>
      <c r="AL863" s="84"/>
      <c r="AM863" s="84"/>
      <c r="AN863" s="40"/>
      <c r="AO863" s="23"/>
    </row>
    <row r="864" spans="1:41" ht="15.75" x14ac:dyDescent="0.25">
      <c r="A864" s="44"/>
      <c r="B864" s="23"/>
      <c r="C864" s="23"/>
      <c r="D864" s="36"/>
      <c r="E864" s="23"/>
      <c r="F864" s="23"/>
      <c r="G864" s="40"/>
      <c r="H864" s="23"/>
      <c r="I864" s="23"/>
      <c r="J864" s="40"/>
      <c r="K864" s="36"/>
      <c r="L864" s="36"/>
      <c r="M864" s="40"/>
      <c r="N864" s="23"/>
      <c r="O864" s="36"/>
      <c r="P864" s="40"/>
      <c r="Q864" s="36"/>
      <c r="R864" s="36"/>
      <c r="S864" s="40"/>
      <c r="T864" s="23"/>
      <c r="U864" s="23"/>
      <c r="V864" s="40"/>
      <c r="W864" s="23"/>
      <c r="X864" s="23"/>
      <c r="Y864" s="40"/>
      <c r="Z864" s="23"/>
      <c r="AA864" s="23"/>
      <c r="AB864" s="40"/>
      <c r="AC864" s="42"/>
      <c r="AD864" s="42"/>
      <c r="AE864" s="40"/>
      <c r="AF864" s="42"/>
      <c r="AG864" s="42"/>
      <c r="AH864" s="23"/>
      <c r="AI864" s="42"/>
      <c r="AJ864" s="42"/>
      <c r="AK864" s="40"/>
      <c r="AL864" s="84"/>
      <c r="AM864" s="84"/>
      <c r="AN864" s="40"/>
      <c r="AO864" s="23"/>
    </row>
    <row r="865" spans="1:41" ht="15.75" x14ac:dyDescent="0.25">
      <c r="A865" s="44"/>
      <c r="B865" s="23"/>
      <c r="C865" s="23"/>
      <c r="D865" s="36"/>
      <c r="E865" s="23"/>
      <c r="F865" s="23"/>
      <c r="G865" s="40"/>
      <c r="H865" s="23"/>
      <c r="I865" s="23"/>
      <c r="J865" s="40"/>
      <c r="K865" s="36"/>
      <c r="L865" s="36"/>
      <c r="M865" s="40"/>
      <c r="N865" s="23"/>
      <c r="O865" s="36"/>
      <c r="P865" s="40"/>
      <c r="Q865" s="36"/>
      <c r="R865" s="36"/>
      <c r="S865" s="40"/>
      <c r="T865" s="23"/>
      <c r="U865" s="23"/>
      <c r="V865" s="40"/>
      <c r="W865" s="23"/>
      <c r="X865" s="23"/>
      <c r="Y865" s="40"/>
      <c r="Z865" s="23"/>
      <c r="AA865" s="23"/>
      <c r="AB865" s="40"/>
      <c r="AC865" s="42"/>
      <c r="AD865" s="42"/>
      <c r="AE865" s="40"/>
      <c r="AF865" s="42"/>
      <c r="AG865" s="42"/>
      <c r="AH865" s="23"/>
      <c r="AI865" s="42"/>
      <c r="AJ865" s="42"/>
      <c r="AK865" s="40"/>
      <c r="AL865" s="84"/>
      <c r="AM865" s="84"/>
      <c r="AN865" s="40"/>
      <c r="AO865" s="23"/>
    </row>
    <row r="866" spans="1:41" ht="15.75" x14ac:dyDescent="0.25">
      <c r="A866" s="44"/>
      <c r="B866" s="23"/>
      <c r="C866" s="23"/>
      <c r="D866" s="36"/>
      <c r="E866" s="23"/>
      <c r="F866" s="23"/>
      <c r="G866" s="40"/>
      <c r="H866" s="23"/>
      <c r="I866" s="23"/>
      <c r="J866" s="40"/>
      <c r="K866" s="36"/>
      <c r="L866" s="36"/>
      <c r="M866" s="40"/>
      <c r="N866" s="23"/>
      <c r="O866" s="36"/>
      <c r="P866" s="40"/>
      <c r="Q866" s="36"/>
      <c r="R866" s="36"/>
      <c r="S866" s="40"/>
      <c r="T866" s="23"/>
      <c r="U866" s="23"/>
      <c r="V866" s="40"/>
      <c r="W866" s="23"/>
      <c r="X866" s="23"/>
      <c r="Y866" s="40"/>
      <c r="Z866" s="23"/>
      <c r="AA866" s="23"/>
      <c r="AB866" s="40"/>
      <c r="AC866" s="42"/>
      <c r="AD866" s="42"/>
      <c r="AE866" s="40"/>
      <c r="AF866" s="42"/>
      <c r="AG866" s="42"/>
      <c r="AH866" s="23"/>
      <c r="AI866" s="42"/>
      <c r="AJ866" s="42"/>
      <c r="AK866" s="40"/>
      <c r="AL866" s="84"/>
      <c r="AM866" s="84"/>
      <c r="AN866" s="40"/>
      <c r="AO866" s="23"/>
    </row>
    <row r="867" spans="1:41" ht="15.75" x14ac:dyDescent="0.25">
      <c r="A867" s="44"/>
      <c r="B867" s="23"/>
      <c r="C867" s="23"/>
      <c r="D867" s="36"/>
      <c r="E867" s="23"/>
      <c r="F867" s="23"/>
      <c r="G867" s="40"/>
      <c r="H867" s="23"/>
      <c r="I867" s="23"/>
      <c r="J867" s="40"/>
      <c r="K867" s="36"/>
      <c r="L867" s="36"/>
      <c r="M867" s="40"/>
      <c r="N867" s="23"/>
      <c r="O867" s="36"/>
      <c r="P867" s="40"/>
      <c r="Q867" s="36"/>
      <c r="R867" s="36"/>
      <c r="S867" s="40"/>
      <c r="T867" s="23"/>
      <c r="U867" s="23"/>
      <c r="V867" s="40"/>
      <c r="W867" s="23"/>
      <c r="X867" s="23"/>
      <c r="Y867" s="40"/>
      <c r="Z867" s="23"/>
      <c r="AA867" s="23"/>
      <c r="AB867" s="40"/>
      <c r="AC867" s="42"/>
      <c r="AD867" s="42"/>
      <c r="AE867" s="40"/>
      <c r="AF867" s="42"/>
      <c r="AG867" s="42"/>
      <c r="AH867" s="23"/>
      <c r="AI867" s="42"/>
      <c r="AJ867" s="42"/>
      <c r="AK867" s="40"/>
      <c r="AL867" s="84"/>
      <c r="AM867" s="84"/>
      <c r="AN867" s="40"/>
      <c r="AO867" s="23"/>
    </row>
    <row r="868" spans="1:41" ht="15.75" x14ac:dyDescent="0.25">
      <c r="A868" s="44"/>
      <c r="B868" s="23"/>
      <c r="C868" s="23"/>
      <c r="D868" s="36"/>
      <c r="E868" s="23"/>
      <c r="F868" s="23"/>
      <c r="G868" s="40"/>
      <c r="H868" s="23"/>
      <c r="I868" s="23"/>
      <c r="J868" s="40"/>
      <c r="K868" s="36"/>
      <c r="L868" s="36"/>
      <c r="M868" s="40"/>
      <c r="N868" s="23"/>
      <c r="O868" s="36"/>
      <c r="P868" s="40"/>
      <c r="Q868" s="36"/>
      <c r="R868" s="36"/>
      <c r="S868" s="40"/>
      <c r="T868" s="23"/>
      <c r="U868" s="23"/>
      <c r="V868" s="40"/>
      <c r="W868" s="23"/>
      <c r="X868" s="23"/>
      <c r="Y868" s="40"/>
      <c r="Z868" s="23"/>
      <c r="AA868" s="23"/>
      <c r="AB868" s="40"/>
      <c r="AC868" s="42"/>
      <c r="AD868" s="42"/>
      <c r="AE868" s="40"/>
      <c r="AF868" s="42"/>
      <c r="AG868" s="42"/>
      <c r="AH868" s="23"/>
      <c r="AI868" s="42"/>
      <c r="AJ868" s="42"/>
      <c r="AK868" s="40"/>
      <c r="AL868" s="84"/>
      <c r="AM868" s="84"/>
      <c r="AN868" s="40"/>
      <c r="AO868" s="23"/>
    </row>
    <row r="869" spans="1:41" ht="15.75" x14ac:dyDescent="0.25">
      <c r="A869" s="44"/>
      <c r="B869" s="23"/>
      <c r="C869" s="23"/>
      <c r="D869" s="36"/>
      <c r="E869" s="23"/>
      <c r="F869" s="23"/>
      <c r="G869" s="40"/>
      <c r="H869" s="23"/>
      <c r="I869" s="23"/>
      <c r="J869" s="40"/>
      <c r="K869" s="36"/>
      <c r="L869" s="36"/>
      <c r="M869" s="40"/>
      <c r="N869" s="23"/>
      <c r="O869" s="36"/>
      <c r="P869" s="40"/>
      <c r="Q869" s="36"/>
      <c r="R869" s="36"/>
      <c r="S869" s="40"/>
      <c r="T869" s="23"/>
      <c r="U869" s="23"/>
      <c r="V869" s="40"/>
      <c r="W869" s="23"/>
      <c r="X869" s="23"/>
      <c r="Y869" s="40"/>
      <c r="Z869" s="23"/>
      <c r="AA869" s="23"/>
      <c r="AB869" s="40"/>
      <c r="AC869" s="42"/>
      <c r="AD869" s="42"/>
      <c r="AE869" s="40"/>
      <c r="AF869" s="42"/>
      <c r="AG869" s="42"/>
      <c r="AH869" s="23"/>
      <c r="AI869" s="42"/>
      <c r="AJ869" s="42"/>
      <c r="AK869" s="40"/>
      <c r="AL869" s="84"/>
      <c r="AM869" s="84"/>
      <c r="AN869" s="40"/>
      <c r="AO869" s="23"/>
    </row>
    <row r="870" spans="1:41" ht="15.75" x14ac:dyDescent="0.25">
      <c r="A870" s="44"/>
      <c r="B870" s="23"/>
      <c r="C870" s="23"/>
      <c r="D870" s="36"/>
      <c r="E870" s="23"/>
      <c r="F870" s="23"/>
      <c r="G870" s="40"/>
      <c r="H870" s="23"/>
      <c r="I870" s="23"/>
      <c r="J870" s="40"/>
      <c r="K870" s="36"/>
      <c r="L870" s="36"/>
      <c r="M870" s="40"/>
      <c r="N870" s="23"/>
      <c r="O870" s="36"/>
      <c r="P870" s="40"/>
      <c r="Q870" s="36"/>
      <c r="R870" s="36"/>
      <c r="S870" s="40"/>
      <c r="T870" s="23"/>
      <c r="U870" s="23"/>
      <c r="V870" s="40"/>
      <c r="W870" s="23"/>
      <c r="X870" s="23"/>
      <c r="Y870" s="40"/>
      <c r="Z870" s="23"/>
      <c r="AA870" s="23"/>
      <c r="AB870" s="40"/>
      <c r="AC870" s="42"/>
      <c r="AD870" s="42"/>
      <c r="AE870" s="40"/>
      <c r="AF870" s="42"/>
      <c r="AG870" s="42"/>
      <c r="AH870" s="23"/>
      <c r="AI870" s="42"/>
      <c r="AJ870" s="42"/>
      <c r="AK870" s="40"/>
      <c r="AL870" s="84"/>
      <c r="AM870" s="84"/>
      <c r="AN870" s="40"/>
      <c r="AO870" s="23"/>
    </row>
    <row r="871" spans="1:41" ht="15.75" x14ac:dyDescent="0.25">
      <c r="A871" s="44"/>
      <c r="B871" s="23"/>
      <c r="C871" s="23"/>
      <c r="D871" s="36"/>
      <c r="E871" s="23"/>
      <c r="F871" s="23"/>
      <c r="G871" s="40"/>
      <c r="H871" s="23"/>
      <c r="I871" s="23"/>
      <c r="J871" s="40"/>
      <c r="K871" s="36"/>
      <c r="L871" s="36"/>
      <c r="M871" s="40"/>
      <c r="N871" s="23"/>
      <c r="O871" s="36"/>
      <c r="P871" s="40"/>
      <c r="Q871" s="36"/>
      <c r="R871" s="36"/>
      <c r="S871" s="40"/>
      <c r="T871" s="23"/>
      <c r="U871" s="23"/>
      <c r="V871" s="40"/>
      <c r="W871" s="23"/>
      <c r="X871" s="23"/>
      <c r="Y871" s="40"/>
      <c r="Z871" s="23"/>
      <c r="AA871" s="23"/>
      <c r="AB871" s="40"/>
      <c r="AC871" s="42"/>
      <c r="AD871" s="42"/>
      <c r="AE871" s="40"/>
      <c r="AF871" s="42"/>
      <c r="AG871" s="42"/>
      <c r="AH871" s="23"/>
      <c r="AI871" s="42"/>
      <c r="AJ871" s="42"/>
      <c r="AK871" s="40"/>
      <c r="AL871" s="84"/>
      <c r="AM871" s="84"/>
      <c r="AN871" s="40"/>
      <c r="AO871" s="23"/>
    </row>
    <row r="872" spans="1:41" ht="15.75" x14ac:dyDescent="0.25">
      <c r="A872" s="44"/>
      <c r="B872" s="23"/>
      <c r="C872" s="23"/>
      <c r="D872" s="36"/>
      <c r="E872" s="23"/>
      <c r="F872" s="23"/>
      <c r="G872" s="40"/>
      <c r="H872" s="23"/>
      <c r="I872" s="23"/>
      <c r="J872" s="40"/>
      <c r="K872" s="36"/>
      <c r="L872" s="36"/>
      <c r="M872" s="40"/>
      <c r="N872" s="23"/>
      <c r="O872" s="36"/>
      <c r="P872" s="40"/>
      <c r="Q872" s="36"/>
      <c r="R872" s="36"/>
      <c r="S872" s="40"/>
      <c r="T872" s="23"/>
      <c r="U872" s="23"/>
      <c r="V872" s="40"/>
      <c r="W872" s="23"/>
      <c r="X872" s="23"/>
      <c r="Y872" s="40"/>
      <c r="Z872" s="23"/>
      <c r="AA872" s="23"/>
      <c r="AB872" s="40"/>
      <c r="AC872" s="42"/>
      <c r="AD872" s="42"/>
      <c r="AE872" s="40"/>
      <c r="AF872" s="42"/>
      <c r="AG872" s="42"/>
      <c r="AH872" s="23"/>
      <c r="AI872" s="42"/>
      <c r="AJ872" s="42"/>
      <c r="AK872" s="40"/>
      <c r="AL872" s="84"/>
      <c r="AM872" s="84"/>
      <c r="AN872" s="40"/>
      <c r="AO872" s="23"/>
    </row>
    <row r="873" spans="1:41" ht="15.75" x14ac:dyDescent="0.25">
      <c r="A873" s="44"/>
      <c r="B873" s="23"/>
      <c r="C873" s="23"/>
      <c r="D873" s="36"/>
      <c r="E873" s="23"/>
      <c r="F873" s="23"/>
      <c r="G873" s="40"/>
      <c r="H873" s="23"/>
      <c r="I873" s="23"/>
      <c r="J873" s="40"/>
      <c r="K873" s="36"/>
      <c r="L873" s="36"/>
      <c r="M873" s="40"/>
      <c r="N873" s="23"/>
      <c r="O873" s="36"/>
      <c r="P873" s="40"/>
      <c r="Q873" s="36"/>
      <c r="R873" s="36"/>
      <c r="S873" s="40"/>
      <c r="T873" s="23"/>
      <c r="U873" s="23"/>
      <c r="V873" s="40"/>
      <c r="W873" s="23"/>
      <c r="X873" s="23"/>
      <c r="Y873" s="40"/>
      <c r="Z873" s="23"/>
      <c r="AA873" s="23"/>
      <c r="AB873" s="40"/>
      <c r="AC873" s="42"/>
      <c r="AD873" s="42"/>
      <c r="AE873" s="40"/>
      <c r="AF873" s="42"/>
      <c r="AG873" s="42"/>
      <c r="AH873" s="23"/>
      <c r="AI873" s="42"/>
      <c r="AJ873" s="42"/>
      <c r="AK873" s="40"/>
      <c r="AL873" s="84"/>
      <c r="AM873" s="84"/>
      <c r="AN873" s="40"/>
      <c r="AO873" s="23"/>
    </row>
    <row r="874" spans="1:41" ht="15.75" x14ac:dyDescent="0.25">
      <c r="A874" s="44"/>
      <c r="B874" s="23"/>
      <c r="C874" s="23"/>
      <c r="D874" s="36"/>
      <c r="E874" s="23"/>
      <c r="F874" s="23"/>
      <c r="G874" s="40"/>
      <c r="H874" s="23"/>
      <c r="I874" s="23"/>
      <c r="J874" s="40"/>
      <c r="K874" s="36"/>
      <c r="L874" s="36"/>
      <c r="M874" s="40"/>
      <c r="N874" s="23"/>
      <c r="O874" s="36"/>
      <c r="P874" s="40"/>
      <c r="Q874" s="36"/>
      <c r="R874" s="36"/>
      <c r="S874" s="40"/>
      <c r="T874" s="23"/>
      <c r="U874" s="23"/>
      <c r="V874" s="40"/>
      <c r="W874" s="23"/>
      <c r="X874" s="23"/>
      <c r="Y874" s="40"/>
      <c r="Z874" s="23"/>
      <c r="AA874" s="23"/>
      <c r="AB874" s="40"/>
      <c r="AC874" s="42"/>
      <c r="AD874" s="42"/>
      <c r="AE874" s="40"/>
      <c r="AF874" s="42"/>
      <c r="AG874" s="42"/>
      <c r="AH874" s="23"/>
      <c r="AI874" s="42"/>
      <c r="AJ874" s="42"/>
      <c r="AK874" s="40"/>
      <c r="AL874" s="84"/>
      <c r="AM874" s="84"/>
      <c r="AN874" s="40"/>
      <c r="AO874" s="23"/>
    </row>
    <row r="875" spans="1:41" ht="15.75" x14ac:dyDescent="0.25">
      <c r="A875" s="44"/>
      <c r="B875" s="23"/>
      <c r="C875" s="23"/>
      <c r="D875" s="36"/>
      <c r="E875" s="23"/>
      <c r="F875" s="23"/>
      <c r="G875" s="40"/>
      <c r="H875" s="23"/>
      <c r="I875" s="23"/>
      <c r="J875" s="40"/>
      <c r="K875" s="36"/>
      <c r="L875" s="36"/>
      <c r="M875" s="40"/>
      <c r="N875" s="23"/>
      <c r="O875" s="36"/>
      <c r="P875" s="40"/>
      <c r="Q875" s="36"/>
      <c r="R875" s="36"/>
      <c r="S875" s="40"/>
      <c r="T875" s="23"/>
      <c r="U875" s="23"/>
      <c r="V875" s="40"/>
      <c r="W875" s="23"/>
      <c r="X875" s="23"/>
      <c r="Y875" s="40"/>
      <c r="Z875" s="23"/>
      <c r="AA875" s="23"/>
      <c r="AB875" s="40"/>
      <c r="AC875" s="42"/>
      <c r="AD875" s="42"/>
      <c r="AE875" s="40"/>
      <c r="AF875" s="42"/>
      <c r="AG875" s="42"/>
      <c r="AH875" s="23"/>
      <c r="AI875" s="42"/>
      <c r="AJ875" s="42"/>
      <c r="AK875" s="40"/>
      <c r="AL875" s="84"/>
      <c r="AM875" s="84"/>
      <c r="AN875" s="40"/>
      <c r="AO875" s="23"/>
    </row>
    <row r="876" spans="1:41" ht="15.75" x14ac:dyDescent="0.25">
      <c r="A876" s="44"/>
      <c r="B876" s="23"/>
      <c r="C876" s="23"/>
      <c r="D876" s="36"/>
      <c r="E876" s="23"/>
      <c r="F876" s="23"/>
      <c r="G876" s="40"/>
      <c r="H876" s="23"/>
      <c r="I876" s="23"/>
      <c r="J876" s="40"/>
      <c r="K876" s="36"/>
      <c r="L876" s="36"/>
      <c r="M876" s="40"/>
      <c r="N876" s="23"/>
      <c r="O876" s="36"/>
      <c r="P876" s="40"/>
      <c r="Q876" s="36"/>
      <c r="R876" s="36"/>
      <c r="S876" s="40"/>
      <c r="T876" s="23"/>
      <c r="U876" s="23"/>
      <c r="V876" s="40"/>
      <c r="W876" s="23"/>
      <c r="X876" s="23"/>
      <c r="Y876" s="40"/>
      <c r="Z876" s="23"/>
      <c r="AA876" s="23"/>
      <c r="AB876" s="40"/>
      <c r="AC876" s="42"/>
      <c r="AD876" s="42"/>
      <c r="AE876" s="40"/>
      <c r="AF876" s="42"/>
      <c r="AG876" s="42"/>
      <c r="AH876" s="23"/>
      <c r="AI876" s="42"/>
      <c r="AJ876" s="42"/>
      <c r="AK876" s="40"/>
      <c r="AL876" s="84"/>
      <c r="AM876" s="84"/>
      <c r="AN876" s="40"/>
      <c r="AO876" s="23"/>
    </row>
    <row r="877" spans="1:41" ht="15.75" x14ac:dyDescent="0.25">
      <c r="A877" s="44"/>
      <c r="B877" s="23"/>
      <c r="C877" s="23"/>
      <c r="D877" s="36"/>
      <c r="E877" s="23"/>
      <c r="F877" s="23"/>
      <c r="G877" s="40"/>
      <c r="H877" s="23"/>
      <c r="I877" s="23"/>
      <c r="J877" s="40"/>
      <c r="K877" s="36"/>
      <c r="L877" s="36"/>
      <c r="M877" s="40"/>
      <c r="N877" s="23"/>
      <c r="O877" s="36"/>
      <c r="P877" s="40"/>
      <c r="Q877" s="36"/>
      <c r="R877" s="36"/>
      <c r="S877" s="40"/>
      <c r="T877" s="23"/>
      <c r="U877" s="23"/>
      <c r="V877" s="40"/>
      <c r="W877" s="23"/>
      <c r="X877" s="23"/>
      <c r="Y877" s="40"/>
      <c r="Z877" s="23"/>
      <c r="AA877" s="23"/>
      <c r="AB877" s="40"/>
      <c r="AC877" s="42"/>
      <c r="AD877" s="42"/>
      <c r="AE877" s="40"/>
      <c r="AF877" s="42"/>
      <c r="AG877" s="42"/>
      <c r="AH877" s="23"/>
      <c r="AI877" s="42"/>
      <c r="AJ877" s="42"/>
      <c r="AK877" s="40"/>
      <c r="AL877" s="84"/>
      <c r="AM877" s="84"/>
      <c r="AN877" s="40"/>
      <c r="AO877" s="23"/>
    </row>
    <row r="878" spans="1:41" ht="15.75" x14ac:dyDescent="0.25">
      <c r="A878" s="44"/>
      <c r="B878" s="23"/>
      <c r="C878" s="23"/>
      <c r="D878" s="36"/>
      <c r="E878" s="23"/>
      <c r="F878" s="23"/>
      <c r="G878" s="40"/>
      <c r="H878" s="23"/>
      <c r="I878" s="23"/>
      <c r="J878" s="40"/>
      <c r="K878" s="36"/>
      <c r="L878" s="36"/>
      <c r="M878" s="40"/>
      <c r="N878" s="23"/>
      <c r="O878" s="36"/>
      <c r="P878" s="40"/>
      <c r="Q878" s="36"/>
      <c r="R878" s="36"/>
      <c r="S878" s="40"/>
      <c r="T878" s="23"/>
      <c r="U878" s="23"/>
      <c r="V878" s="40"/>
      <c r="W878" s="23"/>
      <c r="X878" s="23"/>
      <c r="Y878" s="40"/>
      <c r="Z878" s="23"/>
      <c r="AA878" s="23"/>
      <c r="AB878" s="40"/>
      <c r="AC878" s="42"/>
      <c r="AD878" s="42"/>
      <c r="AE878" s="40"/>
      <c r="AF878" s="42"/>
      <c r="AG878" s="42"/>
      <c r="AH878" s="23"/>
      <c r="AI878" s="42"/>
      <c r="AJ878" s="42"/>
      <c r="AK878" s="40"/>
      <c r="AL878" s="84"/>
      <c r="AM878" s="84"/>
      <c r="AN878" s="40"/>
      <c r="AO878" s="23"/>
    </row>
    <row r="879" spans="1:41" ht="15.75" x14ac:dyDescent="0.25">
      <c r="A879" s="44"/>
      <c r="B879" s="23"/>
      <c r="C879" s="23"/>
      <c r="D879" s="36"/>
      <c r="E879" s="23"/>
      <c r="F879" s="23"/>
      <c r="G879" s="40"/>
      <c r="H879" s="23"/>
      <c r="I879" s="23"/>
      <c r="J879" s="40"/>
      <c r="K879" s="36"/>
      <c r="L879" s="36"/>
      <c r="M879" s="40"/>
      <c r="N879" s="23"/>
      <c r="O879" s="36"/>
      <c r="P879" s="40"/>
      <c r="Q879" s="36"/>
      <c r="R879" s="36"/>
      <c r="S879" s="40"/>
      <c r="T879" s="23"/>
      <c r="U879" s="23"/>
      <c r="V879" s="40"/>
      <c r="W879" s="23"/>
      <c r="X879" s="23"/>
      <c r="Y879" s="40"/>
      <c r="Z879" s="23"/>
      <c r="AA879" s="23"/>
      <c r="AB879" s="40"/>
      <c r="AC879" s="42"/>
      <c r="AD879" s="42"/>
      <c r="AE879" s="40"/>
      <c r="AF879" s="42"/>
      <c r="AG879" s="42"/>
      <c r="AH879" s="23"/>
      <c r="AI879" s="42"/>
      <c r="AJ879" s="42"/>
      <c r="AK879" s="40"/>
      <c r="AL879" s="84"/>
      <c r="AM879" s="84"/>
      <c r="AN879" s="40"/>
      <c r="AO879" s="23"/>
    </row>
    <row r="880" spans="1:41" ht="15.75" x14ac:dyDescent="0.25">
      <c r="A880" s="44"/>
      <c r="B880" s="23"/>
      <c r="C880" s="23"/>
      <c r="D880" s="36"/>
      <c r="E880" s="23"/>
      <c r="F880" s="23"/>
      <c r="G880" s="40"/>
      <c r="H880" s="23"/>
      <c r="I880" s="23"/>
      <c r="J880" s="40"/>
      <c r="K880" s="36"/>
      <c r="L880" s="36"/>
      <c r="M880" s="40"/>
      <c r="N880" s="23"/>
      <c r="O880" s="36"/>
      <c r="P880" s="40"/>
      <c r="Q880" s="36"/>
      <c r="R880" s="36"/>
      <c r="S880" s="40"/>
      <c r="T880" s="23"/>
      <c r="U880" s="23"/>
      <c r="V880" s="40"/>
      <c r="W880" s="23"/>
      <c r="X880" s="23"/>
      <c r="Y880" s="40"/>
      <c r="Z880" s="23"/>
      <c r="AA880" s="23"/>
      <c r="AB880" s="40"/>
      <c r="AC880" s="42"/>
      <c r="AD880" s="42"/>
      <c r="AE880" s="40"/>
      <c r="AF880" s="42"/>
      <c r="AG880" s="42"/>
      <c r="AH880" s="23"/>
      <c r="AI880" s="42"/>
      <c r="AJ880" s="42"/>
      <c r="AK880" s="40"/>
      <c r="AL880" s="84"/>
      <c r="AM880" s="84"/>
      <c r="AN880" s="40"/>
      <c r="AO880" s="23"/>
    </row>
    <row r="881" spans="1:41" ht="15.75" x14ac:dyDescent="0.25">
      <c r="A881" s="44"/>
      <c r="B881" s="23"/>
      <c r="C881" s="23"/>
      <c r="D881" s="36"/>
      <c r="E881" s="23"/>
      <c r="F881" s="23"/>
      <c r="G881" s="40"/>
      <c r="H881" s="23"/>
      <c r="I881" s="23"/>
      <c r="J881" s="40"/>
      <c r="K881" s="36"/>
      <c r="L881" s="36"/>
      <c r="M881" s="40"/>
      <c r="N881" s="23"/>
      <c r="O881" s="36"/>
      <c r="P881" s="40"/>
      <c r="Q881" s="36"/>
      <c r="R881" s="36"/>
      <c r="S881" s="40"/>
      <c r="T881" s="23"/>
      <c r="U881" s="23"/>
      <c r="V881" s="40"/>
      <c r="W881" s="23"/>
      <c r="X881" s="23"/>
      <c r="Y881" s="40"/>
      <c r="Z881" s="23"/>
      <c r="AA881" s="23"/>
      <c r="AB881" s="40"/>
      <c r="AC881" s="42"/>
      <c r="AD881" s="42"/>
      <c r="AE881" s="40"/>
      <c r="AF881" s="42"/>
      <c r="AG881" s="42"/>
      <c r="AH881" s="23"/>
      <c r="AI881" s="42"/>
      <c r="AJ881" s="42"/>
      <c r="AK881" s="40"/>
      <c r="AL881" s="84"/>
      <c r="AM881" s="84"/>
      <c r="AN881" s="40"/>
      <c r="AO881" s="23"/>
    </row>
    <row r="882" spans="1:41" ht="15.75" x14ac:dyDescent="0.25">
      <c r="A882" s="44"/>
      <c r="B882" s="23"/>
      <c r="C882" s="23"/>
      <c r="D882" s="36"/>
      <c r="E882" s="23"/>
      <c r="F882" s="23"/>
      <c r="G882" s="40"/>
      <c r="H882" s="23"/>
      <c r="I882" s="23"/>
      <c r="J882" s="40"/>
      <c r="K882" s="36"/>
      <c r="L882" s="36"/>
      <c r="M882" s="40"/>
      <c r="N882" s="23"/>
      <c r="O882" s="36"/>
      <c r="P882" s="40"/>
      <c r="Q882" s="36"/>
      <c r="R882" s="36"/>
      <c r="S882" s="40"/>
      <c r="T882" s="23"/>
      <c r="U882" s="23"/>
      <c r="V882" s="40"/>
      <c r="W882" s="23"/>
      <c r="X882" s="23"/>
      <c r="Y882" s="40"/>
      <c r="Z882" s="23"/>
      <c r="AA882" s="23"/>
      <c r="AB882" s="40"/>
      <c r="AC882" s="42"/>
      <c r="AD882" s="42"/>
      <c r="AE882" s="40"/>
      <c r="AF882" s="42"/>
      <c r="AG882" s="42"/>
      <c r="AH882" s="23"/>
      <c r="AI882" s="42"/>
      <c r="AJ882" s="42"/>
      <c r="AK882" s="40"/>
      <c r="AL882" s="84"/>
      <c r="AM882" s="84"/>
      <c r="AN882" s="40"/>
      <c r="AO882" s="23"/>
    </row>
    <row r="883" spans="1:41" ht="15.75" x14ac:dyDescent="0.25">
      <c r="A883" s="44"/>
      <c r="B883" s="23"/>
      <c r="C883" s="23"/>
      <c r="D883" s="36"/>
      <c r="E883" s="23"/>
      <c r="F883" s="23"/>
      <c r="G883" s="40"/>
      <c r="H883" s="23"/>
      <c r="I883" s="23"/>
      <c r="J883" s="40"/>
      <c r="K883" s="36"/>
      <c r="L883" s="36"/>
      <c r="M883" s="40"/>
      <c r="N883" s="23"/>
      <c r="O883" s="36"/>
      <c r="P883" s="40"/>
      <c r="Q883" s="36"/>
      <c r="R883" s="36"/>
      <c r="S883" s="40"/>
      <c r="T883" s="23"/>
      <c r="U883" s="23"/>
      <c r="V883" s="40"/>
      <c r="W883" s="23"/>
      <c r="X883" s="23"/>
      <c r="Y883" s="40"/>
      <c r="Z883" s="23"/>
      <c r="AA883" s="23"/>
      <c r="AB883" s="40"/>
      <c r="AC883" s="42"/>
      <c r="AD883" s="42"/>
      <c r="AE883" s="40"/>
      <c r="AF883" s="42"/>
      <c r="AG883" s="42"/>
      <c r="AH883" s="23"/>
      <c r="AI883" s="42"/>
      <c r="AJ883" s="42"/>
      <c r="AK883" s="40"/>
      <c r="AL883" s="84"/>
      <c r="AM883" s="84"/>
      <c r="AN883" s="40"/>
      <c r="AO883" s="23"/>
    </row>
    <row r="884" spans="1:41" ht="15.75" x14ac:dyDescent="0.25">
      <c r="A884" s="44"/>
      <c r="B884" s="23"/>
      <c r="C884" s="23"/>
      <c r="D884" s="36"/>
      <c r="E884" s="23"/>
      <c r="F884" s="23"/>
      <c r="G884" s="40"/>
      <c r="H884" s="23"/>
      <c r="I884" s="23"/>
      <c r="J884" s="40"/>
      <c r="K884" s="36"/>
      <c r="L884" s="36"/>
      <c r="M884" s="40"/>
      <c r="N884" s="23"/>
      <c r="O884" s="36"/>
      <c r="P884" s="40"/>
      <c r="Q884" s="36"/>
      <c r="R884" s="36"/>
      <c r="S884" s="40"/>
      <c r="T884" s="23"/>
      <c r="U884" s="23"/>
      <c r="V884" s="40"/>
      <c r="W884" s="23"/>
      <c r="X884" s="23"/>
      <c r="Y884" s="40"/>
      <c r="Z884" s="23"/>
      <c r="AA884" s="23"/>
      <c r="AB884" s="40"/>
      <c r="AC884" s="42"/>
      <c r="AD884" s="42"/>
      <c r="AE884" s="40"/>
      <c r="AF884" s="42"/>
      <c r="AG884" s="42"/>
      <c r="AH884" s="23"/>
      <c r="AI884" s="42"/>
      <c r="AJ884" s="42"/>
      <c r="AK884" s="40"/>
      <c r="AL884" s="84"/>
      <c r="AM884" s="84"/>
      <c r="AN884" s="40"/>
      <c r="AO884" s="23"/>
    </row>
    <row r="885" spans="1:41" ht="15.75" x14ac:dyDescent="0.25">
      <c r="A885" s="44"/>
      <c r="B885" s="23"/>
      <c r="C885" s="23"/>
      <c r="D885" s="36"/>
      <c r="E885" s="23"/>
      <c r="F885" s="23"/>
      <c r="G885" s="40"/>
      <c r="H885" s="23"/>
      <c r="I885" s="23"/>
      <c r="J885" s="40"/>
      <c r="K885" s="36"/>
      <c r="L885" s="36"/>
      <c r="M885" s="40"/>
      <c r="N885" s="23"/>
      <c r="O885" s="36"/>
      <c r="P885" s="40"/>
      <c r="Q885" s="36"/>
      <c r="R885" s="36"/>
      <c r="S885" s="40"/>
      <c r="T885" s="23"/>
      <c r="U885" s="23"/>
      <c r="V885" s="40"/>
      <c r="W885" s="23"/>
      <c r="X885" s="23"/>
      <c r="Y885" s="40"/>
      <c r="Z885" s="23"/>
      <c r="AA885" s="23"/>
      <c r="AB885" s="40"/>
      <c r="AC885" s="42"/>
      <c r="AD885" s="42"/>
      <c r="AE885" s="40"/>
      <c r="AF885" s="42"/>
      <c r="AG885" s="42"/>
      <c r="AH885" s="23"/>
      <c r="AI885" s="42"/>
      <c r="AJ885" s="42"/>
      <c r="AK885" s="40"/>
      <c r="AL885" s="84"/>
      <c r="AM885" s="84"/>
      <c r="AN885" s="40"/>
      <c r="AO885" s="23"/>
    </row>
    <row r="886" spans="1:41" ht="15.75" x14ac:dyDescent="0.25">
      <c r="A886" s="44"/>
      <c r="B886" s="23"/>
      <c r="C886" s="23"/>
      <c r="D886" s="36"/>
      <c r="E886" s="23"/>
      <c r="F886" s="23"/>
      <c r="G886" s="40"/>
      <c r="H886" s="23"/>
      <c r="I886" s="23"/>
      <c r="J886" s="40"/>
      <c r="K886" s="36"/>
      <c r="L886" s="36"/>
      <c r="M886" s="40"/>
      <c r="N886" s="23"/>
      <c r="O886" s="36"/>
      <c r="P886" s="40"/>
      <c r="Q886" s="36"/>
      <c r="R886" s="36"/>
      <c r="S886" s="40"/>
      <c r="T886" s="23"/>
      <c r="U886" s="23"/>
      <c r="V886" s="40"/>
      <c r="W886" s="23"/>
      <c r="X886" s="23"/>
      <c r="Y886" s="40"/>
      <c r="Z886" s="23"/>
      <c r="AA886" s="23"/>
      <c r="AB886" s="40"/>
      <c r="AC886" s="42"/>
      <c r="AD886" s="42"/>
      <c r="AE886" s="40"/>
      <c r="AF886" s="42"/>
      <c r="AG886" s="42"/>
      <c r="AH886" s="23"/>
      <c r="AI886" s="42"/>
      <c r="AJ886" s="42"/>
      <c r="AK886" s="40"/>
      <c r="AL886" s="84"/>
      <c r="AM886" s="84"/>
      <c r="AN886" s="40"/>
      <c r="AO886" s="23"/>
    </row>
    <row r="887" spans="1:41" ht="15.75" x14ac:dyDescent="0.25">
      <c r="A887" s="44"/>
      <c r="B887" s="23"/>
      <c r="C887" s="23"/>
      <c r="D887" s="36"/>
      <c r="E887" s="23"/>
      <c r="F887" s="23"/>
      <c r="G887" s="40"/>
      <c r="H887" s="23"/>
      <c r="I887" s="23"/>
      <c r="J887" s="40"/>
      <c r="K887" s="36"/>
      <c r="L887" s="36"/>
      <c r="M887" s="40"/>
      <c r="N887" s="23"/>
      <c r="O887" s="36"/>
      <c r="P887" s="40"/>
      <c r="Q887" s="36"/>
      <c r="R887" s="36"/>
      <c r="S887" s="40"/>
      <c r="T887" s="23"/>
      <c r="U887" s="23"/>
      <c r="V887" s="40"/>
      <c r="W887" s="23"/>
      <c r="X887" s="23"/>
      <c r="Y887" s="40"/>
      <c r="Z887" s="23"/>
      <c r="AA887" s="23"/>
      <c r="AB887" s="40"/>
      <c r="AC887" s="42"/>
      <c r="AD887" s="42"/>
      <c r="AE887" s="40"/>
      <c r="AF887" s="42"/>
      <c r="AG887" s="42"/>
      <c r="AH887" s="23"/>
      <c r="AI887" s="42"/>
      <c r="AJ887" s="42"/>
      <c r="AK887" s="40"/>
      <c r="AL887" s="84"/>
      <c r="AM887" s="84"/>
      <c r="AN887" s="40"/>
      <c r="AO887" s="23"/>
    </row>
    <row r="888" spans="1:41" ht="15.75" x14ac:dyDescent="0.25">
      <c r="A888" s="44"/>
      <c r="B888" s="23"/>
      <c r="C888" s="23"/>
      <c r="D888" s="36"/>
      <c r="E888" s="23"/>
      <c r="F888" s="23"/>
      <c r="G888" s="40"/>
      <c r="H888" s="23"/>
      <c r="I888" s="23"/>
      <c r="J888" s="40"/>
      <c r="K888" s="36"/>
      <c r="L888" s="36"/>
      <c r="M888" s="40"/>
      <c r="N888" s="23"/>
      <c r="O888" s="36"/>
      <c r="P888" s="40"/>
      <c r="Q888" s="36"/>
      <c r="R888" s="36"/>
      <c r="S888" s="40"/>
      <c r="T888" s="23"/>
      <c r="U888" s="23"/>
      <c r="V888" s="40"/>
      <c r="W888" s="23"/>
      <c r="X888" s="23"/>
      <c r="Y888" s="40"/>
      <c r="Z888" s="23"/>
      <c r="AA888" s="23"/>
      <c r="AB888" s="40"/>
      <c r="AC888" s="42"/>
      <c r="AD888" s="42"/>
      <c r="AE888" s="40"/>
      <c r="AF888" s="42"/>
      <c r="AG888" s="42"/>
      <c r="AH888" s="23"/>
      <c r="AI888" s="42"/>
      <c r="AJ888" s="42"/>
      <c r="AK888" s="40"/>
      <c r="AL888" s="84"/>
      <c r="AM888" s="84"/>
      <c r="AN888" s="40"/>
      <c r="AO888" s="23"/>
    </row>
    <row r="889" spans="1:41" ht="15.75" x14ac:dyDescent="0.25">
      <c r="A889" s="44"/>
      <c r="B889" s="23"/>
      <c r="C889" s="23"/>
      <c r="D889" s="36"/>
      <c r="E889" s="23"/>
      <c r="F889" s="23"/>
      <c r="G889" s="40"/>
      <c r="H889" s="23"/>
      <c r="I889" s="23"/>
      <c r="J889" s="40"/>
      <c r="K889" s="36"/>
      <c r="L889" s="36"/>
      <c r="M889" s="40"/>
      <c r="N889" s="23"/>
      <c r="O889" s="36"/>
      <c r="P889" s="40"/>
      <c r="Q889" s="36"/>
      <c r="R889" s="36"/>
      <c r="S889" s="40"/>
      <c r="T889" s="23"/>
      <c r="U889" s="23"/>
      <c r="V889" s="40"/>
      <c r="W889" s="23"/>
      <c r="X889" s="23"/>
      <c r="Y889" s="40"/>
      <c r="Z889" s="23"/>
      <c r="AA889" s="23"/>
      <c r="AB889" s="40"/>
      <c r="AC889" s="42"/>
      <c r="AD889" s="42"/>
      <c r="AE889" s="40"/>
      <c r="AF889" s="42"/>
      <c r="AG889" s="42"/>
      <c r="AH889" s="23"/>
      <c r="AI889" s="42"/>
      <c r="AJ889" s="42"/>
      <c r="AK889" s="40"/>
      <c r="AL889" s="84"/>
      <c r="AM889" s="84"/>
      <c r="AN889" s="40"/>
      <c r="AO889" s="23"/>
    </row>
    <row r="890" spans="1:41" ht="15.75" x14ac:dyDescent="0.25">
      <c r="A890" s="44"/>
      <c r="B890" s="23"/>
      <c r="C890" s="23"/>
      <c r="D890" s="36"/>
      <c r="E890" s="23"/>
      <c r="F890" s="23"/>
      <c r="G890" s="40"/>
      <c r="H890" s="23"/>
      <c r="I890" s="23"/>
      <c r="J890" s="40"/>
      <c r="K890" s="36"/>
      <c r="L890" s="36"/>
      <c r="M890" s="40"/>
      <c r="N890" s="23"/>
      <c r="O890" s="36"/>
      <c r="P890" s="40"/>
      <c r="Q890" s="36"/>
      <c r="R890" s="36"/>
      <c r="S890" s="40"/>
      <c r="T890" s="23"/>
      <c r="U890" s="23"/>
      <c r="V890" s="40"/>
      <c r="W890" s="23"/>
      <c r="X890" s="23"/>
      <c r="Y890" s="40"/>
      <c r="Z890" s="23"/>
      <c r="AA890" s="23"/>
      <c r="AB890" s="40"/>
      <c r="AC890" s="42"/>
      <c r="AD890" s="42"/>
      <c r="AE890" s="40"/>
      <c r="AF890" s="42"/>
      <c r="AG890" s="42"/>
      <c r="AH890" s="23"/>
      <c r="AI890" s="42"/>
      <c r="AJ890" s="42"/>
      <c r="AK890" s="40"/>
      <c r="AL890" s="84"/>
      <c r="AM890" s="84"/>
      <c r="AN890" s="40"/>
      <c r="AO890" s="23"/>
    </row>
    <row r="891" spans="1:41" ht="15.75" x14ac:dyDescent="0.25">
      <c r="A891" s="44"/>
      <c r="B891" s="23"/>
      <c r="C891" s="23"/>
      <c r="D891" s="36"/>
      <c r="E891" s="23"/>
      <c r="F891" s="23"/>
      <c r="G891" s="40"/>
      <c r="H891" s="23"/>
      <c r="I891" s="23"/>
      <c r="J891" s="40"/>
      <c r="K891" s="36"/>
      <c r="L891" s="36"/>
      <c r="M891" s="40"/>
      <c r="N891" s="23"/>
      <c r="O891" s="36"/>
      <c r="P891" s="40"/>
      <c r="Q891" s="36"/>
      <c r="R891" s="36"/>
      <c r="S891" s="40"/>
      <c r="T891" s="23"/>
      <c r="U891" s="23"/>
      <c r="V891" s="40"/>
      <c r="W891" s="23"/>
      <c r="X891" s="23"/>
      <c r="Y891" s="40"/>
      <c r="Z891" s="23"/>
      <c r="AA891" s="23"/>
      <c r="AB891" s="40"/>
      <c r="AC891" s="42"/>
      <c r="AD891" s="42"/>
      <c r="AE891" s="40"/>
      <c r="AF891" s="42"/>
      <c r="AG891" s="42"/>
      <c r="AH891" s="23"/>
      <c r="AI891" s="42"/>
      <c r="AJ891" s="42"/>
      <c r="AK891" s="40"/>
      <c r="AL891" s="84"/>
      <c r="AM891" s="84"/>
      <c r="AN891" s="40"/>
      <c r="AO891" s="23"/>
    </row>
    <row r="892" spans="1:41" ht="15.75" x14ac:dyDescent="0.25">
      <c r="A892" s="44"/>
      <c r="B892" s="23"/>
      <c r="C892" s="23"/>
      <c r="D892" s="36"/>
      <c r="E892" s="23"/>
      <c r="F892" s="23"/>
      <c r="G892" s="40"/>
      <c r="H892" s="23"/>
      <c r="I892" s="23"/>
      <c r="J892" s="40"/>
      <c r="K892" s="36"/>
      <c r="L892" s="36"/>
      <c r="M892" s="40"/>
      <c r="N892" s="23"/>
      <c r="O892" s="36"/>
      <c r="P892" s="40"/>
      <c r="Q892" s="36"/>
      <c r="R892" s="36"/>
      <c r="S892" s="40"/>
      <c r="T892" s="23"/>
      <c r="U892" s="23"/>
      <c r="V892" s="40"/>
      <c r="W892" s="23"/>
      <c r="X892" s="23"/>
      <c r="Y892" s="40"/>
      <c r="Z892" s="23"/>
      <c r="AA892" s="23"/>
      <c r="AB892" s="40"/>
      <c r="AC892" s="42"/>
      <c r="AD892" s="42"/>
      <c r="AE892" s="40"/>
      <c r="AF892" s="42"/>
      <c r="AG892" s="42"/>
      <c r="AH892" s="23"/>
      <c r="AI892" s="42"/>
      <c r="AJ892" s="42"/>
      <c r="AK892" s="40"/>
      <c r="AL892" s="84"/>
      <c r="AM892" s="84"/>
      <c r="AN892" s="40"/>
      <c r="AO892" s="23"/>
    </row>
    <row r="893" spans="1:41" ht="15.75" x14ac:dyDescent="0.25">
      <c r="A893" s="44"/>
      <c r="B893" s="23"/>
      <c r="C893" s="23"/>
      <c r="D893" s="36"/>
      <c r="E893" s="23"/>
      <c r="F893" s="23"/>
      <c r="G893" s="40"/>
      <c r="H893" s="23"/>
      <c r="I893" s="23"/>
      <c r="J893" s="40"/>
      <c r="K893" s="36"/>
      <c r="L893" s="36"/>
      <c r="M893" s="40"/>
      <c r="N893" s="23"/>
      <c r="O893" s="36"/>
      <c r="P893" s="40"/>
      <c r="Q893" s="36"/>
      <c r="R893" s="36"/>
      <c r="S893" s="40"/>
      <c r="T893" s="23"/>
      <c r="U893" s="23"/>
      <c r="V893" s="40"/>
      <c r="W893" s="23"/>
      <c r="X893" s="23"/>
      <c r="Y893" s="40"/>
      <c r="Z893" s="23"/>
      <c r="AA893" s="23"/>
      <c r="AB893" s="40"/>
      <c r="AC893" s="42"/>
      <c r="AD893" s="42"/>
      <c r="AE893" s="40"/>
      <c r="AF893" s="42"/>
      <c r="AG893" s="42"/>
      <c r="AH893" s="23"/>
      <c r="AI893" s="42"/>
      <c r="AJ893" s="42"/>
      <c r="AK893" s="40"/>
      <c r="AL893" s="84"/>
      <c r="AM893" s="84"/>
      <c r="AN893" s="40"/>
      <c r="AO893" s="23"/>
    </row>
    <row r="894" spans="1:41" ht="15.75" x14ac:dyDescent="0.25">
      <c r="A894" s="44"/>
      <c r="B894" s="23"/>
      <c r="C894" s="23"/>
      <c r="D894" s="36"/>
      <c r="E894" s="23"/>
      <c r="F894" s="23"/>
      <c r="G894" s="40"/>
      <c r="H894" s="23"/>
      <c r="I894" s="23"/>
      <c r="J894" s="40"/>
      <c r="K894" s="36"/>
      <c r="L894" s="36"/>
      <c r="M894" s="40"/>
      <c r="N894" s="23"/>
      <c r="O894" s="36"/>
      <c r="P894" s="40"/>
      <c r="Q894" s="36"/>
      <c r="R894" s="36"/>
      <c r="S894" s="40"/>
      <c r="T894" s="23"/>
      <c r="U894" s="23"/>
      <c r="V894" s="40"/>
      <c r="W894" s="23"/>
      <c r="X894" s="23"/>
      <c r="Y894" s="40"/>
      <c r="Z894" s="23"/>
      <c r="AA894" s="23"/>
      <c r="AB894" s="40"/>
      <c r="AC894" s="42"/>
      <c r="AD894" s="42"/>
      <c r="AE894" s="40"/>
      <c r="AF894" s="42"/>
      <c r="AG894" s="42"/>
      <c r="AH894" s="23"/>
      <c r="AI894" s="42"/>
      <c r="AJ894" s="42"/>
      <c r="AK894" s="40"/>
      <c r="AL894" s="84"/>
      <c r="AM894" s="84"/>
      <c r="AN894" s="40"/>
      <c r="AO894" s="23"/>
    </row>
    <row r="895" spans="1:41" ht="15.75" x14ac:dyDescent="0.25">
      <c r="A895" s="44"/>
      <c r="B895" s="23"/>
      <c r="C895" s="23"/>
      <c r="D895" s="36"/>
      <c r="E895" s="23"/>
      <c r="F895" s="23"/>
      <c r="G895" s="40"/>
      <c r="H895" s="23"/>
      <c r="I895" s="23"/>
      <c r="J895" s="40"/>
      <c r="K895" s="36"/>
      <c r="L895" s="36"/>
      <c r="M895" s="40"/>
      <c r="N895" s="23"/>
      <c r="O895" s="36"/>
      <c r="P895" s="40"/>
      <c r="Q895" s="36"/>
      <c r="R895" s="36"/>
      <c r="S895" s="40"/>
      <c r="T895" s="23"/>
      <c r="U895" s="23"/>
      <c r="V895" s="40"/>
      <c r="W895" s="23"/>
      <c r="X895" s="23"/>
      <c r="Y895" s="40"/>
      <c r="Z895" s="23"/>
      <c r="AA895" s="23"/>
      <c r="AB895" s="40"/>
      <c r="AC895" s="42"/>
      <c r="AD895" s="42"/>
      <c r="AE895" s="40"/>
      <c r="AF895" s="42"/>
      <c r="AG895" s="42"/>
      <c r="AH895" s="23"/>
      <c r="AI895" s="42"/>
      <c r="AJ895" s="42"/>
      <c r="AK895" s="40"/>
      <c r="AL895" s="84"/>
      <c r="AM895" s="84"/>
      <c r="AN895" s="40"/>
      <c r="AO895" s="23"/>
    </row>
    <row r="896" spans="1:41" ht="15.75" x14ac:dyDescent="0.25">
      <c r="A896" s="44"/>
      <c r="B896" s="23"/>
      <c r="C896" s="23"/>
      <c r="D896" s="36"/>
      <c r="E896" s="23"/>
      <c r="F896" s="23"/>
      <c r="G896" s="40"/>
      <c r="H896" s="23"/>
      <c r="I896" s="23"/>
      <c r="J896" s="40"/>
      <c r="K896" s="36"/>
      <c r="L896" s="36"/>
      <c r="M896" s="40"/>
      <c r="N896" s="23"/>
      <c r="O896" s="36"/>
      <c r="P896" s="40"/>
      <c r="Q896" s="36"/>
      <c r="R896" s="36"/>
      <c r="S896" s="40"/>
      <c r="T896" s="23"/>
      <c r="U896" s="23"/>
      <c r="V896" s="40"/>
      <c r="W896" s="23"/>
      <c r="X896" s="23"/>
      <c r="Y896" s="40"/>
      <c r="Z896" s="23"/>
      <c r="AA896" s="23"/>
      <c r="AB896" s="40"/>
      <c r="AC896" s="42"/>
      <c r="AD896" s="42"/>
      <c r="AE896" s="40"/>
      <c r="AF896" s="42"/>
      <c r="AG896" s="42"/>
      <c r="AH896" s="23"/>
      <c r="AI896" s="42"/>
      <c r="AJ896" s="42"/>
      <c r="AK896" s="40"/>
      <c r="AL896" s="84"/>
      <c r="AM896" s="84"/>
      <c r="AN896" s="40"/>
      <c r="AO896" s="23"/>
    </row>
    <row r="897" spans="1:41" ht="15.75" x14ac:dyDescent="0.25">
      <c r="A897" s="44"/>
      <c r="B897" s="23"/>
      <c r="C897" s="23"/>
      <c r="D897" s="36"/>
      <c r="E897" s="23"/>
      <c r="F897" s="23"/>
      <c r="G897" s="40"/>
      <c r="H897" s="23"/>
      <c r="I897" s="23"/>
      <c r="J897" s="40"/>
      <c r="K897" s="36"/>
      <c r="L897" s="36"/>
      <c r="M897" s="40"/>
      <c r="N897" s="23"/>
      <c r="O897" s="36"/>
      <c r="P897" s="40"/>
      <c r="Q897" s="36"/>
      <c r="R897" s="36"/>
      <c r="S897" s="40"/>
      <c r="T897" s="23"/>
      <c r="U897" s="23"/>
      <c r="V897" s="40"/>
      <c r="W897" s="23"/>
      <c r="X897" s="23"/>
      <c r="Y897" s="40"/>
      <c r="Z897" s="23"/>
      <c r="AA897" s="23"/>
      <c r="AB897" s="40"/>
      <c r="AC897" s="42"/>
      <c r="AD897" s="42"/>
      <c r="AE897" s="40"/>
      <c r="AF897" s="42"/>
      <c r="AG897" s="42"/>
      <c r="AH897" s="23"/>
      <c r="AI897" s="42"/>
      <c r="AJ897" s="42"/>
      <c r="AK897" s="40"/>
      <c r="AL897" s="84"/>
      <c r="AM897" s="84"/>
      <c r="AN897" s="40"/>
      <c r="AO897" s="23"/>
    </row>
    <row r="898" spans="1:41" ht="15.75" x14ac:dyDescent="0.25">
      <c r="A898" s="44"/>
      <c r="B898" s="23"/>
      <c r="C898" s="23"/>
      <c r="D898" s="36"/>
      <c r="E898" s="23"/>
      <c r="F898" s="23"/>
      <c r="G898" s="40"/>
      <c r="H898" s="23"/>
      <c r="I898" s="23"/>
      <c r="J898" s="40"/>
      <c r="K898" s="36"/>
      <c r="L898" s="36"/>
      <c r="M898" s="40"/>
      <c r="N898" s="23"/>
      <c r="O898" s="36"/>
      <c r="P898" s="40"/>
      <c r="Q898" s="36"/>
      <c r="R898" s="36"/>
      <c r="S898" s="40"/>
      <c r="T898" s="23"/>
      <c r="U898" s="23"/>
      <c r="V898" s="40"/>
      <c r="W898" s="23"/>
      <c r="X898" s="23"/>
      <c r="Y898" s="40"/>
      <c r="Z898" s="23"/>
      <c r="AA898" s="23"/>
      <c r="AB898" s="40"/>
      <c r="AC898" s="42"/>
      <c r="AD898" s="42"/>
      <c r="AE898" s="40"/>
      <c r="AF898" s="42"/>
      <c r="AG898" s="42"/>
      <c r="AH898" s="23"/>
      <c r="AI898" s="42"/>
      <c r="AJ898" s="42"/>
      <c r="AK898" s="40"/>
      <c r="AL898" s="84"/>
      <c r="AM898" s="84"/>
      <c r="AN898" s="40"/>
      <c r="AO898" s="23"/>
    </row>
    <row r="899" spans="1:41" ht="15.75" x14ac:dyDescent="0.25">
      <c r="A899" s="44"/>
      <c r="B899" s="23"/>
      <c r="C899" s="23"/>
      <c r="D899" s="36"/>
      <c r="E899" s="23"/>
      <c r="F899" s="23"/>
      <c r="G899" s="40"/>
      <c r="H899" s="23"/>
      <c r="I899" s="23"/>
      <c r="J899" s="40"/>
      <c r="K899" s="36"/>
      <c r="L899" s="36"/>
      <c r="M899" s="40"/>
      <c r="N899" s="23"/>
      <c r="O899" s="36"/>
      <c r="P899" s="40"/>
      <c r="Q899" s="36"/>
      <c r="R899" s="36"/>
      <c r="S899" s="40"/>
      <c r="T899" s="23"/>
      <c r="U899" s="23"/>
      <c r="V899" s="40"/>
      <c r="W899" s="23"/>
      <c r="X899" s="23"/>
      <c r="Y899" s="40"/>
      <c r="Z899" s="23"/>
      <c r="AA899" s="23"/>
      <c r="AB899" s="40"/>
      <c r="AC899" s="42"/>
      <c r="AD899" s="42"/>
      <c r="AE899" s="40"/>
      <c r="AF899" s="42"/>
      <c r="AG899" s="42"/>
      <c r="AH899" s="23"/>
      <c r="AI899" s="42"/>
      <c r="AJ899" s="42"/>
      <c r="AK899" s="40"/>
      <c r="AL899" s="84"/>
      <c r="AM899" s="84"/>
      <c r="AN899" s="40"/>
      <c r="AO899" s="23"/>
    </row>
    <row r="900" spans="1:41" ht="15.75" x14ac:dyDescent="0.25">
      <c r="A900" s="44"/>
      <c r="B900" s="23"/>
      <c r="C900" s="23"/>
      <c r="D900" s="36"/>
      <c r="E900" s="23"/>
      <c r="F900" s="23"/>
      <c r="G900" s="40"/>
      <c r="H900" s="23"/>
      <c r="I900" s="23"/>
      <c r="J900" s="40"/>
      <c r="K900" s="36"/>
      <c r="L900" s="36"/>
      <c r="M900" s="40"/>
      <c r="N900" s="23"/>
      <c r="O900" s="36"/>
      <c r="P900" s="40"/>
      <c r="Q900" s="36"/>
      <c r="R900" s="36"/>
      <c r="S900" s="40"/>
      <c r="T900" s="23"/>
      <c r="U900" s="23"/>
      <c r="V900" s="40"/>
      <c r="W900" s="23"/>
      <c r="X900" s="23"/>
      <c r="Y900" s="40"/>
      <c r="Z900" s="23"/>
      <c r="AA900" s="23"/>
      <c r="AB900" s="40"/>
      <c r="AC900" s="42"/>
      <c r="AD900" s="42"/>
      <c r="AE900" s="40"/>
      <c r="AF900" s="42"/>
      <c r="AG900" s="42"/>
      <c r="AH900" s="23"/>
      <c r="AI900" s="42"/>
      <c r="AJ900" s="42"/>
      <c r="AK900" s="40"/>
      <c r="AL900" s="84"/>
      <c r="AM900" s="84"/>
      <c r="AN900" s="40"/>
      <c r="AO900" s="23"/>
    </row>
    <row r="901" spans="1:41" ht="15.75" x14ac:dyDescent="0.25">
      <c r="A901" s="44"/>
      <c r="B901" s="23"/>
      <c r="C901" s="23"/>
      <c r="D901" s="36"/>
      <c r="E901" s="23"/>
      <c r="F901" s="23"/>
      <c r="G901" s="40"/>
      <c r="H901" s="23"/>
      <c r="I901" s="23"/>
      <c r="J901" s="40"/>
      <c r="K901" s="36"/>
      <c r="L901" s="36"/>
      <c r="M901" s="40"/>
      <c r="N901" s="23"/>
      <c r="O901" s="36"/>
      <c r="P901" s="40"/>
      <c r="Q901" s="36"/>
      <c r="R901" s="36"/>
      <c r="S901" s="40"/>
      <c r="T901" s="23"/>
      <c r="U901" s="23"/>
      <c r="V901" s="40"/>
      <c r="W901" s="23"/>
      <c r="X901" s="23"/>
      <c r="Y901" s="40"/>
      <c r="Z901" s="23"/>
      <c r="AA901" s="23"/>
      <c r="AB901" s="40"/>
      <c r="AC901" s="42"/>
      <c r="AD901" s="42"/>
      <c r="AE901" s="40"/>
      <c r="AF901" s="42"/>
      <c r="AG901" s="42"/>
      <c r="AH901" s="23"/>
      <c r="AI901" s="42"/>
      <c r="AJ901" s="42"/>
      <c r="AK901" s="40"/>
      <c r="AL901" s="84"/>
      <c r="AM901" s="84"/>
      <c r="AN901" s="40"/>
      <c r="AO901" s="23"/>
    </row>
    <row r="902" spans="1:41" ht="15.75" x14ac:dyDescent="0.25">
      <c r="A902" s="44"/>
      <c r="B902" s="23"/>
      <c r="C902" s="23"/>
      <c r="D902" s="36"/>
      <c r="E902" s="23"/>
      <c r="F902" s="23"/>
      <c r="G902" s="40"/>
      <c r="H902" s="23"/>
      <c r="I902" s="23"/>
      <c r="J902" s="40"/>
      <c r="K902" s="36"/>
      <c r="L902" s="36"/>
      <c r="M902" s="40"/>
      <c r="N902" s="23"/>
      <c r="O902" s="36"/>
      <c r="P902" s="40"/>
      <c r="Q902" s="36"/>
      <c r="R902" s="36"/>
      <c r="S902" s="40"/>
      <c r="T902" s="23"/>
      <c r="U902" s="23"/>
      <c r="V902" s="40"/>
      <c r="W902" s="23"/>
      <c r="X902" s="23"/>
      <c r="Y902" s="40"/>
      <c r="Z902" s="23"/>
      <c r="AA902" s="23"/>
      <c r="AB902" s="40"/>
      <c r="AC902" s="42"/>
      <c r="AD902" s="42"/>
      <c r="AE902" s="40"/>
      <c r="AF902" s="42"/>
      <c r="AG902" s="42"/>
      <c r="AH902" s="23"/>
      <c r="AI902" s="42"/>
      <c r="AJ902" s="42"/>
      <c r="AK902" s="40"/>
      <c r="AL902" s="84"/>
      <c r="AM902" s="84"/>
      <c r="AN902" s="40"/>
      <c r="AO902" s="23"/>
    </row>
    <row r="903" spans="1:41" ht="15.75" x14ac:dyDescent="0.25">
      <c r="A903" s="44"/>
      <c r="B903" s="23"/>
      <c r="C903" s="23"/>
      <c r="D903" s="36"/>
      <c r="E903" s="23"/>
      <c r="F903" s="23"/>
      <c r="G903" s="40"/>
      <c r="H903" s="23"/>
      <c r="I903" s="23"/>
      <c r="J903" s="40"/>
      <c r="K903" s="36"/>
      <c r="L903" s="36"/>
      <c r="M903" s="40"/>
      <c r="N903" s="23"/>
      <c r="O903" s="36"/>
      <c r="P903" s="40"/>
      <c r="Q903" s="36"/>
      <c r="R903" s="36"/>
      <c r="S903" s="40"/>
      <c r="T903" s="23"/>
      <c r="U903" s="23"/>
      <c r="V903" s="40"/>
      <c r="W903" s="23"/>
      <c r="X903" s="23"/>
      <c r="Y903" s="40"/>
      <c r="Z903" s="23"/>
      <c r="AA903" s="23"/>
      <c r="AB903" s="40"/>
      <c r="AC903" s="42"/>
      <c r="AD903" s="42"/>
      <c r="AE903" s="40"/>
      <c r="AF903" s="42"/>
      <c r="AG903" s="42"/>
      <c r="AH903" s="23"/>
      <c r="AI903" s="42"/>
      <c r="AJ903" s="42"/>
      <c r="AK903" s="40"/>
      <c r="AL903" s="84"/>
      <c r="AM903" s="84"/>
      <c r="AN903" s="40"/>
      <c r="AO903" s="23"/>
    </row>
    <row r="904" spans="1:41" ht="15.75" x14ac:dyDescent="0.25">
      <c r="A904" s="44"/>
      <c r="B904" s="23"/>
      <c r="C904" s="23"/>
      <c r="D904" s="36"/>
      <c r="E904" s="23"/>
      <c r="F904" s="23"/>
      <c r="G904" s="40"/>
      <c r="H904" s="23"/>
      <c r="I904" s="23"/>
      <c r="J904" s="40"/>
      <c r="K904" s="36"/>
      <c r="L904" s="36"/>
      <c r="M904" s="40"/>
      <c r="N904" s="23"/>
      <c r="O904" s="36"/>
      <c r="P904" s="40"/>
      <c r="Q904" s="36"/>
      <c r="R904" s="36"/>
      <c r="S904" s="40"/>
      <c r="T904" s="23"/>
      <c r="U904" s="23"/>
      <c r="V904" s="40"/>
      <c r="W904" s="23"/>
      <c r="X904" s="23"/>
      <c r="Y904" s="40"/>
      <c r="Z904" s="23"/>
      <c r="AA904" s="23"/>
      <c r="AB904" s="40"/>
      <c r="AC904" s="42"/>
      <c r="AD904" s="42"/>
      <c r="AE904" s="40"/>
      <c r="AF904" s="42"/>
      <c r="AG904" s="42"/>
      <c r="AH904" s="23"/>
      <c r="AI904" s="42"/>
      <c r="AJ904" s="42"/>
      <c r="AK904" s="40"/>
      <c r="AL904" s="84"/>
      <c r="AM904" s="84"/>
      <c r="AN904" s="40"/>
      <c r="AO904" s="23"/>
    </row>
    <row r="905" spans="1:41" ht="15.75" x14ac:dyDescent="0.25">
      <c r="A905" s="44"/>
      <c r="B905" s="23"/>
      <c r="C905" s="23"/>
      <c r="D905" s="36"/>
      <c r="E905" s="23"/>
      <c r="F905" s="23"/>
      <c r="G905" s="40"/>
      <c r="H905" s="23"/>
      <c r="I905" s="23"/>
      <c r="J905" s="40"/>
      <c r="K905" s="36"/>
      <c r="L905" s="36"/>
      <c r="M905" s="40"/>
      <c r="N905" s="23"/>
      <c r="O905" s="36"/>
      <c r="P905" s="40"/>
      <c r="Q905" s="36"/>
      <c r="R905" s="36"/>
      <c r="S905" s="40"/>
      <c r="T905" s="23"/>
      <c r="U905" s="23"/>
      <c r="V905" s="40"/>
      <c r="W905" s="23"/>
      <c r="X905" s="23"/>
      <c r="Y905" s="40"/>
      <c r="Z905" s="23"/>
      <c r="AA905" s="23"/>
      <c r="AB905" s="40"/>
      <c r="AC905" s="42"/>
      <c r="AD905" s="42"/>
      <c r="AE905" s="40"/>
      <c r="AF905" s="42"/>
      <c r="AG905" s="42"/>
      <c r="AH905" s="23"/>
      <c r="AI905" s="42"/>
      <c r="AJ905" s="42"/>
      <c r="AK905" s="40"/>
      <c r="AL905" s="84"/>
      <c r="AM905" s="84"/>
      <c r="AN905" s="40"/>
      <c r="AO905" s="23"/>
    </row>
    <row r="906" spans="1:41" ht="15.75" x14ac:dyDescent="0.25">
      <c r="A906" s="44"/>
      <c r="B906" s="23"/>
      <c r="C906" s="23"/>
      <c r="D906" s="36"/>
      <c r="E906" s="23"/>
      <c r="F906" s="23"/>
      <c r="G906" s="40"/>
      <c r="H906" s="23"/>
      <c r="I906" s="23"/>
      <c r="J906" s="40"/>
      <c r="K906" s="36"/>
      <c r="L906" s="36"/>
      <c r="M906" s="40"/>
      <c r="N906" s="23"/>
      <c r="O906" s="36"/>
      <c r="P906" s="40"/>
      <c r="Q906" s="36"/>
      <c r="R906" s="36"/>
      <c r="S906" s="40"/>
      <c r="T906" s="23"/>
      <c r="U906" s="23"/>
      <c r="V906" s="40"/>
      <c r="W906" s="23"/>
      <c r="X906" s="23"/>
      <c r="Y906" s="40"/>
      <c r="Z906" s="23"/>
      <c r="AA906" s="23"/>
      <c r="AB906" s="40"/>
      <c r="AC906" s="42"/>
      <c r="AD906" s="42"/>
      <c r="AE906" s="40"/>
      <c r="AF906" s="42"/>
      <c r="AG906" s="42"/>
      <c r="AH906" s="23"/>
      <c r="AI906" s="42"/>
      <c r="AJ906" s="42"/>
      <c r="AK906" s="40"/>
      <c r="AL906" s="84"/>
      <c r="AM906" s="84"/>
      <c r="AN906" s="40"/>
      <c r="AO906" s="23"/>
    </row>
    <row r="907" spans="1:41" ht="15.75" x14ac:dyDescent="0.25">
      <c r="A907" s="44"/>
      <c r="B907" s="23"/>
      <c r="C907" s="23"/>
      <c r="D907" s="36"/>
      <c r="E907" s="23"/>
      <c r="F907" s="23"/>
      <c r="G907" s="40"/>
      <c r="H907" s="23"/>
      <c r="I907" s="23"/>
      <c r="J907" s="40"/>
      <c r="K907" s="36"/>
      <c r="L907" s="36"/>
      <c r="M907" s="40"/>
      <c r="N907" s="23"/>
      <c r="O907" s="36"/>
      <c r="P907" s="40"/>
      <c r="Q907" s="36"/>
      <c r="R907" s="36"/>
      <c r="S907" s="40"/>
      <c r="T907" s="23"/>
      <c r="U907" s="23"/>
      <c r="V907" s="40"/>
      <c r="W907" s="23"/>
      <c r="X907" s="23"/>
      <c r="Y907" s="40"/>
      <c r="Z907" s="23"/>
      <c r="AA907" s="23"/>
      <c r="AB907" s="40"/>
      <c r="AC907" s="42"/>
      <c r="AD907" s="42"/>
      <c r="AE907" s="40"/>
      <c r="AF907" s="42"/>
      <c r="AG907" s="42"/>
      <c r="AH907" s="23"/>
      <c r="AI907" s="42"/>
      <c r="AJ907" s="42"/>
      <c r="AK907" s="40"/>
      <c r="AL907" s="84"/>
      <c r="AM907" s="84"/>
      <c r="AN907" s="40"/>
      <c r="AO907" s="23"/>
    </row>
    <row r="908" spans="1:41" ht="15.75" x14ac:dyDescent="0.25">
      <c r="A908" s="44"/>
      <c r="B908" s="23"/>
      <c r="C908" s="23"/>
      <c r="D908" s="36"/>
      <c r="E908" s="23"/>
      <c r="F908" s="23"/>
      <c r="G908" s="40"/>
      <c r="H908" s="23"/>
      <c r="I908" s="23"/>
      <c r="J908" s="40"/>
      <c r="K908" s="36"/>
      <c r="L908" s="36"/>
      <c r="M908" s="40"/>
      <c r="N908" s="23"/>
      <c r="O908" s="36"/>
      <c r="P908" s="40"/>
      <c r="Q908" s="36"/>
      <c r="R908" s="36"/>
      <c r="S908" s="40"/>
      <c r="T908" s="23"/>
      <c r="U908" s="23"/>
      <c r="V908" s="40"/>
      <c r="W908" s="23"/>
      <c r="X908" s="23"/>
      <c r="Y908" s="40"/>
      <c r="Z908" s="23"/>
      <c r="AA908" s="23"/>
      <c r="AB908" s="40"/>
      <c r="AC908" s="42"/>
      <c r="AD908" s="42"/>
      <c r="AE908" s="40"/>
      <c r="AF908" s="42"/>
      <c r="AG908" s="42"/>
      <c r="AH908" s="23"/>
      <c r="AI908" s="42"/>
      <c r="AJ908" s="42"/>
      <c r="AK908" s="40"/>
      <c r="AL908" s="84"/>
      <c r="AM908" s="84"/>
      <c r="AN908" s="40"/>
      <c r="AO908" s="23"/>
    </row>
    <row r="909" spans="1:41" ht="15.75" x14ac:dyDescent="0.25">
      <c r="A909" s="44"/>
      <c r="B909" s="23"/>
      <c r="C909" s="23"/>
      <c r="D909" s="36"/>
      <c r="E909" s="23"/>
      <c r="F909" s="23"/>
      <c r="G909" s="40"/>
      <c r="H909" s="23"/>
      <c r="I909" s="23"/>
      <c r="J909" s="40"/>
      <c r="K909" s="36"/>
      <c r="L909" s="36"/>
      <c r="M909" s="40"/>
      <c r="N909" s="23"/>
      <c r="O909" s="36"/>
      <c r="P909" s="40"/>
      <c r="Q909" s="36"/>
      <c r="R909" s="36"/>
      <c r="S909" s="40"/>
      <c r="T909" s="23"/>
      <c r="U909" s="23"/>
      <c r="V909" s="40"/>
      <c r="W909" s="23"/>
      <c r="X909" s="23"/>
      <c r="Y909" s="40"/>
      <c r="Z909" s="23"/>
      <c r="AA909" s="23"/>
      <c r="AB909" s="40"/>
      <c r="AC909" s="42"/>
      <c r="AD909" s="42"/>
      <c r="AE909" s="40"/>
      <c r="AF909" s="42"/>
      <c r="AG909" s="42"/>
      <c r="AH909" s="23"/>
      <c r="AI909" s="42"/>
      <c r="AJ909" s="42"/>
      <c r="AK909" s="40"/>
      <c r="AL909" s="84"/>
      <c r="AM909" s="84"/>
      <c r="AN909" s="40"/>
      <c r="AO909" s="23"/>
    </row>
    <row r="910" spans="1:41" ht="15.75" x14ac:dyDescent="0.25">
      <c r="A910" s="44"/>
      <c r="B910" s="23"/>
      <c r="C910" s="23"/>
      <c r="D910" s="36"/>
      <c r="E910" s="23"/>
      <c r="F910" s="23"/>
      <c r="G910" s="40"/>
      <c r="H910" s="23"/>
      <c r="I910" s="23"/>
      <c r="J910" s="40"/>
      <c r="K910" s="36"/>
      <c r="L910" s="36"/>
      <c r="M910" s="40"/>
      <c r="N910" s="23"/>
      <c r="O910" s="36"/>
      <c r="P910" s="40"/>
      <c r="Q910" s="36"/>
      <c r="R910" s="36"/>
      <c r="S910" s="40"/>
      <c r="T910" s="23"/>
      <c r="U910" s="23"/>
      <c r="V910" s="40"/>
      <c r="W910" s="23"/>
      <c r="X910" s="23"/>
      <c r="Y910" s="40"/>
      <c r="Z910" s="23"/>
      <c r="AA910" s="23"/>
      <c r="AB910" s="40"/>
      <c r="AC910" s="42"/>
      <c r="AD910" s="42"/>
      <c r="AE910" s="40"/>
      <c r="AF910" s="42"/>
      <c r="AG910" s="42"/>
      <c r="AH910" s="23"/>
      <c r="AI910" s="42"/>
      <c r="AJ910" s="42"/>
      <c r="AK910" s="40"/>
      <c r="AL910" s="84"/>
      <c r="AM910" s="84"/>
      <c r="AN910" s="40"/>
      <c r="AO910" s="23"/>
    </row>
    <row r="911" spans="1:41" ht="15.75" x14ac:dyDescent="0.25">
      <c r="A911" s="44"/>
      <c r="B911" s="23"/>
      <c r="C911" s="23"/>
      <c r="D911" s="36"/>
      <c r="E911" s="23"/>
      <c r="F911" s="23"/>
      <c r="G911" s="40"/>
      <c r="H911" s="23"/>
      <c r="I911" s="23"/>
      <c r="J911" s="40"/>
      <c r="K911" s="36"/>
      <c r="L911" s="36"/>
      <c r="M911" s="40"/>
      <c r="N911" s="23"/>
      <c r="O911" s="36"/>
      <c r="P911" s="40"/>
      <c r="Q911" s="36"/>
      <c r="R911" s="36"/>
      <c r="S911" s="40"/>
      <c r="T911" s="23"/>
      <c r="U911" s="23"/>
      <c r="V911" s="40"/>
      <c r="W911" s="23"/>
      <c r="X911" s="23"/>
      <c r="Y911" s="40"/>
      <c r="Z911" s="23"/>
      <c r="AA911" s="23"/>
      <c r="AB911" s="40"/>
      <c r="AC911" s="42"/>
      <c r="AD911" s="42"/>
      <c r="AE911" s="40"/>
      <c r="AF911" s="42"/>
      <c r="AG911" s="42"/>
      <c r="AH911" s="23"/>
      <c r="AI911" s="42"/>
      <c r="AJ911" s="42"/>
      <c r="AK911" s="40"/>
      <c r="AL911" s="84"/>
      <c r="AM911" s="84"/>
      <c r="AN911" s="40"/>
      <c r="AO911" s="23"/>
    </row>
    <row r="912" spans="1:41" ht="15.75" x14ac:dyDescent="0.25">
      <c r="A912" s="44"/>
      <c r="B912" s="23"/>
      <c r="C912" s="23"/>
      <c r="D912" s="36"/>
      <c r="E912" s="23"/>
      <c r="F912" s="23"/>
      <c r="G912" s="40"/>
      <c r="H912" s="23"/>
      <c r="I912" s="23"/>
      <c r="J912" s="40"/>
      <c r="K912" s="36"/>
      <c r="L912" s="36"/>
      <c r="M912" s="40"/>
      <c r="N912" s="23"/>
      <c r="O912" s="36"/>
      <c r="P912" s="40"/>
      <c r="Q912" s="36"/>
      <c r="R912" s="36"/>
      <c r="S912" s="40"/>
      <c r="T912" s="23"/>
      <c r="U912" s="23"/>
      <c r="V912" s="40"/>
      <c r="W912" s="23"/>
      <c r="X912" s="23"/>
      <c r="Y912" s="40"/>
      <c r="Z912" s="23"/>
      <c r="AA912" s="23"/>
      <c r="AB912" s="40"/>
      <c r="AC912" s="42"/>
      <c r="AD912" s="42"/>
      <c r="AE912" s="40"/>
      <c r="AF912" s="42"/>
      <c r="AG912" s="42"/>
      <c r="AH912" s="23"/>
      <c r="AI912" s="42"/>
      <c r="AJ912" s="42"/>
      <c r="AK912" s="40"/>
      <c r="AL912" s="84"/>
      <c r="AM912" s="84"/>
      <c r="AN912" s="40"/>
      <c r="AO912" s="23"/>
    </row>
    <row r="913" spans="1:41" ht="15.75" x14ac:dyDescent="0.25">
      <c r="A913" s="44"/>
      <c r="B913" s="23"/>
      <c r="C913" s="23"/>
      <c r="D913" s="36"/>
      <c r="E913" s="23"/>
      <c r="F913" s="23"/>
      <c r="G913" s="40"/>
      <c r="H913" s="23"/>
      <c r="I913" s="23"/>
      <c r="J913" s="40"/>
      <c r="K913" s="36"/>
      <c r="L913" s="36"/>
      <c r="M913" s="40"/>
      <c r="N913" s="23"/>
      <c r="O913" s="36"/>
      <c r="P913" s="40"/>
      <c r="Q913" s="36"/>
      <c r="R913" s="36"/>
      <c r="S913" s="40"/>
      <c r="T913" s="23"/>
      <c r="U913" s="23"/>
      <c r="V913" s="40"/>
      <c r="W913" s="23"/>
      <c r="X913" s="23"/>
      <c r="Y913" s="40"/>
      <c r="Z913" s="23"/>
      <c r="AA913" s="23"/>
      <c r="AB913" s="40"/>
      <c r="AC913" s="42"/>
      <c r="AD913" s="42"/>
      <c r="AE913" s="40"/>
      <c r="AF913" s="42"/>
      <c r="AG913" s="42"/>
      <c r="AH913" s="23"/>
      <c r="AI913" s="42"/>
      <c r="AJ913" s="42"/>
      <c r="AK913" s="40"/>
      <c r="AL913" s="84"/>
      <c r="AM913" s="84"/>
      <c r="AN913" s="40"/>
      <c r="AO913" s="23"/>
    </row>
    <row r="914" spans="1:41" ht="15.75" x14ac:dyDescent="0.25">
      <c r="A914" s="44"/>
      <c r="B914" s="23"/>
      <c r="C914" s="23"/>
      <c r="D914" s="36"/>
      <c r="E914" s="23"/>
      <c r="F914" s="23"/>
      <c r="G914" s="40"/>
      <c r="H914" s="23"/>
      <c r="I914" s="23"/>
      <c r="J914" s="40"/>
      <c r="K914" s="36"/>
      <c r="L914" s="36"/>
      <c r="M914" s="40"/>
      <c r="N914" s="23"/>
      <c r="O914" s="36"/>
      <c r="P914" s="40"/>
      <c r="Q914" s="36"/>
      <c r="R914" s="36"/>
      <c r="S914" s="40"/>
      <c r="T914" s="23"/>
      <c r="U914" s="23"/>
      <c r="V914" s="40"/>
      <c r="W914" s="23"/>
      <c r="X914" s="23"/>
      <c r="Y914" s="40"/>
      <c r="Z914" s="23"/>
      <c r="AA914" s="23"/>
      <c r="AB914" s="40"/>
      <c r="AC914" s="42"/>
      <c r="AD914" s="42"/>
      <c r="AE914" s="40"/>
      <c r="AF914" s="42"/>
      <c r="AG914" s="42"/>
      <c r="AH914" s="23"/>
      <c r="AI914" s="42"/>
      <c r="AJ914" s="42"/>
      <c r="AK914" s="40"/>
      <c r="AL914" s="84"/>
      <c r="AM914" s="84"/>
      <c r="AN914" s="40"/>
      <c r="AO914" s="23"/>
    </row>
    <row r="915" spans="1:41" ht="15.75" x14ac:dyDescent="0.25">
      <c r="A915" s="44"/>
      <c r="B915" s="23"/>
      <c r="C915" s="23"/>
      <c r="D915" s="36"/>
      <c r="E915" s="23"/>
      <c r="F915" s="23"/>
      <c r="G915" s="40"/>
      <c r="H915" s="23"/>
      <c r="I915" s="23"/>
      <c r="J915" s="40"/>
      <c r="K915" s="36"/>
      <c r="L915" s="36"/>
      <c r="M915" s="40"/>
      <c r="N915" s="23"/>
      <c r="O915" s="36"/>
      <c r="P915" s="40"/>
      <c r="Q915" s="36"/>
      <c r="R915" s="36"/>
      <c r="S915" s="40"/>
      <c r="T915" s="23"/>
      <c r="U915" s="23"/>
      <c r="V915" s="40"/>
      <c r="W915" s="23"/>
      <c r="X915" s="23"/>
      <c r="Y915" s="40"/>
      <c r="Z915" s="23"/>
      <c r="AA915" s="23"/>
      <c r="AB915" s="40"/>
      <c r="AC915" s="42"/>
      <c r="AD915" s="42"/>
      <c r="AE915" s="40"/>
      <c r="AF915" s="42"/>
      <c r="AG915" s="42"/>
      <c r="AH915" s="23"/>
      <c r="AI915" s="42"/>
      <c r="AJ915" s="42"/>
      <c r="AK915" s="40"/>
      <c r="AL915" s="84"/>
      <c r="AM915" s="84"/>
      <c r="AN915" s="40"/>
      <c r="AO915" s="23"/>
    </row>
    <row r="916" spans="1:41" ht="15.75" x14ac:dyDescent="0.25">
      <c r="A916" s="44"/>
      <c r="B916" s="23"/>
      <c r="C916" s="23"/>
      <c r="D916" s="36"/>
      <c r="E916" s="23"/>
      <c r="F916" s="23"/>
      <c r="G916" s="40"/>
      <c r="H916" s="23"/>
      <c r="I916" s="23"/>
      <c r="J916" s="40"/>
      <c r="K916" s="36"/>
      <c r="L916" s="36"/>
      <c r="M916" s="40"/>
      <c r="N916" s="23"/>
      <c r="O916" s="36"/>
      <c r="P916" s="40"/>
      <c r="Q916" s="36"/>
      <c r="R916" s="36"/>
      <c r="S916" s="40"/>
      <c r="T916" s="23"/>
      <c r="U916" s="23"/>
      <c r="V916" s="40"/>
      <c r="W916" s="23"/>
      <c r="X916" s="23"/>
      <c r="Y916" s="40"/>
      <c r="Z916" s="23"/>
      <c r="AA916" s="23"/>
      <c r="AB916" s="40"/>
      <c r="AC916" s="42"/>
      <c r="AD916" s="42"/>
      <c r="AE916" s="40"/>
      <c r="AF916" s="42"/>
      <c r="AG916" s="42"/>
      <c r="AH916" s="23"/>
      <c r="AI916" s="42"/>
      <c r="AJ916" s="42"/>
      <c r="AK916" s="40"/>
      <c r="AL916" s="84"/>
      <c r="AM916" s="84"/>
      <c r="AN916" s="40"/>
      <c r="AO916" s="23"/>
    </row>
    <row r="917" spans="1:41" ht="15.75" x14ac:dyDescent="0.25">
      <c r="A917" s="44"/>
      <c r="B917" s="23"/>
      <c r="C917" s="23"/>
      <c r="D917" s="36"/>
      <c r="E917" s="23"/>
      <c r="F917" s="23"/>
      <c r="G917" s="40"/>
      <c r="H917" s="23"/>
      <c r="I917" s="23"/>
      <c r="J917" s="40"/>
      <c r="K917" s="36"/>
      <c r="L917" s="36"/>
      <c r="M917" s="40"/>
      <c r="N917" s="23"/>
      <c r="O917" s="36"/>
      <c r="P917" s="40"/>
      <c r="Q917" s="36"/>
      <c r="R917" s="36"/>
      <c r="S917" s="40"/>
      <c r="T917" s="23"/>
      <c r="U917" s="23"/>
      <c r="V917" s="40"/>
      <c r="W917" s="23"/>
      <c r="X917" s="23"/>
      <c r="Y917" s="40"/>
      <c r="Z917" s="23"/>
      <c r="AA917" s="23"/>
      <c r="AB917" s="40"/>
      <c r="AC917" s="42"/>
      <c r="AD917" s="42"/>
      <c r="AE917" s="40"/>
      <c r="AF917" s="42"/>
      <c r="AG917" s="42"/>
      <c r="AH917" s="23"/>
      <c r="AI917" s="42"/>
      <c r="AJ917" s="42"/>
      <c r="AK917" s="40"/>
      <c r="AL917" s="84"/>
      <c r="AM917" s="84"/>
      <c r="AN917" s="40"/>
      <c r="AO917" s="23"/>
    </row>
    <row r="918" spans="1:41" ht="15.75" x14ac:dyDescent="0.25">
      <c r="A918" s="44"/>
      <c r="B918" s="23"/>
      <c r="C918" s="23"/>
      <c r="D918" s="36"/>
      <c r="E918" s="23"/>
      <c r="F918" s="23"/>
      <c r="G918" s="40"/>
      <c r="H918" s="23"/>
      <c r="I918" s="23"/>
      <c r="J918" s="40"/>
      <c r="K918" s="36"/>
      <c r="L918" s="36"/>
      <c r="M918" s="40"/>
      <c r="N918" s="23"/>
      <c r="O918" s="36"/>
      <c r="P918" s="40"/>
      <c r="Q918" s="36"/>
      <c r="R918" s="36"/>
      <c r="S918" s="40"/>
      <c r="T918" s="23"/>
      <c r="U918" s="23"/>
      <c r="V918" s="40"/>
      <c r="W918" s="23"/>
      <c r="X918" s="23"/>
      <c r="Y918" s="40"/>
      <c r="Z918" s="23"/>
      <c r="AA918" s="23"/>
      <c r="AB918" s="40"/>
      <c r="AC918" s="42"/>
      <c r="AD918" s="42"/>
      <c r="AE918" s="40"/>
      <c r="AF918" s="42"/>
      <c r="AG918" s="42"/>
      <c r="AH918" s="23"/>
      <c r="AI918" s="42"/>
      <c r="AJ918" s="42"/>
      <c r="AK918" s="40"/>
      <c r="AL918" s="84"/>
      <c r="AM918" s="84"/>
      <c r="AN918" s="40"/>
      <c r="AO918" s="23"/>
    </row>
    <row r="919" spans="1:41" ht="15.75" x14ac:dyDescent="0.25">
      <c r="A919" s="44"/>
      <c r="B919" s="23"/>
      <c r="C919" s="23"/>
      <c r="D919" s="36"/>
      <c r="E919" s="23"/>
      <c r="F919" s="23"/>
      <c r="G919" s="40"/>
      <c r="H919" s="23"/>
      <c r="I919" s="23"/>
      <c r="J919" s="40"/>
      <c r="K919" s="36"/>
      <c r="L919" s="36"/>
      <c r="M919" s="40"/>
      <c r="N919" s="23"/>
      <c r="O919" s="36"/>
      <c r="P919" s="40"/>
      <c r="Q919" s="36"/>
      <c r="R919" s="36"/>
      <c r="S919" s="40"/>
      <c r="T919" s="23"/>
      <c r="U919" s="23"/>
      <c r="V919" s="40"/>
      <c r="W919" s="23"/>
      <c r="X919" s="23"/>
      <c r="Y919" s="40"/>
      <c r="Z919" s="23"/>
      <c r="AA919" s="23"/>
      <c r="AB919" s="40"/>
      <c r="AC919" s="42"/>
      <c r="AD919" s="42"/>
      <c r="AE919" s="40"/>
      <c r="AF919" s="42"/>
      <c r="AG919" s="42"/>
      <c r="AH919" s="23"/>
      <c r="AI919" s="42"/>
      <c r="AJ919" s="42"/>
      <c r="AK919" s="40"/>
      <c r="AL919" s="84"/>
      <c r="AM919" s="84"/>
      <c r="AN919" s="40"/>
      <c r="AO919" s="23"/>
    </row>
    <row r="920" spans="1:41" ht="15.75" x14ac:dyDescent="0.25">
      <c r="A920" s="44"/>
      <c r="B920" s="23"/>
      <c r="C920" s="23"/>
      <c r="D920" s="36"/>
      <c r="E920" s="23"/>
      <c r="F920" s="23"/>
      <c r="G920" s="40"/>
      <c r="H920" s="23"/>
      <c r="I920" s="23"/>
      <c r="J920" s="40"/>
      <c r="K920" s="36"/>
      <c r="L920" s="36"/>
      <c r="M920" s="40"/>
      <c r="N920" s="23"/>
      <c r="O920" s="36"/>
      <c r="P920" s="40"/>
      <c r="Q920" s="36"/>
      <c r="R920" s="36"/>
      <c r="S920" s="40"/>
      <c r="T920" s="23"/>
      <c r="U920" s="23"/>
      <c r="V920" s="40"/>
      <c r="W920" s="23"/>
      <c r="X920" s="23"/>
      <c r="Y920" s="40"/>
      <c r="Z920" s="23"/>
      <c r="AA920" s="23"/>
      <c r="AB920" s="40"/>
      <c r="AC920" s="42"/>
      <c r="AD920" s="42"/>
      <c r="AE920" s="40"/>
      <c r="AF920" s="42"/>
      <c r="AG920" s="42"/>
      <c r="AH920" s="23"/>
      <c r="AI920" s="42"/>
      <c r="AJ920" s="42"/>
      <c r="AK920" s="40"/>
      <c r="AL920" s="84"/>
      <c r="AM920" s="84"/>
      <c r="AN920" s="40"/>
      <c r="AO920" s="23"/>
    </row>
    <row r="921" spans="1:41" ht="15.75" x14ac:dyDescent="0.25">
      <c r="A921" s="44"/>
      <c r="B921" s="23"/>
      <c r="C921" s="23"/>
      <c r="D921" s="36"/>
      <c r="E921" s="23"/>
      <c r="F921" s="23"/>
      <c r="G921" s="40"/>
      <c r="H921" s="23"/>
      <c r="I921" s="23"/>
      <c r="J921" s="40"/>
      <c r="K921" s="36"/>
      <c r="L921" s="36"/>
      <c r="M921" s="40"/>
      <c r="N921" s="23"/>
      <c r="O921" s="36"/>
      <c r="P921" s="40"/>
      <c r="Q921" s="36"/>
      <c r="R921" s="36"/>
      <c r="S921" s="40"/>
      <c r="T921" s="23"/>
      <c r="U921" s="23"/>
      <c r="V921" s="40"/>
      <c r="W921" s="23"/>
      <c r="X921" s="23"/>
      <c r="Y921" s="40"/>
      <c r="Z921" s="23"/>
      <c r="AA921" s="23"/>
      <c r="AB921" s="40"/>
      <c r="AC921" s="42"/>
      <c r="AD921" s="42"/>
      <c r="AE921" s="40"/>
      <c r="AF921" s="42"/>
      <c r="AG921" s="42"/>
      <c r="AH921" s="23"/>
      <c r="AI921" s="42"/>
      <c r="AJ921" s="42"/>
      <c r="AK921" s="40"/>
      <c r="AL921" s="84"/>
      <c r="AM921" s="84"/>
      <c r="AN921" s="40"/>
      <c r="AO921" s="23"/>
    </row>
    <row r="922" spans="1:41" ht="15.75" x14ac:dyDescent="0.25">
      <c r="A922" s="44"/>
      <c r="B922" s="23"/>
      <c r="C922" s="23"/>
      <c r="D922" s="36"/>
      <c r="E922" s="23"/>
      <c r="F922" s="23"/>
      <c r="G922" s="40"/>
      <c r="H922" s="23"/>
      <c r="I922" s="23"/>
      <c r="J922" s="40"/>
      <c r="K922" s="36"/>
      <c r="L922" s="36"/>
      <c r="M922" s="40"/>
      <c r="N922" s="23"/>
      <c r="O922" s="36"/>
      <c r="P922" s="40"/>
      <c r="Q922" s="36"/>
      <c r="R922" s="36"/>
      <c r="S922" s="40"/>
      <c r="T922" s="23"/>
      <c r="U922" s="23"/>
      <c r="V922" s="40"/>
      <c r="W922" s="23"/>
      <c r="X922" s="23"/>
      <c r="Y922" s="40"/>
      <c r="Z922" s="23"/>
      <c r="AA922" s="23"/>
      <c r="AB922" s="40"/>
      <c r="AC922" s="42"/>
      <c r="AD922" s="42"/>
      <c r="AE922" s="40"/>
      <c r="AF922" s="42"/>
      <c r="AG922" s="42"/>
      <c r="AH922" s="23"/>
      <c r="AI922" s="42"/>
      <c r="AJ922" s="42"/>
      <c r="AK922" s="40"/>
      <c r="AL922" s="84"/>
      <c r="AM922" s="84"/>
      <c r="AN922" s="40"/>
      <c r="AO922" s="23"/>
    </row>
    <row r="923" spans="1:41" ht="15.75" x14ac:dyDescent="0.25">
      <c r="A923" s="44"/>
      <c r="B923" s="23"/>
      <c r="C923" s="23"/>
      <c r="D923" s="36"/>
      <c r="E923" s="23"/>
      <c r="F923" s="23"/>
      <c r="G923" s="40"/>
      <c r="H923" s="23"/>
      <c r="I923" s="23"/>
      <c r="J923" s="40"/>
      <c r="K923" s="36"/>
      <c r="L923" s="36"/>
      <c r="M923" s="40"/>
      <c r="N923" s="23"/>
      <c r="O923" s="36"/>
      <c r="P923" s="40"/>
      <c r="Q923" s="36"/>
      <c r="R923" s="36"/>
      <c r="S923" s="40"/>
      <c r="T923" s="23"/>
      <c r="U923" s="23"/>
      <c r="V923" s="40"/>
      <c r="W923" s="23"/>
      <c r="X923" s="23"/>
      <c r="Y923" s="40"/>
      <c r="Z923" s="23"/>
      <c r="AA923" s="23"/>
      <c r="AB923" s="40"/>
      <c r="AC923" s="42"/>
      <c r="AD923" s="42"/>
      <c r="AE923" s="40"/>
      <c r="AF923" s="42"/>
      <c r="AG923" s="42"/>
      <c r="AH923" s="23"/>
      <c r="AI923" s="42"/>
      <c r="AJ923" s="42"/>
      <c r="AK923" s="40"/>
      <c r="AL923" s="84"/>
      <c r="AM923" s="84"/>
      <c r="AN923" s="40"/>
      <c r="AO923" s="23"/>
    </row>
    <row r="924" spans="1:41" ht="15.75" x14ac:dyDescent="0.25">
      <c r="A924" s="44"/>
      <c r="B924" s="23"/>
      <c r="C924" s="23"/>
      <c r="D924" s="36"/>
      <c r="E924" s="23"/>
      <c r="F924" s="23"/>
      <c r="G924" s="40"/>
      <c r="H924" s="23"/>
      <c r="I924" s="23"/>
      <c r="J924" s="40"/>
      <c r="K924" s="36"/>
      <c r="L924" s="36"/>
      <c r="M924" s="40"/>
      <c r="N924" s="23"/>
      <c r="O924" s="36"/>
      <c r="P924" s="40"/>
      <c r="Q924" s="36"/>
      <c r="R924" s="36"/>
      <c r="S924" s="40"/>
      <c r="T924" s="23"/>
      <c r="U924" s="23"/>
      <c r="V924" s="40"/>
      <c r="W924" s="23"/>
      <c r="X924" s="23"/>
      <c r="Y924" s="40"/>
      <c r="Z924" s="23"/>
      <c r="AA924" s="23"/>
      <c r="AB924" s="40"/>
      <c r="AC924" s="42"/>
      <c r="AD924" s="42"/>
      <c r="AE924" s="40"/>
      <c r="AF924" s="42"/>
      <c r="AG924" s="42"/>
      <c r="AH924" s="23"/>
      <c r="AI924" s="42"/>
      <c r="AJ924" s="42"/>
      <c r="AK924" s="40"/>
      <c r="AL924" s="84"/>
      <c r="AM924" s="84"/>
      <c r="AN924" s="40"/>
      <c r="AO924" s="23"/>
    </row>
    <row r="925" spans="1:41" ht="15.75" x14ac:dyDescent="0.25">
      <c r="A925" s="44"/>
      <c r="B925" s="23"/>
      <c r="C925" s="23"/>
      <c r="D925" s="36"/>
      <c r="E925" s="23"/>
      <c r="F925" s="23"/>
      <c r="G925" s="40"/>
      <c r="H925" s="23"/>
      <c r="I925" s="23"/>
      <c r="J925" s="40"/>
      <c r="K925" s="36"/>
      <c r="L925" s="36"/>
      <c r="M925" s="40"/>
      <c r="N925" s="23"/>
      <c r="O925" s="36"/>
      <c r="P925" s="40"/>
      <c r="Q925" s="36"/>
      <c r="R925" s="36"/>
      <c r="S925" s="40"/>
      <c r="T925" s="23"/>
      <c r="U925" s="23"/>
      <c r="V925" s="40"/>
      <c r="W925" s="23"/>
      <c r="X925" s="23"/>
      <c r="Y925" s="40"/>
      <c r="Z925" s="23"/>
      <c r="AA925" s="23"/>
      <c r="AB925" s="40"/>
      <c r="AC925" s="42"/>
      <c r="AD925" s="42"/>
      <c r="AE925" s="40"/>
      <c r="AF925" s="42"/>
      <c r="AG925" s="42"/>
      <c r="AH925" s="23"/>
      <c r="AI925" s="42"/>
      <c r="AJ925" s="42"/>
      <c r="AK925" s="40"/>
      <c r="AL925" s="84"/>
      <c r="AM925" s="84"/>
      <c r="AN925" s="40"/>
      <c r="AO925" s="23"/>
    </row>
    <row r="926" spans="1:41" ht="15.75" x14ac:dyDescent="0.25">
      <c r="A926" s="44"/>
      <c r="B926" s="23"/>
      <c r="C926" s="23"/>
      <c r="D926" s="36"/>
      <c r="E926" s="23"/>
      <c r="F926" s="23"/>
      <c r="G926" s="40"/>
      <c r="H926" s="23"/>
      <c r="I926" s="23"/>
      <c r="J926" s="40"/>
      <c r="K926" s="36"/>
      <c r="L926" s="36"/>
      <c r="M926" s="40"/>
      <c r="N926" s="23"/>
      <c r="O926" s="36"/>
      <c r="P926" s="40"/>
      <c r="Q926" s="36"/>
      <c r="R926" s="36"/>
      <c r="S926" s="40"/>
      <c r="T926" s="23"/>
      <c r="U926" s="23"/>
      <c r="V926" s="40"/>
      <c r="W926" s="23"/>
      <c r="X926" s="23"/>
      <c r="Y926" s="40"/>
      <c r="Z926" s="23"/>
      <c r="AA926" s="23"/>
      <c r="AB926" s="40"/>
      <c r="AC926" s="42"/>
      <c r="AD926" s="42"/>
      <c r="AE926" s="40"/>
      <c r="AF926" s="42"/>
      <c r="AG926" s="42"/>
      <c r="AH926" s="23"/>
      <c r="AI926" s="42"/>
      <c r="AJ926" s="42"/>
      <c r="AK926" s="40"/>
      <c r="AL926" s="84"/>
      <c r="AM926" s="84"/>
      <c r="AN926" s="40"/>
      <c r="AO926" s="23"/>
    </row>
    <row r="927" spans="1:41" ht="15.75" x14ac:dyDescent="0.25">
      <c r="A927" s="44"/>
      <c r="B927" s="23"/>
      <c r="C927" s="23"/>
      <c r="D927" s="36"/>
      <c r="E927" s="23"/>
      <c r="F927" s="23"/>
      <c r="G927" s="40"/>
      <c r="H927" s="23"/>
      <c r="I927" s="23"/>
      <c r="J927" s="40"/>
      <c r="K927" s="36"/>
      <c r="L927" s="36"/>
      <c r="M927" s="40"/>
      <c r="N927" s="23"/>
      <c r="O927" s="36"/>
      <c r="P927" s="40"/>
      <c r="Q927" s="36"/>
      <c r="R927" s="36"/>
      <c r="S927" s="40"/>
      <c r="T927" s="23"/>
      <c r="U927" s="23"/>
      <c r="V927" s="40"/>
      <c r="W927" s="23"/>
      <c r="X927" s="23"/>
      <c r="Y927" s="40"/>
      <c r="Z927" s="23"/>
      <c r="AA927" s="23"/>
      <c r="AB927" s="40"/>
      <c r="AC927" s="42"/>
      <c r="AD927" s="42"/>
      <c r="AE927" s="40"/>
      <c r="AF927" s="42"/>
      <c r="AG927" s="42"/>
      <c r="AH927" s="23"/>
      <c r="AI927" s="42"/>
      <c r="AJ927" s="42"/>
      <c r="AK927" s="40"/>
      <c r="AL927" s="84"/>
      <c r="AM927" s="84"/>
      <c r="AN927" s="40"/>
      <c r="AO927" s="23"/>
    </row>
    <row r="928" spans="1:41" ht="15.75" x14ac:dyDescent="0.25">
      <c r="A928" s="44"/>
      <c r="B928" s="23"/>
      <c r="C928" s="23"/>
      <c r="D928" s="36"/>
      <c r="E928" s="23"/>
      <c r="F928" s="23"/>
      <c r="G928" s="40"/>
      <c r="H928" s="23"/>
      <c r="I928" s="23"/>
      <c r="J928" s="40"/>
      <c r="K928" s="36"/>
      <c r="L928" s="36"/>
      <c r="M928" s="40"/>
      <c r="N928" s="23"/>
      <c r="O928" s="36"/>
      <c r="P928" s="40"/>
      <c r="Q928" s="36"/>
      <c r="R928" s="36"/>
      <c r="S928" s="40"/>
      <c r="T928" s="23"/>
      <c r="U928" s="23"/>
      <c r="V928" s="40"/>
      <c r="W928" s="23"/>
      <c r="X928" s="23"/>
      <c r="Y928" s="40"/>
      <c r="Z928" s="23"/>
      <c r="AA928" s="23"/>
      <c r="AB928" s="40"/>
      <c r="AC928" s="42"/>
      <c r="AD928" s="42"/>
      <c r="AE928" s="40"/>
      <c r="AF928" s="42"/>
      <c r="AG928" s="42"/>
      <c r="AH928" s="23"/>
      <c r="AI928" s="42"/>
      <c r="AJ928" s="42"/>
      <c r="AK928" s="40"/>
      <c r="AL928" s="84"/>
      <c r="AM928" s="84"/>
      <c r="AN928" s="40"/>
      <c r="AO928" s="23"/>
    </row>
    <row r="929" spans="1:41" ht="15.75" x14ac:dyDescent="0.25">
      <c r="A929" s="44"/>
      <c r="B929" s="23"/>
      <c r="C929" s="23"/>
      <c r="D929" s="36"/>
      <c r="E929" s="23"/>
      <c r="F929" s="23"/>
      <c r="G929" s="40"/>
      <c r="H929" s="23"/>
      <c r="I929" s="23"/>
      <c r="J929" s="40"/>
      <c r="K929" s="36"/>
      <c r="L929" s="36"/>
      <c r="M929" s="40"/>
      <c r="N929" s="23"/>
      <c r="O929" s="36"/>
      <c r="P929" s="40"/>
      <c r="Q929" s="36"/>
      <c r="R929" s="36"/>
      <c r="S929" s="40"/>
      <c r="T929" s="23"/>
      <c r="U929" s="23"/>
      <c r="V929" s="40"/>
      <c r="W929" s="23"/>
      <c r="X929" s="23"/>
      <c r="Y929" s="40"/>
      <c r="Z929" s="23"/>
      <c r="AA929" s="23"/>
      <c r="AB929" s="40"/>
      <c r="AC929" s="42"/>
      <c r="AD929" s="42"/>
      <c r="AE929" s="40"/>
      <c r="AF929" s="42"/>
      <c r="AG929" s="42"/>
      <c r="AH929" s="23"/>
      <c r="AI929" s="42"/>
      <c r="AJ929" s="42"/>
      <c r="AK929" s="40"/>
      <c r="AL929" s="84"/>
      <c r="AM929" s="84"/>
      <c r="AN929" s="40"/>
      <c r="AO929" s="23"/>
    </row>
    <row r="930" spans="1:41" ht="15.75" x14ac:dyDescent="0.25">
      <c r="A930" s="44"/>
      <c r="B930" s="23"/>
      <c r="C930" s="23"/>
      <c r="D930" s="36"/>
      <c r="E930" s="23"/>
      <c r="F930" s="23"/>
      <c r="G930" s="40"/>
      <c r="H930" s="23"/>
      <c r="I930" s="23"/>
      <c r="J930" s="40"/>
      <c r="K930" s="36"/>
      <c r="L930" s="36"/>
      <c r="M930" s="40"/>
      <c r="N930" s="23"/>
      <c r="O930" s="36"/>
      <c r="P930" s="40"/>
      <c r="Q930" s="36"/>
      <c r="R930" s="36"/>
      <c r="S930" s="40"/>
      <c r="T930" s="23"/>
      <c r="U930" s="23"/>
      <c r="V930" s="40"/>
      <c r="W930" s="23"/>
      <c r="X930" s="23"/>
      <c r="Y930" s="40"/>
      <c r="Z930" s="23"/>
      <c r="AA930" s="23"/>
      <c r="AB930" s="40"/>
      <c r="AC930" s="42"/>
      <c r="AD930" s="42"/>
      <c r="AE930" s="40"/>
      <c r="AF930" s="42"/>
      <c r="AG930" s="42"/>
      <c r="AH930" s="23"/>
      <c r="AI930" s="42"/>
      <c r="AJ930" s="42"/>
      <c r="AK930" s="40"/>
      <c r="AL930" s="84"/>
      <c r="AM930" s="84"/>
      <c r="AN930" s="40"/>
      <c r="AO930" s="23"/>
    </row>
    <row r="931" spans="1:41" ht="15.75" x14ac:dyDescent="0.25">
      <c r="A931" s="44"/>
      <c r="B931" s="23"/>
      <c r="C931" s="23"/>
      <c r="D931" s="36"/>
      <c r="E931" s="23"/>
      <c r="F931" s="23"/>
      <c r="G931" s="40"/>
      <c r="H931" s="23"/>
      <c r="I931" s="23"/>
      <c r="J931" s="40"/>
      <c r="K931" s="36"/>
      <c r="L931" s="36"/>
      <c r="M931" s="40"/>
      <c r="N931" s="23"/>
      <c r="O931" s="36"/>
      <c r="P931" s="40"/>
      <c r="Q931" s="36"/>
      <c r="R931" s="36"/>
      <c r="S931" s="40"/>
      <c r="T931" s="23"/>
      <c r="U931" s="23"/>
      <c r="V931" s="40"/>
      <c r="W931" s="23"/>
      <c r="X931" s="23"/>
      <c r="Y931" s="40"/>
      <c r="Z931" s="23"/>
      <c r="AA931" s="23"/>
      <c r="AB931" s="40"/>
      <c r="AC931" s="42"/>
      <c r="AD931" s="42"/>
      <c r="AE931" s="40"/>
      <c r="AF931" s="42"/>
      <c r="AG931" s="42"/>
      <c r="AH931" s="23"/>
      <c r="AI931" s="42"/>
      <c r="AJ931" s="42"/>
      <c r="AK931" s="40"/>
      <c r="AL931" s="84"/>
      <c r="AM931" s="84"/>
      <c r="AN931" s="40"/>
      <c r="AO931" s="23"/>
    </row>
    <row r="932" spans="1:41" ht="15.75" x14ac:dyDescent="0.25">
      <c r="A932" s="44"/>
      <c r="B932" s="23"/>
      <c r="C932" s="23"/>
      <c r="D932" s="36"/>
      <c r="E932" s="23"/>
      <c r="F932" s="23"/>
      <c r="G932" s="40"/>
      <c r="H932" s="23"/>
      <c r="I932" s="23"/>
      <c r="J932" s="40"/>
      <c r="K932" s="36"/>
      <c r="L932" s="36"/>
      <c r="M932" s="40"/>
      <c r="N932" s="23"/>
      <c r="O932" s="36"/>
      <c r="P932" s="40"/>
      <c r="Q932" s="36"/>
      <c r="R932" s="36"/>
      <c r="S932" s="40"/>
      <c r="T932" s="23"/>
      <c r="U932" s="23"/>
      <c r="V932" s="40"/>
      <c r="W932" s="23"/>
      <c r="X932" s="23"/>
      <c r="Y932" s="40"/>
      <c r="Z932" s="23"/>
      <c r="AA932" s="23"/>
      <c r="AB932" s="40"/>
      <c r="AC932" s="42"/>
      <c r="AD932" s="42"/>
      <c r="AE932" s="40"/>
      <c r="AF932" s="42"/>
      <c r="AG932" s="42"/>
      <c r="AH932" s="23"/>
      <c r="AI932" s="42"/>
      <c r="AJ932" s="42"/>
      <c r="AK932" s="40"/>
      <c r="AL932" s="84"/>
      <c r="AM932" s="84"/>
      <c r="AN932" s="40"/>
      <c r="AO932" s="23"/>
    </row>
    <row r="933" spans="1:41" ht="15.75" x14ac:dyDescent="0.25">
      <c r="A933" s="44"/>
      <c r="B933" s="23"/>
      <c r="C933" s="23"/>
      <c r="D933" s="36"/>
      <c r="E933" s="23"/>
      <c r="F933" s="23"/>
      <c r="G933" s="40"/>
      <c r="H933" s="23"/>
      <c r="I933" s="23"/>
      <c r="J933" s="40"/>
      <c r="K933" s="36"/>
      <c r="L933" s="36"/>
      <c r="M933" s="40"/>
      <c r="N933" s="23"/>
      <c r="O933" s="36"/>
      <c r="P933" s="40"/>
      <c r="Q933" s="36"/>
      <c r="R933" s="36"/>
      <c r="S933" s="40"/>
      <c r="T933" s="23"/>
      <c r="U933" s="23"/>
      <c r="V933" s="40"/>
      <c r="W933" s="23"/>
      <c r="X933" s="23"/>
      <c r="Y933" s="40"/>
      <c r="Z933" s="23"/>
      <c r="AA933" s="23"/>
      <c r="AB933" s="40"/>
      <c r="AC933" s="42"/>
      <c r="AD933" s="42"/>
      <c r="AE933" s="40"/>
      <c r="AF933" s="42"/>
      <c r="AG933" s="42"/>
      <c r="AH933" s="23"/>
      <c r="AI933" s="42"/>
      <c r="AJ933" s="42"/>
      <c r="AK933" s="40"/>
      <c r="AL933" s="84"/>
      <c r="AM933" s="84"/>
      <c r="AN933" s="40"/>
      <c r="AO933" s="23"/>
    </row>
    <row r="934" spans="1:41" ht="15.75" x14ac:dyDescent="0.25">
      <c r="A934" s="44"/>
      <c r="B934" s="23"/>
      <c r="C934" s="23"/>
      <c r="D934" s="36"/>
      <c r="E934" s="23"/>
      <c r="F934" s="23"/>
      <c r="G934" s="40"/>
      <c r="H934" s="23"/>
      <c r="I934" s="23"/>
      <c r="J934" s="40"/>
      <c r="K934" s="36"/>
      <c r="L934" s="36"/>
      <c r="M934" s="40"/>
      <c r="N934" s="23"/>
      <c r="O934" s="36"/>
      <c r="P934" s="40"/>
      <c r="Q934" s="36"/>
      <c r="R934" s="36"/>
      <c r="S934" s="40"/>
      <c r="T934" s="23"/>
      <c r="U934" s="23"/>
      <c r="V934" s="40"/>
      <c r="W934" s="23"/>
      <c r="X934" s="23"/>
      <c r="Y934" s="40"/>
      <c r="Z934" s="23"/>
      <c r="AA934" s="23"/>
      <c r="AB934" s="40"/>
      <c r="AC934" s="42"/>
      <c r="AD934" s="42"/>
      <c r="AE934" s="40"/>
      <c r="AF934" s="42"/>
      <c r="AG934" s="42"/>
      <c r="AH934" s="23"/>
      <c r="AI934" s="42"/>
      <c r="AJ934" s="42"/>
      <c r="AK934" s="40"/>
      <c r="AL934" s="84"/>
      <c r="AM934" s="84"/>
      <c r="AN934" s="40"/>
      <c r="AO934" s="23"/>
    </row>
    <row r="935" spans="1:41" ht="15.75" x14ac:dyDescent="0.25">
      <c r="A935" s="44"/>
      <c r="B935" s="23"/>
      <c r="C935" s="23"/>
      <c r="D935" s="36"/>
      <c r="E935" s="23"/>
      <c r="F935" s="23"/>
      <c r="G935" s="40"/>
      <c r="H935" s="23"/>
      <c r="I935" s="23"/>
      <c r="J935" s="40"/>
      <c r="K935" s="36"/>
      <c r="L935" s="36"/>
      <c r="M935" s="40"/>
      <c r="N935" s="23"/>
      <c r="O935" s="36"/>
      <c r="P935" s="40"/>
      <c r="Q935" s="36"/>
      <c r="R935" s="36"/>
      <c r="S935" s="40"/>
      <c r="T935" s="23"/>
      <c r="U935" s="23"/>
      <c r="V935" s="40"/>
      <c r="W935" s="23"/>
      <c r="X935" s="23"/>
      <c r="Y935" s="40"/>
      <c r="Z935" s="23"/>
      <c r="AA935" s="23"/>
      <c r="AB935" s="40"/>
      <c r="AC935" s="42"/>
      <c r="AD935" s="42"/>
      <c r="AE935" s="40"/>
      <c r="AF935" s="42"/>
      <c r="AG935" s="42"/>
      <c r="AH935" s="23"/>
      <c r="AI935" s="42"/>
      <c r="AJ935" s="42"/>
      <c r="AK935" s="40"/>
      <c r="AL935" s="84"/>
      <c r="AM935" s="84"/>
      <c r="AN935" s="40"/>
      <c r="AO935" s="23"/>
    </row>
    <row r="936" spans="1:41" ht="15.75" x14ac:dyDescent="0.25">
      <c r="A936" s="44"/>
      <c r="B936" s="23"/>
      <c r="C936" s="23"/>
      <c r="D936" s="36"/>
      <c r="E936" s="23"/>
      <c r="F936" s="23"/>
      <c r="G936" s="40"/>
      <c r="H936" s="23"/>
      <c r="I936" s="23"/>
      <c r="J936" s="40"/>
      <c r="K936" s="36"/>
      <c r="L936" s="36"/>
      <c r="M936" s="40"/>
      <c r="N936" s="23"/>
      <c r="O936" s="36"/>
      <c r="P936" s="40"/>
      <c r="Q936" s="36"/>
      <c r="R936" s="36"/>
      <c r="S936" s="40"/>
      <c r="T936" s="23"/>
      <c r="U936" s="23"/>
      <c r="V936" s="40"/>
      <c r="W936" s="23"/>
      <c r="X936" s="23"/>
      <c r="Y936" s="40"/>
      <c r="Z936" s="23"/>
      <c r="AA936" s="23"/>
      <c r="AB936" s="40"/>
      <c r="AC936" s="42"/>
      <c r="AD936" s="42"/>
      <c r="AE936" s="40"/>
      <c r="AF936" s="42"/>
      <c r="AG936" s="42"/>
      <c r="AH936" s="23"/>
      <c r="AI936" s="42"/>
      <c r="AJ936" s="42"/>
      <c r="AK936" s="40"/>
      <c r="AL936" s="84"/>
      <c r="AM936" s="84"/>
      <c r="AN936" s="40"/>
      <c r="AO936" s="23"/>
    </row>
    <row r="937" spans="1:41" ht="15.75" x14ac:dyDescent="0.25">
      <c r="A937" s="44"/>
      <c r="B937" s="23"/>
      <c r="C937" s="23"/>
      <c r="D937" s="36"/>
      <c r="E937" s="23"/>
      <c r="F937" s="23"/>
      <c r="G937" s="40"/>
      <c r="H937" s="23"/>
      <c r="I937" s="23"/>
      <c r="J937" s="40"/>
      <c r="K937" s="36"/>
      <c r="L937" s="36"/>
      <c r="M937" s="40"/>
      <c r="N937" s="23"/>
      <c r="O937" s="36"/>
      <c r="P937" s="40"/>
      <c r="Q937" s="36"/>
      <c r="R937" s="36"/>
      <c r="S937" s="40"/>
      <c r="T937" s="23"/>
      <c r="U937" s="23"/>
      <c r="V937" s="40"/>
      <c r="W937" s="23"/>
      <c r="X937" s="23"/>
      <c r="Y937" s="40"/>
      <c r="Z937" s="23"/>
      <c r="AA937" s="23"/>
      <c r="AB937" s="40"/>
      <c r="AC937" s="42"/>
      <c r="AD937" s="42"/>
      <c r="AE937" s="40"/>
      <c r="AF937" s="42"/>
      <c r="AG937" s="42"/>
      <c r="AH937" s="23"/>
      <c r="AI937" s="42"/>
      <c r="AJ937" s="42"/>
      <c r="AK937" s="40"/>
      <c r="AL937" s="84"/>
      <c r="AM937" s="84"/>
      <c r="AN937" s="40"/>
      <c r="AO937" s="23"/>
    </row>
    <row r="938" spans="1:41" ht="15.75" x14ac:dyDescent="0.25">
      <c r="A938" s="44"/>
      <c r="B938" s="23"/>
      <c r="C938" s="23"/>
      <c r="D938" s="36"/>
      <c r="E938" s="23"/>
      <c r="F938" s="23"/>
      <c r="G938" s="40"/>
      <c r="H938" s="23"/>
      <c r="I938" s="23"/>
      <c r="J938" s="40"/>
      <c r="K938" s="36"/>
      <c r="L938" s="36"/>
      <c r="M938" s="40"/>
      <c r="N938" s="23"/>
      <c r="O938" s="36"/>
      <c r="P938" s="40"/>
      <c r="Q938" s="36"/>
      <c r="R938" s="36"/>
      <c r="S938" s="40"/>
      <c r="T938" s="23"/>
      <c r="U938" s="23"/>
      <c r="V938" s="40"/>
      <c r="W938" s="23"/>
      <c r="X938" s="23"/>
      <c r="Y938" s="40"/>
      <c r="Z938" s="23"/>
      <c r="AA938" s="23"/>
      <c r="AB938" s="40"/>
      <c r="AC938" s="42"/>
      <c r="AD938" s="42"/>
      <c r="AE938" s="40"/>
      <c r="AF938" s="42"/>
      <c r="AG938" s="42"/>
      <c r="AH938" s="23"/>
      <c r="AI938" s="42"/>
      <c r="AJ938" s="42"/>
      <c r="AK938" s="40"/>
      <c r="AL938" s="84"/>
      <c r="AM938" s="84"/>
      <c r="AN938" s="40"/>
      <c r="AO938" s="23"/>
    </row>
    <row r="939" spans="1:41" ht="15.75" x14ac:dyDescent="0.25">
      <c r="A939" s="44"/>
      <c r="B939" s="23"/>
      <c r="C939" s="23"/>
      <c r="D939" s="36"/>
      <c r="E939" s="23"/>
      <c r="F939" s="23"/>
      <c r="G939" s="40"/>
      <c r="H939" s="23"/>
      <c r="I939" s="23"/>
      <c r="J939" s="40"/>
      <c r="K939" s="36"/>
      <c r="L939" s="36"/>
      <c r="M939" s="40"/>
      <c r="N939" s="23"/>
      <c r="O939" s="36"/>
      <c r="P939" s="40"/>
      <c r="Q939" s="36"/>
      <c r="R939" s="36"/>
      <c r="S939" s="40"/>
      <c r="T939" s="23"/>
      <c r="U939" s="23"/>
      <c r="V939" s="40"/>
      <c r="W939" s="23"/>
      <c r="X939" s="23"/>
      <c r="Y939" s="40"/>
      <c r="Z939" s="23"/>
      <c r="AA939" s="23"/>
      <c r="AB939" s="40"/>
      <c r="AC939" s="42"/>
      <c r="AD939" s="42"/>
      <c r="AE939" s="40"/>
      <c r="AF939" s="42"/>
      <c r="AG939" s="42"/>
      <c r="AH939" s="23"/>
      <c r="AI939" s="42"/>
      <c r="AJ939" s="42"/>
      <c r="AK939" s="40"/>
      <c r="AL939" s="84"/>
      <c r="AM939" s="84"/>
      <c r="AN939" s="40"/>
      <c r="AO939" s="23"/>
    </row>
    <row r="940" spans="1:41" ht="15.75" x14ac:dyDescent="0.25">
      <c r="A940" s="44"/>
      <c r="B940" s="23"/>
      <c r="C940" s="23"/>
      <c r="D940" s="36"/>
      <c r="E940" s="23"/>
      <c r="F940" s="23"/>
      <c r="G940" s="40"/>
      <c r="H940" s="23"/>
      <c r="I940" s="23"/>
      <c r="J940" s="40"/>
      <c r="K940" s="36"/>
      <c r="L940" s="36"/>
      <c r="M940" s="40"/>
      <c r="N940" s="23"/>
      <c r="O940" s="36"/>
      <c r="P940" s="40"/>
      <c r="Q940" s="36"/>
      <c r="R940" s="36"/>
      <c r="S940" s="40"/>
      <c r="T940" s="23"/>
      <c r="U940" s="23"/>
      <c r="V940" s="40"/>
      <c r="W940" s="23"/>
      <c r="X940" s="23"/>
      <c r="Y940" s="40"/>
      <c r="Z940" s="23"/>
      <c r="AA940" s="23"/>
      <c r="AB940" s="40"/>
      <c r="AC940" s="42"/>
      <c r="AD940" s="42"/>
      <c r="AE940" s="40"/>
      <c r="AF940" s="42"/>
      <c r="AG940" s="42"/>
      <c r="AH940" s="23"/>
      <c r="AI940" s="42"/>
      <c r="AJ940" s="42"/>
      <c r="AK940" s="40"/>
      <c r="AL940" s="84"/>
      <c r="AM940" s="84"/>
      <c r="AN940" s="40"/>
      <c r="AO940" s="23"/>
    </row>
    <row r="941" spans="1:41" ht="15.75" x14ac:dyDescent="0.25">
      <c r="A941" s="44"/>
      <c r="B941" s="23"/>
      <c r="C941" s="23"/>
      <c r="D941" s="36"/>
      <c r="E941" s="23"/>
      <c r="F941" s="23"/>
      <c r="G941" s="40"/>
      <c r="H941" s="23"/>
      <c r="I941" s="23"/>
      <c r="J941" s="40"/>
      <c r="K941" s="36"/>
      <c r="L941" s="36"/>
      <c r="M941" s="40"/>
      <c r="N941" s="23"/>
      <c r="O941" s="36"/>
      <c r="P941" s="40"/>
      <c r="Q941" s="36"/>
      <c r="R941" s="36"/>
      <c r="S941" s="40"/>
      <c r="T941" s="23"/>
      <c r="U941" s="23"/>
      <c r="V941" s="40"/>
      <c r="W941" s="23"/>
      <c r="X941" s="23"/>
      <c r="Y941" s="40"/>
      <c r="Z941" s="23"/>
      <c r="AA941" s="23"/>
      <c r="AB941" s="40"/>
      <c r="AC941" s="42"/>
      <c r="AD941" s="42"/>
      <c r="AE941" s="40"/>
      <c r="AF941" s="42"/>
      <c r="AG941" s="42"/>
      <c r="AH941" s="23"/>
      <c r="AI941" s="42"/>
      <c r="AJ941" s="42"/>
      <c r="AK941" s="40"/>
      <c r="AL941" s="84"/>
      <c r="AM941" s="84"/>
      <c r="AN941" s="40"/>
      <c r="AO941" s="23"/>
    </row>
    <row r="942" spans="1:41" ht="15.75" x14ac:dyDescent="0.25">
      <c r="A942" s="44"/>
      <c r="B942" s="23"/>
      <c r="C942" s="23"/>
      <c r="D942" s="36"/>
      <c r="E942" s="23"/>
      <c r="F942" s="23"/>
      <c r="G942" s="40"/>
      <c r="H942" s="23"/>
      <c r="I942" s="23"/>
      <c r="J942" s="40"/>
      <c r="K942" s="36"/>
      <c r="L942" s="36"/>
      <c r="M942" s="40"/>
      <c r="N942" s="23"/>
      <c r="O942" s="36"/>
      <c r="P942" s="40"/>
      <c r="Q942" s="36"/>
      <c r="R942" s="36"/>
      <c r="S942" s="40"/>
      <c r="T942" s="23"/>
      <c r="U942" s="23"/>
      <c r="V942" s="40"/>
      <c r="W942" s="23"/>
      <c r="X942" s="23"/>
      <c r="Y942" s="40"/>
      <c r="Z942" s="23"/>
      <c r="AA942" s="23"/>
      <c r="AB942" s="40"/>
      <c r="AC942" s="42"/>
      <c r="AD942" s="42"/>
      <c r="AE942" s="40"/>
      <c r="AF942" s="42"/>
      <c r="AG942" s="42"/>
      <c r="AH942" s="23"/>
      <c r="AI942" s="42"/>
      <c r="AJ942" s="42"/>
      <c r="AK942" s="40"/>
      <c r="AL942" s="84"/>
      <c r="AM942" s="84"/>
      <c r="AN942" s="40"/>
      <c r="AO942" s="23"/>
    </row>
    <row r="943" spans="1:41" ht="15.75" x14ac:dyDescent="0.25">
      <c r="A943" s="44"/>
      <c r="B943" s="23"/>
      <c r="C943" s="23"/>
      <c r="D943" s="36"/>
      <c r="E943" s="23"/>
      <c r="F943" s="23"/>
      <c r="G943" s="40"/>
      <c r="H943" s="23"/>
      <c r="I943" s="23"/>
      <c r="J943" s="40"/>
      <c r="K943" s="36"/>
      <c r="L943" s="36"/>
      <c r="M943" s="40"/>
      <c r="N943" s="23"/>
      <c r="O943" s="36"/>
      <c r="P943" s="40"/>
      <c r="Q943" s="36"/>
      <c r="R943" s="36"/>
      <c r="S943" s="40"/>
      <c r="T943" s="23"/>
      <c r="U943" s="23"/>
      <c r="V943" s="40"/>
      <c r="W943" s="23"/>
      <c r="X943" s="23"/>
      <c r="Y943" s="40"/>
      <c r="Z943" s="23"/>
      <c r="AA943" s="23"/>
      <c r="AB943" s="40"/>
      <c r="AC943" s="42"/>
      <c r="AD943" s="42"/>
      <c r="AE943" s="40"/>
      <c r="AF943" s="42"/>
      <c r="AG943" s="42"/>
      <c r="AH943" s="23"/>
      <c r="AI943" s="42"/>
      <c r="AJ943" s="42"/>
      <c r="AK943" s="40"/>
      <c r="AL943" s="84"/>
      <c r="AM943" s="84"/>
      <c r="AN943" s="40"/>
      <c r="AO943" s="23"/>
    </row>
    <row r="944" spans="1:41" ht="15.75" x14ac:dyDescent="0.25">
      <c r="A944" s="44"/>
      <c r="B944" s="23"/>
      <c r="C944" s="23"/>
      <c r="D944" s="36"/>
      <c r="E944" s="23"/>
      <c r="F944" s="23"/>
      <c r="G944" s="40"/>
      <c r="H944" s="23"/>
      <c r="I944" s="23"/>
      <c r="J944" s="40"/>
      <c r="K944" s="36"/>
      <c r="L944" s="36"/>
      <c r="M944" s="40"/>
      <c r="N944" s="23"/>
      <c r="O944" s="36"/>
      <c r="P944" s="40"/>
      <c r="Q944" s="36"/>
      <c r="R944" s="36"/>
      <c r="S944" s="40"/>
      <c r="T944" s="23"/>
      <c r="U944" s="23"/>
      <c r="V944" s="40"/>
      <c r="W944" s="23"/>
      <c r="X944" s="23"/>
      <c r="Y944" s="40"/>
      <c r="Z944" s="23"/>
      <c r="AA944" s="23"/>
      <c r="AB944" s="40"/>
      <c r="AC944" s="42"/>
      <c r="AD944" s="42"/>
      <c r="AE944" s="40"/>
      <c r="AF944" s="42"/>
      <c r="AG944" s="42"/>
      <c r="AH944" s="23"/>
      <c r="AI944" s="42"/>
      <c r="AJ944" s="42"/>
      <c r="AK944" s="40"/>
      <c r="AL944" s="84"/>
      <c r="AM944" s="84"/>
      <c r="AN944" s="40"/>
      <c r="AO944" s="23"/>
    </row>
    <row r="945" spans="1:41" ht="15.75" x14ac:dyDescent="0.25">
      <c r="A945" s="44"/>
      <c r="B945" s="23"/>
      <c r="C945" s="23"/>
      <c r="D945" s="36"/>
      <c r="E945" s="23"/>
      <c r="F945" s="23"/>
      <c r="G945" s="40"/>
      <c r="H945" s="23"/>
      <c r="I945" s="23"/>
      <c r="J945" s="40"/>
      <c r="K945" s="36"/>
      <c r="L945" s="36"/>
      <c r="M945" s="40"/>
      <c r="N945" s="23"/>
      <c r="O945" s="36"/>
      <c r="P945" s="40"/>
      <c r="Q945" s="36"/>
      <c r="R945" s="36"/>
      <c r="S945" s="40"/>
      <c r="T945" s="23"/>
      <c r="U945" s="23"/>
      <c r="V945" s="40"/>
      <c r="W945" s="23"/>
      <c r="X945" s="23"/>
      <c r="Y945" s="40"/>
      <c r="Z945" s="23"/>
      <c r="AA945" s="23"/>
      <c r="AB945" s="40"/>
      <c r="AC945" s="42"/>
      <c r="AD945" s="42"/>
      <c r="AE945" s="40"/>
      <c r="AF945" s="42"/>
      <c r="AG945" s="42"/>
      <c r="AH945" s="23"/>
      <c r="AI945" s="42"/>
      <c r="AJ945" s="42"/>
      <c r="AK945" s="40"/>
      <c r="AL945" s="84"/>
      <c r="AM945" s="84"/>
      <c r="AN945" s="40"/>
      <c r="AO945" s="23"/>
    </row>
    <row r="946" spans="1:41" ht="15.75" x14ac:dyDescent="0.25">
      <c r="A946" s="44"/>
      <c r="B946" s="23"/>
      <c r="C946" s="23"/>
      <c r="D946" s="36"/>
      <c r="E946" s="23"/>
      <c r="F946" s="23"/>
      <c r="G946" s="40"/>
      <c r="H946" s="23"/>
      <c r="I946" s="23"/>
      <c r="J946" s="40"/>
      <c r="K946" s="36"/>
      <c r="L946" s="36"/>
      <c r="M946" s="40"/>
      <c r="N946" s="23"/>
      <c r="O946" s="36"/>
      <c r="P946" s="40"/>
      <c r="Q946" s="36"/>
      <c r="R946" s="36"/>
      <c r="S946" s="40"/>
      <c r="T946" s="23"/>
      <c r="U946" s="23"/>
      <c r="V946" s="40"/>
      <c r="W946" s="23"/>
      <c r="X946" s="23"/>
      <c r="Y946" s="40"/>
      <c r="Z946" s="23"/>
      <c r="AA946" s="23"/>
      <c r="AB946" s="40"/>
      <c r="AC946" s="42"/>
      <c r="AD946" s="42"/>
      <c r="AE946" s="40"/>
      <c r="AF946" s="42"/>
      <c r="AG946" s="42"/>
      <c r="AH946" s="23"/>
      <c r="AI946" s="42"/>
      <c r="AJ946" s="42"/>
      <c r="AK946" s="40"/>
      <c r="AL946" s="84"/>
      <c r="AM946" s="84"/>
      <c r="AN946" s="40"/>
      <c r="AO946" s="23"/>
    </row>
    <row r="947" spans="1:41" ht="15.75" x14ac:dyDescent="0.25">
      <c r="A947" s="44"/>
      <c r="B947" s="23"/>
      <c r="C947" s="23"/>
      <c r="D947" s="36"/>
      <c r="E947" s="23"/>
      <c r="F947" s="23"/>
      <c r="G947" s="40"/>
      <c r="H947" s="23"/>
      <c r="I947" s="23"/>
      <c r="J947" s="40"/>
      <c r="K947" s="36"/>
      <c r="L947" s="36"/>
      <c r="M947" s="40"/>
      <c r="N947" s="23"/>
      <c r="O947" s="36"/>
      <c r="P947" s="40"/>
      <c r="Q947" s="36"/>
      <c r="R947" s="36"/>
      <c r="S947" s="40"/>
      <c r="T947" s="23"/>
      <c r="U947" s="23"/>
      <c r="V947" s="40"/>
      <c r="W947" s="23"/>
      <c r="X947" s="23"/>
      <c r="Y947" s="40"/>
      <c r="Z947" s="23"/>
      <c r="AA947" s="23"/>
      <c r="AB947" s="40"/>
      <c r="AC947" s="42"/>
      <c r="AD947" s="42"/>
      <c r="AE947" s="40"/>
      <c r="AF947" s="42"/>
      <c r="AG947" s="42"/>
      <c r="AH947" s="23"/>
      <c r="AI947" s="42"/>
      <c r="AJ947" s="42"/>
      <c r="AK947" s="40"/>
      <c r="AL947" s="84"/>
      <c r="AM947" s="84"/>
      <c r="AN947" s="40"/>
      <c r="AO947" s="23"/>
    </row>
    <row r="948" spans="1:41" ht="15.75" x14ac:dyDescent="0.25">
      <c r="A948" s="44"/>
      <c r="B948" s="23"/>
      <c r="C948" s="23"/>
      <c r="D948" s="36"/>
      <c r="E948" s="23"/>
      <c r="F948" s="23"/>
      <c r="G948" s="40"/>
      <c r="H948" s="23"/>
      <c r="I948" s="23"/>
      <c r="J948" s="40"/>
      <c r="K948" s="36"/>
      <c r="L948" s="36"/>
      <c r="M948" s="40"/>
      <c r="N948" s="23"/>
      <c r="O948" s="36"/>
      <c r="P948" s="40"/>
      <c r="Q948" s="36"/>
      <c r="R948" s="36"/>
      <c r="S948" s="40"/>
      <c r="T948" s="23"/>
      <c r="U948" s="23"/>
      <c r="V948" s="40"/>
      <c r="W948" s="23"/>
      <c r="X948" s="23"/>
      <c r="Y948" s="40"/>
      <c r="Z948" s="23"/>
      <c r="AA948" s="23"/>
      <c r="AB948" s="40"/>
      <c r="AC948" s="42"/>
      <c r="AD948" s="42"/>
      <c r="AE948" s="40"/>
      <c r="AF948" s="42"/>
      <c r="AG948" s="42"/>
      <c r="AH948" s="23"/>
      <c r="AI948" s="42"/>
      <c r="AJ948" s="42"/>
      <c r="AK948" s="40"/>
      <c r="AL948" s="84"/>
      <c r="AM948" s="84"/>
      <c r="AN948" s="40"/>
      <c r="AO948" s="23"/>
    </row>
    <row r="949" spans="1:41" ht="15.75" x14ac:dyDescent="0.25">
      <c r="A949" s="44"/>
      <c r="B949" s="23"/>
      <c r="C949" s="23"/>
      <c r="D949" s="36"/>
      <c r="E949" s="23"/>
      <c r="F949" s="23"/>
      <c r="G949" s="40"/>
      <c r="H949" s="23"/>
      <c r="I949" s="23"/>
      <c r="J949" s="40"/>
      <c r="K949" s="36"/>
      <c r="L949" s="36"/>
      <c r="M949" s="40"/>
      <c r="N949" s="23"/>
      <c r="O949" s="36"/>
      <c r="P949" s="40"/>
      <c r="Q949" s="36"/>
      <c r="R949" s="36"/>
      <c r="S949" s="40"/>
      <c r="T949" s="23"/>
      <c r="U949" s="23"/>
      <c r="V949" s="40"/>
      <c r="W949" s="23"/>
      <c r="X949" s="23"/>
      <c r="Y949" s="40"/>
      <c r="Z949" s="23"/>
      <c r="AA949" s="23"/>
      <c r="AB949" s="40"/>
      <c r="AC949" s="42"/>
      <c r="AD949" s="42"/>
      <c r="AE949" s="40"/>
      <c r="AF949" s="42"/>
      <c r="AG949" s="42"/>
      <c r="AH949" s="23"/>
      <c r="AI949" s="42"/>
      <c r="AJ949" s="42"/>
      <c r="AK949" s="40"/>
      <c r="AL949" s="84"/>
      <c r="AM949" s="84"/>
      <c r="AN949" s="40"/>
      <c r="AO949" s="23"/>
    </row>
    <row r="950" spans="1:41" ht="15.75" x14ac:dyDescent="0.25">
      <c r="A950" s="44"/>
      <c r="B950" s="23"/>
      <c r="C950" s="23"/>
      <c r="D950" s="36"/>
      <c r="E950" s="23"/>
      <c r="F950" s="23"/>
      <c r="G950" s="40"/>
      <c r="H950" s="23"/>
      <c r="I950" s="23"/>
      <c r="J950" s="40"/>
      <c r="K950" s="36"/>
      <c r="L950" s="36"/>
      <c r="M950" s="40"/>
      <c r="N950" s="23"/>
      <c r="O950" s="36"/>
      <c r="P950" s="40"/>
      <c r="Q950" s="36"/>
      <c r="R950" s="36"/>
      <c r="S950" s="40"/>
      <c r="T950" s="23"/>
      <c r="U950" s="23"/>
      <c r="V950" s="40"/>
      <c r="W950" s="23"/>
      <c r="X950" s="23"/>
      <c r="Y950" s="40"/>
      <c r="Z950" s="23"/>
      <c r="AA950" s="23"/>
      <c r="AB950" s="40"/>
      <c r="AC950" s="42"/>
      <c r="AD950" s="42"/>
      <c r="AE950" s="40"/>
      <c r="AF950" s="42"/>
      <c r="AG950" s="42"/>
      <c r="AH950" s="23"/>
      <c r="AI950" s="42"/>
      <c r="AJ950" s="42"/>
      <c r="AK950" s="40"/>
      <c r="AL950" s="84"/>
      <c r="AM950" s="84"/>
      <c r="AN950" s="40"/>
      <c r="AO950" s="23"/>
    </row>
    <row r="951" spans="1:41" ht="15.75" x14ac:dyDescent="0.25">
      <c r="A951" s="44"/>
      <c r="B951" s="23"/>
      <c r="C951" s="23"/>
      <c r="D951" s="36"/>
      <c r="E951" s="23"/>
      <c r="F951" s="23"/>
      <c r="G951" s="40"/>
      <c r="H951" s="23"/>
      <c r="I951" s="23"/>
      <c r="J951" s="40"/>
      <c r="K951" s="36"/>
      <c r="L951" s="36"/>
      <c r="M951" s="40"/>
      <c r="N951" s="23"/>
      <c r="O951" s="36"/>
      <c r="P951" s="40"/>
      <c r="Q951" s="36"/>
      <c r="R951" s="36"/>
      <c r="S951" s="40"/>
      <c r="T951" s="23"/>
      <c r="U951" s="23"/>
      <c r="V951" s="40"/>
      <c r="W951" s="23"/>
      <c r="X951" s="23"/>
      <c r="Y951" s="40"/>
      <c r="Z951" s="23"/>
      <c r="AA951" s="23"/>
      <c r="AB951" s="40"/>
      <c r="AC951" s="42"/>
      <c r="AD951" s="42"/>
      <c r="AE951" s="40"/>
      <c r="AF951" s="42"/>
      <c r="AG951" s="42"/>
      <c r="AH951" s="23"/>
      <c r="AI951" s="42"/>
      <c r="AJ951" s="42"/>
      <c r="AK951" s="40"/>
      <c r="AL951" s="84"/>
      <c r="AM951" s="84"/>
      <c r="AN951" s="40"/>
      <c r="AO951" s="23"/>
    </row>
    <row r="952" spans="1:41" ht="15.75" x14ac:dyDescent="0.25">
      <c r="A952" s="44"/>
      <c r="B952" s="23"/>
      <c r="C952" s="23"/>
      <c r="D952" s="36"/>
      <c r="E952" s="23"/>
      <c r="F952" s="23"/>
      <c r="G952" s="40"/>
      <c r="H952" s="23"/>
      <c r="I952" s="23"/>
      <c r="J952" s="40"/>
      <c r="K952" s="36"/>
      <c r="L952" s="36"/>
      <c r="M952" s="40"/>
      <c r="N952" s="23"/>
      <c r="O952" s="36"/>
      <c r="P952" s="40"/>
      <c r="Q952" s="36"/>
      <c r="R952" s="36"/>
      <c r="S952" s="40"/>
      <c r="T952" s="23"/>
      <c r="U952" s="23"/>
      <c r="V952" s="40"/>
      <c r="W952" s="23"/>
      <c r="X952" s="23"/>
      <c r="Y952" s="40"/>
      <c r="Z952" s="23"/>
      <c r="AA952" s="23"/>
      <c r="AB952" s="40"/>
      <c r="AC952" s="42"/>
      <c r="AD952" s="42"/>
      <c r="AE952" s="40"/>
      <c r="AF952" s="42"/>
      <c r="AG952" s="42"/>
      <c r="AH952" s="23"/>
      <c r="AI952" s="42"/>
      <c r="AJ952" s="42"/>
      <c r="AK952" s="40"/>
      <c r="AL952" s="84"/>
      <c r="AM952" s="84"/>
      <c r="AN952" s="40"/>
      <c r="AO952" s="23"/>
    </row>
    <row r="953" spans="1:41" ht="15.75" x14ac:dyDescent="0.25">
      <c r="A953" s="44"/>
      <c r="B953" s="23"/>
      <c r="C953" s="23"/>
      <c r="D953" s="36"/>
      <c r="E953" s="23"/>
      <c r="F953" s="23"/>
      <c r="G953" s="40"/>
      <c r="H953" s="23"/>
      <c r="I953" s="23"/>
      <c r="J953" s="40"/>
      <c r="K953" s="36"/>
      <c r="L953" s="36"/>
      <c r="M953" s="40"/>
      <c r="N953" s="23"/>
      <c r="O953" s="36"/>
      <c r="P953" s="40"/>
      <c r="Q953" s="36"/>
      <c r="R953" s="36"/>
      <c r="S953" s="40"/>
      <c r="T953" s="23"/>
      <c r="U953" s="23"/>
      <c r="V953" s="40"/>
      <c r="W953" s="23"/>
      <c r="X953" s="23"/>
      <c r="Y953" s="40"/>
      <c r="Z953" s="23"/>
      <c r="AA953" s="23"/>
      <c r="AB953" s="40"/>
      <c r="AC953" s="42"/>
      <c r="AD953" s="42"/>
      <c r="AE953" s="40"/>
      <c r="AF953" s="42"/>
      <c r="AG953" s="42"/>
      <c r="AH953" s="23"/>
      <c r="AI953" s="42"/>
      <c r="AJ953" s="42"/>
      <c r="AK953" s="40"/>
      <c r="AL953" s="84"/>
      <c r="AM953" s="84"/>
      <c r="AN953" s="40"/>
      <c r="AO953" s="23"/>
    </row>
    <row r="954" spans="1:41" ht="15.75" x14ac:dyDescent="0.25">
      <c r="A954" s="44"/>
      <c r="B954" s="23"/>
      <c r="C954" s="23"/>
      <c r="D954" s="36"/>
      <c r="E954" s="23"/>
      <c r="F954" s="23"/>
      <c r="G954" s="40"/>
      <c r="H954" s="23"/>
      <c r="I954" s="23"/>
      <c r="J954" s="40"/>
      <c r="K954" s="36"/>
      <c r="L954" s="36"/>
      <c r="M954" s="40"/>
      <c r="N954" s="23"/>
      <c r="O954" s="36"/>
      <c r="P954" s="40"/>
      <c r="Q954" s="36"/>
      <c r="R954" s="36"/>
      <c r="S954" s="40"/>
      <c r="T954" s="23"/>
      <c r="U954" s="23"/>
      <c r="V954" s="40"/>
      <c r="W954" s="23"/>
      <c r="X954" s="23"/>
      <c r="Y954" s="40"/>
      <c r="Z954" s="23"/>
      <c r="AA954" s="23"/>
      <c r="AB954" s="40"/>
      <c r="AC954" s="42"/>
      <c r="AD954" s="42"/>
      <c r="AE954" s="40"/>
      <c r="AF954" s="42"/>
      <c r="AG954" s="42"/>
      <c r="AH954" s="23"/>
      <c r="AI954" s="42"/>
      <c r="AJ954" s="42"/>
      <c r="AK954" s="40"/>
      <c r="AL954" s="84"/>
      <c r="AM954" s="84"/>
      <c r="AN954" s="40"/>
      <c r="AO954" s="23"/>
    </row>
    <row r="955" spans="1:41" ht="15.75" x14ac:dyDescent="0.25">
      <c r="A955" s="44"/>
      <c r="B955" s="23"/>
      <c r="C955" s="23"/>
      <c r="D955" s="36"/>
      <c r="E955" s="23"/>
      <c r="F955" s="23"/>
      <c r="G955" s="40"/>
      <c r="H955" s="23"/>
      <c r="I955" s="23"/>
      <c r="J955" s="40"/>
      <c r="K955" s="36"/>
      <c r="L955" s="36"/>
      <c r="M955" s="40"/>
      <c r="N955" s="23"/>
      <c r="O955" s="36"/>
      <c r="P955" s="40"/>
      <c r="Q955" s="36"/>
      <c r="R955" s="36"/>
      <c r="S955" s="40"/>
      <c r="T955" s="23"/>
      <c r="U955" s="23"/>
      <c r="V955" s="40"/>
      <c r="W955" s="23"/>
      <c r="X955" s="23"/>
      <c r="Y955" s="40"/>
      <c r="Z955" s="23"/>
      <c r="AA955" s="23"/>
      <c r="AB955" s="40"/>
      <c r="AC955" s="42"/>
      <c r="AD955" s="42"/>
      <c r="AE955" s="40"/>
      <c r="AF955" s="42"/>
      <c r="AG955" s="42"/>
      <c r="AH955" s="23"/>
      <c r="AI955" s="42"/>
      <c r="AJ955" s="42"/>
      <c r="AK955" s="40"/>
      <c r="AL955" s="84"/>
      <c r="AM955" s="84"/>
      <c r="AN955" s="40"/>
      <c r="AO955" s="23"/>
    </row>
    <row r="956" spans="1:41" ht="15.75" x14ac:dyDescent="0.25">
      <c r="A956" s="44"/>
      <c r="B956" s="23"/>
      <c r="C956" s="23"/>
      <c r="D956" s="36"/>
      <c r="E956" s="23"/>
      <c r="F956" s="23"/>
      <c r="G956" s="40"/>
      <c r="H956" s="23"/>
      <c r="I956" s="23"/>
      <c r="J956" s="40"/>
      <c r="K956" s="36"/>
      <c r="L956" s="36"/>
      <c r="M956" s="40"/>
      <c r="N956" s="23"/>
      <c r="O956" s="36"/>
      <c r="P956" s="40"/>
      <c r="Q956" s="36"/>
      <c r="R956" s="36"/>
      <c r="S956" s="40"/>
      <c r="T956" s="23"/>
      <c r="U956" s="23"/>
      <c r="V956" s="40"/>
      <c r="W956" s="23"/>
      <c r="X956" s="23"/>
      <c r="Y956" s="40"/>
      <c r="Z956" s="23"/>
      <c r="AA956" s="23"/>
      <c r="AB956" s="40"/>
      <c r="AC956" s="42"/>
      <c r="AD956" s="42"/>
      <c r="AE956" s="40"/>
      <c r="AF956" s="42"/>
      <c r="AG956" s="42"/>
      <c r="AH956" s="23"/>
      <c r="AI956" s="42"/>
      <c r="AJ956" s="42"/>
      <c r="AK956" s="40"/>
      <c r="AL956" s="84"/>
      <c r="AM956" s="84"/>
      <c r="AN956" s="40"/>
      <c r="AO956" s="23"/>
    </row>
    <row r="957" spans="1:41" ht="15.75" x14ac:dyDescent="0.25">
      <c r="A957" s="44"/>
      <c r="B957" s="23"/>
      <c r="C957" s="23"/>
      <c r="D957" s="36"/>
      <c r="E957" s="23"/>
      <c r="F957" s="23"/>
      <c r="G957" s="40"/>
      <c r="H957" s="23"/>
      <c r="I957" s="23"/>
      <c r="J957" s="40"/>
      <c r="K957" s="36"/>
      <c r="L957" s="36"/>
      <c r="M957" s="40"/>
      <c r="N957" s="23"/>
      <c r="O957" s="36"/>
      <c r="P957" s="40"/>
      <c r="Q957" s="36"/>
      <c r="R957" s="36"/>
      <c r="S957" s="40"/>
      <c r="T957" s="23"/>
      <c r="U957" s="23"/>
      <c r="V957" s="40"/>
      <c r="W957" s="23"/>
      <c r="X957" s="23"/>
      <c r="Y957" s="40"/>
      <c r="Z957" s="23"/>
      <c r="AA957" s="23"/>
      <c r="AB957" s="40"/>
      <c r="AC957" s="42"/>
      <c r="AD957" s="42"/>
      <c r="AE957" s="40"/>
      <c r="AF957" s="42"/>
      <c r="AG957" s="42"/>
      <c r="AH957" s="23"/>
      <c r="AI957" s="42"/>
      <c r="AJ957" s="42"/>
      <c r="AK957" s="40"/>
      <c r="AL957" s="84"/>
      <c r="AM957" s="84"/>
      <c r="AN957" s="40"/>
      <c r="AO957" s="23"/>
    </row>
    <row r="958" spans="1:41" ht="15.75" x14ac:dyDescent="0.25">
      <c r="A958" s="44"/>
      <c r="B958" s="23"/>
      <c r="C958" s="23"/>
      <c r="D958" s="36"/>
      <c r="E958" s="23"/>
      <c r="F958" s="23"/>
      <c r="G958" s="40"/>
      <c r="H958" s="23"/>
      <c r="I958" s="23"/>
      <c r="J958" s="40"/>
      <c r="K958" s="36"/>
      <c r="L958" s="36"/>
      <c r="M958" s="40"/>
      <c r="N958" s="23"/>
      <c r="O958" s="36"/>
      <c r="P958" s="40"/>
      <c r="Q958" s="36"/>
      <c r="R958" s="36"/>
      <c r="S958" s="40"/>
      <c r="T958" s="23"/>
      <c r="U958" s="23"/>
      <c r="V958" s="40"/>
      <c r="W958" s="23"/>
      <c r="X958" s="23"/>
      <c r="Y958" s="40"/>
      <c r="Z958" s="23"/>
      <c r="AA958" s="23"/>
      <c r="AB958" s="40"/>
      <c r="AC958" s="42"/>
      <c r="AD958" s="42"/>
      <c r="AE958" s="40"/>
      <c r="AF958" s="42"/>
      <c r="AG958" s="42"/>
      <c r="AH958" s="23"/>
      <c r="AI958" s="42"/>
      <c r="AJ958" s="42"/>
      <c r="AK958" s="40"/>
      <c r="AL958" s="84"/>
      <c r="AM958" s="84"/>
      <c r="AN958" s="40"/>
      <c r="AO958" s="23"/>
    </row>
    <row r="959" spans="1:41" ht="15.75" x14ac:dyDescent="0.25">
      <c r="A959" s="44"/>
      <c r="B959" s="23"/>
      <c r="C959" s="23"/>
      <c r="D959" s="36"/>
      <c r="E959" s="23"/>
      <c r="F959" s="23"/>
      <c r="G959" s="40"/>
      <c r="H959" s="23"/>
      <c r="I959" s="23"/>
      <c r="J959" s="40"/>
      <c r="K959" s="36"/>
      <c r="L959" s="36"/>
      <c r="M959" s="40"/>
      <c r="N959" s="23"/>
      <c r="O959" s="36"/>
      <c r="P959" s="40"/>
      <c r="Q959" s="36"/>
      <c r="R959" s="36"/>
      <c r="S959" s="40"/>
      <c r="T959" s="23"/>
      <c r="U959" s="23"/>
      <c r="V959" s="40"/>
      <c r="W959" s="23"/>
      <c r="X959" s="23"/>
      <c r="Y959" s="40"/>
      <c r="Z959" s="23"/>
      <c r="AA959" s="23"/>
      <c r="AB959" s="40"/>
      <c r="AC959" s="42"/>
      <c r="AD959" s="42"/>
      <c r="AE959" s="40"/>
      <c r="AF959" s="42"/>
      <c r="AG959" s="42"/>
      <c r="AH959" s="23"/>
      <c r="AI959" s="42"/>
      <c r="AJ959" s="42"/>
      <c r="AK959" s="40"/>
      <c r="AL959" s="84"/>
      <c r="AM959" s="84"/>
      <c r="AN959" s="40"/>
      <c r="AO959" s="23"/>
    </row>
    <row r="960" spans="1:41" ht="15.75" x14ac:dyDescent="0.25">
      <c r="A960" s="44"/>
      <c r="B960" s="23"/>
      <c r="C960" s="23"/>
      <c r="D960" s="36"/>
      <c r="E960" s="23"/>
      <c r="F960" s="23"/>
      <c r="G960" s="40"/>
      <c r="H960" s="23"/>
      <c r="I960" s="23"/>
      <c r="J960" s="40"/>
      <c r="K960" s="36"/>
      <c r="L960" s="36"/>
      <c r="M960" s="40"/>
      <c r="N960" s="23"/>
      <c r="O960" s="36"/>
      <c r="P960" s="40"/>
      <c r="Q960" s="36"/>
      <c r="R960" s="36"/>
      <c r="S960" s="40"/>
      <c r="T960" s="23"/>
      <c r="U960" s="23"/>
      <c r="V960" s="40"/>
      <c r="W960" s="23"/>
      <c r="X960" s="23"/>
      <c r="Y960" s="40"/>
      <c r="Z960" s="23"/>
      <c r="AA960" s="23"/>
      <c r="AB960" s="40"/>
      <c r="AC960" s="42"/>
      <c r="AD960" s="42"/>
      <c r="AE960" s="40"/>
      <c r="AF960" s="42"/>
      <c r="AG960" s="42"/>
      <c r="AH960" s="23"/>
      <c r="AI960" s="42"/>
      <c r="AJ960" s="42"/>
      <c r="AK960" s="40"/>
      <c r="AL960" s="84"/>
      <c r="AM960" s="84"/>
      <c r="AN960" s="40"/>
      <c r="AO960" s="23"/>
    </row>
    <row r="961" spans="1:41" ht="15.75" x14ac:dyDescent="0.25">
      <c r="A961" s="44"/>
      <c r="B961" s="23"/>
      <c r="C961" s="23"/>
      <c r="D961" s="36"/>
      <c r="E961" s="23"/>
      <c r="F961" s="23"/>
      <c r="G961" s="40"/>
      <c r="H961" s="23"/>
      <c r="I961" s="23"/>
      <c r="J961" s="40"/>
      <c r="K961" s="36"/>
      <c r="L961" s="36"/>
      <c r="M961" s="40"/>
      <c r="N961" s="23"/>
      <c r="O961" s="36"/>
      <c r="P961" s="40"/>
      <c r="Q961" s="36"/>
      <c r="R961" s="36"/>
      <c r="S961" s="40"/>
      <c r="T961" s="23"/>
      <c r="U961" s="23"/>
      <c r="V961" s="40"/>
      <c r="W961" s="23"/>
      <c r="X961" s="23"/>
      <c r="Y961" s="40"/>
      <c r="Z961" s="23"/>
      <c r="AA961" s="23"/>
      <c r="AB961" s="40"/>
      <c r="AC961" s="42"/>
      <c r="AD961" s="42"/>
      <c r="AE961" s="40"/>
      <c r="AF961" s="42"/>
      <c r="AG961" s="42"/>
      <c r="AH961" s="23"/>
      <c r="AI961" s="42"/>
      <c r="AJ961" s="42"/>
      <c r="AK961" s="40"/>
      <c r="AL961" s="84"/>
      <c r="AM961" s="84"/>
      <c r="AN961" s="40"/>
      <c r="AO961" s="23"/>
    </row>
    <row r="962" spans="1:41" ht="15.75" x14ac:dyDescent="0.25">
      <c r="A962" s="44"/>
      <c r="B962" s="23"/>
      <c r="C962" s="23"/>
      <c r="D962" s="36"/>
      <c r="E962" s="23"/>
      <c r="F962" s="23"/>
      <c r="G962" s="40"/>
      <c r="H962" s="23"/>
      <c r="I962" s="23"/>
      <c r="J962" s="40"/>
      <c r="K962" s="36"/>
      <c r="L962" s="36"/>
      <c r="M962" s="40"/>
      <c r="N962" s="23"/>
      <c r="O962" s="36"/>
      <c r="P962" s="40"/>
      <c r="Q962" s="36"/>
      <c r="R962" s="36"/>
      <c r="S962" s="40"/>
      <c r="T962" s="23"/>
      <c r="U962" s="23"/>
      <c r="V962" s="40"/>
      <c r="W962" s="23"/>
      <c r="X962" s="23"/>
      <c r="Y962" s="40"/>
      <c r="Z962" s="23"/>
      <c r="AA962" s="23"/>
      <c r="AB962" s="40"/>
      <c r="AC962" s="42"/>
      <c r="AD962" s="42"/>
      <c r="AE962" s="40"/>
      <c r="AF962" s="42"/>
      <c r="AG962" s="42"/>
      <c r="AH962" s="23"/>
      <c r="AI962" s="42"/>
      <c r="AJ962" s="42"/>
      <c r="AK962" s="40"/>
      <c r="AL962" s="84"/>
      <c r="AM962" s="84"/>
      <c r="AN962" s="40"/>
      <c r="AO962" s="23"/>
    </row>
    <row r="963" spans="1:41" ht="15.75" x14ac:dyDescent="0.25">
      <c r="A963" s="44"/>
      <c r="B963" s="23"/>
      <c r="C963" s="23"/>
      <c r="D963" s="36"/>
      <c r="E963" s="23"/>
      <c r="F963" s="23"/>
      <c r="G963" s="40"/>
      <c r="H963" s="23"/>
      <c r="I963" s="23"/>
      <c r="J963" s="40"/>
      <c r="K963" s="36"/>
      <c r="L963" s="36"/>
      <c r="M963" s="40"/>
      <c r="N963" s="23"/>
      <c r="O963" s="36"/>
      <c r="P963" s="40"/>
      <c r="Q963" s="36"/>
      <c r="R963" s="36"/>
      <c r="S963" s="40"/>
      <c r="T963" s="23"/>
      <c r="U963" s="23"/>
      <c r="V963" s="40"/>
      <c r="W963" s="23"/>
      <c r="X963" s="23"/>
      <c r="Y963" s="40"/>
      <c r="Z963" s="23"/>
      <c r="AA963" s="23"/>
      <c r="AB963" s="40"/>
      <c r="AC963" s="42"/>
      <c r="AD963" s="42"/>
      <c r="AE963" s="40"/>
      <c r="AF963" s="42"/>
      <c r="AG963" s="42"/>
      <c r="AH963" s="23"/>
      <c r="AI963" s="42"/>
      <c r="AJ963" s="42"/>
      <c r="AK963" s="40"/>
      <c r="AL963" s="84"/>
      <c r="AM963" s="84"/>
      <c r="AN963" s="40"/>
      <c r="AO963" s="23"/>
    </row>
    <row r="964" spans="1:41" ht="15.75" x14ac:dyDescent="0.25">
      <c r="A964" s="44"/>
      <c r="B964" s="23"/>
      <c r="C964" s="23"/>
      <c r="D964" s="36"/>
      <c r="E964" s="23"/>
      <c r="F964" s="23"/>
      <c r="G964" s="40"/>
      <c r="H964" s="23"/>
      <c r="I964" s="23"/>
      <c r="J964" s="40"/>
      <c r="K964" s="36"/>
      <c r="L964" s="36"/>
      <c r="M964" s="40"/>
      <c r="N964" s="23"/>
      <c r="O964" s="36"/>
      <c r="P964" s="40"/>
      <c r="Q964" s="36"/>
      <c r="R964" s="36"/>
      <c r="S964" s="40"/>
      <c r="T964" s="23"/>
      <c r="U964" s="23"/>
      <c r="V964" s="40"/>
      <c r="W964" s="23"/>
      <c r="X964" s="23"/>
      <c r="Y964" s="40"/>
      <c r="Z964" s="23"/>
      <c r="AA964" s="23"/>
      <c r="AB964" s="40"/>
      <c r="AC964" s="42"/>
      <c r="AD964" s="42"/>
      <c r="AE964" s="40"/>
      <c r="AF964" s="42"/>
      <c r="AG964" s="42"/>
      <c r="AH964" s="23"/>
      <c r="AI964" s="42"/>
      <c r="AJ964" s="42"/>
      <c r="AK964" s="40"/>
      <c r="AL964" s="84"/>
      <c r="AM964" s="84"/>
      <c r="AN964" s="40"/>
      <c r="AO964" s="23"/>
    </row>
    <row r="965" spans="1:41" ht="15.75" x14ac:dyDescent="0.25">
      <c r="A965" s="44"/>
      <c r="B965" s="23"/>
      <c r="C965" s="23"/>
      <c r="D965" s="36"/>
      <c r="E965" s="23"/>
      <c r="F965" s="23"/>
      <c r="G965" s="40"/>
      <c r="H965" s="23"/>
      <c r="I965" s="23"/>
      <c r="J965" s="40"/>
      <c r="K965" s="36"/>
      <c r="L965" s="36"/>
      <c r="M965" s="40"/>
      <c r="N965" s="23"/>
      <c r="O965" s="36"/>
      <c r="P965" s="40"/>
      <c r="Q965" s="36"/>
      <c r="R965" s="36"/>
      <c r="S965" s="40"/>
      <c r="T965" s="23"/>
      <c r="U965" s="23"/>
      <c r="V965" s="40"/>
      <c r="W965" s="23"/>
      <c r="X965" s="23"/>
      <c r="Y965" s="40"/>
      <c r="Z965" s="23"/>
      <c r="AA965" s="23"/>
      <c r="AB965" s="40"/>
      <c r="AC965" s="42"/>
      <c r="AD965" s="42"/>
      <c r="AE965" s="40"/>
      <c r="AF965" s="42"/>
      <c r="AG965" s="42"/>
      <c r="AH965" s="23"/>
      <c r="AI965" s="42"/>
      <c r="AJ965" s="42"/>
      <c r="AK965" s="40"/>
      <c r="AL965" s="84"/>
      <c r="AM965" s="84"/>
      <c r="AN965" s="40"/>
      <c r="AO965" s="23"/>
    </row>
    <row r="966" spans="1:41" ht="15.75" x14ac:dyDescent="0.25">
      <c r="A966" s="44"/>
      <c r="B966" s="23"/>
      <c r="C966" s="23"/>
      <c r="D966" s="36"/>
      <c r="E966" s="23"/>
      <c r="F966" s="23"/>
      <c r="G966" s="40"/>
      <c r="H966" s="23"/>
      <c r="I966" s="23"/>
      <c r="J966" s="40"/>
      <c r="K966" s="36"/>
      <c r="L966" s="36"/>
      <c r="M966" s="40"/>
      <c r="N966" s="23"/>
      <c r="O966" s="36"/>
      <c r="P966" s="40"/>
      <c r="Q966" s="36"/>
      <c r="R966" s="36"/>
      <c r="S966" s="40"/>
      <c r="T966" s="23"/>
      <c r="U966" s="23"/>
      <c r="V966" s="40"/>
      <c r="W966" s="23"/>
      <c r="X966" s="23"/>
      <c r="Y966" s="40"/>
      <c r="Z966" s="23"/>
      <c r="AA966" s="23"/>
      <c r="AB966" s="40"/>
      <c r="AC966" s="42"/>
      <c r="AD966" s="42"/>
      <c r="AE966" s="40"/>
      <c r="AF966" s="42"/>
      <c r="AG966" s="42"/>
      <c r="AH966" s="23"/>
      <c r="AI966" s="42"/>
      <c r="AJ966" s="42"/>
      <c r="AK966" s="40"/>
      <c r="AL966" s="84"/>
      <c r="AM966" s="84"/>
      <c r="AN966" s="40"/>
      <c r="AO966" s="23"/>
    </row>
    <row r="967" spans="1:41" ht="15.75" x14ac:dyDescent="0.25">
      <c r="A967" s="44"/>
      <c r="B967" s="23"/>
      <c r="C967" s="23"/>
      <c r="D967" s="36"/>
      <c r="E967" s="23"/>
      <c r="F967" s="23"/>
      <c r="G967" s="40"/>
      <c r="H967" s="23"/>
      <c r="I967" s="23"/>
      <c r="J967" s="40"/>
      <c r="K967" s="36"/>
      <c r="L967" s="36"/>
      <c r="M967" s="40"/>
      <c r="N967" s="23"/>
      <c r="O967" s="36"/>
      <c r="P967" s="40"/>
      <c r="Q967" s="36"/>
      <c r="R967" s="36"/>
      <c r="S967" s="40"/>
      <c r="T967" s="23"/>
      <c r="U967" s="23"/>
      <c r="V967" s="40"/>
      <c r="W967" s="23"/>
      <c r="X967" s="23"/>
      <c r="Y967" s="40"/>
      <c r="Z967" s="23"/>
      <c r="AA967" s="23"/>
      <c r="AB967" s="40"/>
      <c r="AC967" s="42"/>
      <c r="AD967" s="42"/>
      <c r="AE967" s="40"/>
      <c r="AF967" s="42"/>
      <c r="AG967" s="42"/>
      <c r="AH967" s="23"/>
      <c r="AI967" s="42"/>
      <c r="AJ967" s="42"/>
      <c r="AK967" s="40"/>
      <c r="AL967" s="84"/>
      <c r="AM967" s="84"/>
      <c r="AN967" s="40"/>
      <c r="AO967" s="23"/>
    </row>
    <row r="968" spans="1:41" ht="15.75" x14ac:dyDescent="0.25">
      <c r="A968" s="44"/>
      <c r="B968" s="23"/>
      <c r="C968" s="23"/>
      <c r="D968" s="36"/>
      <c r="E968" s="23"/>
      <c r="F968" s="23"/>
      <c r="G968" s="40"/>
      <c r="H968" s="23"/>
      <c r="I968" s="23"/>
      <c r="J968" s="40"/>
      <c r="K968" s="36"/>
      <c r="L968" s="36"/>
      <c r="M968" s="40"/>
      <c r="N968" s="23"/>
      <c r="O968" s="36"/>
      <c r="P968" s="40"/>
      <c r="Q968" s="36"/>
      <c r="R968" s="36"/>
      <c r="S968" s="40"/>
      <c r="T968" s="23"/>
      <c r="U968" s="23"/>
      <c r="V968" s="40"/>
      <c r="W968" s="23"/>
      <c r="X968" s="23"/>
      <c r="Y968" s="40"/>
      <c r="Z968" s="23"/>
      <c r="AA968" s="23"/>
      <c r="AB968" s="40"/>
      <c r="AC968" s="42"/>
      <c r="AD968" s="42"/>
      <c r="AE968" s="40"/>
      <c r="AF968" s="42"/>
      <c r="AG968" s="42"/>
      <c r="AH968" s="23"/>
      <c r="AI968" s="42"/>
      <c r="AJ968" s="42"/>
      <c r="AK968" s="40"/>
      <c r="AL968" s="84"/>
      <c r="AM968" s="84"/>
      <c r="AN968" s="40"/>
      <c r="AO968" s="23"/>
    </row>
    <row r="969" spans="1:41" ht="15.75" x14ac:dyDescent="0.25">
      <c r="A969" s="44"/>
      <c r="B969" s="23"/>
      <c r="C969" s="23"/>
      <c r="D969" s="36"/>
      <c r="E969" s="23"/>
      <c r="F969" s="23"/>
      <c r="G969" s="40"/>
      <c r="H969" s="23"/>
      <c r="I969" s="23"/>
      <c r="J969" s="40"/>
      <c r="K969" s="36"/>
      <c r="L969" s="36"/>
      <c r="M969" s="40"/>
      <c r="N969" s="23"/>
      <c r="O969" s="36"/>
      <c r="P969" s="40"/>
      <c r="Q969" s="36"/>
      <c r="R969" s="36"/>
      <c r="S969" s="40"/>
      <c r="T969" s="23"/>
      <c r="U969" s="23"/>
      <c r="V969" s="40"/>
      <c r="W969" s="23"/>
      <c r="X969" s="23"/>
      <c r="Y969" s="40"/>
      <c r="Z969" s="23"/>
      <c r="AA969" s="23"/>
      <c r="AB969" s="40"/>
      <c r="AC969" s="42"/>
      <c r="AD969" s="42"/>
      <c r="AE969" s="40"/>
      <c r="AF969" s="42"/>
      <c r="AG969" s="42"/>
      <c r="AH969" s="23"/>
      <c r="AI969" s="42"/>
      <c r="AJ969" s="42"/>
      <c r="AK969" s="40"/>
      <c r="AL969" s="84"/>
      <c r="AM969" s="84"/>
      <c r="AN969" s="40"/>
      <c r="AO969" s="23"/>
    </row>
    <row r="970" spans="1:41" ht="15.75" x14ac:dyDescent="0.25">
      <c r="A970" s="44"/>
      <c r="B970" s="23"/>
      <c r="C970" s="23"/>
      <c r="D970" s="36"/>
      <c r="E970" s="23"/>
      <c r="F970" s="23"/>
      <c r="G970" s="40"/>
      <c r="H970" s="23"/>
      <c r="I970" s="23"/>
      <c r="J970" s="40"/>
      <c r="K970" s="36"/>
      <c r="L970" s="36"/>
      <c r="M970" s="40"/>
      <c r="N970" s="23"/>
      <c r="O970" s="36"/>
      <c r="P970" s="40"/>
      <c r="Q970" s="36"/>
      <c r="R970" s="36"/>
      <c r="S970" s="40"/>
      <c r="T970" s="23"/>
      <c r="U970" s="23"/>
      <c r="V970" s="40"/>
      <c r="W970" s="23"/>
      <c r="X970" s="23"/>
      <c r="Y970" s="40"/>
      <c r="Z970" s="23"/>
      <c r="AA970" s="23"/>
      <c r="AB970" s="40"/>
      <c r="AC970" s="42"/>
      <c r="AD970" s="42"/>
      <c r="AE970" s="40"/>
      <c r="AF970" s="42"/>
      <c r="AG970" s="42"/>
      <c r="AH970" s="23"/>
      <c r="AI970" s="42"/>
      <c r="AJ970" s="42"/>
      <c r="AK970" s="40"/>
      <c r="AL970" s="84"/>
      <c r="AM970" s="84"/>
      <c r="AN970" s="40"/>
      <c r="AO970" s="23"/>
    </row>
    <row r="971" spans="1:41" ht="15.75" x14ac:dyDescent="0.25">
      <c r="A971" s="44"/>
      <c r="B971" s="23"/>
      <c r="C971" s="23"/>
      <c r="D971" s="36"/>
      <c r="E971" s="23"/>
      <c r="F971" s="23"/>
      <c r="G971" s="40"/>
      <c r="H971" s="23"/>
      <c r="I971" s="23"/>
      <c r="J971" s="40"/>
      <c r="K971" s="36"/>
      <c r="L971" s="36"/>
      <c r="M971" s="40"/>
      <c r="N971" s="23"/>
      <c r="O971" s="36"/>
      <c r="P971" s="40"/>
      <c r="Q971" s="36"/>
      <c r="R971" s="36"/>
      <c r="S971" s="40"/>
      <c r="T971" s="23"/>
      <c r="U971" s="23"/>
      <c r="V971" s="40"/>
      <c r="W971" s="23"/>
      <c r="X971" s="23"/>
      <c r="Y971" s="40"/>
      <c r="Z971" s="23"/>
      <c r="AA971" s="23"/>
      <c r="AB971" s="40"/>
      <c r="AC971" s="42"/>
      <c r="AD971" s="42"/>
      <c r="AE971" s="40"/>
      <c r="AF971" s="42"/>
      <c r="AG971" s="42"/>
      <c r="AH971" s="23"/>
      <c r="AI971" s="42"/>
      <c r="AJ971" s="42"/>
      <c r="AK971" s="40"/>
      <c r="AL971" s="84"/>
      <c r="AM971" s="84"/>
      <c r="AN971" s="40"/>
      <c r="AO971" s="23"/>
    </row>
    <row r="972" spans="1:41" ht="15.75" x14ac:dyDescent="0.25">
      <c r="A972" s="44"/>
      <c r="B972" s="23"/>
      <c r="C972" s="23"/>
      <c r="D972" s="36"/>
      <c r="E972" s="23"/>
      <c r="F972" s="23"/>
      <c r="G972" s="40"/>
      <c r="H972" s="23"/>
      <c r="I972" s="23"/>
      <c r="J972" s="40"/>
      <c r="K972" s="36"/>
      <c r="L972" s="36"/>
      <c r="M972" s="40"/>
      <c r="N972" s="23"/>
      <c r="O972" s="36"/>
      <c r="P972" s="40"/>
      <c r="Q972" s="36"/>
      <c r="R972" s="36"/>
      <c r="S972" s="40"/>
      <c r="T972" s="23"/>
      <c r="U972" s="23"/>
      <c r="V972" s="40"/>
      <c r="W972" s="23"/>
      <c r="X972" s="23"/>
      <c r="Y972" s="40"/>
      <c r="Z972" s="23"/>
      <c r="AA972" s="23"/>
      <c r="AB972" s="40"/>
      <c r="AC972" s="42"/>
      <c r="AD972" s="42"/>
      <c r="AE972" s="40"/>
      <c r="AF972" s="42"/>
      <c r="AG972" s="42"/>
      <c r="AH972" s="23"/>
      <c r="AI972" s="42"/>
      <c r="AJ972" s="42"/>
      <c r="AK972" s="40"/>
      <c r="AL972" s="84"/>
      <c r="AM972" s="84"/>
      <c r="AN972" s="40"/>
      <c r="AO972" s="23"/>
    </row>
    <row r="973" spans="1:41" ht="15.75" x14ac:dyDescent="0.25">
      <c r="A973" s="44"/>
      <c r="B973" s="23"/>
      <c r="C973" s="23"/>
      <c r="D973" s="36"/>
      <c r="E973" s="23"/>
      <c r="F973" s="23"/>
      <c r="G973" s="40"/>
      <c r="H973" s="23"/>
      <c r="I973" s="23"/>
      <c r="J973" s="40"/>
      <c r="K973" s="36"/>
      <c r="L973" s="36"/>
      <c r="M973" s="40"/>
      <c r="N973" s="23"/>
      <c r="O973" s="36"/>
      <c r="P973" s="40"/>
      <c r="Q973" s="36"/>
      <c r="R973" s="36"/>
      <c r="S973" s="40"/>
      <c r="T973" s="23"/>
      <c r="U973" s="23"/>
      <c r="V973" s="40"/>
      <c r="W973" s="23"/>
      <c r="X973" s="23"/>
      <c r="Y973" s="40"/>
      <c r="Z973" s="23"/>
      <c r="AA973" s="23"/>
      <c r="AB973" s="40"/>
      <c r="AC973" s="42"/>
      <c r="AD973" s="42"/>
      <c r="AE973" s="40"/>
      <c r="AF973" s="42"/>
      <c r="AG973" s="42"/>
      <c r="AH973" s="23"/>
      <c r="AI973" s="42"/>
      <c r="AJ973" s="42"/>
      <c r="AK973" s="40"/>
      <c r="AL973" s="84"/>
      <c r="AM973" s="84"/>
      <c r="AN973" s="40"/>
      <c r="AO973" s="23"/>
    </row>
    <row r="974" spans="1:41" ht="15.75" x14ac:dyDescent="0.25">
      <c r="A974" s="44"/>
      <c r="B974" s="23"/>
      <c r="C974" s="23"/>
      <c r="D974" s="36"/>
      <c r="E974" s="23"/>
      <c r="F974" s="23"/>
      <c r="G974" s="40"/>
      <c r="H974" s="23"/>
      <c r="I974" s="23"/>
      <c r="J974" s="40"/>
      <c r="K974" s="36"/>
      <c r="L974" s="36"/>
      <c r="M974" s="40"/>
      <c r="N974" s="23"/>
      <c r="O974" s="36"/>
      <c r="P974" s="40"/>
      <c r="Q974" s="36"/>
      <c r="R974" s="36"/>
      <c r="S974" s="40"/>
      <c r="T974" s="23"/>
      <c r="U974" s="23"/>
      <c r="V974" s="40"/>
      <c r="W974" s="23"/>
      <c r="X974" s="23"/>
      <c r="Y974" s="40"/>
      <c r="Z974" s="23"/>
      <c r="AA974" s="23"/>
      <c r="AB974" s="40"/>
      <c r="AC974" s="42"/>
      <c r="AD974" s="42"/>
      <c r="AE974" s="40"/>
      <c r="AF974" s="42"/>
      <c r="AG974" s="42"/>
      <c r="AH974" s="23"/>
      <c r="AI974" s="42"/>
      <c r="AJ974" s="42"/>
      <c r="AK974" s="40"/>
      <c r="AL974" s="84"/>
      <c r="AM974" s="84"/>
      <c r="AN974" s="40"/>
      <c r="AO974" s="23"/>
    </row>
    <row r="975" spans="1:41" ht="15.75" x14ac:dyDescent="0.25">
      <c r="A975" s="44"/>
      <c r="B975" s="23"/>
      <c r="C975" s="23"/>
      <c r="D975" s="36"/>
      <c r="E975" s="23"/>
      <c r="F975" s="23"/>
      <c r="G975" s="40"/>
      <c r="H975" s="23"/>
      <c r="I975" s="23"/>
      <c r="J975" s="40"/>
      <c r="K975" s="36"/>
      <c r="L975" s="36"/>
      <c r="M975" s="40"/>
      <c r="N975" s="23"/>
      <c r="O975" s="36"/>
      <c r="P975" s="40"/>
      <c r="Q975" s="36"/>
      <c r="R975" s="36"/>
      <c r="S975" s="40"/>
      <c r="T975" s="23"/>
      <c r="U975" s="23"/>
      <c r="V975" s="40"/>
      <c r="W975" s="23"/>
      <c r="X975" s="23"/>
      <c r="Y975" s="40"/>
      <c r="Z975" s="23"/>
      <c r="AA975" s="23"/>
      <c r="AB975" s="40"/>
      <c r="AC975" s="42"/>
      <c r="AD975" s="42"/>
      <c r="AE975" s="40"/>
      <c r="AF975" s="42"/>
      <c r="AG975" s="42"/>
      <c r="AH975" s="23"/>
      <c r="AI975" s="42"/>
      <c r="AJ975" s="42"/>
      <c r="AK975" s="40"/>
      <c r="AL975" s="84"/>
      <c r="AM975" s="84"/>
      <c r="AN975" s="40"/>
      <c r="AO975" s="23"/>
    </row>
    <row r="976" spans="1:41" ht="15.75" x14ac:dyDescent="0.25">
      <c r="A976" s="44"/>
      <c r="B976" s="23"/>
      <c r="C976" s="23"/>
      <c r="D976" s="36"/>
      <c r="E976" s="23"/>
      <c r="F976" s="23"/>
      <c r="G976" s="40"/>
      <c r="H976" s="23"/>
      <c r="I976" s="23"/>
      <c r="J976" s="40"/>
      <c r="K976" s="36"/>
      <c r="L976" s="36"/>
      <c r="M976" s="40"/>
      <c r="N976" s="23"/>
      <c r="O976" s="36"/>
      <c r="P976" s="40"/>
      <c r="Q976" s="36"/>
      <c r="R976" s="36"/>
      <c r="S976" s="40"/>
      <c r="T976" s="23"/>
      <c r="U976" s="23"/>
      <c r="V976" s="40"/>
      <c r="W976" s="23"/>
      <c r="X976" s="23"/>
      <c r="Y976" s="40"/>
      <c r="Z976" s="23"/>
      <c r="AA976" s="23"/>
      <c r="AB976" s="40"/>
      <c r="AC976" s="42"/>
      <c r="AD976" s="42"/>
      <c r="AE976" s="40"/>
      <c r="AF976" s="42"/>
      <c r="AG976" s="42"/>
      <c r="AH976" s="23"/>
      <c r="AI976" s="42"/>
      <c r="AJ976" s="42"/>
      <c r="AK976" s="40"/>
      <c r="AL976" s="84"/>
      <c r="AM976" s="84"/>
      <c r="AN976" s="40"/>
      <c r="AO976" s="23"/>
    </row>
    <row r="977" spans="1:41" ht="15.75" x14ac:dyDescent="0.25">
      <c r="A977" s="44"/>
      <c r="B977" s="23"/>
      <c r="C977" s="23"/>
      <c r="D977" s="36"/>
      <c r="E977" s="23"/>
      <c r="F977" s="23"/>
      <c r="G977" s="40"/>
      <c r="H977" s="23"/>
      <c r="I977" s="23"/>
      <c r="J977" s="40"/>
      <c r="K977" s="36"/>
      <c r="L977" s="36"/>
      <c r="M977" s="40"/>
      <c r="N977" s="23"/>
      <c r="O977" s="36"/>
      <c r="P977" s="40"/>
      <c r="Q977" s="36"/>
      <c r="R977" s="36"/>
      <c r="S977" s="40"/>
      <c r="T977" s="23"/>
      <c r="U977" s="23"/>
      <c r="V977" s="40"/>
      <c r="W977" s="23"/>
      <c r="X977" s="23"/>
      <c r="Y977" s="40"/>
      <c r="Z977" s="23"/>
      <c r="AA977" s="23"/>
      <c r="AB977" s="40"/>
      <c r="AC977" s="42"/>
      <c r="AD977" s="42"/>
      <c r="AE977" s="40"/>
      <c r="AF977" s="42"/>
      <c r="AG977" s="42"/>
      <c r="AH977" s="23"/>
      <c r="AI977" s="42"/>
      <c r="AJ977" s="42"/>
      <c r="AK977" s="40"/>
      <c r="AL977" s="84"/>
      <c r="AM977" s="84"/>
      <c r="AN977" s="40"/>
      <c r="AO977" s="23"/>
    </row>
    <row r="978" spans="1:41" ht="15.75" x14ac:dyDescent="0.25">
      <c r="A978" s="44"/>
      <c r="B978" s="23"/>
      <c r="C978" s="23"/>
      <c r="D978" s="36"/>
      <c r="E978" s="23"/>
      <c r="F978" s="23"/>
      <c r="G978" s="40"/>
      <c r="H978" s="23"/>
      <c r="I978" s="23"/>
      <c r="J978" s="40"/>
      <c r="K978" s="36"/>
      <c r="L978" s="36"/>
      <c r="M978" s="40"/>
      <c r="N978" s="23"/>
      <c r="O978" s="36"/>
      <c r="P978" s="40"/>
      <c r="Q978" s="36"/>
      <c r="R978" s="36"/>
      <c r="S978" s="40"/>
      <c r="T978" s="23"/>
      <c r="U978" s="23"/>
      <c r="V978" s="40"/>
      <c r="W978" s="23"/>
      <c r="X978" s="23"/>
      <c r="Y978" s="40"/>
      <c r="Z978" s="23"/>
      <c r="AA978" s="23"/>
      <c r="AB978" s="40"/>
      <c r="AC978" s="42"/>
      <c r="AD978" s="42"/>
      <c r="AE978" s="40"/>
      <c r="AF978" s="42"/>
      <c r="AG978" s="42"/>
      <c r="AH978" s="23"/>
      <c r="AI978" s="42"/>
      <c r="AJ978" s="42"/>
      <c r="AK978" s="40"/>
      <c r="AL978" s="84"/>
      <c r="AM978" s="84"/>
      <c r="AN978" s="40"/>
      <c r="AO978" s="23"/>
    </row>
    <row r="979" spans="1:41" ht="15.75" x14ac:dyDescent="0.25">
      <c r="A979" s="44"/>
      <c r="B979" s="23"/>
      <c r="C979" s="23"/>
      <c r="D979" s="36"/>
      <c r="E979" s="23"/>
      <c r="F979" s="23"/>
      <c r="G979" s="40"/>
      <c r="H979" s="23"/>
      <c r="I979" s="23"/>
      <c r="J979" s="40"/>
      <c r="K979" s="36"/>
      <c r="L979" s="36"/>
      <c r="M979" s="40"/>
      <c r="N979" s="23"/>
      <c r="O979" s="36"/>
      <c r="P979" s="40"/>
      <c r="Q979" s="36"/>
      <c r="R979" s="36"/>
      <c r="S979" s="40"/>
      <c r="T979" s="23"/>
      <c r="U979" s="23"/>
      <c r="V979" s="40"/>
      <c r="W979" s="23"/>
      <c r="X979" s="23"/>
      <c r="Y979" s="40"/>
      <c r="Z979" s="23"/>
      <c r="AA979" s="23"/>
      <c r="AB979" s="40"/>
      <c r="AC979" s="42"/>
      <c r="AD979" s="42"/>
      <c r="AE979" s="40"/>
      <c r="AF979" s="42"/>
      <c r="AG979" s="42"/>
      <c r="AH979" s="23"/>
      <c r="AI979" s="42"/>
      <c r="AJ979" s="42"/>
      <c r="AK979" s="40"/>
      <c r="AL979" s="84"/>
      <c r="AM979" s="84"/>
      <c r="AN979" s="40"/>
      <c r="AO979" s="23"/>
    </row>
    <row r="980" spans="1:41" ht="15.75" x14ac:dyDescent="0.25">
      <c r="A980" s="44"/>
      <c r="B980" s="23"/>
      <c r="C980" s="23"/>
      <c r="D980" s="36"/>
      <c r="E980" s="23"/>
      <c r="F980" s="23"/>
      <c r="G980" s="40"/>
      <c r="H980" s="23"/>
      <c r="I980" s="23"/>
      <c r="J980" s="40"/>
      <c r="K980" s="36"/>
      <c r="L980" s="36"/>
      <c r="M980" s="40"/>
      <c r="N980" s="23"/>
      <c r="O980" s="36"/>
      <c r="P980" s="40"/>
      <c r="Q980" s="36"/>
      <c r="R980" s="36"/>
      <c r="S980" s="40"/>
      <c r="T980" s="23"/>
      <c r="U980" s="23"/>
      <c r="V980" s="40"/>
      <c r="W980" s="23"/>
      <c r="X980" s="23"/>
      <c r="Y980" s="40"/>
      <c r="Z980" s="23"/>
      <c r="AA980" s="23"/>
      <c r="AB980" s="40"/>
      <c r="AC980" s="42"/>
      <c r="AD980" s="42"/>
      <c r="AE980" s="40"/>
      <c r="AF980" s="42"/>
      <c r="AG980" s="42"/>
      <c r="AH980" s="23"/>
      <c r="AI980" s="42"/>
      <c r="AJ980" s="42"/>
      <c r="AK980" s="40"/>
      <c r="AL980" s="84"/>
      <c r="AM980" s="84"/>
      <c r="AN980" s="40"/>
      <c r="AO980" s="23"/>
    </row>
    <row r="981" spans="1:41" ht="15.75" x14ac:dyDescent="0.25">
      <c r="A981" s="44"/>
      <c r="B981" s="23"/>
      <c r="C981" s="23"/>
      <c r="D981" s="36"/>
      <c r="E981" s="23"/>
      <c r="F981" s="23"/>
      <c r="G981" s="40"/>
      <c r="H981" s="23"/>
      <c r="I981" s="23"/>
      <c r="J981" s="40"/>
      <c r="K981" s="36"/>
      <c r="L981" s="36"/>
      <c r="M981" s="40"/>
      <c r="N981" s="23"/>
      <c r="O981" s="36"/>
      <c r="P981" s="40"/>
      <c r="Q981" s="36"/>
      <c r="R981" s="36"/>
      <c r="S981" s="40"/>
      <c r="T981" s="23"/>
      <c r="U981" s="23"/>
      <c r="V981" s="40"/>
      <c r="W981" s="23"/>
      <c r="X981" s="23"/>
      <c r="Y981" s="40"/>
      <c r="Z981" s="23"/>
      <c r="AA981" s="23"/>
      <c r="AB981" s="40"/>
      <c r="AC981" s="42"/>
      <c r="AD981" s="42"/>
      <c r="AE981" s="40"/>
      <c r="AF981" s="42"/>
      <c r="AG981" s="42"/>
      <c r="AH981" s="23"/>
      <c r="AI981" s="42"/>
      <c r="AJ981" s="42"/>
      <c r="AK981" s="40"/>
      <c r="AL981" s="84"/>
      <c r="AM981" s="84"/>
      <c r="AN981" s="40"/>
      <c r="AO981" s="23"/>
    </row>
    <row r="982" spans="1:41" ht="15.75" x14ac:dyDescent="0.25">
      <c r="A982" s="44"/>
      <c r="B982" s="23"/>
      <c r="C982" s="23"/>
      <c r="D982" s="36"/>
      <c r="E982" s="23"/>
      <c r="F982" s="23"/>
      <c r="G982" s="40"/>
      <c r="H982" s="23"/>
      <c r="I982" s="23"/>
      <c r="J982" s="40"/>
      <c r="K982" s="36"/>
      <c r="L982" s="36"/>
      <c r="M982" s="40"/>
      <c r="N982" s="23"/>
      <c r="O982" s="36"/>
      <c r="P982" s="40"/>
      <c r="Q982" s="36"/>
      <c r="R982" s="36"/>
      <c r="S982" s="40"/>
      <c r="T982" s="23"/>
      <c r="U982" s="23"/>
      <c r="V982" s="40"/>
      <c r="W982" s="23"/>
      <c r="X982" s="23"/>
      <c r="Y982" s="40"/>
      <c r="Z982" s="23"/>
      <c r="AA982" s="23"/>
      <c r="AB982" s="40"/>
      <c r="AC982" s="42"/>
      <c r="AD982" s="42"/>
      <c r="AE982" s="40"/>
      <c r="AF982" s="42"/>
      <c r="AG982" s="42"/>
      <c r="AH982" s="23"/>
      <c r="AI982" s="42"/>
      <c r="AJ982" s="42"/>
      <c r="AK982" s="40"/>
      <c r="AL982" s="84"/>
      <c r="AM982" s="84"/>
      <c r="AN982" s="40"/>
      <c r="AO982" s="23"/>
    </row>
    <row r="983" spans="1:41" ht="15.75" x14ac:dyDescent="0.25">
      <c r="A983" s="44"/>
      <c r="B983" s="23"/>
      <c r="C983" s="23"/>
      <c r="D983" s="36"/>
      <c r="E983" s="23"/>
      <c r="F983" s="23"/>
      <c r="G983" s="40"/>
      <c r="H983" s="23"/>
      <c r="I983" s="23"/>
      <c r="J983" s="40"/>
      <c r="K983" s="36"/>
      <c r="L983" s="36"/>
      <c r="M983" s="40"/>
      <c r="N983" s="23"/>
      <c r="O983" s="36"/>
      <c r="P983" s="40"/>
      <c r="Q983" s="36"/>
      <c r="R983" s="36"/>
      <c r="S983" s="40"/>
      <c r="T983" s="23"/>
      <c r="U983" s="23"/>
      <c r="V983" s="40"/>
      <c r="W983" s="23"/>
      <c r="X983" s="23"/>
      <c r="Y983" s="40"/>
      <c r="Z983" s="23"/>
      <c r="AA983" s="23"/>
      <c r="AB983" s="40"/>
      <c r="AC983" s="42"/>
      <c r="AD983" s="42"/>
      <c r="AE983" s="40"/>
      <c r="AF983" s="42"/>
      <c r="AG983" s="42"/>
      <c r="AH983" s="23"/>
      <c r="AI983" s="42"/>
      <c r="AJ983" s="42"/>
      <c r="AK983" s="40"/>
      <c r="AL983" s="84"/>
      <c r="AM983" s="84"/>
      <c r="AN983" s="40"/>
      <c r="AO983" s="23"/>
    </row>
    <row r="984" spans="1:41" ht="15.75" x14ac:dyDescent="0.25">
      <c r="A984" s="44"/>
      <c r="B984" s="23"/>
      <c r="C984" s="23"/>
      <c r="D984" s="36"/>
      <c r="E984" s="23"/>
      <c r="F984" s="23"/>
      <c r="G984" s="40"/>
      <c r="H984" s="23"/>
      <c r="I984" s="23"/>
      <c r="J984" s="40"/>
      <c r="K984" s="36"/>
      <c r="L984" s="36"/>
      <c r="M984" s="40"/>
      <c r="N984" s="23"/>
      <c r="O984" s="36"/>
      <c r="P984" s="40"/>
      <c r="Q984" s="36"/>
      <c r="R984" s="36"/>
      <c r="S984" s="40"/>
      <c r="T984" s="23"/>
      <c r="U984" s="23"/>
      <c r="V984" s="40"/>
      <c r="W984" s="23"/>
      <c r="X984" s="23"/>
      <c r="Y984" s="40"/>
      <c r="Z984" s="23"/>
      <c r="AA984" s="23"/>
      <c r="AB984" s="40"/>
      <c r="AC984" s="42"/>
      <c r="AD984" s="42"/>
      <c r="AE984" s="40"/>
      <c r="AF984" s="42"/>
      <c r="AG984" s="42"/>
      <c r="AH984" s="23"/>
      <c r="AI984" s="42"/>
      <c r="AJ984" s="42"/>
      <c r="AK984" s="40"/>
      <c r="AL984" s="84"/>
      <c r="AM984" s="84"/>
      <c r="AN984" s="40"/>
      <c r="AO984" s="23"/>
    </row>
    <row r="985" spans="1:41" ht="15.75" x14ac:dyDescent="0.25">
      <c r="A985" s="44"/>
      <c r="B985" s="23"/>
      <c r="C985" s="23"/>
      <c r="D985" s="36"/>
      <c r="E985" s="23"/>
      <c r="F985" s="23"/>
      <c r="G985" s="40"/>
      <c r="H985" s="23"/>
      <c r="I985" s="23"/>
      <c r="J985" s="40"/>
      <c r="K985" s="36"/>
      <c r="L985" s="36"/>
      <c r="M985" s="40"/>
      <c r="N985" s="23"/>
      <c r="O985" s="36"/>
      <c r="P985" s="40"/>
      <c r="Q985" s="36"/>
      <c r="R985" s="36"/>
      <c r="S985" s="40"/>
      <c r="T985" s="23"/>
      <c r="U985" s="23"/>
      <c r="V985" s="40"/>
      <c r="W985" s="23"/>
      <c r="X985" s="23"/>
      <c r="Y985" s="40"/>
      <c r="Z985" s="23"/>
      <c r="AA985" s="23"/>
      <c r="AB985" s="40"/>
      <c r="AC985" s="42"/>
      <c r="AD985" s="42"/>
      <c r="AE985" s="40"/>
      <c r="AF985" s="42"/>
      <c r="AG985" s="42"/>
      <c r="AH985" s="23"/>
      <c r="AI985" s="42"/>
      <c r="AJ985" s="42"/>
      <c r="AK985" s="40"/>
      <c r="AL985" s="84"/>
      <c r="AM985" s="84"/>
      <c r="AN985" s="40"/>
      <c r="AO985" s="23"/>
    </row>
    <row r="986" spans="1:41" ht="15.75" x14ac:dyDescent="0.25">
      <c r="A986" s="44"/>
      <c r="B986" s="23"/>
      <c r="C986" s="23"/>
      <c r="D986" s="36"/>
      <c r="E986" s="23"/>
      <c r="F986" s="23"/>
      <c r="G986" s="40"/>
      <c r="H986" s="23"/>
      <c r="I986" s="23"/>
      <c r="J986" s="40"/>
      <c r="K986" s="36"/>
      <c r="L986" s="36"/>
      <c r="M986" s="40"/>
      <c r="N986" s="23"/>
      <c r="O986" s="36"/>
      <c r="P986" s="40"/>
      <c r="Q986" s="36"/>
      <c r="R986" s="36"/>
      <c r="S986" s="40"/>
      <c r="T986" s="23"/>
      <c r="U986" s="23"/>
      <c r="V986" s="40"/>
      <c r="W986" s="23"/>
      <c r="X986" s="23"/>
      <c r="Y986" s="40"/>
      <c r="Z986" s="23"/>
      <c r="AA986" s="23"/>
      <c r="AB986" s="40"/>
      <c r="AC986" s="42"/>
      <c r="AD986" s="42"/>
      <c r="AE986" s="40"/>
      <c r="AF986" s="42"/>
      <c r="AG986" s="42"/>
      <c r="AH986" s="23"/>
      <c r="AI986" s="42"/>
      <c r="AJ986" s="42"/>
      <c r="AK986" s="40"/>
      <c r="AL986" s="84"/>
      <c r="AM986" s="84"/>
      <c r="AN986" s="40"/>
      <c r="AO986" s="23"/>
    </row>
    <row r="987" spans="1:41" ht="15.75" x14ac:dyDescent="0.25">
      <c r="A987" s="44"/>
      <c r="B987" s="23"/>
      <c r="C987" s="23"/>
      <c r="D987" s="36"/>
      <c r="E987" s="23"/>
      <c r="F987" s="23"/>
      <c r="G987" s="40"/>
      <c r="H987" s="23"/>
      <c r="I987" s="23"/>
      <c r="J987" s="40"/>
      <c r="K987" s="36"/>
      <c r="L987" s="36"/>
      <c r="M987" s="40"/>
      <c r="N987" s="23"/>
      <c r="O987" s="36"/>
      <c r="P987" s="40"/>
      <c r="Q987" s="36"/>
      <c r="R987" s="36"/>
      <c r="S987" s="40"/>
      <c r="T987" s="23"/>
      <c r="U987" s="23"/>
      <c r="V987" s="40"/>
      <c r="W987" s="23"/>
      <c r="X987" s="23"/>
      <c r="Y987" s="40"/>
      <c r="Z987" s="23"/>
      <c r="AA987" s="23"/>
      <c r="AB987" s="40"/>
      <c r="AC987" s="42"/>
      <c r="AD987" s="42"/>
      <c r="AE987" s="40"/>
      <c r="AF987" s="42"/>
      <c r="AG987" s="42"/>
      <c r="AH987" s="23"/>
      <c r="AI987" s="42"/>
      <c r="AJ987" s="42"/>
      <c r="AK987" s="40"/>
      <c r="AL987" s="84"/>
      <c r="AM987" s="84"/>
      <c r="AN987" s="40"/>
      <c r="AO987" s="23"/>
    </row>
    <row r="988" spans="1:41" ht="15.75" x14ac:dyDescent="0.25">
      <c r="A988" s="44"/>
      <c r="B988" s="23"/>
      <c r="C988" s="23"/>
      <c r="D988" s="36"/>
      <c r="E988" s="23"/>
      <c r="F988" s="23"/>
      <c r="G988" s="40"/>
      <c r="H988" s="23"/>
      <c r="I988" s="23"/>
      <c r="J988" s="40"/>
      <c r="K988" s="36"/>
      <c r="L988" s="36"/>
      <c r="M988" s="40"/>
      <c r="N988" s="23"/>
      <c r="O988" s="36"/>
      <c r="P988" s="40"/>
      <c r="Q988" s="36"/>
      <c r="R988" s="36"/>
      <c r="S988" s="40"/>
      <c r="T988" s="23"/>
      <c r="U988" s="23"/>
      <c r="V988" s="40"/>
      <c r="W988" s="23"/>
      <c r="X988" s="23"/>
      <c r="Y988" s="40"/>
      <c r="Z988" s="23"/>
      <c r="AA988" s="23"/>
      <c r="AB988" s="40"/>
      <c r="AC988" s="42"/>
      <c r="AD988" s="42"/>
      <c r="AE988" s="40"/>
      <c r="AF988" s="42"/>
      <c r="AG988" s="42"/>
      <c r="AH988" s="23"/>
      <c r="AI988" s="42"/>
      <c r="AJ988" s="42"/>
      <c r="AK988" s="40"/>
      <c r="AL988" s="84"/>
      <c r="AM988" s="84"/>
      <c r="AN988" s="40"/>
      <c r="AO988" s="23"/>
    </row>
    <row r="989" spans="1:41" ht="15.75" x14ac:dyDescent="0.25">
      <c r="A989" s="44"/>
      <c r="B989" s="23"/>
      <c r="C989" s="23"/>
      <c r="D989" s="36"/>
      <c r="E989" s="23"/>
      <c r="F989" s="23"/>
      <c r="G989" s="40"/>
      <c r="H989" s="23"/>
      <c r="I989" s="23"/>
      <c r="J989" s="40"/>
      <c r="K989" s="36"/>
      <c r="L989" s="36"/>
      <c r="M989" s="40"/>
      <c r="N989" s="23"/>
      <c r="O989" s="36"/>
      <c r="P989" s="40"/>
      <c r="Q989" s="36"/>
      <c r="R989" s="36"/>
      <c r="S989" s="40"/>
      <c r="T989" s="23"/>
      <c r="U989" s="23"/>
      <c r="V989" s="40"/>
      <c r="W989" s="23"/>
      <c r="X989" s="23"/>
      <c r="Y989" s="40"/>
      <c r="Z989" s="23"/>
      <c r="AA989" s="23"/>
      <c r="AB989" s="40"/>
      <c r="AC989" s="42"/>
      <c r="AD989" s="42"/>
      <c r="AE989" s="40"/>
      <c r="AF989" s="42"/>
      <c r="AG989" s="42"/>
      <c r="AH989" s="23"/>
      <c r="AI989" s="42"/>
      <c r="AJ989" s="42"/>
      <c r="AK989" s="40"/>
      <c r="AL989" s="84"/>
      <c r="AM989" s="84"/>
      <c r="AN989" s="40"/>
      <c r="AO989" s="23"/>
    </row>
    <row r="990" spans="1:41" ht="15.75" x14ac:dyDescent="0.25">
      <c r="A990" s="44"/>
      <c r="B990" s="23"/>
      <c r="C990" s="23"/>
      <c r="D990" s="36"/>
      <c r="E990" s="23"/>
      <c r="F990" s="23"/>
      <c r="G990" s="40"/>
      <c r="H990" s="23"/>
      <c r="I990" s="23"/>
      <c r="J990" s="40"/>
      <c r="K990" s="36"/>
      <c r="L990" s="36"/>
      <c r="M990" s="40"/>
      <c r="N990" s="23"/>
      <c r="O990" s="36"/>
      <c r="P990" s="40"/>
      <c r="Q990" s="36"/>
      <c r="R990" s="36"/>
      <c r="S990" s="40"/>
      <c r="T990" s="23"/>
      <c r="U990" s="23"/>
      <c r="V990" s="40"/>
      <c r="W990" s="23"/>
      <c r="X990" s="23"/>
      <c r="Y990" s="40"/>
      <c r="Z990" s="23"/>
      <c r="AA990" s="23"/>
      <c r="AB990" s="40"/>
      <c r="AC990" s="42"/>
      <c r="AD990" s="42"/>
      <c r="AE990" s="40"/>
      <c r="AF990" s="42"/>
      <c r="AG990" s="42"/>
      <c r="AH990" s="23"/>
      <c r="AI990" s="42"/>
      <c r="AJ990" s="42"/>
      <c r="AK990" s="40"/>
      <c r="AL990" s="84"/>
      <c r="AM990" s="84"/>
      <c r="AN990" s="40"/>
      <c r="AO990" s="23"/>
    </row>
    <row r="991" spans="1:41" ht="15.75" x14ac:dyDescent="0.25">
      <c r="A991" s="44"/>
      <c r="B991" s="23"/>
      <c r="C991" s="23"/>
      <c r="D991" s="36"/>
      <c r="E991" s="23"/>
      <c r="F991" s="23"/>
      <c r="G991" s="40"/>
      <c r="H991" s="23"/>
      <c r="I991" s="23"/>
      <c r="J991" s="40"/>
      <c r="K991" s="36"/>
      <c r="L991" s="36"/>
      <c r="M991" s="40"/>
      <c r="N991" s="23"/>
      <c r="O991" s="36"/>
      <c r="P991" s="40"/>
      <c r="Q991" s="36"/>
      <c r="R991" s="36"/>
      <c r="S991" s="40"/>
      <c r="T991" s="23"/>
      <c r="U991" s="23"/>
      <c r="V991" s="40"/>
      <c r="W991" s="23"/>
      <c r="X991" s="23"/>
      <c r="Y991" s="40"/>
      <c r="Z991" s="23"/>
      <c r="AA991" s="23"/>
      <c r="AB991" s="40"/>
      <c r="AC991" s="42"/>
      <c r="AD991" s="42"/>
      <c r="AE991" s="40"/>
      <c r="AF991" s="42"/>
      <c r="AG991" s="42"/>
      <c r="AH991" s="23"/>
      <c r="AI991" s="42"/>
      <c r="AJ991" s="42"/>
      <c r="AK991" s="40"/>
      <c r="AL991" s="84"/>
      <c r="AM991" s="84"/>
      <c r="AN991" s="40"/>
      <c r="AO991" s="23"/>
    </row>
    <row r="992" spans="1:41" ht="15.75" x14ac:dyDescent="0.25">
      <c r="A992" s="44"/>
      <c r="B992" s="23"/>
      <c r="C992" s="23"/>
      <c r="D992" s="36"/>
      <c r="E992" s="23"/>
      <c r="F992" s="23"/>
      <c r="G992" s="40"/>
      <c r="H992" s="23"/>
      <c r="I992" s="23"/>
      <c r="J992" s="40"/>
      <c r="K992" s="36"/>
      <c r="L992" s="36"/>
      <c r="M992" s="40"/>
      <c r="N992" s="23"/>
      <c r="O992" s="36"/>
      <c r="P992" s="40"/>
      <c r="Q992" s="36"/>
      <c r="R992" s="36"/>
      <c r="S992" s="40"/>
      <c r="T992" s="23"/>
      <c r="U992" s="23"/>
      <c r="V992" s="40"/>
      <c r="W992" s="23"/>
      <c r="X992" s="23"/>
      <c r="Y992" s="40"/>
      <c r="Z992" s="23"/>
      <c r="AA992" s="23"/>
      <c r="AB992" s="40"/>
      <c r="AC992" s="42"/>
      <c r="AD992" s="42"/>
      <c r="AE992" s="40"/>
      <c r="AF992" s="42"/>
      <c r="AG992" s="42"/>
      <c r="AH992" s="23"/>
      <c r="AI992" s="42"/>
      <c r="AJ992" s="42"/>
      <c r="AK992" s="40"/>
      <c r="AL992" s="84"/>
      <c r="AM992" s="84"/>
      <c r="AN992" s="40"/>
      <c r="AO992" s="23"/>
    </row>
    <row r="993" spans="1:41" ht="15.75" x14ac:dyDescent="0.25">
      <c r="A993" s="44"/>
      <c r="B993" s="23"/>
      <c r="C993" s="23"/>
      <c r="D993" s="36"/>
      <c r="E993" s="23"/>
      <c r="F993" s="23"/>
      <c r="G993" s="40"/>
      <c r="H993" s="23"/>
      <c r="I993" s="23"/>
      <c r="J993" s="40"/>
      <c r="K993" s="36"/>
      <c r="L993" s="36"/>
      <c r="M993" s="40"/>
      <c r="N993" s="23"/>
      <c r="O993" s="36"/>
      <c r="P993" s="40"/>
      <c r="Q993" s="36"/>
      <c r="R993" s="36"/>
      <c r="S993" s="40"/>
      <c r="T993" s="23"/>
      <c r="U993" s="23"/>
      <c r="V993" s="40"/>
      <c r="W993" s="23"/>
      <c r="X993" s="23"/>
      <c r="Y993" s="40"/>
      <c r="Z993" s="23"/>
      <c r="AA993" s="23"/>
      <c r="AB993" s="40"/>
      <c r="AC993" s="42"/>
      <c r="AD993" s="42"/>
      <c r="AE993" s="40"/>
      <c r="AF993" s="42"/>
      <c r="AG993" s="42"/>
      <c r="AH993" s="23"/>
      <c r="AI993" s="42"/>
      <c r="AJ993" s="42"/>
      <c r="AK993" s="40"/>
      <c r="AL993" s="84"/>
      <c r="AM993" s="84"/>
      <c r="AN993" s="40"/>
      <c r="AO993" s="23"/>
    </row>
    <row r="994" spans="1:41" ht="15.75" x14ac:dyDescent="0.25">
      <c r="A994" s="44"/>
      <c r="B994" s="23"/>
      <c r="C994" s="23"/>
      <c r="D994" s="36"/>
      <c r="E994" s="23"/>
      <c r="F994" s="23"/>
      <c r="G994" s="40"/>
      <c r="H994" s="23"/>
      <c r="I994" s="23"/>
      <c r="J994" s="40"/>
      <c r="K994" s="36"/>
      <c r="L994" s="36"/>
      <c r="M994" s="40"/>
      <c r="N994" s="23"/>
      <c r="O994" s="36"/>
      <c r="P994" s="40"/>
      <c r="Q994" s="36"/>
      <c r="R994" s="36"/>
      <c r="S994" s="40"/>
      <c r="T994" s="23"/>
      <c r="U994" s="23"/>
      <c r="V994" s="40"/>
      <c r="W994" s="23"/>
      <c r="X994" s="23"/>
      <c r="Y994" s="40"/>
      <c r="Z994" s="23"/>
      <c r="AA994" s="23"/>
      <c r="AB994" s="40"/>
      <c r="AC994" s="42"/>
      <c r="AD994" s="42"/>
      <c r="AE994" s="40"/>
      <c r="AF994" s="42"/>
      <c r="AG994" s="42"/>
      <c r="AH994" s="23"/>
      <c r="AI994" s="42"/>
      <c r="AJ994" s="42"/>
      <c r="AK994" s="40"/>
      <c r="AL994" s="84"/>
      <c r="AM994" s="84"/>
      <c r="AN994" s="40"/>
      <c r="AO994" s="23"/>
    </row>
    <row r="995" spans="1:41" ht="15.75" x14ac:dyDescent="0.25">
      <c r="A995" s="44"/>
      <c r="B995" s="23"/>
      <c r="C995" s="23"/>
      <c r="D995" s="36"/>
      <c r="E995" s="23"/>
      <c r="F995" s="23"/>
      <c r="G995" s="40"/>
      <c r="H995" s="23"/>
      <c r="I995" s="23"/>
      <c r="J995" s="40"/>
      <c r="K995" s="36"/>
      <c r="L995" s="36"/>
      <c r="M995" s="40"/>
      <c r="N995" s="23"/>
      <c r="O995" s="36"/>
      <c r="P995" s="40"/>
      <c r="Q995" s="36"/>
      <c r="R995" s="36"/>
      <c r="S995" s="40"/>
      <c r="T995" s="23"/>
      <c r="U995" s="23"/>
      <c r="V995" s="40"/>
      <c r="W995" s="23"/>
      <c r="X995" s="23"/>
      <c r="Y995" s="40"/>
      <c r="Z995" s="23"/>
      <c r="AA995" s="23"/>
      <c r="AB995" s="40"/>
      <c r="AC995" s="42"/>
      <c r="AD995" s="42"/>
      <c r="AE995" s="40"/>
      <c r="AF995" s="42"/>
      <c r="AG995" s="42"/>
      <c r="AH995" s="23"/>
      <c r="AI995" s="42"/>
      <c r="AJ995" s="42"/>
      <c r="AK995" s="40"/>
      <c r="AL995" s="84"/>
      <c r="AM995" s="84"/>
      <c r="AN995" s="40"/>
      <c r="AO995" s="23"/>
    </row>
    <row r="996" spans="1:41" ht="15.75" x14ac:dyDescent="0.25">
      <c r="A996" s="44"/>
      <c r="B996" s="23"/>
      <c r="C996" s="23"/>
      <c r="D996" s="36"/>
      <c r="E996" s="23"/>
      <c r="F996" s="23"/>
      <c r="G996" s="40"/>
      <c r="H996" s="23"/>
      <c r="I996" s="23"/>
      <c r="J996" s="40"/>
      <c r="K996" s="36"/>
      <c r="L996" s="36"/>
      <c r="M996" s="40"/>
      <c r="N996" s="23"/>
      <c r="O996" s="36"/>
      <c r="P996" s="40"/>
      <c r="Q996" s="36"/>
      <c r="R996" s="36"/>
      <c r="S996" s="40"/>
      <c r="T996" s="23"/>
      <c r="U996" s="23"/>
      <c r="V996" s="40"/>
      <c r="W996" s="23"/>
      <c r="X996" s="23"/>
      <c r="Y996" s="40"/>
      <c r="Z996" s="23"/>
      <c r="AA996" s="23"/>
      <c r="AB996" s="40"/>
      <c r="AC996" s="42"/>
      <c r="AD996" s="42"/>
      <c r="AE996" s="40"/>
      <c r="AF996" s="42"/>
      <c r="AG996" s="42"/>
      <c r="AH996" s="23"/>
      <c r="AI996" s="42"/>
      <c r="AJ996" s="42"/>
      <c r="AK996" s="40"/>
      <c r="AL996" s="84"/>
      <c r="AM996" s="84"/>
      <c r="AN996" s="40"/>
      <c r="AO996" s="23"/>
    </row>
    <row r="997" spans="1:41" ht="15.75" x14ac:dyDescent="0.25">
      <c r="A997" s="44"/>
      <c r="B997" s="23"/>
      <c r="C997" s="23"/>
      <c r="D997" s="36"/>
      <c r="E997" s="23"/>
      <c r="F997" s="23"/>
      <c r="G997" s="40"/>
      <c r="H997" s="23"/>
      <c r="I997" s="23"/>
      <c r="J997" s="40"/>
      <c r="K997" s="36"/>
      <c r="L997" s="36"/>
      <c r="M997" s="40"/>
      <c r="N997" s="23"/>
      <c r="O997" s="36"/>
      <c r="P997" s="40"/>
      <c r="Q997" s="36"/>
      <c r="R997" s="36"/>
      <c r="S997" s="40"/>
      <c r="T997" s="23"/>
      <c r="U997" s="23"/>
      <c r="V997" s="40"/>
      <c r="W997" s="23"/>
      <c r="X997" s="23"/>
      <c r="Y997" s="40"/>
      <c r="Z997" s="23"/>
      <c r="AA997" s="23"/>
      <c r="AB997" s="40"/>
      <c r="AC997" s="42"/>
      <c r="AD997" s="42"/>
      <c r="AE997" s="40"/>
      <c r="AF997" s="42"/>
      <c r="AG997" s="42"/>
      <c r="AH997" s="23"/>
      <c r="AI997" s="42"/>
      <c r="AJ997" s="42"/>
      <c r="AK997" s="40"/>
      <c r="AL997" s="84"/>
      <c r="AM997" s="84"/>
      <c r="AN997" s="40"/>
      <c r="AO997" s="23"/>
    </row>
    <row r="998" spans="1:41" ht="15.75" x14ac:dyDescent="0.25">
      <c r="A998" s="44"/>
      <c r="B998" s="23"/>
      <c r="C998" s="23"/>
      <c r="D998" s="36"/>
      <c r="E998" s="23"/>
      <c r="F998" s="23"/>
      <c r="G998" s="40"/>
      <c r="H998" s="23"/>
      <c r="I998" s="23"/>
      <c r="J998" s="40"/>
      <c r="K998" s="36"/>
      <c r="L998" s="36"/>
      <c r="M998" s="40"/>
      <c r="N998" s="23"/>
      <c r="O998" s="36"/>
      <c r="P998" s="40"/>
      <c r="Q998" s="36"/>
      <c r="R998" s="36"/>
      <c r="S998" s="40"/>
      <c r="T998" s="23"/>
      <c r="U998" s="23"/>
      <c r="V998" s="40"/>
      <c r="W998" s="23"/>
      <c r="X998" s="23"/>
      <c r="Y998" s="40"/>
      <c r="Z998" s="23"/>
      <c r="AA998" s="23"/>
      <c r="AB998" s="40"/>
      <c r="AC998" s="42"/>
      <c r="AD998" s="42"/>
      <c r="AE998" s="40"/>
      <c r="AF998" s="42"/>
      <c r="AG998" s="42"/>
      <c r="AH998" s="23"/>
      <c r="AI998" s="42"/>
      <c r="AJ998" s="42"/>
      <c r="AK998" s="40"/>
      <c r="AL998" s="84"/>
      <c r="AM998" s="84"/>
      <c r="AN998" s="40"/>
      <c r="AO998" s="23"/>
    </row>
    <row r="999" spans="1:41" ht="15.75" x14ac:dyDescent="0.25">
      <c r="A999" s="44"/>
      <c r="B999" s="23"/>
      <c r="C999" s="23"/>
      <c r="D999" s="36"/>
      <c r="E999" s="23"/>
      <c r="F999" s="23"/>
      <c r="G999" s="40"/>
      <c r="H999" s="23"/>
      <c r="I999" s="23"/>
      <c r="J999" s="40"/>
      <c r="K999" s="36"/>
      <c r="L999" s="36"/>
      <c r="M999" s="40"/>
      <c r="N999" s="23"/>
      <c r="O999" s="36"/>
      <c r="P999" s="40"/>
      <c r="Q999" s="36"/>
      <c r="R999" s="36"/>
      <c r="S999" s="40"/>
      <c r="T999" s="23"/>
      <c r="U999" s="23"/>
      <c r="V999" s="40"/>
      <c r="W999" s="23"/>
      <c r="X999" s="23"/>
      <c r="Y999" s="40"/>
      <c r="Z999" s="23"/>
      <c r="AA999" s="23"/>
      <c r="AB999" s="40"/>
      <c r="AC999" s="42"/>
      <c r="AD999" s="42"/>
      <c r="AE999" s="40"/>
      <c r="AF999" s="42"/>
      <c r="AG999" s="42"/>
      <c r="AH999" s="23"/>
      <c r="AI999" s="42"/>
      <c r="AJ999" s="42"/>
      <c r="AK999" s="40"/>
      <c r="AL999" s="84"/>
      <c r="AM999" s="84"/>
      <c r="AN999" s="40"/>
      <c r="AO999" s="23"/>
    </row>
    <row r="1000" spans="1:41" ht="15.75" x14ac:dyDescent="0.25">
      <c r="A1000" s="44"/>
      <c r="B1000" s="23"/>
      <c r="C1000" s="23"/>
      <c r="D1000" s="36"/>
      <c r="E1000" s="23"/>
      <c r="F1000" s="23"/>
      <c r="G1000" s="40"/>
      <c r="H1000" s="23"/>
      <c r="I1000" s="23"/>
      <c r="J1000" s="40"/>
      <c r="K1000" s="36"/>
      <c r="L1000" s="36"/>
      <c r="M1000" s="40"/>
      <c r="N1000" s="23"/>
      <c r="O1000" s="36"/>
      <c r="P1000" s="40"/>
      <c r="Q1000" s="36"/>
      <c r="R1000" s="36"/>
      <c r="S1000" s="40"/>
      <c r="T1000" s="23"/>
      <c r="U1000" s="23"/>
      <c r="V1000" s="40"/>
      <c r="W1000" s="23"/>
      <c r="X1000" s="23"/>
      <c r="Y1000" s="40"/>
      <c r="Z1000" s="23"/>
      <c r="AA1000" s="23"/>
      <c r="AB1000" s="40"/>
      <c r="AC1000" s="42"/>
      <c r="AD1000" s="42"/>
      <c r="AE1000" s="40"/>
      <c r="AF1000" s="42"/>
      <c r="AG1000" s="42"/>
      <c r="AH1000" s="23"/>
      <c r="AI1000" s="42"/>
      <c r="AJ1000" s="42"/>
      <c r="AK1000" s="40"/>
      <c r="AL1000" s="84"/>
      <c r="AM1000" s="84"/>
      <c r="AN1000" s="40"/>
      <c r="AO1000" s="23"/>
    </row>
    <row r="1001" spans="1:41" ht="15.75" x14ac:dyDescent="0.25">
      <c r="A1001" s="44"/>
      <c r="B1001" s="23"/>
      <c r="C1001" s="23"/>
      <c r="D1001" s="36"/>
      <c r="E1001" s="23"/>
      <c r="F1001" s="23"/>
      <c r="G1001" s="40"/>
      <c r="H1001" s="23"/>
      <c r="I1001" s="23"/>
      <c r="J1001" s="40"/>
      <c r="K1001" s="36"/>
      <c r="L1001" s="36"/>
      <c r="M1001" s="40"/>
      <c r="N1001" s="23"/>
      <c r="O1001" s="36"/>
      <c r="P1001" s="40"/>
      <c r="Q1001" s="36"/>
      <c r="R1001" s="36"/>
      <c r="S1001" s="40"/>
      <c r="T1001" s="23"/>
      <c r="U1001" s="23"/>
      <c r="V1001" s="40"/>
      <c r="W1001" s="23"/>
      <c r="X1001" s="23"/>
      <c r="Y1001" s="40"/>
      <c r="Z1001" s="23"/>
      <c r="AA1001" s="23"/>
      <c r="AB1001" s="40"/>
      <c r="AC1001" s="42"/>
      <c r="AD1001" s="42"/>
      <c r="AE1001" s="40"/>
      <c r="AF1001" s="42"/>
      <c r="AG1001" s="42"/>
      <c r="AH1001" s="23"/>
      <c r="AI1001" s="42"/>
      <c r="AJ1001" s="42"/>
      <c r="AK1001" s="40"/>
      <c r="AL1001" s="84"/>
      <c r="AM1001" s="84"/>
      <c r="AN1001" s="40"/>
      <c r="AO1001" s="23"/>
    </row>
    <row r="1002" spans="1:41" ht="15.75" x14ac:dyDescent="0.25">
      <c r="A1002" s="44"/>
      <c r="B1002" s="23"/>
      <c r="C1002" s="23"/>
      <c r="D1002" s="36"/>
      <c r="E1002" s="23"/>
      <c r="F1002" s="23"/>
      <c r="G1002" s="40"/>
      <c r="H1002" s="23"/>
      <c r="I1002" s="23"/>
      <c r="J1002" s="40"/>
      <c r="K1002" s="36"/>
      <c r="L1002" s="36"/>
      <c r="M1002" s="40"/>
      <c r="N1002" s="23"/>
      <c r="O1002" s="36"/>
      <c r="P1002" s="40"/>
      <c r="Q1002" s="36"/>
      <c r="R1002" s="36"/>
      <c r="S1002" s="40"/>
      <c r="T1002" s="23"/>
      <c r="U1002" s="23"/>
      <c r="V1002" s="40"/>
      <c r="W1002" s="23"/>
      <c r="X1002" s="23"/>
      <c r="Y1002" s="40"/>
      <c r="Z1002" s="23"/>
      <c r="AA1002" s="23"/>
      <c r="AB1002" s="40"/>
      <c r="AC1002" s="42"/>
      <c r="AD1002" s="42"/>
      <c r="AE1002" s="40"/>
      <c r="AF1002" s="42"/>
      <c r="AG1002" s="42"/>
      <c r="AH1002" s="23"/>
      <c r="AI1002" s="42"/>
      <c r="AJ1002" s="42"/>
      <c r="AK1002" s="40"/>
      <c r="AL1002" s="84"/>
      <c r="AM1002" s="84"/>
      <c r="AN1002" s="40"/>
      <c r="AO1002" s="23"/>
    </row>
    <row r="1003" spans="1:41" ht="15.75" x14ac:dyDescent="0.25">
      <c r="A1003" s="44"/>
      <c r="B1003" s="23"/>
      <c r="C1003" s="23"/>
      <c r="D1003" s="36"/>
      <c r="E1003" s="23"/>
      <c r="F1003" s="23"/>
      <c r="G1003" s="40"/>
      <c r="H1003" s="23"/>
      <c r="I1003" s="23"/>
      <c r="J1003" s="40"/>
      <c r="K1003" s="36"/>
      <c r="L1003" s="36"/>
      <c r="M1003" s="40"/>
      <c r="N1003" s="23"/>
      <c r="O1003" s="36"/>
      <c r="P1003" s="40"/>
      <c r="Q1003" s="36"/>
      <c r="R1003" s="36"/>
      <c r="S1003" s="40"/>
      <c r="T1003" s="23"/>
      <c r="U1003" s="23"/>
      <c r="V1003" s="40"/>
      <c r="W1003" s="23"/>
      <c r="X1003" s="23"/>
      <c r="Y1003" s="40"/>
      <c r="Z1003" s="23"/>
      <c r="AA1003" s="23"/>
      <c r="AB1003" s="40"/>
      <c r="AC1003" s="42"/>
      <c r="AD1003" s="42"/>
      <c r="AE1003" s="40"/>
      <c r="AF1003" s="42"/>
      <c r="AG1003" s="42"/>
      <c r="AH1003" s="23"/>
      <c r="AI1003" s="42"/>
      <c r="AJ1003" s="42"/>
      <c r="AK1003" s="40"/>
      <c r="AL1003" s="84"/>
      <c r="AM1003" s="84"/>
      <c r="AN1003" s="40"/>
      <c r="AO1003" s="23"/>
    </row>
    <row r="1004" spans="1:41" ht="15.75" x14ac:dyDescent="0.25">
      <c r="A1004" s="44"/>
      <c r="B1004" s="23"/>
      <c r="C1004" s="23"/>
      <c r="D1004" s="36"/>
      <c r="E1004" s="23"/>
      <c r="F1004" s="23"/>
      <c r="G1004" s="40"/>
      <c r="H1004" s="23"/>
      <c r="I1004" s="23"/>
      <c r="J1004" s="40"/>
      <c r="K1004" s="36"/>
      <c r="L1004" s="36"/>
      <c r="M1004" s="40"/>
      <c r="N1004" s="23"/>
      <c r="O1004" s="36"/>
      <c r="P1004" s="40"/>
      <c r="Q1004" s="36"/>
      <c r="R1004" s="36"/>
      <c r="S1004" s="40"/>
      <c r="T1004" s="23"/>
      <c r="U1004" s="23"/>
      <c r="V1004" s="40"/>
      <c r="W1004" s="23"/>
      <c r="X1004" s="23"/>
      <c r="Y1004" s="40"/>
      <c r="Z1004" s="23"/>
      <c r="AA1004" s="23"/>
      <c r="AB1004" s="40"/>
      <c r="AC1004" s="42"/>
      <c r="AD1004" s="42"/>
      <c r="AE1004" s="40"/>
      <c r="AF1004" s="42"/>
      <c r="AG1004" s="42"/>
      <c r="AH1004" s="23"/>
      <c r="AI1004" s="42"/>
      <c r="AJ1004" s="42"/>
      <c r="AK1004" s="40"/>
      <c r="AL1004" s="84"/>
      <c r="AM1004" s="84"/>
      <c r="AN1004" s="40"/>
      <c r="AO1004" s="23"/>
    </row>
    <row r="1005" spans="1:41" ht="15.75" x14ac:dyDescent="0.25">
      <c r="A1005" s="44"/>
      <c r="B1005" s="23"/>
      <c r="C1005" s="23"/>
      <c r="D1005" s="36"/>
      <c r="E1005" s="23"/>
      <c r="F1005" s="23"/>
      <c r="G1005" s="40"/>
      <c r="H1005" s="23"/>
      <c r="I1005" s="23"/>
      <c r="J1005" s="40"/>
      <c r="K1005" s="36"/>
      <c r="L1005" s="36"/>
      <c r="M1005" s="40"/>
      <c r="N1005" s="23"/>
      <c r="O1005" s="36"/>
      <c r="P1005" s="40"/>
      <c r="Q1005" s="36"/>
      <c r="R1005" s="36"/>
      <c r="S1005" s="40"/>
      <c r="T1005" s="23"/>
      <c r="U1005" s="23"/>
      <c r="V1005" s="40"/>
      <c r="W1005" s="23"/>
      <c r="X1005" s="23"/>
      <c r="Y1005" s="40"/>
      <c r="Z1005" s="23"/>
      <c r="AA1005" s="23"/>
      <c r="AB1005" s="40"/>
      <c r="AC1005" s="42"/>
      <c r="AD1005" s="42"/>
      <c r="AE1005" s="40"/>
      <c r="AF1005" s="42"/>
      <c r="AG1005" s="42"/>
      <c r="AH1005" s="23"/>
      <c r="AI1005" s="42"/>
      <c r="AJ1005" s="42"/>
      <c r="AK1005" s="40"/>
      <c r="AL1005" s="84"/>
      <c r="AM1005" s="84"/>
      <c r="AN1005" s="40"/>
      <c r="AO1005" s="23"/>
    </row>
    <row r="1006" spans="1:41" ht="15.75" x14ac:dyDescent="0.25">
      <c r="A1006" s="44"/>
      <c r="B1006" s="23"/>
      <c r="C1006" s="23"/>
      <c r="D1006" s="36"/>
      <c r="E1006" s="23"/>
      <c r="F1006" s="23"/>
      <c r="G1006" s="40"/>
      <c r="H1006" s="23"/>
      <c r="I1006" s="23"/>
      <c r="J1006" s="40"/>
      <c r="K1006" s="36"/>
      <c r="L1006" s="36"/>
      <c r="M1006" s="40"/>
      <c r="N1006" s="23"/>
      <c r="O1006" s="36"/>
      <c r="P1006" s="40"/>
      <c r="Q1006" s="36"/>
      <c r="R1006" s="36"/>
      <c r="S1006" s="40"/>
      <c r="T1006" s="23"/>
      <c r="U1006" s="23"/>
      <c r="V1006" s="40"/>
      <c r="W1006" s="23"/>
      <c r="X1006" s="23"/>
      <c r="Y1006" s="40"/>
      <c r="Z1006" s="23"/>
      <c r="AA1006" s="23"/>
      <c r="AB1006" s="40"/>
      <c r="AC1006" s="42"/>
      <c r="AD1006" s="42"/>
      <c r="AE1006" s="40"/>
      <c r="AF1006" s="42"/>
      <c r="AG1006" s="42"/>
      <c r="AH1006" s="23"/>
      <c r="AI1006" s="42"/>
      <c r="AJ1006" s="42"/>
      <c r="AK1006" s="40"/>
      <c r="AL1006" s="84"/>
      <c r="AM1006" s="84"/>
      <c r="AN1006" s="40"/>
      <c r="AO1006" s="23"/>
    </row>
    <row r="1007" spans="1:41" ht="15.75" x14ac:dyDescent="0.25">
      <c r="A1007" s="44"/>
      <c r="B1007" s="23"/>
      <c r="C1007" s="23"/>
      <c r="D1007" s="36"/>
      <c r="E1007" s="23"/>
      <c r="F1007" s="23"/>
      <c r="G1007" s="40"/>
      <c r="H1007" s="23"/>
      <c r="I1007" s="23"/>
      <c r="J1007" s="40"/>
      <c r="K1007" s="36"/>
      <c r="L1007" s="36"/>
      <c r="M1007" s="40"/>
      <c r="N1007" s="23"/>
      <c r="O1007" s="36"/>
      <c r="P1007" s="40"/>
      <c r="Q1007" s="36"/>
      <c r="R1007" s="36"/>
      <c r="S1007" s="40"/>
      <c r="T1007" s="23"/>
      <c r="U1007" s="23"/>
      <c r="V1007" s="40"/>
      <c r="W1007" s="23"/>
      <c r="X1007" s="23"/>
      <c r="Y1007" s="40"/>
      <c r="Z1007" s="23"/>
      <c r="AA1007" s="23"/>
      <c r="AB1007" s="40"/>
      <c r="AC1007" s="42"/>
      <c r="AD1007" s="42"/>
      <c r="AE1007" s="40"/>
      <c r="AF1007" s="42"/>
      <c r="AG1007" s="42"/>
      <c r="AH1007" s="23"/>
      <c r="AI1007" s="42"/>
      <c r="AJ1007" s="42"/>
      <c r="AK1007" s="40"/>
      <c r="AL1007" s="84"/>
      <c r="AM1007" s="84"/>
      <c r="AN1007" s="40"/>
      <c r="AO1007" s="23"/>
    </row>
    <row r="1008" spans="1:41" ht="15.75" x14ac:dyDescent="0.25">
      <c r="A1008" s="44"/>
      <c r="B1008" s="23"/>
      <c r="C1008" s="23"/>
      <c r="D1008" s="36"/>
      <c r="E1008" s="23"/>
      <c r="F1008" s="23"/>
      <c r="G1008" s="40"/>
      <c r="H1008" s="23"/>
      <c r="I1008" s="23"/>
      <c r="J1008" s="40"/>
      <c r="K1008" s="36"/>
      <c r="L1008" s="36"/>
      <c r="M1008" s="40"/>
      <c r="N1008" s="23"/>
      <c r="O1008" s="36"/>
      <c r="P1008" s="40"/>
      <c r="Q1008" s="36"/>
      <c r="R1008" s="36"/>
      <c r="S1008" s="40"/>
      <c r="T1008" s="23"/>
      <c r="U1008" s="23"/>
      <c r="V1008" s="40"/>
      <c r="W1008" s="23"/>
      <c r="X1008" s="23"/>
      <c r="Y1008" s="40"/>
      <c r="Z1008" s="23"/>
      <c r="AA1008" s="23"/>
      <c r="AB1008" s="40"/>
      <c r="AC1008" s="42"/>
      <c r="AD1008" s="42"/>
      <c r="AE1008" s="40"/>
      <c r="AF1008" s="42"/>
      <c r="AG1008" s="42"/>
      <c r="AH1008" s="23"/>
      <c r="AI1008" s="42"/>
      <c r="AJ1008" s="42"/>
      <c r="AK1008" s="40"/>
      <c r="AL1008" s="84"/>
      <c r="AM1008" s="84"/>
      <c r="AN1008" s="40"/>
      <c r="AO1008" s="23"/>
    </row>
    <row r="1009" spans="1:41" ht="15.75" x14ac:dyDescent="0.25">
      <c r="A1009" s="44"/>
      <c r="B1009" s="23"/>
      <c r="C1009" s="23"/>
      <c r="D1009" s="36"/>
      <c r="E1009" s="23"/>
      <c r="F1009" s="23"/>
      <c r="G1009" s="40"/>
      <c r="H1009" s="23"/>
      <c r="I1009" s="23"/>
      <c r="J1009" s="40"/>
      <c r="K1009" s="36"/>
      <c r="L1009" s="36"/>
      <c r="M1009" s="40"/>
      <c r="N1009" s="23"/>
      <c r="O1009" s="36"/>
      <c r="P1009" s="40"/>
      <c r="Q1009" s="36"/>
      <c r="R1009" s="36"/>
      <c r="S1009" s="40"/>
      <c r="T1009" s="23"/>
      <c r="U1009" s="23"/>
      <c r="V1009" s="40"/>
      <c r="W1009" s="23"/>
      <c r="X1009" s="23"/>
      <c r="Y1009" s="40"/>
      <c r="Z1009" s="23"/>
      <c r="AA1009" s="23"/>
      <c r="AB1009" s="40"/>
      <c r="AC1009" s="42"/>
      <c r="AD1009" s="42"/>
      <c r="AE1009" s="40"/>
      <c r="AF1009" s="42"/>
      <c r="AG1009" s="42"/>
      <c r="AH1009" s="23"/>
      <c r="AI1009" s="42"/>
      <c r="AJ1009" s="42"/>
      <c r="AK1009" s="40"/>
      <c r="AL1009" s="84"/>
      <c r="AM1009" s="84"/>
      <c r="AN1009" s="40"/>
      <c r="AO1009" s="23"/>
    </row>
    <row r="1010" spans="1:41" ht="15.75" x14ac:dyDescent="0.25">
      <c r="A1010" s="44"/>
      <c r="B1010" s="23"/>
      <c r="C1010" s="23"/>
      <c r="D1010" s="36"/>
      <c r="E1010" s="23"/>
      <c r="F1010" s="23"/>
      <c r="G1010" s="40"/>
      <c r="H1010" s="23"/>
      <c r="I1010" s="23"/>
      <c r="J1010" s="40"/>
      <c r="K1010" s="36"/>
      <c r="L1010" s="36"/>
      <c r="M1010" s="40"/>
      <c r="N1010" s="23"/>
      <c r="O1010" s="36"/>
      <c r="P1010" s="40"/>
      <c r="Q1010" s="36"/>
      <c r="R1010" s="36"/>
      <c r="S1010" s="40"/>
      <c r="T1010" s="23"/>
      <c r="U1010" s="23"/>
      <c r="V1010" s="40"/>
      <c r="W1010" s="23"/>
      <c r="X1010" s="23"/>
      <c r="Y1010" s="40"/>
      <c r="Z1010" s="23"/>
      <c r="AA1010" s="23"/>
      <c r="AB1010" s="40"/>
      <c r="AC1010" s="42"/>
      <c r="AD1010" s="42"/>
      <c r="AE1010" s="40"/>
      <c r="AF1010" s="42"/>
      <c r="AG1010" s="42"/>
      <c r="AH1010" s="23"/>
      <c r="AI1010" s="42"/>
      <c r="AJ1010" s="42"/>
      <c r="AK1010" s="40"/>
      <c r="AL1010" s="84"/>
      <c r="AM1010" s="84"/>
      <c r="AN1010" s="40"/>
      <c r="AO1010" s="23"/>
    </row>
    <row r="1011" spans="1:41" ht="15.75" x14ac:dyDescent="0.25">
      <c r="A1011" s="44"/>
      <c r="B1011" s="23"/>
      <c r="C1011" s="23"/>
      <c r="D1011" s="36"/>
      <c r="E1011" s="23"/>
      <c r="F1011" s="23"/>
      <c r="G1011" s="40"/>
      <c r="H1011" s="23"/>
      <c r="I1011" s="23"/>
      <c r="J1011" s="40"/>
      <c r="K1011" s="36"/>
      <c r="L1011" s="36"/>
      <c r="M1011" s="40"/>
      <c r="N1011" s="23"/>
      <c r="O1011" s="36"/>
      <c r="P1011" s="40"/>
      <c r="Q1011" s="36"/>
      <c r="R1011" s="36"/>
      <c r="S1011" s="40"/>
      <c r="T1011" s="23"/>
      <c r="U1011" s="23"/>
      <c r="V1011" s="40"/>
      <c r="W1011" s="23"/>
      <c r="X1011" s="23"/>
      <c r="Y1011" s="40"/>
      <c r="Z1011" s="23"/>
      <c r="AA1011" s="23"/>
      <c r="AB1011" s="40"/>
      <c r="AC1011" s="42"/>
      <c r="AD1011" s="42"/>
      <c r="AE1011" s="40"/>
      <c r="AF1011" s="42"/>
      <c r="AG1011" s="42"/>
      <c r="AH1011" s="23"/>
      <c r="AI1011" s="42"/>
      <c r="AJ1011" s="42"/>
      <c r="AK1011" s="40"/>
      <c r="AL1011" s="84"/>
      <c r="AM1011" s="84"/>
      <c r="AN1011" s="40"/>
      <c r="AO1011" s="23"/>
    </row>
    <row r="1012" spans="1:41" ht="15.75" x14ac:dyDescent="0.25">
      <c r="A1012" s="44"/>
      <c r="B1012" s="23"/>
      <c r="C1012" s="23"/>
      <c r="D1012" s="36"/>
      <c r="E1012" s="23"/>
      <c r="F1012" s="23"/>
      <c r="G1012" s="40"/>
      <c r="H1012" s="23"/>
      <c r="I1012" s="23"/>
      <c r="J1012" s="40"/>
      <c r="K1012" s="36"/>
      <c r="L1012" s="36"/>
      <c r="M1012" s="40"/>
      <c r="N1012" s="23"/>
      <c r="O1012" s="36"/>
      <c r="P1012" s="40"/>
      <c r="Q1012" s="36"/>
      <c r="R1012" s="36"/>
      <c r="S1012" s="40"/>
      <c r="T1012" s="23"/>
      <c r="U1012" s="23"/>
      <c r="V1012" s="40"/>
      <c r="W1012" s="23"/>
      <c r="X1012" s="23"/>
      <c r="Y1012" s="40"/>
      <c r="Z1012" s="23"/>
      <c r="AA1012" s="23"/>
      <c r="AB1012" s="40"/>
      <c r="AC1012" s="42"/>
      <c r="AD1012" s="42"/>
      <c r="AE1012" s="40"/>
      <c r="AF1012" s="42"/>
      <c r="AG1012" s="42"/>
      <c r="AH1012" s="23"/>
      <c r="AI1012" s="42"/>
      <c r="AJ1012" s="42"/>
      <c r="AK1012" s="40"/>
      <c r="AL1012" s="84"/>
      <c r="AM1012" s="84"/>
      <c r="AN1012" s="40"/>
      <c r="AO1012" s="23"/>
    </row>
    <row r="1013" spans="1:41" ht="15.75" x14ac:dyDescent="0.25">
      <c r="A1013" s="44"/>
      <c r="B1013" s="23"/>
      <c r="C1013" s="23"/>
      <c r="D1013" s="36"/>
      <c r="E1013" s="23"/>
      <c r="F1013" s="23"/>
      <c r="G1013" s="40"/>
      <c r="H1013" s="23"/>
      <c r="I1013" s="23"/>
      <c r="J1013" s="40"/>
      <c r="K1013" s="36"/>
      <c r="L1013" s="36"/>
      <c r="M1013" s="40"/>
      <c r="N1013" s="23"/>
      <c r="O1013" s="36"/>
      <c r="P1013" s="40"/>
      <c r="Q1013" s="36"/>
      <c r="R1013" s="36"/>
      <c r="S1013" s="40"/>
      <c r="T1013" s="23"/>
      <c r="U1013" s="23"/>
      <c r="V1013" s="40"/>
      <c r="W1013" s="23"/>
      <c r="X1013" s="23"/>
      <c r="Y1013" s="40"/>
      <c r="Z1013" s="23"/>
      <c r="AA1013" s="23"/>
      <c r="AB1013" s="40"/>
      <c r="AC1013" s="42"/>
      <c r="AD1013" s="42"/>
      <c r="AE1013" s="40"/>
      <c r="AF1013" s="42"/>
      <c r="AG1013" s="42"/>
      <c r="AH1013" s="23"/>
      <c r="AI1013" s="42"/>
      <c r="AJ1013" s="42"/>
      <c r="AK1013" s="40"/>
      <c r="AL1013" s="84"/>
      <c r="AM1013" s="84"/>
      <c r="AN1013" s="40"/>
      <c r="AO1013" s="23"/>
    </row>
    <row r="1014" spans="1:41" ht="15.75" x14ac:dyDescent="0.25">
      <c r="A1014" s="44"/>
      <c r="B1014" s="23"/>
      <c r="C1014" s="23"/>
      <c r="D1014" s="36"/>
      <c r="E1014" s="23"/>
      <c r="F1014" s="23"/>
      <c r="G1014" s="40"/>
      <c r="H1014" s="23"/>
      <c r="I1014" s="23"/>
      <c r="J1014" s="40"/>
      <c r="K1014" s="36"/>
      <c r="L1014" s="36"/>
      <c r="M1014" s="40"/>
      <c r="N1014" s="23"/>
      <c r="O1014" s="36"/>
      <c r="P1014" s="40"/>
      <c r="Q1014" s="36"/>
      <c r="R1014" s="36"/>
      <c r="S1014" s="40"/>
      <c r="T1014" s="23"/>
      <c r="U1014" s="23"/>
      <c r="V1014" s="40"/>
      <c r="W1014" s="23"/>
      <c r="X1014" s="23"/>
      <c r="Y1014" s="40"/>
      <c r="Z1014" s="23"/>
      <c r="AA1014" s="23"/>
      <c r="AB1014" s="40"/>
      <c r="AC1014" s="42"/>
      <c r="AD1014" s="42"/>
      <c r="AE1014" s="40"/>
      <c r="AF1014" s="42"/>
      <c r="AG1014" s="42"/>
      <c r="AH1014" s="23"/>
      <c r="AI1014" s="42"/>
      <c r="AJ1014" s="42"/>
      <c r="AK1014" s="40"/>
      <c r="AL1014" s="84"/>
      <c r="AM1014" s="84"/>
      <c r="AN1014" s="40"/>
      <c r="AO1014" s="23"/>
    </row>
    <row r="1015" spans="1:41" ht="15.75" x14ac:dyDescent="0.25">
      <c r="A1015" s="44"/>
      <c r="B1015" s="23"/>
      <c r="C1015" s="23"/>
      <c r="D1015" s="36"/>
      <c r="E1015" s="23"/>
      <c r="F1015" s="23"/>
      <c r="G1015" s="40"/>
      <c r="H1015" s="23"/>
      <c r="I1015" s="23"/>
      <c r="J1015" s="40"/>
      <c r="K1015" s="36"/>
      <c r="L1015" s="36"/>
      <c r="M1015" s="40"/>
      <c r="N1015" s="23"/>
      <c r="O1015" s="36"/>
      <c r="P1015" s="40"/>
      <c r="Q1015" s="36"/>
      <c r="R1015" s="36"/>
      <c r="S1015" s="40"/>
      <c r="T1015" s="23"/>
      <c r="U1015" s="23"/>
      <c r="V1015" s="40"/>
      <c r="W1015" s="23"/>
      <c r="X1015" s="23"/>
      <c r="Y1015" s="40"/>
      <c r="Z1015" s="23"/>
      <c r="AA1015" s="23"/>
      <c r="AB1015" s="40"/>
      <c r="AC1015" s="42"/>
      <c r="AD1015" s="42"/>
      <c r="AE1015" s="40"/>
      <c r="AF1015" s="42"/>
      <c r="AG1015" s="42"/>
      <c r="AH1015" s="23"/>
      <c r="AI1015" s="42"/>
      <c r="AJ1015" s="42"/>
      <c r="AK1015" s="40"/>
      <c r="AL1015" s="84"/>
      <c r="AM1015" s="84"/>
      <c r="AN1015" s="40"/>
      <c r="AO1015" s="23"/>
    </row>
    <row r="1016" spans="1:41" ht="15.75" x14ac:dyDescent="0.25">
      <c r="A1016" s="44"/>
      <c r="B1016" s="23"/>
      <c r="C1016" s="23"/>
      <c r="D1016" s="36"/>
      <c r="E1016" s="23"/>
      <c r="F1016" s="23"/>
      <c r="G1016" s="40"/>
      <c r="H1016" s="23"/>
      <c r="I1016" s="23"/>
      <c r="J1016" s="40"/>
      <c r="K1016" s="36"/>
      <c r="L1016" s="36"/>
      <c r="M1016" s="40"/>
      <c r="N1016" s="23"/>
      <c r="O1016" s="36"/>
      <c r="P1016" s="40"/>
      <c r="Q1016" s="36"/>
      <c r="R1016" s="36"/>
      <c r="S1016" s="40"/>
      <c r="T1016" s="23"/>
      <c r="U1016" s="23"/>
      <c r="V1016" s="40"/>
      <c r="W1016" s="23"/>
      <c r="X1016" s="23"/>
      <c r="Y1016" s="40"/>
      <c r="Z1016" s="23"/>
      <c r="AA1016" s="23"/>
      <c r="AB1016" s="40"/>
      <c r="AC1016" s="42"/>
      <c r="AD1016" s="42"/>
      <c r="AE1016" s="40"/>
      <c r="AF1016" s="42"/>
      <c r="AG1016" s="42"/>
      <c r="AH1016" s="23"/>
      <c r="AI1016" s="42"/>
      <c r="AJ1016" s="42"/>
      <c r="AK1016" s="40"/>
      <c r="AL1016" s="84"/>
      <c r="AM1016" s="84"/>
      <c r="AN1016" s="40"/>
      <c r="AO1016" s="23"/>
    </row>
    <row r="1017" spans="1:41" ht="15.75" x14ac:dyDescent="0.25">
      <c r="A1017" s="44"/>
      <c r="B1017" s="23"/>
      <c r="C1017" s="23"/>
      <c r="D1017" s="36"/>
      <c r="E1017" s="23"/>
      <c r="F1017" s="23"/>
      <c r="G1017" s="40"/>
      <c r="H1017" s="23"/>
      <c r="I1017" s="23"/>
      <c r="J1017" s="40"/>
      <c r="K1017" s="36"/>
      <c r="L1017" s="36"/>
      <c r="M1017" s="40"/>
      <c r="N1017" s="23"/>
      <c r="O1017" s="36"/>
      <c r="P1017" s="40"/>
      <c r="Q1017" s="36"/>
      <c r="R1017" s="36"/>
      <c r="S1017" s="40"/>
      <c r="T1017" s="23"/>
      <c r="U1017" s="23"/>
      <c r="V1017" s="40"/>
      <c r="W1017" s="23"/>
      <c r="X1017" s="23"/>
      <c r="Y1017" s="40"/>
      <c r="Z1017" s="23"/>
      <c r="AA1017" s="23"/>
      <c r="AB1017" s="40"/>
      <c r="AC1017" s="42"/>
      <c r="AD1017" s="42"/>
      <c r="AE1017" s="40"/>
      <c r="AF1017" s="42"/>
      <c r="AG1017" s="42"/>
      <c r="AH1017" s="23"/>
      <c r="AI1017" s="42"/>
      <c r="AJ1017" s="42"/>
      <c r="AK1017" s="40"/>
      <c r="AL1017" s="84"/>
      <c r="AM1017" s="84"/>
      <c r="AN1017" s="40"/>
      <c r="AO1017" s="23"/>
    </row>
    <row r="1018" spans="1:41" ht="15.75" x14ac:dyDescent="0.25">
      <c r="A1018" s="44"/>
      <c r="B1018" s="23"/>
      <c r="C1018" s="23"/>
      <c r="D1018" s="36"/>
      <c r="E1018" s="23"/>
      <c r="F1018" s="23"/>
      <c r="G1018" s="40"/>
      <c r="H1018" s="23"/>
      <c r="I1018" s="23"/>
      <c r="J1018" s="40"/>
      <c r="K1018" s="36"/>
      <c r="L1018" s="36"/>
      <c r="M1018" s="40"/>
      <c r="N1018" s="23"/>
      <c r="O1018" s="36"/>
      <c r="P1018" s="40"/>
      <c r="Q1018" s="36"/>
      <c r="R1018" s="36"/>
      <c r="S1018" s="40"/>
      <c r="T1018" s="23"/>
      <c r="U1018" s="23"/>
      <c r="V1018" s="40"/>
      <c r="W1018" s="23"/>
      <c r="X1018" s="23"/>
      <c r="Y1018" s="40"/>
      <c r="Z1018" s="23"/>
      <c r="AA1018" s="23"/>
      <c r="AB1018" s="40"/>
      <c r="AC1018" s="42"/>
      <c r="AD1018" s="42"/>
      <c r="AE1018" s="40"/>
      <c r="AF1018" s="42"/>
      <c r="AG1018" s="42"/>
      <c r="AH1018" s="23"/>
      <c r="AI1018" s="42"/>
      <c r="AJ1018" s="42"/>
      <c r="AK1018" s="40"/>
      <c r="AL1018" s="84"/>
      <c r="AM1018" s="84"/>
      <c r="AN1018" s="40"/>
      <c r="AO1018" s="23"/>
    </row>
    <row r="1019" spans="1:41" ht="15.75" x14ac:dyDescent="0.25">
      <c r="A1019" s="44"/>
      <c r="B1019" s="23"/>
      <c r="C1019" s="23"/>
      <c r="D1019" s="36"/>
      <c r="E1019" s="23"/>
      <c r="F1019" s="23"/>
      <c r="G1019" s="40"/>
      <c r="H1019" s="23"/>
      <c r="I1019" s="23"/>
      <c r="J1019" s="40"/>
      <c r="K1019" s="36"/>
      <c r="L1019" s="36"/>
      <c r="M1019" s="40"/>
      <c r="N1019" s="23"/>
      <c r="O1019" s="36"/>
      <c r="P1019" s="40"/>
      <c r="Q1019" s="36"/>
      <c r="R1019" s="36"/>
      <c r="S1019" s="40"/>
      <c r="T1019" s="23"/>
      <c r="U1019" s="23"/>
      <c r="V1019" s="40"/>
      <c r="W1019" s="23"/>
      <c r="X1019" s="23"/>
      <c r="Y1019" s="40"/>
      <c r="Z1019" s="23"/>
      <c r="AA1019" s="23"/>
      <c r="AB1019" s="40"/>
      <c r="AC1019" s="42"/>
      <c r="AD1019" s="42"/>
      <c r="AE1019" s="40"/>
      <c r="AF1019" s="42"/>
      <c r="AG1019" s="42"/>
      <c r="AH1019" s="23"/>
      <c r="AI1019" s="42"/>
      <c r="AJ1019" s="42"/>
      <c r="AK1019" s="40"/>
      <c r="AL1019" s="84"/>
      <c r="AM1019" s="84"/>
      <c r="AN1019" s="40"/>
      <c r="AO1019" s="23"/>
    </row>
    <row r="1020" spans="1:41" ht="15.75" x14ac:dyDescent="0.25">
      <c r="A1020" s="44"/>
      <c r="B1020" s="23"/>
      <c r="C1020" s="23"/>
      <c r="D1020" s="36"/>
      <c r="E1020" s="23"/>
      <c r="F1020" s="23"/>
      <c r="G1020" s="40"/>
      <c r="H1020" s="23"/>
      <c r="I1020" s="23"/>
      <c r="J1020" s="40"/>
      <c r="K1020" s="36"/>
      <c r="L1020" s="36"/>
      <c r="M1020" s="40"/>
      <c r="N1020" s="23"/>
      <c r="O1020" s="36"/>
      <c r="P1020" s="40"/>
      <c r="Q1020" s="36"/>
      <c r="R1020" s="36"/>
      <c r="S1020" s="40"/>
      <c r="T1020" s="23"/>
      <c r="U1020" s="23"/>
      <c r="V1020" s="40"/>
      <c r="W1020" s="23"/>
      <c r="X1020" s="23"/>
      <c r="Y1020" s="40"/>
      <c r="Z1020" s="23"/>
      <c r="AA1020" s="23"/>
      <c r="AB1020" s="40"/>
      <c r="AC1020" s="42"/>
      <c r="AD1020" s="42"/>
      <c r="AE1020" s="40"/>
      <c r="AF1020" s="42"/>
      <c r="AG1020" s="42"/>
      <c r="AH1020" s="23"/>
      <c r="AI1020" s="42"/>
      <c r="AJ1020" s="42"/>
      <c r="AK1020" s="40"/>
      <c r="AL1020" s="84"/>
      <c r="AM1020" s="84"/>
      <c r="AN1020" s="40"/>
      <c r="AO1020" s="23"/>
    </row>
    <row r="1021" spans="1:41" ht="15.75" x14ac:dyDescent="0.25">
      <c r="A1021" s="44"/>
      <c r="B1021" s="23"/>
      <c r="C1021" s="23"/>
      <c r="D1021" s="36"/>
      <c r="E1021" s="23"/>
      <c r="F1021" s="23"/>
      <c r="G1021" s="40"/>
      <c r="H1021" s="23"/>
      <c r="I1021" s="23"/>
      <c r="J1021" s="40"/>
      <c r="K1021" s="36"/>
      <c r="L1021" s="36"/>
      <c r="M1021" s="40"/>
      <c r="N1021" s="23"/>
      <c r="O1021" s="36"/>
      <c r="P1021" s="40"/>
      <c r="Q1021" s="36"/>
      <c r="R1021" s="36"/>
      <c r="S1021" s="40"/>
      <c r="T1021" s="23"/>
      <c r="U1021" s="23"/>
      <c r="V1021" s="40"/>
      <c r="W1021" s="23"/>
      <c r="X1021" s="23"/>
      <c r="Y1021" s="40"/>
      <c r="Z1021" s="23"/>
      <c r="AA1021" s="23"/>
      <c r="AB1021" s="40"/>
      <c r="AC1021" s="42"/>
      <c r="AD1021" s="42"/>
      <c r="AE1021" s="40"/>
      <c r="AF1021" s="42"/>
      <c r="AG1021" s="42"/>
      <c r="AH1021" s="23"/>
      <c r="AI1021" s="42"/>
      <c r="AJ1021" s="42"/>
      <c r="AK1021" s="40"/>
      <c r="AL1021" s="84"/>
      <c r="AM1021" s="84"/>
      <c r="AN1021" s="40"/>
      <c r="AO1021" s="23"/>
    </row>
    <row r="1022" spans="1:41" ht="15.75" x14ac:dyDescent="0.25">
      <c r="A1022" s="44"/>
      <c r="B1022" s="23"/>
      <c r="C1022" s="23"/>
      <c r="D1022" s="36"/>
      <c r="E1022" s="23"/>
      <c r="F1022" s="23"/>
      <c r="G1022" s="40"/>
      <c r="H1022" s="23"/>
      <c r="I1022" s="23"/>
      <c r="J1022" s="40"/>
      <c r="K1022" s="36"/>
      <c r="L1022" s="36"/>
      <c r="M1022" s="40"/>
      <c r="N1022" s="23"/>
      <c r="O1022" s="36"/>
      <c r="P1022" s="40"/>
      <c r="Q1022" s="36"/>
      <c r="R1022" s="36"/>
      <c r="S1022" s="40"/>
      <c r="T1022" s="23"/>
      <c r="U1022" s="23"/>
      <c r="V1022" s="40"/>
      <c r="W1022" s="23"/>
      <c r="X1022" s="23"/>
      <c r="Y1022" s="40"/>
      <c r="Z1022" s="23"/>
      <c r="AA1022" s="23"/>
      <c r="AB1022" s="40"/>
      <c r="AC1022" s="42"/>
      <c r="AD1022" s="42"/>
      <c r="AE1022" s="40"/>
      <c r="AF1022" s="42"/>
      <c r="AG1022" s="42"/>
      <c r="AH1022" s="23"/>
      <c r="AI1022" s="42"/>
      <c r="AJ1022" s="42"/>
      <c r="AK1022" s="40"/>
      <c r="AL1022" s="84"/>
      <c r="AM1022" s="84"/>
      <c r="AN1022" s="40"/>
      <c r="AO1022" s="23"/>
    </row>
    <row r="1023" spans="1:41" ht="15.75" x14ac:dyDescent="0.25">
      <c r="A1023" s="44"/>
      <c r="B1023" s="23"/>
      <c r="C1023" s="23"/>
      <c r="D1023" s="36"/>
      <c r="E1023" s="23"/>
      <c r="F1023" s="23"/>
      <c r="G1023" s="40"/>
      <c r="H1023" s="23"/>
      <c r="I1023" s="23"/>
      <c r="J1023" s="40"/>
      <c r="K1023" s="36"/>
      <c r="L1023" s="36"/>
      <c r="M1023" s="40"/>
      <c r="N1023" s="23"/>
      <c r="O1023" s="36"/>
      <c r="P1023" s="40"/>
      <c r="Q1023" s="36"/>
      <c r="R1023" s="36"/>
      <c r="S1023" s="40"/>
      <c r="T1023" s="23"/>
      <c r="U1023" s="23"/>
      <c r="V1023" s="40"/>
      <c r="W1023" s="23"/>
      <c r="X1023" s="23"/>
      <c r="Y1023" s="40"/>
      <c r="Z1023" s="23"/>
      <c r="AA1023" s="23"/>
      <c r="AB1023" s="40"/>
      <c r="AC1023" s="42"/>
      <c r="AD1023" s="42"/>
      <c r="AE1023" s="40"/>
      <c r="AF1023" s="42"/>
      <c r="AG1023" s="42"/>
      <c r="AH1023" s="23"/>
      <c r="AI1023" s="42"/>
      <c r="AJ1023" s="42"/>
      <c r="AK1023" s="40"/>
      <c r="AL1023" s="84"/>
      <c r="AM1023" s="84"/>
      <c r="AN1023" s="40"/>
      <c r="AO1023" s="23"/>
    </row>
    <row r="1024" spans="1:41" ht="15.75" x14ac:dyDescent="0.25">
      <c r="A1024" s="44"/>
      <c r="B1024" s="23"/>
      <c r="C1024" s="23"/>
      <c r="D1024" s="36"/>
      <c r="E1024" s="23"/>
      <c r="F1024" s="23"/>
      <c r="G1024" s="40"/>
      <c r="H1024" s="23"/>
      <c r="I1024" s="23"/>
      <c r="J1024" s="40"/>
      <c r="K1024" s="36"/>
      <c r="L1024" s="36"/>
      <c r="M1024" s="40"/>
      <c r="N1024" s="23"/>
      <c r="O1024" s="36"/>
      <c r="P1024" s="40"/>
      <c r="Q1024" s="36"/>
      <c r="R1024" s="36"/>
      <c r="S1024" s="40"/>
      <c r="T1024" s="23"/>
      <c r="U1024" s="23"/>
      <c r="V1024" s="40"/>
      <c r="W1024" s="23"/>
      <c r="X1024" s="23"/>
      <c r="Y1024" s="40"/>
      <c r="Z1024" s="23"/>
      <c r="AA1024" s="23"/>
      <c r="AB1024" s="40"/>
      <c r="AC1024" s="42"/>
      <c r="AD1024" s="42"/>
      <c r="AE1024" s="40"/>
      <c r="AF1024" s="42"/>
      <c r="AG1024" s="42"/>
      <c r="AH1024" s="23"/>
      <c r="AI1024" s="42"/>
      <c r="AJ1024" s="42"/>
      <c r="AK1024" s="40"/>
      <c r="AL1024" s="84"/>
      <c r="AM1024" s="84"/>
      <c r="AN1024" s="40"/>
      <c r="AO1024" s="23"/>
    </row>
    <row r="1025" spans="1:41" ht="15.75" x14ac:dyDescent="0.25">
      <c r="A1025" s="44"/>
      <c r="B1025" s="23"/>
      <c r="C1025" s="23"/>
      <c r="D1025" s="36"/>
      <c r="E1025" s="23"/>
      <c r="F1025" s="23"/>
      <c r="G1025" s="40"/>
      <c r="H1025" s="23"/>
      <c r="I1025" s="23"/>
      <c r="J1025" s="40"/>
      <c r="K1025" s="36"/>
      <c r="L1025" s="36"/>
      <c r="M1025" s="40"/>
      <c r="N1025" s="23"/>
      <c r="O1025" s="36"/>
      <c r="P1025" s="40"/>
      <c r="Q1025" s="36"/>
      <c r="R1025" s="36"/>
      <c r="S1025" s="40"/>
      <c r="T1025" s="23"/>
      <c r="U1025" s="23"/>
      <c r="V1025" s="40"/>
      <c r="W1025" s="23"/>
      <c r="X1025" s="23"/>
      <c r="Y1025" s="40"/>
      <c r="Z1025" s="23"/>
      <c r="AA1025" s="23"/>
      <c r="AB1025" s="40"/>
      <c r="AC1025" s="42"/>
      <c r="AD1025" s="42"/>
      <c r="AE1025" s="40"/>
      <c r="AF1025" s="42"/>
      <c r="AG1025" s="42"/>
      <c r="AH1025" s="23"/>
      <c r="AI1025" s="42"/>
      <c r="AJ1025" s="42"/>
      <c r="AK1025" s="40"/>
      <c r="AL1025" s="84"/>
      <c r="AM1025" s="84"/>
      <c r="AN1025" s="40"/>
      <c r="AO1025" s="23"/>
    </row>
    <row r="1026" spans="1:41" ht="15.75" x14ac:dyDescent="0.25">
      <c r="A1026" s="44"/>
      <c r="B1026" s="23"/>
      <c r="C1026" s="23"/>
      <c r="D1026" s="36"/>
      <c r="E1026" s="23"/>
      <c r="F1026" s="23"/>
      <c r="G1026" s="40"/>
      <c r="H1026" s="23"/>
      <c r="I1026" s="23"/>
      <c r="J1026" s="40"/>
      <c r="K1026" s="36"/>
      <c r="L1026" s="36"/>
      <c r="M1026" s="40"/>
      <c r="N1026" s="23"/>
      <c r="O1026" s="36"/>
      <c r="P1026" s="40"/>
      <c r="Q1026" s="36"/>
      <c r="R1026" s="36"/>
      <c r="S1026" s="40"/>
      <c r="T1026" s="23"/>
      <c r="U1026" s="23"/>
      <c r="V1026" s="40"/>
      <c r="W1026" s="23"/>
      <c r="X1026" s="23"/>
      <c r="Y1026" s="40"/>
      <c r="Z1026" s="23"/>
      <c r="AA1026" s="23"/>
      <c r="AB1026" s="40"/>
      <c r="AC1026" s="42"/>
      <c r="AD1026" s="42"/>
      <c r="AE1026" s="40"/>
      <c r="AF1026" s="42"/>
      <c r="AG1026" s="42"/>
      <c r="AH1026" s="23"/>
      <c r="AI1026" s="42"/>
      <c r="AJ1026" s="42"/>
      <c r="AK1026" s="40"/>
      <c r="AL1026" s="84"/>
      <c r="AM1026" s="84"/>
      <c r="AN1026" s="40"/>
      <c r="AO1026" s="23"/>
    </row>
    <row r="1027" spans="1:41" ht="15.75" x14ac:dyDescent="0.25">
      <c r="A1027" s="44"/>
      <c r="B1027" s="23"/>
      <c r="C1027" s="23"/>
      <c r="D1027" s="36"/>
      <c r="E1027" s="23"/>
      <c r="F1027" s="23"/>
      <c r="G1027" s="40"/>
      <c r="H1027" s="23"/>
      <c r="I1027" s="23"/>
      <c r="J1027" s="40"/>
      <c r="K1027" s="36"/>
      <c r="L1027" s="36"/>
      <c r="M1027" s="40"/>
      <c r="N1027" s="23"/>
      <c r="O1027" s="36"/>
      <c r="P1027" s="40"/>
      <c r="Q1027" s="36"/>
      <c r="R1027" s="36"/>
      <c r="S1027" s="40"/>
      <c r="T1027" s="23"/>
      <c r="U1027" s="23"/>
      <c r="V1027" s="40"/>
      <c r="W1027" s="23"/>
      <c r="X1027" s="23"/>
      <c r="Y1027" s="40"/>
      <c r="Z1027" s="23"/>
      <c r="AA1027" s="23"/>
      <c r="AB1027" s="40"/>
      <c r="AC1027" s="42"/>
      <c r="AD1027" s="42"/>
      <c r="AE1027" s="40"/>
      <c r="AF1027" s="42"/>
      <c r="AG1027" s="42"/>
      <c r="AH1027" s="23"/>
      <c r="AI1027" s="42"/>
      <c r="AJ1027" s="42"/>
      <c r="AK1027" s="40"/>
      <c r="AL1027" s="84"/>
      <c r="AM1027" s="84"/>
      <c r="AN1027" s="40"/>
      <c r="AO1027" s="23"/>
    </row>
    <row r="1028" spans="1:41" ht="15.75" x14ac:dyDescent="0.25">
      <c r="A1028" s="44"/>
      <c r="B1028" s="23"/>
      <c r="C1028" s="23"/>
      <c r="D1028" s="36"/>
      <c r="E1028" s="23"/>
      <c r="F1028" s="23"/>
      <c r="G1028" s="40"/>
      <c r="H1028" s="23"/>
      <c r="I1028" s="23"/>
      <c r="J1028" s="40"/>
      <c r="K1028" s="36"/>
      <c r="L1028" s="36"/>
      <c r="M1028" s="40"/>
      <c r="N1028" s="23"/>
      <c r="O1028" s="36"/>
      <c r="P1028" s="40"/>
      <c r="Q1028" s="36"/>
      <c r="R1028" s="36"/>
      <c r="S1028" s="40"/>
      <c r="T1028" s="23"/>
      <c r="U1028" s="23"/>
      <c r="V1028" s="40"/>
      <c r="W1028" s="23"/>
      <c r="X1028" s="23"/>
      <c r="Y1028" s="40"/>
      <c r="Z1028" s="23"/>
      <c r="AA1028" s="23"/>
      <c r="AB1028" s="40"/>
      <c r="AC1028" s="42"/>
      <c r="AD1028" s="42"/>
      <c r="AE1028" s="40"/>
      <c r="AF1028" s="42"/>
      <c r="AG1028" s="42"/>
      <c r="AH1028" s="23"/>
      <c r="AI1028" s="42"/>
      <c r="AJ1028" s="42"/>
      <c r="AK1028" s="40"/>
      <c r="AL1028" s="84"/>
      <c r="AM1028" s="84"/>
      <c r="AN1028" s="40"/>
      <c r="AO1028" s="23"/>
    </row>
    <row r="1029" spans="1:41" ht="15.75" x14ac:dyDescent="0.25">
      <c r="A1029" s="44"/>
      <c r="B1029" s="23"/>
      <c r="C1029" s="23"/>
      <c r="D1029" s="36"/>
      <c r="E1029" s="23"/>
      <c r="F1029" s="23"/>
      <c r="G1029" s="40"/>
      <c r="H1029" s="23"/>
      <c r="I1029" s="23"/>
      <c r="J1029" s="40"/>
      <c r="K1029" s="36"/>
      <c r="L1029" s="36"/>
      <c r="M1029" s="40"/>
      <c r="N1029" s="23"/>
      <c r="O1029" s="36"/>
      <c r="P1029" s="40"/>
      <c r="Q1029" s="36"/>
      <c r="R1029" s="36"/>
      <c r="S1029" s="40"/>
      <c r="T1029" s="23"/>
      <c r="U1029" s="23"/>
      <c r="V1029" s="40"/>
      <c r="W1029" s="23"/>
      <c r="X1029" s="23"/>
      <c r="Y1029" s="40"/>
      <c r="Z1029" s="23"/>
      <c r="AA1029" s="23"/>
      <c r="AB1029" s="40"/>
      <c r="AC1029" s="42"/>
      <c r="AD1029" s="42"/>
      <c r="AE1029" s="40"/>
      <c r="AF1029" s="42"/>
      <c r="AG1029" s="42"/>
      <c r="AH1029" s="23"/>
      <c r="AI1029" s="42"/>
      <c r="AJ1029" s="42"/>
      <c r="AK1029" s="40"/>
      <c r="AL1029" s="84"/>
      <c r="AM1029" s="84"/>
      <c r="AN1029" s="40"/>
      <c r="AO1029" s="23"/>
    </row>
    <row r="1030" spans="1:41" ht="15.75" x14ac:dyDescent="0.25">
      <c r="A1030" s="44"/>
      <c r="B1030" s="23"/>
      <c r="C1030" s="23"/>
      <c r="D1030" s="36"/>
      <c r="E1030" s="23"/>
      <c r="F1030" s="23"/>
      <c r="G1030" s="40"/>
      <c r="H1030" s="23"/>
      <c r="I1030" s="23"/>
      <c r="J1030" s="40"/>
      <c r="K1030" s="36"/>
      <c r="L1030" s="36"/>
      <c r="M1030" s="40"/>
      <c r="N1030" s="23"/>
      <c r="O1030" s="36"/>
      <c r="P1030" s="40"/>
      <c r="Q1030" s="36"/>
      <c r="R1030" s="36"/>
      <c r="S1030" s="40"/>
      <c r="T1030" s="23"/>
      <c r="U1030" s="23"/>
      <c r="V1030" s="40"/>
      <c r="W1030" s="23"/>
      <c r="X1030" s="23"/>
      <c r="Y1030" s="40"/>
      <c r="Z1030" s="23"/>
      <c r="AA1030" s="23"/>
      <c r="AB1030" s="40"/>
      <c r="AC1030" s="42"/>
      <c r="AD1030" s="42"/>
      <c r="AE1030" s="40"/>
      <c r="AF1030" s="42"/>
      <c r="AG1030" s="42"/>
      <c r="AH1030" s="23"/>
      <c r="AI1030" s="42"/>
      <c r="AJ1030" s="42"/>
      <c r="AK1030" s="40"/>
      <c r="AL1030" s="84"/>
      <c r="AM1030" s="84"/>
      <c r="AN1030" s="40"/>
      <c r="AO1030" s="23"/>
    </row>
    <row r="1031" spans="1:41" ht="15.75" x14ac:dyDescent="0.25">
      <c r="A1031" s="44"/>
      <c r="B1031" s="23"/>
      <c r="C1031" s="23"/>
      <c r="D1031" s="36"/>
      <c r="E1031" s="23"/>
      <c r="F1031" s="23"/>
      <c r="G1031" s="40"/>
      <c r="H1031" s="23"/>
      <c r="I1031" s="23"/>
      <c r="J1031" s="40"/>
      <c r="K1031" s="36"/>
      <c r="L1031" s="36"/>
      <c r="M1031" s="40"/>
      <c r="N1031" s="23"/>
      <c r="O1031" s="36"/>
      <c r="P1031" s="40"/>
      <c r="Q1031" s="36"/>
      <c r="R1031" s="36"/>
      <c r="S1031" s="40"/>
      <c r="T1031" s="23"/>
      <c r="U1031" s="23"/>
      <c r="V1031" s="40"/>
      <c r="W1031" s="23"/>
      <c r="X1031" s="23"/>
      <c r="Y1031" s="40"/>
      <c r="Z1031" s="23"/>
      <c r="AA1031" s="23"/>
      <c r="AB1031" s="40"/>
      <c r="AC1031" s="42"/>
      <c r="AD1031" s="42"/>
      <c r="AE1031" s="40"/>
      <c r="AF1031" s="42"/>
      <c r="AG1031" s="42"/>
      <c r="AH1031" s="23"/>
      <c r="AI1031" s="42"/>
      <c r="AJ1031" s="42"/>
      <c r="AK1031" s="40"/>
      <c r="AL1031" s="84"/>
      <c r="AM1031" s="84"/>
      <c r="AN1031" s="40"/>
      <c r="AO1031" s="23"/>
    </row>
    <row r="1032" spans="1:41" ht="15.75" x14ac:dyDescent="0.25">
      <c r="A1032" s="44"/>
      <c r="B1032" s="23"/>
      <c r="C1032" s="23"/>
      <c r="D1032" s="36"/>
      <c r="E1032" s="23"/>
      <c r="F1032" s="23"/>
      <c r="G1032" s="40"/>
      <c r="H1032" s="23"/>
      <c r="I1032" s="23"/>
      <c r="J1032" s="40"/>
      <c r="K1032" s="36"/>
      <c r="L1032" s="36"/>
      <c r="M1032" s="40"/>
      <c r="N1032" s="23"/>
      <c r="O1032" s="36"/>
      <c r="P1032" s="40"/>
      <c r="Q1032" s="36"/>
      <c r="R1032" s="36"/>
      <c r="S1032" s="40"/>
      <c r="T1032" s="23"/>
      <c r="U1032" s="23"/>
      <c r="V1032" s="40"/>
      <c r="W1032" s="23"/>
      <c r="X1032" s="23"/>
      <c r="Y1032" s="40"/>
      <c r="Z1032" s="23"/>
      <c r="AA1032" s="23"/>
      <c r="AB1032" s="40"/>
      <c r="AC1032" s="42"/>
      <c r="AD1032" s="42"/>
      <c r="AE1032" s="40"/>
      <c r="AF1032" s="42"/>
      <c r="AG1032" s="42"/>
      <c r="AH1032" s="23"/>
      <c r="AI1032" s="42"/>
      <c r="AJ1032" s="42"/>
      <c r="AK1032" s="40"/>
      <c r="AL1032" s="84"/>
      <c r="AM1032" s="84"/>
      <c r="AN1032" s="40"/>
      <c r="AO1032" s="23"/>
    </row>
    <row r="1033" spans="1:41" ht="15.75" x14ac:dyDescent="0.25">
      <c r="A1033" s="44"/>
      <c r="B1033" s="23"/>
      <c r="C1033" s="23"/>
      <c r="D1033" s="36"/>
      <c r="E1033" s="23"/>
      <c r="F1033" s="23"/>
      <c r="G1033" s="40"/>
      <c r="H1033" s="23"/>
      <c r="I1033" s="23"/>
      <c r="J1033" s="40"/>
      <c r="K1033" s="36"/>
      <c r="L1033" s="36"/>
      <c r="M1033" s="40"/>
      <c r="N1033" s="23"/>
      <c r="O1033" s="36"/>
      <c r="P1033" s="40"/>
      <c r="Q1033" s="36"/>
      <c r="R1033" s="36"/>
      <c r="S1033" s="40"/>
      <c r="T1033" s="23"/>
      <c r="U1033" s="23"/>
      <c r="V1033" s="40"/>
      <c r="W1033" s="23"/>
      <c r="X1033" s="23"/>
      <c r="Y1033" s="40"/>
      <c r="Z1033" s="23"/>
      <c r="AA1033" s="23"/>
      <c r="AB1033" s="40"/>
      <c r="AC1033" s="42"/>
      <c r="AD1033" s="42"/>
      <c r="AE1033" s="40"/>
      <c r="AF1033" s="42"/>
      <c r="AG1033" s="42"/>
      <c r="AH1033" s="23"/>
      <c r="AI1033" s="42"/>
      <c r="AJ1033" s="42"/>
      <c r="AK1033" s="40"/>
      <c r="AL1033" s="84"/>
      <c r="AM1033" s="84"/>
      <c r="AN1033" s="40"/>
      <c r="AO1033" s="23"/>
    </row>
    <row r="1034" spans="1:41" ht="15.75" x14ac:dyDescent="0.25">
      <c r="A1034" s="44"/>
      <c r="B1034" s="23"/>
      <c r="C1034" s="23"/>
      <c r="D1034" s="36"/>
      <c r="E1034" s="23"/>
      <c r="F1034" s="23"/>
      <c r="G1034" s="40"/>
      <c r="H1034" s="23"/>
      <c r="I1034" s="23"/>
      <c r="J1034" s="40"/>
      <c r="K1034" s="36"/>
      <c r="L1034" s="36"/>
      <c r="M1034" s="40"/>
      <c r="N1034" s="23"/>
      <c r="O1034" s="36"/>
      <c r="P1034" s="40"/>
      <c r="Q1034" s="36"/>
      <c r="R1034" s="36"/>
      <c r="S1034" s="40"/>
      <c r="T1034" s="23"/>
      <c r="U1034" s="23"/>
      <c r="V1034" s="40"/>
      <c r="W1034" s="23"/>
      <c r="X1034" s="23"/>
      <c r="Y1034" s="40"/>
      <c r="Z1034" s="23"/>
      <c r="AA1034" s="23"/>
      <c r="AB1034" s="40"/>
      <c r="AC1034" s="42"/>
      <c r="AD1034" s="42"/>
      <c r="AE1034" s="40"/>
      <c r="AF1034" s="42"/>
      <c r="AG1034" s="42"/>
      <c r="AH1034" s="23"/>
      <c r="AI1034" s="42"/>
      <c r="AJ1034" s="42"/>
      <c r="AK1034" s="40"/>
      <c r="AL1034" s="84"/>
      <c r="AM1034" s="84"/>
      <c r="AN1034" s="40"/>
      <c r="AO1034" s="23"/>
    </row>
    <row r="1035" spans="1:41" ht="15.75" x14ac:dyDescent="0.25">
      <c r="A1035" s="44"/>
      <c r="B1035" s="23"/>
      <c r="C1035" s="23"/>
      <c r="D1035" s="36"/>
      <c r="E1035" s="23"/>
      <c r="F1035" s="23"/>
      <c r="G1035" s="40"/>
      <c r="H1035" s="23"/>
      <c r="I1035" s="23"/>
      <c r="J1035" s="40"/>
      <c r="K1035" s="36"/>
      <c r="L1035" s="36"/>
      <c r="M1035" s="40"/>
      <c r="N1035" s="23"/>
      <c r="O1035" s="36"/>
      <c r="P1035" s="40"/>
      <c r="Q1035" s="36"/>
      <c r="R1035" s="36"/>
      <c r="S1035" s="40"/>
      <c r="T1035" s="23"/>
      <c r="U1035" s="23"/>
      <c r="V1035" s="40"/>
      <c r="W1035" s="23"/>
      <c r="X1035" s="23"/>
      <c r="Y1035" s="40"/>
      <c r="Z1035" s="23"/>
      <c r="AA1035" s="23"/>
      <c r="AB1035" s="40"/>
      <c r="AC1035" s="42"/>
      <c r="AD1035" s="42"/>
      <c r="AE1035" s="40"/>
      <c r="AF1035" s="42"/>
      <c r="AG1035" s="42"/>
      <c r="AH1035" s="23"/>
      <c r="AI1035" s="42"/>
      <c r="AJ1035" s="42"/>
      <c r="AK1035" s="40"/>
      <c r="AL1035" s="84"/>
      <c r="AM1035" s="84"/>
      <c r="AN1035" s="40"/>
      <c r="AO1035" s="23"/>
    </row>
    <row r="1036" spans="1:41" ht="15.75" x14ac:dyDescent="0.25">
      <c r="A1036" s="44"/>
      <c r="B1036" s="23"/>
      <c r="C1036" s="23"/>
      <c r="D1036" s="36"/>
      <c r="E1036" s="23"/>
      <c r="F1036" s="23"/>
      <c r="G1036" s="40"/>
      <c r="H1036" s="23"/>
      <c r="I1036" s="23"/>
      <c r="J1036" s="40"/>
      <c r="K1036" s="36"/>
      <c r="L1036" s="36"/>
      <c r="M1036" s="40"/>
      <c r="N1036" s="23"/>
      <c r="O1036" s="36"/>
      <c r="P1036" s="40"/>
      <c r="Q1036" s="36"/>
      <c r="R1036" s="36"/>
      <c r="S1036" s="40"/>
      <c r="T1036" s="23"/>
      <c r="U1036" s="23"/>
      <c r="V1036" s="40"/>
      <c r="W1036" s="23"/>
      <c r="X1036" s="23"/>
      <c r="Y1036" s="40"/>
      <c r="Z1036" s="23"/>
      <c r="AA1036" s="23"/>
      <c r="AB1036" s="40"/>
      <c r="AC1036" s="42"/>
      <c r="AD1036" s="42"/>
      <c r="AE1036" s="40"/>
      <c r="AF1036" s="42"/>
      <c r="AG1036" s="42"/>
      <c r="AH1036" s="23"/>
      <c r="AI1036" s="42"/>
      <c r="AJ1036" s="42"/>
      <c r="AK1036" s="40"/>
      <c r="AL1036" s="84"/>
      <c r="AM1036" s="84"/>
      <c r="AN1036" s="40"/>
      <c r="AO1036" s="23"/>
    </row>
    <row r="1037" spans="1:41" ht="15.75" x14ac:dyDescent="0.25">
      <c r="A1037" s="44"/>
      <c r="B1037" s="23"/>
      <c r="C1037" s="23"/>
      <c r="D1037" s="36"/>
      <c r="E1037" s="23"/>
      <c r="F1037" s="23"/>
      <c r="G1037" s="40"/>
      <c r="H1037" s="23"/>
      <c r="I1037" s="23"/>
      <c r="J1037" s="40"/>
      <c r="K1037" s="36"/>
      <c r="L1037" s="36"/>
      <c r="M1037" s="40"/>
      <c r="N1037" s="23"/>
      <c r="O1037" s="36"/>
      <c r="P1037" s="40"/>
      <c r="Q1037" s="36"/>
      <c r="R1037" s="36"/>
      <c r="S1037" s="40"/>
      <c r="T1037" s="23"/>
      <c r="U1037" s="23"/>
      <c r="V1037" s="40"/>
      <c r="W1037" s="23"/>
      <c r="X1037" s="23"/>
      <c r="Y1037" s="40"/>
      <c r="Z1037" s="23"/>
      <c r="AA1037" s="23"/>
      <c r="AB1037" s="40"/>
      <c r="AC1037" s="42"/>
      <c r="AD1037" s="42"/>
      <c r="AE1037" s="40"/>
      <c r="AF1037" s="42"/>
      <c r="AG1037" s="42"/>
      <c r="AH1037" s="23"/>
      <c r="AI1037" s="42"/>
      <c r="AJ1037" s="42"/>
      <c r="AK1037" s="40"/>
      <c r="AL1037" s="84"/>
      <c r="AM1037" s="84"/>
      <c r="AN1037" s="40"/>
      <c r="AO1037" s="23"/>
    </row>
    <row r="1038" spans="1:41" ht="15.75" x14ac:dyDescent="0.25">
      <c r="A1038" s="44"/>
      <c r="B1038" s="23"/>
      <c r="C1038" s="23"/>
      <c r="D1038" s="36"/>
      <c r="E1038" s="23"/>
      <c r="F1038" s="23"/>
      <c r="G1038" s="40"/>
      <c r="H1038" s="23"/>
      <c r="I1038" s="23"/>
      <c r="J1038" s="40"/>
      <c r="K1038" s="36"/>
      <c r="L1038" s="36"/>
      <c r="M1038" s="40"/>
      <c r="N1038" s="23"/>
      <c r="O1038" s="36"/>
      <c r="P1038" s="40"/>
      <c r="Q1038" s="36"/>
      <c r="R1038" s="36"/>
      <c r="S1038" s="40"/>
      <c r="T1038" s="23"/>
      <c r="U1038" s="23"/>
      <c r="V1038" s="40"/>
      <c r="W1038" s="23"/>
      <c r="X1038" s="23"/>
      <c r="Y1038" s="40"/>
      <c r="Z1038" s="23"/>
      <c r="AA1038" s="23"/>
      <c r="AB1038" s="40"/>
      <c r="AC1038" s="42"/>
      <c r="AD1038" s="42"/>
      <c r="AE1038" s="40"/>
      <c r="AF1038" s="42"/>
      <c r="AG1038" s="42"/>
      <c r="AH1038" s="23"/>
      <c r="AI1038" s="42"/>
      <c r="AJ1038" s="42"/>
      <c r="AK1038" s="40"/>
      <c r="AL1038" s="84"/>
      <c r="AM1038" s="84"/>
      <c r="AN1038" s="40"/>
      <c r="AO1038" s="23"/>
    </row>
    <row r="1039" spans="1:41" ht="15.75" x14ac:dyDescent="0.25">
      <c r="A1039" s="44"/>
      <c r="B1039" s="23"/>
      <c r="C1039" s="23"/>
      <c r="D1039" s="36"/>
      <c r="E1039" s="23"/>
      <c r="F1039" s="23"/>
      <c r="G1039" s="40"/>
      <c r="H1039" s="23"/>
      <c r="I1039" s="23"/>
      <c r="J1039" s="40"/>
      <c r="K1039" s="36"/>
      <c r="L1039" s="36"/>
      <c r="M1039" s="40"/>
      <c r="N1039" s="23"/>
      <c r="O1039" s="36"/>
      <c r="P1039" s="40"/>
      <c r="Q1039" s="36"/>
      <c r="R1039" s="36"/>
      <c r="S1039" s="40"/>
      <c r="T1039" s="23"/>
      <c r="U1039" s="23"/>
      <c r="V1039" s="40"/>
      <c r="W1039" s="23"/>
      <c r="X1039" s="23"/>
      <c r="Y1039" s="40"/>
      <c r="Z1039" s="23"/>
      <c r="AA1039" s="23"/>
      <c r="AB1039" s="40"/>
      <c r="AC1039" s="42"/>
      <c r="AD1039" s="42"/>
      <c r="AE1039" s="40"/>
      <c r="AF1039" s="42"/>
      <c r="AG1039" s="42"/>
      <c r="AH1039" s="23"/>
      <c r="AI1039" s="42"/>
      <c r="AJ1039" s="42"/>
      <c r="AK1039" s="40"/>
      <c r="AL1039" s="84"/>
      <c r="AM1039" s="84"/>
      <c r="AN1039" s="40"/>
      <c r="AO1039" s="23"/>
    </row>
    <row r="1040" spans="1:41" ht="15.75" x14ac:dyDescent="0.25">
      <c r="A1040" s="44"/>
      <c r="B1040" s="23"/>
      <c r="C1040" s="23"/>
      <c r="D1040" s="36"/>
      <c r="E1040" s="23"/>
      <c r="F1040" s="23"/>
      <c r="G1040" s="40"/>
      <c r="H1040" s="23"/>
      <c r="I1040" s="23"/>
      <c r="J1040" s="40"/>
      <c r="K1040" s="36"/>
      <c r="L1040" s="36"/>
      <c r="M1040" s="40"/>
      <c r="N1040" s="23"/>
      <c r="O1040" s="36"/>
      <c r="P1040" s="40"/>
      <c r="Q1040" s="36"/>
      <c r="R1040" s="36"/>
      <c r="S1040" s="40"/>
      <c r="T1040" s="23"/>
      <c r="U1040" s="23"/>
      <c r="V1040" s="40"/>
      <c r="W1040" s="23"/>
      <c r="X1040" s="23"/>
      <c r="Y1040" s="40"/>
      <c r="Z1040" s="23"/>
      <c r="AA1040" s="23"/>
      <c r="AB1040" s="40"/>
      <c r="AC1040" s="42"/>
      <c r="AD1040" s="42"/>
      <c r="AE1040" s="40"/>
      <c r="AF1040" s="42"/>
      <c r="AG1040" s="42"/>
      <c r="AH1040" s="23"/>
      <c r="AI1040" s="42"/>
      <c r="AJ1040" s="42"/>
      <c r="AK1040" s="40"/>
      <c r="AL1040" s="84"/>
      <c r="AM1040" s="84"/>
      <c r="AN1040" s="40"/>
      <c r="AO1040" s="23"/>
    </row>
    <row r="1041" spans="1:41" ht="15.75" x14ac:dyDescent="0.25">
      <c r="A1041" s="44"/>
      <c r="B1041" s="23"/>
      <c r="C1041" s="23"/>
      <c r="D1041" s="36"/>
      <c r="E1041" s="23"/>
      <c r="F1041" s="23"/>
      <c r="G1041" s="40"/>
      <c r="H1041" s="23"/>
      <c r="I1041" s="23"/>
      <c r="J1041" s="40"/>
      <c r="K1041" s="36"/>
      <c r="L1041" s="36"/>
      <c r="M1041" s="40"/>
      <c r="N1041" s="23"/>
      <c r="O1041" s="36"/>
      <c r="P1041" s="40"/>
      <c r="Q1041" s="36"/>
      <c r="R1041" s="36"/>
      <c r="S1041" s="40"/>
      <c r="T1041" s="23"/>
      <c r="U1041" s="23"/>
      <c r="V1041" s="40"/>
      <c r="W1041" s="23"/>
      <c r="X1041" s="23"/>
      <c r="Y1041" s="40"/>
      <c r="Z1041" s="23"/>
      <c r="AA1041" s="23"/>
      <c r="AB1041" s="40"/>
      <c r="AC1041" s="42"/>
      <c r="AD1041" s="42"/>
      <c r="AE1041" s="40"/>
      <c r="AF1041" s="42"/>
      <c r="AG1041" s="42"/>
      <c r="AH1041" s="23"/>
      <c r="AI1041" s="42"/>
      <c r="AJ1041" s="42"/>
      <c r="AK1041" s="40"/>
      <c r="AL1041" s="84"/>
      <c r="AM1041" s="84"/>
      <c r="AN1041" s="40"/>
      <c r="AO1041" s="23"/>
    </row>
    <row r="1042" spans="1:41" ht="15.75" x14ac:dyDescent="0.25">
      <c r="A1042" s="44"/>
      <c r="B1042" s="23"/>
      <c r="C1042" s="23"/>
      <c r="D1042" s="36"/>
      <c r="E1042" s="23"/>
      <c r="F1042" s="23"/>
      <c r="G1042" s="40"/>
      <c r="H1042" s="23"/>
      <c r="I1042" s="23"/>
      <c r="J1042" s="40"/>
      <c r="K1042" s="36"/>
      <c r="L1042" s="36"/>
      <c r="M1042" s="40"/>
      <c r="N1042" s="23"/>
      <c r="O1042" s="36"/>
      <c r="P1042" s="40"/>
      <c r="Q1042" s="36"/>
      <c r="R1042" s="36"/>
      <c r="S1042" s="40"/>
      <c r="T1042" s="23"/>
      <c r="U1042" s="23"/>
      <c r="V1042" s="40"/>
      <c r="W1042" s="23"/>
      <c r="X1042" s="23"/>
      <c r="Y1042" s="40"/>
      <c r="Z1042" s="23"/>
      <c r="AA1042" s="23"/>
      <c r="AB1042" s="40"/>
      <c r="AC1042" s="42"/>
      <c r="AD1042" s="42"/>
      <c r="AE1042" s="40"/>
      <c r="AF1042" s="42"/>
      <c r="AG1042" s="42"/>
      <c r="AH1042" s="23"/>
      <c r="AI1042" s="42"/>
      <c r="AJ1042" s="42"/>
      <c r="AK1042" s="40"/>
      <c r="AL1042" s="84"/>
      <c r="AM1042" s="84"/>
      <c r="AN1042" s="40"/>
      <c r="AO1042" s="23"/>
    </row>
    <row r="1043" spans="1:41" ht="15.75" x14ac:dyDescent="0.25">
      <c r="A1043" s="44"/>
      <c r="B1043" s="23"/>
      <c r="C1043" s="23"/>
      <c r="D1043" s="36"/>
      <c r="E1043" s="23"/>
      <c r="F1043" s="23"/>
      <c r="G1043" s="40"/>
      <c r="H1043" s="23"/>
      <c r="I1043" s="23"/>
      <c r="J1043" s="40"/>
      <c r="K1043" s="36"/>
      <c r="L1043" s="36"/>
      <c r="M1043" s="40"/>
      <c r="N1043" s="23"/>
      <c r="O1043" s="36"/>
      <c r="P1043" s="40"/>
      <c r="Q1043" s="36"/>
      <c r="R1043" s="36"/>
      <c r="S1043" s="40"/>
      <c r="T1043" s="23"/>
      <c r="U1043" s="23"/>
      <c r="V1043" s="40"/>
      <c r="W1043" s="23"/>
      <c r="X1043" s="23"/>
      <c r="Y1043" s="40"/>
      <c r="Z1043" s="23"/>
      <c r="AA1043" s="23"/>
      <c r="AB1043" s="40"/>
      <c r="AC1043" s="42"/>
      <c r="AD1043" s="42"/>
      <c r="AE1043" s="40"/>
      <c r="AF1043" s="42"/>
      <c r="AG1043" s="42"/>
      <c r="AH1043" s="23"/>
      <c r="AI1043" s="42"/>
      <c r="AJ1043" s="42"/>
      <c r="AK1043" s="40"/>
      <c r="AL1043" s="84"/>
      <c r="AM1043" s="84"/>
      <c r="AN1043" s="40"/>
      <c r="AO1043" s="23"/>
    </row>
    <row r="1044" spans="1:41" ht="15.75" x14ac:dyDescent="0.25">
      <c r="A1044" s="44"/>
      <c r="B1044" s="23"/>
      <c r="C1044" s="23"/>
      <c r="D1044" s="36"/>
      <c r="E1044" s="23"/>
      <c r="F1044" s="23"/>
      <c r="G1044" s="40"/>
      <c r="H1044" s="23"/>
      <c r="I1044" s="23"/>
      <c r="J1044" s="40"/>
      <c r="K1044" s="36"/>
      <c r="L1044" s="36"/>
      <c r="M1044" s="40"/>
      <c r="N1044" s="23"/>
      <c r="O1044" s="36"/>
      <c r="P1044" s="40"/>
      <c r="Q1044" s="36"/>
      <c r="R1044" s="36"/>
      <c r="S1044" s="40"/>
      <c r="T1044" s="23"/>
      <c r="U1044" s="23"/>
      <c r="V1044" s="40"/>
      <c r="W1044" s="23"/>
      <c r="X1044" s="23"/>
      <c r="Y1044" s="40"/>
      <c r="Z1044" s="23"/>
      <c r="AA1044" s="23"/>
      <c r="AB1044" s="40"/>
      <c r="AC1044" s="42"/>
      <c r="AD1044" s="42"/>
      <c r="AE1044" s="40"/>
      <c r="AF1044" s="42"/>
      <c r="AG1044" s="42"/>
      <c r="AH1044" s="23"/>
      <c r="AI1044" s="42"/>
      <c r="AJ1044" s="42"/>
      <c r="AK1044" s="40"/>
      <c r="AL1044" s="84"/>
      <c r="AM1044" s="84"/>
      <c r="AN1044" s="40"/>
      <c r="AO1044" s="23"/>
    </row>
    <row r="1045" spans="1:41" ht="15.75" x14ac:dyDescent="0.25">
      <c r="A1045" s="44"/>
      <c r="B1045" s="23"/>
      <c r="C1045" s="23"/>
      <c r="D1045" s="36"/>
      <c r="E1045" s="23"/>
      <c r="F1045" s="23"/>
      <c r="G1045" s="40"/>
      <c r="H1045" s="23"/>
      <c r="I1045" s="23"/>
      <c r="J1045" s="40"/>
      <c r="K1045" s="36"/>
      <c r="L1045" s="36"/>
      <c r="M1045" s="40"/>
      <c r="N1045" s="23"/>
      <c r="O1045" s="36"/>
      <c r="P1045" s="40"/>
      <c r="Q1045" s="36"/>
      <c r="R1045" s="36"/>
      <c r="S1045" s="40"/>
      <c r="T1045" s="23"/>
      <c r="U1045" s="23"/>
      <c r="V1045" s="40"/>
      <c r="W1045" s="23"/>
      <c r="X1045" s="23"/>
      <c r="Y1045" s="40"/>
      <c r="Z1045" s="23"/>
      <c r="AA1045" s="23"/>
      <c r="AB1045" s="40"/>
      <c r="AC1045" s="42"/>
      <c r="AD1045" s="42"/>
      <c r="AE1045" s="40"/>
      <c r="AF1045" s="42"/>
      <c r="AG1045" s="42"/>
      <c r="AH1045" s="23"/>
      <c r="AI1045" s="42"/>
      <c r="AJ1045" s="42"/>
      <c r="AK1045" s="40"/>
      <c r="AL1045" s="84"/>
      <c r="AM1045" s="84"/>
      <c r="AN1045" s="40"/>
      <c r="AO1045" s="23"/>
    </row>
    <row r="1046" spans="1:41" ht="15.75" x14ac:dyDescent="0.25">
      <c r="A1046" s="44"/>
      <c r="B1046" s="23"/>
      <c r="C1046" s="23"/>
      <c r="D1046" s="36"/>
      <c r="E1046" s="23"/>
      <c r="F1046" s="23"/>
      <c r="G1046" s="40"/>
      <c r="H1046" s="23"/>
      <c r="I1046" s="23"/>
      <c r="J1046" s="40"/>
      <c r="K1046" s="36"/>
      <c r="L1046" s="36"/>
      <c r="M1046" s="40"/>
      <c r="N1046" s="23"/>
      <c r="O1046" s="36"/>
      <c r="P1046" s="40"/>
      <c r="Q1046" s="36"/>
      <c r="R1046" s="36"/>
      <c r="S1046" s="40"/>
      <c r="T1046" s="23"/>
      <c r="U1046" s="23"/>
      <c r="V1046" s="40"/>
      <c r="W1046" s="23"/>
      <c r="X1046" s="23"/>
      <c r="Y1046" s="40"/>
      <c r="Z1046" s="23"/>
      <c r="AA1046" s="23"/>
      <c r="AB1046" s="40"/>
      <c r="AC1046" s="42"/>
      <c r="AD1046" s="42"/>
      <c r="AE1046" s="40"/>
      <c r="AF1046" s="42"/>
      <c r="AG1046" s="42"/>
      <c r="AH1046" s="23"/>
      <c r="AI1046" s="42"/>
      <c r="AJ1046" s="42"/>
      <c r="AK1046" s="40"/>
      <c r="AL1046" s="84"/>
      <c r="AM1046" s="84"/>
      <c r="AN1046" s="40"/>
      <c r="AO1046" s="23"/>
    </row>
    <row r="1047" spans="1:41" ht="15.75" x14ac:dyDescent="0.25">
      <c r="A1047" s="44"/>
      <c r="B1047" s="23"/>
      <c r="C1047" s="23"/>
      <c r="D1047" s="36"/>
      <c r="E1047" s="23"/>
      <c r="F1047" s="23"/>
      <c r="G1047" s="40"/>
      <c r="H1047" s="23"/>
      <c r="I1047" s="23"/>
      <c r="J1047" s="40"/>
      <c r="K1047" s="36"/>
      <c r="L1047" s="36"/>
      <c r="M1047" s="40"/>
      <c r="N1047" s="23"/>
      <c r="O1047" s="36"/>
      <c r="P1047" s="40"/>
      <c r="Q1047" s="36"/>
      <c r="R1047" s="36"/>
      <c r="S1047" s="40"/>
      <c r="T1047" s="23"/>
      <c r="U1047" s="23"/>
      <c r="V1047" s="40"/>
      <c r="W1047" s="23"/>
      <c r="X1047" s="23"/>
      <c r="Y1047" s="40"/>
      <c r="Z1047" s="23"/>
      <c r="AA1047" s="23"/>
      <c r="AB1047" s="40"/>
      <c r="AC1047" s="42"/>
      <c r="AD1047" s="42"/>
      <c r="AE1047" s="40"/>
      <c r="AF1047" s="42"/>
      <c r="AG1047" s="42"/>
      <c r="AH1047" s="23"/>
      <c r="AI1047" s="42"/>
      <c r="AJ1047" s="42"/>
      <c r="AK1047" s="40"/>
      <c r="AL1047" s="84"/>
      <c r="AM1047" s="84"/>
      <c r="AN1047" s="40"/>
      <c r="AO1047" s="23"/>
    </row>
    <row r="1048" spans="1:41" ht="15.75" x14ac:dyDescent="0.25">
      <c r="A1048" s="44"/>
      <c r="B1048" s="23"/>
      <c r="C1048" s="23"/>
      <c r="D1048" s="36"/>
      <c r="E1048" s="23"/>
      <c r="F1048" s="23"/>
      <c r="G1048" s="40"/>
      <c r="H1048" s="23"/>
      <c r="I1048" s="23"/>
      <c r="J1048" s="40"/>
      <c r="K1048" s="36"/>
      <c r="L1048" s="36"/>
      <c r="M1048" s="40"/>
      <c r="N1048" s="23"/>
      <c r="O1048" s="36"/>
      <c r="P1048" s="40"/>
      <c r="Q1048" s="36"/>
      <c r="R1048" s="36"/>
      <c r="S1048" s="40"/>
      <c r="T1048" s="23"/>
      <c r="U1048" s="23"/>
      <c r="V1048" s="40"/>
      <c r="W1048" s="23"/>
      <c r="X1048" s="23"/>
      <c r="Y1048" s="40"/>
      <c r="Z1048" s="23"/>
      <c r="AA1048" s="23"/>
      <c r="AB1048" s="40"/>
      <c r="AC1048" s="42"/>
      <c r="AD1048" s="42"/>
      <c r="AE1048" s="40"/>
      <c r="AF1048" s="42"/>
      <c r="AG1048" s="42"/>
      <c r="AH1048" s="23"/>
      <c r="AI1048" s="42"/>
      <c r="AJ1048" s="42"/>
      <c r="AK1048" s="40"/>
      <c r="AL1048" s="84"/>
      <c r="AM1048" s="84"/>
      <c r="AN1048" s="40"/>
      <c r="AO1048" s="23"/>
    </row>
    <row r="1049" spans="1:41" ht="15.75" x14ac:dyDescent="0.25">
      <c r="A1049" s="44"/>
      <c r="B1049" s="23"/>
      <c r="C1049" s="23"/>
      <c r="D1049" s="36"/>
      <c r="E1049" s="23"/>
      <c r="F1049" s="23"/>
      <c r="G1049" s="40"/>
      <c r="H1049" s="23"/>
      <c r="I1049" s="23"/>
      <c r="J1049" s="40"/>
      <c r="K1049" s="36"/>
      <c r="L1049" s="36"/>
      <c r="M1049" s="40"/>
      <c r="N1049" s="23"/>
      <c r="O1049" s="36"/>
      <c r="P1049" s="40"/>
      <c r="Q1049" s="36"/>
      <c r="R1049" s="36"/>
      <c r="S1049" s="40"/>
      <c r="T1049" s="23"/>
      <c r="U1049" s="23"/>
      <c r="V1049" s="40"/>
      <c r="W1049" s="23"/>
      <c r="X1049" s="23"/>
      <c r="Y1049" s="40"/>
      <c r="Z1049" s="23"/>
      <c r="AA1049" s="23"/>
      <c r="AB1049" s="40"/>
      <c r="AC1049" s="42"/>
      <c r="AD1049" s="42"/>
      <c r="AE1049" s="40"/>
      <c r="AF1049" s="42"/>
      <c r="AG1049" s="42"/>
      <c r="AH1049" s="23"/>
      <c r="AI1049" s="42"/>
      <c r="AJ1049" s="42"/>
      <c r="AK1049" s="40"/>
      <c r="AL1049" s="84"/>
      <c r="AM1049" s="84"/>
      <c r="AN1049" s="40"/>
      <c r="AO1049" s="23"/>
    </row>
    <row r="1050" spans="1:41" ht="15.75" x14ac:dyDescent="0.25">
      <c r="A1050" s="44"/>
      <c r="B1050" s="23"/>
      <c r="C1050" s="23"/>
      <c r="D1050" s="36"/>
      <c r="E1050" s="23"/>
      <c r="F1050" s="23"/>
      <c r="G1050" s="40"/>
      <c r="H1050" s="23"/>
      <c r="I1050" s="23"/>
      <c r="J1050" s="40"/>
      <c r="K1050" s="36"/>
      <c r="L1050" s="36"/>
      <c r="M1050" s="40"/>
      <c r="N1050" s="23"/>
      <c r="O1050" s="36"/>
      <c r="P1050" s="40"/>
      <c r="Q1050" s="36"/>
      <c r="R1050" s="36"/>
      <c r="S1050" s="40"/>
      <c r="T1050" s="23"/>
      <c r="U1050" s="23"/>
      <c r="V1050" s="40"/>
      <c r="W1050" s="23"/>
      <c r="X1050" s="23"/>
      <c r="Y1050" s="40"/>
      <c r="Z1050" s="23"/>
      <c r="AA1050" s="23"/>
      <c r="AB1050" s="40"/>
      <c r="AC1050" s="42"/>
      <c r="AD1050" s="42"/>
      <c r="AE1050" s="40"/>
      <c r="AF1050" s="42"/>
      <c r="AG1050" s="42"/>
      <c r="AH1050" s="23"/>
      <c r="AI1050" s="42"/>
      <c r="AJ1050" s="42"/>
      <c r="AK1050" s="40"/>
      <c r="AL1050" s="84"/>
      <c r="AM1050" s="84"/>
      <c r="AN1050" s="40"/>
      <c r="AO1050" s="23"/>
    </row>
    <row r="1051" spans="1:41" ht="15.75" x14ac:dyDescent="0.25">
      <c r="A1051" s="44"/>
      <c r="B1051" s="23"/>
      <c r="C1051" s="23"/>
      <c r="D1051" s="36"/>
      <c r="E1051" s="23"/>
      <c r="F1051" s="23"/>
      <c r="G1051" s="40"/>
      <c r="H1051" s="23"/>
      <c r="I1051" s="23"/>
      <c r="J1051" s="40"/>
      <c r="K1051" s="36"/>
      <c r="L1051" s="36"/>
      <c r="M1051" s="40"/>
      <c r="N1051" s="23"/>
      <c r="O1051" s="36"/>
      <c r="P1051" s="40"/>
      <c r="Q1051" s="36"/>
      <c r="R1051" s="36"/>
      <c r="S1051" s="40"/>
      <c r="T1051" s="23"/>
      <c r="U1051" s="23"/>
      <c r="V1051" s="40"/>
      <c r="W1051" s="23"/>
      <c r="X1051" s="23"/>
      <c r="Y1051" s="40"/>
      <c r="Z1051" s="23"/>
      <c r="AA1051" s="23"/>
      <c r="AB1051" s="40"/>
      <c r="AC1051" s="42"/>
      <c r="AD1051" s="42"/>
      <c r="AE1051" s="40"/>
      <c r="AF1051" s="42"/>
      <c r="AG1051" s="42"/>
      <c r="AH1051" s="23"/>
      <c r="AI1051" s="42"/>
      <c r="AJ1051" s="42"/>
      <c r="AK1051" s="40"/>
      <c r="AL1051" s="84"/>
      <c r="AM1051" s="84"/>
      <c r="AN1051" s="40"/>
      <c r="AO1051" s="23"/>
    </row>
    <row r="1052" spans="1:41" ht="15.75" x14ac:dyDescent="0.25">
      <c r="A1052" s="44"/>
      <c r="B1052" s="23"/>
      <c r="C1052" s="23"/>
      <c r="D1052" s="36"/>
      <c r="E1052" s="23"/>
      <c r="F1052" s="23"/>
      <c r="G1052" s="40"/>
      <c r="H1052" s="23"/>
      <c r="I1052" s="23"/>
      <c r="J1052" s="40"/>
      <c r="K1052" s="36"/>
      <c r="L1052" s="36"/>
      <c r="M1052" s="40"/>
      <c r="N1052" s="23"/>
      <c r="O1052" s="36"/>
      <c r="P1052" s="40"/>
      <c r="Q1052" s="36"/>
      <c r="R1052" s="36"/>
      <c r="S1052" s="40"/>
      <c r="T1052" s="23"/>
      <c r="U1052" s="23"/>
      <c r="V1052" s="40"/>
      <c r="W1052" s="23"/>
      <c r="X1052" s="23"/>
      <c r="Y1052" s="40"/>
      <c r="Z1052" s="23"/>
      <c r="AA1052" s="23"/>
      <c r="AB1052" s="40"/>
      <c r="AC1052" s="42"/>
      <c r="AD1052" s="42"/>
      <c r="AE1052" s="40"/>
      <c r="AF1052" s="42"/>
      <c r="AG1052" s="42"/>
      <c r="AH1052" s="23"/>
      <c r="AI1052" s="42"/>
      <c r="AJ1052" s="42"/>
      <c r="AK1052" s="40"/>
      <c r="AL1052" s="84"/>
      <c r="AM1052" s="84"/>
      <c r="AN1052" s="40"/>
      <c r="AO1052" s="23"/>
    </row>
    <row r="1053" spans="1:41" ht="15.75" x14ac:dyDescent="0.25">
      <c r="A1053" s="44"/>
      <c r="B1053" s="23"/>
      <c r="C1053" s="23"/>
      <c r="D1053" s="36"/>
      <c r="E1053" s="23"/>
      <c r="F1053" s="23"/>
      <c r="G1053" s="40"/>
      <c r="H1053" s="23"/>
      <c r="I1053" s="23"/>
      <c r="J1053" s="40"/>
      <c r="K1053" s="36"/>
      <c r="L1053" s="36"/>
      <c r="M1053" s="40"/>
      <c r="N1053" s="23"/>
      <c r="O1053" s="36"/>
      <c r="P1053" s="40"/>
      <c r="Q1053" s="36"/>
      <c r="R1053" s="36"/>
      <c r="S1053" s="40"/>
      <c r="T1053" s="23"/>
      <c r="U1053" s="23"/>
      <c r="V1053" s="40"/>
      <c r="W1053" s="23"/>
      <c r="X1053" s="23"/>
      <c r="Y1053" s="40"/>
      <c r="Z1053" s="23"/>
      <c r="AA1053" s="23"/>
      <c r="AB1053" s="40"/>
      <c r="AC1053" s="42"/>
      <c r="AD1053" s="42"/>
      <c r="AE1053" s="40"/>
      <c r="AF1053" s="42"/>
      <c r="AG1053" s="42"/>
      <c r="AH1053" s="23"/>
      <c r="AI1053" s="42"/>
      <c r="AJ1053" s="42"/>
      <c r="AK1053" s="40"/>
      <c r="AL1053" s="84"/>
      <c r="AM1053" s="84"/>
      <c r="AN1053" s="40"/>
      <c r="AO1053" s="23"/>
    </row>
    <row r="1054" spans="1:41" ht="15.75" x14ac:dyDescent="0.25">
      <c r="A1054" s="44"/>
      <c r="B1054" s="23"/>
      <c r="C1054" s="23"/>
      <c r="D1054" s="36"/>
      <c r="E1054" s="23"/>
      <c r="F1054" s="23"/>
      <c r="G1054" s="40"/>
      <c r="H1054" s="23"/>
      <c r="I1054" s="23"/>
      <c r="J1054" s="40"/>
      <c r="K1054" s="36"/>
      <c r="L1054" s="36"/>
      <c r="M1054" s="40"/>
      <c r="N1054" s="23"/>
      <c r="O1054" s="36"/>
      <c r="P1054" s="40"/>
      <c r="Q1054" s="36"/>
      <c r="R1054" s="36"/>
      <c r="S1054" s="40"/>
      <c r="T1054" s="23"/>
      <c r="U1054" s="23"/>
      <c r="V1054" s="40"/>
      <c r="W1054" s="23"/>
      <c r="X1054" s="23"/>
      <c r="Y1054" s="40"/>
      <c r="Z1054" s="23"/>
      <c r="AA1054" s="23"/>
      <c r="AB1054" s="40"/>
      <c r="AC1054" s="42"/>
      <c r="AD1054" s="42"/>
      <c r="AE1054" s="40"/>
      <c r="AF1054" s="42"/>
      <c r="AG1054" s="42"/>
      <c r="AH1054" s="23"/>
      <c r="AI1054" s="42"/>
      <c r="AJ1054" s="42"/>
      <c r="AK1054" s="40"/>
      <c r="AL1054" s="84"/>
      <c r="AM1054" s="84"/>
      <c r="AN1054" s="40"/>
      <c r="AO1054" s="23"/>
    </row>
    <row r="1055" spans="1:41" ht="15.75" x14ac:dyDescent="0.25">
      <c r="A1055" s="44"/>
      <c r="B1055" s="23"/>
      <c r="C1055" s="23"/>
      <c r="D1055" s="36"/>
      <c r="E1055" s="23"/>
      <c r="F1055" s="23"/>
      <c r="G1055" s="40"/>
      <c r="H1055" s="23"/>
      <c r="I1055" s="23"/>
      <c r="J1055" s="40"/>
      <c r="K1055" s="36"/>
      <c r="L1055" s="36"/>
      <c r="M1055" s="40"/>
      <c r="N1055" s="23"/>
      <c r="O1055" s="36"/>
      <c r="P1055" s="40"/>
      <c r="Q1055" s="36"/>
      <c r="R1055" s="36"/>
      <c r="S1055" s="40"/>
      <c r="T1055" s="23"/>
      <c r="U1055" s="23"/>
      <c r="V1055" s="40"/>
      <c r="W1055" s="23"/>
      <c r="X1055" s="23"/>
      <c r="Y1055" s="40"/>
      <c r="Z1055" s="23"/>
      <c r="AA1055" s="23"/>
      <c r="AB1055" s="40"/>
      <c r="AC1055" s="42"/>
      <c r="AD1055" s="42"/>
      <c r="AE1055" s="40"/>
      <c r="AF1055" s="42"/>
      <c r="AG1055" s="42"/>
      <c r="AH1055" s="23"/>
      <c r="AI1055" s="42"/>
      <c r="AJ1055" s="42"/>
      <c r="AK1055" s="40"/>
      <c r="AL1055" s="84"/>
      <c r="AM1055" s="84"/>
      <c r="AN1055" s="40"/>
      <c r="AO1055" s="23"/>
    </row>
    <row r="1056" spans="1:41" ht="15.75" x14ac:dyDescent="0.25">
      <c r="A1056" s="44"/>
      <c r="B1056" s="23"/>
      <c r="C1056" s="23"/>
      <c r="D1056" s="36"/>
      <c r="E1056" s="23"/>
      <c r="F1056" s="23"/>
      <c r="G1056" s="40"/>
      <c r="H1056" s="23"/>
      <c r="I1056" s="23"/>
      <c r="J1056" s="40"/>
      <c r="K1056" s="36"/>
      <c r="L1056" s="36"/>
      <c r="M1056" s="40"/>
      <c r="N1056" s="23"/>
      <c r="O1056" s="36"/>
      <c r="P1056" s="40"/>
      <c r="Q1056" s="36"/>
      <c r="R1056" s="36"/>
      <c r="S1056" s="40"/>
      <c r="T1056" s="23"/>
      <c r="U1056" s="23"/>
      <c r="V1056" s="40"/>
      <c r="W1056" s="23"/>
      <c r="X1056" s="23"/>
      <c r="Y1056" s="40"/>
      <c r="Z1056" s="23"/>
      <c r="AA1056" s="23"/>
      <c r="AB1056" s="40"/>
      <c r="AC1056" s="42"/>
      <c r="AD1056" s="42"/>
      <c r="AE1056" s="40"/>
      <c r="AF1056" s="42"/>
      <c r="AG1056" s="42"/>
      <c r="AH1056" s="23"/>
      <c r="AI1056" s="42"/>
      <c r="AJ1056" s="42"/>
      <c r="AK1056" s="40"/>
      <c r="AL1056" s="84"/>
      <c r="AM1056" s="84"/>
      <c r="AN1056" s="40"/>
      <c r="AO1056" s="23"/>
    </row>
    <row r="1057" spans="1:41" ht="15.75" x14ac:dyDescent="0.25">
      <c r="A1057" s="44"/>
      <c r="B1057" s="23"/>
      <c r="C1057" s="23"/>
      <c r="D1057" s="36"/>
      <c r="E1057" s="23"/>
      <c r="F1057" s="23"/>
      <c r="G1057" s="40"/>
      <c r="H1057" s="23"/>
      <c r="I1057" s="23"/>
      <c r="J1057" s="40"/>
      <c r="K1057" s="36"/>
      <c r="L1057" s="36"/>
      <c r="M1057" s="40"/>
      <c r="N1057" s="23"/>
      <c r="O1057" s="36"/>
      <c r="P1057" s="40"/>
      <c r="Q1057" s="36"/>
      <c r="R1057" s="36"/>
      <c r="S1057" s="40"/>
      <c r="T1057" s="23"/>
      <c r="U1057" s="23"/>
      <c r="V1057" s="40"/>
      <c r="W1057" s="23"/>
      <c r="X1057" s="23"/>
      <c r="Y1057" s="40"/>
      <c r="Z1057" s="23"/>
      <c r="AA1057" s="23"/>
      <c r="AB1057" s="40"/>
      <c r="AC1057" s="42"/>
      <c r="AD1057" s="42"/>
      <c r="AE1057" s="40"/>
      <c r="AF1057" s="42"/>
      <c r="AG1057" s="42"/>
      <c r="AH1057" s="23"/>
      <c r="AI1057" s="42"/>
      <c r="AJ1057" s="42"/>
      <c r="AK1057" s="40"/>
      <c r="AL1057" s="84"/>
      <c r="AM1057" s="84"/>
      <c r="AN1057" s="40"/>
      <c r="AO1057" s="23"/>
    </row>
    <row r="1058" spans="1:41" ht="15.75" x14ac:dyDescent="0.25">
      <c r="A1058" s="44"/>
      <c r="B1058" s="23"/>
      <c r="C1058" s="23"/>
      <c r="D1058" s="36"/>
      <c r="E1058" s="23"/>
      <c r="F1058" s="23"/>
      <c r="G1058" s="40"/>
      <c r="H1058" s="23"/>
      <c r="I1058" s="23"/>
      <c r="J1058" s="40"/>
      <c r="K1058" s="36"/>
      <c r="L1058" s="36"/>
      <c r="M1058" s="40"/>
      <c r="N1058" s="23"/>
      <c r="O1058" s="36"/>
      <c r="P1058" s="40"/>
      <c r="Q1058" s="36"/>
      <c r="R1058" s="36"/>
      <c r="S1058" s="40"/>
      <c r="T1058" s="23"/>
      <c r="U1058" s="23"/>
      <c r="V1058" s="40"/>
      <c r="W1058" s="23"/>
      <c r="X1058" s="23"/>
      <c r="Y1058" s="40"/>
      <c r="Z1058" s="23"/>
      <c r="AA1058" s="23"/>
      <c r="AB1058" s="40"/>
      <c r="AC1058" s="42"/>
      <c r="AD1058" s="42"/>
      <c r="AE1058" s="40"/>
      <c r="AF1058" s="42"/>
      <c r="AG1058" s="42"/>
      <c r="AH1058" s="23"/>
      <c r="AI1058" s="42"/>
      <c r="AJ1058" s="42"/>
      <c r="AK1058" s="40"/>
      <c r="AL1058" s="84"/>
      <c r="AM1058" s="84"/>
      <c r="AN1058" s="40"/>
      <c r="AO1058" s="23"/>
    </row>
    <row r="1059" spans="1:41" ht="15.75" x14ac:dyDescent="0.25">
      <c r="A1059" s="44"/>
      <c r="B1059" s="23"/>
      <c r="C1059" s="23"/>
      <c r="D1059" s="36"/>
      <c r="E1059" s="23"/>
      <c r="F1059" s="23"/>
      <c r="G1059" s="40"/>
      <c r="H1059" s="23"/>
      <c r="I1059" s="23"/>
      <c r="J1059" s="40"/>
      <c r="K1059" s="36"/>
      <c r="L1059" s="36"/>
      <c r="M1059" s="40"/>
      <c r="N1059" s="23"/>
      <c r="O1059" s="36"/>
      <c r="P1059" s="40"/>
      <c r="Q1059" s="36"/>
      <c r="R1059" s="36"/>
      <c r="S1059" s="40"/>
      <c r="T1059" s="23"/>
      <c r="U1059" s="23"/>
      <c r="V1059" s="40"/>
      <c r="W1059" s="23"/>
      <c r="X1059" s="23"/>
      <c r="Y1059" s="40"/>
      <c r="Z1059" s="23"/>
      <c r="AA1059" s="23"/>
      <c r="AB1059" s="40"/>
      <c r="AC1059" s="42"/>
      <c r="AD1059" s="42"/>
      <c r="AE1059" s="40"/>
      <c r="AF1059" s="42"/>
      <c r="AG1059" s="42"/>
      <c r="AH1059" s="23"/>
      <c r="AI1059" s="42"/>
      <c r="AJ1059" s="42"/>
      <c r="AK1059" s="40"/>
      <c r="AL1059" s="84"/>
      <c r="AM1059" s="84"/>
      <c r="AN1059" s="40"/>
      <c r="AO1059" s="23"/>
    </row>
    <row r="1060" spans="1:41" ht="15.75" x14ac:dyDescent="0.25">
      <c r="A1060" s="44"/>
      <c r="B1060" s="23"/>
      <c r="C1060" s="23"/>
      <c r="D1060" s="36"/>
      <c r="E1060" s="23"/>
      <c r="F1060" s="23"/>
      <c r="G1060" s="40"/>
      <c r="H1060" s="23"/>
      <c r="I1060" s="23"/>
      <c r="J1060" s="40"/>
      <c r="K1060" s="36"/>
      <c r="L1060" s="36"/>
      <c r="M1060" s="40"/>
      <c r="N1060" s="23"/>
      <c r="O1060" s="36"/>
      <c r="P1060" s="40"/>
      <c r="Q1060" s="36"/>
      <c r="R1060" s="36"/>
      <c r="S1060" s="40"/>
      <c r="T1060" s="23"/>
      <c r="U1060" s="23"/>
      <c r="V1060" s="40"/>
      <c r="W1060" s="23"/>
      <c r="X1060" s="23"/>
      <c r="Y1060" s="40"/>
      <c r="Z1060" s="23"/>
      <c r="AA1060" s="23"/>
      <c r="AB1060" s="40"/>
      <c r="AC1060" s="42"/>
      <c r="AD1060" s="42"/>
      <c r="AE1060" s="40"/>
      <c r="AF1060" s="42"/>
      <c r="AG1060" s="42"/>
      <c r="AH1060" s="23"/>
      <c r="AI1060" s="42"/>
      <c r="AJ1060" s="42"/>
      <c r="AK1060" s="40"/>
      <c r="AL1060" s="84"/>
      <c r="AM1060" s="84"/>
      <c r="AN1060" s="40"/>
      <c r="AO1060" s="23"/>
    </row>
    <row r="1061" spans="1:41" ht="15.75" x14ac:dyDescent="0.25">
      <c r="A1061" s="44"/>
      <c r="B1061" s="23"/>
      <c r="C1061" s="23"/>
      <c r="D1061" s="36"/>
      <c r="E1061" s="23"/>
      <c r="F1061" s="23"/>
      <c r="G1061" s="40"/>
      <c r="H1061" s="23"/>
      <c r="I1061" s="23"/>
      <c r="J1061" s="40"/>
      <c r="K1061" s="36"/>
      <c r="L1061" s="36"/>
      <c r="M1061" s="40"/>
      <c r="N1061" s="23"/>
      <c r="O1061" s="36"/>
      <c r="P1061" s="40"/>
      <c r="Q1061" s="36"/>
      <c r="R1061" s="36"/>
      <c r="S1061" s="40"/>
      <c r="T1061" s="23"/>
      <c r="U1061" s="23"/>
      <c r="V1061" s="40"/>
      <c r="W1061" s="23"/>
      <c r="X1061" s="23"/>
      <c r="Y1061" s="40"/>
      <c r="Z1061" s="23"/>
      <c r="AA1061" s="23"/>
      <c r="AB1061" s="40"/>
      <c r="AC1061" s="42"/>
      <c r="AD1061" s="42"/>
      <c r="AE1061" s="40"/>
      <c r="AF1061" s="42"/>
      <c r="AG1061" s="42"/>
      <c r="AH1061" s="23"/>
      <c r="AI1061" s="42"/>
      <c r="AJ1061" s="42"/>
      <c r="AK1061" s="40"/>
      <c r="AL1061" s="84"/>
      <c r="AM1061" s="84"/>
      <c r="AN1061" s="40"/>
      <c r="AO1061" s="23"/>
    </row>
    <row r="1062" spans="1:41" ht="15.75" x14ac:dyDescent="0.25">
      <c r="A1062" s="44"/>
      <c r="B1062" s="23"/>
      <c r="C1062" s="23"/>
      <c r="D1062" s="36"/>
      <c r="E1062" s="23"/>
      <c r="F1062" s="23"/>
      <c r="G1062" s="40"/>
      <c r="H1062" s="23"/>
      <c r="I1062" s="23"/>
      <c r="J1062" s="40"/>
      <c r="K1062" s="36"/>
      <c r="L1062" s="36"/>
      <c r="M1062" s="40"/>
      <c r="N1062" s="23"/>
      <c r="O1062" s="36"/>
      <c r="P1062" s="40"/>
      <c r="Q1062" s="36"/>
      <c r="R1062" s="36"/>
      <c r="S1062" s="40"/>
      <c r="T1062" s="23"/>
      <c r="U1062" s="23"/>
      <c r="V1062" s="40"/>
      <c r="W1062" s="23"/>
      <c r="X1062" s="23"/>
      <c r="Y1062" s="40"/>
      <c r="Z1062" s="23"/>
      <c r="AA1062" s="23"/>
      <c r="AB1062" s="40"/>
      <c r="AC1062" s="42"/>
      <c r="AD1062" s="42"/>
      <c r="AE1062" s="40"/>
      <c r="AF1062" s="42"/>
      <c r="AG1062" s="42"/>
      <c r="AH1062" s="23"/>
      <c r="AI1062" s="42"/>
      <c r="AJ1062" s="42"/>
      <c r="AK1062" s="40"/>
      <c r="AL1062" s="84"/>
      <c r="AM1062" s="84"/>
      <c r="AN1062" s="40"/>
      <c r="AO1062" s="23"/>
    </row>
    <row r="1063" spans="1:41" ht="15.75" x14ac:dyDescent="0.25">
      <c r="A1063" s="44"/>
      <c r="B1063" s="23"/>
      <c r="C1063" s="23"/>
      <c r="D1063" s="36"/>
      <c r="E1063" s="23"/>
      <c r="F1063" s="23"/>
      <c r="G1063" s="40"/>
      <c r="H1063" s="23"/>
      <c r="I1063" s="23"/>
      <c r="J1063" s="40"/>
      <c r="K1063" s="36"/>
      <c r="L1063" s="36"/>
      <c r="M1063" s="40"/>
      <c r="N1063" s="23"/>
      <c r="O1063" s="36"/>
      <c r="P1063" s="40"/>
      <c r="Q1063" s="36"/>
      <c r="R1063" s="36"/>
      <c r="S1063" s="40"/>
      <c r="T1063" s="23"/>
      <c r="U1063" s="23"/>
      <c r="V1063" s="40"/>
      <c r="W1063" s="23"/>
      <c r="X1063" s="23"/>
      <c r="Y1063" s="40"/>
      <c r="Z1063" s="23"/>
      <c r="AA1063" s="23"/>
      <c r="AB1063" s="40"/>
      <c r="AC1063" s="42"/>
      <c r="AD1063" s="42"/>
      <c r="AE1063" s="40"/>
      <c r="AF1063" s="42"/>
      <c r="AG1063" s="42"/>
      <c r="AH1063" s="23"/>
      <c r="AI1063" s="42"/>
      <c r="AJ1063" s="42"/>
      <c r="AK1063" s="40"/>
      <c r="AL1063" s="84"/>
      <c r="AM1063" s="84"/>
      <c r="AN1063" s="40"/>
      <c r="AO1063" s="23"/>
    </row>
    <row r="1064" spans="1:41" ht="15.75" x14ac:dyDescent="0.25">
      <c r="A1064" s="44"/>
      <c r="B1064" s="23"/>
      <c r="C1064" s="23"/>
      <c r="D1064" s="36"/>
      <c r="E1064" s="23"/>
      <c r="F1064" s="23"/>
      <c r="G1064" s="40"/>
      <c r="H1064" s="23"/>
      <c r="I1064" s="23"/>
      <c r="J1064" s="40"/>
      <c r="K1064" s="36"/>
      <c r="L1064" s="36"/>
      <c r="M1064" s="40"/>
      <c r="N1064" s="23"/>
      <c r="O1064" s="36"/>
      <c r="P1064" s="40"/>
      <c r="Q1064" s="36"/>
      <c r="R1064" s="36"/>
      <c r="S1064" s="40"/>
      <c r="T1064" s="23"/>
      <c r="U1064" s="23"/>
      <c r="V1064" s="40"/>
      <c r="W1064" s="23"/>
      <c r="X1064" s="23"/>
      <c r="Y1064" s="40"/>
      <c r="Z1064" s="23"/>
      <c r="AA1064" s="23"/>
      <c r="AB1064" s="40"/>
      <c r="AC1064" s="42"/>
      <c r="AD1064" s="42"/>
      <c r="AE1064" s="40"/>
      <c r="AF1064" s="42"/>
      <c r="AG1064" s="42"/>
      <c r="AH1064" s="23"/>
      <c r="AI1064" s="42"/>
      <c r="AJ1064" s="42"/>
      <c r="AK1064" s="40"/>
      <c r="AL1064" s="84"/>
      <c r="AM1064" s="84"/>
      <c r="AN1064" s="40"/>
      <c r="AO1064" s="23"/>
    </row>
    <row r="1065" spans="1:41" ht="15.75" x14ac:dyDescent="0.25">
      <c r="A1065" s="44"/>
      <c r="B1065" s="23"/>
      <c r="C1065" s="23"/>
      <c r="D1065" s="36"/>
      <c r="E1065" s="23"/>
      <c r="F1065" s="23"/>
      <c r="G1065" s="40"/>
      <c r="H1065" s="23"/>
      <c r="I1065" s="23"/>
      <c r="J1065" s="40"/>
      <c r="K1065" s="36"/>
      <c r="L1065" s="36"/>
      <c r="M1065" s="40"/>
      <c r="N1065" s="23"/>
      <c r="O1065" s="36"/>
      <c r="P1065" s="40"/>
      <c r="Q1065" s="36"/>
      <c r="R1065" s="36"/>
      <c r="S1065" s="40"/>
      <c r="T1065" s="23"/>
      <c r="U1065" s="23"/>
      <c r="V1065" s="40"/>
      <c r="W1065" s="23"/>
      <c r="X1065" s="23"/>
      <c r="Y1065" s="40"/>
      <c r="Z1065" s="23"/>
      <c r="AA1065" s="23"/>
      <c r="AB1065" s="40"/>
      <c r="AC1065" s="42"/>
      <c r="AD1065" s="42"/>
      <c r="AE1065" s="40"/>
      <c r="AF1065" s="42"/>
      <c r="AG1065" s="42"/>
      <c r="AH1065" s="23"/>
      <c r="AI1065" s="42"/>
      <c r="AJ1065" s="42"/>
      <c r="AK1065" s="40"/>
      <c r="AL1065" s="84"/>
      <c r="AM1065" s="84"/>
      <c r="AN1065" s="40"/>
      <c r="AO1065" s="23"/>
    </row>
    <row r="1066" spans="1:41" ht="15.75" x14ac:dyDescent="0.25">
      <c r="A1066" s="44"/>
      <c r="B1066" s="23"/>
      <c r="C1066" s="23"/>
      <c r="D1066" s="36"/>
      <c r="E1066" s="23"/>
      <c r="F1066" s="23"/>
      <c r="G1066" s="40"/>
      <c r="H1066" s="23"/>
      <c r="I1066" s="23"/>
      <c r="J1066" s="40"/>
      <c r="K1066" s="36"/>
      <c r="L1066" s="36"/>
      <c r="M1066" s="40"/>
      <c r="N1066" s="23"/>
      <c r="O1066" s="36"/>
      <c r="P1066" s="40"/>
      <c r="Q1066" s="36"/>
      <c r="R1066" s="36"/>
      <c r="S1066" s="40"/>
      <c r="T1066" s="23"/>
      <c r="U1066" s="23"/>
      <c r="V1066" s="40"/>
      <c r="W1066" s="23"/>
      <c r="X1066" s="23"/>
      <c r="Y1066" s="40"/>
      <c r="Z1066" s="23"/>
      <c r="AA1066" s="23"/>
      <c r="AB1066" s="40"/>
      <c r="AC1066" s="42"/>
      <c r="AD1066" s="42"/>
      <c r="AE1066" s="40"/>
      <c r="AF1066" s="42"/>
      <c r="AG1066" s="42"/>
      <c r="AH1066" s="23"/>
      <c r="AI1066" s="42"/>
      <c r="AJ1066" s="42"/>
      <c r="AK1066" s="40"/>
      <c r="AL1066" s="84"/>
      <c r="AM1066" s="84"/>
      <c r="AN1066" s="40"/>
      <c r="AO1066" s="23"/>
    </row>
    <row r="1067" spans="1:41" ht="15.75" x14ac:dyDescent="0.25">
      <c r="A1067" s="44"/>
      <c r="B1067" s="23"/>
      <c r="C1067" s="23"/>
      <c r="D1067" s="36"/>
      <c r="E1067" s="23"/>
      <c r="F1067" s="23"/>
      <c r="G1067" s="40"/>
      <c r="H1067" s="23"/>
      <c r="I1067" s="23"/>
      <c r="J1067" s="40"/>
      <c r="K1067" s="36"/>
      <c r="L1067" s="36"/>
      <c r="M1067" s="40"/>
      <c r="N1067" s="23"/>
      <c r="O1067" s="36"/>
      <c r="P1067" s="40"/>
      <c r="Q1067" s="36"/>
      <c r="R1067" s="36"/>
      <c r="S1067" s="40"/>
      <c r="T1067" s="23"/>
      <c r="U1067" s="23"/>
      <c r="V1067" s="40"/>
      <c r="W1067" s="23"/>
      <c r="X1067" s="23"/>
      <c r="Y1067" s="40"/>
      <c r="Z1067" s="23"/>
      <c r="AA1067" s="23"/>
      <c r="AB1067" s="40"/>
      <c r="AC1067" s="42"/>
      <c r="AD1067" s="42"/>
      <c r="AE1067" s="40"/>
      <c r="AF1067" s="42"/>
      <c r="AG1067" s="42"/>
      <c r="AH1067" s="23"/>
      <c r="AI1067" s="42"/>
      <c r="AJ1067" s="42"/>
      <c r="AK1067" s="40"/>
      <c r="AL1067" s="84"/>
      <c r="AM1067" s="84"/>
      <c r="AN1067" s="40"/>
      <c r="AO1067" s="23"/>
    </row>
    <row r="1068" spans="1:41" ht="15.75" x14ac:dyDescent="0.25">
      <c r="A1068" s="44"/>
      <c r="B1068" s="23"/>
      <c r="C1068" s="23"/>
      <c r="D1068" s="36"/>
      <c r="E1068" s="23"/>
      <c r="F1068" s="23"/>
      <c r="G1068" s="40"/>
      <c r="H1068" s="23"/>
      <c r="I1068" s="23"/>
      <c r="J1068" s="40"/>
      <c r="K1068" s="36"/>
      <c r="L1068" s="36"/>
      <c r="M1068" s="40"/>
      <c r="N1068" s="23"/>
      <c r="O1068" s="36"/>
      <c r="P1068" s="40"/>
      <c r="Q1068" s="36"/>
      <c r="R1068" s="36"/>
      <c r="S1068" s="40"/>
      <c r="T1068" s="23"/>
      <c r="U1068" s="23"/>
      <c r="V1068" s="40"/>
      <c r="W1068" s="23"/>
      <c r="X1068" s="23"/>
      <c r="Y1068" s="40"/>
      <c r="Z1068" s="23"/>
      <c r="AA1068" s="23"/>
      <c r="AB1068" s="40"/>
      <c r="AC1068" s="42"/>
      <c r="AD1068" s="42"/>
      <c r="AE1068" s="40"/>
      <c r="AF1068" s="42"/>
      <c r="AG1068" s="42"/>
      <c r="AH1068" s="23"/>
      <c r="AI1068" s="42"/>
      <c r="AJ1068" s="42"/>
      <c r="AK1068" s="40"/>
      <c r="AL1068" s="84"/>
      <c r="AM1068" s="84"/>
      <c r="AN1068" s="40"/>
      <c r="AO1068" s="23"/>
    </row>
    <row r="1069" spans="1:41" ht="15.75" x14ac:dyDescent="0.25">
      <c r="A1069" s="44"/>
      <c r="B1069" s="23"/>
      <c r="C1069" s="23"/>
      <c r="D1069" s="36"/>
      <c r="E1069" s="23"/>
      <c r="F1069" s="23"/>
      <c r="G1069" s="40"/>
      <c r="H1069" s="23"/>
      <c r="I1069" s="23"/>
      <c r="J1069" s="40"/>
      <c r="K1069" s="36"/>
      <c r="L1069" s="36"/>
      <c r="M1069" s="40"/>
      <c r="N1069" s="23"/>
      <c r="O1069" s="36"/>
      <c r="P1069" s="40"/>
      <c r="Q1069" s="36"/>
      <c r="R1069" s="36"/>
      <c r="S1069" s="40"/>
      <c r="T1069" s="23"/>
      <c r="U1069" s="23"/>
      <c r="V1069" s="40"/>
      <c r="W1069" s="23"/>
      <c r="X1069" s="23"/>
      <c r="Y1069" s="40"/>
      <c r="Z1069" s="23"/>
      <c r="AA1069" s="23"/>
      <c r="AB1069" s="40"/>
      <c r="AC1069" s="42"/>
      <c r="AD1069" s="42"/>
      <c r="AE1069" s="40"/>
      <c r="AF1069" s="42"/>
      <c r="AG1069" s="42"/>
      <c r="AH1069" s="23"/>
      <c r="AI1069" s="42"/>
      <c r="AJ1069" s="42"/>
      <c r="AK1069" s="40"/>
      <c r="AL1069" s="84"/>
      <c r="AM1069" s="84"/>
      <c r="AN1069" s="40"/>
      <c r="AO1069" s="23"/>
    </row>
    <row r="1070" spans="1:41" ht="15.75" x14ac:dyDescent="0.25">
      <c r="A1070" s="44"/>
      <c r="B1070" s="23"/>
      <c r="C1070" s="23"/>
      <c r="D1070" s="36"/>
      <c r="E1070" s="23"/>
      <c r="F1070" s="23"/>
      <c r="G1070" s="40"/>
      <c r="H1070" s="23"/>
      <c r="I1070" s="23"/>
      <c r="J1070" s="40"/>
      <c r="K1070" s="36"/>
      <c r="L1070" s="36"/>
      <c r="M1070" s="40"/>
      <c r="N1070" s="23"/>
      <c r="O1070" s="36"/>
      <c r="P1070" s="40"/>
      <c r="Q1070" s="36"/>
      <c r="R1070" s="36"/>
      <c r="S1070" s="40"/>
      <c r="T1070" s="23"/>
      <c r="U1070" s="23"/>
      <c r="V1070" s="40"/>
      <c r="W1070" s="23"/>
      <c r="X1070" s="23"/>
      <c r="Y1070" s="40"/>
      <c r="Z1070" s="23"/>
      <c r="AA1070" s="23"/>
      <c r="AB1070" s="40"/>
      <c r="AC1070" s="42"/>
      <c r="AD1070" s="42"/>
      <c r="AE1070" s="40"/>
      <c r="AF1070" s="42"/>
      <c r="AG1070" s="42"/>
      <c r="AH1070" s="23"/>
      <c r="AI1070" s="42"/>
      <c r="AJ1070" s="42"/>
      <c r="AK1070" s="40"/>
      <c r="AL1070" s="84"/>
      <c r="AM1070" s="84"/>
      <c r="AN1070" s="40"/>
      <c r="AO1070" s="23"/>
    </row>
    <row r="1071" spans="1:41" ht="15.75" x14ac:dyDescent="0.25">
      <c r="A1071" s="44"/>
      <c r="B1071" s="23"/>
      <c r="C1071" s="23"/>
      <c r="D1071" s="36"/>
      <c r="E1071" s="23"/>
      <c r="F1071" s="23"/>
      <c r="G1071" s="40"/>
      <c r="H1071" s="23"/>
      <c r="I1071" s="23"/>
      <c r="J1071" s="40"/>
      <c r="K1071" s="36"/>
      <c r="L1071" s="36"/>
      <c r="M1071" s="40"/>
      <c r="N1071" s="23"/>
      <c r="O1071" s="36"/>
      <c r="P1071" s="40"/>
      <c r="Q1071" s="36"/>
      <c r="R1071" s="36"/>
      <c r="S1071" s="40"/>
      <c r="T1071" s="23"/>
      <c r="U1071" s="23"/>
      <c r="V1071" s="40"/>
      <c r="W1071" s="23"/>
      <c r="X1071" s="23"/>
      <c r="Y1071" s="40"/>
      <c r="Z1071" s="23"/>
      <c r="AA1071" s="23"/>
      <c r="AB1071" s="40"/>
      <c r="AC1071" s="42"/>
      <c r="AD1071" s="42"/>
      <c r="AE1071" s="40"/>
      <c r="AF1071" s="42"/>
      <c r="AG1071" s="42"/>
      <c r="AH1071" s="23"/>
      <c r="AI1071" s="42"/>
      <c r="AJ1071" s="42"/>
      <c r="AK1071" s="40"/>
      <c r="AL1071" s="84"/>
      <c r="AM1071" s="84"/>
      <c r="AN1071" s="40"/>
      <c r="AO1071" s="23"/>
    </row>
    <row r="1072" spans="1:41" ht="15.75" x14ac:dyDescent="0.25">
      <c r="A1072" s="44"/>
      <c r="B1072" s="23"/>
      <c r="C1072" s="23"/>
      <c r="D1072" s="36"/>
      <c r="E1072" s="23"/>
      <c r="F1072" s="23"/>
      <c r="G1072" s="40"/>
      <c r="H1072" s="23"/>
      <c r="I1072" s="23"/>
      <c r="J1072" s="40"/>
      <c r="K1072" s="36"/>
      <c r="L1072" s="36"/>
      <c r="M1072" s="40"/>
      <c r="N1072" s="23"/>
      <c r="O1072" s="36"/>
      <c r="P1072" s="40"/>
      <c r="Q1072" s="36"/>
      <c r="R1072" s="36"/>
      <c r="S1072" s="40"/>
      <c r="T1072" s="23"/>
      <c r="U1072" s="23"/>
      <c r="V1072" s="40"/>
      <c r="W1072" s="23"/>
      <c r="X1072" s="23"/>
      <c r="Y1072" s="40"/>
      <c r="Z1072" s="23"/>
      <c r="AA1072" s="23"/>
      <c r="AB1072" s="40"/>
      <c r="AC1072" s="42"/>
      <c r="AD1072" s="42"/>
      <c r="AE1072" s="40"/>
      <c r="AF1072" s="42"/>
      <c r="AG1072" s="42"/>
      <c r="AH1072" s="23"/>
      <c r="AI1072" s="42"/>
      <c r="AJ1072" s="42"/>
      <c r="AK1072" s="40"/>
      <c r="AL1072" s="84"/>
      <c r="AM1072" s="84"/>
      <c r="AN1072" s="40"/>
      <c r="AO1072" s="23"/>
    </row>
    <row r="1073" spans="1:41" ht="15.75" x14ac:dyDescent="0.25">
      <c r="A1073" s="44"/>
      <c r="B1073" s="23"/>
      <c r="C1073" s="23"/>
      <c r="D1073" s="36"/>
      <c r="E1073" s="23"/>
      <c r="F1073" s="23"/>
      <c r="G1073" s="40"/>
      <c r="H1073" s="23"/>
      <c r="I1073" s="23"/>
      <c r="J1073" s="40"/>
      <c r="K1073" s="36"/>
      <c r="L1073" s="36"/>
      <c r="M1073" s="40"/>
      <c r="N1073" s="23"/>
      <c r="O1073" s="36"/>
      <c r="P1073" s="40"/>
      <c r="Q1073" s="36"/>
      <c r="R1073" s="36"/>
      <c r="S1073" s="40"/>
      <c r="T1073" s="23"/>
      <c r="U1073" s="23"/>
      <c r="V1073" s="40"/>
      <c r="W1073" s="23"/>
      <c r="X1073" s="23"/>
      <c r="Y1073" s="40"/>
      <c r="Z1073" s="23"/>
      <c r="AA1073" s="23"/>
      <c r="AB1073" s="40"/>
      <c r="AC1073" s="42"/>
      <c r="AD1073" s="42"/>
      <c r="AE1073" s="40"/>
      <c r="AF1073" s="42"/>
      <c r="AG1073" s="42"/>
      <c r="AH1073" s="23"/>
      <c r="AI1073" s="42"/>
      <c r="AJ1073" s="42"/>
      <c r="AK1073" s="40"/>
      <c r="AL1073" s="84"/>
      <c r="AM1073" s="84"/>
      <c r="AN1073" s="40"/>
      <c r="AO1073" s="23"/>
    </row>
    <row r="1074" spans="1:41" ht="15.75" x14ac:dyDescent="0.25">
      <c r="A1074" s="44"/>
      <c r="B1074" s="23"/>
      <c r="C1074" s="23"/>
      <c r="D1074" s="36"/>
      <c r="E1074" s="23"/>
      <c r="F1074" s="23"/>
      <c r="G1074" s="40"/>
      <c r="H1074" s="23"/>
      <c r="I1074" s="23"/>
      <c r="J1074" s="40"/>
      <c r="K1074" s="36"/>
      <c r="L1074" s="36"/>
      <c r="M1074" s="40"/>
      <c r="N1074" s="23"/>
      <c r="O1074" s="36"/>
      <c r="P1074" s="40"/>
      <c r="Q1074" s="36"/>
      <c r="R1074" s="36"/>
      <c r="S1074" s="40"/>
      <c r="T1074" s="23"/>
      <c r="U1074" s="23"/>
      <c r="V1074" s="40"/>
      <c r="W1074" s="23"/>
      <c r="X1074" s="23"/>
      <c r="Y1074" s="40"/>
      <c r="Z1074" s="23"/>
      <c r="AA1074" s="23"/>
      <c r="AB1074" s="40"/>
      <c r="AC1074" s="42"/>
      <c r="AD1074" s="42"/>
      <c r="AE1074" s="40"/>
      <c r="AF1074" s="42"/>
      <c r="AG1074" s="42"/>
      <c r="AH1074" s="23"/>
      <c r="AI1074" s="42"/>
      <c r="AJ1074" s="42"/>
      <c r="AK1074" s="40"/>
      <c r="AL1074" s="84"/>
      <c r="AM1074" s="84"/>
      <c r="AN1074" s="40"/>
      <c r="AO1074" s="23"/>
    </row>
    <row r="1075" spans="1:41" ht="15.75" x14ac:dyDescent="0.25">
      <c r="A1075" s="44"/>
      <c r="B1075" s="23"/>
      <c r="C1075" s="23"/>
      <c r="D1075" s="36"/>
      <c r="E1075" s="23"/>
      <c r="F1075" s="23"/>
      <c r="G1075" s="40"/>
      <c r="H1075" s="23"/>
      <c r="I1075" s="23"/>
      <c r="J1075" s="40"/>
      <c r="K1075" s="36"/>
      <c r="L1075" s="36"/>
      <c r="M1075" s="40"/>
      <c r="N1075" s="23"/>
      <c r="O1075" s="36"/>
      <c r="P1075" s="40"/>
      <c r="Q1075" s="36"/>
      <c r="R1075" s="36"/>
      <c r="S1075" s="40"/>
      <c r="T1075" s="23"/>
      <c r="U1075" s="23"/>
      <c r="V1075" s="40"/>
      <c r="W1075" s="23"/>
      <c r="X1075" s="23"/>
      <c r="Y1075" s="40"/>
      <c r="Z1075" s="23"/>
      <c r="AA1075" s="23"/>
      <c r="AB1075" s="40"/>
      <c r="AC1075" s="42"/>
      <c r="AD1075" s="42"/>
      <c r="AE1075" s="40"/>
      <c r="AF1075" s="42"/>
      <c r="AG1075" s="42"/>
      <c r="AH1075" s="23"/>
      <c r="AI1075" s="42"/>
      <c r="AJ1075" s="42"/>
      <c r="AK1075" s="40"/>
      <c r="AL1075" s="84"/>
      <c r="AM1075" s="84"/>
      <c r="AN1075" s="40"/>
      <c r="AO1075" s="23"/>
    </row>
    <row r="1076" spans="1:41" ht="15.75" x14ac:dyDescent="0.25">
      <c r="A1076" s="44"/>
      <c r="B1076" s="23"/>
      <c r="C1076" s="23"/>
      <c r="D1076" s="36"/>
      <c r="E1076" s="23"/>
      <c r="F1076" s="23"/>
      <c r="G1076" s="40"/>
      <c r="H1076" s="23"/>
      <c r="I1076" s="23"/>
      <c r="J1076" s="40"/>
      <c r="K1076" s="36"/>
      <c r="L1076" s="36"/>
      <c r="M1076" s="40"/>
      <c r="N1076" s="23"/>
      <c r="O1076" s="36"/>
      <c r="P1076" s="40"/>
      <c r="Q1076" s="36"/>
      <c r="R1076" s="36"/>
      <c r="S1076" s="40"/>
      <c r="T1076" s="23"/>
      <c r="U1076" s="23"/>
      <c r="V1076" s="40"/>
      <c r="W1076" s="23"/>
      <c r="X1076" s="23"/>
      <c r="Y1076" s="40"/>
      <c r="Z1076" s="23"/>
      <c r="AA1076" s="23"/>
      <c r="AB1076" s="40"/>
      <c r="AC1076" s="42"/>
      <c r="AD1076" s="42"/>
      <c r="AE1076" s="40"/>
      <c r="AF1076" s="42"/>
      <c r="AG1076" s="42"/>
      <c r="AH1076" s="23"/>
      <c r="AI1076" s="42"/>
      <c r="AJ1076" s="42"/>
      <c r="AK1076" s="40"/>
      <c r="AL1076" s="84"/>
      <c r="AM1076" s="84"/>
      <c r="AN1076" s="40"/>
      <c r="AO1076" s="23"/>
    </row>
    <row r="1077" spans="1:41" ht="15.75" x14ac:dyDescent="0.25">
      <c r="A1077" s="44"/>
      <c r="B1077" s="23"/>
      <c r="C1077" s="23"/>
      <c r="D1077" s="36"/>
      <c r="E1077" s="23"/>
      <c r="F1077" s="23"/>
      <c r="G1077" s="40"/>
      <c r="H1077" s="23"/>
      <c r="I1077" s="23"/>
      <c r="J1077" s="40"/>
      <c r="K1077" s="36"/>
      <c r="L1077" s="36"/>
      <c r="M1077" s="40"/>
      <c r="N1077" s="23"/>
      <c r="O1077" s="36"/>
      <c r="P1077" s="40"/>
      <c r="Q1077" s="36"/>
      <c r="R1077" s="36"/>
      <c r="S1077" s="40"/>
      <c r="T1077" s="23"/>
      <c r="U1077" s="23"/>
      <c r="V1077" s="40"/>
      <c r="W1077" s="23"/>
      <c r="X1077" s="23"/>
      <c r="Y1077" s="40"/>
      <c r="Z1077" s="23"/>
      <c r="AA1077" s="23"/>
      <c r="AB1077" s="40"/>
      <c r="AC1077" s="42"/>
      <c r="AD1077" s="42"/>
      <c r="AE1077" s="40"/>
      <c r="AF1077" s="42"/>
      <c r="AG1077" s="42"/>
      <c r="AH1077" s="23"/>
      <c r="AI1077" s="42"/>
      <c r="AJ1077" s="42"/>
      <c r="AK1077" s="40"/>
      <c r="AL1077" s="84"/>
      <c r="AM1077" s="84"/>
      <c r="AN1077" s="40"/>
      <c r="AO1077" s="23"/>
    </row>
    <row r="1078" spans="1:41" ht="15.75" x14ac:dyDescent="0.25">
      <c r="A1078" s="44"/>
      <c r="B1078" s="23"/>
      <c r="C1078" s="23"/>
      <c r="D1078" s="36"/>
      <c r="E1078" s="23"/>
      <c r="F1078" s="23"/>
      <c r="G1078" s="40"/>
      <c r="H1078" s="23"/>
      <c r="I1078" s="23"/>
      <c r="J1078" s="40"/>
      <c r="K1078" s="36"/>
      <c r="L1078" s="36"/>
      <c r="M1078" s="40"/>
      <c r="N1078" s="23"/>
      <c r="O1078" s="36"/>
      <c r="P1078" s="40"/>
      <c r="Q1078" s="36"/>
      <c r="R1078" s="36"/>
      <c r="S1078" s="40"/>
      <c r="T1078" s="23"/>
      <c r="U1078" s="23"/>
      <c r="V1078" s="40"/>
      <c r="W1078" s="23"/>
      <c r="X1078" s="23"/>
      <c r="Y1078" s="40"/>
      <c r="Z1078" s="23"/>
      <c r="AA1078" s="23"/>
      <c r="AB1078" s="40"/>
      <c r="AC1078" s="42"/>
      <c r="AD1078" s="42"/>
      <c r="AE1078" s="40"/>
      <c r="AF1078" s="42"/>
      <c r="AG1078" s="42"/>
      <c r="AH1078" s="23"/>
      <c r="AI1078" s="42"/>
      <c r="AJ1078" s="42"/>
      <c r="AK1078" s="40"/>
      <c r="AL1078" s="84"/>
      <c r="AM1078" s="84"/>
      <c r="AN1078" s="40"/>
      <c r="AO1078" s="23"/>
    </row>
    <row r="1079" spans="1:41" ht="15.75" x14ac:dyDescent="0.25">
      <c r="A1079" s="44"/>
      <c r="B1079" s="23"/>
      <c r="C1079" s="23"/>
      <c r="D1079" s="36"/>
      <c r="E1079" s="23"/>
      <c r="F1079" s="23"/>
      <c r="G1079" s="40"/>
      <c r="H1079" s="23"/>
      <c r="I1079" s="23"/>
      <c r="J1079" s="40"/>
      <c r="K1079" s="36"/>
      <c r="L1079" s="36"/>
      <c r="M1079" s="40"/>
      <c r="N1079" s="23"/>
      <c r="O1079" s="36"/>
      <c r="P1079" s="40"/>
      <c r="Q1079" s="36"/>
      <c r="R1079" s="36"/>
      <c r="S1079" s="40"/>
      <c r="T1079" s="23"/>
      <c r="U1079" s="23"/>
      <c r="V1079" s="40"/>
      <c r="W1079" s="23"/>
      <c r="X1079" s="23"/>
      <c r="Y1079" s="40"/>
      <c r="Z1079" s="23"/>
      <c r="AA1079" s="23"/>
      <c r="AB1079" s="40"/>
      <c r="AC1079" s="42"/>
      <c r="AD1079" s="42"/>
      <c r="AE1079" s="40"/>
      <c r="AF1079" s="42"/>
      <c r="AG1079" s="42"/>
      <c r="AH1079" s="23"/>
      <c r="AI1079" s="42"/>
      <c r="AJ1079" s="42"/>
      <c r="AK1079" s="40"/>
      <c r="AL1079" s="84"/>
      <c r="AM1079" s="84"/>
      <c r="AN1079" s="40"/>
      <c r="AO1079" s="23"/>
    </row>
    <row r="1080" spans="1:41" ht="15.75" x14ac:dyDescent="0.25">
      <c r="A1080" s="44"/>
      <c r="B1080" s="23"/>
      <c r="C1080" s="23"/>
      <c r="D1080" s="36"/>
      <c r="E1080" s="23"/>
      <c r="F1080" s="23"/>
      <c r="G1080" s="40"/>
      <c r="H1080" s="23"/>
      <c r="I1080" s="23"/>
      <c r="J1080" s="40"/>
      <c r="K1080" s="36"/>
      <c r="L1080" s="36"/>
      <c r="M1080" s="40"/>
      <c r="N1080" s="23"/>
      <c r="O1080" s="36"/>
      <c r="P1080" s="40"/>
      <c r="Q1080" s="36"/>
      <c r="R1080" s="36"/>
      <c r="S1080" s="40"/>
      <c r="T1080" s="23"/>
      <c r="U1080" s="23"/>
      <c r="V1080" s="40"/>
      <c r="W1080" s="23"/>
      <c r="X1080" s="23"/>
      <c r="Y1080" s="40"/>
      <c r="Z1080" s="23"/>
      <c r="AA1080" s="23"/>
      <c r="AB1080" s="40"/>
      <c r="AC1080" s="42"/>
      <c r="AD1080" s="42"/>
      <c r="AE1080" s="40"/>
      <c r="AF1080" s="42"/>
      <c r="AG1080" s="42"/>
      <c r="AH1080" s="23"/>
      <c r="AI1080" s="42"/>
      <c r="AJ1080" s="42"/>
      <c r="AK1080" s="40"/>
      <c r="AL1080" s="84"/>
      <c r="AM1080" s="84"/>
      <c r="AN1080" s="40"/>
      <c r="AO1080" s="23"/>
    </row>
    <row r="1081" spans="1:41" ht="15.75" x14ac:dyDescent="0.25">
      <c r="A1081" s="44"/>
      <c r="B1081" s="23"/>
      <c r="C1081" s="23"/>
      <c r="D1081" s="36"/>
      <c r="E1081" s="23"/>
      <c r="F1081" s="23"/>
      <c r="G1081" s="40"/>
      <c r="H1081" s="23"/>
      <c r="I1081" s="23"/>
      <c r="J1081" s="40"/>
      <c r="K1081" s="36"/>
      <c r="L1081" s="36"/>
      <c r="M1081" s="40"/>
      <c r="N1081" s="23"/>
      <c r="O1081" s="36"/>
      <c r="P1081" s="40"/>
      <c r="Q1081" s="36"/>
      <c r="R1081" s="36"/>
      <c r="S1081" s="40"/>
      <c r="T1081" s="23"/>
      <c r="U1081" s="23"/>
      <c r="V1081" s="40"/>
      <c r="W1081" s="23"/>
      <c r="X1081" s="23"/>
      <c r="Y1081" s="40"/>
      <c r="Z1081" s="23"/>
      <c r="AA1081" s="23"/>
      <c r="AB1081" s="40"/>
      <c r="AC1081" s="42"/>
      <c r="AD1081" s="42"/>
      <c r="AE1081" s="40"/>
      <c r="AF1081" s="42"/>
      <c r="AG1081" s="42"/>
      <c r="AH1081" s="23"/>
      <c r="AI1081" s="42"/>
      <c r="AJ1081" s="42"/>
      <c r="AK1081" s="40"/>
      <c r="AL1081" s="84"/>
      <c r="AM1081" s="84"/>
      <c r="AN1081" s="40"/>
      <c r="AO1081" s="23"/>
    </row>
    <row r="1082" spans="1:41" ht="15.75" x14ac:dyDescent="0.25">
      <c r="A1082" s="44"/>
      <c r="B1082" s="23"/>
      <c r="C1082" s="23"/>
      <c r="D1082" s="36"/>
      <c r="E1082" s="23"/>
      <c r="F1082" s="23"/>
      <c r="G1082" s="40"/>
      <c r="H1082" s="23"/>
      <c r="I1082" s="23"/>
      <c r="J1082" s="40"/>
      <c r="K1082" s="36"/>
      <c r="L1082" s="36"/>
      <c r="M1082" s="40"/>
      <c r="N1082" s="23"/>
      <c r="O1082" s="36"/>
      <c r="P1082" s="40"/>
      <c r="Q1082" s="36"/>
      <c r="R1082" s="36"/>
      <c r="S1082" s="40"/>
      <c r="T1082" s="23"/>
      <c r="U1082" s="23"/>
      <c r="V1082" s="40"/>
      <c r="W1082" s="23"/>
      <c r="X1082" s="23"/>
      <c r="Y1082" s="40"/>
      <c r="Z1082" s="23"/>
      <c r="AA1082" s="23"/>
      <c r="AB1082" s="40"/>
      <c r="AC1082" s="42"/>
      <c r="AD1082" s="42"/>
      <c r="AE1082" s="40"/>
      <c r="AF1082" s="42"/>
      <c r="AG1082" s="42"/>
      <c r="AH1082" s="23"/>
      <c r="AI1082" s="42"/>
      <c r="AJ1082" s="42"/>
      <c r="AK1082" s="40"/>
      <c r="AL1082" s="84"/>
      <c r="AM1082" s="84"/>
      <c r="AN1082" s="40"/>
      <c r="AO1082" s="23"/>
    </row>
    <row r="1083" spans="1:41" ht="15.75" x14ac:dyDescent="0.25">
      <c r="A1083" s="44"/>
      <c r="B1083" s="23"/>
      <c r="C1083" s="23"/>
      <c r="D1083" s="36"/>
      <c r="E1083" s="23"/>
      <c r="F1083" s="23"/>
      <c r="G1083" s="40"/>
      <c r="H1083" s="23"/>
      <c r="I1083" s="23"/>
      <c r="J1083" s="40"/>
      <c r="K1083" s="36"/>
      <c r="L1083" s="36"/>
      <c r="M1083" s="40"/>
      <c r="N1083" s="23"/>
      <c r="O1083" s="36"/>
      <c r="P1083" s="40"/>
      <c r="Q1083" s="36"/>
      <c r="R1083" s="36"/>
      <c r="S1083" s="40"/>
      <c r="T1083" s="23"/>
      <c r="U1083" s="23"/>
      <c r="V1083" s="40"/>
      <c r="W1083" s="23"/>
      <c r="X1083" s="23"/>
      <c r="Y1083" s="40"/>
      <c r="Z1083" s="23"/>
      <c r="AA1083" s="23"/>
      <c r="AB1083" s="40"/>
      <c r="AC1083" s="42"/>
      <c r="AD1083" s="42"/>
      <c r="AE1083" s="40"/>
      <c r="AF1083" s="42"/>
      <c r="AG1083" s="42"/>
      <c r="AH1083" s="23"/>
      <c r="AI1083" s="42"/>
      <c r="AJ1083" s="42"/>
      <c r="AK1083" s="40"/>
      <c r="AL1083" s="84"/>
      <c r="AM1083" s="84"/>
      <c r="AN1083" s="40"/>
      <c r="AO1083" s="23"/>
    </row>
    <row r="1084" spans="1:41" ht="15.75" x14ac:dyDescent="0.25">
      <c r="A1084" s="44"/>
      <c r="B1084" s="23"/>
      <c r="C1084" s="23"/>
      <c r="D1084" s="36"/>
      <c r="E1084" s="23"/>
      <c r="F1084" s="23"/>
      <c r="G1084" s="40"/>
      <c r="H1084" s="23"/>
      <c r="I1084" s="23"/>
      <c r="J1084" s="40"/>
      <c r="K1084" s="36"/>
      <c r="L1084" s="36"/>
      <c r="M1084" s="40"/>
      <c r="N1084" s="23"/>
      <c r="O1084" s="36"/>
      <c r="P1084" s="40"/>
      <c r="Q1084" s="36"/>
      <c r="R1084" s="36"/>
      <c r="S1084" s="40"/>
      <c r="T1084" s="23"/>
      <c r="U1084" s="23"/>
      <c r="V1084" s="40"/>
      <c r="W1084" s="23"/>
      <c r="X1084" s="23"/>
      <c r="Y1084" s="40"/>
      <c r="Z1084" s="23"/>
      <c r="AA1084" s="23"/>
      <c r="AB1084" s="40"/>
      <c r="AC1084" s="42"/>
      <c r="AD1084" s="42"/>
      <c r="AE1084" s="40"/>
      <c r="AF1084" s="42"/>
      <c r="AG1084" s="42"/>
      <c r="AH1084" s="23"/>
      <c r="AI1084" s="42"/>
      <c r="AJ1084" s="42"/>
      <c r="AK1084" s="40"/>
      <c r="AL1084" s="84"/>
      <c r="AM1084" s="84"/>
      <c r="AN1084" s="40"/>
      <c r="AO1084" s="23"/>
    </row>
    <row r="1085" spans="1:41" ht="15.75" x14ac:dyDescent="0.25">
      <c r="A1085" s="44"/>
      <c r="B1085" s="23"/>
      <c r="C1085" s="23"/>
      <c r="D1085" s="36"/>
      <c r="E1085" s="23"/>
      <c r="F1085" s="23"/>
      <c r="G1085" s="40"/>
      <c r="H1085" s="23"/>
      <c r="I1085" s="23"/>
      <c r="J1085" s="40"/>
      <c r="K1085" s="36"/>
      <c r="L1085" s="36"/>
      <c r="M1085" s="40"/>
      <c r="N1085" s="23"/>
      <c r="O1085" s="36"/>
      <c r="P1085" s="40"/>
      <c r="Q1085" s="36"/>
      <c r="R1085" s="36"/>
      <c r="S1085" s="40"/>
      <c r="T1085" s="23"/>
      <c r="U1085" s="23"/>
      <c r="V1085" s="40"/>
      <c r="W1085" s="23"/>
      <c r="X1085" s="23"/>
      <c r="Y1085" s="40"/>
      <c r="Z1085" s="23"/>
      <c r="AA1085" s="23"/>
      <c r="AB1085" s="40"/>
      <c r="AC1085" s="42"/>
      <c r="AD1085" s="42"/>
      <c r="AE1085" s="40"/>
      <c r="AF1085" s="42"/>
      <c r="AG1085" s="42"/>
      <c r="AH1085" s="23"/>
      <c r="AI1085" s="42"/>
      <c r="AJ1085" s="42"/>
      <c r="AK1085" s="40"/>
      <c r="AL1085" s="84"/>
      <c r="AM1085" s="84"/>
      <c r="AN1085" s="40"/>
      <c r="AO1085" s="23"/>
    </row>
    <row r="1086" spans="1:41" ht="15.75" x14ac:dyDescent="0.25">
      <c r="A1086" s="44"/>
      <c r="B1086" s="23"/>
      <c r="C1086" s="23"/>
      <c r="D1086" s="36"/>
      <c r="E1086" s="23"/>
      <c r="F1086" s="23"/>
      <c r="G1086" s="40"/>
      <c r="H1086" s="23"/>
      <c r="I1086" s="23"/>
      <c r="J1086" s="40"/>
      <c r="K1086" s="36"/>
      <c r="L1086" s="36"/>
      <c r="M1086" s="40"/>
      <c r="N1086" s="23"/>
      <c r="O1086" s="36"/>
      <c r="P1086" s="40"/>
      <c r="Q1086" s="36"/>
      <c r="R1086" s="36"/>
      <c r="S1086" s="40"/>
      <c r="T1086" s="23"/>
      <c r="U1086" s="23"/>
      <c r="V1086" s="40"/>
      <c r="W1086" s="23"/>
      <c r="X1086" s="23"/>
      <c r="Y1086" s="40"/>
      <c r="Z1086" s="23"/>
      <c r="AA1086" s="23"/>
      <c r="AB1086" s="40"/>
      <c r="AC1086" s="42"/>
      <c r="AD1086" s="42"/>
      <c r="AE1086" s="40"/>
      <c r="AF1086" s="42"/>
      <c r="AG1086" s="42"/>
      <c r="AH1086" s="23"/>
      <c r="AI1086" s="42"/>
      <c r="AJ1086" s="42"/>
      <c r="AK1086" s="40"/>
      <c r="AL1086" s="84"/>
      <c r="AM1086" s="84"/>
      <c r="AN1086" s="40"/>
      <c r="AO1086" s="23"/>
    </row>
    <row r="1087" spans="1:41" ht="15.75" x14ac:dyDescent="0.25">
      <c r="A1087" s="44"/>
      <c r="B1087" s="23"/>
      <c r="C1087" s="23"/>
      <c r="D1087" s="36"/>
      <c r="E1087" s="23"/>
      <c r="F1087" s="23"/>
      <c r="G1087" s="40"/>
      <c r="H1087" s="23"/>
      <c r="I1087" s="23"/>
      <c r="J1087" s="40"/>
      <c r="K1087" s="36"/>
      <c r="L1087" s="36"/>
      <c r="M1087" s="40"/>
      <c r="N1087" s="23"/>
      <c r="O1087" s="36"/>
      <c r="P1087" s="40"/>
      <c r="Q1087" s="36"/>
      <c r="R1087" s="36"/>
      <c r="S1087" s="40"/>
      <c r="T1087" s="23"/>
      <c r="U1087" s="23"/>
      <c r="V1087" s="40"/>
      <c r="W1087" s="23"/>
      <c r="X1087" s="23"/>
      <c r="Y1087" s="40"/>
      <c r="Z1087" s="23"/>
      <c r="AA1087" s="23"/>
      <c r="AB1087" s="40"/>
      <c r="AC1087" s="42"/>
      <c r="AD1087" s="42"/>
      <c r="AE1087" s="40"/>
      <c r="AF1087" s="42"/>
      <c r="AG1087" s="42"/>
      <c r="AH1087" s="23"/>
      <c r="AI1087" s="42"/>
      <c r="AJ1087" s="42"/>
      <c r="AK1087" s="40"/>
      <c r="AL1087" s="84"/>
      <c r="AM1087" s="84"/>
      <c r="AN1087" s="40"/>
      <c r="AO1087" s="23"/>
    </row>
    <row r="1088" spans="1:41" ht="15.75" x14ac:dyDescent="0.25">
      <c r="A1088" s="44"/>
      <c r="B1088" s="23"/>
      <c r="C1088" s="23"/>
      <c r="D1088" s="36"/>
      <c r="E1088" s="23"/>
      <c r="F1088" s="23"/>
      <c r="G1088" s="40"/>
      <c r="H1088" s="23"/>
      <c r="I1088" s="23"/>
      <c r="J1088" s="40"/>
      <c r="K1088" s="36"/>
      <c r="L1088" s="36"/>
      <c r="M1088" s="40"/>
      <c r="N1088" s="23"/>
      <c r="O1088" s="36"/>
      <c r="P1088" s="40"/>
      <c r="Q1088" s="36"/>
      <c r="R1088" s="36"/>
      <c r="S1088" s="40"/>
      <c r="T1088" s="23"/>
      <c r="U1088" s="23"/>
      <c r="V1088" s="40"/>
      <c r="W1088" s="23"/>
      <c r="X1088" s="23"/>
      <c r="Y1088" s="40"/>
      <c r="Z1088" s="23"/>
      <c r="AA1088" s="23"/>
      <c r="AB1088" s="40"/>
      <c r="AC1088" s="42"/>
      <c r="AD1088" s="42"/>
      <c r="AE1088" s="40"/>
      <c r="AF1088" s="42"/>
      <c r="AG1088" s="42"/>
      <c r="AH1088" s="23"/>
      <c r="AI1088" s="42"/>
      <c r="AJ1088" s="42"/>
      <c r="AK1088" s="40"/>
      <c r="AL1088" s="84"/>
      <c r="AM1088" s="84"/>
      <c r="AN1088" s="40"/>
      <c r="AO1088" s="23"/>
    </row>
    <row r="1089" spans="1:41" ht="15.75" x14ac:dyDescent="0.25">
      <c r="A1089" s="44"/>
      <c r="B1089" s="23"/>
      <c r="C1089" s="23"/>
      <c r="D1089" s="36"/>
      <c r="E1089" s="23"/>
      <c r="F1089" s="23"/>
      <c r="G1089" s="40"/>
      <c r="H1089" s="23"/>
      <c r="I1089" s="23"/>
      <c r="J1089" s="40"/>
      <c r="K1089" s="36"/>
      <c r="L1089" s="36"/>
      <c r="M1089" s="40"/>
      <c r="N1089" s="23"/>
      <c r="O1089" s="36"/>
      <c r="P1089" s="40"/>
      <c r="Q1089" s="36"/>
      <c r="R1089" s="36"/>
      <c r="S1089" s="40"/>
      <c r="T1089" s="23"/>
      <c r="U1089" s="23"/>
      <c r="V1089" s="40"/>
      <c r="W1089" s="23"/>
      <c r="X1089" s="23"/>
      <c r="Y1089" s="40"/>
      <c r="Z1089" s="23"/>
      <c r="AA1089" s="23"/>
      <c r="AB1089" s="40"/>
      <c r="AC1089" s="42"/>
      <c r="AD1089" s="42"/>
      <c r="AE1089" s="40"/>
      <c r="AF1089" s="42"/>
      <c r="AG1089" s="42"/>
      <c r="AH1089" s="23"/>
      <c r="AI1089" s="42"/>
      <c r="AJ1089" s="42"/>
      <c r="AK1089" s="40"/>
      <c r="AL1089" s="84"/>
      <c r="AM1089" s="84"/>
      <c r="AN1089" s="40"/>
      <c r="AO1089" s="23"/>
    </row>
    <row r="1090" spans="1:41" ht="15.75" x14ac:dyDescent="0.25">
      <c r="A1090" s="44"/>
      <c r="B1090" s="23"/>
      <c r="C1090" s="23"/>
      <c r="D1090" s="36"/>
      <c r="E1090" s="23"/>
      <c r="F1090" s="23"/>
      <c r="G1090" s="40"/>
      <c r="H1090" s="23"/>
      <c r="I1090" s="23"/>
      <c r="J1090" s="40"/>
      <c r="K1090" s="36"/>
      <c r="L1090" s="36"/>
      <c r="M1090" s="40"/>
      <c r="N1090" s="23"/>
      <c r="O1090" s="36"/>
      <c r="P1090" s="40"/>
      <c r="Q1090" s="36"/>
      <c r="R1090" s="36"/>
      <c r="S1090" s="40"/>
      <c r="T1090" s="23"/>
      <c r="U1090" s="23"/>
      <c r="V1090" s="40"/>
      <c r="W1090" s="23"/>
      <c r="X1090" s="23"/>
      <c r="Y1090" s="40"/>
      <c r="Z1090" s="23"/>
      <c r="AA1090" s="23"/>
      <c r="AB1090" s="40"/>
      <c r="AC1090" s="42"/>
      <c r="AD1090" s="42"/>
      <c r="AE1090" s="40"/>
      <c r="AF1090" s="42"/>
      <c r="AG1090" s="42"/>
      <c r="AH1090" s="23"/>
      <c r="AI1090" s="42"/>
      <c r="AJ1090" s="42"/>
      <c r="AK1090" s="40"/>
      <c r="AL1090" s="84"/>
      <c r="AM1090" s="84"/>
      <c r="AN1090" s="40"/>
      <c r="AO1090" s="23"/>
    </row>
    <row r="1091" spans="1:41" ht="15.75" x14ac:dyDescent="0.25">
      <c r="A1091" s="44"/>
      <c r="B1091" s="23"/>
      <c r="C1091" s="23"/>
      <c r="D1091" s="36"/>
      <c r="E1091" s="23"/>
      <c r="F1091" s="23"/>
      <c r="G1091" s="40"/>
      <c r="H1091" s="23"/>
      <c r="I1091" s="23"/>
      <c r="J1091" s="40"/>
      <c r="K1091" s="36"/>
      <c r="L1091" s="36"/>
      <c r="M1091" s="40"/>
      <c r="N1091" s="23"/>
      <c r="O1091" s="36"/>
      <c r="P1091" s="40"/>
      <c r="Q1091" s="36"/>
      <c r="R1091" s="36"/>
      <c r="S1091" s="40"/>
      <c r="T1091" s="23"/>
      <c r="U1091" s="23"/>
      <c r="V1091" s="40"/>
      <c r="W1091" s="23"/>
      <c r="X1091" s="23"/>
      <c r="Y1091" s="40"/>
      <c r="Z1091" s="23"/>
      <c r="AA1091" s="23"/>
      <c r="AB1091" s="40"/>
      <c r="AC1091" s="42"/>
      <c r="AD1091" s="42"/>
      <c r="AE1091" s="40"/>
      <c r="AF1091" s="42"/>
      <c r="AG1091" s="42"/>
      <c r="AH1091" s="23"/>
      <c r="AI1091" s="42"/>
      <c r="AJ1091" s="42"/>
      <c r="AK1091" s="40"/>
      <c r="AL1091" s="84"/>
      <c r="AM1091" s="84"/>
      <c r="AN1091" s="40"/>
      <c r="AO1091" s="23"/>
    </row>
    <row r="1092" spans="1:41" ht="15.75" x14ac:dyDescent="0.25">
      <c r="A1092" s="44"/>
      <c r="B1092" s="23"/>
      <c r="C1092" s="23"/>
      <c r="D1092" s="36"/>
      <c r="E1092" s="23"/>
      <c r="F1092" s="23"/>
      <c r="G1092" s="40"/>
      <c r="H1092" s="23"/>
      <c r="I1092" s="23"/>
      <c r="J1092" s="40"/>
      <c r="K1092" s="36"/>
      <c r="L1092" s="36"/>
      <c r="M1092" s="40"/>
      <c r="N1092" s="23"/>
      <c r="O1092" s="36"/>
      <c r="P1092" s="40"/>
      <c r="Q1092" s="36"/>
      <c r="R1092" s="36"/>
      <c r="S1092" s="40"/>
      <c r="T1092" s="23"/>
      <c r="U1092" s="23"/>
      <c r="V1092" s="40"/>
      <c r="W1092" s="23"/>
      <c r="X1092" s="23"/>
      <c r="Y1092" s="40"/>
      <c r="Z1092" s="23"/>
      <c r="AA1092" s="23"/>
      <c r="AB1092" s="40"/>
      <c r="AC1092" s="42"/>
      <c r="AD1092" s="42"/>
      <c r="AE1092" s="40"/>
      <c r="AF1092" s="42"/>
      <c r="AG1092" s="42"/>
      <c r="AH1092" s="23"/>
      <c r="AI1092" s="42"/>
      <c r="AJ1092" s="42"/>
      <c r="AK1092" s="40"/>
      <c r="AL1092" s="84"/>
      <c r="AM1092" s="84"/>
      <c r="AN1092" s="40"/>
      <c r="AO1092" s="23"/>
    </row>
    <row r="1093" spans="1:41" ht="15.75" x14ac:dyDescent="0.25">
      <c r="A1093" s="44"/>
      <c r="B1093" s="23"/>
      <c r="C1093" s="23"/>
      <c r="D1093" s="36"/>
      <c r="E1093" s="23"/>
      <c r="F1093" s="23"/>
      <c r="G1093" s="40"/>
      <c r="H1093" s="23"/>
      <c r="I1093" s="23"/>
      <c r="J1093" s="40"/>
      <c r="K1093" s="36"/>
      <c r="L1093" s="36"/>
      <c r="M1093" s="40"/>
      <c r="N1093" s="23"/>
      <c r="O1093" s="36"/>
      <c r="P1093" s="40"/>
      <c r="Q1093" s="36"/>
      <c r="R1093" s="36"/>
      <c r="S1093" s="40"/>
      <c r="T1093" s="23"/>
      <c r="U1093" s="23"/>
      <c r="V1093" s="40"/>
      <c r="W1093" s="23"/>
      <c r="X1093" s="23"/>
      <c r="Y1093" s="40"/>
      <c r="Z1093" s="23"/>
      <c r="AA1093" s="23"/>
      <c r="AB1093" s="40"/>
      <c r="AC1093" s="42"/>
      <c r="AD1093" s="42"/>
      <c r="AE1093" s="40"/>
      <c r="AF1093" s="42"/>
      <c r="AG1093" s="42"/>
      <c r="AH1093" s="23"/>
      <c r="AI1093" s="42"/>
      <c r="AJ1093" s="42"/>
      <c r="AK1093" s="40"/>
      <c r="AL1093" s="84"/>
      <c r="AM1093" s="84"/>
      <c r="AN1093" s="40"/>
      <c r="AO1093" s="23"/>
    </row>
    <row r="1094" spans="1:41" ht="15.75" x14ac:dyDescent="0.25">
      <c r="A1094" s="44"/>
      <c r="B1094" s="23"/>
      <c r="C1094" s="23"/>
      <c r="D1094" s="36"/>
      <c r="E1094" s="23"/>
      <c r="F1094" s="23"/>
      <c r="G1094" s="40"/>
      <c r="H1094" s="23"/>
      <c r="I1094" s="23"/>
      <c r="J1094" s="40"/>
      <c r="K1094" s="36"/>
      <c r="L1094" s="36"/>
      <c r="M1094" s="40"/>
      <c r="N1094" s="23"/>
      <c r="O1094" s="36"/>
      <c r="P1094" s="40"/>
      <c r="Q1094" s="36"/>
      <c r="R1094" s="36"/>
      <c r="S1094" s="40"/>
      <c r="T1094" s="23"/>
      <c r="U1094" s="23"/>
      <c r="V1094" s="40"/>
      <c r="W1094" s="23"/>
      <c r="X1094" s="23"/>
      <c r="Y1094" s="40"/>
      <c r="Z1094" s="23"/>
      <c r="AA1094" s="23"/>
      <c r="AB1094" s="40"/>
      <c r="AC1094" s="42"/>
      <c r="AD1094" s="42"/>
      <c r="AE1094" s="40"/>
      <c r="AF1094" s="42"/>
      <c r="AG1094" s="42"/>
      <c r="AH1094" s="23"/>
      <c r="AI1094" s="42"/>
      <c r="AJ1094" s="42"/>
      <c r="AK1094" s="40"/>
      <c r="AL1094" s="84"/>
      <c r="AM1094" s="84"/>
      <c r="AN1094" s="40"/>
      <c r="AO1094" s="23"/>
    </row>
    <row r="1095" spans="1:41" ht="15.75" x14ac:dyDescent="0.25">
      <c r="A1095" s="44"/>
      <c r="B1095" s="23"/>
      <c r="C1095" s="23"/>
      <c r="D1095" s="36"/>
      <c r="E1095" s="23"/>
      <c r="F1095" s="23"/>
      <c r="G1095" s="40"/>
      <c r="H1095" s="23"/>
      <c r="I1095" s="23"/>
      <c r="J1095" s="40"/>
      <c r="K1095" s="36"/>
      <c r="L1095" s="36"/>
      <c r="M1095" s="40"/>
      <c r="N1095" s="23"/>
      <c r="O1095" s="36"/>
      <c r="P1095" s="40"/>
      <c r="Q1095" s="36"/>
      <c r="R1095" s="36"/>
      <c r="S1095" s="40"/>
      <c r="T1095" s="23"/>
      <c r="U1095" s="23"/>
      <c r="V1095" s="40"/>
      <c r="W1095" s="23"/>
      <c r="X1095" s="23"/>
      <c r="Y1095" s="40"/>
      <c r="Z1095" s="23"/>
      <c r="AA1095" s="23"/>
      <c r="AB1095" s="40"/>
      <c r="AC1095" s="42"/>
      <c r="AD1095" s="42"/>
      <c r="AE1095" s="40"/>
      <c r="AF1095" s="42"/>
      <c r="AG1095" s="42"/>
      <c r="AH1095" s="23"/>
      <c r="AI1095" s="42"/>
      <c r="AJ1095" s="42"/>
      <c r="AK1095" s="40"/>
      <c r="AL1095" s="84"/>
      <c r="AM1095" s="84"/>
      <c r="AN1095" s="40"/>
      <c r="AO1095" s="23"/>
    </row>
    <row r="1096" spans="1:41" ht="15.75" x14ac:dyDescent="0.25">
      <c r="A1096" s="44"/>
      <c r="B1096" s="23"/>
      <c r="C1096" s="23"/>
      <c r="D1096" s="36"/>
      <c r="E1096" s="23"/>
      <c r="F1096" s="23"/>
      <c r="G1096" s="40"/>
      <c r="H1096" s="23"/>
      <c r="I1096" s="23"/>
      <c r="J1096" s="40"/>
      <c r="K1096" s="36"/>
      <c r="L1096" s="36"/>
      <c r="M1096" s="40"/>
      <c r="N1096" s="23"/>
      <c r="O1096" s="36"/>
      <c r="P1096" s="40"/>
      <c r="Q1096" s="36"/>
      <c r="R1096" s="36"/>
      <c r="S1096" s="40"/>
      <c r="T1096" s="23"/>
      <c r="U1096" s="23"/>
      <c r="V1096" s="40"/>
      <c r="W1096" s="23"/>
      <c r="X1096" s="23"/>
      <c r="Y1096" s="40"/>
      <c r="Z1096" s="23"/>
      <c r="AA1096" s="23"/>
      <c r="AB1096" s="40"/>
      <c r="AC1096" s="42"/>
      <c r="AD1096" s="42"/>
      <c r="AE1096" s="40"/>
      <c r="AF1096" s="42"/>
      <c r="AG1096" s="42"/>
      <c r="AH1096" s="23"/>
      <c r="AI1096" s="42"/>
      <c r="AJ1096" s="42"/>
      <c r="AK1096" s="40"/>
      <c r="AL1096" s="84"/>
      <c r="AM1096" s="84"/>
      <c r="AN1096" s="40"/>
      <c r="AO1096" s="23"/>
    </row>
    <row r="1097" spans="1:41" ht="15.75" x14ac:dyDescent="0.25">
      <c r="A1097" s="44"/>
      <c r="B1097" s="23"/>
      <c r="C1097" s="23"/>
      <c r="D1097" s="36"/>
      <c r="E1097" s="23"/>
      <c r="F1097" s="23"/>
      <c r="G1097" s="40"/>
      <c r="H1097" s="23"/>
      <c r="I1097" s="23"/>
      <c r="J1097" s="40"/>
      <c r="K1097" s="36"/>
      <c r="L1097" s="36"/>
      <c r="M1097" s="40"/>
      <c r="N1097" s="23"/>
      <c r="O1097" s="36"/>
      <c r="P1097" s="40"/>
      <c r="Q1097" s="36"/>
      <c r="R1097" s="36"/>
      <c r="S1097" s="40"/>
      <c r="T1097" s="23"/>
      <c r="U1097" s="23"/>
      <c r="V1097" s="40"/>
      <c r="W1097" s="23"/>
      <c r="X1097" s="23"/>
      <c r="Y1097" s="40"/>
      <c r="Z1097" s="23"/>
      <c r="AA1097" s="23"/>
      <c r="AB1097" s="40"/>
      <c r="AC1097" s="42"/>
      <c r="AD1097" s="42"/>
      <c r="AE1097" s="40"/>
      <c r="AF1097" s="42"/>
      <c r="AG1097" s="42"/>
      <c r="AH1097" s="23"/>
      <c r="AI1097" s="42"/>
      <c r="AJ1097" s="42"/>
      <c r="AK1097" s="40"/>
      <c r="AL1097" s="84"/>
      <c r="AM1097" s="84"/>
      <c r="AN1097" s="40"/>
      <c r="AO1097" s="23"/>
    </row>
    <row r="1098" spans="1:41" ht="15.75" x14ac:dyDescent="0.25">
      <c r="A1098" s="44"/>
      <c r="B1098" s="23"/>
      <c r="C1098" s="23"/>
      <c r="D1098" s="36"/>
      <c r="E1098" s="23"/>
      <c r="F1098" s="23"/>
      <c r="G1098" s="40"/>
      <c r="H1098" s="23"/>
      <c r="I1098" s="23"/>
      <c r="J1098" s="40"/>
      <c r="K1098" s="36"/>
      <c r="L1098" s="36"/>
      <c r="M1098" s="40"/>
      <c r="N1098" s="23"/>
      <c r="O1098" s="36"/>
      <c r="P1098" s="40"/>
      <c r="Q1098" s="36"/>
      <c r="R1098" s="36"/>
      <c r="S1098" s="40"/>
      <c r="T1098" s="23"/>
      <c r="U1098" s="23"/>
      <c r="V1098" s="40"/>
      <c r="W1098" s="23"/>
      <c r="X1098" s="23"/>
      <c r="Y1098" s="40"/>
      <c r="Z1098" s="23"/>
      <c r="AA1098" s="23"/>
      <c r="AB1098" s="40"/>
      <c r="AC1098" s="42"/>
      <c r="AD1098" s="42"/>
      <c r="AE1098" s="40"/>
      <c r="AF1098" s="42"/>
      <c r="AG1098" s="42"/>
      <c r="AH1098" s="23"/>
      <c r="AI1098" s="42"/>
      <c r="AJ1098" s="42"/>
      <c r="AK1098" s="40"/>
      <c r="AL1098" s="84"/>
      <c r="AM1098" s="84"/>
      <c r="AN1098" s="40"/>
      <c r="AO1098" s="23"/>
    </row>
    <row r="1099" spans="1:41" ht="15.75" x14ac:dyDescent="0.25">
      <c r="A1099" s="44"/>
      <c r="B1099" s="23"/>
      <c r="C1099" s="23"/>
      <c r="D1099" s="36"/>
      <c r="E1099" s="23"/>
      <c r="F1099" s="23"/>
      <c r="G1099" s="40"/>
      <c r="H1099" s="23"/>
      <c r="I1099" s="23"/>
      <c r="J1099" s="40"/>
      <c r="K1099" s="36"/>
      <c r="L1099" s="36"/>
      <c r="M1099" s="40"/>
      <c r="N1099" s="23"/>
      <c r="O1099" s="36"/>
      <c r="P1099" s="40"/>
      <c r="Q1099" s="36"/>
      <c r="R1099" s="36"/>
      <c r="S1099" s="40"/>
      <c r="T1099" s="23"/>
      <c r="U1099" s="23"/>
      <c r="V1099" s="40"/>
      <c r="W1099" s="23"/>
      <c r="X1099" s="23"/>
      <c r="Y1099" s="40"/>
      <c r="Z1099" s="23"/>
      <c r="AA1099" s="23"/>
      <c r="AB1099" s="40"/>
      <c r="AC1099" s="42"/>
      <c r="AD1099" s="42"/>
      <c r="AE1099" s="40"/>
      <c r="AF1099" s="42"/>
      <c r="AG1099" s="42"/>
      <c r="AH1099" s="23"/>
      <c r="AI1099" s="42"/>
      <c r="AJ1099" s="42"/>
      <c r="AK1099" s="40"/>
      <c r="AL1099" s="84"/>
      <c r="AM1099" s="84"/>
      <c r="AN1099" s="40"/>
      <c r="AO1099" s="23"/>
    </row>
    <row r="1100" spans="1:41" ht="15.75" x14ac:dyDescent="0.25">
      <c r="A1100" s="44"/>
      <c r="B1100" s="23"/>
      <c r="C1100" s="23"/>
      <c r="D1100" s="36"/>
      <c r="E1100" s="23"/>
      <c r="F1100" s="23"/>
      <c r="G1100" s="40"/>
      <c r="H1100" s="23"/>
      <c r="I1100" s="23"/>
      <c r="J1100" s="40"/>
      <c r="K1100" s="36"/>
      <c r="L1100" s="36"/>
      <c r="M1100" s="40"/>
      <c r="N1100" s="23"/>
      <c r="O1100" s="36"/>
      <c r="P1100" s="40"/>
      <c r="Q1100" s="36"/>
      <c r="R1100" s="36"/>
      <c r="S1100" s="40"/>
      <c r="T1100" s="23"/>
      <c r="U1100" s="23"/>
      <c r="V1100" s="40"/>
      <c r="W1100" s="23"/>
      <c r="X1100" s="23"/>
      <c r="Y1100" s="40"/>
      <c r="Z1100" s="23"/>
      <c r="AA1100" s="23"/>
      <c r="AB1100" s="40"/>
      <c r="AC1100" s="42"/>
      <c r="AD1100" s="42"/>
      <c r="AE1100" s="40"/>
      <c r="AF1100" s="42"/>
      <c r="AG1100" s="42"/>
      <c r="AH1100" s="23"/>
      <c r="AI1100" s="42"/>
      <c r="AJ1100" s="42"/>
      <c r="AK1100" s="40"/>
      <c r="AL1100" s="84"/>
      <c r="AM1100" s="84"/>
      <c r="AN1100" s="40"/>
      <c r="AO1100" s="23"/>
    </row>
    <row r="1101" spans="1:41" ht="15.75" x14ac:dyDescent="0.25">
      <c r="A1101" s="44"/>
      <c r="B1101" s="23"/>
      <c r="C1101" s="23"/>
      <c r="D1101" s="36"/>
      <c r="E1101" s="23"/>
      <c r="F1101" s="23"/>
      <c r="G1101" s="40"/>
      <c r="H1101" s="23"/>
      <c r="I1101" s="23"/>
      <c r="J1101" s="40"/>
      <c r="K1101" s="36"/>
      <c r="L1101" s="36"/>
      <c r="M1101" s="40"/>
      <c r="N1101" s="23"/>
      <c r="O1101" s="36"/>
      <c r="P1101" s="40"/>
      <c r="Q1101" s="36"/>
      <c r="R1101" s="36"/>
      <c r="S1101" s="40"/>
      <c r="T1101" s="23"/>
      <c r="U1101" s="23"/>
      <c r="V1101" s="40"/>
      <c r="W1101" s="23"/>
      <c r="X1101" s="23"/>
      <c r="Y1101" s="40"/>
      <c r="Z1101" s="23"/>
      <c r="AA1101" s="23"/>
      <c r="AB1101" s="40"/>
      <c r="AC1101" s="42"/>
      <c r="AD1101" s="42"/>
      <c r="AE1101" s="40"/>
      <c r="AF1101" s="42"/>
      <c r="AG1101" s="42"/>
      <c r="AH1101" s="23"/>
      <c r="AI1101" s="42"/>
      <c r="AJ1101" s="42"/>
      <c r="AK1101" s="40"/>
      <c r="AL1101" s="84"/>
      <c r="AM1101" s="84"/>
      <c r="AN1101" s="40"/>
      <c r="AO1101" s="23"/>
    </row>
    <row r="1102" spans="1:41" ht="15.75" x14ac:dyDescent="0.25">
      <c r="A1102" s="44"/>
      <c r="B1102" s="23"/>
      <c r="C1102" s="23"/>
      <c r="D1102" s="36"/>
      <c r="E1102" s="23"/>
      <c r="F1102" s="23"/>
      <c r="G1102" s="40"/>
      <c r="H1102" s="23"/>
      <c r="I1102" s="23"/>
      <c r="J1102" s="40"/>
      <c r="K1102" s="36"/>
      <c r="L1102" s="36"/>
      <c r="M1102" s="40"/>
      <c r="N1102" s="23"/>
      <c r="O1102" s="36"/>
      <c r="P1102" s="40"/>
      <c r="Q1102" s="36"/>
      <c r="R1102" s="36"/>
      <c r="S1102" s="40"/>
      <c r="T1102" s="23"/>
      <c r="U1102" s="23"/>
      <c r="V1102" s="40"/>
      <c r="W1102" s="23"/>
      <c r="X1102" s="23"/>
      <c r="Y1102" s="40"/>
      <c r="Z1102" s="23"/>
      <c r="AA1102" s="23"/>
      <c r="AB1102" s="40"/>
      <c r="AC1102" s="42"/>
      <c r="AD1102" s="42"/>
      <c r="AE1102" s="40"/>
      <c r="AF1102" s="42"/>
      <c r="AG1102" s="42"/>
      <c r="AH1102" s="23"/>
      <c r="AI1102" s="42"/>
      <c r="AJ1102" s="42"/>
      <c r="AK1102" s="40"/>
      <c r="AL1102" s="84"/>
      <c r="AM1102" s="84"/>
      <c r="AN1102" s="40"/>
      <c r="AO1102" s="23"/>
    </row>
    <row r="1103" spans="1:41" ht="15.75" x14ac:dyDescent="0.25">
      <c r="A1103" s="44"/>
      <c r="B1103" s="23"/>
      <c r="C1103" s="23"/>
      <c r="D1103" s="36"/>
      <c r="E1103" s="23"/>
      <c r="F1103" s="23"/>
      <c r="G1103" s="40"/>
      <c r="H1103" s="23"/>
      <c r="I1103" s="23"/>
      <c r="J1103" s="40"/>
      <c r="K1103" s="36"/>
      <c r="L1103" s="36"/>
      <c r="M1103" s="40"/>
      <c r="N1103" s="23"/>
      <c r="O1103" s="36"/>
      <c r="P1103" s="40"/>
      <c r="Q1103" s="36"/>
      <c r="R1103" s="36"/>
      <c r="S1103" s="40"/>
      <c r="T1103" s="23"/>
      <c r="U1103" s="23"/>
      <c r="V1103" s="40"/>
      <c r="W1103" s="23"/>
      <c r="X1103" s="23"/>
      <c r="Y1103" s="40"/>
      <c r="Z1103" s="23"/>
      <c r="AA1103" s="23"/>
      <c r="AB1103" s="40"/>
      <c r="AC1103" s="42"/>
      <c r="AD1103" s="42"/>
      <c r="AE1103" s="40"/>
      <c r="AF1103" s="42"/>
      <c r="AG1103" s="42"/>
      <c r="AH1103" s="23"/>
      <c r="AI1103" s="42"/>
      <c r="AJ1103" s="42"/>
      <c r="AK1103" s="40"/>
      <c r="AL1103" s="84"/>
      <c r="AM1103" s="84"/>
      <c r="AN1103" s="40"/>
      <c r="AO1103" s="23"/>
    </row>
    <row r="1104" spans="1:41" ht="15.75" x14ac:dyDescent="0.25">
      <c r="A1104" s="44"/>
      <c r="B1104" s="23"/>
      <c r="C1104" s="23"/>
      <c r="D1104" s="36"/>
      <c r="E1104" s="23"/>
      <c r="F1104" s="23"/>
      <c r="G1104" s="40"/>
      <c r="H1104" s="23"/>
      <c r="I1104" s="23"/>
      <c r="J1104" s="40"/>
      <c r="K1104" s="36"/>
      <c r="L1104" s="36"/>
      <c r="M1104" s="40"/>
      <c r="N1104" s="23"/>
      <c r="O1104" s="36"/>
      <c r="P1104" s="40"/>
      <c r="Q1104" s="36"/>
      <c r="R1104" s="36"/>
      <c r="S1104" s="40"/>
      <c r="T1104" s="23"/>
      <c r="U1104" s="23"/>
      <c r="V1104" s="40"/>
      <c r="W1104" s="23"/>
      <c r="X1104" s="23"/>
      <c r="Y1104" s="40"/>
      <c r="Z1104" s="23"/>
      <c r="AA1104" s="23"/>
      <c r="AB1104" s="40"/>
      <c r="AC1104" s="42"/>
      <c r="AD1104" s="42"/>
      <c r="AE1104" s="40"/>
      <c r="AF1104" s="42"/>
      <c r="AG1104" s="42"/>
      <c r="AH1104" s="23"/>
      <c r="AI1104" s="42"/>
      <c r="AJ1104" s="42"/>
      <c r="AK1104" s="40"/>
      <c r="AL1104" s="84"/>
      <c r="AM1104" s="84"/>
      <c r="AN1104" s="40"/>
      <c r="AO1104" s="23"/>
    </row>
    <row r="1105" spans="1:41" ht="15.75" x14ac:dyDescent="0.25">
      <c r="A1105" s="44"/>
      <c r="B1105" s="23"/>
      <c r="C1105" s="23"/>
      <c r="D1105" s="36"/>
      <c r="E1105" s="23"/>
      <c r="F1105" s="23"/>
      <c r="G1105" s="40"/>
      <c r="H1105" s="23"/>
      <c r="I1105" s="23"/>
      <c r="J1105" s="40"/>
      <c r="K1105" s="36"/>
      <c r="L1105" s="36"/>
      <c r="M1105" s="40"/>
      <c r="N1105" s="23"/>
      <c r="O1105" s="36"/>
      <c r="P1105" s="40"/>
      <c r="Q1105" s="36"/>
      <c r="R1105" s="36"/>
      <c r="S1105" s="40"/>
      <c r="T1105" s="23"/>
      <c r="U1105" s="23"/>
      <c r="V1105" s="40"/>
      <c r="W1105" s="23"/>
      <c r="X1105" s="23"/>
      <c r="Y1105" s="40"/>
      <c r="Z1105" s="23"/>
      <c r="AA1105" s="23"/>
      <c r="AB1105" s="40"/>
      <c r="AC1105" s="42"/>
      <c r="AD1105" s="42"/>
      <c r="AE1105" s="40"/>
      <c r="AF1105" s="42"/>
      <c r="AG1105" s="42"/>
      <c r="AH1105" s="23"/>
      <c r="AI1105" s="42"/>
      <c r="AJ1105" s="42"/>
      <c r="AK1105" s="40"/>
      <c r="AL1105" s="84"/>
      <c r="AM1105" s="84"/>
      <c r="AN1105" s="40"/>
      <c r="AO1105" s="23"/>
    </row>
    <row r="1106" spans="1:41" ht="15.75" x14ac:dyDescent="0.25">
      <c r="A1106" s="44"/>
      <c r="B1106" s="23"/>
      <c r="C1106" s="23"/>
      <c r="D1106" s="36"/>
      <c r="E1106" s="23"/>
      <c r="F1106" s="23"/>
      <c r="G1106" s="40"/>
      <c r="H1106" s="23"/>
      <c r="I1106" s="23"/>
      <c r="J1106" s="40"/>
      <c r="K1106" s="36"/>
      <c r="L1106" s="36"/>
      <c r="M1106" s="40"/>
      <c r="N1106" s="23"/>
      <c r="O1106" s="36"/>
      <c r="P1106" s="40"/>
      <c r="Q1106" s="36"/>
      <c r="R1106" s="36"/>
      <c r="S1106" s="40"/>
      <c r="T1106" s="23"/>
      <c r="U1106" s="23"/>
      <c r="V1106" s="40"/>
      <c r="W1106" s="23"/>
      <c r="X1106" s="23"/>
      <c r="Y1106" s="40"/>
      <c r="Z1106" s="23"/>
      <c r="AA1106" s="23"/>
      <c r="AB1106" s="40"/>
      <c r="AC1106" s="42"/>
      <c r="AD1106" s="42"/>
      <c r="AE1106" s="40"/>
      <c r="AF1106" s="42"/>
      <c r="AG1106" s="42"/>
      <c r="AH1106" s="23"/>
      <c r="AI1106" s="42"/>
      <c r="AJ1106" s="42"/>
      <c r="AK1106" s="40"/>
      <c r="AL1106" s="84"/>
      <c r="AM1106" s="84"/>
      <c r="AN1106" s="40"/>
      <c r="AO1106" s="23"/>
    </row>
    <row r="1107" spans="1:41" ht="15.75" x14ac:dyDescent="0.25">
      <c r="A1107" s="44"/>
      <c r="B1107" s="23"/>
      <c r="C1107" s="23"/>
      <c r="D1107" s="36"/>
      <c r="E1107" s="23"/>
      <c r="F1107" s="23"/>
      <c r="G1107" s="40"/>
      <c r="H1107" s="23"/>
      <c r="I1107" s="23"/>
      <c r="J1107" s="40"/>
      <c r="K1107" s="36"/>
      <c r="L1107" s="36"/>
      <c r="M1107" s="40"/>
      <c r="N1107" s="23"/>
      <c r="O1107" s="36"/>
      <c r="P1107" s="40"/>
      <c r="Q1107" s="36"/>
      <c r="R1107" s="36"/>
      <c r="S1107" s="40"/>
      <c r="T1107" s="23"/>
      <c r="U1107" s="23"/>
      <c r="V1107" s="40"/>
      <c r="W1107" s="23"/>
      <c r="X1107" s="23"/>
      <c r="Y1107" s="40"/>
      <c r="Z1107" s="23"/>
      <c r="AA1107" s="23"/>
      <c r="AB1107" s="40"/>
      <c r="AC1107" s="42"/>
      <c r="AD1107" s="42"/>
      <c r="AE1107" s="40"/>
      <c r="AF1107" s="42"/>
      <c r="AG1107" s="42"/>
      <c r="AH1107" s="23"/>
      <c r="AI1107" s="42"/>
      <c r="AJ1107" s="42"/>
      <c r="AK1107" s="40"/>
      <c r="AL1107" s="84"/>
      <c r="AM1107" s="84"/>
      <c r="AN1107" s="40"/>
      <c r="AO1107" s="23"/>
    </row>
    <row r="1108" spans="1:41" ht="15.75" x14ac:dyDescent="0.25">
      <c r="A1108" s="44"/>
      <c r="B1108" s="23"/>
      <c r="C1108" s="23"/>
      <c r="D1108" s="36"/>
      <c r="E1108" s="23"/>
      <c r="F1108" s="23"/>
      <c r="G1108" s="40"/>
      <c r="H1108" s="23"/>
      <c r="I1108" s="23"/>
      <c r="J1108" s="40"/>
      <c r="K1108" s="36"/>
      <c r="L1108" s="36"/>
      <c r="M1108" s="40"/>
      <c r="N1108" s="23"/>
      <c r="O1108" s="36"/>
      <c r="P1108" s="40"/>
      <c r="Q1108" s="36"/>
      <c r="R1108" s="36"/>
      <c r="S1108" s="40"/>
      <c r="T1108" s="23"/>
      <c r="U1108" s="23"/>
      <c r="V1108" s="40"/>
      <c r="W1108" s="23"/>
      <c r="X1108" s="23"/>
      <c r="Y1108" s="40"/>
      <c r="Z1108" s="23"/>
      <c r="AA1108" s="23"/>
      <c r="AB1108" s="40"/>
      <c r="AC1108" s="42"/>
      <c r="AD1108" s="42"/>
      <c r="AE1108" s="40"/>
      <c r="AF1108" s="42"/>
      <c r="AG1108" s="42"/>
      <c r="AH1108" s="23"/>
      <c r="AI1108" s="42"/>
      <c r="AJ1108" s="42"/>
      <c r="AK1108" s="40"/>
      <c r="AL1108" s="84"/>
      <c r="AM1108" s="84"/>
      <c r="AN1108" s="40"/>
      <c r="AO1108" s="23"/>
    </row>
    <row r="1109" spans="1:41" ht="15.75" x14ac:dyDescent="0.25">
      <c r="A1109" s="44"/>
      <c r="B1109" s="23"/>
      <c r="C1109" s="23"/>
      <c r="D1109" s="36"/>
      <c r="E1109" s="23"/>
      <c r="F1109" s="23"/>
      <c r="G1109" s="40"/>
      <c r="H1109" s="23"/>
      <c r="I1109" s="23"/>
      <c r="J1109" s="40"/>
      <c r="K1109" s="36"/>
      <c r="L1109" s="36"/>
      <c r="M1109" s="40"/>
      <c r="N1109" s="23"/>
      <c r="O1109" s="36"/>
      <c r="P1109" s="40"/>
      <c r="Q1109" s="36"/>
      <c r="R1109" s="36"/>
      <c r="S1109" s="40"/>
      <c r="T1109" s="23"/>
      <c r="U1109" s="23"/>
      <c r="V1109" s="40"/>
      <c r="W1109" s="23"/>
      <c r="X1109" s="23"/>
      <c r="Y1109" s="40"/>
      <c r="Z1109" s="23"/>
      <c r="AA1109" s="23"/>
      <c r="AB1109" s="40"/>
      <c r="AC1109" s="42"/>
      <c r="AD1109" s="42"/>
      <c r="AE1109" s="40"/>
      <c r="AF1109" s="42"/>
      <c r="AG1109" s="42"/>
      <c r="AH1109" s="23"/>
      <c r="AI1109" s="42"/>
      <c r="AJ1109" s="42"/>
      <c r="AK1109" s="40"/>
      <c r="AL1109" s="84"/>
      <c r="AM1109" s="84"/>
      <c r="AN1109" s="40"/>
      <c r="AO1109" s="23"/>
    </row>
    <row r="1110" spans="1:41" ht="15.75" x14ac:dyDescent="0.25">
      <c r="A1110" s="44"/>
      <c r="B1110" s="23"/>
      <c r="C1110" s="23"/>
      <c r="D1110" s="36"/>
      <c r="E1110" s="23"/>
      <c r="F1110" s="23"/>
      <c r="G1110" s="40"/>
      <c r="H1110" s="23"/>
      <c r="I1110" s="23"/>
      <c r="J1110" s="40"/>
      <c r="K1110" s="36"/>
      <c r="L1110" s="36"/>
      <c r="M1110" s="40"/>
      <c r="N1110" s="23"/>
      <c r="O1110" s="36"/>
      <c r="P1110" s="40"/>
      <c r="Q1110" s="36"/>
      <c r="R1110" s="36"/>
      <c r="S1110" s="40"/>
      <c r="T1110" s="23"/>
      <c r="U1110" s="23"/>
      <c r="V1110" s="40"/>
      <c r="W1110" s="23"/>
      <c r="X1110" s="23"/>
      <c r="Y1110" s="40"/>
      <c r="Z1110" s="23"/>
      <c r="AA1110" s="23"/>
      <c r="AB1110" s="40"/>
      <c r="AC1110" s="42"/>
      <c r="AD1110" s="42"/>
      <c r="AE1110" s="40"/>
      <c r="AF1110" s="42"/>
      <c r="AG1110" s="42"/>
      <c r="AH1110" s="23"/>
      <c r="AI1110" s="42"/>
      <c r="AJ1110" s="42"/>
      <c r="AK1110" s="40"/>
      <c r="AL1110" s="84"/>
      <c r="AM1110" s="84"/>
      <c r="AN1110" s="40"/>
      <c r="AO1110" s="23"/>
    </row>
    <row r="1111" spans="1:41" ht="15.75" x14ac:dyDescent="0.25">
      <c r="A1111" s="44"/>
      <c r="B1111" s="23"/>
      <c r="C1111" s="23"/>
      <c r="D1111" s="36"/>
      <c r="E1111" s="23"/>
      <c r="F1111" s="23"/>
      <c r="G1111" s="40"/>
      <c r="H1111" s="23"/>
      <c r="I1111" s="23"/>
      <c r="J1111" s="40"/>
      <c r="K1111" s="36"/>
      <c r="L1111" s="36"/>
      <c r="M1111" s="40"/>
      <c r="N1111" s="23"/>
      <c r="O1111" s="36"/>
      <c r="P1111" s="40"/>
      <c r="Q1111" s="36"/>
      <c r="R1111" s="36"/>
      <c r="S1111" s="40"/>
      <c r="T1111" s="23"/>
      <c r="U1111" s="23"/>
      <c r="V1111" s="40"/>
      <c r="W1111" s="23"/>
      <c r="X1111" s="23"/>
      <c r="Y1111" s="40"/>
      <c r="Z1111" s="23"/>
      <c r="AA1111" s="23"/>
      <c r="AB1111" s="40"/>
      <c r="AC1111" s="42"/>
      <c r="AD1111" s="42"/>
      <c r="AE1111" s="40"/>
      <c r="AF1111" s="42"/>
      <c r="AG1111" s="42"/>
      <c r="AH1111" s="23"/>
      <c r="AI1111" s="42"/>
      <c r="AJ1111" s="42"/>
      <c r="AK1111" s="40"/>
      <c r="AL1111" s="84"/>
      <c r="AM1111" s="84"/>
      <c r="AN1111" s="40"/>
      <c r="AO1111" s="23"/>
    </row>
    <row r="1112" spans="1:41" ht="15.75" x14ac:dyDescent="0.25">
      <c r="A1112" s="44"/>
      <c r="B1112" s="23"/>
      <c r="C1112" s="23"/>
      <c r="D1112" s="36"/>
      <c r="E1112" s="23"/>
      <c r="F1112" s="23"/>
      <c r="G1112" s="40"/>
      <c r="H1112" s="23"/>
      <c r="I1112" s="23"/>
      <c r="J1112" s="40"/>
      <c r="K1112" s="36"/>
      <c r="L1112" s="36"/>
      <c r="M1112" s="40"/>
      <c r="N1112" s="23"/>
      <c r="O1112" s="36"/>
      <c r="P1112" s="40"/>
      <c r="Q1112" s="36"/>
      <c r="R1112" s="36"/>
      <c r="S1112" s="40"/>
      <c r="T1112" s="23"/>
      <c r="U1112" s="23"/>
      <c r="V1112" s="40"/>
      <c r="W1112" s="23"/>
      <c r="X1112" s="23"/>
      <c r="Y1112" s="40"/>
      <c r="Z1112" s="23"/>
      <c r="AA1112" s="23"/>
      <c r="AB1112" s="40"/>
      <c r="AC1112" s="42"/>
      <c r="AD1112" s="42"/>
      <c r="AE1112" s="40"/>
      <c r="AF1112" s="42"/>
      <c r="AG1112" s="42"/>
      <c r="AH1112" s="23"/>
      <c r="AI1112" s="42"/>
      <c r="AJ1112" s="42"/>
      <c r="AK1112" s="40"/>
      <c r="AL1112" s="84"/>
      <c r="AM1112" s="84"/>
      <c r="AN1112" s="40"/>
      <c r="AO1112" s="23"/>
    </row>
    <row r="1113" spans="1:41" ht="15.75" x14ac:dyDescent="0.25">
      <c r="A1113" s="44"/>
      <c r="B1113" s="23"/>
      <c r="C1113" s="23"/>
      <c r="D1113" s="36"/>
      <c r="E1113" s="23"/>
      <c r="F1113" s="23"/>
      <c r="G1113" s="40"/>
      <c r="H1113" s="23"/>
      <c r="I1113" s="23"/>
      <c r="J1113" s="40"/>
      <c r="K1113" s="36"/>
      <c r="L1113" s="36"/>
      <c r="M1113" s="40"/>
      <c r="N1113" s="23"/>
      <c r="O1113" s="36"/>
      <c r="P1113" s="40"/>
      <c r="Q1113" s="36"/>
      <c r="R1113" s="36"/>
      <c r="S1113" s="40"/>
      <c r="T1113" s="23"/>
      <c r="U1113" s="23"/>
      <c r="V1113" s="40"/>
      <c r="W1113" s="23"/>
      <c r="X1113" s="23"/>
      <c r="Y1113" s="40"/>
      <c r="Z1113" s="23"/>
      <c r="AA1113" s="23"/>
      <c r="AB1113" s="40"/>
      <c r="AC1113" s="42"/>
      <c r="AD1113" s="42"/>
      <c r="AE1113" s="40"/>
      <c r="AF1113" s="42"/>
      <c r="AG1113" s="42"/>
      <c r="AH1113" s="23"/>
      <c r="AI1113" s="42"/>
      <c r="AJ1113" s="42"/>
      <c r="AK1113" s="40"/>
      <c r="AL1113" s="84"/>
      <c r="AM1113" s="84"/>
      <c r="AN1113" s="40"/>
      <c r="AO1113" s="23"/>
    </row>
    <row r="1114" spans="1:41" ht="15.75" x14ac:dyDescent="0.25">
      <c r="A1114" s="44"/>
      <c r="B1114" s="23"/>
      <c r="C1114" s="23"/>
      <c r="D1114" s="36"/>
      <c r="E1114" s="23"/>
      <c r="F1114" s="23"/>
      <c r="G1114" s="40"/>
      <c r="H1114" s="23"/>
      <c r="I1114" s="23"/>
      <c r="J1114" s="40"/>
      <c r="K1114" s="36"/>
      <c r="L1114" s="36"/>
      <c r="M1114" s="40"/>
      <c r="N1114" s="23"/>
      <c r="O1114" s="36"/>
      <c r="P1114" s="40"/>
      <c r="Q1114" s="36"/>
      <c r="R1114" s="36"/>
      <c r="S1114" s="40"/>
      <c r="T1114" s="23"/>
      <c r="U1114" s="23"/>
      <c r="V1114" s="40"/>
      <c r="W1114" s="23"/>
      <c r="X1114" s="23"/>
      <c r="Y1114" s="40"/>
      <c r="Z1114" s="23"/>
      <c r="AA1114" s="23"/>
      <c r="AB1114" s="40"/>
      <c r="AC1114" s="42"/>
      <c r="AD1114" s="42"/>
      <c r="AE1114" s="40"/>
      <c r="AF1114" s="42"/>
      <c r="AG1114" s="42"/>
      <c r="AH1114" s="23"/>
      <c r="AI1114" s="42"/>
      <c r="AJ1114" s="42"/>
      <c r="AK1114" s="40"/>
      <c r="AL1114" s="84"/>
      <c r="AM1114" s="84"/>
      <c r="AN1114" s="40"/>
      <c r="AO1114" s="23"/>
    </row>
    <row r="1115" spans="1:41" ht="15.75" x14ac:dyDescent="0.25">
      <c r="A1115" s="44"/>
      <c r="B1115" s="23"/>
      <c r="C1115" s="23"/>
      <c r="D1115" s="36"/>
      <c r="E1115" s="23"/>
      <c r="F1115" s="23"/>
      <c r="G1115" s="40"/>
      <c r="H1115" s="23"/>
      <c r="I1115" s="23"/>
      <c r="J1115" s="40"/>
      <c r="K1115" s="36"/>
      <c r="L1115" s="36"/>
      <c r="M1115" s="40"/>
      <c r="N1115" s="23"/>
      <c r="O1115" s="36"/>
      <c r="P1115" s="40"/>
      <c r="Q1115" s="36"/>
      <c r="R1115" s="36"/>
      <c r="S1115" s="40"/>
      <c r="T1115" s="23"/>
      <c r="U1115" s="23"/>
      <c r="V1115" s="40"/>
      <c r="W1115" s="23"/>
      <c r="X1115" s="23"/>
      <c r="Y1115" s="40"/>
      <c r="Z1115" s="23"/>
      <c r="AA1115" s="23"/>
      <c r="AB1115" s="40"/>
      <c r="AC1115" s="42"/>
      <c r="AD1115" s="42"/>
      <c r="AE1115" s="40"/>
      <c r="AF1115" s="42"/>
      <c r="AG1115" s="42"/>
      <c r="AH1115" s="23"/>
      <c r="AI1115" s="42"/>
      <c r="AJ1115" s="42"/>
      <c r="AK1115" s="40"/>
      <c r="AL1115" s="84"/>
      <c r="AM1115" s="84"/>
      <c r="AN1115" s="40"/>
      <c r="AO1115" s="23"/>
    </row>
    <row r="1116" spans="1:41" ht="15.75" x14ac:dyDescent="0.25">
      <c r="A1116" s="44"/>
      <c r="B1116" s="23"/>
      <c r="C1116" s="23"/>
      <c r="D1116" s="36"/>
      <c r="E1116" s="23"/>
      <c r="F1116" s="23"/>
      <c r="G1116" s="40"/>
      <c r="H1116" s="23"/>
      <c r="I1116" s="23"/>
      <c r="J1116" s="40"/>
      <c r="K1116" s="36"/>
      <c r="L1116" s="36"/>
      <c r="M1116" s="40"/>
      <c r="N1116" s="23"/>
      <c r="O1116" s="36"/>
      <c r="P1116" s="40"/>
      <c r="Q1116" s="36"/>
      <c r="R1116" s="36"/>
      <c r="S1116" s="40"/>
      <c r="T1116" s="23"/>
      <c r="U1116" s="23"/>
      <c r="V1116" s="40"/>
      <c r="W1116" s="23"/>
      <c r="X1116" s="23"/>
      <c r="Y1116" s="40"/>
      <c r="Z1116" s="23"/>
      <c r="AA1116" s="23"/>
      <c r="AB1116" s="40"/>
      <c r="AC1116" s="42"/>
      <c r="AD1116" s="42"/>
      <c r="AE1116" s="40"/>
      <c r="AF1116" s="42"/>
      <c r="AG1116" s="42"/>
      <c r="AH1116" s="23"/>
      <c r="AI1116" s="42"/>
      <c r="AJ1116" s="42"/>
      <c r="AK1116" s="40"/>
      <c r="AL1116" s="84"/>
      <c r="AM1116" s="84"/>
      <c r="AN1116" s="40"/>
      <c r="AO1116" s="23"/>
    </row>
    <row r="1117" spans="1:41" ht="15.75" x14ac:dyDescent="0.25">
      <c r="A1117" s="44"/>
      <c r="B1117" s="23"/>
      <c r="C1117" s="23"/>
      <c r="D1117" s="36"/>
      <c r="E1117" s="23"/>
      <c r="F1117" s="23"/>
      <c r="G1117" s="40"/>
      <c r="H1117" s="23"/>
      <c r="I1117" s="23"/>
      <c r="J1117" s="40"/>
      <c r="K1117" s="36"/>
      <c r="L1117" s="36"/>
      <c r="M1117" s="40"/>
      <c r="N1117" s="23"/>
      <c r="O1117" s="36"/>
      <c r="P1117" s="40"/>
      <c r="Q1117" s="36"/>
      <c r="R1117" s="36"/>
      <c r="S1117" s="40"/>
      <c r="T1117" s="23"/>
      <c r="U1117" s="23"/>
      <c r="V1117" s="40"/>
      <c r="W1117" s="23"/>
      <c r="X1117" s="23"/>
      <c r="Y1117" s="40"/>
      <c r="Z1117" s="23"/>
      <c r="AA1117" s="23"/>
      <c r="AB1117" s="40"/>
      <c r="AC1117" s="42"/>
      <c r="AD1117" s="42"/>
      <c r="AE1117" s="40"/>
      <c r="AF1117" s="42"/>
      <c r="AG1117" s="42"/>
      <c r="AH1117" s="23"/>
      <c r="AI1117" s="42"/>
      <c r="AJ1117" s="42"/>
      <c r="AK1117" s="40"/>
      <c r="AL1117" s="84"/>
      <c r="AM1117" s="84"/>
      <c r="AN1117" s="40"/>
      <c r="AO1117" s="23"/>
    </row>
    <row r="1118" spans="1:41" ht="15.75" x14ac:dyDescent="0.25">
      <c r="A1118" s="44"/>
      <c r="B1118" s="23"/>
      <c r="C1118" s="23"/>
      <c r="D1118" s="36"/>
      <c r="E1118" s="23"/>
      <c r="F1118" s="23"/>
      <c r="G1118" s="40"/>
      <c r="H1118" s="23"/>
      <c r="I1118" s="23"/>
      <c r="J1118" s="40"/>
      <c r="K1118" s="36"/>
      <c r="L1118" s="36"/>
      <c r="M1118" s="40"/>
      <c r="N1118" s="23"/>
      <c r="O1118" s="36"/>
      <c r="P1118" s="40"/>
      <c r="Q1118" s="36"/>
      <c r="R1118" s="36"/>
      <c r="S1118" s="40"/>
      <c r="T1118" s="23"/>
      <c r="U1118" s="23"/>
      <c r="V1118" s="40"/>
      <c r="W1118" s="23"/>
      <c r="X1118" s="23"/>
      <c r="Y1118" s="40"/>
      <c r="Z1118" s="23"/>
      <c r="AA1118" s="23"/>
      <c r="AB1118" s="40"/>
      <c r="AC1118" s="42"/>
      <c r="AD1118" s="42"/>
      <c r="AE1118" s="40"/>
      <c r="AF1118" s="42"/>
      <c r="AG1118" s="42"/>
      <c r="AH1118" s="23"/>
      <c r="AI1118" s="42"/>
      <c r="AJ1118" s="42"/>
      <c r="AK1118" s="40"/>
      <c r="AL1118" s="84"/>
      <c r="AM1118" s="84"/>
      <c r="AN1118" s="40"/>
      <c r="AO1118" s="23"/>
    </row>
    <row r="1119" spans="1:41" ht="15.75" x14ac:dyDescent="0.25">
      <c r="A1119" s="44"/>
      <c r="B1119" s="23"/>
      <c r="C1119" s="23"/>
      <c r="D1119" s="36"/>
      <c r="E1119" s="23"/>
      <c r="F1119" s="23"/>
      <c r="G1119" s="40"/>
      <c r="H1119" s="23"/>
      <c r="I1119" s="23"/>
      <c r="J1119" s="40"/>
      <c r="K1119" s="36"/>
      <c r="L1119" s="36"/>
      <c r="M1119" s="40"/>
      <c r="N1119" s="23"/>
      <c r="O1119" s="36"/>
      <c r="P1119" s="40"/>
      <c r="Q1119" s="36"/>
      <c r="R1119" s="36"/>
      <c r="S1119" s="40"/>
      <c r="T1119" s="23"/>
      <c r="U1119" s="23"/>
      <c r="V1119" s="40"/>
      <c r="W1119" s="23"/>
      <c r="X1119" s="23"/>
      <c r="Y1119" s="40"/>
      <c r="Z1119" s="23"/>
      <c r="AA1119" s="23"/>
      <c r="AB1119" s="40"/>
      <c r="AC1119" s="42"/>
      <c r="AD1119" s="42"/>
      <c r="AE1119" s="40"/>
      <c r="AF1119" s="42"/>
      <c r="AG1119" s="42"/>
      <c r="AH1119" s="23"/>
      <c r="AI1119" s="42"/>
      <c r="AJ1119" s="42"/>
      <c r="AK1119" s="40"/>
      <c r="AL1119" s="84"/>
      <c r="AM1119" s="84"/>
      <c r="AN1119" s="40"/>
      <c r="AO1119" s="23"/>
    </row>
    <row r="1120" spans="1:41" ht="15.75" x14ac:dyDescent="0.25">
      <c r="A1120" s="44"/>
      <c r="B1120" s="23"/>
      <c r="C1120" s="23"/>
      <c r="D1120" s="36"/>
      <c r="E1120" s="23"/>
      <c r="F1120" s="23"/>
      <c r="G1120" s="40"/>
      <c r="H1120" s="23"/>
      <c r="I1120" s="23"/>
      <c r="J1120" s="40"/>
      <c r="K1120" s="36"/>
      <c r="L1120" s="36"/>
      <c r="M1120" s="40"/>
      <c r="N1120" s="23"/>
      <c r="O1120" s="36"/>
      <c r="P1120" s="40"/>
      <c r="Q1120" s="36"/>
      <c r="R1120" s="36"/>
      <c r="S1120" s="40"/>
      <c r="T1120" s="23"/>
      <c r="U1120" s="23"/>
      <c r="V1120" s="40"/>
      <c r="W1120" s="23"/>
      <c r="X1120" s="23"/>
      <c r="Y1120" s="40"/>
      <c r="Z1120" s="23"/>
      <c r="AA1120" s="23"/>
      <c r="AB1120" s="40"/>
      <c r="AC1120" s="42"/>
      <c r="AD1120" s="42"/>
      <c r="AE1120" s="40"/>
      <c r="AF1120" s="42"/>
      <c r="AG1120" s="42"/>
      <c r="AH1120" s="23"/>
      <c r="AI1120" s="42"/>
      <c r="AJ1120" s="42"/>
      <c r="AK1120" s="40"/>
      <c r="AL1120" s="84"/>
      <c r="AM1120" s="84"/>
      <c r="AN1120" s="40"/>
      <c r="AO1120" s="23"/>
    </row>
    <row r="1121" spans="1:41" ht="15.75" x14ac:dyDescent="0.25">
      <c r="A1121" s="44"/>
      <c r="B1121" s="23"/>
      <c r="C1121" s="23"/>
      <c r="D1121" s="36"/>
      <c r="E1121" s="23"/>
      <c r="F1121" s="23"/>
      <c r="G1121" s="40"/>
      <c r="H1121" s="23"/>
      <c r="I1121" s="23"/>
      <c r="J1121" s="40"/>
      <c r="K1121" s="36"/>
      <c r="L1121" s="36"/>
      <c r="M1121" s="40"/>
      <c r="N1121" s="23"/>
      <c r="O1121" s="36"/>
      <c r="P1121" s="40"/>
      <c r="Q1121" s="36"/>
      <c r="R1121" s="36"/>
      <c r="S1121" s="40"/>
      <c r="T1121" s="23"/>
      <c r="U1121" s="23"/>
      <c r="V1121" s="40"/>
      <c r="W1121" s="23"/>
      <c r="X1121" s="23"/>
      <c r="Y1121" s="40"/>
      <c r="Z1121" s="23"/>
      <c r="AA1121" s="23"/>
      <c r="AB1121" s="40"/>
      <c r="AC1121" s="42"/>
      <c r="AD1121" s="42"/>
      <c r="AE1121" s="40"/>
      <c r="AF1121" s="42"/>
      <c r="AG1121" s="42"/>
      <c r="AH1121" s="23"/>
      <c r="AI1121" s="42"/>
      <c r="AJ1121" s="42"/>
      <c r="AK1121" s="40"/>
      <c r="AL1121" s="84"/>
      <c r="AM1121" s="84"/>
      <c r="AN1121" s="40"/>
      <c r="AO1121" s="23"/>
    </row>
    <row r="1122" spans="1:41" ht="15.75" x14ac:dyDescent="0.25">
      <c r="A1122" s="44"/>
      <c r="B1122" s="23"/>
      <c r="C1122" s="23"/>
      <c r="D1122" s="36"/>
      <c r="E1122" s="23"/>
      <c r="F1122" s="23"/>
      <c r="G1122" s="40"/>
      <c r="H1122" s="23"/>
      <c r="I1122" s="23"/>
      <c r="J1122" s="40"/>
      <c r="K1122" s="36"/>
      <c r="L1122" s="36"/>
      <c r="M1122" s="40"/>
      <c r="N1122" s="23"/>
      <c r="O1122" s="36"/>
      <c r="P1122" s="40"/>
      <c r="Q1122" s="36"/>
      <c r="R1122" s="36"/>
      <c r="S1122" s="40"/>
      <c r="T1122" s="23"/>
      <c r="U1122" s="23"/>
      <c r="V1122" s="40"/>
      <c r="W1122" s="23"/>
      <c r="X1122" s="23"/>
      <c r="Y1122" s="40"/>
      <c r="Z1122" s="23"/>
      <c r="AA1122" s="23"/>
      <c r="AB1122" s="40"/>
      <c r="AC1122" s="42"/>
      <c r="AD1122" s="42"/>
      <c r="AE1122" s="40"/>
      <c r="AF1122" s="42"/>
      <c r="AG1122" s="42"/>
      <c r="AH1122" s="23"/>
      <c r="AI1122" s="42"/>
      <c r="AJ1122" s="42"/>
      <c r="AK1122" s="40"/>
      <c r="AL1122" s="84"/>
      <c r="AM1122" s="84"/>
      <c r="AN1122" s="40"/>
      <c r="AO1122" s="23"/>
    </row>
    <row r="1123" spans="1:41" ht="15.75" x14ac:dyDescent="0.25">
      <c r="A1123" s="44"/>
      <c r="B1123" s="23"/>
      <c r="C1123" s="23"/>
      <c r="D1123" s="36"/>
      <c r="E1123" s="23"/>
      <c r="F1123" s="23"/>
      <c r="G1123" s="40"/>
      <c r="H1123" s="23"/>
      <c r="I1123" s="23"/>
      <c r="J1123" s="40"/>
      <c r="K1123" s="36"/>
      <c r="L1123" s="36"/>
      <c r="M1123" s="40"/>
      <c r="N1123" s="23"/>
      <c r="O1123" s="36"/>
      <c r="P1123" s="40"/>
      <c r="Q1123" s="36"/>
      <c r="R1123" s="36"/>
      <c r="S1123" s="40"/>
      <c r="T1123" s="23"/>
      <c r="U1123" s="23"/>
      <c r="V1123" s="40"/>
      <c r="W1123" s="23"/>
      <c r="X1123" s="23"/>
      <c r="Y1123" s="40"/>
      <c r="Z1123" s="23"/>
      <c r="AA1123" s="23"/>
      <c r="AB1123" s="40"/>
      <c r="AC1123" s="42"/>
      <c r="AD1123" s="42"/>
      <c r="AE1123" s="40"/>
      <c r="AF1123" s="42"/>
      <c r="AG1123" s="42"/>
      <c r="AH1123" s="23"/>
      <c r="AI1123" s="42"/>
      <c r="AJ1123" s="42"/>
      <c r="AK1123" s="40"/>
      <c r="AL1123" s="84"/>
      <c r="AM1123" s="84"/>
      <c r="AN1123" s="40"/>
      <c r="AO1123" s="23"/>
    </row>
    <row r="1124" spans="1:41" ht="15.75" x14ac:dyDescent="0.25">
      <c r="A1124" s="44"/>
      <c r="B1124" s="23"/>
      <c r="C1124" s="23"/>
      <c r="D1124" s="36"/>
      <c r="E1124" s="23"/>
      <c r="F1124" s="23"/>
      <c r="G1124" s="40"/>
      <c r="H1124" s="23"/>
      <c r="I1124" s="23"/>
      <c r="J1124" s="40"/>
      <c r="K1124" s="36"/>
      <c r="L1124" s="36"/>
      <c r="M1124" s="40"/>
      <c r="N1124" s="23"/>
      <c r="O1124" s="36"/>
      <c r="P1124" s="40"/>
      <c r="Q1124" s="36"/>
      <c r="R1124" s="36"/>
      <c r="S1124" s="40"/>
      <c r="T1124" s="23"/>
      <c r="U1124" s="23"/>
      <c r="V1124" s="40"/>
      <c r="W1124" s="23"/>
      <c r="X1124" s="23"/>
      <c r="Y1124" s="40"/>
      <c r="Z1124" s="23"/>
      <c r="AA1124" s="23"/>
      <c r="AB1124" s="40"/>
      <c r="AC1124" s="42"/>
      <c r="AD1124" s="42"/>
      <c r="AE1124" s="40"/>
      <c r="AF1124" s="42"/>
      <c r="AG1124" s="42"/>
      <c r="AH1124" s="23"/>
      <c r="AI1124" s="42"/>
      <c r="AJ1124" s="42"/>
      <c r="AK1124" s="40"/>
      <c r="AL1124" s="84"/>
      <c r="AM1124" s="84"/>
      <c r="AN1124" s="40"/>
      <c r="AO1124" s="23"/>
    </row>
    <row r="1125" spans="1:41" ht="15.75" x14ac:dyDescent="0.25">
      <c r="A1125" s="44"/>
      <c r="B1125" s="23"/>
      <c r="C1125" s="23"/>
      <c r="D1125" s="36"/>
      <c r="E1125" s="23"/>
      <c r="F1125" s="23"/>
      <c r="G1125" s="40"/>
      <c r="H1125" s="23"/>
      <c r="I1125" s="23"/>
      <c r="J1125" s="40"/>
      <c r="K1125" s="36"/>
      <c r="L1125" s="36"/>
      <c r="M1125" s="40"/>
      <c r="N1125" s="23"/>
      <c r="O1125" s="36"/>
      <c r="P1125" s="40"/>
      <c r="Q1125" s="36"/>
      <c r="R1125" s="36"/>
      <c r="S1125" s="40"/>
      <c r="T1125" s="23"/>
      <c r="U1125" s="23"/>
      <c r="V1125" s="40"/>
      <c r="W1125" s="23"/>
      <c r="X1125" s="23"/>
      <c r="Y1125" s="40"/>
      <c r="Z1125" s="23"/>
      <c r="AA1125" s="23"/>
      <c r="AB1125" s="40"/>
      <c r="AC1125" s="42"/>
      <c r="AD1125" s="42"/>
      <c r="AE1125" s="40"/>
      <c r="AF1125" s="42"/>
      <c r="AG1125" s="42"/>
      <c r="AH1125" s="23"/>
      <c r="AI1125" s="42"/>
      <c r="AJ1125" s="42"/>
      <c r="AK1125" s="40"/>
      <c r="AL1125" s="84"/>
      <c r="AM1125" s="84"/>
      <c r="AN1125" s="40"/>
      <c r="AO1125" s="23"/>
    </row>
    <row r="1126" spans="1:41" ht="15.75" x14ac:dyDescent="0.25">
      <c r="A1126" s="44"/>
      <c r="B1126" s="23"/>
      <c r="C1126" s="23"/>
      <c r="D1126" s="36"/>
      <c r="E1126" s="23"/>
      <c r="F1126" s="23"/>
      <c r="G1126" s="40"/>
      <c r="H1126" s="23"/>
      <c r="I1126" s="23"/>
      <c r="J1126" s="40"/>
      <c r="K1126" s="36"/>
      <c r="L1126" s="36"/>
      <c r="M1126" s="40"/>
      <c r="N1126" s="23"/>
      <c r="O1126" s="36"/>
      <c r="P1126" s="40"/>
      <c r="Q1126" s="36"/>
      <c r="R1126" s="36"/>
      <c r="S1126" s="40"/>
      <c r="T1126" s="23"/>
      <c r="U1126" s="23"/>
      <c r="V1126" s="40"/>
      <c r="W1126" s="23"/>
      <c r="X1126" s="23"/>
      <c r="Y1126" s="40"/>
      <c r="Z1126" s="23"/>
      <c r="AA1126" s="23"/>
      <c r="AB1126" s="40"/>
      <c r="AC1126" s="42"/>
      <c r="AD1126" s="42"/>
      <c r="AE1126" s="40"/>
      <c r="AF1126" s="42"/>
      <c r="AG1126" s="42"/>
      <c r="AH1126" s="23"/>
      <c r="AI1126" s="42"/>
      <c r="AJ1126" s="42"/>
      <c r="AK1126" s="40"/>
      <c r="AL1126" s="84"/>
      <c r="AM1126" s="84"/>
      <c r="AN1126" s="40"/>
      <c r="AO1126" s="23"/>
    </row>
    <row r="1127" spans="1:41" ht="15.75" x14ac:dyDescent="0.25">
      <c r="A1127" s="44"/>
      <c r="B1127" s="23"/>
      <c r="C1127" s="23"/>
      <c r="D1127" s="36"/>
      <c r="E1127" s="23"/>
      <c r="F1127" s="23"/>
      <c r="G1127" s="40"/>
      <c r="H1127" s="23"/>
      <c r="I1127" s="23"/>
      <c r="J1127" s="40"/>
      <c r="K1127" s="36"/>
      <c r="L1127" s="36"/>
      <c r="M1127" s="40"/>
      <c r="N1127" s="23"/>
      <c r="O1127" s="36"/>
      <c r="P1127" s="40"/>
      <c r="Q1127" s="36"/>
      <c r="R1127" s="36"/>
      <c r="S1127" s="40"/>
      <c r="T1127" s="23"/>
      <c r="U1127" s="23"/>
      <c r="V1127" s="40"/>
      <c r="W1127" s="23"/>
      <c r="X1127" s="23"/>
      <c r="Y1127" s="40"/>
      <c r="Z1127" s="23"/>
      <c r="AA1127" s="23"/>
      <c r="AB1127" s="40"/>
      <c r="AC1127" s="42"/>
      <c r="AD1127" s="42"/>
      <c r="AE1127" s="40"/>
      <c r="AF1127" s="42"/>
      <c r="AG1127" s="42"/>
      <c r="AH1127" s="23"/>
      <c r="AI1127" s="42"/>
      <c r="AJ1127" s="42"/>
      <c r="AK1127" s="40"/>
      <c r="AL1127" s="84"/>
      <c r="AM1127" s="84"/>
      <c r="AN1127" s="40"/>
      <c r="AO1127" s="23"/>
    </row>
    <row r="1128" spans="1:41" ht="15.75" x14ac:dyDescent="0.25">
      <c r="A1128" s="44"/>
      <c r="B1128" s="23"/>
      <c r="C1128" s="23"/>
      <c r="D1128" s="36"/>
      <c r="E1128" s="23"/>
      <c r="F1128" s="23"/>
      <c r="G1128" s="40"/>
      <c r="H1128" s="23"/>
      <c r="I1128" s="23"/>
      <c r="J1128" s="40"/>
      <c r="K1128" s="36"/>
      <c r="L1128" s="36"/>
      <c r="M1128" s="40"/>
      <c r="N1128" s="23"/>
      <c r="O1128" s="36"/>
      <c r="P1128" s="40"/>
      <c r="Q1128" s="36"/>
      <c r="R1128" s="36"/>
      <c r="S1128" s="40"/>
      <c r="T1128" s="23"/>
      <c r="U1128" s="23"/>
      <c r="V1128" s="40"/>
      <c r="W1128" s="23"/>
      <c r="X1128" s="23"/>
      <c r="Y1128" s="40"/>
      <c r="Z1128" s="23"/>
      <c r="AA1128" s="23"/>
      <c r="AB1128" s="40"/>
      <c r="AC1128" s="42"/>
      <c r="AD1128" s="42"/>
      <c r="AE1128" s="40"/>
      <c r="AF1128" s="42"/>
      <c r="AG1128" s="42"/>
      <c r="AH1128" s="23"/>
      <c r="AI1128" s="42"/>
      <c r="AJ1128" s="42"/>
      <c r="AK1128" s="40"/>
      <c r="AL1128" s="84"/>
      <c r="AM1128" s="84"/>
      <c r="AN1128" s="40"/>
      <c r="AO1128" s="23"/>
    </row>
    <row r="1129" spans="1:41" ht="15.75" x14ac:dyDescent="0.25">
      <c r="A1129" s="44"/>
      <c r="B1129" s="23"/>
      <c r="C1129" s="23"/>
      <c r="D1129" s="36"/>
      <c r="E1129" s="23"/>
      <c r="F1129" s="23"/>
      <c r="G1129" s="40"/>
      <c r="H1129" s="23"/>
      <c r="I1129" s="23"/>
      <c r="J1129" s="40"/>
      <c r="K1129" s="36"/>
      <c r="L1129" s="36"/>
      <c r="M1129" s="40"/>
      <c r="N1129" s="23"/>
      <c r="O1129" s="36"/>
      <c r="P1129" s="40"/>
      <c r="Q1129" s="36"/>
      <c r="R1129" s="36"/>
      <c r="S1129" s="40"/>
      <c r="T1129" s="23"/>
      <c r="U1129" s="23"/>
      <c r="V1129" s="40"/>
      <c r="W1129" s="23"/>
      <c r="X1129" s="23"/>
      <c r="Y1129" s="40"/>
      <c r="Z1129" s="23"/>
      <c r="AA1129" s="23"/>
      <c r="AB1129" s="40"/>
      <c r="AC1129" s="42"/>
      <c r="AD1129" s="42"/>
      <c r="AE1129" s="40"/>
      <c r="AF1129" s="42"/>
      <c r="AG1129" s="42"/>
      <c r="AH1129" s="23"/>
      <c r="AI1129" s="42"/>
      <c r="AJ1129" s="42"/>
      <c r="AK1129" s="40"/>
      <c r="AL1129" s="84"/>
      <c r="AM1129" s="84"/>
      <c r="AN1129" s="40"/>
      <c r="AO1129" s="23"/>
    </row>
    <row r="1130" spans="1:41" ht="15.75" x14ac:dyDescent="0.25">
      <c r="A1130" s="44"/>
      <c r="B1130" s="23"/>
      <c r="C1130" s="23"/>
      <c r="D1130" s="36"/>
      <c r="E1130" s="23"/>
      <c r="F1130" s="23"/>
      <c r="G1130" s="40"/>
      <c r="H1130" s="23"/>
      <c r="I1130" s="23"/>
      <c r="J1130" s="40"/>
      <c r="K1130" s="36"/>
      <c r="L1130" s="36"/>
      <c r="M1130" s="40"/>
      <c r="N1130" s="23"/>
      <c r="O1130" s="36"/>
      <c r="P1130" s="40"/>
      <c r="Q1130" s="36"/>
      <c r="R1130" s="36"/>
      <c r="S1130" s="40"/>
      <c r="T1130" s="23"/>
      <c r="U1130" s="23"/>
      <c r="V1130" s="40"/>
      <c r="W1130" s="23"/>
      <c r="X1130" s="23"/>
      <c r="Y1130" s="40"/>
      <c r="Z1130" s="23"/>
      <c r="AA1130" s="23"/>
      <c r="AB1130" s="40"/>
      <c r="AC1130" s="42"/>
      <c r="AD1130" s="42"/>
      <c r="AE1130" s="40"/>
      <c r="AF1130" s="42"/>
      <c r="AG1130" s="42"/>
      <c r="AH1130" s="23"/>
      <c r="AI1130" s="42"/>
      <c r="AJ1130" s="42"/>
      <c r="AK1130" s="40"/>
      <c r="AL1130" s="84"/>
      <c r="AM1130" s="84"/>
      <c r="AN1130" s="40"/>
      <c r="AO1130" s="23"/>
    </row>
    <row r="1131" spans="1:41" ht="15.75" x14ac:dyDescent="0.25">
      <c r="A1131" s="44"/>
      <c r="B1131" s="23"/>
      <c r="C1131" s="23"/>
      <c r="D1131" s="36"/>
      <c r="E1131" s="23"/>
      <c r="F1131" s="23"/>
      <c r="G1131" s="40"/>
      <c r="H1131" s="23"/>
      <c r="I1131" s="23"/>
      <c r="J1131" s="40"/>
      <c r="K1131" s="36"/>
      <c r="L1131" s="36"/>
      <c r="M1131" s="40"/>
      <c r="N1131" s="23"/>
      <c r="O1131" s="36"/>
      <c r="P1131" s="40"/>
      <c r="Q1131" s="36"/>
      <c r="R1131" s="36"/>
      <c r="S1131" s="40"/>
      <c r="T1131" s="23"/>
      <c r="U1131" s="23"/>
      <c r="V1131" s="40"/>
      <c r="W1131" s="23"/>
      <c r="X1131" s="23"/>
      <c r="Y1131" s="40"/>
      <c r="Z1131" s="23"/>
      <c r="AA1131" s="23"/>
      <c r="AB1131" s="40"/>
      <c r="AC1131" s="42"/>
      <c r="AD1131" s="42"/>
      <c r="AE1131" s="40"/>
      <c r="AF1131" s="42"/>
      <c r="AG1131" s="42"/>
      <c r="AH1131" s="23"/>
      <c r="AI1131" s="42"/>
      <c r="AJ1131" s="42"/>
      <c r="AK1131" s="40"/>
      <c r="AL1131" s="84"/>
      <c r="AM1131" s="84"/>
      <c r="AN1131" s="40"/>
      <c r="AO1131" s="23"/>
    </row>
    <row r="1132" spans="1:41" ht="15.75" x14ac:dyDescent="0.25">
      <c r="A1132" s="44"/>
      <c r="B1132" s="23"/>
      <c r="C1132" s="23"/>
      <c r="D1132" s="36"/>
      <c r="E1132" s="23"/>
      <c r="F1132" s="23"/>
      <c r="G1132" s="40"/>
      <c r="H1132" s="23"/>
      <c r="I1132" s="23"/>
      <c r="J1132" s="40"/>
      <c r="K1132" s="36"/>
      <c r="L1132" s="36"/>
      <c r="M1132" s="40"/>
      <c r="N1132" s="23"/>
      <c r="O1132" s="36"/>
      <c r="P1132" s="40"/>
      <c r="Q1132" s="36"/>
      <c r="R1132" s="36"/>
      <c r="S1132" s="40"/>
      <c r="T1132" s="23"/>
      <c r="U1132" s="23"/>
      <c r="V1132" s="40"/>
      <c r="W1132" s="23"/>
      <c r="X1132" s="23"/>
      <c r="Y1132" s="40"/>
      <c r="Z1132" s="23"/>
      <c r="AA1132" s="23"/>
      <c r="AB1132" s="40"/>
      <c r="AC1132" s="42"/>
      <c r="AD1132" s="42"/>
      <c r="AE1132" s="40"/>
      <c r="AF1132" s="42"/>
      <c r="AG1132" s="42"/>
      <c r="AH1132" s="23"/>
      <c r="AI1132" s="42"/>
      <c r="AJ1132" s="42"/>
      <c r="AK1132" s="40"/>
      <c r="AL1132" s="84"/>
      <c r="AM1132" s="84"/>
      <c r="AN1132" s="40"/>
      <c r="AO1132" s="23"/>
    </row>
    <row r="1133" spans="1:41" ht="15.75" x14ac:dyDescent="0.25">
      <c r="A1133" s="44"/>
      <c r="B1133" s="23"/>
      <c r="C1133" s="23"/>
      <c r="D1133" s="36"/>
      <c r="E1133" s="23"/>
      <c r="F1133" s="23"/>
      <c r="G1133" s="40"/>
      <c r="H1133" s="23"/>
      <c r="I1133" s="23"/>
      <c r="J1133" s="40"/>
      <c r="K1133" s="36"/>
      <c r="L1133" s="36"/>
      <c r="M1133" s="40"/>
      <c r="N1133" s="23"/>
      <c r="O1133" s="36"/>
      <c r="P1133" s="40"/>
      <c r="Q1133" s="36"/>
      <c r="R1133" s="36"/>
      <c r="S1133" s="40"/>
      <c r="T1133" s="23"/>
      <c r="U1133" s="23"/>
      <c r="V1133" s="40"/>
      <c r="W1133" s="23"/>
      <c r="X1133" s="23"/>
      <c r="Y1133" s="40"/>
      <c r="Z1133" s="23"/>
      <c r="AA1133" s="23"/>
      <c r="AB1133" s="40"/>
      <c r="AC1133" s="42"/>
      <c r="AD1133" s="42"/>
      <c r="AE1133" s="40"/>
      <c r="AF1133" s="42"/>
      <c r="AG1133" s="42"/>
      <c r="AH1133" s="23"/>
      <c r="AI1133" s="42"/>
      <c r="AJ1133" s="42"/>
      <c r="AK1133" s="40"/>
      <c r="AL1133" s="84"/>
      <c r="AM1133" s="84"/>
      <c r="AN1133" s="40"/>
      <c r="AO1133" s="23"/>
    </row>
    <row r="1134" spans="1:41" ht="15.75" x14ac:dyDescent="0.25">
      <c r="A1134" s="44"/>
      <c r="B1134" s="23"/>
      <c r="C1134" s="23"/>
      <c r="D1134" s="36"/>
      <c r="E1134" s="23"/>
      <c r="F1134" s="23"/>
      <c r="G1134" s="40"/>
      <c r="H1134" s="23"/>
      <c r="I1134" s="23"/>
      <c r="J1134" s="40"/>
      <c r="K1134" s="36"/>
      <c r="L1134" s="36"/>
      <c r="M1134" s="40"/>
      <c r="N1134" s="23"/>
      <c r="O1134" s="36"/>
      <c r="P1134" s="40"/>
      <c r="Q1134" s="36"/>
      <c r="R1134" s="36"/>
      <c r="S1134" s="40"/>
      <c r="T1134" s="23"/>
      <c r="U1134" s="23"/>
      <c r="V1134" s="40"/>
      <c r="W1134" s="23"/>
      <c r="X1134" s="23"/>
      <c r="Y1134" s="40"/>
      <c r="Z1134" s="23"/>
      <c r="AA1134" s="23"/>
      <c r="AB1134" s="40"/>
      <c r="AC1134" s="42"/>
      <c r="AD1134" s="42"/>
      <c r="AE1134" s="40"/>
      <c r="AF1134" s="42"/>
      <c r="AG1134" s="42"/>
      <c r="AH1134" s="23"/>
      <c r="AI1134" s="42"/>
      <c r="AJ1134" s="42"/>
      <c r="AK1134" s="40"/>
      <c r="AL1134" s="84"/>
      <c r="AM1134" s="84"/>
      <c r="AN1134" s="40"/>
      <c r="AO1134" s="23"/>
    </row>
    <row r="1135" spans="1:41" ht="15.75" x14ac:dyDescent="0.25">
      <c r="A1135" s="44"/>
      <c r="B1135" s="23"/>
      <c r="C1135" s="23"/>
      <c r="D1135" s="36"/>
      <c r="E1135" s="23"/>
      <c r="F1135" s="23"/>
      <c r="G1135" s="40"/>
      <c r="H1135" s="23"/>
      <c r="I1135" s="23"/>
      <c r="J1135" s="40"/>
      <c r="K1135" s="36"/>
      <c r="L1135" s="36"/>
      <c r="M1135" s="40"/>
      <c r="N1135" s="23"/>
      <c r="O1135" s="36"/>
      <c r="P1135" s="40"/>
      <c r="Q1135" s="36"/>
      <c r="R1135" s="36"/>
      <c r="S1135" s="40"/>
      <c r="T1135" s="23"/>
      <c r="U1135" s="23"/>
      <c r="V1135" s="40"/>
      <c r="W1135" s="23"/>
      <c r="X1135" s="23"/>
      <c r="Y1135" s="40"/>
      <c r="Z1135" s="23"/>
      <c r="AA1135" s="23"/>
      <c r="AB1135" s="40"/>
      <c r="AC1135" s="42"/>
      <c r="AD1135" s="42"/>
      <c r="AE1135" s="40"/>
      <c r="AF1135" s="42"/>
      <c r="AG1135" s="42"/>
      <c r="AH1135" s="23"/>
      <c r="AI1135" s="42"/>
      <c r="AJ1135" s="42"/>
      <c r="AK1135" s="40"/>
      <c r="AL1135" s="84"/>
      <c r="AM1135" s="84"/>
      <c r="AN1135" s="40"/>
      <c r="AO1135" s="23"/>
    </row>
    <row r="1136" spans="1:41" ht="15.75" x14ac:dyDescent="0.25">
      <c r="A1136" s="44"/>
      <c r="B1136" s="23"/>
      <c r="C1136" s="23"/>
      <c r="D1136" s="36"/>
      <c r="E1136" s="23"/>
      <c r="F1136" s="23"/>
      <c r="G1136" s="40"/>
      <c r="H1136" s="23"/>
      <c r="I1136" s="23"/>
      <c r="J1136" s="40"/>
      <c r="K1136" s="36"/>
      <c r="L1136" s="36"/>
      <c r="M1136" s="40"/>
      <c r="N1136" s="23"/>
      <c r="O1136" s="36"/>
      <c r="P1136" s="40"/>
      <c r="Q1136" s="36"/>
      <c r="R1136" s="36"/>
      <c r="S1136" s="40"/>
      <c r="T1136" s="23"/>
      <c r="U1136" s="23"/>
      <c r="V1136" s="40"/>
      <c r="W1136" s="23"/>
      <c r="X1136" s="23"/>
      <c r="Y1136" s="40"/>
      <c r="Z1136" s="23"/>
      <c r="AA1136" s="23"/>
      <c r="AB1136" s="40"/>
      <c r="AC1136" s="42"/>
      <c r="AD1136" s="42"/>
      <c r="AE1136" s="40"/>
      <c r="AF1136" s="42"/>
      <c r="AG1136" s="42"/>
      <c r="AH1136" s="23"/>
      <c r="AI1136" s="42"/>
      <c r="AJ1136" s="42"/>
      <c r="AK1136" s="40"/>
      <c r="AL1136" s="84"/>
      <c r="AM1136" s="84"/>
      <c r="AN1136" s="40"/>
      <c r="AO1136" s="23"/>
    </row>
    <row r="1137" spans="1:41" ht="15.75" x14ac:dyDescent="0.25">
      <c r="A1137" s="44"/>
      <c r="B1137" s="23"/>
      <c r="C1137" s="23"/>
      <c r="D1137" s="36"/>
      <c r="E1137" s="23"/>
      <c r="F1137" s="23"/>
      <c r="G1137" s="40"/>
      <c r="H1137" s="23"/>
      <c r="I1137" s="23"/>
      <c r="J1137" s="40"/>
      <c r="K1137" s="36"/>
      <c r="L1137" s="36"/>
      <c r="M1137" s="40"/>
      <c r="N1137" s="23"/>
      <c r="O1137" s="36"/>
      <c r="P1137" s="40"/>
      <c r="Q1137" s="36"/>
      <c r="R1137" s="36"/>
      <c r="S1137" s="40"/>
      <c r="T1137" s="23"/>
      <c r="U1137" s="23"/>
      <c r="V1137" s="40"/>
      <c r="W1137" s="23"/>
      <c r="X1137" s="23"/>
      <c r="Y1137" s="40"/>
      <c r="Z1137" s="23"/>
      <c r="AA1137" s="23"/>
      <c r="AB1137" s="40"/>
      <c r="AC1137" s="42"/>
      <c r="AD1137" s="42"/>
      <c r="AE1137" s="40"/>
      <c r="AF1137" s="42"/>
      <c r="AG1137" s="42"/>
      <c r="AH1137" s="23"/>
      <c r="AI1137" s="42"/>
      <c r="AJ1137" s="42"/>
      <c r="AK1137" s="40"/>
      <c r="AL1137" s="84"/>
      <c r="AM1137" s="84"/>
      <c r="AN1137" s="40"/>
      <c r="AO1137" s="23"/>
    </row>
    <row r="1138" spans="1:41" ht="15.75" x14ac:dyDescent="0.25">
      <c r="A1138" s="44"/>
      <c r="B1138" s="23"/>
      <c r="C1138" s="23"/>
      <c r="D1138" s="36"/>
      <c r="E1138" s="23"/>
      <c r="F1138" s="23"/>
      <c r="G1138" s="40"/>
      <c r="H1138" s="23"/>
      <c r="I1138" s="23"/>
      <c r="J1138" s="40"/>
      <c r="K1138" s="36"/>
      <c r="L1138" s="36"/>
      <c r="M1138" s="40"/>
      <c r="N1138" s="23"/>
      <c r="O1138" s="36"/>
      <c r="P1138" s="40"/>
      <c r="Q1138" s="36"/>
      <c r="R1138" s="36"/>
      <c r="S1138" s="40"/>
      <c r="T1138" s="23"/>
      <c r="U1138" s="23"/>
      <c r="V1138" s="40"/>
      <c r="W1138" s="23"/>
      <c r="X1138" s="23"/>
      <c r="Y1138" s="40"/>
      <c r="Z1138" s="23"/>
      <c r="AA1138" s="23"/>
      <c r="AB1138" s="40"/>
      <c r="AC1138" s="42"/>
      <c r="AD1138" s="42"/>
      <c r="AE1138" s="40"/>
      <c r="AF1138" s="42"/>
      <c r="AG1138" s="42"/>
      <c r="AH1138" s="23"/>
      <c r="AI1138" s="42"/>
      <c r="AJ1138" s="42"/>
      <c r="AK1138" s="40"/>
      <c r="AL1138" s="84"/>
      <c r="AM1138" s="84"/>
      <c r="AN1138" s="40"/>
      <c r="AO1138" s="23"/>
    </row>
    <row r="1139" spans="1:41" ht="15.75" x14ac:dyDescent="0.25">
      <c r="A1139" s="44"/>
      <c r="B1139" s="23"/>
      <c r="C1139" s="23"/>
      <c r="D1139" s="36"/>
      <c r="E1139" s="23"/>
      <c r="F1139" s="23"/>
      <c r="G1139" s="40"/>
      <c r="H1139" s="23"/>
      <c r="I1139" s="23"/>
      <c r="J1139" s="40"/>
      <c r="K1139" s="36"/>
      <c r="L1139" s="36"/>
      <c r="M1139" s="40"/>
      <c r="N1139" s="23"/>
      <c r="O1139" s="36"/>
      <c r="P1139" s="40"/>
      <c r="Q1139" s="36"/>
      <c r="R1139" s="36"/>
      <c r="S1139" s="40"/>
      <c r="T1139" s="23"/>
      <c r="U1139" s="23"/>
      <c r="V1139" s="40"/>
      <c r="W1139" s="23"/>
      <c r="X1139" s="23"/>
      <c r="Y1139" s="40"/>
      <c r="Z1139" s="23"/>
      <c r="AA1139" s="23"/>
      <c r="AB1139" s="40"/>
      <c r="AC1139" s="42"/>
      <c r="AD1139" s="42"/>
      <c r="AE1139" s="40"/>
      <c r="AF1139" s="42"/>
      <c r="AG1139" s="42"/>
      <c r="AH1139" s="23"/>
      <c r="AI1139" s="42"/>
      <c r="AJ1139" s="42"/>
      <c r="AK1139" s="40"/>
      <c r="AL1139" s="84"/>
      <c r="AM1139" s="84"/>
      <c r="AN1139" s="40"/>
      <c r="AO1139" s="23"/>
    </row>
    <row r="1140" spans="1:41" ht="15.75" x14ac:dyDescent="0.25">
      <c r="A1140" s="44"/>
      <c r="B1140" s="23"/>
      <c r="C1140" s="23"/>
      <c r="D1140" s="36"/>
      <c r="E1140" s="23"/>
      <c r="F1140" s="23"/>
      <c r="G1140" s="40"/>
      <c r="H1140" s="23"/>
      <c r="I1140" s="23"/>
      <c r="J1140" s="40"/>
      <c r="K1140" s="36"/>
      <c r="L1140" s="36"/>
      <c r="M1140" s="40"/>
      <c r="N1140" s="23"/>
      <c r="O1140" s="36"/>
      <c r="P1140" s="40"/>
      <c r="Q1140" s="36"/>
      <c r="R1140" s="36"/>
      <c r="S1140" s="40"/>
      <c r="T1140" s="23"/>
      <c r="U1140" s="23"/>
      <c r="V1140" s="40"/>
      <c r="W1140" s="23"/>
      <c r="X1140" s="23"/>
      <c r="Y1140" s="40"/>
      <c r="Z1140" s="23"/>
      <c r="AA1140" s="23"/>
      <c r="AB1140" s="40"/>
      <c r="AC1140" s="42"/>
      <c r="AD1140" s="42"/>
      <c r="AE1140" s="40"/>
      <c r="AF1140" s="42"/>
      <c r="AG1140" s="42"/>
      <c r="AH1140" s="23"/>
      <c r="AI1140" s="42"/>
      <c r="AJ1140" s="42"/>
      <c r="AK1140" s="40"/>
      <c r="AL1140" s="84"/>
      <c r="AM1140" s="84"/>
      <c r="AN1140" s="40"/>
      <c r="AO1140" s="23"/>
    </row>
    <row r="1141" spans="1:41" ht="15.75" x14ac:dyDescent="0.25">
      <c r="A1141" s="44"/>
      <c r="B1141" s="23"/>
      <c r="C1141" s="23"/>
      <c r="D1141" s="36"/>
      <c r="E1141" s="23"/>
      <c r="F1141" s="23"/>
      <c r="G1141" s="40"/>
      <c r="H1141" s="23"/>
      <c r="I1141" s="23"/>
      <c r="J1141" s="40"/>
      <c r="K1141" s="36"/>
      <c r="L1141" s="36"/>
      <c r="M1141" s="40"/>
      <c r="N1141" s="23"/>
      <c r="O1141" s="36"/>
      <c r="P1141" s="40"/>
      <c r="Q1141" s="36"/>
      <c r="R1141" s="36"/>
      <c r="S1141" s="40"/>
      <c r="T1141" s="23"/>
      <c r="U1141" s="23"/>
      <c r="V1141" s="40"/>
      <c r="W1141" s="23"/>
      <c r="X1141" s="23"/>
      <c r="Y1141" s="40"/>
      <c r="Z1141" s="23"/>
      <c r="AA1141" s="23"/>
      <c r="AB1141" s="40"/>
      <c r="AC1141" s="42"/>
      <c r="AD1141" s="42"/>
      <c r="AE1141" s="40"/>
      <c r="AF1141" s="42"/>
      <c r="AG1141" s="42"/>
      <c r="AH1141" s="23"/>
      <c r="AI1141" s="42"/>
      <c r="AJ1141" s="42"/>
      <c r="AK1141" s="40"/>
      <c r="AL1141" s="84"/>
      <c r="AM1141" s="84"/>
      <c r="AN1141" s="40"/>
      <c r="AO1141" s="23"/>
    </row>
    <row r="1142" spans="1:41" ht="15.75" x14ac:dyDescent="0.25">
      <c r="A1142" s="44"/>
      <c r="B1142" s="23"/>
      <c r="C1142" s="23"/>
      <c r="D1142" s="36"/>
      <c r="E1142" s="23"/>
      <c r="F1142" s="23"/>
      <c r="G1142" s="40"/>
      <c r="H1142" s="23"/>
      <c r="I1142" s="23"/>
      <c r="J1142" s="40"/>
      <c r="K1142" s="36"/>
      <c r="L1142" s="36"/>
      <c r="M1142" s="40"/>
      <c r="N1142" s="23"/>
      <c r="O1142" s="36"/>
      <c r="P1142" s="40"/>
      <c r="Q1142" s="36"/>
      <c r="R1142" s="36"/>
      <c r="S1142" s="40"/>
      <c r="T1142" s="23"/>
      <c r="U1142" s="23"/>
      <c r="V1142" s="40"/>
      <c r="W1142" s="23"/>
      <c r="X1142" s="23"/>
      <c r="Y1142" s="40"/>
      <c r="Z1142" s="23"/>
      <c r="AA1142" s="23"/>
      <c r="AB1142" s="40"/>
      <c r="AC1142" s="42"/>
      <c r="AD1142" s="42"/>
      <c r="AE1142" s="40"/>
      <c r="AF1142" s="42"/>
      <c r="AG1142" s="42"/>
      <c r="AH1142" s="23"/>
      <c r="AI1142" s="42"/>
      <c r="AJ1142" s="42"/>
      <c r="AK1142" s="40"/>
      <c r="AL1142" s="84"/>
      <c r="AM1142" s="84"/>
      <c r="AN1142" s="40"/>
      <c r="AO1142" s="23"/>
    </row>
    <row r="1143" spans="1:41" ht="15.75" x14ac:dyDescent="0.25">
      <c r="A1143" s="44"/>
      <c r="B1143" s="23"/>
      <c r="C1143" s="23"/>
      <c r="D1143" s="36"/>
      <c r="E1143" s="23"/>
      <c r="F1143" s="23"/>
      <c r="G1143" s="40"/>
      <c r="H1143" s="23"/>
      <c r="I1143" s="23"/>
      <c r="J1143" s="40"/>
      <c r="K1143" s="36"/>
      <c r="L1143" s="36"/>
      <c r="M1143" s="40"/>
      <c r="N1143" s="23"/>
      <c r="O1143" s="36"/>
      <c r="P1143" s="40"/>
      <c r="Q1143" s="36"/>
      <c r="R1143" s="36"/>
      <c r="S1143" s="40"/>
      <c r="T1143" s="23"/>
      <c r="U1143" s="23"/>
      <c r="V1143" s="40"/>
      <c r="W1143" s="23"/>
      <c r="X1143" s="23"/>
      <c r="Y1143" s="40"/>
      <c r="Z1143" s="23"/>
      <c r="AA1143" s="23"/>
      <c r="AB1143" s="40"/>
      <c r="AC1143" s="42"/>
      <c r="AD1143" s="42"/>
      <c r="AE1143" s="40"/>
      <c r="AF1143" s="42"/>
      <c r="AG1143" s="42"/>
      <c r="AH1143" s="23"/>
      <c r="AI1143" s="42"/>
      <c r="AJ1143" s="42"/>
      <c r="AK1143" s="40"/>
      <c r="AL1143" s="84"/>
      <c r="AM1143" s="84"/>
      <c r="AN1143" s="40"/>
      <c r="AO1143" s="23"/>
    </row>
    <row r="1144" spans="1:41" ht="15.75" x14ac:dyDescent="0.25">
      <c r="A1144" s="44"/>
      <c r="B1144" s="23"/>
      <c r="C1144" s="23"/>
      <c r="D1144" s="36"/>
      <c r="E1144" s="23"/>
      <c r="F1144" s="23"/>
      <c r="G1144" s="40"/>
      <c r="H1144" s="23"/>
      <c r="I1144" s="23"/>
      <c r="J1144" s="40"/>
      <c r="K1144" s="36"/>
      <c r="L1144" s="36"/>
      <c r="M1144" s="40"/>
      <c r="N1144" s="23"/>
      <c r="O1144" s="36"/>
      <c r="P1144" s="40"/>
      <c r="Q1144" s="36"/>
      <c r="R1144" s="36"/>
      <c r="S1144" s="40"/>
      <c r="T1144" s="23"/>
      <c r="U1144" s="23"/>
      <c r="V1144" s="40"/>
      <c r="W1144" s="23"/>
      <c r="X1144" s="23"/>
      <c r="Y1144" s="40"/>
      <c r="Z1144" s="23"/>
      <c r="AA1144" s="23"/>
      <c r="AB1144" s="40"/>
      <c r="AC1144" s="42"/>
      <c r="AD1144" s="42"/>
      <c r="AE1144" s="40"/>
      <c r="AF1144" s="42"/>
      <c r="AG1144" s="42"/>
      <c r="AH1144" s="23"/>
      <c r="AI1144" s="42"/>
      <c r="AJ1144" s="42"/>
      <c r="AK1144" s="40"/>
      <c r="AL1144" s="84"/>
      <c r="AM1144" s="84"/>
      <c r="AN1144" s="40"/>
      <c r="AO1144" s="23"/>
    </row>
    <row r="1145" spans="1:41" ht="15.75" x14ac:dyDescent="0.25">
      <c r="A1145" s="44"/>
      <c r="B1145" s="23"/>
      <c r="C1145" s="23"/>
      <c r="D1145" s="36"/>
      <c r="E1145" s="23"/>
      <c r="F1145" s="23"/>
      <c r="G1145" s="40"/>
      <c r="H1145" s="23"/>
      <c r="I1145" s="23"/>
      <c r="J1145" s="40"/>
      <c r="K1145" s="36"/>
      <c r="L1145" s="36"/>
      <c r="M1145" s="40"/>
      <c r="N1145" s="23"/>
      <c r="O1145" s="36"/>
      <c r="P1145" s="40"/>
      <c r="Q1145" s="36"/>
      <c r="R1145" s="36"/>
      <c r="S1145" s="40"/>
      <c r="T1145" s="23"/>
      <c r="U1145" s="23"/>
      <c r="V1145" s="40"/>
      <c r="W1145" s="23"/>
      <c r="X1145" s="23"/>
      <c r="Y1145" s="40"/>
      <c r="Z1145" s="23"/>
      <c r="AA1145" s="23"/>
      <c r="AB1145" s="40"/>
      <c r="AC1145" s="42"/>
      <c r="AD1145" s="42"/>
      <c r="AE1145" s="40"/>
      <c r="AF1145" s="42"/>
      <c r="AG1145" s="42"/>
      <c r="AH1145" s="23"/>
      <c r="AI1145" s="42"/>
      <c r="AJ1145" s="42"/>
      <c r="AK1145" s="40"/>
      <c r="AL1145" s="84"/>
      <c r="AM1145" s="84"/>
      <c r="AN1145" s="40"/>
      <c r="AO1145" s="23"/>
    </row>
    <row r="1146" spans="1:41" ht="15.75" x14ac:dyDescent="0.25">
      <c r="A1146" s="44"/>
      <c r="B1146" s="23"/>
      <c r="C1146" s="23"/>
      <c r="D1146" s="36"/>
      <c r="E1146" s="23"/>
      <c r="F1146" s="23"/>
      <c r="G1146" s="40"/>
      <c r="H1146" s="23"/>
      <c r="I1146" s="23"/>
      <c r="J1146" s="40"/>
      <c r="K1146" s="36"/>
      <c r="L1146" s="36"/>
      <c r="M1146" s="40"/>
      <c r="N1146" s="23"/>
      <c r="O1146" s="36"/>
      <c r="P1146" s="40"/>
      <c r="Q1146" s="36"/>
      <c r="R1146" s="36"/>
      <c r="S1146" s="40"/>
      <c r="T1146" s="23"/>
      <c r="U1146" s="23"/>
      <c r="V1146" s="40"/>
      <c r="W1146" s="23"/>
      <c r="X1146" s="23"/>
      <c r="Y1146" s="40"/>
      <c r="Z1146" s="23"/>
      <c r="AA1146" s="23"/>
      <c r="AB1146" s="40"/>
      <c r="AC1146" s="42"/>
      <c r="AD1146" s="42"/>
      <c r="AE1146" s="40"/>
      <c r="AF1146" s="42"/>
      <c r="AG1146" s="42"/>
      <c r="AH1146" s="23"/>
      <c r="AI1146" s="42"/>
      <c r="AJ1146" s="42"/>
      <c r="AK1146" s="40"/>
      <c r="AL1146" s="84"/>
      <c r="AM1146" s="84"/>
      <c r="AN1146" s="40"/>
      <c r="AO1146" s="23"/>
    </row>
    <row r="1147" spans="1:41" ht="15.75" x14ac:dyDescent="0.25">
      <c r="A1147" s="44"/>
      <c r="B1147" s="23"/>
      <c r="C1147" s="23"/>
      <c r="D1147" s="36"/>
      <c r="E1147" s="23"/>
      <c r="F1147" s="23"/>
      <c r="G1147" s="40"/>
      <c r="H1147" s="23"/>
      <c r="I1147" s="23"/>
      <c r="J1147" s="40"/>
      <c r="K1147" s="36"/>
      <c r="L1147" s="36"/>
      <c r="M1147" s="40"/>
      <c r="N1147" s="23"/>
      <c r="O1147" s="36"/>
      <c r="P1147" s="40"/>
      <c r="Q1147" s="36"/>
      <c r="R1147" s="36"/>
      <c r="S1147" s="40"/>
      <c r="T1147" s="23"/>
      <c r="U1147" s="23"/>
      <c r="V1147" s="40"/>
      <c r="W1147" s="23"/>
      <c r="X1147" s="23"/>
      <c r="Y1147" s="40"/>
      <c r="Z1147" s="23"/>
      <c r="AA1147" s="23"/>
      <c r="AB1147" s="40"/>
      <c r="AC1147" s="42"/>
      <c r="AD1147" s="42"/>
      <c r="AE1147" s="40"/>
      <c r="AF1147" s="42"/>
      <c r="AG1147" s="42"/>
      <c r="AH1147" s="23"/>
      <c r="AI1147" s="42"/>
      <c r="AJ1147" s="42"/>
      <c r="AK1147" s="40"/>
      <c r="AL1147" s="84"/>
      <c r="AM1147" s="84"/>
      <c r="AN1147" s="40"/>
      <c r="AO1147" s="23"/>
    </row>
    <row r="1148" spans="1:41" ht="15.75" x14ac:dyDescent="0.25">
      <c r="A1148" s="44"/>
      <c r="B1148" s="23"/>
      <c r="C1148" s="23"/>
      <c r="D1148" s="36"/>
      <c r="E1148" s="23"/>
      <c r="F1148" s="23"/>
      <c r="G1148" s="40"/>
      <c r="H1148" s="23"/>
      <c r="I1148" s="23"/>
      <c r="J1148" s="40"/>
      <c r="K1148" s="36"/>
      <c r="L1148" s="36"/>
      <c r="M1148" s="40"/>
      <c r="N1148" s="23"/>
      <c r="O1148" s="36"/>
      <c r="P1148" s="40"/>
      <c r="Q1148" s="36"/>
      <c r="R1148" s="36"/>
      <c r="S1148" s="40"/>
      <c r="T1148" s="23"/>
      <c r="U1148" s="23"/>
      <c r="V1148" s="40"/>
      <c r="W1148" s="23"/>
      <c r="X1148" s="23"/>
      <c r="Y1148" s="40"/>
      <c r="Z1148" s="23"/>
      <c r="AA1148" s="23"/>
      <c r="AB1148" s="40"/>
      <c r="AC1148" s="42"/>
      <c r="AD1148" s="42"/>
      <c r="AE1148" s="40"/>
      <c r="AF1148" s="42"/>
      <c r="AG1148" s="42"/>
      <c r="AH1148" s="23"/>
      <c r="AI1148" s="42"/>
      <c r="AJ1148" s="42"/>
      <c r="AK1148" s="40"/>
      <c r="AL1148" s="84"/>
      <c r="AM1148" s="84"/>
      <c r="AN1148" s="40"/>
      <c r="AO1148" s="23"/>
    </row>
    <row r="1149" spans="1:41" ht="15.75" x14ac:dyDescent="0.25">
      <c r="A1149" s="44"/>
      <c r="B1149" s="23"/>
      <c r="C1149" s="23"/>
      <c r="D1149" s="36"/>
      <c r="E1149" s="23"/>
      <c r="F1149" s="23"/>
      <c r="G1149" s="40"/>
      <c r="H1149" s="23"/>
      <c r="I1149" s="23"/>
      <c r="J1149" s="40"/>
      <c r="K1149" s="36"/>
      <c r="L1149" s="36"/>
      <c r="M1149" s="40"/>
      <c r="N1149" s="23"/>
      <c r="O1149" s="36"/>
      <c r="P1149" s="40"/>
      <c r="Q1149" s="36"/>
      <c r="R1149" s="36"/>
      <c r="S1149" s="40"/>
      <c r="T1149" s="23"/>
      <c r="U1149" s="23"/>
      <c r="V1149" s="40"/>
      <c r="W1149" s="23"/>
      <c r="X1149" s="23"/>
      <c r="Y1149" s="40"/>
      <c r="Z1149" s="23"/>
      <c r="AA1149" s="23"/>
      <c r="AB1149" s="40"/>
      <c r="AC1149" s="42"/>
      <c r="AD1149" s="42"/>
      <c r="AE1149" s="40"/>
      <c r="AF1149" s="42"/>
      <c r="AG1149" s="42"/>
      <c r="AH1149" s="23"/>
      <c r="AI1149" s="42"/>
      <c r="AJ1149" s="42"/>
      <c r="AK1149" s="40"/>
      <c r="AL1149" s="84"/>
      <c r="AM1149" s="84"/>
      <c r="AN1149" s="40"/>
      <c r="AO1149" s="23"/>
    </row>
    <row r="1150" spans="1:41" ht="15.75" x14ac:dyDescent="0.25">
      <c r="A1150" s="44"/>
      <c r="B1150" s="23"/>
      <c r="C1150" s="23"/>
      <c r="D1150" s="36"/>
      <c r="E1150" s="23"/>
      <c r="F1150" s="23"/>
      <c r="G1150" s="40"/>
      <c r="H1150" s="23"/>
      <c r="I1150" s="23"/>
      <c r="J1150" s="40"/>
      <c r="K1150" s="36"/>
      <c r="L1150" s="36"/>
      <c r="M1150" s="40"/>
      <c r="N1150" s="23"/>
      <c r="O1150" s="36"/>
      <c r="P1150" s="40"/>
      <c r="Q1150" s="36"/>
      <c r="R1150" s="36"/>
      <c r="S1150" s="40"/>
      <c r="T1150" s="23"/>
      <c r="U1150" s="23"/>
      <c r="V1150" s="40"/>
      <c r="W1150" s="23"/>
      <c r="X1150" s="23"/>
      <c r="Y1150" s="40"/>
      <c r="Z1150" s="23"/>
      <c r="AA1150" s="23"/>
      <c r="AB1150" s="40"/>
      <c r="AC1150" s="42"/>
      <c r="AD1150" s="42"/>
      <c r="AE1150" s="40"/>
      <c r="AF1150" s="42"/>
      <c r="AG1150" s="42"/>
      <c r="AH1150" s="23"/>
      <c r="AI1150" s="42"/>
      <c r="AJ1150" s="42"/>
      <c r="AK1150" s="40"/>
      <c r="AL1150" s="84"/>
      <c r="AM1150" s="84"/>
      <c r="AN1150" s="40"/>
      <c r="AO1150" s="23"/>
    </row>
    <row r="1151" spans="1:41" ht="15.75" x14ac:dyDescent="0.25">
      <c r="A1151" s="44"/>
      <c r="B1151" s="23"/>
      <c r="C1151" s="23"/>
      <c r="D1151" s="36"/>
      <c r="E1151" s="23"/>
      <c r="F1151" s="23"/>
      <c r="G1151" s="40"/>
      <c r="H1151" s="23"/>
      <c r="I1151" s="23"/>
      <c r="J1151" s="40"/>
      <c r="K1151" s="36"/>
      <c r="L1151" s="36"/>
      <c r="M1151" s="40"/>
      <c r="N1151" s="23"/>
      <c r="O1151" s="36"/>
      <c r="P1151" s="40"/>
      <c r="Q1151" s="36"/>
      <c r="R1151" s="36"/>
      <c r="S1151" s="40"/>
      <c r="T1151" s="23"/>
      <c r="U1151" s="23"/>
      <c r="V1151" s="40"/>
      <c r="W1151" s="23"/>
      <c r="X1151" s="23"/>
      <c r="Y1151" s="40"/>
      <c r="Z1151" s="23"/>
      <c r="AA1151" s="23"/>
      <c r="AB1151" s="40"/>
      <c r="AC1151" s="42"/>
      <c r="AD1151" s="42"/>
      <c r="AE1151" s="40"/>
      <c r="AF1151" s="42"/>
      <c r="AG1151" s="42"/>
      <c r="AH1151" s="23"/>
      <c r="AI1151" s="42"/>
      <c r="AJ1151" s="42"/>
      <c r="AK1151" s="40"/>
      <c r="AL1151" s="84"/>
      <c r="AM1151" s="84"/>
      <c r="AN1151" s="40"/>
      <c r="AO1151" s="23"/>
    </row>
    <row r="1152" spans="1:41" ht="15.75" x14ac:dyDescent="0.25">
      <c r="A1152" s="44"/>
      <c r="B1152" s="23"/>
      <c r="C1152" s="23"/>
      <c r="D1152" s="36"/>
      <c r="E1152" s="23"/>
      <c r="F1152" s="23"/>
      <c r="G1152" s="40"/>
      <c r="H1152" s="23"/>
      <c r="I1152" s="23"/>
      <c r="J1152" s="40"/>
      <c r="K1152" s="36"/>
      <c r="L1152" s="36"/>
      <c r="M1152" s="40"/>
      <c r="N1152" s="23"/>
      <c r="O1152" s="36"/>
      <c r="P1152" s="40"/>
      <c r="Q1152" s="36"/>
      <c r="R1152" s="36"/>
      <c r="S1152" s="40"/>
      <c r="T1152" s="23"/>
      <c r="U1152" s="23"/>
      <c r="V1152" s="40"/>
      <c r="W1152" s="23"/>
      <c r="X1152" s="23"/>
      <c r="Y1152" s="40"/>
      <c r="Z1152" s="23"/>
      <c r="AA1152" s="23"/>
      <c r="AB1152" s="40"/>
      <c r="AC1152" s="42"/>
      <c r="AD1152" s="42"/>
      <c r="AE1152" s="40"/>
      <c r="AF1152" s="42"/>
      <c r="AG1152" s="42"/>
      <c r="AH1152" s="23"/>
      <c r="AI1152" s="42"/>
      <c r="AJ1152" s="42"/>
      <c r="AK1152" s="40"/>
      <c r="AL1152" s="84"/>
      <c r="AM1152" s="84"/>
      <c r="AN1152" s="40"/>
      <c r="AO1152" s="23"/>
    </row>
    <row r="1153" spans="1:41" ht="15.75" x14ac:dyDescent="0.25">
      <c r="A1153" s="44"/>
      <c r="B1153" s="23"/>
      <c r="C1153" s="23"/>
      <c r="D1153" s="36"/>
      <c r="E1153" s="23"/>
      <c r="F1153" s="23"/>
      <c r="G1153" s="40"/>
      <c r="H1153" s="23"/>
      <c r="I1153" s="23"/>
      <c r="J1153" s="40"/>
      <c r="K1153" s="36"/>
      <c r="L1153" s="36"/>
      <c r="M1153" s="40"/>
      <c r="N1153" s="23"/>
      <c r="O1153" s="36"/>
      <c r="P1153" s="40"/>
      <c r="Q1153" s="36"/>
      <c r="R1153" s="36"/>
      <c r="S1153" s="40"/>
      <c r="T1153" s="23"/>
      <c r="U1153" s="23"/>
      <c r="V1153" s="40"/>
      <c r="W1153" s="23"/>
      <c r="X1153" s="23"/>
      <c r="Y1153" s="40"/>
      <c r="Z1153" s="23"/>
      <c r="AA1153" s="23"/>
      <c r="AB1153" s="40"/>
      <c r="AC1153" s="42"/>
      <c r="AD1153" s="42"/>
      <c r="AE1153" s="40"/>
      <c r="AF1153" s="42"/>
      <c r="AG1153" s="42"/>
      <c r="AH1153" s="23"/>
      <c r="AI1153" s="42"/>
      <c r="AJ1153" s="42"/>
      <c r="AK1153" s="40"/>
      <c r="AL1153" s="84"/>
      <c r="AM1153" s="84"/>
      <c r="AN1153" s="40"/>
      <c r="AO1153" s="23"/>
    </row>
    <row r="1154" spans="1:41" ht="15.75" x14ac:dyDescent="0.25">
      <c r="A1154" s="44"/>
      <c r="B1154" s="23"/>
      <c r="C1154" s="23"/>
      <c r="D1154" s="36"/>
      <c r="E1154" s="23"/>
      <c r="F1154" s="23"/>
      <c r="G1154" s="40"/>
      <c r="H1154" s="23"/>
      <c r="I1154" s="23"/>
      <c r="J1154" s="40"/>
      <c r="K1154" s="36"/>
      <c r="L1154" s="36"/>
      <c r="M1154" s="40"/>
      <c r="N1154" s="23"/>
      <c r="O1154" s="36"/>
      <c r="P1154" s="40"/>
      <c r="Q1154" s="36"/>
      <c r="R1154" s="36"/>
      <c r="S1154" s="40"/>
      <c r="T1154" s="23"/>
      <c r="U1154" s="23"/>
      <c r="V1154" s="40"/>
      <c r="W1154" s="23"/>
      <c r="X1154" s="23"/>
      <c r="Y1154" s="40"/>
      <c r="Z1154" s="23"/>
      <c r="AA1154" s="23"/>
      <c r="AB1154" s="40"/>
      <c r="AC1154" s="42"/>
      <c r="AD1154" s="42"/>
      <c r="AE1154" s="40"/>
      <c r="AF1154" s="42"/>
      <c r="AG1154" s="42"/>
      <c r="AH1154" s="23"/>
      <c r="AI1154" s="42"/>
      <c r="AJ1154" s="42"/>
      <c r="AK1154" s="40"/>
      <c r="AL1154" s="84"/>
      <c r="AM1154" s="84"/>
      <c r="AN1154" s="40"/>
      <c r="AO1154" s="23"/>
    </row>
    <row r="1155" spans="1:41" ht="15.75" x14ac:dyDescent="0.25">
      <c r="A1155" s="44"/>
      <c r="B1155" s="23"/>
      <c r="C1155" s="23"/>
      <c r="D1155" s="36"/>
      <c r="E1155" s="23"/>
      <c r="F1155" s="23"/>
      <c r="G1155" s="40"/>
      <c r="H1155" s="23"/>
      <c r="I1155" s="23"/>
      <c r="J1155" s="40"/>
      <c r="K1155" s="36"/>
      <c r="L1155" s="36"/>
      <c r="M1155" s="40"/>
      <c r="N1155" s="23"/>
      <c r="O1155" s="36"/>
      <c r="P1155" s="40"/>
      <c r="Q1155" s="36"/>
      <c r="R1155" s="36"/>
      <c r="S1155" s="40"/>
      <c r="T1155" s="23"/>
      <c r="U1155" s="23"/>
      <c r="V1155" s="40"/>
      <c r="W1155" s="23"/>
      <c r="X1155" s="23"/>
      <c r="Y1155" s="40"/>
      <c r="Z1155" s="23"/>
      <c r="AA1155" s="23"/>
      <c r="AB1155" s="40"/>
      <c r="AC1155" s="42"/>
      <c r="AD1155" s="42"/>
      <c r="AE1155" s="40"/>
      <c r="AF1155" s="42"/>
      <c r="AG1155" s="42"/>
      <c r="AH1155" s="23"/>
      <c r="AI1155" s="42"/>
      <c r="AJ1155" s="42"/>
      <c r="AK1155" s="40"/>
      <c r="AL1155" s="84"/>
      <c r="AM1155" s="84"/>
      <c r="AN1155" s="40"/>
      <c r="AO1155" s="23"/>
    </row>
    <row r="1156" spans="1:41" ht="15.75" x14ac:dyDescent="0.25">
      <c r="A1156" s="44"/>
      <c r="B1156" s="23"/>
      <c r="C1156" s="23"/>
      <c r="D1156" s="36"/>
      <c r="E1156" s="23"/>
      <c r="F1156" s="23"/>
      <c r="G1156" s="40"/>
      <c r="H1156" s="23"/>
      <c r="I1156" s="23"/>
      <c r="J1156" s="40"/>
      <c r="K1156" s="36"/>
      <c r="L1156" s="36"/>
      <c r="M1156" s="40"/>
      <c r="N1156" s="23"/>
      <c r="O1156" s="36"/>
      <c r="P1156" s="40"/>
      <c r="Q1156" s="36"/>
      <c r="R1156" s="36"/>
      <c r="S1156" s="40"/>
      <c r="T1156" s="23"/>
      <c r="U1156" s="23"/>
      <c r="V1156" s="40"/>
      <c r="W1156" s="23"/>
      <c r="X1156" s="23"/>
      <c r="Y1156" s="40"/>
      <c r="Z1156" s="23"/>
      <c r="AA1156" s="23"/>
      <c r="AB1156" s="40"/>
      <c r="AC1156" s="42"/>
      <c r="AD1156" s="42"/>
      <c r="AE1156" s="40"/>
      <c r="AF1156" s="42"/>
      <c r="AG1156" s="42"/>
      <c r="AH1156" s="23"/>
      <c r="AI1156" s="42"/>
      <c r="AJ1156" s="42"/>
      <c r="AK1156" s="40"/>
      <c r="AL1156" s="84"/>
      <c r="AM1156" s="84"/>
      <c r="AN1156" s="40"/>
      <c r="AO1156" s="23"/>
    </row>
    <row r="1157" spans="1:41" ht="15.75" x14ac:dyDescent="0.25">
      <c r="A1157" s="44"/>
      <c r="B1157" s="23"/>
      <c r="C1157" s="23"/>
      <c r="D1157" s="36"/>
      <c r="E1157" s="23"/>
      <c r="F1157" s="23"/>
      <c r="G1157" s="40"/>
      <c r="H1157" s="23"/>
      <c r="I1157" s="23"/>
      <c r="J1157" s="40"/>
      <c r="K1157" s="36"/>
      <c r="L1157" s="36"/>
      <c r="M1157" s="40"/>
      <c r="N1157" s="23"/>
      <c r="O1157" s="36"/>
      <c r="P1157" s="40"/>
      <c r="Q1157" s="36"/>
      <c r="R1157" s="36"/>
      <c r="S1157" s="40"/>
      <c r="T1157" s="23"/>
      <c r="U1157" s="23"/>
      <c r="V1157" s="40"/>
      <c r="W1157" s="23"/>
      <c r="X1157" s="23"/>
      <c r="Y1157" s="40"/>
      <c r="Z1157" s="23"/>
      <c r="AA1157" s="23"/>
      <c r="AB1157" s="40"/>
      <c r="AC1157" s="42"/>
      <c r="AD1157" s="42"/>
      <c r="AE1157" s="40"/>
      <c r="AF1157" s="42"/>
      <c r="AG1157" s="42"/>
      <c r="AH1157" s="23"/>
      <c r="AI1157" s="42"/>
      <c r="AJ1157" s="42"/>
      <c r="AK1157" s="40"/>
      <c r="AL1157" s="84"/>
      <c r="AM1157" s="84"/>
      <c r="AN1157" s="40"/>
      <c r="AO1157" s="23"/>
    </row>
    <row r="1158" spans="1:41" ht="15.75" x14ac:dyDescent="0.25">
      <c r="A1158" s="44"/>
      <c r="B1158" s="23"/>
      <c r="C1158" s="23"/>
      <c r="D1158" s="36"/>
      <c r="E1158" s="23"/>
      <c r="F1158" s="23"/>
      <c r="G1158" s="40"/>
      <c r="H1158" s="23"/>
      <c r="I1158" s="23"/>
      <c r="J1158" s="40"/>
      <c r="K1158" s="36"/>
      <c r="L1158" s="36"/>
      <c r="M1158" s="40"/>
      <c r="N1158" s="23"/>
      <c r="O1158" s="36"/>
      <c r="P1158" s="40"/>
      <c r="Q1158" s="36"/>
      <c r="R1158" s="36"/>
      <c r="S1158" s="40"/>
      <c r="T1158" s="23"/>
      <c r="U1158" s="23"/>
      <c r="V1158" s="40"/>
      <c r="W1158" s="23"/>
      <c r="X1158" s="23"/>
      <c r="Y1158" s="40"/>
      <c r="Z1158" s="23"/>
      <c r="AA1158" s="23"/>
      <c r="AB1158" s="40"/>
      <c r="AC1158" s="42"/>
      <c r="AD1158" s="42"/>
      <c r="AE1158" s="40"/>
      <c r="AF1158" s="42"/>
      <c r="AG1158" s="42"/>
      <c r="AH1158" s="23"/>
      <c r="AI1158" s="42"/>
      <c r="AJ1158" s="42"/>
      <c r="AK1158" s="40"/>
      <c r="AL1158" s="84"/>
      <c r="AM1158" s="84"/>
      <c r="AN1158" s="40"/>
      <c r="AO1158" s="23"/>
    </row>
    <row r="1159" spans="1:41" ht="15.75" x14ac:dyDescent="0.25">
      <c r="A1159" s="44"/>
      <c r="B1159" s="23"/>
      <c r="C1159" s="23"/>
      <c r="D1159" s="36"/>
      <c r="E1159" s="23"/>
      <c r="F1159" s="23"/>
      <c r="G1159" s="40"/>
      <c r="H1159" s="23"/>
      <c r="I1159" s="23"/>
      <c r="J1159" s="40"/>
      <c r="K1159" s="36"/>
      <c r="L1159" s="36"/>
      <c r="M1159" s="40"/>
      <c r="N1159" s="23"/>
      <c r="O1159" s="36"/>
      <c r="P1159" s="40"/>
      <c r="Q1159" s="36"/>
      <c r="R1159" s="36"/>
      <c r="S1159" s="40"/>
      <c r="T1159" s="23"/>
      <c r="U1159" s="23"/>
      <c r="V1159" s="40"/>
      <c r="W1159" s="23"/>
      <c r="X1159" s="23"/>
      <c r="Y1159" s="40"/>
      <c r="Z1159" s="23"/>
      <c r="AA1159" s="23"/>
      <c r="AB1159" s="40"/>
      <c r="AC1159" s="42"/>
      <c r="AD1159" s="42"/>
      <c r="AE1159" s="40"/>
      <c r="AF1159" s="42"/>
      <c r="AG1159" s="42"/>
      <c r="AH1159" s="23"/>
      <c r="AI1159" s="42"/>
      <c r="AJ1159" s="42"/>
      <c r="AK1159" s="40"/>
      <c r="AL1159" s="84"/>
      <c r="AM1159" s="84"/>
      <c r="AN1159" s="40"/>
      <c r="AO1159" s="23"/>
    </row>
    <row r="1160" spans="1:41" ht="15.75" x14ac:dyDescent="0.25">
      <c r="A1160" s="44"/>
      <c r="B1160" s="23"/>
      <c r="C1160" s="23"/>
      <c r="D1160" s="36"/>
      <c r="E1160" s="23"/>
      <c r="F1160" s="23"/>
      <c r="G1160" s="40"/>
      <c r="H1160" s="23"/>
      <c r="I1160" s="23"/>
      <c r="J1160" s="40"/>
      <c r="K1160" s="36"/>
      <c r="L1160" s="36"/>
      <c r="M1160" s="40"/>
      <c r="N1160" s="23"/>
      <c r="O1160" s="36"/>
      <c r="P1160" s="40"/>
      <c r="Q1160" s="36"/>
      <c r="R1160" s="36"/>
      <c r="S1160" s="40"/>
      <c r="T1160" s="23"/>
      <c r="U1160" s="23"/>
      <c r="V1160" s="40"/>
      <c r="W1160" s="23"/>
      <c r="X1160" s="23"/>
      <c r="Y1160" s="40"/>
      <c r="Z1160" s="23"/>
      <c r="AA1160" s="23"/>
      <c r="AB1160" s="40"/>
      <c r="AC1160" s="42"/>
      <c r="AD1160" s="42"/>
      <c r="AE1160" s="40"/>
      <c r="AF1160" s="42"/>
      <c r="AG1160" s="42"/>
      <c r="AH1160" s="23"/>
      <c r="AI1160" s="42"/>
      <c r="AJ1160" s="42"/>
      <c r="AK1160" s="40"/>
      <c r="AL1160" s="84"/>
      <c r="AM1160" s="84"/>
      <c r="AN1160" s="40"/>
      <c r="AO1160" s="23"/>
    </row>
    <row r="1161" spans="1:41" ht="15.75" x14ac:dyDescent="0.25">
      <c r="A1161" s="44"/>
      <c r="B1161" s="23"/>
      <c r="C1161" s="23"/>
      <c r="D1161" s="36"/>
      <c r="E1161" s="23"/>
      <c r="F1161" s="23"/>
      <c r="G1161" s="40"/>
      <c r="H1161" s="23"/>
      <c r="I1161" s="23"/>
      <c r="J1161" s="40"/>
      <c r="K1161" s="36"/>
      <c r="L1161" s="36"/>
      <c r="M1161" s="40"/>
      <c r="N1161" s="23"/>
      <c r="O1161" s="36"/>
      <c r="P1161" s="40"/>
      <c r="Q1161" s="36"/>
      <c r="R1161" s="36"/>
      <c r="S1161" s="40"/>
      <c r="T1161" s="23"/>
      <c r="U1161" s="23"/>
      <c r="V1161" s="40"/>
      <c r="W1161" s="23"/>
      <c r="X1161" s="23"/>
      <c r="Y1161" s="40"/>
      <c r="Z1161" s="23"/>
      <c r="AA1161" s="23"/>
      <c r="AB1161" s="40"/>
      <c r="AC1161" s="42"/>
      <c r="AD1161" s="42"/>
      <c r="AE1161" s="40"/>
      <c r="AF1161" s="42"/>
      <c r="AG1161" s="42"/>
      <c r="AH1161" s="23"/>
      <c r="AI1161" s="42"/>
      <c r="AJ1161" s="42"/>
      <c r="AK1161" s="40"/>
      <c r="AL1161" s="84"/>
      <c r="AM1161" s="84"/>
      <c r="AN1161" s="40"/>
      <c r="AO1161" s="23"/>
    </row>
    <row r="1162" spans="1:41" ht="15.75" x14ac:dyDescent="0.25">
      <c r="A1162" s="44"/>
      <c r="B1162" s="23"/>
      <c r="C1162" s="23"/>
      <c r="D1162" s="36"/>
      <c r="E1162" s="23"/>
      <c r="F1162" s="23"/>
      <c r="G1162" s="40"/>
      <c r="H1162" s="23"/>
      <c r="I1162" s="23"/>
      <c r="J1162" s="40"/>
      <c r="K1162" s="36"/>
      <c r="L1162" s="36"/>
      <c r="M1162" s="40"/>
      <c r="N1162" s="23"/>
      <c r="O1162" s="36"/>
      <c r="P1162" s="40"/>
      <c r="Q1162" s="36"/>
      <c r="R1162" s="36"/>
      <c r="S1162" s="40"/>
      <c r="T1162" s="23"/>
      <c r="U1162" s="23"/>
      <c r="V1162" s="40"/>
      <c r="W1162" s="23"/>
      <c r="X1162" s="23"/>
      <c r="Y1162" s="40"/>
      <c r="Z1162" s="23"/>
      <c r="AA1162" s="23"/>
      <c r="AB1162" s="40"/>
      <c r="AC1162" s="42"/>
      <c r="AD1162" s="42"/>
      <c r="AE1162" s="40"/>
      <c r="AF1162" s="42"/>
      <c r="AG1162" s="42"/>
      <c r="AH1162" s="23"/>
      <c r="AI1162" s="42"/>
      <c r="AJ1162" s="42"/>
      <c r="AK1162" s="40"/>
      <c r="AL1162" s="84"/>
      <c r="AM1162" s="84"/>
      <c r="AN1162" s="40"/>
      <c r="AO1162" s="23"/>
    </row>
    <row r="1163" spans="1:41" ht="15.75" x14ac:dyDescent="0.25">
      <c r="A1163" s="44"/>
      <c r="B1163" s="23"/>
      <c r="C1163" s="23"/>
      <c r="D1163" s="36"/>
      <c r="E1163" s="23"/>
      <c r="F1163" s="23"/>
      <c r="G1163" s="40"/>
      <c r="H1163" s="23"/>
      <c r="I1163" s="23"/>
      <c r="J1163" s="40"/>
      <c r="K1163" s="36"/>
      <c r="L1163" s="36"/>
      <c r="M1163" s="40"/>
      <c r="N1163" s="23"/>
      <c r="O1163" s="36"/>
      <c r="P1163" s="40"/>
      <c r="Q1163" s="36"/>
      <c r="R1163" s="36"/>
      <c r="S1163" s="40"/>
      <c r="T1163" s="23"/>
      <c r="U1163" s="23"/>
      <c r="V1163" s="40"/>
      <c r="W1163" s="23"/>
      <c r="X1163" s="23"/>
      <c r="Y1163" s="40"/>
      <c r="Z1163" s="23"/>
      <c r="AA1163" s="23"/>
      <c r="AB1163" s="40"/>
      <c r="AC1163" s="42"/>
      <c r="AD1163" s="42"/>
      <c r="AE1163" s="40"/>
      <c r="AF1163" s="42"/>
      <c r="AG1163" s="42"/>
      <c r="AH1163" s="23"/>
      <c r="AI1163" s="42"/>
      <c r="AJ1163" s="42"/>
      <c r="AK1163" s="40"/>
      <c r="AL1163" s="84"/>
      <c r="AM1163" s="84"/>
      <c r="AN1163" s="40"/>
      <c r="AO1163" s="23"/>
    </row>
    <row r="1164" spans="1:41" ht="15.75" x14ac:dyDescent="0.25">
      <c r="A1164" s="44"/>
      <c r="B1164" s="23"/>
      <c r="C1164" s="23"/>
      <c r="D1164" s="36"/>
      <c r="E1164" s="23"/>
      <c r="F1164" s="23"/>
      <c r="G1164" s="40"/>
      <c r="H1164" s="23"/>
      <c r="I1164" s="23"/>
      <c r="J1164" s="40"/>
      <c r="K1164" s="36"/>
      <c r="L1164" s="36"/>
      <c r="M1164" s="40"/>
      <c r="N1164" s="23"/>
      <c r="O1164" s="36"/>
      <c r="P1164" s="40"/>
      <c r="Q1164" s="36"/>
      <c r="R1164" s="36"/>
      <c r="S1164" s="40"/>
      <c r="T1164" s="23"/>
      <c r="U1164" s="23"/>
      <c r="V1164" s="40"/>
      <c r="W1164" s="23"/>
      <c r="X1164" s="23"/>
      <c r="Y1164" s="40"/>
      <c r="Z1164" s="23"/>
      <c r="AA1164" s="23"/>
      <c r="AB1164" s="40"/>
      <c r="AC1164" s="42"/>
      <c r="AD1164" s="42"/>
      <c r="AE1164" s="40"/>
      <c r="AF1164" s="42"/>
      <c r="AG1164" s="42"/>
      <c r="AH1164" s="23"/>
      <c r="AI1164" s="42"/>
      <c r="AJ1164" s="42"/>
      <c r="AK1164" s="40"/>
      <c r="AL1164" s="84"/>
      <c r="AM1164" s="84"/>
      <c r="AN1164" s="40"/>
      <c r="AO1164" s="23"/>
    </row>
    <row r="1165" spans="1:41" ht="15.75" x14ac:dyDescent="0.25">
      <c r="A1165" s="44"/>
      <c r="B1165" s="23"/>
      <c r="C1165" s="23"/>
      <c r="D1165" s="36"/>
      <c r="E1165" s="23"/>
      <c r="F1165" s="23"/>
      <c r="G1165" s="40"/>
      <c r="H1165" s="23"/>
      <c r="I1165" s="23"/>
      <c r="J1165" s="40"/>
      <c r="K1165" s="36"/>
      <c r="L1165" s="36"/>
      <c r="M1165" s="40"/>
      <c r="N1165" s="23"/>
      <c r="O1165" s="36"/>
      <c r="P1165" s="40"/>
      <c r="Q1165" s="36"/>
      <c r="R1165" s="36"/>
      <c r="S1165" s="40"/>
      <c r="T1165" s="23"/>
      <c r="U1165" s="23"/>
      <c r="V1165" s="40"/>
      <c r="W1165" s="23"/>
      <c r="X1165" s="23"/>
      <c r="Y1165" s="40"/>
      <c r="Z1165" s="23"/>
      <c r="AA1165" s="23"/>
      <c r="AB1165" s="40"/>
      <c r="AC1165" s="42"/>
      <c r="AD1165" s="42"/>
      <c r="AE1165" s="40"/>
      <c r="AF1165" s="42"/>
      <c r="AG1165" s="42"/>
      <c r="AH1165" s="23"/>
      <c r="AI1165" s="42"/>
      <c r="AJ1165" s="42"/>
      <c r="AK1165" s="40"/>
      <c r="AL1165" s="84"/>
      <c r="AM1165" s="84"/>
      <c r="AN1165" s="40"/>
      <c r="AO1165" s="23"/>
    </row>
    <row r="1166" spans="1:41" ht="15.75" x14ac:dyDescent="0.25">
      <c r="A1166" s="44"/>
      <c r="B1166" s="23"/>
      <c r="C1166" s="23"/>
      <c r="D1166" s="36"/>
      <c r="E1166" s="23"/>
      <c r="F1166" s="23"/>
      <c r="G1166" s="40"/>
      <c r="H1166" s="23"/>
      <c r="I1166" s="23"/>
      <c r="J1166" s="40"/>
      <c r="K1166" s="36"/>
      <c r="L1166" s="36"/>
      <c r="M1166" s="40"/>
      <c r="N1166" s="23"/>
      <c r="O1166" s="36"/>
      <c r="P1166" s="40"/>
      <c r="Q1166" s="36"/>
      <c r="R1166" s="36"/>
      <c r="S1166" s="40"/>
      <c r="T1166" s="23"/>
      <c r="U1166" s="23"/>
      <c r="V1166" s="40"/>
      <c r="W1166" s="23"/>
      <c r="X1166" s="23"/>
      <c r="Y1166" s="40"/>
      <c r="Z1166" s="23"/>
      <c r="AA1166" s="23"/>
      <c r="AB1166" s="40"/>
      <c r="AC1166" s="42"/>
      <c r="AD1166" s="42"/>
      <c r="AE1166" s="40"/>
      <c r="AF1166" s="42"/>
      <c r="AG1166" s="42"/>
      <c r="AH1166" s="23"/>
      <c r="AI1166" s="42"/>
      <c r="AJ1166" s="42"/>
      <c r="AK1166" s="40"/>
      <c r="AL1166" s="84"/>
      <c r="AM1166" s="84"/>
      <c r="AN1166" s="40"/>
      <c r="AO1166" s="23"/>
    </row>
    <row r="1167" spans="1:41" ht="15.75" x14ac:dyDescent="0.25">
      <c r="A1167" s="44"/>
      <c r="B1167" s="23"/>
      <c r="C1167" s="23"/>
      <c r="D1167" s="36"/>
      <c r="E1167" s="23"/>
      <c r="F1167" s="23"/>
      <c r="G1167" s="40"/>
      <c r="H1167" s="23"/>
      <c r="I1167" s="23"/>
      <c r="J1167" s="40"/>
      <c r="K1167" s="36"/>
      <c r="L1167" s="36"/>
      <c r="M1167" s="40"/>
      <c r="N1167" s="23"/>
      <c r="O1167" s="36"/>
      <c r="P1167" s="40"/>
      <c r="Q1167" s="36"/>
      <c r="R1167" s="36"/>
      <c r="S1167" s="40"/>
      <c r="T1167" s="23"/>
      <c r="U1167" s="23"/>
      <c r="V1167" s="40"/>
      <c r="W1167" s="23"/>
      <c r="X1167" s="23"/>
      <c r="Y1167" s="40"/>
      <c r="Z1167" s="23"/>
      <c r="AA1167" s="23"/>
      <c r="AB1167" s="40"/>
      <c r="AC1167" s="42"/>
      <c r="AD1167" s="42"/>
      <c r="AE1167" s="40"/>
      <c r="AF1167" s="42"/>
      <c r="AG1167" s="42"/>
      <c r="AH1167" s="23"/>
      <c r="AI1167" s="42"/>
      <c r="AJ1167" s="42"/>
      <c r="AK1167" s="40"/>
      <c r="AL1167" s="84"/>
      <c r="AM1167" s="84"/>
      <c r="AN1167" s="40"/>
      <c r="AO1167" s="23"/>
    </row>
    <row r="1168" spans="1:41" ht="15.75" x14ac:dyDescent="0.25">
      <c r="A1168" s="44"/>
      <c r="B1168" s="23"/>
      <c r="C1168" s="23"/>
      <c r="D1168" s="36"/>
      <c r="E1168" s="23"/>
      <c r="F1168" s="23"/>
      <c r="G1168" s="40"/>
      <c r="H1168" s="23"/>
      <c r="I1168" s="23"/>
      <c r="J1168" s="40"/>
      <c r="K1168" s="36"/>
      <c r="L1168" s="36"/>
      <c r="M1168" s="40"/>
      <c r="N1168" s="23"/>
      <c r="O1168" s="36"/>
      <c r="P1168" s="40"/>
      <c r="Q1168" s="36"/>
      <c r="R1168" s="36"/>
      <c r="S1168" s="40"/>
      <c r="T1168" s="23"/>
      <c r="U1168" s="23"/>
      <c r="V1168" s="40"/>
      <c r="W1168" s="23"/>
      <c r="X1168" s="23"/>
      <c r="Y1168" s="40"/>
      <c r="Z1168" s="23"/>
      <c r="AA1168" s="23"/>
      <c r="AB1168" s="40"/>
      <c r="AC1168" s="42"/>
      <c r="AD1168" s="42"/>
      <c r="AE1168" s="40"/>
      <c r="AF1168" s="42"/>
      <c r="AG1168" s="42"/>
      <c r="AH1168" s="23"/>
      <c r="AI1168" s="42"/>
      <c r="AJ1168" s="42"/>
      <c r="AK1168" s="40"/>
      <c r="AL1168" s="84"/>
      <c r="AM1168" s="84"/>
      <c r="AN1168" s="40"/>
      <c r="AO1168" s="23"/>
    </row>
    <row r="1169" spans="1:41" ht="15.75" x14ac:dyDescent="0.25">
      <c r="A1169" s="44"/>
      <c r="B1169" s="23"/>
      <c r="C1169" s="23"/>
      <c r="D1169" s="36"/>
      <c r="E1169" s="23"/>
      <c r="F1169" s="23"/>
      <c r="G1169" s="40"/>
      <c r="H1169" s="23"/>
      <c r="I1169" s="23"/>
      <c r="J1169" s="40"/>
      <c r="K1169" s="36"/>
      <c r="L1169" s="36"/>
      <c r="M1169" s="40"/>
      <c r="N1169" s="23"/>
      <c r="O1169" s="36"/>
      <c r="P1169" s="40"/>
      <c r="Q1169" s="36"/>
      <c r="R1169" s="36"/>
      <c r="S1169" s="40"/>
      <c r="T1169" s="23"/>
      <c r="U1169" s="23"/>
      <c r="V1169" s="40"/>
      <c r="W1169" s="23"/>
      <c r="X1169" s="23"/>
      <c r="Y1169" s="40"/>
      <c r="Z1169" s="23"/>
      <c r="AA1169" s="23"/>
      <c r="AB1169" s="40"/>
      <c r="AC1169" s="42"/>
      <c r="AD1169" s="42"/>
      <c r="AE1169" s="40"/>
      <c r="AF1169" s="42"/>
      <c r="AG1169" s="42"/>
      <c r="AH1169" s="23"/>
      <c r="AI1169" s="42"/>
      <c r="AJ1169" s="42"/>
      <c r="AK1169" s="40"/>
      <c r="AL1169" s="84"/>
      <c r="AM1169" s="84"/>
      <c r="AN1169" s="40"/>
      <c r="AO1169" s="23"/>
    </row>
    <row r="1170" spans="1:41" ht="15.75" x14ac:dyDescent="0.25">
      <c r="A1170" s="44"/>
      <c r="B1170" s="23"/>
      <c r="C1170" s="23"/>
      <c r="D1170" s="36"/>
      <c r="E1170" s="23"/>
      <c r="F1170" s="23"/>
      <c r="G1170" s="40"/>
      <c r="H1170" s="23"/>
      <c r="I1170" s="23"/>
      <c r="J1170" s="40"/>
      <c r="K1170" s="36"/>
      <c r="L1170" s="36"/>
      <c r="M1170" s="40"/>
      <c r="N1170" s="23"/>
      <c r="O1170" s="36"/>
      <c r="P1170" s="40"/>
      <c r="Q1170" s="36"/>
      <c r="R1170" s="36"/>
      <c r="S1170" s="40"/>
      <c r="T1170" s="23"/>
      <c r="U1170" s="23"/>
      <c r="V1170" s="40"/>
      <c r="W1170" s="23"/>
      <c r="X1170" s="23"/>
      <c r="Y1170" s="40"/>
      <c r="Z1170" s="23"/>
      <c r="AA1170" s="23"/>
      <c r="AB1170" s="40"/>
      <c r="AC1170" s="42"/>
      <c r="AD1170" s="42"/>
      <c r="AE1170" s="40"/>
      <c r="AF1170" s="42"/>
      <c r="AG1170" s="42"/>
      <c r="AH1170" s="23"/>
      <c r="AI1170" s="42"/>
      <c r="AJ1170" s="42"/>
      <c r="AK1170" s="40"/>
      <c r="AL1170" s="84"/>
      <c r="AM1170" s="84"/>
      <c r="AN1170" s="40"/>
      <c r="AO1170" s="23"/>
    </row>
    <row r="1171" spans="1:41" ht="15.75" x14ac:dyDescent="0.25">
      <c r="A1171" s="44"/>
      <c r="B1171" s="23"/>
      <c r="C1171" s="23"/>
      <c r="D1171" s="36"/>
      <c r="E1171" s="23"/>
      <c r="F1171" s="23"/>
      <c r="G1171" s="40"/>
      <c r="H1171" s="23"/>
      <c r="I1171" s="23"/>
      <c r="J1171" s="40"/>
      <c r="K1171" s="36"/>
      <c r="L1171" s="36"/>
      <c r="M1171" s="40"/>
      <c r="N1171" s="23"/>
      <c r="O1171" s="36"/>
      <c r="P1171" s="40"/>
      <c r="Q1171" s="36"/>
      <c r="R1171" s="36"/>
      <c r="S1171" s="40"/>
      <c r="T1171" s="23"/>
      <c r="U1171" s="23"/>
      <c r="V1171" s="40"/>
      <c r="W1171" s="23"/>
      <c r="X1171" s="23"/>
      <c r="Y1171" s="40"/>
      <c r="Z1171" s="23"/>
      <c r="AA1171" s="23"/>
      <c r="AB1171" s="40"/>
      <c r="AC1171" s="42"/>
      <c r="AD1171" s="42"/>
      <c r="AE1171" s="40"/>
      <c r="AF1171" s="42"/>
      <c r="AG1171" s="42"/>
      <c r="AH1171" s="23"/>
      <c r="AI1171" s="42"/>
      <c r="AJ1171" s="42"/>
      <c r="AK1171" s="40"/>
      <c r="AL1171" s="84"/>
      <c r="AM1171" s="84"/>
      <c r="AN1171" s="40"/>
      <c r="AO1171" s="23"/>
    </row>
    <row r="1172" spans="1:41" ht="15.75" x14ac:dyDescent="0.25">
      <c r="A1172" s="44"/>
      <c r="B1172" s="23"/>
      <c r="C1172" s="23"/>
      <c r="D1172" s="36"/>
      <c r="E1172" s="23"/>
      <c r="F1172" s="23"/>
      <c r="G1172" s="40"/>
      <c r="H1172" s="23"/>
      <c r="I1172" s="23"/>
      <c r="J1172" s="40"/>
      <c r="K1172" s="36"/>
      <c r="L1172" s="36"/>
      <c r="M1172" s="40"/>
      <c r="N1172" s="23"/>
      <c r="O1172" s="36"/>
      <c r="P1172" s="40"/>
      <c r="Q1172" s="36"/>
      <c r="R1172" s="36"/>
      <c r="S1172" s="40"/>
      <c r="T1172" s="23"/>
      <c r="U1172" s="23"/>
      <c r="V1172" s="40"/>
      <c r="W1172" s="23"/>
      <c r="X1172" s="23"/>
      <c r="Y1172" s="40"/>
      <c r="Z1172" s="23"/>
      <c r="AA1172" s="23"/>
      <c r="AB1172" s="40"/>
      <c r="AC1172" s="42"/>
      <c r="AD1172" s="42"/>
      <c r="AE1172" s="40"/>
      <c r="AF1172" s="42"/>
      <c r="AG1172" s="42"/>
      <c r="AH1172" s="23"/>
      <c r="AI1172" s="42"/>
      <c r="AJ1172" s="42"/>
      <c r="AK1172" s="40"/>
      <c r="AL1172" s="84"/>
      <c r="AM1172" s="84"/>
      <c r="AN1172" s="40"/>
      <c r="AO1172" s="23"/>
    </row>
    <row r="1173" spans="1:41" ht="15.75" x14ac:dyDescent="0.25">
      <c r="A1173" s="44"/>
      <c r="B1173" s="23"/>
      <c r="C1173" s="23"/>
      <c r="D1173" s="36"/>
      <c r="E1173" s="23"/>
      <c r="F1173" s="23"/>
      <c r="G1173" s="40"/>
      <c r="H1173" s="23"/>
      <c r="I1173" s="23"/>
      <c r="J1173" s="40"/>
      <c r="K1173" s="36"/>
      <c r="L1173" s="36"/>
      <c r="M1173" s="40"/>
      <c r="N1173" s="23"/>
      <c r="O1173" s="36"/>
      <c r="P1173" s="40"/>
      <c r="Q1173" s="36"/>
      <c r="R1173" s="36"/>
      <c r="S1173" s="40"/>
      <c r="T1173" s="23"/>
      <c r="U1173" s="23"/>
      <c r="V1173" s="40"/>
      <c r="W1173" s="23"/>
      <c r="X1173" s="23"/>
      <c r="Y1173" s="40"/>
      <c r="Z1173" s="23"/>
      <c r="AA1173" s="23"/>
      <c r="AB1173" s="40"/>
      <c r="AC1173" s="42"/>
      <c r="AD1173" s="42"/>
      <c r="AE1173" s="40"/>
      <c r="AF1173" s="42"/>
      <c r="AG1173" s="42"/>
      <c r="AH1173" s="23"/>
      <c r="AI1173" s="42"/>
      <c r="AJ1173" s="42"/>
      <c r="AK1173" s="40"/>
      <c r="AL1173" s="84"/>
      <c r="AM1173" s="84"/>
      <c r="AN1173" s="40"/>
      <c r="AO1173" s="23"/>
    </row>
    <row r="1174" spans="1:41" ht="15.75" x14ac:dyDescent="0.25">
      <c r="A1174" s="44"/>
      <c r="B1174" s="23"/>
      <c r="C1174" s="23"/>
      <c r="D1174" s="36"/>
      <c r="E1174" s="23"/>
      <c r="F1174" s="23"/>
      <c r="G1174" s="40"/>
      <c r="H1174" s="23"/>
      <c r="I1174" s="23"/>
      <c r="J1174" s="40"/>
      <c r="K1174" s="36"/>
      <c r="L1174" s="36"/>
      <c r="M1174" s="40"/>
      <c r="N1174" s="23"/>
      <c r="O1174" s="36"/>
      <c r="P1174" s="40"/>
      <c r="Q1174" s="36"/>
      <c r="R1174" s="36"/>
      <c r="S1174" s="40"/>
      <c r="T1174" s="23"/>
      <c r="U1174" s="23"/>
      <c r="V1174" s="40"/>
      <c r="W1174" s="23"/>
      <c r="X1174" s="23"/>
      <c r="Y1174" s="40"/>
      <c r="Z1174" s="23"/>
      <c r="AA1174" s="23"/>
      <c r="AB1174" s="40"/>
      <c r="AC1174" s="42"/>
      <c r="AD1174" s="42"/>
      <c r="AE1174" s="40"/>
      <c r="AF1174" s="42"/>
      <c r="AG1174" s="42"/>
      <c r="AH1174" s="23"/>
      <c r="AI1174" s="42"/>
      <c r="AJ1174" s="42"/>
      <c r="AK1174" s="40"/>
      <c r="AL1174" s="84"/>
      <c r="AM1174" s="84"/>
      <c r="AN1174" s="40"/>
      <c r="AO1174" s="23"/>
    </row>
    <row r="1175" spans="1:41" ht="15.75" x14ac:dyDescent="0.25">
      <c r="A1175" s="44"/>
      <c r="B1175" s="23"/>
      <c r="C1175" s="23"/>
      <c r="D1175" s="36"/>
      <c r="E1175" s="23"/>
      <c r="F1175" s="23"/>
      <c r="G1175" s="40"/>
      <c r="H1175" s="23"/>
      <c r="I1175" s="23"/>
      <c r="J1175" s="40"/>
      <c r="K1175" s="36"/>
      <c r="L1175" s="36"/>
      <c r="M1175" s="40"/>
      <c r="N1175" s="23"/>
      <c r="O1175" s="36"/>
      <c r="P1175" s="40"/>
      <c r="Q1175" s="36"/>
      <c r="R1175" s="36"/>
      <c r="S1175" s="40"/>
      <c r="T1175" s="23"/>
      <c r="U1175" s="23"/>
      <c r="V1175" s="40"/>
      <c r="W1175" s="23"/>
      <c r="X1175" s="23"/>
      <c r="Y1175" s="40"/>
      <c r="Z1175" s="23"/>
      <c r="AA1175" s="23"/>
      <c r="AB1175" s="40"/>
      <c r="AC1175" s="42"/>
      <c r="AD1175" s="42"/>
      <c r="AE1175" s="40"/>
      <c r="AF1175" s="42"/>
      <c r="AG1175" s="42"/>
      <c r="AH1175" s="23"/>
      <c r="AI1175" s="42"/>
      <c r="AJ1175" s="42"/>
      <c r="AK1175" s="40"/>
      <c r="AL1175" s="84"/>
      <c r="AM1175" s="84"/>
      <c r="AN1175" s="40"/>
      <c r="AO1175" s="23"/>
    </row>
    <row r="1176" spans="1:41" ht="15.75" x14ac:dyDescent="0.25">
      <c r="A1176" s="44"/>
      <c r="B1176" s="23"/>
      <c r="C1176" s="23"/>
      <c r="D1176" s="36"/>
      <c r="E1176" s="23"/>
      <c r="F1176" s="23"/>
      <c r="G1176" s="40"/>
      <c r="H1176" s="23"/>
      <c r="I1176" s="23"/>
      <c r="J1176" s="40"/>
      <c r="K1176" s="36"/>
      <c r="L1176" s="36"/>
      <c r="M1176" s="40"/>
      <c r="N1176" s="23"/>
      <c r="O1176" s="36"/>
      <c r="P1176" s="40"/>
      <c r="Q1176" s="36"/>
      <c r="R1176" s="36"/>
      <c r="S1176" s="40"/>
      <c r="T1176" s="23"/>
      <c r="U1176" s="23"/>
      <c r="V1176" s="40"/>
      <c r="W1176" s="23"/>
      <c r="X1176" s="23"/>
      <c r="Y1176" s="40"/>
      <c r="Z1176" s="23"/>
      <c r="AA1176" s="23"/>
      <c r="AB1176" s="40"/>
      <c r="AC1176" s="42"/>
      <c r="AD1176" s="42"/>
      <c r="AE1176" s="40"/>
      <c r="AF1176" s="42"/>
      <c r="AG1176" s="42"/>
      <c r="AH1176" s="23"/>
      <c r="AI1176" s="42"/>
      <c r="AJ1176" s="42"/>
      <c r="AK1176" s="40"/>
      <c r="AL1176" s="84"/>
      <c r="AM1176" s="84"/>
      <c r="AN1176" s="40"/>
      <c r="AO1176" s="23"/>
    </row>
    <row r="1177" spans="1:41" ht="15.75" x14ac:dyDescent="0.25">
      <c r="A1177" s="44"/>
      <c r="B1177" s="23"/>
      <c r="C1177" s="23"/>
      <c r="D1177" s="36"/>
      <c r="E1177" s="23"/>
      <c r="F1177" s="23"/>
      <c r="G1177" s="40"/>
      <c r="H1177" s="23"/>
      <c r="I1177" s="23"/>
      <c r="J1177" s="40"/>
      <c r="K1177" s="36"/>
      <c r="L1177" s="36"/>
      <c r="M1177" s="40"/>
      <c r="N1177" s="23"/>
      <c r="O1177" s="36"/>
      <c r="P1177" s="40"/>
      <c r="Q1177" s="36"/>
      <c r="R1177" s="36"/>
      <c r="S1177" s="40"/>
      <c r="T1177" s="23"/>
      <c r="U1177" s="23"/>
      <c r="V1177" s="40"/>
      <c r="W1177" s="23"/>
      <c r="X1177" s="23"/>
      <c r="Y1177" s="40"/>
      <c r="Z1177" s="23"/>
      <c r="AA1177" s="23"/>
      <c r="AB1177" s="40"/>
      <c r="AC1177" s="42"/>
      <c r="AD1177" s="42"/>
      <c r="AE1177" s="40"/>
      <c r="AF1177" s="42"/>
      <c r="AG1177" s="42"/>
      <c r="AH1177" s="23"/>
      <c r="AI1177" s="42"/>
      <c r="AJ1177" s="42"/>
      <c r="AK1177" s="40"/>
      <c r="AL1177" s="84"/>
      <c r="AM1177" s="84"/>
      <c r="AN1177" s="40"/>
      <c r="AO1177" s="23"/>
    </row>
    <row r="1178" spans="1:41" ht="15.75" x14ac:dyDescent="0.25">
      <c r="A1178" s="44"/>
      <c r="B1178" s="23"/>
      <c r="C1178" s="23"/>
      <c r="D1178" s="36"/>
      <c r="E1178" s="23"/>
      <c r="F1178" s="23"/>
      <c r="G1178" s="40"/>
      <c r="H1178" s="23"/>
      <c r="I1178" s="23"/>
      <c r="J1178" s="40"/>
      <c r="K1178" s="36"/>
      <c r="L1178" s="36"/>
      <c r="M1178" s="40"/>
      <c r="N1178" s="23"/>
      <c r="O1178" s="36"/>
      <c r="P1178" s="40"/>
      <c r="Q1178" s="36"/>
      <c r="R1178" s="36"/>
      <c r="S1178" s="40"/>
      <c r="T1178" s="23"/>
      <c r="U1178" s="23"/>
      <c r="V1178" s="40"/>
      <c r="W1178" s="23"/>
      <c r="X1178" s="23"/>
      <c r="Y1178" s="40"/>
      <c r="Z1178" s="23"/>
      <c r="AA1178" s="23"/>
      <c r="AB1178" s="40"/>
      <c r="AC1178" s="42"/>
      <c r="AD1178" s="42"/>
      <c r="AE1178" s="40"/>
      <c r="AF1178" s="42"/>
      <c r="AG1178" s="42"/>
      <c r="AH1178" s="23"/>
      <c r="AI1178" s="42"/>
      <c r="AJ1178" s="42"/>
      <c r="AK1178" s="40"/>
      <c r="AL1178" s="84"/>
      <c r="AM1178" s="84"/>
      <c r="AN1178" s="40"/>
      <c r="AO1178" s="23"/>
    </row>
    <row r="1179" spans="1:41" ht="15.75" x14ac:dyDescent="0.25">
      <c r="A1179" s="44"/>
      <c r="B1179" s="23"/>
      <c r="C1179" s="23"/>
      <c r="D1179" s="36"/>
      <c r="E1179" s="23"/>
      <c r="F1179" s="23"/>
      <c r="G1179" s="40"/>
      <c r="H1179" s="23"/>
      <c r="I1179" s="23"/>
      <c r="J1179" s="40"/>
      <c r="K1179" s="36"/>
      <c r="L1179" s="36"/>
      <c r="M1179" s="40"/>
      <c r="N1179" s="23"/>
      <c r="O1179" s="36"/>
      <c r="P1179" s="40"/>
      <c r="Q1179" s="36"/>
      <c r="R1179" s="36"/>
      <c r="S1179" s="40"/>
      <c r="T1179" s="23"/>
      <c r="U1179" s="23"/>
      <c r="V1179" s="40"/>
      <c r="W1179" s="23"/>
      <c r="X1179" s="23"/>
      <c r="Y1179" s="40"/>
      <c r="Z1179" s="23"/>
      <c r="AA1179" s="23"/>
      <c r="AB1179" s="40"/>
      <c r="AC1179" s="42"/>
      <c r="AD1179" s="42"/>
      <c r="AE1179" s="40"/>
      <c r="AF1179" s="42"/>
      <c r="AG1179" s="42"/>
      <c r="AH1179" s="23"/>
      <c r="AI1179" s="42"/>
      <c r="AJ1179" s="42"/>
      <c r="AK1179" s="40"/>
      <c r="AL1179" s="84"/>
      <c r="AM1179" s="84"/>
      <c r="AN1179" s="40"/>
      <c r="AO1179" s="23"/>
    </row>
    <row r="1180" spans="1:41" ht="15.75" x14ac:dyDescent="0.25">
      <c r="A1180" s="44"/>
      <c r="B1180" s="23"/>
      <c r="C1180" s="23"/>
      <c r="D1180" s="36"/>
      <c r="E1180" s="23"/>
      <c r="F1180" s="23"/>
      <c r="G1180" s="40"/>
      <c r="H1180" s="23"/>
      <c r="I1180" s="23"/>
      <c r="J1180" s="40"/>
      <c r="K1180" s="36"/>
      <c r="L1180" s="36"/>
      <c r="M1180" s="40"/>
      <c r="N1180" s="23"/>
      <c r="O1180" s="36"/>
      <c r="P1180" s="40"/>
      <c r="Q1180" s="36"/>
      <c r="R1180" s="36"/>
      <c r="S1180" s="40"/>
      <c r="T1180" s="23"/>
      <c r="U1180" s="23"/>
      <c r="V1180" s="40"/>
      <c r="W1180" s="23"/>
      <c r="X1180" s="23"/>
      <c r="Y1180" s="40"/>
      <c r="Z1180" s="23"/>
      <c r="AA1180" s="23"/>
      <c r="AB1180" s="40"/>
      <c r="AC1180" s="42"/>
      <c r="AD1180" s="42"/>
      <c r="AE1180" s="40"/>
      <c r="AF1180" s="42"/>
      <c r="AG1180" s="42"/>
      <c r="AH1180" s="23"/>
      <c r="AI1180" s="42"/>
      <c r="AJ1180" s="42"/>
      <c r="AK1180" s="40"/>
      <c r="AL1180" s="84"/>
      <c r="AM1180" s="84"/>
      <c r="AN1180" s="40"/>
      <c r="AO1180" s="23"/>
    </row>
    <row r="1181" spans="1:41" ht="15.75" x14ac:dyDescent="0.25">
      <c r="A1181" s="44"/>
      <c r="B1181" s="23"/>
      <c r="C1181" s="23"/>
      <c r="D1181" s="36"/>
      <c r="E1181" s="23"/>
      <c r="F1181" s="23"/>
      <c r="G1181" s="40"/>
      <c r="H1181" s="23"/>
      <c r="I1181" s="23"/>
      <c r="J1181" s="40"/>
      <c r="K1181" s="36"/>
      <c r="L1181" s="36"/>
      <c r="M1181" s="40"/>
      <c r="N1181" s="23"/>
      <c r="O1181" s="36"/>
      <c r="P1181" s="40"/>
      <c r="Q1181" s="36"/>
      <c r="R1181" s="36"/>
      <c r="S1181" s="40"/>
      <c r="T1181" s="23"/>
      <c r="U1181" s="23"/>
      <c r="V1181" s="40"/>
      <c r="W1181" s="23"/>
      <c r="X1181" s="23"/>
      <c r="Y1181" s="40"/>
      <c r="Z1181" s="23"/>
      <c r="AA1181" s="23"/>
      <c r="AB1181" s="40"/>
      <c r="AC1181" s="42"/>
      <c r="AD1181" s="42"/>
      <c r="AE1181" s="40"/>
      <c r="AF1181" s="42"/>
      <c r="AG1181" s="42"/>
      <c r="AH1181" s="23"/>
      <c r="AI1181" s="42"/>
      <c r="AJ1181" s="42"/>
      <c r="AK1181" s="40"/>
      <c r="AL1181" s="84"/>
      <c r="AM1181" s="84"/>
      <c r="AN1181" s="40"/>
      <c r="AO1181" s="23"/>
    </row>
    <row r="1182" spans="1:41" ht="15.75" x14ac:dyDescent="0.25">
      <c r="A1182" s="44"/>
      <c r="B1182" s="23"/>
      <c r="C1182" s="23"/>
      <c r="D1182" s="36"/>
      <c r="E1182" s="23"/>
      <c r="F1182" s="23"/>
      <c r="G1182" s="40"/>
      <c r="H1182" s="23"/>
      <c r="I1182" s="23"/>
      <c r="J1182" s="40"/>
      <c r="K1182" s="36"/>
      <c r="L1182" s="36"/>
      <c r="M1182" s="40"/>
      <c r="N1182" s="23"/>
      <c r="O1182" s="36"/>
      <c r="P1182" s="40"/>
      <c r="Q1182" s="36"/>
      <c r="R1182" s="36"/>
      <c r="S1182" s="40"/>
      <c r="T1182" s="23"/>
      <c r="U1182" s="23"/>
      <c r="V1182" s="40"/>
      <c r="W1182" s="23"/>
      <c r="X1182" s="23"/>
      <c r="Y1182" s="40"/>
      <c r="Z1182" s="23"/>
      <c r="AA1182" s="23"/>
      <c r="AB1182" s="40"/>
      <c r="AC1182" s="42"/>
      <c r="AD1182" s="42"/>
      <c r="AE1182" s="40"/>
      <c r="AF1182" s="42"/>
      <c r="AG1182" s="42"/>
      <c r="AH1182" s="23"/>
      <c r="AI1182" s="42"/>
      <c r="AJ1182" s="42"/>
      <c r="AK1182" s="40"/>
      <c r="AL1182" s="84"/>
      <c r="AM1182" s="84"/>
      <c r="AN1182" s="40"/>
      <c r="AO1182" s="23"/>
    </row>
    <row r="1183" spans="1:41" ht="15.75" x14ac:dyDescent="0.25">
      <c r="A1183" s="44"/>
      <c r="B1183" s="23"/>
      <c r="C1183" s="23"/>
      <c r="D1183" s="36"/>
      <c r="E1183" s="23"/>
      <c r="F1183" s="23"/>
      <c r="G1183" s="40"/>
      <c r="H1183" s="23"/>
      <c r="I1183" s="23"/>
      <c r="J1183" s="40"/>
      <c r="K1183" s="36"/>
      <c r="L1183" s="36"/>
      <c r="M1183" s="40"/>
      <c r="N1183" s="23"/>
      <c r="O1183" s="36"/>
      <c r="P1183" s="40"/>
      <c r="Q1183" s="36"/>
      <c r="R1183" s="36"/>
      <c r="S1183" s="40"/>
      <c r="T1183" s="23"/>
      <c r="U1183" s="23"/>
      <c r="V1183" s="40"/>
      <c r="W1183" s="23"/>
      <c r="X1183" s="23"/>
      <c r="Y1183" s="40"/>
      <c r="Z1183" s="23"/>
      <c r="AA1183" s="23"/>
      <c r="AB1183" s="40"/>
      <c r="AC1183" s="42"/>
      <c r="AD1183" s="42"/>
      <c r="AE1183" s="40"/>
      <c r="AF1183" s="42"/>
      <c r="AG1183" s="42"/>
      <c r="AH1183" s="23"/>
      <c r="AI1183" s="42"/>
      <c r="AJ1183" s="42"/>
      <c r="AK1183" s="40"/>
      <c r="AL1183" s="84"/>
      <c r="AM1183" s="84"/>
      <c r="AN1183" s="40"/>
      <c r="AO1183" s="23"/>
    </row>
    <row r="1184" spans="1:41" ht="15.75" x14ac:dyDescent="0.25">
      <c r="A1184" s="44"/>
      <c r="B1184" s="23"/>
      <c r="C1184" s="23"/>
      <c r="D1184" s="36"/>
      <c r="E1184" s="23"/>
      <c r="F1184" s="23"/>
      <c r="G1184" s="40"/>
      <c r="H1184" s="23"/>
      <c r="I1184" s="23"/>
      <c r="J1184" s="40"/>
      <c r="K1184" s="36"/>
      <c r="L1184" s="36"/>
      <c r="M1184" s="40"/>
      <c r="N1184" s="23"/>
      <c r="O1184" s="36"/>
      <c r="P1184" s="40"/>
      <c r="Q1184" s="36"/>
      <c r="R1184" s="36"/>
      <c r="S1184" s="40"/>
      <c r="T1184" s="23"/>
      <c r="U1184" s="23"/>
      <c r="V1184" s="40"/>
      <c r="W1184" s="23"/>
      <c r="X1184" s="23"/>
      <c r="Y1184" s="40"/>
      <c r="Z1184" s="23"/>
      <c r="AA1184" s="23"/>
      <c r="AB1184" s="40"/>
      <c r="AC1184" s="42"/>
      <c r="AD1184" s="42"/>
      <c r="AE1184" s="40"/>
      <c r="AF1184" s="42"/>
      <c r="AG1184" s="42"/>
      <c r="AH1184" s="23"/>
      <c r="AI1184" s="42"/>
      <c r="AJ1184" s="42"/>
      <c r="AK1184" s="40"/>
      <c r="AL1184" s="84"/>
      <c r="AM1184" s="84"/>
      <c r="AN1184" s="40"/>
      <c r="AO1184" s="23"/>
    </row>
    <row r="1185" spans="1:41" ht="15.75" x14ac:dyDescent="0.25">
      <c r="A1185" s="44"/>
      <c r="B1185" s="23"/>
      <c r="C1185" s="23"/>
      <c r="D1185" s="36"/>
      <c r="E1185" s="23"/>
      <c r="F1185" s="23"/>
      <c r="G1185" s="40"/>
      <c r="H1185" s="23"/>
      <c r="I1185" s="23"/>
      <c r="J1185" s="40"/>
      <c r="K1185" s="36"/>
      <c r="L1185" s="36"/>
      <c r="M1185" s="40"/>
      <c r="N1185" s="23"/>
      <c r="O1185" s="36"/>
      <c r="P1185" s="40"/>
      <c r="Q1185" s="36"/>
      <c r="R1185" s="36"/>
      <c r="S1185" s="40"/>
      <c r="T1185" s="23"/>
      <c r="U1185" s="23"/>
      <c r="V1185" s="40"/>
      <c r="W1185" s="23"/>
      <c r="X1185" s="23"/>
      <c r="Y1185" s="40"/>
      <c r="Z1185" s="23"/>
      <c r="AA1185" s="23"/>
      <c r="AB1185" s="40"/>
      <c r="AC1185" s="42"/>
      <c r="AD1185" s="42"/>
      <c r="AE1185" s="40"/>
      <c r="AF1185" s="42"/>
      <c r="AG1185" s="42"/>
      <c r="AH1185" s="23"/>
      <c r="AI1185" s="42"/>
      <c r="AJ1185" s="42"/>
      <c r="AK1185" s="40"/>
      <c r="AL1185" s="84"/>
      <c r="AM1185" s="84"/>
      <c r="AN1185" s="40"/>
      <c r="AO1185" s="23"/>
    </row>
    <row r="1186" spans="1:41" ht="15.75" x14ac:dyDescent="0.25">
      <c r="A1186" s="44"/>
      <c r="B1186" s="23"/>
      <c r="C1186" s="23"/>
      <c r="D1186" s="36"/>
      <c r="E1186" s="23"/>
      <c r="F1186" s="23"/>
      <c r="G1186" s="40"/>
      <c r="H1186" s="23"/>
      <c r="I1186" s="23"/>
      <c r="J1186" s="40"/>
      <c r="K1186" s="36"/>
      <c r="L1186" s="36"/>
      <c r="M1186" s="40"/>
      <c r="N1186" s="23"/>
      <c r="O1186" s="36"/>
      <c r="P1186" s="40"/>
      <c r="Q1186" s="36"/>
      <c r="R1186" s="36"/>
      <c r="S1186" s="40"/>
      <c r="T1186" s="23"/>
      <c r="U1186" s="23"/>
      <c r="V1186" s="40"/>
      <c r="W1186" s="23"/>
      <c r="X1186" s="23"/>
      <c r="Y1186" s="40"/>
      <c r="Z1186" s="23"/>
      <c r="AA1186" s="23"/>
      <c r="AB1186" s="40"/>
      <c r="AC1186" s="42"/>
      <c r="AD1186" s="42"/>
      <c r="AE1186" s="40"/>
      <c r="AF1186" s="42"/>
      <c r="AG1186" s="42"/>
      <c r="AH1186" s="23"/>
      <c r="AI1186" s="42"/>
      <c r="AJ1186" s="42"/>
      <c r="AK1186" s="40"/>
      <c r="AL1186" s="84"/>
      <c r="AM1186" s="84"/>
      <c r="AN1186" s="40"/>
      <c r="AO1186" s="23"/>
    </row>
    <row r="1187" spans="1:41" ht="15.75" x14ac:dyDescent="0.25">
      <c r="A1187" s="44"/>
      <c r="B1187" s="23"/>
      <c r="C1187" s="23"/>
      <c r="D1187" s="36"/>
      <c r="E1187" s="23"/>
      <c r="F1187" s="23"/>
      <c r="G1187" s="40"/>
      <c r="H1187" s="23"/>
      <c r="I1187" s="23"/>
      <c r="J1187" s="40"/>
      <c r="K1187" s="36"/>
      <c r="L1187" s="36"/>
      <c r="M1187" s="40"/>
      <c r="N1187" s="23"/>
      <c r="O1187" s="36"/>
      <c r="P1187" s="40"/>
      <c r="Q1187" s="36"/>
      <c r="R1187" s="36"/>
      <c r="S1187" s="40"/>
      <c r="T1187" s="23"/>
      <c r="U1187" s="23"/>
      <c r="V1187" s="40"/>
      <c r="W1187" s="23"/>
      <c r="X1187" s="23"/>
      <c r="Y1187" s="40"/>
      <c r="Z1187" s="23"/>
      <c r="AA1187" s="23"/>
      <c r="AB1187" s="40"/>
      <c r="AC1187" s="42"/>
      <c r="AD1187" s="42"/>
      <c r="AE1187" s="40"/>
      <c r="AF1187" s="42"/>
      <c r="AG1187" s="42"/>
      <c r="AH1187" s="23"/>
      <c r="AI1187" s="42"/>
      <c r="AJ1187" s="42"/>
      <c r="AK1187" s="40"/>
      <c r="AL1187" s="84"/>
      <c r="AM1187" s="84"/>
      <c r="AN1187" s="40"/>
      <c r="AO1187" s="23"/>
    </row>
    <row r="1188" spans="1:41" ht="15.75" x14ac:dyDescent="0.25">
      <c r="A1188" s="44"/>
      <c r="B1188" s="23"/>
      <c r="C1188" s="23"/>
      <c r="D1188" s="36"/>
      <c r="E1188" s="23"/>
      <c r="F1188" s="23"/>
      <c r="G1188" s="40"/>
      <c r="H1188" s="23"/>
      <c r="I1188" s="23"/>
      <c r="J1188" s="40"/>
      <c r="K1188" s="36"/>
      <c r="L1188" s="36"/>
      <c r="M1188" s="40"/>
      <c r="N1188" s="23"/>
      <c r="O1188" s="36"/>
      <c r="P1188" s="40"/>
      <c r="Q1188" s="36"/>
      <c r="R1188" s="36"/>
      <c r="S1188" s="40"/>
      <c r="T1188" s="23"/>
      <c r="U1188" s="23"/>
      <c r="V1188" s="40"/>
      <c r="W1188" s="23"/>
      <c r="X1188" s="23"/>
      <c r="Y1188" s="40"/>
      <c r="Z1188" s="23"/>
      <c r="AA1188" s="23"/>
      <c r="AB1188" s="40"/>
      <c r="AC1188" s="42"/>
      <c r="AD1188" s="42"/>
      <c r="AE1188" s="40"/>
      <c r="AF1188" s="42"/>
      <c r="AG1188" s="42"/>
      <c r="AH1188" s="23"/>
      <c r="AI1188" s="42"/>
      <c r="AJ1188" s="42"/>
      <c r="AK1188" s="40"/>
      <c r="AL1188" s="84"/>
      <c r="AM1188" s="84"/>
      <c r="AN1188" s="40"/>
      <c r="AO1188" s="23"/>
    </row>
    <row r="1189" spans="1:41" ht="15.75" x14ac:dyDescent="0.25">
      <c r="A1189" s="44"/>
      <c r="B1189" s="23"/>
      <c r="C1189" s="23"/>
      <c r="D1189" s="36"/>
      <c r="E1189" s="23"/>
      <c r="F1189" s="23"/>
      <c r="G1189" s="40"/>
      <c r="H1189" s="23"/>
      <c r="I1189" s="23"/>
      <c r="J1189" s="40"/>
      <c r="K1189" s="36"/>
      <c r="L1189" s="36"/>
      <c r="M1189" s="40"/>
      <c r="N1189" s="23"/>
      <c r="O1189" s="36"/>
      <c r="P1189" s="40"/>
      <c r="Q1189" s="36"/>
      <c r="R1189" s="36"/>
      <c r="S1189" s="40"/>
      <c r="T1189" s="23"/>
      <c r="U1189" s="23"/>
      <c r="V1189" s="40"/>
      <c r="W1189" s="23"/>
      <c r="X1189" s="23"/>
      <c r="Y1189" s="40"/>
      <c r="Z1189" s="23"/>
      <c r="AA1189" s="23"/>
      <c r="AB1189" s="40"/>
      <c r="AC1189" s="42"/>
      <c r="AD1189" s="42"/>
      <c r="AE1189" s="40"/>
      <c r="AF1189" s="42"/>
      <c r="AG1189" s="42"/>
      <c r="AH1189" s="23"/>
      <c r="AI1189" s="42"/>
      <c r="AJ1189" s="42"/>
      <c r="AK1189" s="40"/>
      <c r="AL1189" s="84"/>
      <c r="AM1189" s="84"/>
      <c r="AN1189" s="40"/>
      <c r="AO1189" s="23"/>
    </row>
    <row r="1190" spans="1:41" ht="15.75" x14ac:dyDescent="0.25">
      <c r="A1190" s="44"/>
      <c r="B1190" s="23"/>
      <c r="C1190" s="23"/>
      <c r="D1190" s="36"/>
      <c r="E1190" s="23"/>
      <c r="F1190" s="23"/>
      <c r="G1190" s="40"/>
      <c r="H1190" s="23"/>
      <c r="I1190" s="23"/>
      <c r="J1190" s="40"/>
      <c r="K1190" s="36"/>
      <c r="L1190" s="36"/>
      <c r="M1190" s="40"/>
      <c r="N1190" s="23"/>
      <c r="O1190" s="36"/>
      <c r="P1190" s="40"/>
      <c r="Q1190" s="36"/>
      <c r="R1190" s="36"/>
      <c r="S1190" s="40"/>
      <c r="T1190" s="23"/>
      <c r="U1190" s="23"/>
      <c r="V1190" s="40"/>
      <c r="W1190" s="23"/>
      <c r="X1190" s="23"/>
      <c r="Y1190" s="40"/>
      <c r="Z1190" s="23"/>
      <c r="AA1190" s="23"/>
      <c r="AB1190" s="40"/>
      <c r="AC1190" s="42"/>
      <c r="AD1190" s="42"/>
      <c r="AE1190" s="40"/>
      <c r="AF1190" s="42"/>
      <c r="AG1190" s="42"/>
      <c r="AH1190" s="23"/>
      <c r="AI1190" s="42"/>
      <c r="AJ1190" s="42"/>
      <c r="AK1190" s="40"/>
      <c r="AL1190" s="84"/>
      <c r="AM1190" s="84"/>
      <c r="AN1190" s="40"/>
      <c r="AO1190" s="23"/>
    </row>
    <row r="1191" spans="1:41" ht="15.75" x14ac:dyDescent="0.25">
      <c r="A1191" s="44"/>
      <c r="B1191" s="23"/>
      <c r="C1191" s="23"/>
      <c r="D1191" s="36"/>
      <c r="E1191" s="23"/>
      <c r="F1191" s="23"/>
      <c r="G1191" s="40"/>
      <c r="H1191" s="23"/>
      <c r="I1191" s="23"/>
      <c r="J1191" s="40"/>
      <c r="K1191" s="36"/>
      <c r="L1191" s="36"/>
      <c r="M1191" s="40"/>
      <c r="N1191" s="23"/>
      <c r="O1191" s="36"/>
      <c r="P1191" s="40"/>
      <c r="Q1191" s="36"/>
      <c r="R1191" s="36"/>
      <c r="S1191" s="40"/>
      <c r="T1191" s="23"/>
      <c r="U1191" s="23"/>
      <c r="V1191" s="40"/>
      <c r="W1191" s="23"/>
      <c r="X1191" s="23"/>
      <c r="Y1191" s="40"/>
      <c r="Z1191" s="23"/>
      <c r="AA1191" s="23"/>
      <c r="AB1191" s="40"/>
      <c r="AC1191" s="42"/>
      <c r="AD1191" s="42"/>
      <c r="AE1191" s="40"/>
      <c r="AF1191" s="42"/>
      <c r="AG1191" s="42"/>
      <c r="AH1191" s="23"/>
      <c r="AI1191" s="42"/>
      <c r="AJ1191" s="42"/>
      <c r="AK1191" s="40"/>
      <c r="AL1191" s="84"/>
      <c r="AM1191" s="84"/>
      <c r="AN1191" s="40"/>
      <c r="AO1191" s="23"/>
    </row>
    <row r="1192" spans="1:41" ht="15.75" x14ac:dyDescent="0.25">
      <c r="A1192" s="44"/>
      <c r="B1192" s="23"/>
      <c r="C1192" s="23"/>
      <c r="D1192" s="36"/>
      <c r="E1192" s="23"/>
      <c r="F1192" s="23"/>
      <c r="G1192" s="40"/>
      <c r="H1192" s="23"/>
      <c r="I1192" s="23"/>
      <c r="J1192" s="40"/>
      <c r="K1192" s="36"/>
      <c r="L1192" s="36"/>
      <c r="M1192" s="40"/>
      <c r="N1192" s="23"/>
      <c r="O1192" s="36"/>
      <c r="P1192" s="40"/>
      <c r="Q1192" s="36"/>
      <c r="R1192" s="36"/>
      <c r="S1192" s="40"/>
      <c r="T1192" s="23"/>
      <c r="U1192" s="23"/>
      <c r="V1192" s="40"/>
      <c r="W1192" s="23"/>
      <c r="X1192" s="23"/>
      <c r="Y1192" s="40"/>
      <c r="Z1192" s="23"/>
      <c r="AA1192" s="23"/>
      <c r="AB1192" s="40"/>
      <c r="AC1192" s="42"/>
      <c r="AD1192" s="42"/>
      <c r="AE1192" s="40"/>
      <c r="AF1192" s="42"/>
      <c r="AG1192" s="42"/>
      <c r="AH1192" s="23"/>
      <c r="AI1192" s="42"/>
      <c r="AJ1192" s="42"/>
      <c r="AK1192" s="40"/>
      <c r="AL1192" s="84"/>
      <c r="AM1192" s="84"/>
      <c r="AN1192" s="40"/>
      <c r="AO1192" s="23"/>
    </row>
    <row r="1193" spans="1:41" ht="15.75" x14ac:dyDescent="0.25">
      <c r="A1193" s="44"/>
      <c r="B1193" s="23"/>
      <c r="C1193" s="23"/>
      <c r="D1193" s="36"/>
      <c r="E1193" s="23"/>
      <c r="F1193" s="23"/>
      <c r="G1193" s="40"/>
      <c r="H1193" s="23"/>
      <c r="I1193" s="23"/>
      <c r="J1193" s="40"/>
      <c r="K1193" s="36"/>
      <c r="L1193" s="36"/>
      <c r="M1193" s="40"/>
      <c r="N1193" s="23"/>
      <c r="O1193" s="36"/>
      <c r="P1193" s="40"/>
      <c r="Q1193" s="36"/>
      <c r="R1193" s="36"/>
      <c r="S1193" s="40"/>
      <c r="T1193" s="23"/>
      <c r="U1193" s="23"/>
      <c r="V1193" s="40"/>
      <c r="W1193" s="23"/>
      <c r="X1193" s="23"/>
      <c r="Y1193" s="40"/>
      <c r="Z1193" s="23"/>
      <c r="AA1193" s="23"/>
      <c r="AB1193" s="40"/>
      <c r="AC1193" s="42"/>
      <c r="AD1193" s="42"/>
      <c r="AE1193" s="40"/>
      <c r="AF1193" s="42"/>
      <c r="AG1193" s="42"/>
      <c r="AH1193" s="23"/>
      <c r="AI1193" s="42"/>
      <c r="AJ1193" s="42"/>
      <c r="AK1193" s="40"/>
      <c r="AL1193" s="84"/>
      <c r="AM1193" s="84"/>
      <c r="AN1193" s="40"/>
      <c r="AO1193" s="23"/>
    </row>
    <row r="1194" spans="1:41" ht="15.75" x14ac:dyDescent="0.25">
      <c r="A1194" s="44"/>
      <c r="B1194" s="23"/>
      <c r="C1194" s="23"/>
      <c r="D1194" s="36"/>
      <c r="E1194" s="23"/>
      <c r="F1194" s="23"/>
      <c r="G1194" s="40"/>
      <c r="H1194" s="23"/>
      <c r="I1194" s="23"/>
      <c r="J1194" s="40"/>
      <c r="K1194" s="36"/>
      <c r="L1194" s="36"/>
      <c r="M1194" s="40"/>
      <c r="N1194" s="23"/>
      <c r="O1194" s="36"/>
      <c r="P1194" s="40"/>
      <c r="Q1194" s="36"/>
      <c r="R1194" s="36"/>
      <c r="S1194" s="40"/>
      <c r="T1194" s="23"/>
      <c r="U1194" s="23"/>
      <c r="V1194" s="40"/>
      <c r="W1194" s="23"/>
      <c r="X1194" s="23"/>
      <c r="Y1194" s="40"/>
      <c r="Z1194" s="23"/>
      <c r="AA1194" s="23"/>
      <c r="AB1194" s="40"/>
      <c r="AC1194" s="42"/>
      <c r="AD1194" s="42"/>
      <c r="AE1194" s="40"/>
      <c r="AF1194" s="42"/>
      <c r="AG1194" s="42"/>
      <c r="AH1194" s="23"/>
      <c r="AI1194" s="42"/>
      <c r="AJ1194" s="42"/>
      <c r="AK1194" s="40"/>
      <c r="AL1194" s="84"/>
      <c r="AM1194" s="84"/>
      <c r="AN1194" s="40"/>
      <c r="AO1194" s="23"/>
    </row>
    <row r="1195" spans="1:41" ht="15.75" x14ac:dyDescent="0.25">
      <c r="A1195" s="44"/>
      <c r="B1195" s="23"/>
      <c r="C1195" s="23"/>
      <c r="D1195" s="36"/>
      <c r="E1195" s="23"/>
      <c r="F1195" s="23"/>
      <c r="G1195" s="40"/>
      <c r="H1195" s="23"/>
      <c r="I1195" s="23"/>
      <c r="J1195" s="40"/>
      <c r="K1195" s="36"/>
      <c r="L1195" s="36"/>
      <c r="M1195" s="40"/>
      <c r="N1195" s="23"/>
      <c r="O1195" s="36"/>
      <c r="P1195" s="40"/>
      <c r="Q1195" s="36"/>
      <c r="R1195" s="36"/>
      <c r="S1195" s="40"/>
      <c r="T1195" s="23"/>
      <c r="U1195" s="23"/>
      <c r="V1195" s="40"/>
      <c r="W1195" s="23"/>
      <c r="X1195" s="23"/>
      <c r="Y1195" s="40"/>
      <c r="Z1195" s="23"/>
      <c r="AA1195" s="23"/>
      <c r="AB1195" s="40"/>
      <c r="AC1195" s="42"/>
      <c r="AD1195" s="42"/>
      <c r="AE1195" s="40"/>
      <c r="AF1195" s="42"/>
      <c r="AG1195" s="42"/>
      <c r="AH1195" s="23"/>
      <c r="AI1195" s="42"/>
      <c r="AJ1195" s="42"/>
      <c r="AK1195" s="40"/>
      <c r="AL1195" s="84"/>
      <c r="AM1195" s="84"/>
      <c r="AN1195" s="40"/>
      <c r="AO1195" s="23"/>
    </row>
    <row r="1196" spans="1:41" ht="15.75" x14ac:dyDescent="0.25">
      <c r="A1196" s="44"/>
      <c r="B1196" s="23"/>
      <c r="C1196" s="23"/>
      <c r="D1196" s="36"/>
      <c r="E1196" s="23"/>
      <c r="F1196" s="23"/>
      <c r="G1196" s="40"/>
      <c r="H1196" s="23"/>
      <c r="I1196" s="23"/>
      <c r="J1196" s="40"/>
      <c r="K1196" s="36"/>
      <c r="L1196" s="36"/>
      <c r="M1196" s="40"/>
      <c r="N1196" s="23"/>
      <c r="O1196" s="36"/>
      <c r="P1196" s="40"/>
      <c r="Q1196" s="36"/>
      <c r="R1196" s="36"/>
      <c r="S1196" s="40"/>
      <c r="T1196" s="23"/>
      <c r="U1196" s="23"/>
      <c r="V1196" s="40"/>
      <c r="W1196" s="23"/>
      <c r="X1196" s="23"/>
      <c r="Y1196" s="40"/>
      <c r="Z1196" s="23"/>
      <c r="AA1196" s="23"/>
      <c r="AB1196" s="40"/>
      <c r="AC1196" s="42"/>
      <c r="AD1196" s="42"/>
      <c r="AE1196" s="40"/>
      <c r="AF1196" s="42"/>
      <c r="AG1196" s="42"/>
      <c r="AH1196" s="23"/>
      <c r="AI1196" s="42"/>
      <c r="AJ1196" s="42"/>
      <c r="AK1196" s="40"/>
      <c r="AL1196" s="84"/>
      <c r="AM1196" s="84"/>
      <c r="AN1196" s="40"/>
      <c r="AO1196" s="23"/>
    </row>
    <row r="1197" spans="1:41" ht="15.75" x14ac:dyDescent="0.25">
      <c r="A1197" s="44"/>
      <c r="B1197" s="23"/>
      <c r="C1197" s="23"/>
      <c r="D1197" s="36"/>
      <c r="E1197" s="23"/>
      <c r="F1197" s="23"/>
      <c r="G1197" s="40"/>
      <c r="H1197" s="23"/>
      <c r="I1197" s="23"/>
      <c r="J1197" s="40"/>
      <c r="K1197" s="36"/>
      <c r="L1197" s="36"/>
      <c r="M1197" s="40"/>
      <c r="N1197" s="23"/>
      <c r="O1197" s="36"/>
      <c r="P1197" s="40"/>
      <c r="Q1197" s="36"/>
      <c r="R1197" s="36"/>
      <c r="S1197" s="40"/>
      <c r="T1197" s="23"/>
      <c r="U1197" s="23"/>
      <c r="V1197" s="40"/>
      <c r="W1197" s="23"/>
      <c r="X1197" s="23"/>
      <c r="Y1197" s="40"/>
      <c r="Z1197" s="23"/>
      <c r="AA1197" s="23"/>
      <c r="AB1197" s="40"/>
      <c r="AC1197" s="42"/>
      <c r="AD1197" s="42"/>
      <c r="AE1197" s="40"/>
      <c r="AF1197" s="42"/>
      <c r="AG1197" s="42"/>
      <c r="AH1197" s="23"/>
      <c r="AI1197" s="42"/>
      <c r="AJ1197" s="42"/>
      <c r="AK1197" s="40"/>
      <c r="AL1197" s="84"/>
      <c r="AM1197" s="84"/>
      <c r="AN1197" s="40"/>
      <c r="AO1197" s="23"/>
    </row>
    <row r="1198" spans="1:41" ht="15.75" x14ac:dyDescent="0.25">
      <c r="A1198" s="44"/>
      <c r="B1198" s="23"/>
      <c r="C1198" s="23"/>
      <c r="D1198" s="36"/>
      <c r="E1198" s="23"/>
      <c r="F1198" s="23"/>
      <c r="G1198" s="40"/>
      <c r="H1198" s="23"/>
      <c r="I1198" s="23"/>
      <c r="J1198" s="40"/>
      <c r="K1198" s="36"/>
      <c r="L1198" s="36"/>
      <c r="M1198" s="40"/>
      <c r="N1198" s="23"/>
      <c r="O1198" s="36"/>
      <c r="P1198" s="40"/>
      <c r="Q1198" s="36"/>
      <c r="R1198" s="36"/>
      <c r="S1198" s="40"/>
      <c r="T1198" s="23"/>
      <c r="U1198" s="23"/>
      <c r="V1198" s="40"/>
      <c r="W1198" s="23"/>
      <c r="X1198" s="23"/>
      <c r="Y1198" s="40"/>
      <c r="Z1198" s="23"/>
      <c r="AA1198" s="23"/>
      <c r="AB1198" s="40"/>
      <c r="AC1198" s="42"/>
      <c r="AD1198" s="42"/>
      <c r="AE1198" s="40"/>
      <c r="AF1198" s="42"/>
      <c r="AG1198" s="42"/>
      <c r="AH1198" s="23"/>
      <c r="AI1198" s="42"/>
      <c r="AJ1198" s="42"/>
      <c r="AK1198" s="40"/>
      <c r="AL1198" s="84"/>
      <c r="AM1198" s="84"/>
      <c r="AN1198" s="40"/>
      <c r="AO1198" s="23"/>
    </row>
    <row r="1199" spans="1:41" ht="15.75" x14ac:dyDescent="0.25">
      <c r="A1199" s="44"/>
      <c r="B1199" s="23"/>
      <c r="C1199" s="23"/>
      <c r="D1199" s="36"/>
      <c r="E1199" s="23"/>
      <c r="F1199" s="23"/>
      <c r="G1199" s="40"/>
      <c r="H1199" s="23"/>
      <c r="I1199" s="23"/>
      <c r="J1199" s="40"/>
      <c r="K1199" s="36"/>
      <c r="L1199" s="36"/>
      <c r="M1199" s="40"/>
      <c r="N1199" s="23"/>
      <c r="O1199" s="36"/>
      <c r="P1199" s="40"/>
      <c r="Q1199" s="36"/>
      <c r="R1199" s="36"/>
      <c r="S1199" s="40"/>
      <c r="T1199" s="23"/>
      <c r="U1199" s="23"/>
      <c r="V1199" s="40"/>
      <c r="W1199" s="23"/>
      <c r="X1199" s="23"/>
      <c r="Y1199" s="40"/>
      <c r="Z1199" s="23"/>
      <c r="AA1199" s="23"/>
      <c r="AB1199" s="40"/>
      <c r="AC1199" s="42"/>
      <c r="AD1199" s="42"/>
      <c r="AE1199" s="40"/>
      <c r="AF1199" s="42"/>
      <c r="AG1199" s="42"/>
      <c r="AH1199" s="23"/>
      <c r="AI1199" s="42"/>
      <c r="AJ1199" s="42"/>
      <c r="AK1199" s="40"/>
      <c r="AL1199" s="84"/>
      <c r="AM1199" s="84"/>
      <c r="AN1199" s="40"/>
      <c r="AO1199" s="23"/>
    </row>
    <row r="1200" spans="1:41" ht="15.75" x14ac:dyDescent="0.25">
      <c r="A1200" s="44"/>
      <c r="B1200" s="23"/>
      <c r="C1200" s="23"/>
      <c r="D1200" s="36"/>
      <c r="E1200" s="23"/>
      <c r="F1200" s="23"/>
      <c r="G1200" s="40"/>
      <c r="H1200" s="23"/>
      <c r="I1200" s="23"/>
      <c r="J1200" s="40"/>
      <c r="K1200" s="36"/>
      <c r="L1200" s="36"/>
      <c r="M1200" s="40"/>
      <c r="N1200" s="23"/>
      <c r="O1200" s="36"/>
      <c r="P1200" s="40"/>
      <c r="Q1200" s="36"/>
      <c r="R1200" s="36"/>
      <c r="S1200" s="40"/>
      <c r="T1200" s="23"/>
      <c r="U1200" s="23"/>
      <c r="V1200" s="40"/>
      <c r="W1200" s="23"/>
      <c r="X1200" s="23"/>
      <c r="Y1200" s="40"/>
      <c r="Z1200" s="23"/>
      <c r="AA1200" s="23"/>
      <c r="AB1200" s="40"/>
      <c r="AC1200" s="42"/>
      <c r="AD1200" s="42"/>
      <c r="AE1200" s="40"/>
      <c r="AF1200" s="42"/>
      <c r="AG1200" s="42"/>
      <c r="AH1200" s="23"/>
      <c r="AI1200" s="42"/>
      <c r="AJ1200" s="42"/>
      <c r="AK1200" s="40"/>
      <c r="AL1200" s="84"/>
      <c r="AM1200" s="84"/>
      <c r="AN1200" s="40"/>
      <c r="AO1200" s="23"/>
    </row>
    <row r="1201" spans="1:41" ht="15.75" x14ac:dyDescent="0.25">
      <c r="A1201" s="44"/>
      <c r="B1201" s="23"/>
      <c r="C1201" s="23"/>
      <c r="D1201" s="36"/>
      <c r="E1201" s="23"/>
      <c r="F1201" s="23"/>
      <c r="G1201" s="40"/>
      <c r="H1201" s="23"/>
      <c r="I1201" s="23"/>
      <c r="J1201" s="40"/>
      <c r="K1201" s="36"/>
      <c r="L1201" s="36"/>
      <c r="M1201" s="40"/>
      <c r="N1201" s="23"/>
      <c r="O1201" s="36"/>
      <c r="P1201" s="40"/>
      <c r="Q1201" s="36"/>
      <c r="R1201" s="36"/>
      <c r="S1201" s="40"/>
      <c r="T1201" s="23"/>
      <c r="U1201" s="23"/>
      <c r="V1201" s="40"/>
      <c r="W1201" s="23"/>
      <c r="X1201" s="23"/>
      <c r="Y1201" s="40"/>
      <c r="Z1201" s="23"/>
      <c r="AA1201" s="23"/>
      <c r="AB1201" s="40"/>
      <c r="AC1201" s="42"/>
      <c r="AD1201" s="42"/>
      <c r="AE1201" s="40"/>
      <c r="AF1201" s="42"/>
      <c r="AG1201" s="42"/>
      <c r="AH1201" s="23"/>
      <c r="AI1201" s="42"/>
      <c r="AJ1201" s="42"/>
      <c r="AK1201" s="40"/>
      <c r="AL1201" s="84"/>
      <c r="AM1201" s="84"/>
      <c r="AN1201" s="40"/>
      <c r="AO1201" s="23"/>
    </row>
    <row r="1202" spans="1:41" ht="15.75" x14ac:dyDescent="0.25">
      <c r="A1202" s="44"/>
      <c r="B1202" s="23"/>
      <c r="C1202" s="23"/>
      <c r="D1202" s="36"/>
      <c r="E1202" s="23"/>
      <c r="F1202" s="23"/>
      <c r="G1202" s="40"/>
      <c r="H1202" s="23"/>
      <c r="I1202" s="23"/>
      <c r="J1202" s="40"/>
      <c r="K1202" s="36"/>
      <c r="L1202" s="36"/>
      <c r="M1202" s="40"/>
      <c r="N1202" s="23"/>
      <c r="O1202" s="36"/>
      <c r="P1202" s="40"/>
      <c r="Q1202" s="36"/>
      <c r="R1202" s="36"/>
      <c r="S1202" s="40"/>
      <c r="T1202" s="23"/>
      <c r="U1202" s="23"/>
      <c r="V1202" s="40"/>
      <c r="W1202" s="23"/>
      <c r="X1202" s="23"/>
      <c r="Y1202" s="40"/>
      <c r="Z1202" s="23"/>
      <c r="AA1202" s="23"/>
      <c r="AB1202" s="40"/>
      <c r="AC1202" s="42"/>
      <c r="AD1202" s="42"/>
      <c r="AE1202" s="40"/>
      <c r="AF1202" s="42"/>
      <c r="AG1202" s="42"/>
      <c r="AH1202" s="23"/>
      <c r="AI1202" s="42"/>
      <c r="AJ1202" s="42"/>
      <c r="AK1202" s="40"/>
      <c r="AL1202" s="84"/>
      <c r="AM1202" s="84"/>
      <c r="AN1202" s="40"/>
      <c r="AO1202" s="23"/>
    </row>
    <row r="1203" spans="1:41" ht="15.75" x14ac:dyDescent="0.25">
      <c r="A1203" s="44"/>
      <c r="B1203" s="23"/>
      <c r="C1203" s="23"/>
      <c r="D1203" s="36"/>
      <c r="E1203" s="23"/>
      <c r="F1203" s="23"/>
      <c r="G1203" s="40"/>
      <c r="H1203" s="23"/>
      <c r="I1203" s="23"/>
      <c r="J1203" s="40"/>
      <c r="K1203" s="36"/>
      <c r="L1203" s="36"/>
      <c r="M1203" s="40"/>
      <c r="N1203" s="23"/>
      <c r="O1203" s="36"/>
      <c r="P1203" s="40"/>
      <c r="Q1203" s="36"/>
      <c r="R1203" s="36"/>
      <c r="S1203" s="40"/>
      <c r="T1203" s="23"/>
      <c r="U1203" s="23"/>
      <c r="V1203" s="40"/>
      <c r="W1203" s="23"/>
      <c r="X1203" s="23"/>
      <c r="Y1203" s="40"/>
      <c r="Z1203" s="23"/>
      <c r="AA1203" s="23"/>
      <c r="AB1203" s="40"/>
      <c r="AC1203" s="42"/>
      <c r="AD1203" s="42"/>
      <c r="AE1203" s="40"/>
      <c r="AF1203" s="42"/>
      <c r="AG1203" s="42"/>
      <c r="AH1203" s="23"/>
      <c r="AI1203" s="42"/>
      <c r="AJ1203" s="42"/>
      <c r="AK1203" s="40"/>
      <c r="AL1203" s="84"/>
      <c r="AM1203" s="84"/>
      <c r="AN1203" s="40"/>
      <c r="AO1203" s="23"/>
    </row>
    <row r="1204" spans="1:41" ht="15.75" x14ac:dyDescent="0.25">
      <c r="A1204" s="44"/>
      <c r="B1204" s="23"/>
      <c r="C1204" s="23"/>
      <c r="D1204" s="36"/>
      <c r="E1204" s="23"/>
      <c r="F1204" s="23"/>
      <c r="G1204" s="40"/>
      <c r="H1204" s="23"/>
      <c r="I1204" s="23"/>
      <c r="J1204" s="40"/>
      <c r="K1204" s="36"/>
      <c r="L1204" s="36"/>
      <c r="M1204" s="40"/>
      <c r="N1204" s="23"/>
      <c r="O1204" s="36"/>
      <c r="P1204" s="40"/>
      <c r="Q1204" s="36"/>
      <c r="R1204" s="36"/>
      <c r="S1204" s="40"/>
      <c r="T1204" s="23"/>
      <c r="U1204" s="23"/>
      <c r="V1204" s="40"/>
      <c r="W1204" s="23"/>
      <c r="X1204" s="23"/>
      <c r="Y1204" s="40"/>
      <c r="Z1204" s="23"/>
      <c r="AA1204" s="23"/>
      <c r="AB1204" s="40"/>
      <c r="AC1204" s="42"/>
      <c r="AD1204" s="42"/>
      <c r="AE1204" s="40"/>
      <c r="AF1204" s="42"/>
      <c r="AG1204" s="42"/>
      <c r="AH1204" s="23"/>
      <c r="AI1204" s="42"/>
      <c r="AJ1204" s="42"/>
      <c r="AK1204" s="40"/>
      <c r="AL1204" s="84"/>
      <c r="AM1204" s="84"/>
      <c r="AN1204" s="40"/>
      <c r="AO1204" s="23"/>
    </row>
    <row r="1205" spans="1:41" ht="15.75" x14ac:dyDescent="0.25">
      <c r="A1205" s="44"/>
      <c r="B1205" s="23"/>
      <c r="C1205" s="23"/>
      <c r="D1205" s="36"/>
      <c r="E1205" s="23"/>
      <c r="F1205" s="23"/>
      <c r="G1205" s="40"/>
      <c r="H1205" s="23"/>
      <c r="I1205" s="23"/>
      <c r="J1205" s="40"/>
      <c r="K1205" s="36"/>
      <c r="L1205" s="36"/>
      <c r="M1205" s="40"/>
      <c r="N1205" s="23"/>
      <c r="O1205" s="36"/>
      <c r="P1205" s="40"/>
      <c r="Q1205" s="36"/>
      <c r="R1205" s="36"/>
      <c r="S1205" s="40"/>
      <c r="T1205" s="23"/>
      <c r="U1205" s="23"/>
      <c r="V1205" s="40"/>
      <c r="W1205" s="23"/>
      <c r="X1205" s="23"/>
      <c r="Y1205" s="40"/>
      <c r="Z1205" s="23"/>
      <c r="AA1205" s="23"/>
      <c r="AB1205" s="40"/>
      <c r="AC1205" s="42"/>
      <c r="AD1205" s="42"/>
      <c r="AE1205" s="40"/>
      <c r="AF1205" s="42"/>
      <c r="AG1205" s="42"/>
      <c r="AH1205" s="23"/>
      <c r="AI1205" s="42"/>
      <c r="AJ1205" s="42"/>
      <c r="AK1205" s="40"/>
      <c r="AL1205" s="84"/>
      <c r="AM1205" s="84"/>
      <c r="AN1205" s="40"/>
      <c r="AO1205" s="23"/>
    </row>
    <row r="1206" spans="1:41" ht="15.75" x14ac:dyDescent="0.25">
      <c r="A1206" s="44"/>
      <c r="B1206" s="23"/>
      <c r="C1206" s="23"/>
      <c r="D1206" s="36"/>
      <c r="E1206" s="23"/>
      <c r="F1206" s="23"/>
      <c r="G1206" s="40"/>
      <c r="H1206" s="23"/>
      <c r="I1206" s="23"/>
      <c r="J1206" s="40"/>
      <c r="K1206" s="36"/>
      <c r="L1206" s="36"/>
      <c r="M1206" s="40"/>
      <c r="N1206" s="23"/>
      <c r="O1206" s="36"/>
      <c r="P1206" s="40"/>
      <c r="Q1206" s="36"/>
      <c r="R1206" s="36"/>
      <c r="S1206" s="40"/>
      <c r="T1206" s="23"/>
      <c r="U1206" s="23"/>
      <c r="V1206" s="40"/>
      <c r="W1206" s="23"/>
      <c r="X1206" s="23"/>
      <c r="Y1206" s="40"/>
      <c r="Z1206" s="23"/>
      <c r="AA1206" s="23"/>
      <c r="AB1206" s="40"/>
      <c r="AC1206" s="42"/>
      <c r="AD1206" s="42"/>
      <c r="AE1206" s="40"/>
      <c r="AF1206" s="42"/>
      <c r="AG1206" s="42"/>
      <c r="AH1206" s="23"/>
      <c r="AI1206" s="42"/>
      <c r="AJ1206" s="42"/>
      <c r="AK1206" s="40"/>
      <c r="AL1206" s="84"/>
      <c r="AM1206" s="84"/>
      <c r="AN1206" s="40"/>
      <c r="AO1206" s="23"/>
    </row>
    <row r="1207" spans="1:41" ht="15.75" x14ac:dyDescent="0.25">
      <c r="A1207" s="44"/>
      <c r="B1207" s="23"/>
      <c r="C1207" s="23"/>
      <c r="D1207" s="36"/>
      <c r="E1207" s="23"/>
      <c r="F1207" s="23"/>
      <c r="G1207" s="40"/>
      <c r="H1207" s="23"/>
      <c r="I1207" s="23"/>
      <c r="J1207" s="40"/>
      <c r="K1207" s="36"/>
      <c r="L1207" s="36"/>
      <c r="M1207" s="40"/>
      <c r="N1207" s="23"/>
      <c r="O1207" s="36"/>
      <c r="P1207" s="40"/>
      <c r="Q1207" s="36"/>
      <c r="R1207" s="36"/>
      <c r="S1207" s="40"/>
      <c r="T1207" s="23"/>
      <c r="U1207" s="23"/>
      <c r="V1207" s="40"/>
      <c r="W1207" s="23"/>
      <c r="X1207" s="23"/>
      <c r="Y1207" s="40"/>
      <c r="Z1207" s="23"/>
      <c r="AA1207" s="23"/>
      <c r="AB1207" s="40"/>
      <c r="AC1207" s="42"/>
      <c r="AD1207" s="42"/>
      <c r="AE1207" s="40"/>
      <c r="AF1207" s="42"/>
      <c r="AG1207" s="42"/>
      <c r="AH1207" s="23"/>
      <c r="AI1207" s="42"/>
      <c r="AJ1207" s="42"/>
      <c r="AK1207" s="40"/>
      <c r="AL1207" s="84"/>
      <c r="AM1207" s="84"/>
      <c r="AN1207" s="40"/>
      <c r="AO1207" s="23"/>
    </row>
    <row r="1208" spans="1:41" ht="15.75" x14ac:dyDescent="0.25">
      <c r="A1208" s="44"/>
      <c r="B1208" s="23"/>
      <c r="C1208" s="23"/>
      <c r="D1208" s="36"/>
      <c r="E1208" s="23"/>
      <c r="F1208" s="23"/>
      <c r="G1208" s="40"/>
      <c r="H1208" s="23"/>
      <c r="I1208" s="23"/>
      <c r="J1208" s="40"/>
      <c r="K1208" s="36"/>
      <c r="L1208" s="36"/>
      <c r="M1208" s="40"/>
      <c r="N1208" s="23"/>
      <c r="O1208" s="36"/>
      <c r="P1208" s="40"/>
      <c r="Q1208" s="36"/>
      <c r="R1208" s="36"/>
      <c r="S1208" s="40"/>
      <c r="T1208" s="23"/>
      <c r="U1208" s="23"/>
      <c r="V1208" s="40"/>
      <c r="W1208" s="23"/>
      <c r="X1208" s="23"/>
      <c r="Y1208" s="40"/>
      <c r="Z1208" s="23"/>
      <c r="AA1208" s="23"/>
      <c r="AB1208" s="40"/>
      <c r="AC1208" s="42"/>
      <c r="AD1208" s="42"/>
      <c r="AE1208" s="40"/>
      <c r="AF1208" s="42"/>
      <c r="AG1208" s="42"/>
      <c r="AH1208" s="23"/>
      <c r="AI1208" s="42"/>
      <c r="AJ1208" s="42"/>
      <c r="AK1208" s="40"/>
      <c r="AL1208" s="84"/>
      <c r="AM1208" s="84"/>
      <c r="AN1208" s="40"/>
      <c r="AO1208" s="23"/>
    </row>
    <row r="1209" spans="1:41" ht="15.75" x14ac:dyDescent="0.25">
      <c r="A1209" s="44"/>
      <c r="B1209" s="23"/>
      <c r="C1209" s="23"/>
      <c r="D1209" s="36"/>
      <c r="E1209" s="23"/>
      <c r="F1209" s="23"/>
      <c r="G1209" s="40"/>
      <c r="H1209" s="23"/>
      <c r="I1209" s="23"/>
      <c r="J1209" s="40"/>
      <c r="K1209" s="36"/>
      <c r="L1209" s="36"/>
      <c r="M1209" s="40"/>
      <c r="N1209" s="23"/>
      <c r="O1209" s="36"/>
      <c r="P1209" s="40"/>
      <c r="Q1209" s="36"/>
      <c r="R1209" s="36"/>
      <c r="S1209" s="40"/>
      <c r="T1209" s="23"/>
      <c r="U1209" s="23"/>
      <c r="V1209" s="40"/>
      <c r="W1209" s="23"/>
      <c r="X1209" s="23"/>
      <c r="Y1209" s="40"/>
      <c r="Z1209" s="23"/>
      <c r="AA1209" s="23"/>
      <c r="AB1209" s="40"/>
      <c r="AC1209" s="42"/>
      <c r="AD1209" s="42"/>
      <c r="AE1209" s="40"/>
      <c r="AF1209" s="42"/>
      <c r="AG1209" s="42"/>
      <c r="AH1209" s="23"/>
      <c r="AI1209" s="42"/>
      <c r="AJ1209" s="42"/>
      <c r="AK1209" s="40"/>
      <c r="AL1209" s="84"/>
      <c r="AM1209" s="84"/>
      <c r="AN1209" s="40"/>
      <c r="AO1209" s="23"/>
    </row>
    <row r="1210" spans="1:41" ht="15.75" x14ac:dyDescent="0.25">
      <c r="A1210" s="44"/>
      <c r="B1210" s="23"/>
      <c r="C1210" s="23"/>
      <c r="D1210" s="36"/>
      <c r="E1210" s="23"/>
      <c r="F1210" s="23"/>
      <c r="G1210" s="40"/>
      <c r="H1210" s="23"/>
      <c r="I1210" s="23"/>
      <c r="J1210" s="40"/>
      <c r="K1210" s="36"/>
      <c r="L1210" s="36"/>
      <c r="M1210" s="40"/>
      <c r="N1210" s="23"/>
      <c r="O1210" s="36"/>
      <c r="P1210" s="40"/>
      <c r="Q1210" s="36"/>
      <c r="R1210" s="36"/>
      <c r="S1210" s="40"/>
      <c r="T1210" s="23"/>
      <c r="U1210" s="23"/>
      <c r="V1210" s="40"/>
      <c r="W1210" s="23"/>
      <c r="X1210" s="23"/>
      <c r="Y1210" s="40"/>
      <c r="Z1210" s="23"/>
      <c r="AA1210" s="23"/>
      <c r="AB1210" s="40"/>
      <c r="AC1210" s="42"/>
      <c r="AD1210" s="42"/>
      <c r="AE1210" s="40"/>
      <c r="AF1210" s="42"/>
      <c r="AG1210" s="42"/>
      <c r="AH1210" s="23"/>
      <c r="AI1210" s="42"/>
      <c r="AJ1210" s="42"/>
      <c r="AK1210" s="40"/>
      <c r="AL1210" s="84"/>
      <c r="AM1210" s="84"/>
      <c r="AN1210" s="40"/>
      <c r="AO1210" s="23"/>
    </row>
    <row r="1211" spans="1:41" ht="15.75" x14ac:dyDescent="0.25">
      <c r="A1211" s="44"/>
      <c r="B1211" s="23"/>
      <c r="C1211" s="23"/>
      <c r="D1211" s="36"/>
      <c r="E1211" s="23"/>
      <c r="F1211" s="23"/>
      <c r="G1211" s="40"/>
      <c r="H1211" s="23"/>
      <c r="I1211" s="23"/>
      <c r="J1211" s="40"/>
      <c r="K1211" s="36"/>
      <c r="L1211" s="36"/>
      <c r="M1211" s="40"/>
      <c r="N1211" s="23"/>
      <c r="O1211" s="36"/>
      <c r="P1211" s="40"/>
      <c r="Q1211" s="36"/>
      <c r="R1211" s="36"/>
      <c r="S1211" s="40"/>
      <c r="T1211" s="23"/>
      <c r="U1211" s="23"/>
      <c r="V1211" s="40"/>
      <c r="W1211" s="23"/>
      <c r="X1211" s="23"/>
      <c r="Y1211" s="40"/>
      <c r="Z1211" s="23"/>
      <c r="AA1211" s="23"/>
      <c r="AB1211" s="40"/>
      <c r="AC1211" s="42"/>
      <c r="AD1211" s="42"/>
      <c r="AE1211" s="40"/>
      <c r="AF1211" s="42"/>
      <c r="AG1211" s="42"/>
      <c r="AH1211" s="23"/>
      <c r="AI1211" s="42"/>
      <c r="AJ1211" s="42"/>
      <c r="AK1211" s="40"/>
      <c r="AL1211" s="84"/>
      <c r="AM1211" s="84"/>
      <c r="AN1211" s="40"/>
      <c r="AO1211" s="23"/>
    </row>
    <row r="1212" spans="1:41" ht="15.75" x14ac:dyDescent="0.25">
      <c r="A1212" s="44"/>
      <c r="B1212" s="23"/>
      <c r="C1212" s="23"/>
      <c r="D1212" s="36"/>
      <c r="E1212" s="23"/>
      <c r="F1212" s="23"/>
      <c r="G1212" s="40"/>
      <c r="H1212" s="23"/>
      <c r="I1212" s="23"/>
      <c r="J1212" s="40"/>
      <c r="K1212" s="36"/>
      <c r="L1212" s="36"/>
      <c r="M1212" s="40"/>
      <c r="N1212" s="23"/>
      <c r="O1212" s="36"/>
      <c r="P1212" s="40"/>
      <c r="Q1212" s="36"/>
      <c r="R1212" s="36"/>
      <c r="S1212" s="40"/>
      <c r="T1212" s="23"/>
      <c r="U1212" s="23"/>
      <c r="V1212" s="40"/>
      <c r="W1212" s="23"/>
      <c r="X1212" s="23"/>
      <c r="Y1212" s="40"/>
      <c r="Z1212" s="23"/>
      <c r="AA1212" s="23"/>
      <c r="AB1212" s="40"/>
      <c r="AC1212" s="42"/>
      <c r="AD1212" s="42"/>
      <c r="AE1212" s="40"/>
      <c r="AF1212" s="42"/>
      <c r="AG1212" s="42"/>
      <c r="AH1212" s="23"/>
      <c r="AI1212" s="42"/>
      <c r="AJ1212" s="42"/>
      <c r="AK1212" s="40"/>
      <c r="AL1212" s="84"/>
      <c r="AM1212" s="84"/>
      <c r="AN1212" s="40"/>
      <c r="AO1212" s="23"/>
    </row>
    <row r="1213" spans="1:41" ht="15.75" x14ac:dyDescent="0.25">
      <c r="A1213" s="44"/>
      <c r="B1213" s="23"/>
      <c r="C1213" s="23"/>
      <c r="D1213" s="36"/>
      <c r="E1213" s="23"/>
      <c r="F1213" s="23"/>
      <c r="G1213" s="40"/>
      <c r="H1213" s="23"/>
      <c r="I1213" s="23"/>
      <c r="J1213" s="40"/>
      <c r="K1213" s="36"/>
      <c r="L1213" s="36"/>
      <c r="M1213" s="40"/>
      <c r="N1213" s="23"/>
      <c r="O1213" s="36"/>
      <c r="P1213" s="40"/>
      <c r="Q1213" s="36"/>
      <c r="R1213" s="36"/>
      <c r="S1213" s="40"/>
      <c r="T1213" s="23"/>
      <c r="U1213" s="23"/>
      <c r="V1213" s="40"/>
      <c r="W1213" s="23"/>
      <c r="X1213" s="23"/>
      <c r="Y1213" s="40"/>
      <c r="Z1213" s="23"/>
      <c r="AA1213" s="23"/>
      <c r="AB1213" s="40"/>
      <c r="AC1213" s="42"/>
      <c r="AD1213" s="42"/>
      <c r="AE1213" s="40"/>
      <c r="AF1213" s="42"/>
      <c r="AG1213" s="42"/>
      <c r="AH1213" s="23"/>
      <c r="AI1213" s="42"/>
      <c r="AJ1213" s="42"/>
      <c r="AK1213" s="40"/>
      <c r="AL1213" s="84"/>
      <c r="AM1213" s="84"/>
      <c r="AN1213" s="40"/>
      <c r="AO1213" s="23"/>
    </row>
    <row r="1214" spans="1:41" ht="15.75" x14ac:dyDescent="0.25">
      <c r="A1214" s="44"/>
      <c r="B1214" s="23"/>
      <c r="C1214" s="23"/>
      <c r="D1214" s="36"/>
      <c r="E1214" s="23"/>
      <c r="F1214" s="23"/>
      <c r="G1214" s="40"/>
      <c r="H1214" s="23"/>
      <c r="I1214" s="23"/>
      <c r="J1214" s="40"/>
      <c r="K1214" s="36"/>
      <c r="L1214" s="36"/>
      <c r="M1214" s="40"/>
      <c r="N1214" s="23"/>
      <c r="O1214" s="36"/>
      <c r="P1214" s="40"/>
      <c r="Q1214" s="36"/>
      <c r="R1214" s="36"/>
      <c r="S1214" s="40"/>
      <c r="T1214" s="23"/>
      <c r="U1214" s="23"/>
      <c r="V1214" s="40"/>
      <c r="W1214" s="23"/>
      <c r="X1214" s="23"/>
      <c r="Y1214" s="40"/>
      <c r="Z1214" s="23"/>
      <c r="AA1214" s="23"/>
      <c r="AB1214" s="40"/>
      <c r="AC1214" s="42"/>
      <c r="AD1214" s="42"/>
      <c r="AE1214" s="40"/>
      <c r="AF1214" s="42"/>
      <c r="AG1214" s="42"/>
      <c r="AH1214" s="23"/>
      <c r="AI1214" s="42"/>
      <c r="AJ1214" s="42"/>
      <c r="AK1214" s="40"/>
      <c r="AL1214" s="84"/>
      <c r="AM1214" s="84"/>
      <c r="AN1214" s="40"/>
      <c r="AO1214" s="23"/>
    </row>
    <row r="1215" spans="1:41" ht="15.75" x14ac:dyDescent="0.25">
      <c r="A1215" s="44"/>
      <c r="B1215" s="23"/>
      <c r="C1215" s="23"/>
      <c r="D1215" s="36"/>
      <c r="E1215" s="23"/>
      <c r="F1215" s="23"/>
      <c r="G1215" s="40"/>
      <c r="H1215" s="23"/>
      <c r="I1215" s="23"/>
      <c r="J1215" s="40"/>
      <c r="K1215" s="36"/>
      <c r="L1215" s="36"/>
      <c r="M1215" s="40"/>
      <c r="N1215" s="23"/>
      <c r="O1215" s="36"/>
      <c r="P1215" s="40"/>
      <c r="Q1215" s="36"/>
      <c r="R1215" s="36"/>
      <c r="S1215" s="40"/>
      <c r="T1215" s="23"/>
      <c r="U1215" s="23"/>
      <c r="V1215" s="40"/>
      <c r="W1215" s="23"/>
      <c r="X1215" s="23"/>
      <c r="Y1215" s="40"/>
      <c r="Z1215" s="23"/>
      <c r="AA1215" s="23"/>
      <c r="AB1215" s="40"/>
      <c r="AC1215" s="42"/>
      <c r="AD1215" s="42"/>
      <c r="AE1215" s="40"/>
      <c r="AF1215" s="42"/>
      <c r="AG1215" s="42"/>
      <c r="AH1215" s="23"/>
      <c r="AI1215" s="42"/>
      <c r="AJ1215" s="42"/>
      <c r="AK1215" s="40"/>
      <c r="AL1215" s="84"/>
      <c r="AM1215" s="84"/>
      <c r="AN1215" s="40"/>
      <c r="AO1215" s="23"/>
    </row>
    <row r="1216" spans="1:41" ht="15.75" x14ac:dyDescent="0.25">
      <c r="A1216" s="44"/>
      <c r="B1216" s="23"/>
      <c r="C1216" s="23"/>
      <c r="D1216" s="36"/>
      <c r="E1216" s="23"/>
      <c r="F1216" s="23"/>
      <c r="G1216" s="40"/>
      <c r="H1216" s="23"/>
      <c r="I1216" s="23"/>
      <c r="J1216" s="40"/>
      <c r="K1216" s="36"/>
      <c r="L1216" s="36"/>
      <c r="M1216" s="40"/>
      <c r="N1216" s="23"/>
      <c r="O1216" s="36"/>
      <c r="P1216" s="40"/>
      <c r="Q1216" s="36"/>
      <c r="R1216" s="36"/>
      <c r="S1216" s="40"/>
      <c r="T1216" s="23"/>
      <c r="U1216" s="23"/>
      <c r="V1216" s="40"/>
      <c r="W1216" s="23"/>
      <c r="X1216" s="23"/>
      <c r="Y1216" s="40"/>
      <c r="Z1216" s="23"/>
      <c r="AA1216" s="23"/>
      <c r="AB1216" s="40"/>
      <c r="AC1216" s="42"/>
      <c r="AD1216" s="42"/>
      <c r="AE1216" s="40"/>
      <c r="AF1216" s="42"/>
      <c r="AG1216" s="42"/>
      <c r="AH1216" s="23"/>
      <c r="AI1216" s="42"/>
      <c r="AJ1216" s="42"/>
      <c r="AK1216" s="40"/>
      <c r="AL1216" s="84"/>
      <c r="AM1216" s="84"/>
      <c r="AN1216" s="40"/>
      <c r="AO1216" s="23"/>
    </row>
    <row r="1217" spans="1:41" ht="15.75" x14ac:dyDescent="0.25">
      <c r="A1217" s="44"/>
      <c r="B1217" s="23"/>
      <c r="C1217" s="23"/>
      <c r="D1217" s="36"/>
      <c r="E1217" s="23"/>
      <c r="F1217" s="23"/>
      <c r="G1217" s="40"/>
      <c r="H1217" s="23"/>
      <c r="I1217" s="23"/>
      <c r="J1217" s="40"/>
      <c r="K1217" s="36"/>
      <c r="L1217" s="36"/>
      <c r="M1217" s="40"/>
      <c r="N1217" s="23"/>
      <c r="O1217" s="36"/>
      <c r="P1217" s="40"/>
      <c r="Q1217" s="36"/>
      <c r="R1217" s="36"/>
      <c r="S1217" s="40"/>
      <c r="T1217" s="23"/>
      <c r="U1217" s="23"/>
      <c r="V1217" s="40"/>
      <c r="W1217" s="23"/>
      <c r="X1217" s="23"/>
      <c r="Y1217" s="40"/>
      <c r="Z1217" s="23"/>
      <c r="AA1217" s="23"/>
      <c r="AB1217" s="40"/>
      <c r="AC1217" s="42"/>
      <c r="AD1217" s="42"/>
      <c r="AE1217" s="40"/>
      <c r="AF1217" s="42"/>
      <c r="AG1217" s="42"/>
      <c r="AH1217" s="23"/>
      <c r="AI1217" s="42"/>
      <c r="AJ1217" s="42"/>
      <c r="AK1217" s="40"/>
      <c r="AL1217" s="84"/>
      <c r="AM1217" s="84"/>
      <c r="AN1217" s="40"/>
      <c r="AO1217" s="23"/>
    </row>
    <row r="1218" spans="1:41" ht="15.75" x14ac:dyDescent="0.25">
      <c r="A1218" s="44"/>
      <c r="B1218" s="23"/>
      <c r="C1218" s="23"/>
      <c r="D1218" s="36"/>
      <c r="E1218" s="23"/>
      <c r="F1218" s="23"/>
      <c r="G1218" s="40"/>
      <c r="H1218" s="23"/>
      <c r="I1218" s="23"/>
      <c r="J1218" s="40"/>
      <c r="K1218" s="36"/>
      <c r="L1218" s="36"/>
      <c r="M1218" s="40"/>
      <c r="N1218" s="23"/>
      <c r="O1218" s="36"/>
      <c r="P1218" s="40"/>
      <c r="Q1218" s="36"/>
      <c r="R1218" s="36"/>
      <c r="S1218" s="40"/>
      <c r="T1218" s="23"/>
      <c r="U1218" s="23"/>
      <c r="V1218" s="40"/>
      <c r="W1218" s="23"/>
      <c r="X1218" s="23"/>
      <c r="Y1218" s="40"/>
      <c r="Z1218" s="23"/>
      <c r="AA1218" s="23"/>
      <c r="AB1218" s="40"/>
      <c r="AC1218" s="42"/>
      <c r="AD1218" s="42"/>
      <c r="AE1218" s="40"/>
      <c r="AF1218" s="42"/>
      <c r="AG1218" s="42"/>
      <c r="AH1218" s="23"/>
      <c r="AI1218" s="42"/>
      <c r="AJ1218" s="42"/>
      <c r="AK1218" s="40"/>
      <c r="AL1218" s="84"/>
      <c r="AM1218" s="84"/>
      <c r="AN1218" s="40"/>
      <c r="AO1218" s="23"/>
    </row>
    <row r="1219" spans="1:41" ht="15.75" x14ac:dyDescent="0.25">
      <c r="A1219" s="44"/>
      <c r="B1219" s="23"/>
      <c r="C1219" s="23"/>
      <c r="D1219" s="36"/>
      <c r="E1219" s="23"/>
      <c r="F1219" s="23"/>
      <c r="G1219" s="40"/>
      <c r="H1219" s="23"/>
      <c r="I1219" s="23"/>
      <c r="J1219" s="40"/>
      <c r="K1219" s="36"/>
      <c r="L1219" s="36"/>
      <c r="M1219" s="40"/>
      <c r="N1219" s="23"/>
      <c r="O1219" s="36"/>
      <c r="P1219" s="40"/>
      <c r="Q1219" s="36"/>
      <c r="R1219" s="36"/>
      <c r="S1219" s="40"/>
      <c r="T1219" s="23"/>
      <c r="U1219" s="23"/>
      <c r="V1219" s="40"/>
      <c r="W1219" s="23"/>
      <c r="X1219" s="23"/>
      <c r="Y1219" s="40"/>
      <c r="Z1219" s="23"/>
      <c r="AA1219" s="23"/>
      <c r="AB1219" s="40"/>
      <c r="AC1219" s="42"/>
      <c r="AD1219" s="42"/>
      <c r="AE1219" s="40"/>
      <c r="AF1219" s="42"/>
      <c r="AG1219" s="42"/>
      <c r="AH1219" s="23"/>
      <c r="AI1219" s="42"/>
      <c r="AJ1219" s="42"/>
      <c r="AK1219" s="40"/>
      <c r="AL1219" s="84"/>
      <c r="AM1219" s="84"/>
      <c r="AN1219" s="40"/>
      <c r="AO1219" s="23"/>
    </row>
    <row r="1220" spans="1:41" ht="15.75" x14ac:dyDescent="0.25">
      <c r="A1220" s="44"/>
      <c r="B1220" s="23"/>
      <c r="C1220" s="23"/>
      <c r="D1220" s="36"/>
      <c r="E1220" s="23"/>
      <c r="F1220" s="23"/>
      <c r="G1220" s="40"/>
      <c r="H1220" s="23"/>
      <c r="I1220" s="23"/>
      <c r="J1220" s="40"/>
      <c r="K1220" s="36"/>
      <c r="L1220" s="36"/>
      <c r="M1220" s="40"/>
      <c r="N1220" s="23"/>
      <c r="O1220" s="36"/>
      <c r="P1220" s="40"/>
      <c r="Q1220" s="36"/>
      <c r="R1220" s="36"/>
      <c r="S1220" s="40"/>
      <c r="T1220" s="23"/>
      <c r="U1220" s="23"/>
      <c r="V1220" s="40"/>
      <c r="W1220" s="23"/>
      <c r="X1220" s="23"/>
      <c r="Y1220" s="40"/>
      <c r="Z1220" s="23"/>
      <c r="AA1220" s="23"/>
      <c r="AB1220" s="40"/>
      <c r="AC1220" s="42"/>
      <c r="AD1220" s="42"/>
      <c r="AE1220" s="40"/>
      <c r="AF1220" s="42"/>
      <c r="AG1220" s="42"/>
      <c r="AH1220" s="23"/>
      <c r="AI1220" s="42"/>
      <c r="AJ1220" s="42"/>
      <c r="AK1220" s="40"/>
      <c r="AL1220" s="84"/>
      <c r="AM1220" s="84"/>
      <c r="AN1220" s="40"/>
      <c r="AO1220" s="23"/>
    </row>
    <row r="1221" spans="1:41" ht="15.75" x14ac:dyDescent="0.25">
      <c r="A1221" s="44"/>
      <c r="B1221" s="23"/>
      <c r="C1221" s="23"/>
      <c r="D1221" s="36"/>
      <c r="E1221" s="23"/>
      <c r="F1221" s="23"/>
      <c r="G1221" s="40"/>
      <c r="H1221" s="23"/>
      <c r="I1221" s="23"/>
      <c r="J1221" s="40"/>
      <c r="K1221" s="36"/>
      <c r="L1221" s="36"/>
      <c r="M1221" s="40"/>
      <c r="N1221" s="23"/>
      <c r="O1221" s="36"/>
      <c r="P1221" s="40"/>
      <c r="Q1221" s="36"/>
      <c r="R1221" s="36"/>
      <c r="S1221" s="40"/>
      <c r="T1221" s="23"/>
      <c r="U1221" s="23"/>
      <c r="V1221" s="40"/>
      <c r="W1221" s="23"/>
      <c r="X1221" s="23"/>
      <c r="Y1221" s="40"/>
      <c r="Z1221" s="23"/>
      <c r="AA1221" s="23"/>
      <c r="AB1221" s="40"/>
      <c r="AC1221" s="42"/>
      <c r="AD1221" s="42"/>
      <c r="AE1221" s="40"/>
      <c r="AF1221" s="42"/>
      <c r="AG1221" s="42"/>
      <c r="AH1221" s="23"/>
      <c r="AI1221" s="42"/>
      <c r="AJ1221" s="42"/>
      <c r="AK1221" s="40"/>
      <c r="AL1221" s="84"/>
      <c r="AM1221" s="84"/>
      <c r="AN1221" s="40"/>
      <c r="AO1221" s="23"/>
    </row>
    <row r="1222" spans="1:41" ht="15.75" x14ac:dyDescent="0.25">
      <c r="A1222" s="44"/>
      <c r="B1222" s="23"/>
      <c r="C1222" s="23"/>
      <c r="D1222" s="36"/>
      <c r="E1222" s="23"/>
      <c r="F1222" s="23"/>
      <c r="G1222" s="40"/>
      <c r="H1222" s="23"/>
      <c r="I1222" s="23"/>
      <c r="J1222" s="40"/>
      <c r="K1222" s="36"/>
      <c r="L1222" s="36"/>
      <c r="M1222" s="40"/>
      <c r="N1222" s="23"/>
      <c r="O1222" s="36"/>
      <c r="P1222" s="40"/>
      <c r="Q1222" s="36"/>
      <c r="R1222" s="36"/>
      <c r="S1222" s="40"/>
      <c r="T1222" s="23"/>
      <c r="U1222" s="23"/>
      <c r="V1222" s="40"/>
      <c r="W1222" s="23"/>
      <c r="X1222" s="23"/>
      <c r="Y1222" s="40"/>
      <c r="Z1222" s="23"/>
      <c r="AA1222" s="23"/>
      <c r="AB1222" s="40"/>
      <c r="AC1222" s="42"/>
      <c r="AD1222" s="42"/>
      <c r="AE1222" s="40"/>
      <c r="AF1222" s="42"/>
      <c r="AG1222" s="42"/>
      <c r="AH1222" s="23"/>
      <c r="AI1222" s="42"/>
      <c r="AJ1222" s="42"/>
      <c r="AK1222" s="40"/>
      <c r="AL1222" s="84"/>
      <c r="AM1222" s="84"/>
      <c r="AN1222" s="40"/>
      <c r="AO1222" s="23"/>
    </row>
    <row r="1223" spans="1:41" ht="15.75" x14ac:dyDescent="0.25">
      <c r="A1223" s="44"/>
      <c r="B1223" s="23"/>
      <c r="C1223" s="23"/>
      <c r="D1223" s="36"/>
      <c r="E1223" s="23"/>
      <c r="F1223" s="23"/>
      <c r="G1223" s="40"/>
      <c r="H1223" s="23"/>
      <c r="I1223" s="23"/>
      <c r="J1223" s="40"/>
      <c r="K1223" s="36"/>
      <c r="L1223" s="36"/>
      <c r="M1223" s="40"/>
      <c r="N1223" s="23"/>
      <c r="O1223" s="36"/>
      <c r="P1223" s="40"/>
      <c r="Q1223" s="36"/>
      <c r="R1223" s="36"/>
      <c r="S1223" s="40"/>
      <c r="T1223" s="23"/>
      <c r="U1223" s="23"/>
      <c r="V1223" s="40"/>
      <c r="W1223" s="23"/>
      <c r="X1223" s="23"/>
      <c r="Y1223" s="40"/>
      <c r="Z1223" s="23"/>
      <c r="AA1223" s="23"/>
      <c r="AB1223" s="40"/>
      <c r="AC1223" s="42"/>
      <c r="AD1223" s="42"/>
      <c r="AE1223" s="40"/>
      <c r="AF1223" s="42"/>
      <c r="AG1223" s="42"/>
      <c r="AH1223" s="23"/>
      <c r="AI1223" s="42"/>
      <c r="AJ1223" s="42"/>
      <c r="AK1223" s="40"/>
      <c r="AL1223" s="84"/>
      <c r="AM1223" s="84"/>
      <c r="AN1223" s="40"/>
      <c r="AO1223" s="23"/>
    </row>
    <row r="1224" spans="1:41" ht="15.75" x14ac:dyDescent="0.25">
      <c r="A1224" s="44"/>
      <c r="B1224" s="23"/>
      <c r="C1224" s="23"/>
      <c r="D1224" s="36"/>
      <c r="E1224" s="23"/>
      <c r="F1224" s="23"/>
      <c r="G1224" s="40"/>
      <c r="H1224" s="23"/>
      <c r="I1224" s="23"/>
      <c r="J1224" s="40"/>
      <c r="K1224" s="36"/>
      <c r="L1224" s="36"/>
      <c r="M1224" s="40"/>
      <c r="N1224" s="23"/>
      <c r="O1224" s="36"/>
      <c r="P1224" s="40"/>
      <c r="Q1224" s="36"/>
      <c r="R1224" s="36"/>
      <c r="S1224" s="40"/>
      <c r="T1224" s="23"/>
      <c r="U1224" s="23"/>
      <c r="V1224" s="40"/>
      <c r="W1224" s="23"/>
      <c r="X1224" s="23"/>
      <c r="Y1224" s="40"/>
      <c r="Z1224" s="23"/>
      <c r="AA1224" s="23"/>
      <c r="AB1224" s="40"/>
      <c r="AC1224" s="42"/>
      <c r="AD1224" s="42"/>
      <c r="AE1224" s="40"/>
      <c r="AF1224" s="42"/>
      <c r="AG1224" s="42"/>
      <c r="AH1224" s="23"/>
      <c r="AI1224" s="42"/>
      <c r="AJ1224" s="42"/>
      <c r="AK1224" s="40"/>
      <c r="AL1224" s="84"/>
      <c r="AM1224" s="84"/>
      <c r="AN1224" s="40"/>
      <c r="AO1224" s="23"/>
    </row>
    <row r="1225" spans="1:41" ht="15.75" x14ac:dyDescent="0.25">
      <c r="A1225" s="44"/>
      <c r="B1225" s="23"/>
      <c r="C1225" s="23"/>
      <c r="D1225" s="36"/>
      <c r="E1225" s="23"/>
      <c r="F1225" s="23"/>
      <c r="G1225" s="40"/>
      <c r="H1225" s="23"/>
      <c r="I1225" s="23"/>
      <c r="J1225" s="40"/>
      <c r="K1225" s="36"/>
      <c r="L1225" s="36"/>
      <c r="M1225" s="40"/>
      <c r="N1225" s="23"/>
      <c r="O1225" s="36"/>
      <c r="P1225" s="40"/>
      <c r="Q1225" s="36"/>
      <c r="R1225" s="36"/>
      <c r="S1225" s="40"/>
      <c r="T1225" s="23"/>
      <c r="U1225" s="23"/>
      <c r="V1225" s="40"/>
      <c r="W1225" s="23"/>
      <c r="X1225" s="23"/>
      <c r="Y1225" s="40"/>
      <c r="Z1225" s="23"/>
      <c r="AA1225" s="23"/>
      <c r="AB1225" s="40"/>
      <c r="AC1225" s="42"/>
      <c r="AD1225" s="42"/>
      <c r="AE1225" s="40"/>
      <c r="AF1225" s="42"/>
      <c r="AG1225" s="42"/>
      <c r="AH1225" s="23"/>
      <c r="AI1225" s="42"/>
      <c r="AJ1225" s="42"/>
      <c r="AK1225" s="40"/>
      <c r="AL1225" s="84"/>
      <c r="AM1225" s="84"/>
      <c r="AN1225" s="40"/>
      <c r="AO1225" s="23"/>
    </row>
    <row r="1226" spans="1:41" ht="15.75" x14ac:dyDescent="0.25">
      <c r="A1226" s="44"/>
      <c r="B1226" s="23"/>
      <c r="C1226" s="23"/>
      <c r="D1226" s="36"/>
      <c r="E1226" s="23"/>
      <c r="F1226" s="23"/>
      <c r="G1226" s="40"/>
      <c r="H1226" s="23"/>
      <c r="I1226" s="23"/>
      <c r="J1226" s="40"/>
      <c r="K1226" s="36"/>
      <c r="L1226" s="36"/>
      <c r="M1226" s="40"/>
      <c r="N1226" s="23"/>
      <c r="O1226" s="36"/>
      <c r="P1226" s="40"/>
      <c r="Q1226" s="36"/>
      <c r="R1226" s="36"/>
      <c r="S1226" s="40"/>
      <c r="T1226" s="23"/>
      <c r="U1226" s="23"/>
      <c r="V1226" s="40"/>
      <c r="W1226" s="23"/>
      <c r="X1226" s="23"/>
      <c r="Y1226" s="40"/>
      <c r="Z1226" s="23"/>
      <c r="AA1226" s="23"/>
      <c r="AB1226" s="40"/>
      <c r="AC1226" s="42"/>
      <c r="AD1226" s="42"/>
      <c r="AE1226" s="40"/>
      <c r="AF1226" s="42"/>
      <c r="AG1226" s="42"/>
      <c r="AH1226" s="23"/>
      <c r="AI1226" s="42"/>
      <c r="AJ1226" s="42"/>
      <c r="AK1226" s="40"/>
      <c r="AL1226" s="84"/>
      <c r="AM1226" s="84"/>
      <c r="AN1226" s="40"/>
      <c r="AO1226" s="23"/>
    </row>
    <row r="1227" spans="1:41" ht="15.75" x14ac:dyDescent="0.25">
      <c r="A1227" s="44"/>
      <c r="B1227" s="23"/>
      <c r="C1227" s="23"/>
      <c r="D1227" s="36"/>
      <c r="E1227" s="23"/>
      <c r="F1227" s="23"/>
      <c r="G1227" s="40"/>
      <c r="H1227" s="23"/>
      <c r="I1227" s="23"/>
      <c r="J1227" s="40"/>
      <c r="K1227" s="36"/>
      <c r="L1227" s="36"/>
      <c r="M1227" s="40"/>
      <c r="N1227" s="23"/>
      <c r="O1227" s="36"/>
      <c r="P1227" s="40"/>
      <c r="Q1227" s="36"/>
      <c r="R1227" s="36"/>
      <c r="S1227" s="40"/>
      <c r="T1227" s="23"/>
      <c r="U1227" s="23"/>
      <c r="V1227" s="40"/>
      <c r="W1227" s="23"/>
      <c r="X1227" s="23"/>
      <c r="Y1227" s="40"/>
      <c r="Z1227" s="23"/>
      <c r="AA1227" s="23"/>
      <c r="AB1227" s="40"/>
      <c r="AC1227" s="42"/>
      <c r="AD1227" s="42"/>
      <c r="AE1227" s="40"/>
      <c r="AF1227" s="42"/>
      <c r="AG1227" s="42"/>
      <c r="AH1227" s="23"/>
      <c r="AI1227" s="42"/>
      <c r="AJ1227" s="42"/>
      <c r="AK1227" s="40"/>
      <c r="AL1227" s="84"/>
      <c r="AM1227" s="84"/>
      <c r="AN1227" s="40"/>
      <c r="AO1227" s="23"/>
    </row>
    <row r="1228" spans="1:41" ht="15.75" x14ac:dyDescent="0.25">
      <c r="A1228" s="44"/>
      <c r="B1228" s="23"/>
      <c r="C1228" s="23"/>
      <c r="D1228" s="36"/>
      <c r="E1228" s="23"/>
      <c r="F1228" s="23"/>
      <c r="G1228" s="40"/>
      <c r="H1228" s="23"/>
      <c r="I1228" s="23"/>
      <c r="J1228" s="40"/>
      <c r="K1228" s="36"/>
      <c r="L1228" s="36"/>
      <c r="M1228" s="40"/>
      <c r="N1228" s="23"/>
      <c r="O1228" s="36"/>
      <c r="P1228" s="40"/>
      <c r="Q1228" s="36"/>
      <c r="R1228" s="36"/>
      <c r="S1228" s="40"/>
      <c r="T1228" s="23"/>
      <c r="U1228" s="23"/>
      <c r="V1228" s="40"/>
      <c r="W1228" s="23"/>
      <c r="X1228" s="23"/>
      <c r="Y1228" s="40"/>
      <c r="Z1228" s="23"/>
      <c r="AA1228" s="23"/>
      <c r="AB1228" s="40"/>
      <c r="AC1228" s="42"/>
      <c r="AD1228" s="42"/>
      <c r="AE1228" s="40"/>
      <c r="AF1228" s="42"/>
      <c r="AG1228" s="42"/>
      <c r="AH1228" s="23"/>
      <c r="AI1228" s="42"/>
      <c r="AJ1228" s="42"/>
      <c r="AK1228" s="40"/>
      <c r="AL1228" s="84"/>
      <c r="AM1228" s="84"/>
      <c r="AN1228" s="40"/>
      <c r="AO1228" s="23"/>
    </row>
    <row r="1229" spans="1:41" ht="15.75" x14ac:dyDescent="0.25">
      <c r="A1229" s="44"/>
      <c r="B1229" s="23"/>
      <c r="C1229" s="23"/>
      <c r="D1229" s="36"/>
      <c r="E1229" s="23"/>
      <c r="F1229" s="23"/>
      <c r="G1229" s="40"/>
      <c r="H1229" s="23"/>
      <c r="I1229" s="23"/>
      <c r="J1229" s="40"/>
      <c r="K1229" s="36"/>
      <c r="L1229" s="36"/>
      <c r="M1229" s="40"/>
      <c r="N1229" s="23"/>
      <c r="O1229" s="36"/>
      <c r="P1229" s="40"/>
      <c r="Q1229" s="36"/>
      <c r="R1229" s="36"/>
      <c r="S1229" s="40"/>
      <c r="T1229" s="23"/>
      <c r="U1229" s="23"/>
      <c r="V1229" s="40"/>
      <c r="W1229" s="23"/>
      <c r="X1229" s="23"/>
      <c r="Y1229" s="40"/>
      <c r="Z1229" s="23"/>
      <c r="AA1229" s="23"/>
      <c r="AB1229" s="40"/>
      <c r="AC1229" s="42"/>
      <c r="AD1229" s="42"/>
      <c r="AE1229" s="40"/>
      <c r="AF1229" s="42"/>
      <c r="AG1229" s="42"/>
      <c r="AH1229" s="23"/>
      <c r="AI1229" s="42"/>
      <c r="AJ1229" s="42"/>
      <c r="AK1229" s="40"/>
      <c r="AL1229" s="84"/>
      <c r="AM1229" s="84"/>
      <c r="AN1229" s="40"/>
      <c r="AO1229" s="23"/>
    </row>
    <row r="1230" spans="1:41" ht="15.75" x14ac:dyDescent="0.25">
      <c r="A1230" s="44"/>
      <c r="B1230" s="23"/>
      <c r="C1230" s="23"/>
      <c r="D1230" s="36"/>
      <c r="E1230" s="23"/>
      <c r="F1230" s="23"/>
      <c r="G1230" s="40"/>
      <c r="H1230" s="23"/>
      <c r="I1230" s="23"/>
      <c r="J1230" s="40"/>
      <c r="K1230" s="36"/>
      <c r="L1230" s="36"/>
      <c r="M1230" s="40"/>
      <c r="N1230" s="23"/>
      <c r="O1230" s="36"/>
      <c r="P1230" s="40"/>
      <c r="Q1230" s="36"/>
      <c r="R1230" s="36"/>
      <c r="S1230" s="40"/>
      <c r="T1230" s="23"/>
      <c r="U1230" s="23"/>
      <c r="V1230" s="40"/>
      <c r="W1230" s="23"/>
      <c r="X1230" s="23"/>
      <c r="Y1230" s="40"/>
      <c r="Z1230" s="23"/>
      <c r="AA1230" s="23"/>
      <c r="AB1230" s="40"/>
      <c r="AC1230" s="42"/>
      <c r="AD1230" s="42"/>
      <c r="AE1230" s="40"/>
      <c r="AF1230" s="42"/>
      <c r="AG1230" s="42"/>
      <c r="AH1230" s="23"/>
      <c r="AI1230" s="42"/>
      <c r="AJ1230" s="42"/>
      <c r="AK1230" s="40"/>
      <c r="AL1230" s="84"/>
      <c r="AM1230" s="84"/>
      <c r="AN1230" s="40"/>
      <c r="AO1230" s="23"/>
    </row>
    <row r="1231" spans="1:41" ht="15.75" x14ac:dyDescent="0.25">
      <c r="A1231" s="44"/>
      <c r="B1231" s="23"/>
      <c r="C1231" s="23"/>
      <c r="D1231" s="36"/>
      <c r="E1231" s="23"/>
      <c r="F1231" s="23"/>
      <c r="G1231" s="40"/>
      <c r="H1231" s="23"/>
      <c r="I1231" s="23"/>
      <c r="J1231" s="40"/>
      <c r="K1231" s="36"/>
      <c r="L1231" s="36"/>
      <c r="M1231" s="40"/>
      <c r="N1231" s="23"/>
      <c r="O1231" s="36"/>
      <c r="P1231" s="40"/>
      <c r="Q1231" s="36"/>
      <c r="R1231" s="36"/>
      <c r="S1231" s="40"/>
      <c r="T1231" s="23"/>
      <c r="U1231" s="23"/>
      <c r="V1231" s="40"/>
      <c r="W1231" s="23"/>
      <c r="X1231" s="23"/>
      <c r="Y1231" s="40"/>
      <c r="Z1231" s="23"/>
      <c r="AA1231" s="23"/>
      <c r="AB1231" s="40"/>
      <c r="AC1231" s="42"/>
      <c r="AD1231" s="42"/>
      <c r="AE1231" s="40"/>
      <c r="AF1231" s="42"/>
      <c r="AG1231" s="42"/>
      <c r="AH1231" s="23"/>
      <c r="AI1231" s="42"/>
      <c r="AJ1231" s="42"/>
      <c r="AK1231" s="40"/>
      <c r="AL1231" s="84"/>
      <c r="AM1231" s="84"/>
      <c r="AN1231" s="40"/>
      <c r="AO1231" s="23"/>
    </row>
    <row r="1232" spans="1:41" ht="15.75" x14ac:dyDescent="0.25">
      <c r="A1232" s="44"/>
      <c r="B1232" s="23"/>
      <c r="C1232" s="23"/>
      <c r="D1232" s="36"/>
      <c r="E1232" s="23"/>
      <c r="F1232" s="23"/>
      <c r="G1232" s="40"/>
      <c r="H1232" s="23"/>
      <c r="I1232" s="23"/>
      <c r="J1232" s="40"/>
      <c r="K1232" s="36"/>
      <c r="L1232" s="36"/>
      <c r="M1232" s="40"/>
      <c r="N1232" s="23"/>
      <c r="O1232" s="36"/>
      <c r="P1232" s="40"/>
      <c r="Q1232" s="36"/>
      <c r="R1232" s="36"/>
      <c r="S1232" s="40"/>
      <c r="T1232" s="23"/>
      <c r="U1232" s="23"/>
      <c r="V1232" s="40"/>
      <c r="W1232" s="23"/>
      <c r="X1232" s="23"/>
      <c r="Y1232" s="40"/>
      <c r="Z1232" s="23"/>
      <c r="AA1232" s="23"/>
      <c r="AB1232" s="40"/>
      <c r="AC1232" s="42"/>
      <c r="AD1232" s="42"/>
      <c r="AE1232" s="40"/>
      <c r="AF1232" s="42"/>
      <c r="AG1232" s="42"/>
      <c r="AH1232" s="23"/>
      <c r="AI1232" s="42"/>
      <c r="AJ1232" s="42"/>
      <c r="AK1232" s="40"/>
      <c r="AL1232" s="84"/>
      <c r="AM1232" s="84"/>
      <c r="AN1232" s="40"/>
      <c r="AO1232" s="23"/>
    </row>
    <row r="1233" spans="1:41" ht="15.75" x14ac:dyDescent="0.25">
      <c r="A1233" s="44"/>
      <c r="B1233" s="23"/>
      <c r="C1233" s="23"/>
      <c r="D1233" s="36"/>
      <c r="E1233" s="23"/>
      <c r="F1233" s="23"/>
      <c r="G1233" s="40"/>
      <c r="H1233" s="23"/>
      <c r="I1233" s="23"/>
      <c r="J1233" s="40"/>
      <c r="K1233" s="36"/>
      <c r="L1233" s="36"/>
      <c r="M1233" s="40"/>
      <c r="N1233" s="23"/>
      <c r="O1233" s="36"/>
      <c r="P1233" s="40"/>
      <c r="Q1233" s="36"/>
      <c r="R1233" s="36"/>
      <c r="S1233" s="40"/>
      <c r="T1233" s="23"/>
      <c r="U1233" s="23"/>
      <c r="V1233" s="40"/>
      <c r="W1233" s="23"/>
      <c r="X1233" s="23"/>
      <c r="Y1233" s="40"/>
      <c r="Z1233" s="23"/>
      <c r="AA1233" s="23"/>
      <c r="AB1233" s="40"/>
      <c r="AC1233" s="42"/>
      <c r="AD1233" s="42"/>
      <c r="AE1233" s="40"/>
      <c r="AF1233" s="42"/>
      <c r="AG1233" s="42"/>
      <c r="AH1233" s="23"/>
      <c r="AI1233" s="42"/>
      <c r="AJ1233" s="42"/>
      <c r="AK1233" s="40"/>
      <c r="AL1233" s="84"/>
      <c r="AM1233" s="84"/>
      <c r="AN1233" s="40"/>
      <c r="AO1233" s="23"/>
    </row>
    <row r="1234" spans="1:41" ht="15.75" x14ac:dyDescent="0.25">
      <c r="A1234" s="44"/>
      <c r="B1234" s="23"/>
      <c r="C1234" s="23"/>
      <c r="D1234" s="36"/>
      <c r="E1234" s="23"/>
      <c r="F1234" s="23"/>
      <c r="G1234" s="40"/>
      <c r="H1234" s="23"/>
      <c r="I1234" s="23"/>
      <c r="J1234" s="40"/>
      <c r="K1234" s="36"/>
      <c r="L1234" s="36"/>
      <c r="M1234" s="40"/>
      <c r="N1234" s="23"/>
      <c r="O1234" s="36"/>
      <c r="P1234" s="40"/>
      <c r="Q1234" s="36"/>
      <c r="R1234" s="36"/>
      <c r="S1234" s="40"/>
      <c r="T1234" s="23"/>
      <c r="U1234" s="23"/>
      <c r="V1234" s="40"/>
      <c r="W1234" s="23"/>
      <c r="X1234" s="23"/>
      <c r="Y1234" s="40"/>
      <c r="Z1234" s="23"/>
      <c r="AA1234" s="23"/>
      <c r="AB1234" s="40"/>
      <c r="AC1234" s="42"/>
      <c r="AD1234" s="42"/>
      <c r="AE1234" s="40"/>
      <c r="AF1234" s="42"/>
      <c r="AG1234" s="42"/>
      <c r="AH1234" s="23"/>
      <c r="AI1234" s="42"/>
      <c r="AJ1234" s="42"/>
      <c r="AK1234" s="40"/>
      <c r="AL1234" s="84"/>
      <c r="AM1234" s="84"/>
      <c r="AN1234" s="40"/>
      <c r="AO1234" s="23"/>
    </row>
    <row r="1235" spans="1:41" ht="15.75" x14ac:dyDescent="0.25">
      <c r="A1235" s="44"/>
      <c r="B1235" s="23"/>
      <c r="C1235" s="23"/>
      <c r="D1235" s="36"/>
      <c r="E1235" s="23"/>
      <c r="F1235" s="23"/>
      <c r="G1235" s="40"/>
      <c r="H1235" s="23"/>
      <c r="I1235" s="23"/>
      <c r="J1235" s="40"/>
      <c r="K1235" s="36"/>
      <c r="L1235" s="36"/>
      <c r="M1235" s="40"/>
      <c r="N1235" s="23"/>
      <c r="O1235" s="36"/>
      <c r="P1235" s="40"/>
      <c r="Q1235" s="36"/>
      <c r="R1235" s="36"/>
      <c r="S1235" s="40"/>
      <c r="T1235" s="23"/>
      <c r="U1235" s="23"/>
      <c r="V1235" s="40"/>
      <c r="W1235" s="23"/>
      <c r="X1235" s="23"/>
      <c r="Y1235" s="40"/>
      <c r="Z1235" s="23"/>
      <c r="AA1235" s="23"/>
      <c r="AB1235" s="40"/>
      <c r="AC1235" s="42"/>
      <c r="AD1235" s="42"/>
      <c r="AE1235" s="40"/>
      <c r="AF1235" s="42"/>
      <c r="AG1235" s="42"/>
      <c r="AH1235" s="23"/>
      <c r="AI1235" s="42"/>
      <c r="AJ1235" s="42"/>
      <c r="AK1235" s="40"/>
      <c r="AL1235" s="84"/>
      <c r="AM1235" s="84"/>
      <c r="AN1235" s="40"/>
      <c r="AO1235" s="23"/>
    </row>
    <row r="1236" spans="1:41" ht="15.75" x14ac:dyDescent="0.25">
      <c r="A1236" s="44"/>
      <c r="B1236" s="23"/>
      <c r="C1236" s="23"/>
      <c r="D1236" s="36"/>
      <c r="E1236" s="23"/>
      <c r="F1236" s="23"/>
      <c r="G1236" s="40"/>
      <c r="H1236" s="23"/>
      <c r="I1236" s="23"/>
      <c r="J1236" s="40"/>
      <c r="K1236" s="36"/>
      <c r="L1236" s="36"/>
      <c r="M1236" s="40"/>
      <c r="N1236" s="23"/>
      <c r="O1236" s="36"/>
      <c r="P1236" s="40"/>
      <c r="Q1236" s="36"/>
      <c r="R1236" s="36"/>
      <c r="S1236" s="40"/>
      <c r="T1236" s="23"/>
      <c r="U1236" s="23"/>
      <c r="V1236" s="40"/>
      <c r="W1236" s="23"/>
      <c r="X1236" s="23"/>
      <c r="Y1236" s="40"/>
      <c r="Z1236" s="23"/>
      <c r="AA1236" s="23"/>
      <c r="AB1236" s="40"/>
      <c r="AC1236" s="42"/>
      <c r="AD1236" s="42"/>
      <c r="AE1236" s="40"/>
      <c r="AF1236" s="42"/>
      <c r="AG1236" s="42"/>
      <c r="AH1236" s="23"/>
      <c r="AI1236" s="42"/>
      <c r="AJ1236" s="42"/>
      <c r="AK1236" s="40"/>
      <c r="AL1236" s="84"/>
      <c r="AM1236" s="84"/>
      <c r="AN1236" s="40"/>
      <c r="AO1236" s="23"/>
    </row>
    <row r="1237" spans="1:41" ht="15.75" x14ac:dyDescent="0.25">
      <c r="A1237" s="44"/>
      <c r="B1237" s="23"/>
      <c r="C1237" s="23"/>
      <c r="D1237" s="36"/>
      <c r="E1237" s="23"/>
      <c r="F1237" s="23"/>
      <c r="G1237" s="40"/>
      <c r="H1237" s="23"/>
      <c r="I1237" s="23"/>
      <c r="J1237" s="40"/>
      <c r="K1237" s="36"/>
      <c r="L1237" s="36"/>
      <c r="M1237" s="40"/>
      <c r="N1237" s="23"/>
      <c r="O1237" s="36"/>
      <c r="P1237" s="40"/>
      <c r="Q1237" s="36"/>
      <c r="R1237" s="36"/>
      <c r="S1237" s="40"/>
      <c r="T1237" s="23"/>
      <c r="U1237" s="23"/>
      <c r="V1237" s="40"/>
      <c r="W1237" s="23"/>
      <c r="X1237" s="23"/>
      <c r="Y1237" s="40"/>
      <c r="Z1237" s="23"/>
      <c r="AA1237" s="23"/>
      <c r="AB1237" s="40"/>
      <c r="AC1237" s="42"/>
      <c r="AD1237" s="42"/>
      <c r="AE1237" s="40"/>
      <c r="AF1237" s="42"/>
      <c r="AG1237" s="42"/>
      <c r="AH1237" s="23"/>
      <c r="AI1237" s="42"/>
      <c r="AJ1237" s="42"/>
      <c r="AK1237" s="40"/>
      <c r="AL1237" s="84"/>
      <c r="AM1237" s="84"/>
      <c r="AN1237" s="40"/>
      <c r="AO1237" s="23"/>
    </row>
    <row r="1238" spans="1:41" ht="15.75" x14ac:dyDescent="0.25">
      <c r="A1238" s="44"/>
      <c r="B1238" s="23"/>
      <c r="C1238" s="23"/>
      <c r="D1238" s="36"/>
      <c r="E1238" s="23"/>
      <c r="F1238" s="23"/>
      <c r="G1238" s="40"/>
      <c r="H1238" s="23"/>
      <c r="I1238" s="23"/>
      <c r="J1238" s="40"/>
      <c r="K1238" s="36"/>
      <c r="L1238" s="36"/>
      <c r="M1238" s="40"/>
      <c r="N1238" s="23"/>
      <c r="O1238" s="36"/>
      <c r="P1238" s="40"/>
      <c r="Q1238" s="36"/>
      <c r="R1238" s="36"/>
      <c r="S1238" s="40"/>
      <c r="T1238" s="23"/>
      <c r="U1238" s="23"/>
      <c r="V1238" s="40"/>
      <c r="W1238" s="23"/>
      <c r="X1238" s="23"/>
      <c r="Y1238" s="40"/>
      <c r="Z1238" s="23"/>
      <c r="AA1238" s="23"/>
      <c r="AB1238" s="40"/>
      <c r="AC1238" s="42"/>
      <c r="AD1238" s="42"/>
      <c r="AE1238" s="40"/>
      <c r="AF1238" s="42"/>
      <c r="AG1238" s="42"/>
      <c r="AH1238" s="23"/>
      <c r="AI1238" s="42"/>
      <c r="AJ1238" s="42"/>
      <c r="AK1238" s="40"/>
      <c r="AL1238" s="84"/>
      <c r="AM1238" s="84"/>
      <c r="AN1238" s="40"/>
      <c r="AO1238" s="23"/>
    </row>
    <row r="1239" spans="1:41" ht="15.75" x14ac:dyDescent="0.25">
      <c r="A1239" s="44"/>
      <c r="B1239" s="23"/>
      <c r="C1239" s="23"/>
      <c r="D1239" s="36"/>
      <c r="E1239" s="23"/>
      <c r="F1239" s="23"/>
      <c r="G1239" s="40"/>
      <c r="H1239" s="23"/>
      <c r="I1239" s="23"/>
      <c r="J1239" s="40"/>
      <c r="K1239" s="36"/>
      <c r="L1239" s="36"/>
      <c r="M1239" s="40"/>
      <c r="N1239" s="23"/>
      <c r="O1239" s="36"/>
      <c r="P1239" s="40"/>
      <c r="Q1239" s="36"/>
      <c r="R1239" s="36"/>
      <c r="S1239" s="40"/>
      <c r="T1239" s="23"/>
      <c r="U1239" s="23"/>
      <c r="V1239" s="40"/>
      <c r="W1239" s="23"/>
      <c r="X1239" s="23"/>
      <c r="Y1239" s="40"/>
      <c r="Z1239" s="23"/>
      <c r="AA1239" s="23"/>
      <c r="AB1239" s="40"/>
      <c r="AC1239" s="42"/>
      <c r="AD1239" s="42"/>
      <c r="AE1239" s="40"/>
      <c r="AF1239" s="42"/>
      <c r="AG1239" s="42"/>
      <c r="AH1239" s="23"/>
      <c r="AI1239" s="42"/>
      <c r="AJ1239" s="42"/>
      <c r="AK1239" s="40"/>
      <c r="AL1239" s="84"/>
      <c r="AM1239" s="84"/>
      <c r="AN1239" s="40"/>
      <c r="AO1239" s="23"/>
    </row>
    <row r="1240" spans="1:41" ht="15.75" x14ac:dyDescent="0.25">
      <c r="A1240" s="44"/>
      <c r="B1240" s="23"/>
      <c r="C1240" s="23"/>
      <c r="D1240" s="36"/>
      <c r="E1240" s="23"/>
      <c r="F1240" s="23"/>
      <c r="G1240" s="40"/>
      <c r="H1240" s="23"/>
      <c r="I1240" s="23"/>
      <c r="J1240" s="40"/>
      <c r="K1240" s="36"/>
      <c r="L1240" s="36"/>
      <c r="M1240" s="40"/>
      <c r="N1240" s="23"/>
      <c r="O1240" s="36"/>
      <c r="P1240" s="40"/>
      <c r="Q1240" s="36"/>
      <c r="R1240" s="36"/>
      <c r="S1240" s="40"/>
      <c r="T1240" s="23"/>
      <c r="U1240" s="23"/>
      <c r="V1240" s="40"/>
      <c r="W1240" s="23"/>
      <c r="X1240" s="23"/>
      <c r="Y1240" s="40"/>
      <c r="Z1240" s="23"/>
      <c r="AA1240" s="23"/>
      <c r="AB1240" s="40"/>
      <c r="AC1240" s="42"/>
      <c r="AD1240" s="42"/>
      <c r="AE1240" s="40"/>
      <c r="AF1240" s="42"/>
      <c r="AG1240" s="42"/>
      <c r="AH1240" s="23"/>
      <c r="AI1240" s="42"/>
      <c r="AJ1240" s="42"/>
      <c r="AK1240" s="40"/>
      <c r="AL1240" s="84"/>
      <c r="AM1240" s="84"/>
      <c r="AN1240" s="40"/>
      <c r="AO1240" s="23"/>
    </row>
    <row r="1241" spans="1:41" ht="15.75" x14ac:dyDescent="0.25">
      <c r="A1241" s="44"/>
      <c r="B1241" s="23"/>
      <c r="C1241" s="23"/>
      <c r="D1241" s="36"/>
      <c r="E1241" s="23"/>
      <c r="F1241" s="23"/>
      <c r="G1241" s="40"/>
      <c r="H1241" s="23"/>
      <c r="I1241" s="23"/>
      <c r="J1241" s="40"/>
      <c r="K1241" s="36"/>
      <c r="L1241" s="36"/>
      <c r="M1241" s="40"/>
      <c r="N1241" s="23"/>
      <c r="O1241" s="36"/>
      <c r="P1241" s="40"/>
      <c r="Q1241" s="36"/>
      <c r="R1241" s="36"/>
      <c r="S1241" s="40"/>
      <c r="T1241" s="23"/>
      <c r="U1241" s="23"/>
      <c r="V1241" s="40"/>
      <c r="W1241" s="23"/>
      <c r="X1241" s="23"/>
      <c r="Y1241" s="40"/>
      <c r="Z1241" s="23"/>
      <c r="AA1241" s="23"/>
      <c r="AB1241" s="40"/>
      <c r="AC1241" s="42"/>
      <c r="AD1241" s="42"/>
      <c r="AE1241" s="40"/>
      <c r="AF1241" s="42"/>
      <c r="AG1241" s="42"/>
      <c r="AH1241" s="23"/>
      <c r="AI1241" s="42"/>
      <c r="AJ1241" s="42"/>
      <c r="AK1241" s="40"/>
      <c r="AL1241" s="84"/>
      <c r="AM1241" s="84"/>
      <c r="AN1241" s="40"/>
      <c r="AO1241" s="23"/>
    </row>
    <row r="1242" spans="1:41" ht="15.75" x14ac:dyDescent="0.25">
      <c r="A1242" s="44"/>
      <c r="B1242" s="23"/>
      <c r="C1242" s="23"/>
      <c r="D1242" s="36"/>
      <c r="E1242" s="23"/>
      <c r="F1242" s="23"/>
      <c r="G1242" s="40"/>
      <c r="H1242" s="23"/>
      <c r="I1242" s="23"/>
      <c r="J1242" s="40"/>
      <c r="K1242" s="36"/>
      <c r="L1242" s="36"/>
      <c r="M1242" s="40"/>
      <c r="N1242" s="23"/>
      <c r="O1242" s="36"/>
      <c r="P1242" s="40"/>
      <c r="Q1242" s="36"/>
      <c r="R1242" s="36"/>
      <c r="S1242" s="40"/>
      <c r="T1242" s="23"/>
      <c r="U1242" s="23"/>
      <c r="V1242" s="40"/>
      <c r="W1242" s="23"/>
      <c r="X1242" s="23"/>
      <c r="Y1242" s="40"/>
      <c r="Z1242" s="23"/>
      <c r="AA1242" s="23"/>
      <c r="AB1242" s="40"/>
      <c r="AC1242" s="42"/>
      <c r="AD1242" s="42"/>
      <c r="AE1242" s="40"/>
      <c r="AF1242" s="42"/>
      <c r="AG1242" s="42"/>
      <c r="AH1242" s="23"/>
      <c r="AI1242" s="42"/>
      <c r="AJ1242" s="42"/>
      <c r="AK1242" s="40"/>
      <c r="AL1242" s="84"/>
      <c r="AM1242" s="84"/>
      <c r="AN1242" s="40"/>
      <c r="AO1242" s="23"/>
    </row>
    <row r="1243" spans="1:41" ht="15.75" x14ac:dyDescent="0.25">
      <c r="A1243" s="44"/>
      <c r="B1243" s="23"/>
      <c r="C1243" s="23"/>
      <c r="D1243" s="36"/>
      <c r="E1243" s="23"/>
      <c r="F1243" s="23"/>
      <c r="G1243" s="40"/>
      <c r="H1243" s="23"/>
      <c r="I1243" s="23"/>
      <c r="J1243" s="40"/>
      <c r="K1243" s="36"/>
      <c r="L1243" s="36"/>
      <c r="M1243" s="40"/>
      <c r="N1243" s="23"/>
      <c r="O1243" s="36"/>
      <c r="P1243" s="40"/>
      <c r="Q1243" s="36"/>
      <c r="R1243" s="36"/>
      <c r="S1243" s="40"/>
      <c r="T1243" s="23"/>
      <c r="U1243" s="23"/>
      <c r="V1243" s="40"/>
      <c r="W1243" s="23"/>
      <c r="X1243" s="23"/>
      <c r="Y1243" s="40"/>
      <c r="Z1243" s="23"/>
      <c r="AA1243" s="23"/>
      <c r="AB1243" s="40"/>
      <c r="AC1243" s="42"/>
      <c r="AD1243" s="42"/>
      <c r="AE1243" s="40"/>
      <c r="AF1243" s="42"/>
      <c r="AG1243" s="42"/>
      <c r="AH1243" s="23"/>
      <c r="AI1243" s="42"/>
      <c r="AJ1243" s="42"/>
      <c r="AK1243" s="40"/>
      <c r="AL1243" s="84"/>
      <c r="AM1243" s="84"/>
      <c r="AN1243" s="40"/>
      <c r="AO1243" s="23"/>
    </row>
    <row r="1244" spans="1:41" ht="15.75" x14ac:dyDescent="0.25">
      <c r="A1244" s="44"/>
      <c r="B1244" s="23"/>
      <c r="C1244" s="23"/>
      <c r="D1244" s="36"/>
      <c r="E1244" s="23"/>
      <c r="F1244" s="23"/>
      <c r="G1244" s="40"/>
      <c r="H1244" s="23"/>
      <c r="I1244" s="23"/>
      <c r="J1244" s="40"/>
      <c r="K1244" s="36"/>
      <c r="L1244" s="36"/>
      <c r="M1244" s="40"/>
      <c r="N1244" s="23"/>
      <c r="O1244" s="36"/>
      <c r="P1244" s="40"/>
      <c r="Q1244" s="36"/>
      <c r="R1244" s="36"/>
      <c r="S1244" s="40"/>
      <c r="T1244" s="23"/>
      <c r="U1244" s="23"/>
      <c r="V1244" s="40"/>
      <c r="W1244" s="23"/>
      <c r="X1244" s="23"/>
      <c r="Y1244" s="40"/>
      <c r="Z1244" s="23"/>
      <c r="AA1244" s="23"/>
      <c r="AB1244" s="40"/>
      <c r="AC1244" s="42"/>
      <c r="AD1244" s="42"/>
      <c r="AE1244" s="40"/>
      <c r="AF1244" s="42"/>
      <c r="AG1244" s="42"/>
      <c r="AH1244" s="23"/>
      <c r="AI1244" s="42"/>
      <c r="AJ1244" s="42"/>
      <c r="AK1244" s="40"/>
      <c r="AL1244" s="84"/>
      <c r="AM1244" s="84"/>
      <c r="AN1244" s="40"/>
      <c r="AO1244" s="23"/>
    </row>
    <row r="1245" spans="1:41" ht="15.75" x14ac:dyDescent="0.25">
      <c r="A1245" s="44"/>
      <c r="B1245" s="23"/>
      <c r="C1245" s="23"/>
      <c r="D1245" s="36"/>
      <c r="E1245" s="23"/>
      <c r="F1245" s="23"/>
      <c r="G1245" s="40"/>
      <c r="H1245" s="23"/>
      <c r="I1245" s="23"/>
      <c r="J1245" s="40"/>
      <c r="K1245" s="36"/>
      <c r="L1245" s="36"/>
      <c r="M1245" s="40"/>
      <c r="N1245" s="23"/>
      <c r="O1245" s="36"/>
      <c r="P1245" s="40"/>
      <c r="Q1245" s="36"/>
      <c r="R1245" s="36"/>
      <c r="S1245" s="40"/>
      <c r="T1245" s="23"/>
      <c r="U1245" s="23"/>
      <c r="V1245" s="40"/>
      <c r="W1245" s="23"/>
      <c r="X1245" s="23"/>
      <c r="Y1245" s="40"/>
      <c r="Z1245" s="23"/>
      <c r="AA1245" s="23"/>
      <c r="AB1245" s="40"/>
      <c r="AC1245" s="42"/>
      <c r="AD1245" s="42"/>
      <c r="AE1245" s="40"/>
      <c r="AF1245" s="42"/>
      <c r="AG1245" s="42"/>
      <c r="AH1245" s="23"/>
      <c r="AI1245" s="42"/>
      <c r="AJ1245" s="42"/>
      <c r="AK1245" s="40"/>
      <c r="AL1245" s="84"/>
      <c r="AM1245" s="84"/>
      <c r="AN1245" s="40"/>
      <c r="AO1245" s="23"/>
    </row>
    <row r="1246" spans="1:41" ht="15.75" x14ac:dyDescent="0.25">
      <c r="A1246" s="44"/>
      <c r="B1246" s="23"/>
      <c r="C1246" s="23"/>
      <c r="D1246" s="36"/>
      <c r="E1246" s="23"/>
      <c r="F1246" s="23"/>
      <c r="G1246" s="40"/>
      <c r="H1246" s="23"/>
      <c r="I1246" s="23"/>
      <c r="J1246" s="40"/>
      <c r="K1246" s="36"/>
      <c r="L1246" s="36"/>
      <c r="M1246" s="40"/>
      <c r="N1246" s="23"/>
      <c r="O1246" s="36"/>
      <c r="P1246" s="40"/>
      <c r="Q1246" s="36"/>
      <c r="R1246" s="36"/>
      <c r="S1246" s="40"/>
      <c r="T1246" s="23"/>
      <c r="U1246" s="23"/>
      <c r="V1246" s="40"/>
      <c r="W1246" s="23"/>
      <c r="X1246" s="23"/>
      <c r="Y1246" s="40"/>
      <c r="Z1246" s="23"/>
      <c r="AA1246" s="23"/>
      <c r="AB1246" s="40"/>
      <c r="AC1246" s="42"/>
      <c r="AD1246" s="42"/>
      <c r="AE1246" s="40"/>
      <c r="AF1246" s="42"/>
      <c r="AG1246" s="42"/>
      <c r="AH1246" s="23"/>
      <c r="AI1246" s="42"/>
      <c r="AJ1246" s="42"/>
      <c r="AK1246" s="40"/>
      <c r="AL1246" s="84"/>
      <c r="AM1246" s="84"/>
      <c r="AN1246" s="40"/>
      <c r="AO1246" s="23"/>
    </row>
    <row r="1247" spans="1:41" ht="15.75" x14ac:dyDescent="0.25">
      <c r="A1247" s="44"/>
      <c r="B1247" s="23"/>
      <c r="C1247" s="23"/>
      <c r="D1247" s="36"/>
      <c r="E1247" s="23"/>
      <c r="F1247" s="23"/>
      <c r="G1247" s="40"/>
      <c r="H1247" s="23"/>
      <c r="I1247" s="23"/>
      <c r="J1247" s="40"/>
      <c r="K1247" s="36"/>
      <c r="L1247" s="36"/>
      <c r="M1247" s="40"/>
      <c r="N1247" s="23"/>
      <c r="O1247" s="36"/>
      <c r="P1247" s="40"/>
      <c r="Q1247" s="36"/>
      <c r="R1247" s="36"/>
      <c r="S1247" s="40"/>
      <c r="T1247" s="23"/>
      <c r="U1247" s="23"/>
      <c r="V1247" s="40"/>
      <c r="W1247" s="23"/>
      <c r="X1247" s="23"/>
      <c r="Y1247" s="40"/>
      <c r="Z1247" s="23"/>
      <c r="AA1247" s="23"/>
      <c r="AB1247" s="40"/>
      <c r="AC1247" s="42"/>
      <c r="AD1247" s="42"/>
      <c r="AE1247" s="40"/>
      <c r="AF1247" s="42"/>
      <c r="AG1247" s="42"/>
      <c r="AH1247" s="23"/>
      <c r="AI1247" s="42"/>
      <c r="AJ1247" s="42"/>
      <c r="AK1247" s="40"/>
      <c r="AL1247" s="84"/>
      <c r="AM1247" s="84"/>
      <c r="AN1247" s="40"/>
      <c r="AO1247" s="23"/>
    </row>
    <row r="1248" spans="1:41" ht="15.75" x14ac:dyDescent="0.25">
      <c r="A1248" s="44"/>
      <c r="B1248" s="23"/>
      <c r="C1248" s="23"/>
      <c r="D1248" s="36"/>
      <c r="E1248" s="23"/>
      <c r="F1248" s="23"/>
      <c r="G1248" s="40"/>
      <c r="H1248" s="23"/>
      <c r="I1248" s="23"/>
      <c r="J1248" s="40"/>
      <c r="K1248" s="36"/>
      <c r="L1248" s="36"/>
      <c r="M1248" s="40"/>
      <c r="N1248" s="23"/>
      <c r="O1248" s="36"/>
      <c r="P1248" s="40"/>
      <c r="Q1248" s="36"/>
      <c r="R1248" s="36"/>
      <c r="S1248" s="40"/>
      <c r="T1248" s="23"/>
      <c r="U1248" s="23"/>
      <c r="V1248" s="40"/>
      <c r="W1248" s="23"/>
      <c r="X1248" s="23"/>
      <c r="Y1248" s="40"/>
      <c r="Z1248" s="23"/>
      <c r="AA1248" s="23"/>
      <c r="AB1248" s="40"/>
      <c r="AC1248" s="42"/>
      <c r="AD1248" s="42"/>
      <c r="AE1248" s="40"/>
      <c r="AF1248" s="42"/>
      <c r="AG1248" s="42"/>
      <c r="AH1248" s="23"/>
      <c r="AI1248" s="42"/>
      <c r="AJ1248" s="42"/>
      <c r="AK1248" s="40"/>
      <c r="AL1248" s="84"/>
      <c r="AM1248" s="84"/>
      <c r="AN1248" s="40"/>
      <c r="AO1248" s="23"/>
    </row>
    <row r="1249" spans="1:41" ht="15.75" x14ac:dyDescent="0.25">
      <c r="A1249" s="44"/>
      <c r="B1249" s="23"/>
      <c r="C1249" s="23"/>
      <c r="D1249" s="36"/>
      <c r="E1249" s="23"/>
      <c r="F1249" s="23"/>
      <c r="G1249" s="40"/>
      <c r="H1249" s="23"/>
      <c r="I1249" s="23"/>
      <c r="J1249" s="40"/>
      <c r="K1249" s="36"/>
      <c r="L1249" s="36"/>
      <c r="M1249" s="40"/>
      <c r="N1249" s="23"/>
      <c r="O1249" s="36"/>
      <c r="P1249" s="40"/>
      <c r="Q1249" s="36"/>
      <c r="R1249" s="36"/>
      <c r="S1249" s="40"/>
      <c r="T1249" s="23"/>
      <c r="U1249" s="23"/>
      <c r="V1249" s="40"/>
      <c r="W1249" s="23"/>
      <c r="X1249" s="23"/>
      <c r="Y1249" s="40"/>
      <c r="Z1249" s="23"/>
      <c r="AA1249" s="23"/>
      <c r="AB1249" s="40"/>
      <c r="AC1249" s="42"/>
      <c r="AD1249" s="42"/>
      <c r="AE1249" s="40"/>
      <c r="AF1249" s="42"/>
      <c r="AG1249" s="42"/>
      <c r="AH1249" s="23"/>
      <c r="AI1249" s="42"/>
      <c r="AJ1249" s="42"/>
      <c r="AK1249" s="40"/>
      <c r="AL1249" s="84"/>
      <c r="AM1249" s="84"/>
      <c r="AN1249" s="40"/>
      <c r="AO1249" s="23"/>
    </row>
    <row r="1250" spans="1:41" ht="15.75" x14ac:dyDescent="0.25">
      <c r="A1250" s="44"/>
      <c r="B1250" s="23"/>
      <c r="C1250" s="23"/>
      <c r="D1250" s="36"/>
      <c r="E1250" s="23"/>
      <c r="F1250" s="23"/>
      <c r="G1250" s="40"/>
      <c r="H1250" s="23"/>
      <c r="I1250" s="23"/>
      <c r="J1250" s="40"/>
      <c r="K1250" s="36"/>
      <c r="L1250" s="36"/>
      <c r="M1250" s="40"/>
      <c r="N1250" s="23"/>
      <c r="O1250" s="36"/>
      <c r="P1250" s="40"/>
      <c r="Q1250" s="36"/>
      <c r="R1250" s="36"/>
      <c r="S1250" s="40"/>
      <c r="T1250" s="23"/>
      <c r="U1250" s="23"/>
      <c r="V1250" s="40"/>
      <c r="W1250" s="23"/>
      <c r="X1250" s="23"/>
      <c r="Y1250" s="40"/>
      <c r="Z1250" s="23"/>
      <c r="AA1250" s="23"/>
      <c r="AB1250" s="40"/>
      <c r="AC1250" s="42"/>
      <c r="AD1250" s="42"/>
      <c r="AE1250" s="40"/>
      <c r="AF1250" s="42"/>
      <c r="AG1250" s="42"/>
      <c r="AH1250" s="23"/>
      <c r="AI1250" s="42"/>
      <c r="AJ1250" s="42"/>
      <c r="AK1250" s="40"/>
      <c r="AL1250" s="84"/>
      <c r="AM1250" s="84"/>
      <c r="AN1250" s="40"/>
      <c r="AO1250" s="23"/>
    </row>
    <row r="1251" spans="1:41" ht="15.75" x14ac:dyDescent="0.25">
      <c r="A1251" s="44"/>
      <c r="B1251" s="23"/>
      <c r="C1251" s="23"/>
      <c r="D1251" s="36"/>
      <c r="E1251" s="23"/>
      <c r="F1251" s="23"/>
      <c r="G1251" s="40"/>
      <c r="H1251" s="23"/>
      <c r="I1251" s="23"/>
      <c r="J1251" s="40"/>
      <c r="K1251" s="36"/>
      <c r="L1251" s="36"/>
      <c r="M1251" s="40"/>
      <c r="N1251" s="23"/>
      <c r="O1251" s="36"/>
      <c r="P1251" s="40"/>
      <c r="Q1251" s="36"/>
      <c r="R1251" s="36"/>
      <c r="S1251" s="40"/>
      <c r="T1251" s="23"/>
      <c r="U1251" s="23"/>
      <c r="V1251" s="40"/>
      <c r="W1251" s="23"/>
      <c r="X1251" s="23"/>
      <c r="Y1251" s="40"/>
      <c r="Z1251" s="23"/>
      <c r="AA1251" s="23"/>
      <c r="AB1251" s="40"/>
      <c r="AC1251" s="42"/>
      <c r="AD1251" s="42"/>
      <c r="AE1251" s="40"/>
      <c r="AF1251" s="42"/>
      <c r="AG1251" s="42"/>
      <c r="AH1251" s="23"/>
      <c r="AI1251" s="42"/>
      <c r="AJ1251" s="42"/>
      <c r="AK1251" s="40"/>
      <c r="AL1251" s="84"/>
      <c r="AM1251" s="84"/>
      <c r="AN1251" s="40"/>
      <c r="AO1251" s="23"/>
    </row>
    <row r="1252" spans="1:41" ht="15.75" x14ac:dyDescent="0.25">
      <c r="A1252" s="44"/>
      <c r="B1252" s="23"/>
      <c r="C1252" s="23"/>
      <c r="D1252" s="36"/>
      <c r="E1252" s="23"/>
      <c r="F1252" s="23"/>
      <c r="G1252" s="40"/>
      <c r="H1252" s="23"/>
      <c r="I1252" s="23"/>
      <c r="J1252" s="40"/>
      <c r="K1252" s="36"/>
      <c r="L1252" s="36"/>
      <c r="M1252" s="40"/>
      <c r="N1252" s="23"/>
      <c r="O1252" s="36"/>
      <c r="P1252" s="40"/>
      <c r="Q1252" s="36"/>
      <c r="R1252" s="36"/>
      <c r="S1252" s="40"/>
      <c r="T1252" s="23"/>
      <c r="U1252" s="23"/>
      <c r="V1252" s="40"/>
      <c r="W1252" s="23"/>
      <c r="X1252" s="23"/>
      <c r="Y1252" s="40"/>
      <c r="Z1252" s="23"/>
      <c r="AA1252" s="23"/>
      <c r="AB1252" s="40"/>
      <c r="AC1252" s="42"/>
      <c r="AD1252" s="42"/>
      <c r="AE1252" s="40"/>
      <c r="AF1252" s="42"/>
      <c r="AG1252" s="42"/>
      <c r="AH1252" s="23"/>
      <c r="AI1252" s="42"/>
      <c r="AJ1252" s="42"/>
      <c r="AK1252" s="40"/>
      <c r="AL1252" s="84"/>
      <c r="AM1252" s="84"/>
      <c r="AN1252" s="40"/>
      <c r="AO1252" s="23"/>
    </row>
    <row r="1253" spans="1:41" ht="15.75" x14ac:dyDescent="0.25">
      <c r="A1253" s="44"/>
      <c r="B1253" s="23"/>
      <c r="C1253" s="23"/>
      <c r="D1253" s="36"/>
      <c r="E1253" s="23"/>
      <c r="F1253" s="23"/>
      <c r="G1253" s="40"/>
      <c r="H1253" s="23"/>
      <c r="I1253" s="23"/>
      <c r="J1253" s="40"/>
      <c r="K1253" s="36"/>
      <c r="L1253" s="36"/>
      <c r="M1253" s="40"/>
      <c r="N1253" s="23"/>
      <c r="O1253" s="36"/>
      <c r="P1253" s="40"/>
      <c r="Q1253" s="36"/>
      <c r="R1253" s="36"/>
      <c r="S1253" s="40"/>
      <c r="T1253" s="23"/>
      <c r="U1253" s="23"/>
      <c r="V1253" s="40"/>
      <c r="W1253" s="23"/>
      <c r="X1253" s="23"/>
      <c r="Y1253" s="40"/>
      <c r="Z1253" s="23"/>
      <c r="AA1253" s="23"/>
      <c r="AB1253" s="40"/>
      <c r="AC1253" s="42"/>
      <c r="AD1253" s="42"/>
      <c r="AE1253" s="40"/>
      <c r="AF1253" s="42"/>
      <c r="AG1253" s="42"/>
      <c r="AH1253" s="23"/>
      <c r="AI1253" s="42"/>
      <c r="AJ1253" s="42"/>
      <c r="AK1253" s="40"/>
      <c r="AL1253" s="84"/>
      <c r="AM1253" s="84"/>
      <c r="AN1253" s="40"/>
      <c r="AO1253" s="23"/>
    </row>
    <row r="1254" spans="1:41" ht="15.75" x14ac:dyDescent="0.25">
      <c r="A1254" s="44"/>
      <c r="B1254" s="23"/>
      <c r="C1254" s="23"/>
      <c r="D1254" s="36"/>
      <c r="E1254" s="23"/>
      <c r="F1254" s="23"/>
      <c r="G1254" s="40"/>
      <c r="H1254" s="23"/>
      <c r="I1254" s="23"/>
      <c r="J1254" s="40"/>
      <c r="K1254" s="36"/>
      <c r="L1254" s="36"/>
      <c r="M1254" s="40"/>
      <c r="N1254" s="23"/>
      <c r="O1254" s="36"/>
      <c r="P1254" s="40"/>
      <c r="Q1254" s="36"/>
      <c r="R1254" s="36"/>
      <c r="S1254" s="40"/>
      <c r="T1254" s="23"/>
      <c r="U1254" s="23"/>
      <c r="V1254" s="40"/>
      <c r="W1254" s="23"/>
      <c r="X1254" s="23"/>
      <c r="Y1254" s="40"/>
      <c r="Z1254" s="23"/>
      <c r="AA1254" s="23"/>
      <c r="AB1254" s="40"/>
      <c r="AC1254" s="42"/>
      <c r="AD1254" s="42"/>
      <c r="AE1254" s="40"/>
      <c r="AF1254" s="42"/>
      <c r="AG1254" s="42"/>
      <c r="AH1254" s="23"/>
      <c r="AI1254" s="42"/>
      <c r="AJ1254" s="42"/>
      <c r="AK1254" s="40"/>
      <c r="AL1254" s="84"/>
      <c r="AM1254" s="84"/>
      <c r="AN1254" s="40"/>
      <c r="AO1254" s="23"/>
    </row>
    <row r="1255" spans="1:41" ht="15.75" x14ac:dyDescent="0.25">
      <c r="A1255" s="44"/>
      <c r="B1255" s="23"/>
      <c r="C1255" s="23"/>
      <c r="D1255" s="36"/>
      <c r="E1255" s="23"/>
      <c r="F1255" s="23"/>
      <c r="G1255" s="40"/>
      <c r="H1255" s="23"/>
      <c r="I1255" s="23"/>
      <c r="J1255" s="40"/>
      <c r="K1255" s="36"/>
      <c r="L1255" s="36"/>
      <c r="M1255" s="40"/>
      <c r="N1255" s="23"/>
      <c r="O1255" s="36"/>
      <c r="P1255" s="40"/>
      <c r="Q1255" s="36"/>
      <c r="R1255" s="36"/>
      <c r="S1255" s="40"/>
      <c r="T1255" s="23"/>
      <c r="U1255" s="23"/>
      <c r="V1255" s="40"/>
      <c r="W1255" s="23"/>
      <c r="X1255" s="23"/>
      <c r="Y1255" s="40"/>
      <c r="Z1255" s="23"/>
      <c r="AA1255" s="23"/>
      <c r="AB1255" s="40"/>
      <c r="AC1255" s="42"/>
      <c r="AD1255" s="42"/>
      <c r="AE1255" s="40"/>
      <c r="AF1255" s="42"/>
      <c r="AG1255" s="42"/>
      <c r="AH1255" s="23"/>
      <c r="AI1255" s="42"/>
      <c r="AJ1255" s="42"/>
      <c r="AK1255" s="40"/>
      <c r="AL1255" s="84"/>
      <c r="AM1255" s="84"/>
      <c r="AN1255" s="40"/>
      <c r="AO1255" s="23"/>
    </row>
    <row r="1256" spans="1:41" ht="15.75" x14ac:dyDescent="0.25">
      <c r="A1256" s="44"/>
      <c r="B1256" s="23"/>
      <c r="C1256" s="23"/>
      <c r="D1256" s="36"/>
      <c r="E1256" s="23"/>
      <c r="F1256" s="23"/>
      <c r="G1256" s="40"/>
      <c r="H1256" s="23"/>
      <c r="I1256" s="23"/>
      <c r="J1256" s="40"/>
      <c r="K1256" s="36"/>
      <c r="L1256" s="36"/>
      <c r="M1256" s="40"/>
      <c r="N1256" s="23"/>
      <c r="O1256" s="36"/>
      <c r="P1256" s="40"/>
      <c r="Q1256" s="36"/>
      <c r="R1256" s="36"/>
      <c r="S1256" s="40"/>
      <c r="T1256" s="23"/>
      <c r="U1256" s="23"/>
      <c r="V1256" s="40"/>
      <c r="W1256" s="23"/>
      <c r="X1256" s="23"/>
      <c r="Y1256" s="40"/>
      <c r="Z1256" s="23"/>
      <c r="AA1256" s="23"/>
      <c r="AB1256" s="40"/>
      <c r="AC1256" s="42"/>
      <c r="AD1256" s="42"/>
      <c r="AE1256" s="40"/>
      <c r="AF1256" s="42"/>
      <c r="AG1256" s="42"/>
      <c r="AH1256" s="23"/>
      <c r="AI1256" s="42"/>
      <c r="AJ1256" s="42"/>
      <c r="AK1256" s="40"/>
      <c r="AL1256" s="84"/>
      <c r="AM1256" s="84"/>
      <c r="AN1256" s="40"/>
      <c r="AO1256" s="23"/>
    </row>
    <row r="1257" spans="1:41" ht="15.75" x14ac:dyDescent="0.25">
      <c r="A1257" s="44"/>
      <c r="B1257" s="23"/>
      <c r="C1257" s="23"/>
      <c r="D1257" s="36"/>
      <c r="E1257" s="23"/>
      <c r="F1257" s="23"/>
      <c r="G1257" s="40"/>
      <c r="H1257" s="23"/>
      <c r="I1257" s="23"/>
      <c r="J1257" s="40"/>
      <c r="K1257" s="36"/>
      <c r="L1257" s="36"/>
      <c r="M1257" s="40"/>
      <c r="N1257" s="23"/>
      <c r="O1257" s="36"/>
      <c r="P1257" s="40"/>
      <c r="Q1257" s="36"/>
      <c r="R1257" s="36"/>
      <c r="S1257" s="40"/>
      <c r="T1257" s="23"/>
      <c r="U1257" s="23"/>
      <c r="V1257" s="40"/>
      <c r="W1257" s="23"/>
      <c r="X1257" s="23"/>
      <c r="Y1257" s="40"/>
      <c r="Z1257" s="23"/>
      <c r="AA1257" s="23"/>
      <c r="AB1257" s="40"/>
      <c r="AC1257" s="42"/>
      <c r="AD1257" s="42"/>
      <c r="AE1257" s="40"/>
      <c r="AF1257" s="42"/>
      <c r="AG1257" s="42"/>
      <c r="AH1257" s="23"/>
      <c r="AI1257" s="42"/>
      <c r="AJ1257" s="42"/>
      <c r="AK1257" s="40"/>
      <c r="AL1257" s="84"/>
      <c r="AM1257" s="84"/>
      <c r="AN1257" s="40"/>
      <c r="AO1257" s="23"/>
    </row>
    <row r="1258" spans="1:41" ht="15.75" x14ac:dyDescent="0.25">
      <c r="A1258" s="44"/>
      <c r="B1258" s="23"/>
      <c r="C1258" s="23"/>
      <c r="D1258" s="36"/>
      <c r="E1258" s="23"/>
      <c r="F1258" s="23"/>
      <c r="G1258" s="40"/>
      <c r="H1258" s="23"/>
      <c r="I1258" s="23"/>
      <c r="J1258" s="40"/>
      <c r="K1258" s="36"/>
      <c r="L1258" s="36"/>
      <c r="M1258" s="40"/>
      <c r="N1258" s="23"/>
      <c r="O1258" s="36"/>
      <c r="P1258" s="40"/>
      <c r="Q1258" s="36"/>
      <c r="R1258" s="36"/>
      <c r="S1258" s="40"/>
      <c r="T1258" s="23"/>
      <c r="U1258" s="23"/>
      <c r="V1258" s="40"/>
      <c r="W1258" s="23"/>
      <c r="X1258" s="23"/>
      <c r="Y1258" s="40"/>
      <c r="Z1258" s="23"/>
      <c r="AA1258" s="23"/>
      <c r="AB1258" s="40"/>
      <c r="AC1258" s="42"/>
      <c r="AD1258" s="42"/>
      <c r="AE1258" s="40"/>
      <c r="AF1258" s="42"/>
      <c r="AG1258" s="42"/>
      <c r="AH1258" s="23"/>
      <c r="AI1258" s="42"/>
      <c r="AJ1258" s="42"/>
      <c r="AK1258" s="40"/>
      <c r="AL1258" s="84"/>
      <c r="AM1258" s="84"/>
      <c r="AN1258" s="40"/>
      <c r="AO1258" s="23"/>
    </row>
    <row r="1259" spans="1:41" ht="15.75" x14ac:dyDescent="0.25">
      <c r="A1259" s="44"/>
      <c r="B1259" s="23"/>
      <c r="C1259" s="23"/>
      <c r="D1259" s="36"/>
      <c r="E1259" s="23"/>
      <c r="F1259" s="23"/>
      <c r="G1259" s="40"/>
      <c r="H1259" s="23"/>
      <c r="I1259" s="23"/>
      <c r="J1259" s="40"/>
      <c r="K1259" s="36"/>
      <c r="L1259" s="36"/>
      <c r="M1259" s="40"/>
      <c r="N1259" s="23"/>
      <c r="O1259" s="36"/>
      <c r="P1259" s="40"/>
      <c r="Q1259" s="36"/>
      <c r="R1259" s="36"/>
      <c r="S1259" s="40"/>
      <c r="T1259" s="23"/>
      <c r="U1259" s="23"/>
      <c r="V1259" s="40"/>
      <c r="W1259" s="23"/>
      <c r="X1259" s="23"/>
      <c r="Y1259" s="40"/>
      <c r="Z1259" s="23"/>
      <c r="AA1259" s="23"/>
      <c r="AB1259" s="40"/>
      <c r="AC1259" s="42"/>
      <c r="AD1259" s="42"/>
      <c r="AE1259" s="40"/>
      <c r="AF1259" s="42"/>
      <c r="AG1259" s="42"/>
      <c r="AH1259" s="23"/>
      <c r="AI1259" s="42"/>
      <c r="AJ1259" s="42"/>
      <c r="AK1259" s="40"/>
      <c r="AL1259" s="84"/>
      <c r="AM1259" s="84"/>
      <c r="AN1259" s="40"/>
      <c r="AO1259" s="23"/>
    </row>
    <row r="1260" spans="1:41" ht="15.75" x14ac:dyDescent="0.25">
      <c r="A1260" s="44"/>
      <c r="B1260" s="23"/>
      <c r="C1260" s="23"/>
      <c r="D1260" s="36"/>
      <c r="E1260" s="23"/>
      <c r="F1260" s="23"/>
      <c r="G1260" s="40"/>
      <c r="H1260" s="23"/>
      <c r="I1260" s="23"/>
      <c r="J1260" s="40"/>
      <c r="K1260" s="36"/>
      <c r="L1260" s="36"/>
      <c r="M1260" s="40"/>
      <c r="N1260" s="23"/>
      <c r="O1260" s="36"/>
      <c r="P1260" s="40"/>
      <c r="Q1260" s="36"/>
      <c r="R1260" s="36"/>
      <c r="S1260" s="40"/>
      <c r="T1260" s="23"/>
      <c r="U1260" s="23"/>
      <c r="V1260" s="40"/>
      <c r="W1260" s="23"/>
      <c r="X1260" s="23"/>
      <c r="Y1260" s="40"/>
      <c r="Z1260" s="23"/>
      <c r="AA1260" s="23"/>
      <c r="AB1260" s="40"/>
      <c r="AC1260" s="42"/>
      <c r="AD1260" s="42"/>
      <c r="AE1260" s="40"/>
      <c r="AF1260" s="42"/>
      <c r="AG1260" s="42"/>
      <c r="AH1260" s="23"/>
      <c r="AI1260" s="42"/>
      <c r="AJ1260" s="42"/>
      <c r="AK1260" s="40"/>
      <c r="AL1260" s="84"/>
      <c r="AM1260" s="84"/>
      <c r="AN1260" s="40"/>
      <c r="AO1260" s="23"/>
    </row>
    <row r="1261" spans="1:41" ht="15.75" x14ac:dyDescent="0.25">
      <c r="A1261" s="44"/>
      <c r="B1261" s="23"/>
      <c r="C1261" s="23"/>
      <c r="D1261" s="36"/>
      <c r="E1261" s="23"/>
      <c r="F1261" s="23"/>
      <c r="G1261" s="40"/>
      <c r="H1261" s="23"/>
      <c r="I1261" s="23"/>
      <c r="J1261" s="40"/>
      <c r="K1261" s="36"/>
      <c r="L1261" s="36"/>
      <c r="M1261" s="40"/>
      <c r="N1261" s="23"/>
      <c r="O1261" s="36"/>
      <c r="P1261" s="40"/>
      <c r="Q1261" s="36"/>
      <c r="R1261" s="36"/>
      <c r="S1261" s="40"/>
      <c r="T1261" s="23"/>
      <c r="U1261" s="23"/>
      <c r="V1261" s="40"/>
      <c r="W1261" s="23"/>
      <c r="X1261" s="23"/>
      <c r="Y1261" s="40"/>
      <c r="Z1261" s="23"/>
      <c r="AA1261" s="23"/>
      <c r="AB1261" s="40"/>
      <c r="AC1261" s="42"/>
      <c r="AD1261" s="42"/>
      <c r="AE1261" s="40"/>
      <c r="AF1261" s="42"/>
      <c r="AG1261" s="42"/>
      <c r="AH1261" s="23"/>
      <c r="AI1261" s="42"/>
      <c r="AJ1261" s="42"/>
      <c r="AK1261" s="40"/>
      <c r="AL1261" s="84"/>
      <c r="AM1261" s="84"/>
      <c r="AN1261" s="40"/>
      <c r="AO1261" s="23"/>
    </row>
    <row r="1262" spans="1:41" ht="15.75" x14ac:dyDescent="0.25">
      <c r="A1262" s="44"/>
      <c r="B1262" s="23"/>
      <c r="C1262" s="23"/>
      <c r="D1262" s="36"/>
      <c r="E1262" s="23"/>
      <c r="F1262" s="23"/>
      <c r="G1262" s="40"/>
      <c r="H1262" s="23"/>
      <c r="I1262" s="23"/>
      <c r="J1262" s="40"/>
      <c r="K1262" s="36"/>
      <c r="L1262" s="36"/>
      <c r="M1262" s="40"/>
      <c r="N1262" s="23"/>
      <c r="O1262" s="36"/>
      <c r="P1262" s="40"/>
      <c r="Q1262" s="36"/>
      <c r="R1262" s="36"/>
      <c r="S1262" s="40"/>
      <c r="T1262" s="23"/>
      <c r="U1262" s="23"/>
      <c r="V1262" s="40"/>
      <c r="W1262" s="23"/>
      <c r="X1262" s="23"/>
      <c r="Y1262" s="40"/>
      <c r="Z1262" s="23"/>
      <c r="AA1262" s="23"/>
      <c r="AB1262" s="40"/>
      <c r="AC1262" s="42"/>
      <c r="AD1262" s="42"/>
      <c r="AE1262" s="40"/>
      <c r="AF1262" s="42"/>
      <c r="AG1262" s="42"/>
      <c r="AH1262" s="23"/>
      <c r="AI1262" s="42"/>
      <c r="AJ1262" s="42"/>
      <c r="AK1262" s="40"/>
      <c r="AL1262" s="84"/>
      <c r="AM1262" s="84"/>
      <c r="AN1262" s="40"/>
      <c r="AO1262" s="23"/>
    </row>
    <row r="1263" spans="1:41" ht="15.75" x14ac:dyDescent="0.25">
      <c r="A1263" s="44"/>
      <c r="B1263" s="23"/>
      <c r="C1263" s="23"/>
      <c r="D1263" s="36"/>
      <c r="E1263" s="23"/>
      <c r="F1263" s="23"/>
      <c r="G1263" s="40"/>
      <c r="H1263" s="23"/>
      <c r="I1263" s="23"/>
      <c r="J1263" s="40"/>
      <c r="K1263" s="36"/>
      <c r="L1263" s="36"/>
      <c r="M1263" s="40"/>
      <c r="N1263" s="23"/>
      <c r="O1263" s="36"/>
      <c r="P1263" s="40"/>
      <c r="Q1263" s="36"/>
      <c r="R1263" s="36"/>
      <c r="S1263" s="40"/>
      <c r="T1263" s="23"/>
      <c r="U1263" s="23"/>
      <c r="V1263" s="40"/>
      <c r="W1263" s="23"/>
      <c r="X1263" s="23"/>
      <c r="Y1263" s="40"/>
      <c r="Z1263" s="23"/>
      <c r="AA1263" s="23"/>
      <c r="AB1263" s="40"/>
      <c r="AC1263" s="42"/>
      <c r="AD1263" s="42"/>
      <c r="AE1263" s="40"/>
      <c r="AF1263" s="42"/>
      <c r="AG1263" s="42"/>
      <c r="AH1263" s="23"/>
      <c r="AI1263" s="42"/>
      <c r="AJ1263" s="42"/>
      <c r="AK1263" s="40"/>
      <c r="AL1263" s="84"/>
      <c r="AM1263" s="84"/>
      <c r="AN1263" s="40"/>
      <c r="AO1263" s="23"/>
    </row>
    <row r="1264" spans="1:41" ht="15.75" x14ac:dyDescent="0.25">
      <c r="A1264" s="44"/>
      <c r="B1264" s="23"/>
      <c r="C1264" s="23"/>
      <c r="D1264" s="36"/>
      <c r="E1264" s="23"/>
      <c r="F1264" s="23"/>
      <c r="G1264" s="40"/>
      <c r="H1264" s="23"/>
      <c r="I1264" s="23"/>
      <c r="J1264" s="40"/>
      <c r="K1264" s="36"/>
      <c r="L1264" s="36"/>
      <c r="M1264" s="40"/>
      <c r="N1264" s="23"/>
      <c r="O1264" s="36"/>
      <c r="P1264" s="40"/>
      <c r="Q1264" s="36"/>
      <c r="R1264" s="36"/>
      <c r="S1264" s="40"/>
      <c r="T1264" s="23"/>
      <c r="U1264" s="23"/>
      <c r="V1264" s="40"/>
      <c r="W1264" s="23"/>
      <c r="X1264" s="23"/>
      <c r="Y1264" s="40"/>
      <c r="Z1264" s="23"/>
      <c r="AA1264" s="23"/>
      <c r="AB1264" s="40"/>
      <c r="AC1264" s="42"/>
      <c r="AD1264" s="42"/>
      <c r="AE1264" s="40"/>
      <c r="AF1264" s="42"/>
      <c r="AG1264" s="42"/>
      <c r="AH1264" s="23"/>
      <c r="AI1264" s="42"/>
      <c r="AJ1264" s="42"/>
      <c r="AK1264" s="40"/>
      <c r="AL1264" s="84"/>
      <c r="AM1264" s="84"/>
      <c r="AN1264" s="40"/>
      <c r="AO1264" s="23"/>
    </row>
    <row r="1265" spans="1:41" ht="15.75" x14ac:dyDescent="0.25">
      <c r="A1265" s="44"/>
      <c r="B1265" s="23"/>
      <c r="C1265" s="23"/>
      <c r="D1265" s="36"/>
      <c r="E1265" s="23"/>
      <c r="F1265" s="23"/>
      <c r="G1265" s="40"/>
      <c r="H1265" s="23"/>
      <c r="I1265" s="23"/>
      <c r="J1265" s="40"/>
      <c r="K1265" s="36"/>
      <c r="L1265" s="36"/>
      <c r="M1265" s="40"/>
      <c r="N1265" s="23"/>
      <c r="O1265" s="36"/>
      <c r="P1265" s="40"/>
      <c r="Q1265" s="36"/>
      <c r="R1265" s="36"/>
      <c r="S1265" s="40"/>
      <c r="T1265" s="23"/>
      <c r="U1265" s="23"/>
      <c r="V1265" s="40"/>
      <c r="W1265" s="23"/>
      <c r="X1265" s="23"/>
      <c r="Y1265" s="40"/>
      <c r="Z1265" s="23"/>
      <c r="AA1265" s="23"/>
      <c r="AB1265" s="40"/>
      <c r="AC1265" s="42"/>
      <c r="AD1265" s="42"/>
      <c r="AE1265" s="40"/>
      <c r="AF1265" s="42"/>
      <c r="AG1265" s="42"/>
      <c r="AH1265" s="23"/>
      <c r="AI1265" s="42"/>
      <c r="AJ1265" s="42"/>
      <c r="AK1265" s="40"/>
      <c r="AL1265" s="84"/>
      <c r="AM1265" s="84"/>
      <c r="AN1265" s="40"/>
      <c r="AO1265" s="23"/>
    </row>
    <row r="1266" spans="1:41" ht="15.75" x14ac:dyDescent="0.25">
      <c r="A1266" s="44"/>
      <c r="B1266" s="23"/>
      <c r="C1266" s="23"/>
      <c r="D1266" s="36"/>
      <c r="E1266" s="23"/>
      <c r="F1266" s="23"/>
      <c r="G1266" s="40"/>
      <c r="H1266" s="23"/>
      <c r="I1266" s="23"/>
      <c r="J1266" s="40"/>
      <c r="K1266" s="36"/>
      <c r="L1266" s="36"/>
      <c r="M1266" s="40"/>
      <c r="N1266" s="23"/>
      <c r="O1266" s="36"/>
      <c r="P1266" s="40"/>
      <c r="Q1266" s="36"/>
      <c r="R1266" s="36"/>
      <c r="S1266" s="40"/>
      <c r="T1266" s="23"/>
      <c r="U1266" s="23"/>
      <c r="V1266" s="40"/>
      <c r="W1266" s="23"/>
      <c r="X1266" s="23"/>
      <c r="Y1266" s="40"/>
      <c r="Z1266" s="23"/>
      <c r="AA1266" s="23"/>
      <c r="AB1266" s="40"/>
      <c r="AC1266" s="42"/>
      <c r="AD1266" s="42"/>
      <c r="AE1266" s="40"/>
      <c r="AF1266" s="42"/>
      <c r="AG1266" s="42"/>
      <c r="AH1266" s="23"/>
      <c r="AI1266" s="42"/>
      <c r="AJ1266" s="42"/>
      <c r="AK1266" s="40"/>
      <c r="AL1266" s="84"/>
      <c r="AM1266" s="84"/>
      <c r="AN1266" s="40"/>
      <c r="AO1266" s="23"/>
    </row>
    <row r="1267" spans="1:41" ht="15.75" x14ac:dyDescent="0.25">
      <c r="A1267" s="44"/>
      <c r="B1267" s="23"/>
      <c r="C1267" s="23"/>
      <c r="D1267" s="36"/>
      <c r="E1267" s="23"/>
      <c r="F1267" s="23"/>
      <c r="G1267" s="40"/>
      <c r="H1267" s="23"/>
      <c r="I1267" s="23"/>
      <c r="J1267" s="40"/>
      <c r="K1267" s="36"/>
      <c r="L1267" s="36"/>
      <c r="M1267" s="40"/>
      <c r="N1267" s="23"/>
      <c r="O1267" s="36"/>
      <c r="P1267" s="40"/>
      <c r="Q1267" s="36"/>
      <c r="R1267" s="36"/>
      <c r="S1267" s="40"/>
      <c r="T1267" s="23"/>
      <c r="U1267" s="23"/>
      <c r="V1267" s="40"/>
      <c r="W1267" s="23"/>
      <c r="X1267" s="23"/>
      <c r="Y1267" s="40"/>
      <c r="Z1267" s="23"/>
      <c r="AA1267" s="23"/>
      <c r="AB1267" s="40"/>
      <c r="AC1267" s="42"/>
      <c r="AD1267" s="42"/>
      <c r="AE1267" s="40"/>
      <c r="AF1267" s="42"/>
      <c r="AG1267" s="42"/>
      <c r="AH1267" s="23"/>
      <c r="AI1267" s="42"/>
      <c r="AJ1267" s="42"/>
      <c r="AK1267" s="40"/>
      <c r="AL1267" s="84"/>
      <c r="AM1267" s="84"/>
      <c r="AN1267" s="40"/>
      <c r="AO1267" s="23"/>
    </row>
    <row r="1268" spans="1:41" ht="15.75" x14ac:dyDescent="0.25">
      <c r="A1268" s="44"/>
      <c r="B1268" s="23"/>
      <c r="C1268" s="23"/>
      <c r="D1268" s="36"/>
      <c r="E1268" s="23"/>
      <c r="F1268" s="23"/>
      <c r="G1268" s="40"/>
      <c r="H1268" s="23"/>
      <c r="I1268" s="23"/>
      <c r="J1268" s="40"/>
      <c r="K1268" s="36"/>
      <c r="L1268" s="36"/>
      <c r="M1268" s="40"/>
      <c r="N1268" s="23"/>
      <c r="O1268" s="36"/>
      <c r="P1268" s="40"/>
      <c r="Q1268" s="36"/>
      <c r="R1268" s="36"/>
      <c r="S1268" s="40"/>
      <c r="T1268" s="23"/>
      <c r="U1268" s="23"/>
      <c r="V1268" s="40"/>
      <c r="W1268" s="23"/>
      <c r="X1268" s="23"/>
      <c r="Y1268" s="40"/>
      <c r="Z1268" s="23"/>
      <c r="AA1268" s="23"/>
      <c r="AB1268" s="40"/>
      <c r="AC1268" s="42"/>
      <c r="AD1268" s="42"/>
      <c r="AE1268" s="40"/>
      <c r="AF1268" s="42"/>
      <c r="AG1268" s="42"/>
      <c r="AH1268" s="23"/>
      <c r="AI1268" s="42"/>
      <c r="AJ1268" s="42"/>
      <c r="AK1268" s="40"/>
      <c r="AL1268" s="84"/>
      <c r="AM1268" s="84"/>
      <c r="AN1268" s="40"/>
      <c r="AO1268" s="23"/>
    </row>
    <row r="1269" spans="1:41" ht="15.75" x14ac:dyDescent="0.25">
      <c r="A1269" s="44"/>
      <c r="B1269" s="23"/>
      <c r="C1269" s="23"/>
      <c r="D1269" s="36"/>
      <c r="E1269" s="23"/>
      <c r="F1269" s="23"/>
      <c r="G1269" s="40"/>
      <c r="H1269" s="23"/>
      <c r="I1269" s="23"/>
      <c r="J1269" s="40"/>
      <c r="K1269" s="36"/>
      <c r="L1269" s="36"/>
      <c r="M1269" s="40"/>
      <c r="N1269" s="23"/>
      <c r="O1269" s="36"/>
      <c r="P1269" s="40"/>
      <c r="Q1269" s="36"/>
      <c r="R1269" s="36"/>
      <c r="S1269" s="40"/>
      <c r="T1269" s="23"/>
      <c r="U1269" s="23"/>
      <c r="V1269" s="40"/>
      <c r="W1269" s="23"/>
      <c r="X1269" s="23"/>
      <c r="Y1269" s="40"/>
      <c r="Z1269" s="23"/>
      <c r="AA1269" s="23"/>
      <c r="AB1269" s="40"/>
      <c r="AC1269" s="42"/>
      <c r="AD1269" s="42"/>
      <c r="AE1269" s="40"/>
      <c r="AF1269" s="42"/>
      <c r="AG1269" s="42"/>
      <c r="AH1269" s="23"/>
      <c r="AI1269" s="42"/>
      <c r="AJ1269" s="42"/>
      <c r="AK1269" s="40"/>
      <c r="AL1269" s="84"/>
      <c r="AM1269" s="84"/>
      <c r="AN1269" s="40"/>
      <c r="AO1269" s="23"/>
    </row>
  </sheetData>
  <autoFilter ref="A1:AO323"/>
  <conditionalFormatting sqref="G2:G31 P2:P31 S2:S31 S33:S37 P33:P37 G33:G37 G39:G43 P39:P43 S39:S43 S45:S49 P45:P49 G45:G49 G51:G55 P51:P55 S51:S55 S57:S61 P57:P61 G57:G61 G63:G67 P63:P67 S63:S67 S69:S73 P69:P73 G69:G73 G75:G79 P75:P79 S75:S79 S81:S85 P81:P85 G81:G85 G87:G91 P87:P91 S87:S91 S93:S97 P93:P97 G93:G97 G99:G103 P99:P103 S99:S103 S105:S109 P105:P109 G105:G109 G111:G115 P111:P115 S111:S115 S117:S121 P117:P121 G117:G121 G123:G127 P123:P127 S123:S127 S129:S133 P129:P133 G129:G133 G135:G139 P135:P139 S135:S139 S141:S145 P141:P145 G141:G145 G147:G151 P147:P151 S147:S151 S153:S157 P153:P157 G153:G157 G159:G163 P159:P163 S159:S163 S165:S169 P165:P169 G165:G169 G171:G175 P171:P175 S171:S175 S177:S181 P177:P181 G177:G181 G183:G187 P183:P187 S183:S187 S189:S193 P189:P193 G189:G193 G195:G199 P195:P199 S195:S199 S201:S205 P201:P205 G201:G205 G207:G211 P207:P211 S207:S211 S213:S217 P213:P217 G213:G217 G219:G223 P219:P223 S219:S223 S225:S229 P225:P229 G225:G229 G231:G235 P231:P235 S231:S235 S237:S241 P237:P241 G237:G241 G243:G247 P243:P247 S243:S247 S249:S253 P249:P253 G249:G253 G255:G259 P255:P259 S255:S259 S261:S265 P261:P265 G261:G265 G267:G271 P267:P271 S267:S271 S273:S277 P273:P277 G273:G277 G300:G304 P300:P304 S300:S304 S306:S310 P306:P310 G306:G310 G312:G316 P312:P316 S312:S316 S318:S322 P318:P322 G318:G322 G279:G286 P279:P286 S279:S286 G288:G298 P288:P298 S288:S298 AK288:AK298 AH288:AH298 AE288:AE298 Y288:Y298 AB288:AB298 V288:V298 AN288:AN298">
    <cfRule type="cellIs" dxfId="2411" priority="3887" operator="lessThan">
      <formula>0</formula>
    </cfRule>
  </conditionalFormatting>
  <conditionalFormatting sqref="G2:G31 P2:P31 S2:S31 S33:S37 P33:P37 G33:G37 G39:G43 P39:P43 S39:S43 S45:S49 P45:P49 G45:G49 G51:G55 P51:P55 S51:S55 S57:S61 P57:P61 G57:G61 G63:G67 P63:P67 S63:S67 S69:S73 P69:P73 G69:G73 G75:G79 P75:P79 S75:S79 S81:S85 P81:P85 G81:G85 G87:G91 P87:P91 S87:S91 S93:S97 P93:P97 G93:G97 G99:G103 P99:P103 S99:S103 S105:S109 P105:P109 G105:G109 G111:G115 P111:P115 S111:S115 S117:S121 P117:P121 G117:G121 G123:G127 P123:P127 S123:S127 S129:S133 P129:P133 G129:G133 G135:G139 P135:P139 S135:S139 S141:S145 P141:P145 G141:G145 G147:G151 P147:P151 S147:S151 S153:S157 P153:P157 G153:G157 G159:G163 P159:P163 S159:S163 S165:S169 P165:P169 G165:G169 G171:G175 P171:P175 S171:S175 S177:S181 P177:P181 G177:G181 G183:G187 P183:P187 S183:S187 S189:S193 P189:P193 G189:G193 G195:G199 P195:P199 S195:S199 S201:S205 P201:P205 G201:G205 G207:G211 P207:P211 S207:S211 S213:S217 P213:P217 G213:G217 G219:G223 P219:P223 S219:S223 S225:S229 P225:P229 G225:G229 G231:G235 P231:P235 S231:S235 S237:S241 P237:P241 G237:G241 G243:G247 P243:P247 S243:S247 S249:S253 P249:P253 G249:G253 G255:G259 P255:P259 S255:S259 S261:S265 P261:P265 G261:G265 G267:G271 P267:P271 S267:S271 S273:S277 P273:P277 G273:G277 G300:G304 P300:P304 S300:S304 S306:S310 P306:P310 G306:G310 G312:G316 P312:P316 S312:S316 S318:S322 P318:P322 G318:G322 G279:G286 P279:P286 S279:S286 G288:G298 P288:P298 S288:S298 AK288:AK298 AH288:AH298 AE288:AE298 Y288:Y298 AB288:AB298 V288:V298 AN288:AN298">
    <cfRule type="cellIs" dxfId="2410" priority="3888" operator="greaterThanOrEqual">
      <formula>0</formula>
    </cfRule>
  </conditionalFormatting>
  <conditionalFormatting sqref="J2:J31 M2:M31 M33:M37 J33:J37 J39:J43 M39:M43 M45:M49 J45:J49 J51:J55 M51:M55 M57:M61 J57:J61 J63:J67 M63:M67 M69:M73 J69:J73 J75:J79 M75:M79 M81:M85 J81:J85 J87:J91 M87:M91 M93:M97 J93:J97 J99:J103 M99:M103 M105:M109 J105:J109 J111:J115 M111:M115 M117:M121 J117:J121 J123:J127 M123:M127 M129:M133 J129:J133 J135:J139 M135:M139 M141:M145 J141:J145 J147:J151 M147:M151 M153:M157 J153:J157 J159:J163 M159:M163 M165:M169 J165:J169 J171:J175 M171:M175 M177:M181 J177:J181 J183:J187 M183:M187 M189:M193 J189:J193 J195:J199 M195:M199 M201:M205 J201:J205 J207:J211 M207:M211 M213:M217 J213:J217 J219:J223 M219:M223 M225:M229 J225:J229 J231:J235 M231:M235 M237:M241 J237:J241 J243:J247 M243:M247 M249:M253 J249:J253 J255:J259 M255:M259 M261:M265 J261:J265 J267:J271 M267:M271 M273:M277 J273:J277 J300:J304 M300:M304 M306:M310 J306:J310 J312:J316 M312:M316 M318:M322 J318:J322 J279:J286 M279:M286 J288:J298 M288:M298">
    <cfRule type="cellIs" dxfId="2409" priority="3889" operator="lessThanOrEqual">
      <formula>0</formula>
    </cfRule>
  </conditionalFormatting>
  <conditionalFormatting sqref="J2:J31 M2:M31 M33:M37 J33:J37 J39:J43 M39:M43 M45:M49 J45:J49 J51:J55 M51:M55 M57:M61 J57:J61 J63:J67 M63:M67 M69:M73 J69:J73 J75:J79 M75:M79 M81:M85 J81:J85 J87:J91 M87:M91 M93:M97 J93:J97 J99:J103 M99:M103 M105:M109 J105:J109 J111:J115 M111:M115 M117:M121 J117:J121 J123:J127 M123:M127 M129:M133 J129:J133 J135:J139 M135:M139 M141:M145 J141:J145 J147:J151 M147:M151 M153:M157 J153:J157 J159:J163 M159:M163 M165:M169 J165:J169 J171:J175 M171:M175 M177:M181 J177:J181 J183:J187 M183:M187 M189:M193 J189:J193 J195:J199 M195:M199 M201:M205 J201:J205 J207:J211 M207:M211 M213:M217 J213:J217 J219:J223 M219:M223 M225:M229 J225:J229 J231:J235 M231:M235 M237:M241 J237:J241 J243:J247 M243:M247 M249:M253 J249:J253 J255:J259 M255:M259 M261:M265 J261:J265 J267:J271 M267:M271 M273:M277 J273:J277 J300:J304 M300:M304 M306:M310 J306:J310 J312:J316 M312:M316 M318:M322 J318:J322 J279:J286 M279:M286 J288:J298 M288:M298">
    <cfRule type="cellIs" dxfId="2408" priority="3890" operator="greaterThan">
      <formula>0</formula>
    </cfRule>
  </conditionalFormatting>
  <conditionalFormatting sqref="AN8">
    <cfRule type="cellIs" dxfId="2407" priority="3885" operator="lessThan">
      <formula>0</formula>
    </cfRule>
  </conditionalFormatting>
  <conditionalFormatting sqref="AN8">
    <cfRule type="cellIs" dxfId="2406" priority="3886" operator="greaterThanOrEqual">
      <formula>0</formula>
    </cfRule>
  </conditionalFormatting>
  <conditionalFormatting sqref="V2:V7">
    <cfRule type="cellIs" dxfId="2405" priority="3901" operator="lessThan">
      <formula>0</formula>
    </cfRule>
  </conditionalFormatting>
  <conditionalFormatting sqref="V2:V7">
    <cfRule type="cellIs" dxfId="2404" priority="3902" operator="greaterThanOrEqual">
      <formula>0</formula>
    </cfRule>
  </conditionalFormatting>
  <conditionalFormatting sqref="Y2:Y7">
    <cfRule type="cellIs" dxfId="2403" priority="3903" operator="lessThan">
      <formula>0</formula>
    </cfRule>
  </conditionalFormatting>
  <conditionalFormatting sqref="Y2:Y7">
    <cfRule type="cellIs" dxfId="2402" priority="3904" operator="greaterThanOrEqual">
      <formula>0</formula>
    </cfRule>
  </conditionalFormatting>
  <conditionalFormatting sqref="V8">
    <cfRule type="cellIs" dxfId="2401" priority="3907" operator="lessThan">
      <formula>0</formula>
    </cfRule>
  </conditionalFormatting>
  <conditionalFormatting sqref="V8">
    <cfRule type="cellIs" dxfId="2400" priority="3908" operator="greaterThanOrEqual">
      <formula>0</formula>
    </cfRule>
  </conditionalFormatting>
  <conditionalFormatting sqref="Y8">
    <cfRule type="cellIs" dxfId="2399" priority="3909" operator="lessThan">
      <formula>0</formula>
    </cfRule>
  </conditionalFormatting>
  <conditionalFormatting sqref="Y8">
    <cfRule type="cellIs" dxfId="2398" priority="3910" operator="greaterThanOrEqual">
      <formula>0</formula>
    </cfRule>
  </conditionalFormatting>
  <conditionalFormatting sqref="AH2:AH7">
    <cfRule type="cellIs" dxfId="2397" priority="3913" operator="lessThan">
      <formula>0</formula>
    </cfRule>
  </conditionalFormatting>
  <conditionalFormatting sqref="AH2:AH7">
    <cfRule type="cellIs" dxfId="2396" priority="3914" operator="greaterThanOrEqual">
      <formula>0</formula>
    </cfRule>
  </conditionalFormatting>
  <conditionalFormatting sqref="AH8">
    <cfRule type="cellIs" dxfId="2395" priority="3915" operator="lessThan">
      <formula>0</formula>
    </cfRule>
  </conditionalFormatting>
  <conditionalFormatting sqref="AH8">
    <cfRule type="cellIs" dxfId="2394" priority="3916" operator="greaterThanOrEqual">
      <formula>0</formula>
    </cfRule>
  </conditionalFormatting>
  <conditionalFormatting sqref="AK2:AK7">
    <cfRule type="cellIs" dxfId="2393" priority="3919" operator="lessThan">
      <formula>0</formula>
    </cfRule>
  </conditionalFormatting>
  <conditionalFormatting sqref="AK2:AK7">
    <cfRule type="cellIs" dxfId="2392" priority="3920" operator="greaterThanOrEqual">
      <formula>0</formula>
    </cfRule>
  </conditionalFormatting>
  <conditionalFormatting sqref="AK8">
    <cfRule type="cellIs" dxfId="2391" priority="3921" operator="lessThan">
      <formula>0</formula>
    </cfRule>
  </conditionalFormatting>
  <conditionalFormatting sqref="AK8">
    <cfRule type="cellIs" dxfId="2390" priority="3922" operator="greaterThanOrEqual">
      <formula>0</formula>
    </cfRule>
  </conditionalFormatting>
  <conditionalFormatting sqref="AN2:AN7">
    <cfRule type="cellIs" dxfId="2389" priority="3883" operator="lessThan">
      <formula>0</formula>
    </cfRule>
  </conditionalFormatting>
  <conditionalFormatting sqref="AN2:AN7">
    <cfRule type="cellIs" dxfId="2388" priority="3884" operator="greaterThanOrEqual">
      <formula>0</formula>
    </cfRule>
  </conditionalFormatting>
  <conditionalFormatting sqref="AE2:AE7">
    <cfRule type="cellIs" dxfId="2387" priority="3877" operator="lessThan">
      <formula>0</formula>
    </cfRule>
  </conditionalFormatting>
  <conditionalFormatting sqref="AE2:AE7">
    <cfRule type="cellIs" dxfId="2386" priority="3878" operator="greaterThanOrEqual">
      <formula>0</formula>
    </cfRule>
  </conditionalFormatting>
  <conditionalFormatting sqref="AE8">
    <cfRule type="cellIs" dxfId="2385" priority="3879" operator="lessThan">
      <formula>0</formula>
    </cfRule>
  </conditionalFormatting>
  <conditionalFormatting sqref="AE8">
    <cfRule type="cellIs" dxfId="2384" priority="3880" operator="greaterThanOrEqual">
      <formula>0</formula>
    </cfRule>
  </conditionalFormatting>
  <conditionalFormatting sqref="AB2:AB7">
    <cfRule type="cellIs" dxfId="2383" priority="3871" operator="lessThan">
      <formula>0</formula>
    </cfRule>
  </conditionalFormatting>
  <conditionalFormatting sqref="AB2:AB7">
    <cfRule type="cellIs" dxfId="2382" priority="3872" operator="greaterThanOrEqual">
      <formula>0</formula>
    </cfRule>
  </conditionalFormatting>
  <conditionalFormatting sqref="AB8">
    <cfRule type="cellIs" dxfId="2381" priority="3873" operator="lessThan">
      <formula>0</formula>
    </cfRule>
  </conditionalFormatting>
  <conditionalFormatting sqref="AB8">
    <cfRule type="cellIs" dxfId="2380" priority="3874" operator="greaterThanOrEqual">
      <formula>0</formula>
    </cfRule>
  </conditionalFormatting>
  <conditionalFormatting sqref="G323">
    <cfRule type="cellIs" dxfId="2379" priority="3837" operator="lessThan">
      <formula>0</formula>
    </cfRule>
  </conditionalFormatting>
  <conditionalFormatting sqref="G323">
    <cfRule type="cellIs" dxfId="2378" priority="3838" operator="greaterThanOrEqual">
      <formula>0</formula>
    </cfRule>
  </conditionalFormatting>
  <conditionalFormatting sqref="J323">
    <cfRule type="cellIs" dxfId="2377" priority="3835" operator="lessThanOrEqual">
      <formula>0</formula>
    </cfRule>
  </conditionalFormatting>
  <conditionalFormatting sqref="J323">
    <cfRule type="cellIs" dxfId="2376" priority="3836" operator="greaterThan">
      <formula>0</formula>
    </cfRule>
  </conditionalFormatting>
  <conditionalFormatting sqref="M323">
    <cfRule type="cellIs" dxfId="2375" priority="3833" operator="lessThanOrEqual">
      <formula>0</formula>
    </cfRule>
  </conditionalFormatting>
  <conditionalFormatting sqref="M323">
    <cfRule type="cellIs" dxfId="2374" priority="3834" operator="greaterThan">
      <formula>0</formula>
    </cfRule>
  </conditionalFormatting>
  <conditionalFormatting sqref="P323">
    <cfRule type="cellIs" dxfId="2373" priority="3831" operator="lessThan">
      <formula>0</formula>
    </cfRule>
  </conditionalFormatting>
  <conditionalFormatting sqref="P323">
    <cfRule type="cellIs" dxfId="2372" priority="3832" operator="greaterThanOrEqual">
      <formula>0</formula>
    </cfRule>
  </conditionalFormatting>
  <conditionalFormatting sqref="S323">
    <cfRule type="cellIs" dxfId="2371" priority="3829" operator="lessThan">
      <formula>0</formula>
    </cfRule>
  </conditionalFormatting>
  <conditionalFormatting sqref="S323">
    <cfRule type="cellIs" dxfId="2370" priority="3830" operator="greaterThanOrEqual">
      <formula>0</formula>
    </cfRule>
  </conditionalFormatting>
  <conditionalFormatting sqref="V323">
    <cfRule type="cellIs" dxfId="2369" priority="3827" operator="lessThan">
      <formula>0</formula>
    </cfRule>
  </conditionalFormatting>
  <conditionalFormatting sqref="V323">
    <cfRule type="cellIs" dxfId="2368" priority="3828" operator="greaterThanOrEqual">
      <formula>0</formula>
    </cfRule>
  </conditionalFormatting>
  <conditionalFormatting sqref="AB323">
    <cfRule type="cellIs" dxfId="2367" priority="3825" operator="lessThan">
      <formula>0</formula>
    </cfRule>
  </conditionalFormatting>
  <conditionalFormatting sqref="AB323">
    <cfRule type="cellIs" dxfId="2366" priority="3826" operator="greaterThanOrEqual">
      <formula>0</formula>
    </cfRule>
  </conditionalFormatting>
  <conditionalFormatting sqref="AE323">
    <cfRule type="cellIs" dxfId="2365" priority="3823" operator="lessThan">
      <formula>0</formula>
    </cfRule>
  </conditionalFormatting>
  <conditionalFormatting sqref="AE323">
    <cfRule type="cellIs" dxfId="2364" priority="3824" operator="greaterThanOrEqual">
      <formula>0</formula>
    </cfRule>
  </conditionalFormatting>
  <conditionalFormatting sqref="AH323">
    <cfRule type="cellIs" dxfId="2363" priority="3821" operator="lessThan">
      <formula>0</formula>
    </cfRule>
  </conditionalFormatting>
  <conditionalFormatting sqref="AH323">
    <cfRule type="cellIs" dxfId="2362" priority="3822" operator="greaterThanOrEqual">
      <formula>0</formula>
    </cfRule>
  </conditionalFormatting>
  <conditionalFormatting sqref="AK323">
    <cfRule type="cellIs" dxfId="2361" priority="3819" operator="lessThan">
      <formula>0</formula>
    </cfRule>
  </conditionalFormatting>
  <conditionalFormatting sqref="AK323">
    <cfRule type="cellIs" dxfId="2360" priority="3820" operator="greaterThanOrEqual">
      <formula>0</formula>
    </cfRule>
  </conditionalFormatting>
  <conditionalFormatting sqref="AN323">
    <cfRule type="cellIs" dxfId="2359" priority="3817" operator="lessThan">
      <formula>0</formula>
    </cfRule>
  </conditionalFormatting>
  <conditionalFormatting sqref="AN323">
    <cfRule type="cellIs" dxfId="2358" priority="3818" operator="greaterThanOrEqual">
      <formula>0</formula>
    </cfRule>
  </conditionalFormatting>
  <conditionalFormatting sqref="Y323">
    <cfRule type="cellIs" dxfId="2357" priority="3815" operator="lessThan">
      <formula>0</formula>
    </cfRule>
  </conditionalFormatting>
  <conditionalFormatting sqref="Y323">
    <cfRule type="cellIs" dxfId="2356" priority="3816" operator="greaterThanOrEqual">
      <formula>0</formula>
    </cfRule>
  </conditionalFormatting>
  <conditionalFormatting sqref="AE189:AE193">
    <cfRule type="cellIs" dxfId="2355" priority="1497" operator="lessThan">
      <formula>0</formula>
    </cfRule>
  </conditionalFormatting>
  <conditionalFormatting sqref="AE189:AE193">
    <cfRule type="cellIs" dxfId="2354" priority="1498" operator="greaterThanOrEqual">
      <formula>0</formula>
    </cfRule>
  </conditionalFormatting>
  <conditionalFormatting sqref="V9:V13">
    <cfRule type="cellIs" dxfId="2353" priority="2347" operator="lessThan">
      <formula>0</formula>
    </cfRule>
  </conditionalFormatting>
  <conditionalFormatting sqref="V9:V13">
    <cfRule type="cellIs" dxfId="2352" priority="2348" operator="greaterThanOrEqual">
      <formula>0</formula>
    </cfRule>
  </conditionalFormatting>
  <conditionalFormatting sqref="Y9:Y13">
    <cfRule type="cellIs" dxfId="2351" priority="2349" operator="lessThan">
      <formula>0</formula>
    </cfRule>
  </conditionalFormatting>
  <conditionalFormatting sqref="Y9:Y13">
    <cfRule type="cellIs" dxfId="2350" priority="2350" operator="greaterThanOrEqual">
      <formula>0</formula>
    </cfRule>
  </conditionalFormatting>
  <conditionalFormatting sqref="AH9:AH13">
    <cfRule type="cellIs" dxfId="2349" priority="2353" operator="lessThan">
      <formula>0</formula>
    </cfRule>
  </conditionalFormatting>
  <conditionalFormatting sqref="AH9:AH13">
    <cfRule type="cellIs" dxfId="2348" priority="2354" operator="greaterThanOrEqual">
      <formula>0</formula>
    </cfRule>
  </conditionalFormatting>
  <conditionalFormatting sqref="Y189:Y193">
    <cfRule type="cellIs" dxfId="2347" priority="1509" operator="lessThan">
      <formula>0</formula>
    </cfRule>
  </conditionalFormatting>
  <conditionalFormatting sqref="Y189:Y193">
    <cfRule type="cellIs" dxfId="2346" priority="1510" operator="greaterThanOrEqual">
      <formula>0</formula>
    </cfRule>
  </conditionalFormatting>
  <conditionalFormatting sqref="AK9:AK13">
    <cfRule type="cellIs" dxfId="2345" priority="2357" operator="lessThan">
      <formula>0</formula>
    </cfRule>
  </conditionalFormatting>
  <conditionalFormatting sqref="AK9:AK13">
    <cfRule type="cellIs" dxfId="2344" priority="2358" operator="greaterThanOrEqual">
      <formula>0</formula>
    </cfRule>
  </conditionalFormatting>
  <conditionalFormatting sqref="AB189:AB193">
    <cfRule type="cellIs" dxfId="2343" priority="1493" operator="lessThan">
      <formula>0</formula>
    </cfRule>
  </conditionalFormatting>
  <conditionalFormatting sqref="AB189:AB193">
    <cfRule type="cellIs" dxfId="2342" priority="1494" operator="greaterThanOrEqual">
      <formula>0</formula>
    </cfRule>
  </conditionalFormatting>
  <conditionalFormatting sqref="AN9:AN13">
    <cfRule type="cellIs" dxfId="2341" priority="2341" operator="lessThan">
      <formula>0</formula>
    </cfRule>
  </conditionalFormatting>
  <conditionalFormatting sqref="AN9:AN13">
    <cfRule type="cellIs" dxfId="2340" priority="2342" operator="greaterThanOrEqual">
      <formula>0</formula>
    </cfRule>
  </conditionalFormatting>
  <conditionalFormatting sqref="AK195:AK199">
    <cfRule type="cellIs" dxfId="2339" priority="1489" operator="lessThan">
      <formula>0</formula>
    </cfRule>
  </conditionalFormatting>
  <conditionalFormatting sqref="AK195:AK199">
    <cfRule type="cellIs" dxfId="2338" priority="1490" operator="greaterThanOrEqual">
      <formula>0</formula>
    </cfRule>
  </conditionalFormatting>
  <conditionalFormatting sqref="AE9:AE13">
    <cfRule type="cellIs" dxfId="2337" priority="2337" operator="lessThan">
      <formula>0</formula>
    </cfRule>
  </conditionalFormatting>
  <conditionalFormatting sqref="AE9:AE13">
    <cfRule type="cellIs" dxfId="2336" priority="2338" operator="greaterThanOrEqual">
      <formula>0</formula>
    </cfRule>
  </conditionalFormatting>
  <conditionalFormatting sqref="AH195:AH199">
    <cfRule type="cellIs" dxfId="2335" priority="1485" operator="lessThan">
      <formula>0</formula>
    </cfRule>
  </conditionalFormatting>
  <conditionalFormatting sqref="AH195:AH199">
    <cfRule type="cellIs" dxfId="2334" priority="1486" operator="greaterThanOrEqual">
      <formula>0</formula>
    </cfRule>
  </conditionalFormatting>
  <conditionalFormatting sqref="AB9:AB13">
    <cfRule type="cellIs" dxfId="2333" priority="2333" operator="lessThan">
      <formula>0</formula>
    </cfRule>
  </conditionalFormatting>
  <conditionalFormatting sqref="AB9:AB13">
    <cfRule type="cellIs" dxfId="2332" priority="2334" operator="greaterThanOrEqual">
      <formula>0</formula>
    </cfRule>
  </conditionalFormatting>
  <conditionalFormatting sqref="AE195:AE199">
    <cfRule type="cellIs" dxfId="2331" priority="1469" operator="lessThan">
      <formula>0</formula>
    </cfRule>
  </conditionalFormatting>
  <conditionalFormatting sqref="AE195:AE199">
    <cfRule type="cellIs" dxfId="2330" priority="1470" operator="greaterThanOrEqual">
      <formula>0</formula>
    </cfRule>
  </conditionalFormatting>
  <conditionalFormatting sqref="V15:V19">
    <cfRule type="cellIs" dxfId="2329" priority="2319" operator="lessThan">
      <formula>0</formula>
    </cfRule>
  </conditionalFormatting>
  <conditionalFormatting sqref="V15:V19">
    <cfRule type="cellIs" dxfId="2328" priority="2320" operator="greaterThanOrEqual">
      <formula>0</formula>
    </cfRule>
  </conditionalFormatting>
  <conditionalFormatting sqref="Y15:Y19">
    <cfRule type="cellIs" dxfId="2327" priority="2321" operator="lessThan">
      <formula>0</formula>
    </cfRule>
  </conditionalFormatting>
  <conditionalFormatting sqref="Y15:Y19">
    <cfRule type="cellIs" dxfId="2326" priority="2322" operator="greaterThanOrEqual">
      <formula>0</formula>
    </cfRule>
  </conditionalFormatting>
  <conditionalFormatting sqref="AH15:AH19">
    <cfRule type="cellIs" dxfId="2325" priority="2325" operator="lessThan">
      <formula>0</formula>
    </cfRule>
  </conditionalFormatting>
  <conditionalFormatting sqref="AH15:AH19">
    <cfRule type="cellIs" dxfId="2324" priority="2326" operator="greaterThanOrEqual">
      <formula>0</formula>
    </cfRule>
  </conditionalFormatting>
  <conditionalFormatting sqref="Y195:Y199">
    <cfRule type="cellIs" dxfId="2323" priority="1481" operator="lessThan">
      <formula>0</formula>
    </cfRule>
  </conditionalFormatting>
  <conditionalFormatting sqref="Y195:Y199">
    <cfRule type="cellIs" dxfId="2322" priority="1482" operator="greaterThanOrEqual">
      <formula>0</formula>
    </cfRule>
  </conditionalFormatting>
  <conditionalFormatting sqref="AK15:AK19">
    <cfRule type="cellIs" dxfId="2321" priority="2329" operator="lessThan">
      <formula>0</formula>
    </cfRule>
  </conditionalFormatting>
  <conditionalFormatting sqref="AK15:AK19">
    <cfRule type="cellIs" dxfId="2320" priority="2330" operator="greaterThanOrEqual">
      <formula>0</formula>
    </cfRule>
  </conditionalFormatting>
  <conditionalFormatting sqref="AB195:AB199">
    <cfRule type="cellIs" dxfId="2319" priority="1465" operator="lessThan">
      <formula>0</formula>
    </cfRule>
  </conditionalFormatting>
  <conditionalFormatting sqref="AB195:AB199">
    <cfRule type="cellIs" dxfId="2318" priority="1466" operator="greaterThanOrEqual">
      <formula>0</formula>
    </cfRule>
  </conditionalFormatting>
  <conditionalFormatting sqref="AN15:AN19">
    <cfRule type="cellIs" dxfId="2317" priority="2313" operator="lessThan">
      <formula>0</formula>
    </cfRule>
  </conditionalFormatting>
  <conditionalFormatting sqref="AN15:AN19">
    <cfRule type="cellIs" dxfId="2316" priority="2314" operator="greaterThanOrEqual">
      <formula>0</formula>
    </cfRule>
  </conditionalFormatting>
  <conditionalFormatting sqref="AK201:AK205">
    <cfRule type="cellIs" dxfId="2315" priority="1461" operator="lessThan">
      <formula>0</formula>
    </cfRule>
  </conditionalFormatting>
  <conditionalFormatting sqref="AK201:AK205">
    <cfRule type="cellIs" dxfId="2314" priority="1462" operator="greaterThanOrEqual">
      <formula>0</formula>
    </cfRule>
  </conditionalFormatting>
  <conditionalFormatting sqref="AE15:AE19">
    <cfRule type="cellIs" dxfId="2313" priority="2309" operator="lessThan">
      <formula>0</formula>
    </cfRule>
  </conditionalFormatting>
  <conditionalFormatting sqref="AE15:AE19">
    <cfRule type="cellIs" dxfId="2312" priority="2310" operator="greaterThanOrEqual">
      <formula>0</formula>
    </cfRule>
  </conditionalFormatting>
  <conditionalFormatting sqref="AH201:AH205">
    <cfRule type="cellIs" dxfId="2311" priority="1457" operator="lessThan">
      <formula>0</formula>
    </cfRule>
  </conditionalFormatting>
  <conditionalFormatting sqref="AH201:AH205">
    <cfRule type="cellIs" dxfId="2310" priority="1458" operator="greaterThanOrEqual">
      <formula>0</formula>
    </cfRule>
  </conditionalFormatting>
  <conditionalFormatting sqref="AB15:AB19">
    <cfRule type="cellIs" dxfId="2309" priority="2305" operator="lessThan">
      <formula>0</formula>
    </cfRule>
  </conditionalFormatting>
  <conditionalFormatting sqref="AB15:AB19">
    <cfRule type="cellIs" dxfId="2308" priority="2306" operator="greaterThanOrEqual">
      <formula>0</formula>
    </cfRule>
  </conditionalFormatting>
  <conditionalFormatting sqref="AE201:AE205">
    <cfRule type="cellIs" dxfId="2307" priority="1441" operator="lessThan">
      <formula>0</formula>
    </cfRule>
  </conditionalFormatting>
  <conditionalFormatting sqref="AE201:AE205">
    <cfRule type="cellIs" dxfId="2306" priority="1442" operator="greaterThanOrEqual">
      <formula>0</formula>
    </cfRule>
  </conditionalFormatting>
  <conditionalFormatting sqref="V21:V25">
    <cfRule type="cellIs" dxfId="2305" priority="2291" operator="lessThan">
      <formula>0</formula>
    </cfRule>
  </conditionalFormatting>
  <conditionalFormatting sqref="V21:V25">
    <cfRule type="cellIs" dxfId="2304" priority="2292" operator="greaterThanOrEqual">
      <formula>0</formula>
    </cfRule>
  </conditionalFormatting>
  <conditionalFormatting sqref="Y21:Y25">
    <cfRule type="cellIs" dxfId="2303" priority="2293" operator="lessThan">
      <formula>0</formula>
    </cfRule>
  </conditionalFormatting>
  <conditionalFormatting sqref="Y21:Y25">
    <cfRule type="cellIs" dxfId="2302" priority="2294" operator="greaterThanOrEqual">
      <formula>0</formula>
    </cfRule>
  </conditionalFormatting>
  <conditionalFormatting sqref="AH21:AH25">
    <cfRule type="cellIs" dxfId="2301" priority="2297" operator="lessThan">
      <formula>0</formula>
    </cfRule>
  </conditionalFormatting>
  <conditionalFormatting sqref="AH21:AH25">
    <cfRule type="cellIs" dxfId="2300" priority="2298" operator="greaterThanOrEqual">
      <formula>0</formula>
    </cfRule>
  </conditionalFormatting>
  <conditionalFormatting sqref="Y201:Y205">
    <cfRule type="cellIs" dxfId="2299" priority="1453" operator="lessThan">
      <formula>0</formula>
    </cfRule>
  </conditionalFormatting>
  <conditionalFormatting sqref="Y201:Y205">
    <cfRule type="cellIs" dxfId="2298" priority="1454" operator="greaterThanOrEqual">
      <formula>0</formula>
    </cfRule>
  </conditionalFormatting>
  <conditionalFormatting sqref="AK21:AK25">
    <cfRule type="cellIs" dxfId="2297" priority="2301" operator="lessThan">
      <formula>0</formula>
    </cfRule>
  </conditionalFormatting>
  <conditionalFormatting sqref="AK21:AK25">
    <cfRule type="cellIs" dxfId="2296" priority="2302" operator="greaterThanOrEqual">
      <formula>0</formula>
    </cfRule>
  </conditionalFormatting>
  <conditionalFormatting sqref="AB201:AB205">
    <cfRule type="cellIs" dxfId="2295" priority="1437" operator="lessThan">
      <formula>0</formula>
    </cfRule>
  </conditionalFormatting>
  <conditionalFormatting sqref="AB201:AB205">
    <cfRule type="cellIs" dxfId="2294" priority="1438" operator="greaterThanOrEqual">
      <formula>0</formula>
    </cfRule>
  </conditionalFormatting>
  <conditionalFormatting sqref="AN21:AN25">
    <cfRule type="cellIs" dxfId="2293" priority="2285" operator="lessThan">
      <formula>0</formula>
    </cfRule>
  </conditionalFormatting>
  <conditionalFormatting sqref="AN21:AN25">
    <cfRule type="cellIs" dxfId="2292" priority="2286" operator="greaterThanOrEqual">
      <formula>0</formula>
    </cfRule>
  </conditionalFormatting>
  <conditionalFormatting sqref="AK207:AK211">
    <cfRule type="cellIs" dxfId="2291" priority="1433" operator="lessThan">
      <formula>0</formula>
    </cfRule>
  </conditionalFormatting>
  <conditionalFormatting sqref="AK207:AK211">
    <cfRule type="cellIs" dxfId="2290" priority="1434" operator="greaterThanOrEqual">
      <formula>0</formula>
    </cfRule>
  </conditionalFormatting>
  <conditionalFormatting sqref="AE21:AE25">
    <cfRule type="cellIs" dxfId="2289" priority="2281" operator="lessThan">
      <formula>0</formula>
    </cfRule>
  </conditionalFormatting>
  <conditionalFormatting sqref="AE21:AE25">
    <cfRule type="cellIs" dxfId="2288" priority="2282" operator="greaterThanOrEqual">
      <formula>0</formula>
    </cfRule>
  </conditionalFormatting>
  <conditionalFormatting sqref="AH207:AH211">
    <cfRule type="cellIs" dxfId="2287" priority="1429" operator="lessThan">
      <formula>0</formula>
    </cfRule>
  </conditionalFormatting>
  <conditionalFormatting sqref="AH207:AH211">
    <cfRule type="cellIs" dxfId="2286" priority="1430" operator="greaterThanOrEqual">
      <formula>0</formula>
    </cfRule>
  </conditionalFormatting>
  <conditionalFormatting sqref="AB21:AB25">
    <cfRule type="cellIs" dxfId="2285" priority="2277" operator="lessThan">
      <formula>0</formula>
    </cfRule>
  </conditionalFormatting>
  <conditionalFormatting sqref="AB21:AB25">
    <cfRule type="cellIs" dxfId="2284" priority="2278" operator="greaterThanOrEqual">
      <formula>0</formula>
    </cfRule>
  </conditionalFormatting>
  <conditionalFormatting sqref="AE207:AE211">
    <cfRule type="cellIs" dxfId="2283" priority="1413" operator="lessThan">
      <formula>0</formula>
    </cfRule>
  </conditionalFormatting>
  <conditionalFormatting sqref="AE207:AE211">
    <cfRule type="cellIs" dxfId="2282" priority="1414" operator="greaterThanOrEqual">
      <formula>0</formula>
    </cfRule>
  </conditionalFormatting>
  <conditionalFormatting sqref="V27:V31">
    <cfRule type="cellIs" dxfId="2281" priority="2263" operator="lessThan">
      <formula>0</formula>
    </cfRule>
  </conditionalFormatting>
  <conditionalFormatting sqref="V27:V31">
    <cfRule type="cellIs" dxfId="2280" priority="2264" operator="greaterThanOrEqual">
      <formula>0</formula>
    </cfRule>
  </conditionalFormatting>
  <conditionalFormatting sqref="Y27:Y31">
    <cfRule type="cellIs" dxfId="2279" priority="2265" operator="lessThan">
      <formula>0</formula>
    </cfRule>
  </conditionalFormatting>
  <conditionalFormatting sqref="Y27:Y31">
    <cfRule type="cellIs" dxfId="2278" priority="2266" operator="greaterThanOrEqual">
      <formula>0</formula>
    </cfRule>
  </conditionalFormatting>
  <conditionalFormatting sqref="AH27:AH31">
    <cfRule type="cellIs" dxfId="2277" priority="2269" operator="lessThan">
      <formula>0</formula>
    </cfRule>
  </conditionalFormatting>
  <conditionalFormatting sqref="AH27:AH31">
    <cfRule type="cellIs" dxfId="2276" priority="2270" operator="greaterThanOrEqual">
      <formula>0</formula>
    </cfRule>
  </conditionalFormatting>
  <conditionalFormatting sqref="Y207:Y211">
    <cfRule type="cellIs" dxfId="2275" priority="1425" operator="lessThan">
      <formula>0</formula>
    </cfRule>
  </conditionalFormatting>
  <conditionalFormatting sqref="Y207:Y211">
    <cfRule type="cellIs" dxfId="2274" priority="1426" operator="greaterThanOrEqual">
      <formula>0</formula>
    </cfRule>
  </conditionalFormatting>
  <conditionalFormatting sqref="AK27:AK31">
    <cfRule type="cellIs" dxfId="2273" priority="2273" operator="lessThan">
      <formula>0</formula>
    </cfRule>
  </conditionalFormatting>
  <conditionalFormatting sqref="AK27:AK31">
    <cfRule type="cellIs" dxfId="2272" priority="2274" operator="greaterThanOrEqual">
      <formula>0</formula>
    </cfRule>
  </conditionalFormatting>
  <conditionalFormatting sqref="AB207:AB211">
    <cfRule type="cellIs" dxfId="2271" priority="1409" operator="lessThan">
      <formula>0</formula>
    </cfRule>
  </conditionalFormatting>
  <conditionalFormatting sqref="AB207:AB211">
    <cfRule type="cellIs" dxfId="2270" priority="1410" operator="greaterThanOrEqual">
      <formula>0</formula>
    </cfRule>
  </conditionalFormatting>
  <conditionalFormatting sqref="AN27:AN31">
    <cfRule type="cellIs" dxfId="2269" priority="2257" operator="lessThan">
      <formula>0</formula>
    </cfRule>
  </conditionalFormatting>
  <conditionalFormatting sqref="AN27:AN31">
    <cfRule type="cellIs" dxfId="2268" priority="2258" operator="greaterThanOrEqual">
      <formula>0</formula>
    </cfRule>
  </conditionalFormatting>
  <conditionalFormatting sqref="AK213:AK217">
    <cfRule type="cellIs" dxfId="2267" priority="1405" operator="lessThan">
      <formula>0</formula>
    </cfRule>
  </conditionalFormatting>
  <conditionalFormatting sqref="AK213:AK217">
    <cfRule type="cellIs" dxfId="2266" priority="1406" operator="greaterThanOrEqual">
      <formula>0</formula>
    </cfRule>
  </conditionalFormatting>
  <conditionalFormatting sqref="AE27:AE31">
    <cfRule type="cellIs" dxfId="2265" priority="2253" operator="lessThan">
      <formula>0</formula>
    </cfRule>
  </conditionalFormatting>
  <conditionalFormatting sqref="AE27:AE31">
    <cfRule type="cellIs" dxfId="2264" priority="2254" operator="greaterThanOrEqual">
      <formula>0</formula>
    </cfRule>
  </conditionalFormatting>
  <conditionalFormatting sqref="AH213:AH217">
    <cfRule type="cellIs" dxfId="2263" priority="1401" operator="lessThan">
      <formula>0</formula>
    </cfRule>
  </conditionalFormatting>
  <conditionalFormatting sqref="AH213:AH217">
    <cfRule type="cellIs" dxfId="2262" priority="1402" operator="greaterThanOrEqual">
      <formula>0</formula>
    </cfRule>
  </conditionalFormatting>
  <conditionalFormatting sqref="AB27:AB31">
    <cfRule type="cellIs" dxfId="2261" priority="2249" operator="lessThan">
      <formula>0</formula>
    </cfRule>
  </conditionalFormatting>
  <conditionalFormatting sqref="AB27:AB31">
    <cfRule type="cellIs" dxfId="2260" priority="2250" operator="greaterThanOrEqual">
      <formula>0</formula>
    </cfRule>
  </conditionalFormatting>
  <conditionalFormatting sqref="AE213:AE217">
    <cfRule type="cellIs" dxfId="2259" priority="1385" operator="lessThan">
      <formula>0</formula>
    </cfRule>
  </conditionalFormatting>
  <conditionalFormatting sqref="AE213:AE217">
    <cfRule type="cellIs" dxfId="2258" priority="1386" operator="greaterThanOrEqual">
      <formula>0</formula>
    </cfRule>
  </conditionalFormatting>
  <conditionalFormatting sqref="V33:V37">
    <cfRule type="cellIs" dxfId="2257" priority="2235" operator="lessThan">
      <formula>0</formula>
    </cfRule>
  </conditionalFormatting>
  <conditionalFormatting sqref="V33:V37">
    <cfRule type="cellIs" dxfId="2256" priority="2236" operator="greaterThanOrEqual">
      <formula>0</formula>
    </cfRule>
  </conditionalFormatting>
  <conditionalFormatting sqref="Y33:Y37">
    <cfRule type="cellIs" dxfId="2255" priority="2237" operator="lessThan">
      <formula>0</formula>
    </cfRule>
  </conditionalFormatting>
  <conditionalFormatting sqref="Y33:Y37">
    <cfRule type="cellIs" dxfId="2254" priority="2238" operator="greaterThanOrEqual">
      <formula>0</formula>
    </cfRule>
  </conditionalFormatting>
  <conditionalFormatting sqref="AH33:AH37">
    <cfRule type="cellIs" dxfId="2253" priority="2241" operator="lessThan">
      <formula>0</formula>
    </cfRule>
  </conditionalFormatting>
  <conditionalFormatting sqref="AH33:AH37">
    <cfRule type="cellIs" dxfId="2252" priority="2242" operator="greaterThanOrEqual">
      <formula>0</formula>
    </cfRule>
  </conditionalFormatting>
  <conditionalFormatting sqref="Y213:Y217">
    <cfRule type="cellIs" dxfId="2251" priority="1397" operator="lessThan">
      <formula>0</formula>
    </cfRule>
  </conditionalFormatting>
  <conditionalFormatting sqref="Y213:Y217">
    <cfRule type="cellIs" dxfId="2250" priority="1398" operator="greaterThanOrEqual">
      <formula>0</formula>
    </cfRule>
  </conditionalFormatting>
  <conditionalFormatting sqref="AK33:AK37">
    <cfRule type="cellIs" dxfId="2249" priority="2245" operator="lessThan">
      <formula>0</formula>
    </cfRule>
  </conditionalFormatting>
  <conditionalFormatting sqref="AK33:AK37">
    <cfRule type="cellIs" dxfId="2248" priority="2246" operator="greaterThanOrEqual">
      <formula>0</formula>
    </cfRule>
  </conditionalFormatting>
  <conditionalFormatting sqref="AB213:AB217">
    <cfRule type="cellIs" dxfId="2247" priority="1381" operator="lessThan">
      <formula>0</formula>
    </cfRule>
  </conditionalFormatting>
  <conditionalFormatting sqref="AB213:AB217">
    <cfRule type="cellIs" dxfId="2246" priority="1382" operator="greaterThanOrEqual">
      <formula>0</formula>
    </cfRule>
  </conditionalFormatting>
  <conditionalFormatting sqref="AN33:AN37">
    <cfRule type="cellIs" dxfId="2245" priority="2229" operator="lessThan">
      <formula>0</formula>
    </cfRule>
  </conditionalFormatting>
  <conditionalFormatting sqref="AN33:AN37">
    <cfRule type="cellIs" dxfId="2244" priority="2230" operator="greaterThanOrEqual">
      <formula>0</formula>
    </cfRule>
  </conditionalFormatting>
  <conditionalFormatting sqref="AK219:AK223">
    <cfRule type="cellIs" dxfId="2243" priority="1377" operator="lessThan">
      <formula>0</formula>
    </cfRule>
  </conditionalFormatting>
  <conditionalFormatting sqref="AK219:AK223">
    <cfRule type="cellIs" dxfId="2242" priority="1378" operator="greaterThanOrEqual">
      <formula>0</formula>
    </cfRule>
  </conditionalFormatting>
  <conditionalFormatting sqref="AE33:AE37">
    <cfRule type="cellIs" dxfId="2241" priority="2225" operator="lessThan">
      <formula>0</formula>
    </cfRule>
  </conditionalFormatting>
  <conditionalFormatting sqref="AE33:AE37">
    <cfRule type="cellIs" dxfId="2240" priority="2226" operator="greaterThanOrEqual">
      <formula>0</formula>
    </cfRule>
  </conditionalFormatting>
  <conditionalFormatting sqref="AH219:AH223">
    <cfRule type="cellIs" dxfId="2239" priority="1373" operator="lessThan">
      <formula>0</formula>
    </cfRule>
  </conditionalFormatting>
  <conditionalFormatting sqref="AH219:AH223">
    <cfRule type="cellIs" dxfId="2238" priority="1374" operator="greaterThanOrEqual">
      <formula>0</formula>
    </cfRule>
  </conditionalFormatting>
  <conditionalFormatting sqref="AB33:AB37">
    <cfRule type="cellIs" dxfId="2237" priority="2221" operator="lessThan">
      <formula>0</formula>
    </cfRule>
  </conditionalFormatting>
  <conditionalFormatting sqref="AB33:AB37">
    <cfRule type="cellIs" dxfId="2236" priority="2222" operator="greaterThanOrEqual">
      <formula>0</formula>
    </cfRule>
  </conditionalFormatting>
  <conditionalFormatting sqref="AE219:AE223">
    <cfRule type="cellIs" dxfId="2235" priority="1357" operator="lessThan">
      <formula>0</formula>
    </cfRule>
  </conditionalFormatting>
  <conditionalFormatting sqref="AE219:AE223">
    <cfRule type="cellIs" dxfId="2234" priority="1358" operator="greaterThanOrEqual">
      <formula>0</formula>
    </cfRule>
  </conditionalFormatting>
  <conditionalFormatting sqref="V39:V43">
    <cfRule type="cellIs" dxfId="2233" priority="2207" operator="lessThan">
      <formula>0</formula>
    </cfRule>
  </conditionalFormatting>
  <conditionalFormatting sqref="V39:V43">
    <cfRule type="cellIs" dxfId="2232" priority="2208" operator="greaterThanOrEqual">
      <formula>0</formula>
    </cfRule>
  </conditionalFormatting>
  <conditionalFormatting sqref="Y39:Y43">
    <cfRule type="cellIs" dxfId="2231" priority="2209" operator="lessThan">
      <formula>0</formula>
    </cfRule>
  </conditionalFormatting>
  <conditionalFormatting sqref="Y39:Y43">
    <cfRule type="cellIs" dxfId="2230" priority="2210" operator="greaterThanOrEqual">
      <formula>0</formula>
    </cfRule>
  </conditionalFormatting>
  <conditionalFormatting sqref="AH39:AH43">
    <cfRule type="cellIs" dxfId="2229" priority="2213" operator="lessThan">
      <formula>0</formula>
    </cfRule>
  </conditionalFormatting>
  <conditionalFormatting sqref="AH39:AH43">
    <cfRule type="cellIs" dxfId="2228" priority="2214" operator="greaterThanOrEqual">
      <formula>0</formula>
    </cfRule>
  </conditionalFormatting>
  <conditionalFormatting sqref="Y219:Y223">
    <cfRule type="cellIs" dxfId="2227" priority="1369" operator="lessThan">
      <formula>0</formula>
    </cfRule>
  </conditionalFormatting>
  <conditionalFormatting sqref="Y219:Y223">
    <cfRule type="cellIs" dxfId="2226" priority="1370" operator="greaterThanOrEqual">
      <formula>0</formula>
    </cfRule>
  </conditionalFormatting>
  <conditionalFormatting sqref="AK39:AK43">
    <cfRule type="cellIs" dxfId="2225" priority="2217" operator="lessThan">
      <formula>0</formula>
    </cfRule>
  </conditionalFormatting>
  <conditionalFormatting sqref="AK39:AK43">
    <cfRule type="cellIs" dxfId="2224" priority="2218" operator="greaterThanOrEqual">
      <formula>0</formula>
    </cfRule>
  </conditionalFormatting>
  <conditionalFormatting sqref="AB219:AB223">
    <cfRule type="cellIs" dxfId="2223" priority="1353" operator="lessThan">
      <formula>0</formula>
    </cfRule>
  </conditionalFormatting>
  <conditionalFormatting sqref="AB219:AB223">
    <cfRule type="cellIs" dxfId="2222" priority="1354" operator="greaterThanOrEqual">
      <formula>0</formula>
    </cfRule>
  </conditionalFormatting>
  <conditionalFormatting sqref="AN39:AN43">
    <cfRule type="cellIs" dxfId="2221" priority="2201" operator="lessThan">
      <formula>0</formula>
    </cfRule>
  </conditionalFormatting>
  <conditionalFormatting sqref="AN39:AN43">
    <cfRule type="cellIs" dxfId="2220" priority="2202" operator="greaterThanOrEqual">
      <formula>0</formula>
    </cfRule>
  </conditionalFormatting>
  <conditionalFormatting sqref="AK225:AK229">
    <cfRule type="cellIs" dxfId="2219" priority="1349" operator="lessThan">
      <formula>0</formula>
    </cfRule>
  </conditionalFormatting>
  <conditionalFormatting sqref="AK225:AK229">
    <cfRule type="cellIs" dxfId="2218" priority="1350" operator="greaterThanOrEqual">
      <formula>0</formula>
    </cfRule>
  </conditionalFormatting>
  <conditionalFormatting sqref="AE39:AE43">
    <cfRule type="cellIs" dxfId="2217" priority="2197" operator="lessThan">
      <formula>0</formula>
    </cfRule>
  </conditionalFormatting>
  <conditionalFormatting sqref="AE39:AE43">
    <cfRule type="cellIs" dxfId="2216" priority="2198" operator="greaterThanOrEqual">
      <formula>0</formula>
    </cfRule>
  </conditionalFormatting>
  <conditionalFormatting sqref="AH225:AH229">
    <cfRule type="cellIs" dxfId="2215" priority="1345" operator="lessThan">
      <formula>0</formula>
    </cfRule>
  </conditionalFormatting>
  <conditionalFormatting sqref="AH225:AH229">
    <cfRule type="cellIs" dxfId="2214" priority="1346" operator="greaterThanOrEqual">
      <formula>0</formula>
    </cfRule>
  </conditionalFormatting>
  <conditionalFormatting sqref="AB39:AB43">
    <cfRule type="cellIs" dxfId="2213" priority="2193" operator="lessThan">
      <formula>0</formula>
    </cfRule>
  </conditionalFormatting>
  <conditionalFormatting sqref="AB39:AB43">
    <cfRule type="cellIs" dxfId="2212" priority="2194" operator="greaterThanOrEqual">
      <formula>0</formula>
    </cfRule>
  </conditionalFormatting>
  <conditionalFormatting sqref="AE225:AE229">
    <cfRule type="cellIs" dxfId="2211" priority="1329" operator="lessThan">
      <formula>0</formula>
    </cfRule>
  </conditionalFormatting>
  <conditionalFormatting sqref="AE225:AE229">
    <cfRule type="cellIs" dxfId="2210" priority="1330" operator="greaterThanOrEqual">
      <formula>0</formula>
    </cfRule>
  </conditionalFormatting>
  <conditionalFormatting sqref="V45:V49">
    <cfRule type="cellIs" dxfId="2209" priority="2179" operator="lessThan">
      <formula>0</formula>
    </cfRule>
  </conditionalFormatting>
  <conditionalFormatting sqref="V45:V49">
    <cfRule type="cellIs" dxfId="2208" priority="2180" operator="greaterThanOrEqual">
      <formula>0</formula>
    </cfRule>
  </conditionalFormatting>
  <conditionalFormatting sqref="Y45:Y49">
    <cfRule type="cellIs" dxfId="2207" priority="2181" operator="lessThan">
      <formula>0</formula>
    </cfRule>
  </conditionalFormatting>
  <conditionalFormatting sqref="Y45:Y49">
    <cfRule type="cellIs" dxfId="2206" priority="2182" operator="greaterThanOrEqual">
      <formula>0</formula>
    </cfRule>
  </conditionalFormatting>
  <conditionalFormatting sqref="AH45:AH49">
    <cfRule type="cellIs" dxfId="2205" priority="2185" operator="lessThan">
      <formula>0</formula>
    </cfRule>
  </conditionalFormatting>
  <conditionalFormatting sqref="AH45:AH49">
    <cfRule type="cellIs" dxfId="2204" priority="2186" operator="greaterThanOrEqual">
      <formula>0</formula>
    </cfRule>
  </conditionalFormatting>
  <conditionalFormatting sqref="Y225:Y229">
    <cfRule type="cellIs" dxfId="2203" priority="1341" operator="lessThan">
      <formula>0</formula>
    </cfRule>
  </conditionalFormatting>
  <conditionalFormatting sqref="Y225:Y229">
    <cfRule type="cellIs" dxfId="2202" priority="1342" operator="greaterThanOrEqual">
      <formula>0</formula>
    </cfRule>
  </conditionalFormatting>
  <conditionalFormatting sqref="AK45:AK49">
    <cfRule type="cellIs" dxfId="2201" priority="2189" operator="lessThan">
      <formula>0</formula>
    </cfRule>
  </conditionalFormatting>
  <conditionalFormatting sqref="AK45:AK49">
    <cfRule type="cellIs" dxfId="2200" priority="2190" operator="greaterThanOrEqual">
      <formula>0</formula>
    </cfRule>
  </conditionalFormatting>
  <conditionalFormatting sqref="AB225:AB229">
    <cfRule type="cellIs" dxfId="2199" priority="1325" operator="lessThan">
      <formula>0</formula>
    </cfRule>
  </conditionalFormatting>
  <conditionalFormatting sqref="AB225:AB229">
    <cfRule type="cellIs" dxfId="2198" priority="1326" operator="greaterThanOrEqual">
      <formula>0</formula>
    </cfRule>
  </conditionalFormatting>
  <conditionalFormatting sqref="AN45:AN49">
    <cfRule type="cellIs" dxfId="2197" priority="2173" operator="lessThan">
      <formula>0</formula>
    </cfRule>
  </conditionalFormatting>
  <conditionalFormatting sqref="AN45:AN49">
    <cfRule type="cellIs" dxfId="2196" priority="2174" operator="greaterThanOrEqual">
      <formula>0</formula>
    </cfRule>
  </conditionalFormatting>
  <conditionalFormatting sqref="AK231:AK235">
    <cfRule type="cellIs" dxfId="2195" priority="1321" operator="lessThan">
      <formula>0</formula>
    </cfRule>
  </conditionalFormatting>
  <conditionalFormatting sqref="AK231:AK235">
    <cfRule type="cellIs" dxfId="2194" priority="1322" operator="greaterThanOrEqual">
      <formula>0</formula>
    </cfRule>
  </conditionalFormatting>
  <conditionalFormatting sqref="AE45:AE49">
    <cfRule type="cellIs" dxfId="2193" priority="2169" operator="lessThan">
      <formula>0</formula>
    </cfRule>
  </conditionalFormatting>
  <conditionalFormatting sqref="AE45:AE49">
    <cfRule type="cellIs" dxfId="2192" priority="2170" operator="greaterThanOrEqual">
      <formula>0</formula>
    </cfRule>
  </conditionalFormatting>
  <conditionalFormatting sqref="AH231:AH235">
    <cfRule type="cellIs" dxfId="2191" priority="1317" operator="lessThan">
      <formula>0</formula>
    </cfRule>
  </conditionalFormatting>
  <conditionalFormatting sqref="AH231:AH235">
    <cfRule type="cellIs" dxfId="2190" priority="1318" operator="greaterThanOrEqual">
      <formula>0</formula>
    </cfRule>
  </conditionalFormatting>
  <conditionalFormatting sqref="AB45:AB49">
    <cfRule type="cellIs" dxfId="2189" priority="2165" operator="lessThan">
      <formula>0</formula>
    </cfRule>
  </conditionalFormatting>
  <conditionalFormatting sqref="AB45:AB49">
    <cfRule type="cellIs" dxfId="2188" priority="2166" operator="greaterThanOrEqual">
      <formula>0</formula>
    </cfRule>
  </conditionalFormatting>
  <conditionalFormatting sqref="AE231:AE235">
    <cfRule type="cellIs" dxfId="2187" priority="1301" operator="lessThan">
      <formula>0</formula>
    </cfRule>
  </conditionalFormatting>
  <conditionalFormatting sqref="AE231:AE235">
    <cfRule type="cellIs" dxfId="2186" priority="1302" operator="greaterThanOrEqual">
      <formula>0</formula>
    </cfRule>
  </conditionalFormatting>
  <conditionalFormatting sqref="V51:V55">
    <cfRule type="cellIs" dxfId="2185" priority="2151" operator="lessThan">
      <formula>0</formula>
    </cfRule>
  </conditionalFormatting>
  <conditionalFormatting sqref="V51:V55">
    <cfRule type="cellIs" dxfId="2184" priority="2152" operator="greaterThanOrEqual">
      <formula>0</formula>
    </cfRule>
  </conditionalFormatting>
  <conditionalFormatting sqref="Y51:Y55">
    <cfRule type="cellIs" dxfId="2183" priority="2153" operator="lessThan">
      <formula>0</formula>
    </cfRule>
  </conditionalFormatting>
  <conditionalFormatting sqref="Y51:Y55">
    <cfRule type="cellIs" dxfId="2182" priority="2154" operator="greaterThanOrEqual">
      <formula>0</formula>
    </cfRule>
  </conditionalFormatting>
  <conditionalFormatting sqref="AH51:AH55">
    <cfRule type="cellIs" dxfId="2181" priority="2157" operator="lessThan">
      <formula>0</formula>
    </cfRule>
  </conditionalFormatting>
  <conditionalFormatting sqref="AH51:AH55">
    <cfRule type="cellIs" dxfId="2180" priority="2158" operator="greaterThanOrEqual">
      <formula>0</formula>
    </cfRule>
  </conditionalFormatting>
  <conditionalFormatting sqref="Y231:Y235">
    <cfRule type="cellIs" dxfId="2179" priority="1313" operator="lessThan">
      <formula>0</formula>
    </cfRule>
  </conditionalFormatting>
  <conditionalFormatting sqref="Y231:Y235">
    <cfRule type="cellIs" dxfId="2178" priority="1314" operator="greaterThanOrEqual">
      <formula>0</formula>
    </cfRule>
  </conditionalFormatting>
  <conditionalFormatting sqref="AK51:AK55">
    <cfRule type="cellIs" dxfId="2177" priority="2161" operator="lessThan">
      <formula>0</formula>
    </cfRule>
  </conditionalFormatting>
  <conditionalFormatting sqref="AK51:AK55">
    <cfRule type="cellIs" dxfId="2176" priority="2162" operator="greaterThanOrEqual">
      <formula>0</formula>
    </cfRule>
  </conditionalFormatting>
  <conditionalFormatting sqref="AB231:AB235">
    <cfRule type="cellIs" dxfId="2175" priority="1297" operator="lessThan">
      <formula>0</formula>
    </cfRule>
  </conditionalFormatting>
  <conditionalFormatting sqref="AB231:AB235">
    <cfRule type="cellIs" dxfId="2174" priority="1298" operator="greaterThanOrEqual">
      <formula>0</formula>
    </cfRule>
  </conditionalFormatting>
  <conditionalFormatting sqref="AN51:AN55">
    <cfRule type="cellIs" dxfId="2173" priority="2145" operator="lessThan">
      <formula>0</formula>
    </cfRule>
  </conditionalFormatting>
  <conditionalFormatting sqref="AN51:AN55">
    <cfRule type="cellIs" dxfId="2172" priority="2146" operator="greaterThanOrEqual">
      <formula>0</formula>
    </cfRule>
  </conditionalFormatting>
  <conditionalFormatting sqref="AK237:AK241">
    <cfRule type="cellIs" dxfId="2171" priority="1293" operator="lessThan">
      <formula>0</formula>
    </cfRule>
  </conditionalFormatting>
  <conditionalFormatting sqref="AK237:AK241">
    <cfRule type="cellIs" dxfId="2170" priority="1294" operator="greaterThanOrEqual">
      <formula>0</formula>
    </cfRule>
  </conditionalFormatting>
  <conditionalFormatting sqref="AE51:AE55">
    <cfRule type="cellIs" dxfId="2169" priority="2141" operator="lessThan">
      <formula>0</formula>
    </cfRule>
  </conditionalFormatting>
  <conditionalFormatting sqref="AE51:AE55">
    <cfRule type="cellIs" dxfId="2168" priority="2142" operator="greaterThanOrEqual">
      <formula>0</formula>
    </cfRule>
  </conditionalFormatting>
  <conditionalFormatting sqref="AH237:AH241">
    <cfRule type="cellIs" dxfId="2167" priority="1289" operator="lessThan">
      <formula>0</formula>
    </cfRule>
  </conditionalFormatting>
  <conditionalFormatting sqref="AH237:AH241">
    <cfRule type="cellIs" dxfId="2166" priority="1290" operator="greaterThanOrEqual">
      <formula>0</formula>
    </cfRule>
  </conditionalFormatting>
  <conditionalFormatting sqref="AB51:AB55">
    <cfRule type="cellIs" dxfId="2165" priority="2137" operator="lessThan">
      <formula>0</formula>
    </cfRule>
  </conditionalFormatting>
  <conditionalFormatting sqref="AB51:AB55">
    <cfRule type="cellIs" dxfId="2164" priority="2138" operator="greaterThanOrEqual">
      <formula>0</formula>
    </cfRule>
  </conditionalFormatting>
  <conditionalFormatting sqref="AE237:AE241">
    <cfRule type="cellIs" dxfId="2163" priority="1273" operator="lessThan">
      <formula>0</formula>
    </cfRule>
  </conditionalFormatting>
  <conditionalFormatting sqref="AE237:AE241">
    <cfRule type="cellIs" dxfId="2162" priority="1274" operator="greaterThanOrEqual">
      <formula>0</formula>
    </cfRule>
  </conditionalFormatting>
  <conditionalFormatting sqref="V57:V61">
    <cfRule type="cellIs" dxfId="2161" priority="2123" operator="lessThan">
      <formula>0</formula>
    </cfRule>
  </conditionalFormatting>
  <conditionalFormatting sqref="V57:V61">
    <cfRule type="cellIs" dxfId="2160" priority="2124" operator="greaterThanOrEqual">
      <formula>0</formula>
    </cfRule>
  </conditionalFormatting>
  <conditionalFormatting sqref="Y57:Y61">
    <cfRule type="cellIs" dxfId="2159" priority="2125" operator="lessThan">
      <formula>0</formula>
    </cfRule>
  </conditionalFormatting>
  <conditionalFormatting sqref="Y57:Y61">
    <cfRule type="cellIs" dxfId="2158" priority="2126" operator="greaterThanOrEqual">
      <formula>0</formula>
    </cfRule>
  </conditionalFormatting>
  <conditionalFormatting sqref="AH57:AH61">
    <cfRule type="cellIs" dxfId="2157" priority="2129" operator="lessThan">
      <formula>0</formula>
    </cfRule>
  </conditionalFormatting>
  <conditionalFormatting sqref="AH57:AH61">
    <cfRule type="cellIs" dxfId="2156" priority="2130" operator="greaterThanOrEqual">
      <formula>0</formula>
    </cfRule>
  </conditionalFormatting>
  <conditionalFormatting sqref="Y237:Y241">
    <cfRule type="cellIs" dxfId="2155" priority="1285" operator="lessThan">
      <formula>0</formula>
    </cfRule>
  </conditionalFormatting>
  <conditionalFormatting sqref="Y237:Y241">
    <cfRule type="cellIs" dxfId="2154" priority="1286" operator="greaterThanOrEqual">
      <formula>0</formula>
    </cfRule>
  </conditionalFormatting>
  <conditionalFormatting sqref="AK57:AK61">
    <cfRule type="cellIs" dxfId="2153" priority="2133" operator="lessThan">
      <formula>0</formula>
    </cfRule>
  </conditionalFormatting>
  <conditionalFormatting sqref="AK57:AK61">
    <cfRule type="cellIs" dxfId="2152" priority="2134" operator="greaterThanOrEqual">
      <formula>0</formula>
    </cfRule>
  </conditionalFormatting>
  <conditionalFormatting sqref="AB237:AB241">
    <cfRule type="cellIs" dxfId="2151" priority="1269" operator="lessThan">
      <formula>0</formula>
    </cfRule>
  </conditionalFormatting>
  <conditionalFormatting sqref="AB237:AB241">
    <cfRule type="cellIs" dxfId="2150" priority="1270" operator="greaterThanOrEqual">
      <formula>0</formula>
    </cfRule>
  </conditionalFormatting>
  <conditionalFormatting sqref="AN57:AN61">
    <cfRule type="cellIs" dxfId="2149" priority="2117" operator="lessThan">
      <formula>0</formula>
    </cfRule>
  </conditionalFormatting>
  <conditionalFormatting sqref="AN57:AN61">
    <cfRule type="cellIs" dxfId="2148" priority="2118" operator="greaterThanOrEqual">
      <formula>0</formula>
    </cfRule>
  </conditionalFormatting>
  <conditionalFormatting sqref="AK243:AK247">
    <cfRule type="cellIs" dxfId="2147" priority="1265" operator="lessThan">
      <formula>0</formula>
    </cfRule>
  </conditionalFormatting>
  <conditionalFormatting sqref="AK243:AK247">
    <cfRule type="cellIs" dxfId="2146" priority="1266" operator="greaterThanOrEqual">
      <formula>0</formula>
    </cfRule>
  </conditionalFormatting>
  <conditionalFormatting sqref="AE57:AE61">
    <cfRule type="cellIs" dxfId="2145" priority="2113" operator="lessThan">
      <formula>0</formula>
    </cfRule>
  </conditionalFormatting>
  <conditionalFormatting sqref="AE57:AE61">
    <cfRule type="cellIs" dxfId="2144" priority="2114" operator="greaterThanOrEqual">
      <formula>0</formula>
    </cfRule>
  </conditionalFormatting>
  <conditionalFormatting sqref="AH243:AH247">
    <cfRule type="cellIs" dxfId="2143" priority="1261" operator="lessThan">
      <formula>0</formula>
    </cfRule>
  </conditionalFormatting>
  <conditionalFormatting sqref="AH243:AH247">
    <cfRule type="cellIs" dxfId="2142" priority="1262" operator="greaterThanOrEqual">
      <formula>0</formula>
    </cfRule>
  </conditionalFormatting>
  <conditionalFormatting sqref="AB57:AB61">
    <cfRule type="cellIs" dxfId="2141" priority="2109" operator="lessThan">
      <formula>0</formula>
    </cfRule>
  </conditionalFormatting>
  <conditionalFormatting sqref="AB57:AB61">
    <cfRule type="cellIs" dxfId="2140" priority="2110" operator="greaterThanOrEqual">
      <formula>0</formula>
    </cfRule>
  </conditionalFormatting>
  <conditionalFormatting sqref="AE243:AE247">
    <cfRule type="cellIs" dxfId="2139" priority="1245" operator="lessThan">
      <formula>0</formula>
    </cfRule>
  </conditionalFormatting>
  <conditionalFormatting sqref="AE243:AE247">
    <cfRule type="cellIs" dxfId="2138" priority="1246" operator="greaterThanOrEqual">
      <formula>0</formula>
    </cfRule>
  </conditionalFormatting>
  <conditionalFormatting sqref="V63:V67">
    <cfRule type="cellIs" dxfId="2137" priority="2095" operator="lessThan">
      <formula>0</formula>
    </cfRule>
  </conditionalFormatting>
  <conditionalFormatting sqref="V63:V67">
    <cfRule type="cellIs" dxfId="2136" priority="2096" operator="greaterThanOrEqual">
      <formula>0</formula>
    </cfRule>
  </conditionalFormatting>
  <conditionalFormatting sqref="Y63:Y67">
    <cfRule type="cellIs" dxfId="2135" priority="2097" operator="lessThan">
      <formula>0</formula>
    </cfRule>
  </conditionalFormatting>
  <conditionalFormatting sqref="Y63:Y67">
    <cfRule type="cellIs" dxfId="2134" priority="2098" operator="greaterThanOrEqual">
      <formula>0</formula>
    </cfRule>
  </conditionalFormatting>
  <conditionalFormatting sqref="AH63:AH67">
    <cfRule type="cellIs" dxfId="2133" priority="2101" operator="lessThan">
      <formula>0</formula>
    </cfRule>
  </conditionalFormatting>
  <conditionalFormatting sqref="AH63:AH67">
    <cfRule type="cellIs" dxfId="2132" priority="2102" operator="greaterThanOrEqual">
      <formula>0</formula>
    </cfRule>
  </conditionalFormatting>
  <conditionalFormatting sqref="Y243:Y247">
    <cfRule type="cellIs" dxfId="2131" priority="1257" operator="lessThan">
      <formula>0</formula>
    </cfRule>
  </conditionalFormatting>
  <conditionalFormatting sqref="Y243:Y247">
    <cfRule type="cellIs" dxfId="2130" priority="1258" operator="greaterThanOrEqual">
      <formula>0</formula>
    </cfRule>
  </conditionalFormatting>
  <conditionalFormatting sqref="AK63:AK67">
    <cfRule type="cellIs" dxfId="2129" priority="2105" operator="lessThan">
      <formula>0</formula>
    </cfRule>
  </conditionalFormatting>
  <conditionalFormatting sqref="AK63:AK67">
    <cfRule type="cellIs" dxfId="2128" priority="2106" operator="greaterThanOrEqual">
      <formula>0</formula>
    </cfRule>
  </conditionalFormatting>
  <conditionalFormatting sqref="AB243:AB247">
    <cfRule type="cellIs" dxfId="2127" priority="1241" operator="lessThan">
      <formula>0</formula>
    </cfRule>
  </conditionalFormatting>
  <conditionalFormatting sqref="AB243:AB247">
    <cfRule type="cellIs" dxfId="2126" priority="1242" operator="greaterThanOrEqual">
      <formula>0</formula>
    </cfRule>
  </conditionalFormatting>
  <conditionalFormatting sqref="AN63:AN67">
    <cfRule type="cellIs" dxfId="2125" priority="2089" operator="lessThan">
      <formula>0</formula>
    </cfRule>
  </conditionalFormatting>
  <conditionalFormatting sqref="AN63:AN67">
    <cfRule type="cellIs" dxfId="2124" priority="2090" operator="greaterThanOrEqual">
      <formula>0</formula>
    </cfRule>
  </conditionalFormatting>
  <conditionalFormatting sqref="AK249:AK253">
    <cfRule type="cellIs" dxfId="2123" priority="1237" operator="lessThan">
      <formula>0</formula>
    </cfRule>
  </conditionalFormatting>
  <conditionalFormatting sqref="AK249:AK253">
    <cfRule type="cellIs" dxfId="2122" priority="1238" operator="greaterThanOrEqual">
      <formula>0</formula>
    </cfRule>
  </conditionalFormatting>
  <conditionalFormatting sqref="AE63:AE67">
    <cfRule type="cellIs" dxfId="2121" priority="2085" operator="lessThan">
      <formula>0</formula>
    </cfRule>
  </conditionalFormatting>
  <conditionalFormatting sqref="AE63:AE67">
    <cfRule type="cellIs" dxfId="2120" priority="2086" operator="greaterThanOrEqual">
      <formula>0</formula>
    </cfRule>
  </conditionalFormatting>
  <conditionalFormatting sqref="AH249:AH253">
    <cfRule type="cellIs" dxfId="2119" priority="1233" operator="lessThan">
      <formula>0</formula>
    </cfRule>
  </conditionalFormatting>
  <conditionalFormatting sqref="AH249:AH253">
    <cfRule type="cellIs" dxfId="2118" priority="1234" operator="greaterThanOrEqual">
      <formula>0</formula>
    </cfRule>
  </conditionalFormatting>
  <conditionalFormatting sqref="AB63:AB67">
    <cfRule type="cellIs" dxfId="2117" priority="2081" operator="lessThan">
      <formula>0</formula>
    </cfRule>
  </conditionalFormatting>
  <conditionalFormatting sqref="AB63:AB67">
    <cfRule type="cellIs" dxfId="2116" priority="2082" operator="greaterThanOrEqual">
      <formula>0</formula>
    </cfRule>
  </conditionalFormatting>
  <conditionalFormatting sqref="AE249:AE253">
    <cfRule type="cellIs" dxfId="2115" priority="1217" operator="lessThan">
      <formula>0</formula>
    </cfRule>
  </conditionalFormatting>
  <conditionalFormatting sqref="AE249:AE253">
    <cfRule type="cellIs" dxfId="2114" priority="1218" operator="greaterThanOrEqual">
      <formula>0</formula>
    </cfRule>
  </conditionalFormatting>
  <conditionalFormatting sqref="V69:V73">
    <cfRule type="cellIs" dxfId="2113" priority="2067" operator="lessThan">
      <formula>0</formula>
    </cfRule>
  </conditionalFormatting>
  <conditionalFormatting sqref="V69:V73">
    <cfRule type="cellIs" dxfId="2112" priority="2068" operator="greaterThanOrEqual">
      <formula>0</formula>
    </cfRule>
  </conditionalFormatting>
  <conditionalFormatting sqref="Y69:Y73">
    <cfRule type="cellIs" dxfId="2111" priority="2069" operator="lessThan">
      <formula>0</formula>
    </cfRule>
  </conditionalFormatting>
  <conditionalFormatting sqref="Y69:Y73">
    <cfRule type="cellIs" dxfId="2110" priority="2070" operator="greaterThanOrEqual">
      <formula>0</formula>
    </cfRule>
  </conditionalFormatting>
  <conditionalFormatting sqref="AH69:AH73">
    <cfRule type="cellIs" dxfId="2109" priority="2073" operator="lessThan">
      <formula>0</formula>
    </cfRule>
  </conditionalFormatting>
  <conditionalFormatting sqref="AH69:AH73">
    <cfRule type="cellIs" dxfId="2108" priority="2074" operator="greaterThanOrEqual">
      <formula>0</formula>
    </cfRule>
  </conditionalFormatting>
  <conditionalFormatting sqref="Y249:Y253">
    <cfRule type="cellIs" dxfId="2107" priority="1229" operator="lessThan">
      <formula>0</formula>
    </cfRule>
  </conditionalFormatting>
  <conditionalFormatting sqref="Y249:Y253">
    <cfRule type="cellIs" dxfId="2106" priority="1230" operator="greaterThanOrEqual">
      <formula>0</formula>
    </cfRule>
  </conditionalFormatting>
  <conditionalFormatting sqref="AK69:AK73">
    <cfRule type="cellIs" dxfId="2105" priority="2077" operator="lessThan">
      <formula>0</formula>
    </cfRule>
  </conditionalFormatting>
  <conditionalFormatting sqref="AK69:AK73">
    <cfRule type="cellIs" dxfId="2104" priority="2078" operator="greaterThanOrEqual">
      <formula>0</formula>
    </cfRule>
  </conditionalFormatting>
  <conditionalFormatting sqref="AB249:AB253">
    <cfRule type="cellIs" dxfId="2103" priority="1213" operator="lessThan">
      <formula>0</formula>
    </cfRule>
  </conditionalFormatting>
  <conditionalFormatting sqref="AB249:AB253">
    <cfRule type="cellIs" dxfId="2102" priority="1214" operator="greaterThanOrEqual">
      <formula>0</formula>
    </cfRule>
  </conditionalFormatting>
  <conditionalFormatting sqref="AN69:AN73">
    <cfRule type="cellIs" dxfId="2101" priority="2061" operator="lessThan">
      <formula>0</formula>
    </cfRule>
  </conditionalFormatting>
  <conditionalFormatting sqref="AN69:AN73">
    <cfRule type="cellIs" dxfId="2100" priority="2062" operator="greaterThanOrEqual">
      <formula>0</formula>
    </cfRule>
  </conditionalFormatting>
  <conditionalFormatting sqref="AK255:AK259">
    <cfRule type="cellIs" dxfId="2099" priority="1209" operator="lessThan">
      <formula>0</formula>
    </cfRule>
  </conditionalFormatting>
  <conditionalFormatting sqref="AK255:AK259">
    <cfRule type="cellIs" dxfId="2098" priority="1210" operator="greaterThanOrEqual">
      <formula>0</formula>
    </cfRule>
  </conditionalFormatting>
  <conditionalFormatting sqref="AE69:AE73">
    <cfRule type="cellIs" dxfId="2097" priority="2057" operator="lessThan">
      <formula>0</formula>
    </cfRule>
  </conditionalFormatting>
  <conditionalFormatting sqref="AE69:AE73">
    <cfRule type="cellIs" dxfId="2096" priority="2058" operator="greaterThanOrEqual">
      <formula>0</formula>
    </cfRule>
  </conditionalFormatting>
  <conditionalFormatting sqref="AH255:AH259">
    <cfRule type="cellIs" dxfId="2095" priority="1205" operator="lessThan">
      <formula>0</formula>
    </cfRule>
  </conditionalFormatting>
  <conditionalFormatting sqref="AH255:AH259">
    <cfRule type="cellIs" dxfId="2094" priority="1206" operator="greaterThanOrEqual">
      <formula>0</formula>
    </cfRule>
  </conditionalFormatting>
  <conditionalFormatting sqref="AB69:AB73">
    <cfRule type="cellIs" dxfId="2093" priority="2053" operator="lessThan">
      <formula>0</formula>
    </cfRule>
  </conditionalFormatting>
  <conditionalFormatting sqref="AB69:AB73">
    <cfRule type="cellIs" dxfId="2092" priority="2054" operator="greaterThanOrEqual">
      <formula>0</formula>
    </cfRule>
  </conditionalFormatting>
  <conditionalFormatting sqref="AE255:AE259">
    <cfRule type="cellIs" dxfId="2091" priority="1189" operator="lessThan">
      <formula>0</formula>
    </cfRule>
  </conditionalFormatting>
  <conditionalFormatting sqref="AE255:AE259">
    <cfRule type="cellIs" dxfId="2090" priority="1190" operator="greaterThanOrEqual">
      <formula>0</formula>
    </cfRule>
  </conditionalFormatting>
  <conditionalFormatting sqref="V75:V79">
    <cfRule type="cellIs" dxfId="2089" priority="2039" operator="lessThan">
      <formula>0</formula>
    </cfRule>
  </conditionalFormatting>
  <conditionalFormatting sqref="V75:V79">
    <cfRule type="cellIs" dxfId="2088" priority="2040" operator="greaterThanOrEqual">
      <formula>0</formula>
    </cfRule>
  </conditionalFormatting>
  <conditionalFormatting sqref="Y75:Y79">
    <cfRule type="cellIs" dxfId="2087" priority="2041" operator="lessThan">
      <formula>0</formula>
    </cfRule>
  </conditionalFormatting>
  <conditionalFormatting sqref="Y75:Y79">
    <cfRule type="cellIs" dxfId="2086" priority="2042" operator="greaterThanOrEqual">
      <formula>0</formula>
    </cfRule>
  </conditionalFormatting>
  <conditionalFormatting sqref="AH75:AH79">
    <cfRule type="cellIs" dxfId="2085" priority="2045" operator="lessThan">
      <formula>0</formula>
    </cfRule>
  </conditionalFormatting>
  <conditionalFormatting sqref="AH75:AH79">
    <cfRule type="cellIs" dxfId="2084" priority="2046" operator="greaterThanOrEqual">
      <formula>0</formula>
    </cfRule>
  </conditionalFormatting>
  <conditionalFormatting sqref="Y255:Y259">
    <cfRule type="cellIs" dxfId="2083" priority="1201" operator="lessThan">
      <formula>0</formula>
    </cfRule>
  </conditionalFormatting>
  <conditionalFormatting sqref="Y255:Y259">
    <cfRule type="cellIs" dxfId="2082" priority="1202" operator="greaterThanOrEqual">
      <formula>0</formula>
    </cfRule>
  </conditionalFormatting>
  <conditionalFormatting sqref="AK75:AK79">
    <cfRule type="cellIs" dxfId="2081" priority="2049" operator="lessThan">
      <formula>0</formula>
    </cfRule>
  </conditionalFormatting>
  <conditionalFormatting sqref="AK75:AK79">
    <cfRule type="cellIs" dxfId="2080" priority="2050" operator="greaterThanOrEqual">
      <formula>0</formula>
    </cfRule>
  </conditionalFormatting>
  <conditionalFormatting sqref="AB255:AB259">
    <cfRule type="cellIs" dxfId="2079" priority="1185" operator="lessThan">
      <formula>0</formula>
    </cfRule>
  </conditionalFormatting>
  <conditionalFormatting sqref="AB255:AB259">
    <cfRule type="cellIs" dxfId="2078" priority="1186" operator="greaterThanOrEqual">
      <formula>0</formula>
    </cfRule>
  </conditionalFormatting>
  <conditionalFormatting sqref="AN75:AN79">
    <cfRule type="cellIs" dxfId="2077" priority="2033" operator="lessThan">
      <formula>0</formula>
    </cfRule>
  </conditionalFormatting>
  <conditionalFormatting sqref="AN75:AN79">
    <cfRule type="cellIs" dxfId="2076" priority="2034" operator="greaterThanOrEqual">
      <formula>0</formula>
    </cfRule>
  </conditionalFormatting>
  <conditionalFormatting sqref="AK261:AK265">
    <cfRule type="cellIs" dxfId="2075" priority="1181" operator="lessThan">
      <formula>0</formula>
    </cfRule>
  </conditionalFormatting>
  <conditionalFormatting sqref="AK261:AK265">
    <cfRule type="cellIs" dxfId="2074" priority="1182" operator="greaterThanOrEqual">
      <formula>0</formula>
    </cfRule>
  </conditionalFormatting>
  <conditionalFormatting sqref="AE75:AE79">
    <cfRule type="cellIs" dxfId="2073" priority="2029" operator="lessThan">
      <formula>0</formula>
    </cfRule>
  </conditionalFormatting>
  <conditionalFormatting sqref="AE75:AE79">
    <cfRule type="cellIs" dxfId="2072" priority="2030" operator="greaterThanOrEqual">
      <formula>0</formula>
    </cfRule>
  </conditionalFormatting>
  <conditionalFormatting sqref="AH261:AH265">
    <cfRule type="cellIs" dxfId="2071" priority="1177" operator="lessThan">
      <formula>0</formula>
    </cfRule>
  </conditionalFormatting>
  <conditionalFormatting sqref="AH261:AH265">
    <cfRule type="cellIs" dxfId="2070" priority="1178" operator="greaterThanOrEqual">
      <formula>0</formula>
    </cfRule>
  </conditionalFormatting>
  <conditionalFormatting sqref="AB75:AB79">
    <cfRule type="cellIs" dxfId="2069" priority="2025" operator="lessThan">
      <formula>0</formula>
    </cfRule>
  </conditionalFormatting>
  <conditionalFormatting sqref="AB75:AB79">
    <cfRule type="cellIs" dxfId="2068" priority="2026" operator="greaterThanOrEqual">
      <formula>0</formula>
    </cfRule>
  </conditionalFormatting>
  <conditionalFormatting sqref="AE261:AE265">
    <cfRule type="cellIs" dxfId="2067" priority="1161" operator="lessThan">
      <formula>0</formula>
    </cfRule>
  </conditionalFormatting>
  <conditionalFormatting sqref="AE261:AE265">
    <cfRule type="cellIs" dxfId="2066" priority="1162" operator="greaterThanOrEqual">
      <formula>0</formula>
    </cfRule>
  </conditionalFormatting>
  <conditionalFormatting sqref="V81:V85">
    <cfRule type="cellIs" dxfId="2065" priority="2011" operator="lessThan">
      <formula>0</formula>
    </cfRule>
  </conditionalFormatting>
  <conditionalFormatting sqref="V81:V85">
    <cfRule type="cellIs" dxfId="2064" priority="2012" operator="greaterThanOrEqual">
      <formula>0</formula>
    </cfRule>
  </conditionalFormatting>
  <conditionalFormatting sqref="Y81:Y85">
    <cfRule type="cellIs" dxfId="2063" priority="2013" operator="lessThan">
      <formula>0</formula>
    </cfRule>
  </conditionalFormatting>
  <conditionalFormatting sqref="Y81:Y85">
    <cfRule type="cellIs" dxfId="2062" priority="2014" operator="greaterThanOrEqual">
      <formula>0</formula>
    </cfRule>
  </conditionalFormatting>
  <conditionalFormatting sqref="AH81:AH85">
    <cfRule type="cellIs" dxfId="2061" priority="2017" operator="lessThan">
      <formula>0</formula>
    </cfRule>
  </conditionalFormatting>
  <conditionalFormatting sqref="AH81:AH85">
    <cfRule type="cellIs" dxfId="2060" priority="2018" operator="greaterThanOrEqual">
      <formula>0</formula>
    </cfRule>
  </conditionalFormatting>
  <conditionalFormatting sqref="Y261:Y265">
    <cfRule type="cellIs" dxfId="2059" priority="1173" operator="lessThan">
      <formula>0</formula>
    </cfRule>
  </conditionalFormatting>
  <conditionalFormatting sqref="Y261:Y265">
    <cfRule type="cellIs" dxfId="2058" priority="1174" operator="greaterThanOrEqual">
      <formula>0</formula>
    </cfRule>
  </conditionalFormatting>
  <conditionalFormatting sqref="AK81:AK85">
    <cfRule type="cellIs" dxfId="2057" priority="2021" operator="lessThan">
      <formula>0</formula>
    </cfRule>
  </conditionalFormatting>
  <conditionalFormatting sqref="AK81:AK85">
    <cfRule type="cellIs" dxfId="2056" priority="2022" operator="greaterThanOrEqual">
      <formula>0</formula>
    </cfRule>
  </conditionalFormatting>
  <conditionalFormatting sqref="AB261:AB265">
    <cfRule type="cellIs" dxfId="2055" priority="1157" operator="lessThan">
      <formula>0</formula>
    </cfRule>
  </conditionalFormatting>
  <conditionalFormatting sqref="AB261:AB265">
    <cfRule type="cellIs" dxfId="2054" priority="1158" operator="greaterThanOrEqual">
      <formula>0</formula>
    </cfRule>
  </conditionalFormatting>
  <conditionalFormatting sqref="AN81:AN85">
    <cfRule type="cellIs" dxfId="2053" priority="2005" operator="lessThan">
      <formula>0</formula>
    </cfRule>
  </conditionalFormatting>
  <conditionalFormatting sqref="AN81:AN85">
    <cfRule type="cellIs" dxfId="2052" priority="2006" operator="greaterThanOrEqual">
      <formula>0</formula>
    </cfRule>
  </conditionalFormatting>
  <conditionalFormatting sqref="AK267:AK271">
    <cfRule type="cellIs" dxfId="2051" priority="1153" operator="lessThan">
      <formula>0</formula>
    </cfRule>
  </conditionalFormatting>
  <conditionalFormatting sqref="AK267:AK271">
    <cfRule type="cellIs" dxfId="2050" priority="1154" operator="greaterThanOrEqual">
      <formula>0</formula>
    </cfRule>
  </conditionalFormatting>
  <conditionalFormatting sqref="AE81:AE85">
    <cfRule type="cellIs" dxfId="2049" priority="2001" operator="lessThan">
      <formula>0</formula>
    </cfRule>
  </conditionalFormatting>
  <conditionalFormatting sqref="AE81:AE85">
    <cfRule type="cellIs" dxfId="2048" priority="2002" operator="greaterThanOrEqual">
      <formula>0</formula>
    </cfRule>
  </conditionalFormatting>
  <conditionalFormatting sqref="AH267:AH271">
    <cfRule type="cellIs" dxfId="2047" priority="1149" operator="lessThan">
      <formula>0</formula>
    </cfRule>
  </conditionalFormatting>
  <conditionalFormatting sqref="AH267:AH271">
    <cfRule type="cellIs" dxfId="2046" priority="1150" operator="greaterThanOrEqual">
      <formula>0</formula>
    </cfRule>
  </conditionalFormatting>
  <conditionalFormatting sqref="AB81:AB85">
    <cfRule type="cellIs" dxfId="2045" priority="1997" operator="lessThan">
      <formula>0</formula>
    </cfRule>
  </conditionalFormatting>
  <conditionalFormatting sqref="AB81:AB85">
    <cfRule type="cellIs" dxfId="2044" priority="1998" operator="greaterThanOrEqual">
      <formula>0</formula>
    </cfRule>
  </conditionalFormatting>
  <conditionalFormatting sqref="AE267:AE271">
    <cfRule type="cellIs" dxfId="2043" priority="1133" operator="lessThan">
      <formula>0</formula>
    </cfRule>
  </conditionalFormatting>
  <conditionalFormatting sqref="AE267:AE271">
    <cfRule type="cellIs" dxfId="2042" priority="1134" operator="greaterThanOrEqual">
      <formula>0</formula>
    </cfRule>
  </conditionalFormatting>
  <conditionalFormatting sqref="V87:V91">
    <cfRule type="cellIs" dxfId="2041" priority="1983" operator="lessThan">
      <formula>0</formula>
    </cfRule>
  </conditionalFormatting>
  <conditionalFormatting sqref="V87:V91">
    <cfRule type="cellIs" dxfId="2040" priority="1984" operator="greaterThanOrEqual">
      <formula>0</formula>
    </cfRule>
  </conditionalFormatting>
  <conditionalFormatting sqref="Y87:Y91">
    <cfRule type="cellIs" dxfId="2039" priority="1985" operator="lessThan">
      <formula>0</formula>
    </cfRule>
  </conditionalFormatting>
  <conditionalFormatting sqref="Y87:Y91">
    <cfRule type="cellIs" dxfId="2038" priority="1986" operator="greaterThanOrEqual">
      <formula>0</formula>
    </cfRule>
  </conditionalFormatting>
  <conditionalFormatting sqref="AH87:AH91">
    <cfRule type="cellIs" dxfId="2037" priority="1989" operator="lessThan">
      <formula>0</formula>
    </cfRule>
  </conditionalFormatting>
  <conditionalFormatting sqref="AH87:AH91">
    <cfRule type="cellIs" dxfId="2036" priority="1990" operator="greaterThanOrEqual">
      <formula>0</formula>
    </cfRule>
  </conditionalFormatting>
  <conditionalFormatting sqref="Y267:Y271">
    <cfRule type="cellIs" dxfId="2035" priority="1145" operator="lessThan">
      <formula>0</formula>
    </cfRule>
  </conditionalFormatting>
  <conditionalFormatting sqref="Y267:Y271">
    <cfRule type="cellIs" dxfId="2034" priority="1146" operator="greaterThanOrEqual">
      <formula>0</formula>
    </cfRule>
  </conditionalFormatting>
  <conditionalFormatting sqref="AK87:AK91">
    <cfRule type="cellIs" dxfId="2033" priority="1993" operator="lessThan">
      <formula>0</formula>
    </cfRule>
  </conditionalFormatting>
  <conditionalFormatting sqref="AK87:AK91">
    <cfRule type="cellIs" dxfId="2032" priority="1994" operator="greaterThanOrEqual">
      <formula>0</formula>
    </cfRule>
  </conditionalFormatting>
  <conditionalFormatting sqref="AB267:AB271">
    <cfRule type="cellIs" dxfId="2031" priority="1129" operator="lessThan">
      <formula>0</formula>
    </cfRule>
  </conditionalFormatting>
  <conditionalFormatting sqref="AB267:AB271">
    <cfRule type="cellIs" dxfId="2030" priority="1130" operator="greaterThanOrEqual">
      <formula>0</formula>
    </cfRule>
  </conditionalFormatting>
  <conditionalFormatting sqref="AN87:AN91">
    <cfRule type="cellIs" dxfId="2029" priority="1977" operator="lessThan">
      <formula>0</formula>
    </cfRule>
  </conditionalFormatting>
  <conditionalFormatting sqref="AN87:AN91">
    <cfRule type="cellIs" dxfId="2028" priority="1978" operator="greaterThanOrEqual">
      <formula>0</formula>
    </cfRule>
  </conditionalFormatting>
  <conditionalFormatting sqref="AK273:AK277">
    <cfRule type="cellIs" dxfId="2027" priority="1125" operator="lessThan">
      <formula>0</formula>
    </cfRule>
  </conditionalFormatting>
  <conditionalFormatting sqref="AK273:AK277">
    <cfRule type="cellIs" dxfId="2026" priority="1126" operator="greaterThanOrEqual">
      <formula>0</formula>
    </cfRule>
  </conditionalFormatting>
  <conditionalFormatting sqref="AE87:AE91">
    <cfRule type="cellIs" dxfId="2025" priority="1973" operator="lessThan">
      <formula>0</formula>
    </cfRule>
  </conditionalFormatting>
  <conditionalFormatting sqref="AE87:AE91">
    <cfRule type="cellIs" dxfId="2024" priority="1974" operator="greaterThanOrEqual">
      <formula>0</formula>
    </cfRule>
  </conditionalFormatting>
  <conditionalFormatting sqref="AH273:AH277">
    <cfRule type="cellIs" dxfId="2023" priority="1121" operator="lessThan">
      <formula>0</formula>
    </cfRule>
  </conditionalFormatting>
  <conditionalFormatting sqref="AH273:AH277">
    <cfRule type="cellIs" dxfId="2022" priority="1122" operator="greaterThanOrEqual">
      <formula>0</formula>
    </cfRule>
  </conditionalFormatting>
  <conditionalFormatting sqref="AB87:AB91">
    <cfRule type="cellIs" dxfId="2021" priority="1969" operator="lessThan">
      <formula>0</formula>
    </cfRule>
  </conditionalFormatting>
  <conditionalFormatting sqref="AB87:AB91">
    <cfRule type="cellIs" dxfId="2020" priority="1970" operator="greaterThanOrEqual">
      <formula>0</formula>
    </cfRule>
  </conditionalFormatting>
  <conditionalFormatting sqref="AE273:AE277">
    <cfRule type="cellIs" dxfId="2019" priority="1105" operator="lessThan">
      <formula>0</formula>
    </cfRule>
  </conditionalFormatting>
  <conditionalFormatting sqref="AE273:AE277">
    <cfRule type="cellIs" dxfId="2018" priority="1106" operator="greaterThanOrEqual">
      <formula>0</formula>
    </cfRule>
  </conditionalFormatting>
  <conditionalFormatting sqref="V93:V97">
    <cfRule type="cellIs" dxfId="2017" priority="1955" operator="lessThan">
      <formula>0</formula>
    </cfRule>
  </conditionalFormatting>
  <conditionalFormatting sqref="V93:V97">
    <cfRule type="cellIs" dxfId="2016" priority="1956" operator="greaterThanOrEqual">
      <formula>0</formula>
    </cfRule>
  </conditionalFormatting>
  <conditionalFormatting sqref="Y93:Y97">
    <cfRule type="cellIs" dxfId="2015" priority="1957" operator="lessThan">
      <formula>0</formula>
    </cfRule>
  </conditionalFormatting>
  <conditionalFormatting sqref="Y93:Y97">
    <cfRule type="cellIs" dxfId="2014" priority="1958" operator="greaterThanOrEqual">
      <formula>0</formula>
    </cfRule>
  </conditionalFormatting>
  <conditionalFormatting sqref="AH93:AH97">
    <cfRule type="cellIs" dxfId="2013" priority="1961" operator="lessThan">
      <formula>0</formula>
    </cfRule>
  </conditionalFormatting>
  <conditionalFormatting sqref="AH93:AH97">
    <cfRule type="cellIs" dxfId="2012" priority="1962" operator="greaterThanOrEqual">
      <formula>0</formula>
    </cfRule>
  </conditionalFormatting>
  <conditionalFormatting sqref="Y273:Y277">
    <cfRule type="cellIs" dxfId="2011" priority="1117" operator="lessThan">
      <formula>0</formula>
    </cfRule>
  </conditionalFormatting>
  <conditionalFormatting sqref="Y273:Y277">
    <cfRule type="cellIs" dxfId="2010" priority="1118" operator="greaterThanOrEqual">
      <formula>0</formula>
    </cfRule>
  </conditionalFormatting>
  <conditionalFormatting sqref="AK93:AK97">
    <cfRule type="cellIs" dxfId="2009" priority="1965" operator="lessThan">
      <formula>0</formula>
    </cfRule>
  </conditionalFormatting>
  <conditionalFormatting sqref="AK93:AK97">
    <cfRule type="cellIs" dxfId="2008" priority="1966" operator="greaterThanOrEqual">
      <formula>0</formula>
    </cfRule>
  </conditionalFormatting>
  <conditionalFormatting sqref="AB273:AB277">
    <cfRule type="cellIs" dxfId="2007" priority="1101" operator="lessThan">
      <formula>0</formula>
    </cfRule>
  </conditionalFormatting>
  <conditionalFormatting sqref="AB273:AB277">
    <cfRule type="cellIs" dxfId="2006" priority="1102" operator="greaterThanOrEqual">
      <formula>0</formula>
    </cfRule>
  </conditionalFormatting>
  <conditionalFormatting sqref="AN93:AN97">
    <cfRule type="cellIs" dxfId="2005" priority="1949" operator="lessThan">
      <formula>0</formula>
    </cfRule>
  </conditionalFormatting>
  <conditionalFormatting sqref="AN93:AN97">
    <cfRule type="cellIs" dxfId="2004" priority="1950" operator="greaterThanOrEqual">
      <formula>0</formula>
    </cfRule>
  </conditionalFormatting>
  <conditionalFormatting sqref="AK279:AK286">
    <cfRule type="cellIs" dxfId="2003" priority="1097" operator="lessThan">
      <formula>0</formula>
    </cfRule>
  </conditionalFormatting>
  <conditionalFormatting sqref="AK279:AK286">
    <cfRule type="cellIs" dxfId="2002" priority="1098" operator="greaterThanOrEqual">
      <formula>0</formula>
    </cfRule>
  </conditionalFormatting>
  <conditionalFormatting sqref="AE93:AE97">
    <cfRule type="cellIs" dxfId="2001" priority="1945" operator="lessThan">
      <formula>0</formula>
    </cfRule>
  </conditionalFormatting>
  <conditionalFormatting sqref="AE93:AE97">
    <cfRule type="cellIs" dxfId="2000" priority="1946" operator="greaterThanOrEqual">
      <formula>0</formula>
    </cfRule>
  </conditionalFormatting>
  <conditionalFormatting sqref="AH279:AH286">
    <cfRule type="cellIs" dxfId="1999" priority="1093" operator="lessThan">
      <formula>0</formula>
    </cfRule>
  </conditionalFormatting>
  <conditionalFormatting sqref="AH279:AH286">
    <cfRule type="cellIs" dxfId="1998" priority="1094" operator="greaterThanOrEqual">
      <formula>0</formula>
    </cfRule>
  </conditionalFormatting>
  <conditionalFormatting sqref="AB93:AB97">
    <cfRule type="cellIs" dxfId="1997" priority="1941" operator="lessThan">
      <formula>0</formula>
    </cfRule>
  </conditionalFormatting>
  <conditionalFormatting sqref="AB93:AB97">
    <cfRule type="cellIs" dxfId="1996" priority="1942" operator="greaterThanOrEqual">
      <formula>0</formula>
    </cfRule>
  </conditionalFormatting>
  <conditionalFormatting sqref="AE279:AE286">
    <cfRule type="cellIs" dxfId="1995" priority="1077" operator="lessThan">
      <formula>0</formula>
    </cfRule>
  </conditionalFormatting>
  <conditionalFormatting sqref="AE279:AE286">
    <cfRule type="cellIs" dxfId="1994" priority="1078" operator="greaterThanOrEqual">
      <formula>0</formula>
    </cfRule>
  </conditionalFormatting>
  <conditionalFormatting sqref="V99:V103">
    <cfRule type="cellIs" dxfId="1993" priority="1927" operator="lessThan">
      <formula>0</formula>
    </cfRule>
  </conditionalFormatting>
  <conditionalFormatting sqref="V99:V103">
    <cfRule type="cellIs" dxfId="1992" priority="1928" operator="greaterThanOrEqual">
      <formula>0</formula>
    </cfRule>
  </conditionalFormatting>
  <conditionalFormatting sqref="Y99:Y103">
    <cfRule type="cellIs" dxfId="1991" priority="1929" operator="lessThan">
      <formula>0</formula>
    </cfRule>
  </conditionalFormatting>
  <conditionalFormatting sqref="Y99:Y103">
    <cfRule type="cellIs" dxfId="1990" priority="1930" operator="greaterThanOrEqual">
      <formula>0</formula>
    </cfRule>
  </conditionalFormatting>
  <conditionalFormatting sqref="AH99:AH103">
    <cfRule type="cellIs" dxfId="1989" priority="1933" operator="lessThan">
      <formula>0</formula>
    </cfRule>
  </conditionalFormatting>
  <conditionalFormatting sqref="AH99:AH103">
    <cfRule type="cellIs" dxfId="1988" priority="1934" operator="greaterThanOrEqual">
      <formula>0</formula>
    </cfRule>
  </conditionalFormatting>
  <conditionalFormatting sqref="Y279:Y286">
    <cfRule type="cellIs" dxfId="1987" priority="1089" operator="lessThan">
      <formula>0</formula>
    </cfRule>
  </conditionalFormatting>
  <conditionalFormatting sqref="Y279:Y286">
    <cfRule type="cellIs" dxfId="1986" priority="1090" operator="greaterThanOrEqual">
      <formula>0</formula>
    </cfRule>
  </conditionalFormatting>
  <conditionalFormatting sqref="AK99:AK103">
    <cfRule type="cellIs" dxfId="1985" priority="1937" operator="lessThan">
      <formula>0</formula>
    </cfRule>
  </conditionalFormatting>
  <conditionalFormatting sqref="AK99:AK103">
    <cfRule type="cellIs" dxfId="1984" priority="1938" operator="greaterThanOrEqual">
      <formula>0</formula>
    </cfRule>
  </conditionalFormatting>
  <conditionalFormatting sqref="AB279:AB286">
    <cfRule type="cellIs" dxfId="1983" priority="1073" operator="lessThan">
      <formula>0</formula>
    </cfRule>
  </conditionalFormatting>
  <conditionalFormatting sqref="AB279:AB286">
    <cfRule type="cellIs" dxfId="1982" priority="1074" operator="greaterThanOrEqual">
      <formula>0</formula>
    </cfRule>
  </conditionalFormatting>
  <conditionalFormatting sqref="AN99:AN103">
    <cfRule type="cellIs" dxfId="1981" priority="1921" operator="lessThan">
      <formula>0</formula>
    </cfRule>
  </conditionalFormatting>
  <conditionalFormatting sqref="AN99:AN103">
    <cfRule type="cellIs" dxfId="1980" priority="1922" operator="greaterThanOrEqual">
      <formula>0</formula>
    </cfRule>
  </conditionalFormatting>
  <conditionalFormatting sqref="AE99:AE103">
    <cfRule type="cellIs" dxfId="1979" priority="1917" operator="lessThan">
      <formula>0</formula>
    </cfRule>
  </conditionalFormatting>
  <conditionalFormatting sqref="AE99:AE103">
    <cfRule type="cellIs" dxfId="1978" priority="1918" operator="greaterThanOrEqual">
      <formula>0</formula>
    </cfRule>
  </conditionalFormatting>
  <conditionalFormatting sqref="AB99:AB103">
    <cfRule type="cellIs" dxfId="1977" priority="1913" operator="lessThan">
      <formula>0</formula>
    </cfRule>
  </conditionalFormatting>
  <conditionalFormatting sqref="AB99:AB103">
    <cfRule type="cellIs" dxfId="1976" priority="1914" operator="greaterThanOrEqual">
      <formula>0</formula>
    </cfRule>
  </conditionalFormatting>
  <conditionalFormatting sqref="V105:V109">
    <cfRule type="cellIs" dxfId="1975" priority="1899" operator="lessThan">
      <formula>0</formula>
    </cfRule>
  </conditionalFormatting>
  <conditionalFormatting sqref="V105:V109">
    <cfRule type="cellIs" dxfId="1974" priority="1900" operator="greaterThanOrEqual">
      <formula>0</formula>
    </cfRule>
  </conditionalFormatting>
  <conditionalFormatting sqref="Y105:Y109">
    <cfRule type="cellIs" dxfId="1973" priority="1901" operator="lessThan">
      <formula>0</formula>
    </cfRule>
  </conditionalFormatting>
  <conditionalFormatting sqref="Y105:Y109">
    <cfRule type="cellIs" dxfId="1972" priority="1902" operator="greaterThanOrEqual">
      <formula>0</formula>
    </cfRule>
  </conditionalFormatting>
  <conditionalFormatting sqref="AH105:AH109">
    <cfRule type="cellIs" dxfId="1971" priority="1905" operator="lessThan">
      <formula>0</formula>
    </cfRule>
  </conditionalFormatting>
  <conditionalFormatting sqref="AH105:AH109">
    <cfRule type="cellIs" dxfId="1970" priority="1906" operator="greaterThanOrEqual">
      <formula>0</formula>
    </cfRule>
  </conditionalFormatting>
  <conditionalFormatting sqref="AK105:AK109">
    <cfRule type="cellIs" dxfId="1969" priority="1909" operator="lessThan">
      <formula>0</formula>
    </cfRule>
  </conditionalFormatting>
  <conditionalFormatting sqref="AK105:AK109">
    <cfRule type="cellIs" dxfId="1968" priority="1910" operator="greaterThanOrEqual">
      <formula>0</formula>
    </cfRule>
  </conditionalFormatting>
  <conditionalFormatting sqref="AN105:AN109">
    <cfRule type="cellIs" dxfId="1967" priority="1893" operator="lessThan">
      <formula>0</formula>
    </cfRule>
  </conditionalFormatting>
  <conditionalFormatting sqref="AN105:AN109">
    <cfRule type="cellIs" dxfId="1966" priority="1894" operator="greaterThanOrEqual">
      <formula>0</formula>
    </cfRule>
  </conditionalFormatting>
  <conditionalFormatting sqref="AK300:AK304">
    <cfRule type="cellIs" dxfId="1965" priority="1041" operator="lessThan">
      <formula>0</formula>
    </cfRule>
  </conditionalFormatting>
  <conditionalFormatting sqref="AK300:AK304">
    <cfRule type="cellIs" dxfId="1964" priority="1042" operator="greaterThanOrEqual">
      <formula>0</formula>
    </cfRule>
  </conditionalFormatting>
  <conditionalFormatting sqref="AE105:AE109">
    <cfRule type="cellIs" dxfId="1963" priority="1889" operator="lessThan">
      <formula>0</formula>
    </cfRule>
  </conditionalFormatting>
  <conditionalFormatting sqref="AE105:AE109">
    <cfRule type="cellIs" dxfId="1962" priority="1890" operator="greaterThanOrEqual">
      <formula>0</formula>
    </cfRule>
  </conditionalFormatting>
  <conditionalFormatting sqref="AH300:AH304">
    <cfRule type="cellIs" dxfId="1961" priority="1037" operator="lessThan">
      <formula>0</formula>
    </cfRule>
  </conditionalFormatting>
  <conditionalFormatting sqref="AH300:AH304">
    <cfRule type="cellIs" dxfId="1960" priority="1038" operator="greaterThanOrEqual">
      <formula>0</formula>
    </cfRule>
  </conditionalFormatting>
  <conditionalFormatting sqref="AB105:AB109">
    <cfRule type="cellIs" dxfId="1959" priority="1885" operator="lessThan">
      <formula>0</formula>
    </cfRule>
  </conditionalFormatting>
  <conditionalFormatting sqref="AB105:AB109">
    <cfRule type="cellIs" dxfId="1958" priority="1886" operator="greaterThanOrEqual">
      <formula>0</formula>
    </cfRule>
  </conditionalFormatting>
  <conditionalFormatting sqref="AE300:AE304">
    <cfRule type="cellIs" dxfId="1957" priority="1021" operator="lessThan">
      <formula>0</formula>
    </cfRule>
  </conditionalFormatting>
  <conditionalFormatting sqref="AE300:AE304">
    <cfRule type="cellIs" dxfId="1956" priority="1022" operator="greaterThanOrEqual">
      <formula>0</formula>
    </cfRule>
  </conditionalFormatting>
  <conditionalFormatting sqref="V111:V115">
    <cfRule type="cellIs" dxfId="1955" priority="1871" operator="lessThan">
      <formula>0</formula>
    </cfRule>
  </conditionalFormatting>
  <conditionalFormatting sqref="V111:V115">
    <cfRule type="cellIs" dxfId="1954" priority="1872" operator="greaterThanOrEqual">
      <formula>0</formula>
    </cfRule>
  </conditionalFormatting>
  <conditionalFormatting sqref="Y111:Y115">
    <cfRule type="cellIs" dxfId="1953" priority="1873" operator="lessThan">
      <formula>0</formula>
    </cfRule>
  </conditionalFormatting>
  <conditionalFormatting sqref="Y111:Y115">
    <cfRule type="cellIs" dxfId="1952" priority="1874" operator="greaterThanOrEqual">
      <formula>0</formula>
    </cfRule>
  </conditionalFormatting>
  <conditionalFormatting sqref="AH111:AH115">
    <cfRule type="cellIs" dxfId="1951" priority="1877" operator="lessThan">
      <formula>0</formula>
    </cfRule>
  </conditionalFormatting>
  <conditionalFormatting sqref="AH111:AH115">
    <cfRule type="cellIs" dxfId="1950" priority="1878" operator="greaterThanOrEqual">
      <formula>0</formula>
    </cfRule>
  </conditionalFormatting>
  <conditionalFormatting sqref="Y300:Y304">
    <cfRule type="cellIs" dxfId="1949" priority="1033" operator="lessThan">
      <formula>0</formula>
    </cfRule>
  </conditionalFormatting>
  <conditionalFormatting sqref="Y300:Y304">
    <cfRule type="cellIs" dxfId="1948" priority="1034" operator="greaterThanOrEqual">
      <formula>0</formula>
    </cfRule>
  </conditionalFormatting>
  <conditionalFormatting sqref="AK111:AK115">
    <cfRule type="cellIs" dxfId="1947" priority="1881" operator="lessThan">
      <formula>0</formula>
    </cfRule>
  </conditionalFormatting>
  <conditionalFormatting sqref="AK111:AK115">
    <cfRule type="cellIs" dxfId="1946" priority="1882" operator="greaterThanOrEqual">
      <formula>0</formula>
    </cfRule>
  </conditionalFormatting>
  <conditionalFormatting sqref="AB300:AB304">
    <cfRule type="cellIs" dxfId="1945" priority="1017" operator="lessThan">
      <formula>0</formula>
    </cfRule>
  </conditionalFormatting>
  <conditionalFormatting sqref="AB300:AB304">
    <cfRule type="cellIs" dxfId="1944" priority="1018" operator="greaterThanOrEqual">
      <formula>0</formula>
    </cfRule>
  </conditionalFormatting>
  <conditionalFormatting sqref="AN111:AN115">
    <cfRule type="cellIs" dxfId="1943" priority="1865" operator="lessThan">
      <formula>0</formula>
    </cfRule>
  </conditionalFormatting>
  <conditionalFormatting sqref="AN111:AN115">
    <cfRule type="cellIs" dxfId="1942" priority="1866" operator="greaterThanOrEqual">
      <formula>0</formula>
    </cfRule>
  </conditionalFormatting>
  <conditionalFormatting sqref="AK306:AK310">
    <cfRule type="cellIs" dxfId="1941" priority="1013" operator="lessThan">
      <formula>0</formula>
    </cfRule>
  </conditionalFormatting>
  <conditionalFormatting sqref="AK306:AK310">
    <cfRule type="cellIs" dxfId="1940" priority="1014" operator="greaterThanOrEqual">
      <formula>0</formula>
    </cfRule>
  </conditionalFormatting>
  <conditionalFormatting sqref="AE111:AE115">
    <cfRule type="cellIs" dxfId="1939" priority="1861" operator="lessThan">
      <formula>0</formula>
    </cfRule>
  </conditionalFormatting>
  <conditionalFormatting sqref="AE111:AE115">
    <cfRule type="cellIs" dxfId="1938" priority="1862" operator="greaterThanOrEqual">
      <formula>0</formula>
    </cfRule>
  </conditionalFormatting>
  <conditionalFormatting sqref="AH306:AH310">
    <cfRule type="cellIs" dxfId="1937" priority="1009" operator="lessThan">
      <formula>0</formula>
    </cfRule>
  </conditionalFormatting>
  <conditionalFormatting sqref="AH306:AH310">
    <cfRule type="cellIs" dxfId="1936" priority="1010" operator="greaterThanOrEqual">
      <formula>0</formula>
    </cfRule>
  </conditionalFormatting>
  <conditionalFormatting sqref="AB111:AB115">
    <cfRule type="cellIs" dxfId="1935" priority="1857" operator="lessThan">
      <formula>0</formula>
    </cfRule>
  </conditionalFormatting>
  <conditionalFormatting sqref="AB111:AB115">
    <cfRule type="cellIs" dxfId="1934" priority="1858" operator="greaterThanOrEqual">
      <formula>0</formula>
    </cfRule>
  </conditionalFormatting>
  <conditionalFormatting sqref="AE306:AE310">
    <cfRule type="cellIs" dxfId="1933" priority="993" operator="lessThan">
      <formula>0</formula>
    </cfRule>
  </conditionalFormatting>
  <conditionalFormatting sqref="AE306:AE310">
    <cfRule type="cellIs" dxfId="1932" priority="994" operator="greaterThanOrEqual">
      <formula>0</formula>
    </cfRule>
  </conditionalFormatting>
  <conditionalFormatting sqref="V117:V121">
    <cfRule type="cellIs" dxfId="1931" priority="1843" operator="lessThan">
      <formula>0</formula>
    </cfRule>
  </conditionalFormatting>
  <conditionalFormatting sqref="V117:V121">
    <cfRule type="cellIs" dxfId="1930" priority="1844" operator="greaterThanOrEqual">
      <formula>0</formula>
    </cfRule>
  </conditionalFormatting>
  <conditionalFormatting sqref="Y117:Y121">
    <cfRule type="cellIs" dxfId="1929" priority="1845" operator="lessThan">
      <formula>0</formula>
    </cfRule>
  </conditionalFormatting>
  <conditionalFormatting sqref="Y117:Y121">
    <cfRule type="cellIs" dxfId="1928" priority="1846" operator="greaterThanOrEqual">
      <formula>0</formula>
    </cfRule>
  </conditionalFormatting>
  <conditionalFormatting sqref="AH117:AH121">
    <cfRule type="cellIs" dxfId="1927" priority="1849" operator="lessThan">
      <formula>0</formula>
    </cfRule>
  </conditionalFormatting>
  <conditionalFormatting sqref="AH117:AH121">
    <cfRule type="cellIs" dxfId="1926" priority="1850" operator="greaterThanOrEqual">
      <formula>0</formula>
    </cfRule>
  </conditionalFormatting>
  <conditionalFormatting sqref="Y306:Y310">
    <cfRule type="cellIs" dxfId="1925" priority="1005" operator="lessThan">
      <formula>0</formula>
    </cfRule>
  </conditionalFormatting>
  <conditionalFormatting sqref="Y306:Y310">
    <cfRule type="cellIs" dxfId="1924" priority="1006" operator="greaterThanOrEqual">
      <formula>0</formula>
    </cfRule>
  </conditionalFormatting>
  <conditionalFormatting sqref="AK117:AK121">
    <cfRule type="cellIs" dxfId="1923" priority="1853" operator="lessThan">
      <formula>0</formula>
    </cfRule>
  </conditionalFormatting>
  <conditionalFormatting sqref="AK117:AK121">
    <cfRule type="cellIs" dxfId="1922" priority="1854" operator="greaterThanOrEqual">
      <formula>0</formula>
    </cfRule>
  </conditionalFormatting>
  <conditionalFormatting sqref="AB306:AB310">
    <cfRule type="cellIs" dxfId="1921" priority="989" operator="lessThan">
      <formula>0</formula>
    </cfRule>
  </conditionalFormatting>
  <conditionalFormatting sqref="AB306:AB310">
    <cfRule type="cellIs" dxfId="1920" priority="990" operator="greaterThanOrEqual">
      <formula>0</formula>
    </cfRule>
  </conditionalFormatting>
  <conditionalFormatting sqref="AN117:AN121">
    <cfRule type="cellIs" dxfId="1919" priority="1837" operator="lessThan">
      <formula>0</formula>
    </cfRule>
  </conditionalFormatting>
  <conditionalFormatting sqref="AN117:AN121">
    <cfRule type="cellIs" dxfId="1918" priority="1838" operator="greaterThanOrEqual">
      <formula>0</formula>
    </cfRule>
  </conditionalFormatting>
  <conditionalFormatting sqref="AK312:AK316">
    <cfRule type="cellIs" dxfId="1917" priority="985" operator="lessThan">
      <formula>0</formula>
    </cfRule>
  </conditionalFormatting>
  <conditionalFormatting sqref="AK312:AK316">
    <cfRule type="cellIs" dxfId="1916" priority="986" operator="greaterThanOrEqual">
      <formula>0</formula>
    </cfRule>
  </conditionalFormatting>
  <conditionalFormatting sqref="AE117:AE121">
    <cfRule type="cellIs" dxfId="1915" priority="1833" operator="lessThan">
      <formula>0</formula>
    </cfRule>
  </conditionalFormatting>
  <conditionalFormatting sqref="AE117:AE121">
    <cfRule type="cellIs" dxfId="1914" priority="1834" operator="greaterThanOrEqual">
      <formula>0</formula>
    </cfRule>
  </conditionalFormatting>
  <conditionalFormatting sqref="AH312:AH316">
    <cfRule type="cellIs" dxfId="1913" priority="981" operator="lessThan">
      <formula>0</formula>
    </cfRule>
  </conditionalFormatting>
  <conditionalFormatting sqref="AH312:AH316">
    <cfRule type="cellIs" dxfId="1912" priority="982" operator="greaterThanOrEqual">
      <formula>0</formula>
    </cfRule>
  </conditionalFormatting>
  <conditionalFormatting sqref="AB117:AB121">
    <cfRule type="cellIs" dxfId="1911" priority="1829" operator="lessThan">
      <formula>0</formula>
    </cfRule>
  </conditionalFormatting>
  <conditionalFormatting sqref="AB117:AB121">
    <cfRule type="cellIs" dxfId="1910" priority="1830" operator="greaterThanOrEqual">
      <formula>0</formula>
    </cfRule>
  </conditionalFormatting>
  <conditionalFormatting sqref="AE312:AE316">
    <cfRule type="cellIs" dxfId="1909" priority="965" operator="lessThan">
      <formula>0</formula>
    </cfRule>
  </conditionalFormatting>
  <conditionalFormatting sqref="AE312:AE316">
    <cfRule type="cellIs" dxfId="1908" priority="966" operator="greaterThanOrEqual">
      <formula>0</formula>
    </cfRule>
  </conditionalFormatting>
  <conditionalFormatting sqref="V123:V127">
    <cfRule type="cellIs" dxfId="1907" priority="1815" operator="lessThan">
      <formula>0</formula>
    </cfRule>
  </conditionalFormatting>
  <conditionalFormatting sqref="V123:V127">
    <cfRule type="cellIs" dxfId="1906" priority="1816" operator="greaterThanOrEqual">
      <formula>0</formula>
    </cfRule>
  </conditionalFormatting>
  <conditionalFormatting sqref="Y123:Y127">
    <cfRule type="cellIs" dxfId="1905" priority="1817" operator="lessThan">
      <formula>0</formula>
    </cfRule>
  </conditionalFormatting>
  <conditionalFormatting sqref="Y123:Y127">
    <cfRule type="cellIs" dxfId="1904" priority="1818" operator="greaterThanOrEqual">
      <formula>0</formula>
    </cfRule>
  </conditionalFormatting>
  <conditionalFormatting sqref="AH123:AH127">
    <cfRule type="cellIs" dxfId="1903" priority="1821" operator="lessThan">
      <formula>0</formula>
    </cfRule>
  </conditionalFormatting>
  <conditionalFormatting sqref="AH123:AH127">
    <cfRule type="cellIs" dxfId="1902" priority="1822" operator="greaterThanOrEqual">
      <formula>0</formula>
    </cfRule>
  </conditionalFormatting>
  <conditionalFormatting sqref="Y312:Y316">
    <cfRule type="cellIs" dxfId="1901" priority="977" operator="lessThan">
      <formula>0</formula>
    </cfRule>
  </conditionalFormatting>
  <conditionalFormatting sqref="Y312:Y316">
    <cfRule type="cellIs" dxfId="1900" priority="978" operator="greaterThanOrEqual">
      <formula>0</formula>
    </cfRule>
  </conditionalFormatting>
  <conditionalFormatting sqref="AK123:AK127">
    <cfRule type="cellIs" dxfId="1899" priority="1825" operator="lessThan">
      <formula>0</formula>
    </cfRule>
  </conditionalFormatting>
  <conditionalFormatting sqref="AK123:AK127">
    <cfRule type="cellIs" dxfId="1898" priority="1826" operator="greaterThanOrEqual">
      <formula>0</formula>
    </cfRule>
  </conditionalFormatting>
  <conditionalFormatting sqref="AB312:AB316">
    <cfRule type="cellIs" dxfId="1897" priority="961" operator="lessThan">
      <formula>0</formula>
    </cfRule>
  </conditionalFormatting>
  <conditionalFormatting sqref="AB312:AB316">
    <cfRule type="cellIs" dxfId="1896" priority="962" operator="greaterThanOrEqual">
      <formula>0</formula>
    </cfRule>
  </conditionalFormatting>
  <conditionalFormatting sqref="AN123:AN127">
    <cfRule type="cellIs" dxfId="1895" priority="1809" operator="lessThan">
      <formula>0</formula>
    </cfRule>
  </conditionalFormatting>
  <conditionalFormatting sqref="AN123:AN127">
    <cfRule type="cellIs" dxfId="1894" priority="1810" operator="greaterThanOrEqual">
      <formula>0</formula>
    </cfRule>
  </conditionalFormatting>
  <conditionalFormatting sqref="AK318:AK322">
    <cfRule type="cellIs" dxfId="1893" priority="957" operator="lessThan">
      <formula>0</formula>
    </cfRule>
  </conditionalFormatting>
  <conditionalFormatting sqref="AK318:AK322">
    <cfRule type="cellIs" dxfId="1892" priority="958" operator="greaterThanOrEqual">
      <formula>0</formula>
    </cfRule>
  </conditionalFormatting>
  <conditionalFormatting sqref="AE123:AE127">
    <cfRule type="cellIs" dxfId="1891" priority="1805" operator="lessThan">
      <formula>0</formula>
    </cfRule>
  </conditionalFormatting>
  <conditionalFormatting sqref="AE123:AE127">
    <cfRule type="cellIs" dxfId="1890" priority="1806" operator="greaterThanOrEqual">
      <formula>0</formula>
    </cfRule>
  </conditionalFormatting>
  <conditionalFormatting sqref="AH318:AH322">
    <cfRule type="cellIs" dxfId="1889" priority="953" operator="lessThan">
      <formula>0</formula>
    </cfRule>
  </conditionalFormatting>
  <conditionalFormatting sqref="AH318:AH322">
    <cfRule type="cellIs" dxfId="1888" priority="954" operator="greaterThanOrEqual">
      <formula>0</formula>
    </cfRule>
  </conditionalFormatting>
  <conditionalFormatting sqref="AB123:AB127">
    <cfRule type="cellIs" dxfId="1887" priority="1801" operator="lessThan">
      <formula>0</formula>
    </cfRule>
  </conditionalFormatting>
  <conditionalFormatting sqref="AB123:AB127">
    <cfRule type="cellIs" dxfId="1886" priority="1802" operator="greaterThanOrEqual">
      <formula>0</formula>
    </cfRule>
  </conditionalFormatting>
  <conditionalFormatting sqref="AE318:AE322">
    <cfRule type="cellIs" dxfId="1885" priority="937" operator="lessThan">
      <formula>0</formula>
    </cfRule>
  </conditionalFormatting>
  <conditionalFormatting sqref="AE318:AE322">
    <cfRule type="cellIs" dxfId="1884" priority="938" operator="greaterThanOrEqual">
      <formula>0</formula>
    </cfRule>
  </conditionalFormatting>
  <conditionalFormatting sqref="V129:V133">
    <cfRule type="cellIs" dxfId="1883" priority="1787" operator="lessThan">
      <formula>0</formula>
    </cfRule>
  </conditionalFormatting>
  <conditionalFormatting sqref="V129:V133">
    <cfRule type="cellIs" dxfId="1882" priority="1788" operator="greaterThanOrEqual">
      <formula>0</formula>
    </cfRule>
  </conditionalFormatting>
  <conditionalFormatting sqref="Y129:Y133">
    <cfRule type="cellIs" dxfId="1881" priority="1789" operator="lessThan">
      <formula>0</formula>
    </cfRule>
  </conditionalFormatting>
  <conditionalFormatting sqref="Y129:Y133">
    <cfRule type="cellIs" dxfId="1880" priority="1790" operator="greaterThanOrEqual">
      <formula>0</formula>
    </cfRule>
  </conditionalFormatting>
  <conditionalFormatting sqref="AH129:AH133">
    <cfRule type="cellIs" dxfId="1879" priority="1793" operator="lessThan">
      <formula>0</formula>
    </cfRule>
  </conditionalFormatting>
  <conditionalFormatting sqref="AH129:AH133">
    <cfRule type="cellIs" dxfId="1878" priority="1794" operator="greaterThanOrEqual">
      <formula>0</formula>
    </cfRule>
  </conditionalFormatting>
  <conditionalFormatting sqref="Y318:Y322">
    <cfRule type="cellIs" dxfId="1877" priority="949" operator="lessThan">
      <formula>0</formula>
    </cfRule>
  </conditionalFormatting>
  <conditionalFormatting sqref="Y318:Y322">
    <cfRule type="cellIs" dxfId="1876" priority="950" operator="greaterThanOrEqual">
      <formula>0</formula>
    </cfRule>
  </conditionalFormatting>
  <conditionalFormatting sqref="AK129:AK133">
    <cfRule type="cellIs" dxfId="1875" priority="1797" operator="lessThan">
      <formula>0</formula>
    </cfRule>
  </conditionalFormatting>
  <conditionalFormatting sqref="AK129:AK133">
    <cfRule type="cellIs" dxfId="1874" priority="1798" operator="greaterThanOrEqual">
      <formula>0</formula>
    </cfRule>
  </conditionalFormatting>
  <conditionalFormatting sqref="AB318:AB322">
    <cfRule type="cellIs" dxfId="1873" priority="933" operator="lessThan">
      <formula>0</formula>
    </cfRule>
  </conditionalFormatting>
  <conditionalFormatting sqref="AB318:AB322">
    <cfRule type="cellIs" dxfId="1872" priority="934" operator="greaterThanOrEqual">
      <formula>0</formula>
    </cfRule>
  </conditionalFormatting>
  <conditionalFormatting sqref="AN129:AN133">
    <cfRule type="cellIs" dxfId="1871" priority="1781" operator="lessThan">
      <formula>0</formula>
    </cfRule>
  </conditionalFormatting>
  <conditionalFormatting sqref="AN129:AN133">
    <cfRule type="cellIs" dxfId="1870" priority="1782" operator="greaterThanOrEqual">
      <formula>0</formula>
    </cfRule>
  </conditionalFormatting>
  <conditionalFormatting sqref="AK14">
    <cfRule type="cellIs" dxfId="1869" priority="929" operator="lessThan">
      <formula>0</formula>
    </cfRule>
  </conditionalFormatting>
  <conditionalFormatting sqref="AK14">
    <cfRule type="cellIs" dxfId="1868" priority="930" operator="greaterThanOrEqual">
      <formula>0</formula>
    </cfRule>
  </conditionalFormatting>
  <conditionalFormatting sqref="AE129:AE133">
    <cfRule type="cellIs" dxfId="1867" priority="1777" operator="lessThan">
      <formula>0</formula>
    </cfRule>
  </conditionalFormatting>
  <conditionalFormatting sqref="AE129:AE133">
    <cfRule type="cellIs" dxfId="1866" priority="1778" operator="greaterThanOrEqual">
      <formula>0</formula>
    </cfRule>
  </conditionalFormatting>
  <conditionalFormatting sqref="AH14">
    <cfRule type="cellIs" dxfId="1865" priority="925" operator="lessThan">
      <formula>0</formula>
    </cfRule>
  </conditionalFormatting>
  <conditionalFormatting sqref="AH14">
    <cfRule type="cellIs" dxfId="1864" priority="926" operator="greaterThanOrEqual">
      <formula>0</formula>
    </cfRule>
  </conditionalFormatting>
  <conditionalFormatting sqref="AB129:AB133">
    <cfRule type="cellIs" dxfId="1863" priority="1773" operator="lessThan">
      <formula>0</formula>
    </cfRule>
  </conditionalFormatting>
  <conditionalFormatting sqref="AB129:AB133">
    <cfRule type="cellIs" dxfId="1862" priority="1774" operator="greaterThanOrEqual">
      <formula>0</formula>
    </cfRule>
  </conditionalFormatting>
  <conditionalFormatting sqref="AE14">
    <cfRule type="cellIs" dxfId="1861" priority="909" operator="lessThan">
      <formula>0</formula>
    </cfRule>
  </conditionalFormatting>
  <conditionalFormatting sqref="AE14">
    <cfRule type="cellIs" dxfId="1860" priority="910" operator="greaterThanOrEqual">
      <formula>0</formula>
    </cfRule>
  </conditionalFormatting>
  <conditionalFormatting sqref="V135:V139">
    <cfRule type="cellIs" dxfId="1859" priority="1759" operator="lessThan">
      <formula>0</formula>
    </cfRule>
  </conditionalFormatting>
  <conditionalFormatting sqref="V135:V139">
    <cfRule type="cellIs" dxfId="1858" priority="1760" operator="greaterThanOrEqual">
      <formula>0</formula>
    </cfRule>
  </conditionalFormatting>
  <conditionalFormatting sqref="Y135:Y139">
    <cfRule type="cellIs" dxfId="1857" priority="1761" operator="lessThan">
      <formula>0</formula>
    </cfRule>
  </conditionalFormatting>
  <conditionalFormatting sqref="Y135:Y139">
    <cfRule type="cellIs" dxfId="1856" priority="1762" operator="greaterThanOrEqual">
      <formula>0</formula>
    </cfRule>
  </conditionalFormatting>
  <conditionalFormatting sqref="AH135:AH139">
    <cfRule type="cellIs" dxfId="1855" priority="1765" operator="lessThan">
      <formula>0</formula>
    </cfRule>
  </conditionalFormatting>
  <conditionalFormatting sqref="AH135:AH139">
    <cfRule type="cellIs" dxfId="1854" priority="1766" operator="greaterThanOrEqual">
      <formula>0</formula>
    </cfRule>
  </conditionalFormatting>
  <conditionalFormatting sqref="Y14">
    <cfRule type="cellIs" dxfId="1853" priority="921" operator="lessThan">
      <formula>0</formula>
    </cfRule>
  </conditionalFormatting>
  <conditionalFormatting sqref="Y14">
    <cfRule type="cellIs" dxfId="1852" priority="922" operator="greaterThanOrEqual">
      <formula>0</formula>
    </cfRule>
  </conditionalFormatting>
  <conditionalFormatting sqref="AK135:AK139">
    <cfRule type="cellIs" dxfId="1851" priority="1769" operator="lessThan">
      <formula>0</formula>
    </cfRule>
  </conditionalFormatting>
  <conditionalFormatting sqref="AK135:AK139">
    <cfRule type="cellIs" dxfId="1850" priority="1770" operator="greaterThanOrEqual">
      <formula>0</formula>
    </cfRule>
  </conditionalFormatting>
  <conditionalFormatting sqref="AB14">
    <cfRule type="cellIs" dxfId="1849" priority="905" operator="lessThan">
      <formula>0</formula>
    </cfRule>
  </conditionalFormatting>
  <conditionalFormatting sqref="AB14">
    <cfRule type="cellIs" dxfId="1848" priority="906" operator="greaterThanOrEqual">
      <formula>0</formula>
    </cfRule>
  </conditionalFormatting>
  <conditionalFormatting sqref="AN135:AN139">
    <cfRule type="cellIs" dxfId="1847" priority="1753" operator="lessThan">
      <formula>0</formula>
    </cfRule>
  </conditionalFormatting>
  <conditionalFormatting sqref="AN135:AN139">
    <cfRule type="cellIs" dxfId="1846" priority="1754" operator="greaterThanOrEqual">
      <formula>0</formula>
    </cfRule>
  </conditionalFormatting>
  <conditionalFormatting sqref="AK20">
    <cfRule type="cellIs" dxfId="1845" priority="901" operator="lessThan">
      <formula>0</formula>
    </cfRule>
  </conditionalFormatting>
  <conditionalFormatting sqref="AK20">
    <cfRule type="cellIs" dxfId="1844" priority="902" operator="greaterThanOrEqual">
      <formula>0</formula>
    </cfRule>
  </conditionalFormatting>
  <conditionalFormatting sqref="AE135:AE139">
    <cfRule type="cellIs" dxfId="1843" priority="1749" operator="lessThan">
      <formula>0</formula>
    </cfRule>
  </conditionalFormatting>
  <conditionalFormatting sqref="AE135:AE139">
    <cfRule type="cellIs" dxfId="1842" priority="1750" operator="greaterThanOrEqual">
      <formula>0</formula>
    </cfRule>
  </conditionalFormatting>
  <conditionalFormatting sqref="AH20">
    <cfRule type="cellIs" dxfId="1841" priority="897" operator="lessThan">
      <formula>0</formula>
    </cfRule>
  </conditionalFormatting>
  <conditionalFormatting sqref="AH20">
    <cfRule type="cellIs" dxfId="1840" priority="898" operator="greaterThanOrEqual">
      <formula>0</formula>
    </cfRule>
  </conditionalFormatting>
  <conditionalFormatting sqref="AB135:AB139">
    <cfRule type="cellIs" dxfId="1839" priority="1745" operator="lessThan">
      <formula>0</formula>
    </cfRule>
  </conditionalFormatting>
  <conditionalFormatting sqref="AB135:AB139">
    <cfRule type="cellIs" dxfId="1838" priority="1746" operator="greaterThanOrEqual">
      <formula>0</formula>
    </cfRule>
  </conditionalFormatting>
  <conditionalFormatting sqref="AE20">
    <cfRule type="cellIs" dxfId="1837" priority="881" operator="lessThan">
      <formula>0</formula>
    </cfRule>
  </conditionalFormatting>
  <conditionalFormatting sqref="AE20">
    <cfRule type="cellIs" dxfId="1836" priority="882" operator="greaterThanOrEqual">
      <formula>0</formula>
    </cfRule>
  </conditionalFormatting>
  <conditionalFormatting sqref="V141:V145">
    <cfRule type="cellIs" dxfId="1835" priority="1731" operator="lessThan">
      <formula>0</formula>
    </cfRule>
  </conditionalFormatting>
  <conditionalFormatting sqref="V141:V145">
    <cfRule type="cellIs" dxfId="1834" priority="1732" operator="greaterThanOrEqual">
      <formula>0</formula>
    </cfRule>
  </conditionalFormatting>
  <conditionalFormatting sqref="Y141:Y145">
    <cfRule type="cellIs" dxfId="1833" priority="1733" operator="lessThan">
      <formula>0</formula>
    </cfRule>
  </conditionalFormatting>
  <conditionalFormatting sqref="Y141:Y145">
    <cfRule type="cellIs" dxfId="1832" priority="1734" operator="greaterThanOrEqual">
      <formula>0</formula>
    </cfRule>
  </conditionalFormatting>
  <conditionalFormatting sqref="AH141:AH145">
    <cfRule type="cellIs" dxfId="1831" priority="1737" operator="lessThan">
      <formula>0</formula>
    </cfRule>
  </conditionalFormatting>
  <conditionalFormatting sqref="AH141:AH145">
    <cfRule type="cellIs" dxfId="1830" priority="1738" operator="greaterThanOrEqual">
      <formula>0</formula>
    </cfRule>
  </conditionalFormatting>
  <conditionalFormatting sqref="Y20">
    <cfRule type="cellIs" dxfId="1829" priority="893" operator="lessThan">
      <formula>0</formula>
    </cfRule>
  </conditionalFormatting>
  <conditionalFormatting sqref="Y20">
    <cfRule type="cellIs" dxfId="1828" priority="894" operator="greaterThanOrEqual">
      <formula>0</formula>
    </cfRule>
  </conditionalFormatting>
  <conditionalFormatting sqref="AK141:AK145">
    <cfRule type="cellIs" dxfId="1827" priority="1741" operator="lessThan">
      <formula>0</formula>
    </cfRule>
  </conditionalFormatting>
  <conditionalFormatting sqref="AK141:AK145">
    <cfRule type="cellIs" dxfId="1826" priority="1742" operator="greaterThanOrEqual">
      <formula>0</formula>
    </cfRule>
  </conditionalFormatting>
  <conditionalFormatting sqref="AB20">
    <cfRule type="cellIs" dxfId="1825" priority="877" operator="lessThan">
      <formula>0</formula>
    </cfRule>
  </conditionalFormatting>
  <conditionalFormatting sqref="AB20">
    <cfRule type="cellIs" dxfId="1824" priority="878" operator="greaterThanOrEqual">
      <formula>0</formula>
    </cfRule>
  </conditionalFormatting>
  <conditionalFormatting sqref="AN141:AN145">
    <cfRule type="cellIs" dxfId="1823" priority="1725" operator="lessThan">
      <formula>0</formula>
    </cfRule>
  </conditionalFormatting>
  <conditionalFormatting sqref="AN141:AN145">
    <cfRule type="cellIs" dxfId="1822" priority="1726" operator="greaterThanOrEqual">
      <formula>0</formula>
    </cfRule>
  </conditionalFormatting>
  <conditionalFormatting sqref="AK26">
    <cfRule type="cellIs" dxfId="1821" priority="873" operator="lessThan">
      <formula>0</formula>
    </cfRule>
  </conditionalFormatting>
  <conditionalFormatting sqref="AK26">
    <cfRule type="cellIs" dxfId="1820" priority="874" operator="greaterThanOrEqual">
      <formula>0</formula>
    </cfRule>
  </conditionalFormatting>
  <conditionalFormatting sqref="AE141:AE145">
    <cfRule type="cellIs" dxfId="1819" priority="1721" operator="lessThan">
      <formula>0</formula>
    </cfRule>
  </conditionalFormatting>
  <conditionalFormatting sqref="AE141:AE145">
    <cfRule type="cellIs" dxfId="1818" priority="1722" operator="greaterThanOrEqual">
      <formula>0</formula>
    </cfRule>
  </conditionalFormatting>
  <conditionalFormatting sqref="AH26">
    <cfRule type="cellIs" dxfId="1817" priority="869" operator="lessThan">
      <formula>0</formula>
    </cfRule>
  </conditionalFormatting>
  <conditionalFormatting sqref="AH26">
    <cfRule type="cellIs" dxfId="1816" priority="870" operator="greaterThanOrEqual">
      <formula>0</formula>
    </cfRule>
  </conditionalFormatting>
  <conditionalFormatting sqref="AB141:AB145">
    <cfRule type="cellIs" dxfId="1815" priority="1717" operator="lessThan">
      <formula>0</formula>
    </cfRule>
  </conditionalFormatting>
  <conditionalFormatting sqref="AB141:AB145">
    <cfRule type="cellIs" dxfId="1814" priority="1718" operator="greaterThanOrEqual">
      <formula>0</formula>
    </cfRule>
  </conditionalFormatting>
  <conditionalFormatting sqref="AE26">
    <cfRule type="cellIs" dxfId="1813" priority="853" operator="lessThan">
      <formula>0</formula>
    </cfRule>
  </conditionalFormatting>
  <conditionalFormatting sqref="AE26">
    <cfRule type="cellIs" dxfId="1812" priority="854" operator="greaterThanOrEqual">
      <formula>0</formula>
    </cfRule>
  </conditionalFormatting>
  <conditionalFormatting sqref="V147:V151">
    <cfRule type="cellIs" dxfId="1811" priority="1703" operator="lessThan">
      <formula>0</formula>
    </cfRule>
  </conditionalFormatting>
  <conditionalFormatting sqref="V147:V151">
    <cfRule type="cellIs" dxfId="1810" priority="1704" operator="greaterThanOrEqual">
      <formula>0</formula>
    </cfRule>
  </conditionalFormatting>
  <conditionalFormatting sqref="Y147:Y151">
    <cfRule type="cellIs" dxfId="1809" priority="1705" operator="lessThan">
      <formula>0</formula>
    </cfRule>
  </conditionalFormatting>
  <conditionalFormatting sqref="Y147:Y151">
    <cfRule type="cellIs" dxfId="1808" priority="1706" operator="greaterThanOrEqual">
      <formula>0</formula>
    </cfRule>
  </conditionalFormatting>
  <conditionalFormatting sqref="AH147:AH151">
    <cfRule type="cellIs" dxfId="1807" priority="1709" operator="lessThan">
      <formula>0</formula>
    </cfRule>
  </conditionalFormatting>
  <conditionalFormatting sqref="AH147:AH151">
    <cfRule type="cellIs" dxfId="1806" priority="1710" operator="greaterThanOrEqual">
      <formula>0</formula>
    </cfRule>
  </conditionalFormatting>
  <conditionalFormatting sqref="Y26">
    <cfRule type="cellIs" dxfId="1805" priority="865" operator="lessThan">
      <formula>0</formula>
    </cfRule>
  </conditionalFormatting>
  <conditionalFormatting sqref="Y26">
    <cfRule type="cellIs" dxfId="1804" priority="866" operator="greaterThanOrEqual">
      <formula>0</formula>
    </cfRule>
  </conditionalFormatting>
  <conditionalFormatting sqref="AK147:AK151">
    <cfRule type="cellIs" dxfId="1803" priority="1713" operator="lessThan">
      <formula>0</formula>
    </cfRule>
  </conditionalFormatting>
  <conditionalFormatting sqref="AK147:AK151">
    <cfRule type="cellIs" dxfId="1802" priority="1714" operator="greaterThanOrEqual">
      <formula>0</formula>
    </cfRule>
  </conditionalFormatting>
  <conditionalFormatting sqref="AB26">
    <cfRule type="cellIs" dxfId="1801" priority="849" operator="lessThan">
      <formula>0</formula>
    </cfRule>
  </conditionalFormatting>
  <conditionalFormatting sqref="AB26">
    <cfRule type="cellIs" dxfId="1800" priority="850" operator="greaterThanOrEqual">
      <formula>0</formula>
    </cfRule>
  </conditionalFormatting>
  <conditionalFormatting sqref="AN147:AN151">
    <cfRule type="cellIs" dxfId="1799" priority="1697" operator="lessThan">
      <formula>0</formula>
    </cfRule>
  </conditionalFormatting>
  <conditionalFormatting sqref="AN147:AN151">
    <cfRule type="cellIs" dxfId="1798" priority="1698" operator="greaterThanOrEqual">
      <formula>0</formula>
    </cfRule>
  </conditionalFormatting>
  <conditionalFormatting sqref="AE147:AE151">
    <cfRule type="cellIs" dxfId="1797" priority="1693" operator="lessThan">
      <formula>0</formula>
    </cfRule>
  </conditionalFormatting>
  <conditionalFormatting sqref="AE147:AE151">
    <cfRule type="cellIs" dxfId="1796" priority="1694" operator="greaterThanOrEqual">
      <formula>0</formula>
    </cfRule>
  </conditionalFormatting>
  <conditionalFormatting sqref="AK32">
    <cfRule type="cellIs" dxfId="1795" priority="841" operator="lessThan">
      <formula>0</formula>
    </cfRule>
  </conditionalFormatting>
  <conditionalFormatting sqref="AK32">
    <cfRule type="cellIs" dxfId="1794" priority="842" operator="greaterThanOrEqual">
      <formula>0</formula>
    </cfRule>
  </conditionalFormatting>
  <conditionalFormatting sqref="AB147:AB151">
    <cfRule type="cellIs" dxfId="1793" priority="1689" operator="lessThan">
      <formula>0</formula>
    </cfRule>
  </conditionalFormatting>
  <conditionalFormatting sqref="AB147:AB151">
    <cfRule type="cellIs" dxfId="1792" priority="1690" operator="greaterThanOrEqual">
      <formula>0</formula>
    </cfRule>
  </conditionalFormatting>
  <conditionalFormatting sqref="G38 P38 S38">
    <cfRule type="cellIs" dxfId="1791" priority="825" operator="lessThan">
      <formula>0</formula>
    </cfRule>
  </conditionalFormatting>
  <conditionalFormatting sqref="G38 P38 S38">
    <cfRule type="cellIs" dxfId="1790" priority="826" operator="greaterThanOrEqual">
      <formula>0</formula>
    </cfRule>
  </conditionalFormatting>
  <conditionalFormatting sqref="V153:V157">
    <cfRule type="cellIs" dxfId="1789" priority="1675" operator="lessThan">
      <formula>0</formula>
    </cfRule>
  </conditionalFormatting>
  <conditionalFormatting sqref="V153:V157">
    <cfRule type="cellIs" dxfId="1788" priority="1676" operator="greaterThanOrEqual">
      <formula>0</formula>
    </cfRule>
  </conditionalFormatting>
  <conditionalFormatting sqref="Y153:Y157">
    <cfRule type="cellIs" dxfId="1787" priority="1677" operator="lessThan">
      <formula>0</formula>
    </cfRule>
  </conditionalFormatting>
  <conditionalFormatting sqref="Y153:Y157">
    <cfRule type="cellIs" dxfId="1786" priority="1678" operator="greaterThanOrEqual">
      <formula>0</formula>
    </cfRule>
  </conditionalFormatting>
  <conditionalFormatting sqref="AN32">
    <cfRule type="cellIs" dxfId="1785" priority="833" operator="lessThan">
      <formula>0</formula>
    </cfRule>
  </conditionalFormatting>
  <conditionalFormatting sqref="AN32">
    <cfRule type="cellIs" dxfId="1784" priority="834" operator="greaterThanOrEqual">
      <formula>0</formula>
    </cfRule>
  </conditionalFormatting>
  <conditionalFormatting sqref="AH153:AH157">
    <cfRule type="cellIs" dxfId="1783" priority="1681" operator="lessThan">
      <formula>0</formula>
    </cfRule>
  </conditionalFormatting>
  <conditionalFormatting sqref="AH153:AH157">
    <cfRule type="cellIs" dxfId="1782" priority="1682" operator="greaterThanOrEqual">
      <formula>0</formula>
    </cfRule>
  </conditionalFormatting>
  <conditionalFormatting sqref="Y32">
    <cfRule type="cellIs" dxfId="1781" priority="837" operator="lessThan">
      <formula>0</formula>
    </cfRule>
  </conditionalFormatting>
  <conditionalFormatting sqref="Y32">
    <cfRule type="cellIs" dxfId="1780" priority="838" operator="greaterThanOrEqual">
      <formula>0</formula>
    </cfRule>
  </conditionalFormatting>
  <conditionalFormatting sqref="AK153:AK157">
    <cfRule type="cellIs" dxfId="1779" priority="1685" operator="lessThan">
      <formula>0</formula>
    </cfRule>
  </conditionalFormatting>
  <conditionalFormatting sqref="AK153:AK157">
    <cfRule type="cellIs" dxfId="1778" priority="1686" operator="greaterThanOrEqual">
      <formula>0</formula>
    </cfRule>
  </conditionalFormatting>
  <conditionalFormatting sqref="AH38">
    <cfRule type="cellIs" dxfId="1777" priority="821" operator="lessThan">
      <formula>0</formula>
    </cfRule>
  </conditionalFormatting>
  <conditionalFormatting sqref="AH38">
    <cfRule type="cellIs" dxfId="1776" priority="822" operator="greaterThanOrEqual">
      <formula>0</formula>
    </cfRule>
  </conditionalFormatting>
  <conditionalFormatting sqref="AN153:AN157">
    <cfRule type="cellIs" dxfId="1775" priority="1669" operator="lessThan">
      <formula>0</formula>
    </cfRule>
  </conditionalFormatting>
  <conditionalFormatting sqref="AN153:AN157">
    <cfRule type="cellIs" dxfId="1774" priority="1670" operator="greaterThanOrEqual">
      <formula>0</formula>
    </cfRule>
  </conditionalFormatting>
  <conditionalFormatting sqref="V38">
    <cfRule type="cellIs" dxfId="1773" priority="817" operator="lessThan">
      <formula>0</formula>
    </cfRule>
  </conditionalFormatting>
  <conditionalFormatting sqref="V38">
    <cfRule type="cellIs" dxfId="1772" priority="818" operator="greaterThanOrEqual">
      <formula>0</formula>
    </cfRule>
  </conditionalFormatting>
  <conditionalFormatting sqref="AE153:AE157">
    <cfRule type="cellIs" dxfId="1771" priority="1665" operator="lessThan">
      <formula>0</formula>
    </cfRule>
  </conditionalFormatting>
  <conditionalFormatting sqref="AE153:AE157">
    <cfRule type="cellIs" dxfId="1770" priority="1666" operator="greaterThanOrEqual">
      <formula>0</formula>
    </cfRule>
  </conditionalFormatting>
  <conditionalFormatting sqref="AE38">
    <cfRule type="cellIs" dxfId="1769" priority="813" operator="lessThan">
      <formula>0</formula>
    </cfRule>
  </conditionalFormatting>
  <conditionalFormatting sqref="AE38">
    <cfRule type="cellIs" dxfId="1768" priority="814" operator="greaterThanOrEqual">
      <formula>0</formula>
    </cfRule>
  </conditionalFormatting>
  <conditionalFormatting sqref="AB153:AB157">
    <cfRule type="cellIs" dxfId="1767" priority="1661" operator="lessThan">
      <formula>0</formula>
    </cfRule>
  </conditionalFormatting>
  <conditionalFormatting sqref="AB153:AB157">
    <cfRule type="cellIs" dxfId="1766" priority="1662" operator="greaterThanOrEqual">
      <formula>0</formula>
    </cfRule>
  </conditionalFormatting>
  <conditionalFormatting sqref="AN44">
    <cfRule type="cellIs" dxfId="1765" priority="797" operator="lessThan">
      <formula>0</formula>
    </cfRule>
  </conditionalFormatting>
  <conditionalFormatting sqref="AN44">
    <cfRule type="cellIs" dxfId="1764" priority="798" operator="greaterThanOrEqual">
      <formula>0</formula>
    </cfRule>
  </conditionalFormatting>
  <conditionalFormatting sqref="V159:V163">
    <cfRule type="cellIs" dxfId="1763" priority="1647" operator="lessThan">
      <formula>0</formula>
    </cfRule>
  </conditionalFormatting>
  <conditionalFormatting sqref="V159:V163">
    <cfRule type="cellIs" dxfId="1762" priority="1648" operator="greaterThanOrEqual">
      <formula>0</formula>
    </cfRule>
  </conditionalFormatting>
  <conditionalFormatting sqref="Y159:Y163">
    <cfRule type="cellIs" dxfId="1761" priority="1649" operator="lessThan">
      <formula>0</formula>
    </cfRule>
  </conditionalFormatting>
  <conditionalFormatting sqref="Y159:Y163">
    <cfRule type="cellIs" dxfId="1760" priority="1650" operator="greaterThanOrEqual">
      <formula>0</formula>
    </cfRule>
  </conditionalFormatting>
  <conditionalFormatting sqref="AK44">
    <cfRule type="cellIs" dxfId="1759" priority="805" operator="lessThan">
      <formula>0</formula>
    </cfRule>
  </conditionalFormatting>
  <conditionalFormatting sqref="AK44">
    <cfRule type="cellIs" dxfId="1758" priority="806" operator="greaterThanOrEqual">
      <formula>0</formula>
    </cfRule>
  </conditionalFormatting>
  <conditionalFormatting sqref="AH159:AH163">
    <cfRule type="cellIs" dxfId="1757" priority="1653" operator="lessThan">
      <formula>0</formula>
    </cfRule>
  </conditionalFormatting>
  <conditionalFormatting sqref="AH159:AH163">
    <cfRule type="cellIs" dxfId="1756" priority="1654" operator="greaterThanOrEqual">
      <formula>0</formula>
    </cfRule>
  </conditionalFormatting>
  <conditionalFormatting sqref="AK159:AK163">
    <cfRule type="cellIs" dxfId="1755" priority="1657" operator="lessThan">
      <formula>0</formula>
    </cfRule>
  </conditionalFormatting>
  <conditionalFormatting sqref="AK159:AK163">
    <cfRule type="cellIs" dxfId="1754" priority="1658" operator="greaterThanOrEqual">
      <formula>0</formula>
    </cfRule>
  </conditionalFormatting>
  <conditionalFormatting sqref="AB44">
    <cfRule type="cellIs" dxfId="1753" priority="793" operator="lessThan">
      <formula>0</formula>
    </cfRule>
  </conditionalFormatting>
  <conditionalFormatting sqref="AB44">
    <cfRule type="cellIs" dxfId="1752" priority="794" operator="greaterThanOrEqual">
      <formula>0</formula>
    </cfRule>
  </conditionalFormatting>
  <conditionalFormatting sqref="AN159:AN163">
    <cfRule type="cellIs" dxfId="1751" priority="1641" operator="lessThan">
      <formula>0</formula>
    </cfRule>
  </conditionalFormatting>
  <conditionalFormatting sqref="AN159:AN163">
    <cfRule type="cellIs" dxfId="1750" priority="1642" operator="greaterThanOrEqual">
      <formula>0</formula>
    </cfRule>
  </conditionalFormatting>
  <conditionalFormatting sqref="G50 P50 S50">
    <cfRule type="cellIs" dxfId="1749" priority="789" operator="lessThan">
      <formula>0</formula>
    </cfRule>
  </conditionalFormatting>
  <conditionalFormatting sqref="G50 P50 S50">
    <cfRule type="cellIs" dxfId="1748" priority="790" operator="greaterThanOrEqual">
      <formula>0</formula>
    </cfRule>
  </conditionalFormatting>
  <conditionalFormatting sqref="AE159:AE163">
    <cfRule type="cellIs" dxfId="1747" priority="1637" operator="lessThan">
      <formula>0</formula>
    </cfRule>
  </conditionalFormatting>
  <conditionalFormatting sqref="AE159:AE163">
    <cfRule type="cellIs" dxfId="1746" priority="1638" operator="greaterThanOrEqual">
      <formula>0</formula>
    </cfRule>
  </conditionalFormatting>
  <conditionalFormatting sqref="AH50">
    <cfRule type="cellIs" dxfId="1745" priority="785" operator="lessThan">
      <formula>0</formula>
    </cfRule>
  </conditionalFormatting>
  <conditionalFormatting sqref="AH50">
    <cfRule type="cellIs" dxfId="1744" priority="786" operator="greaterThanOrEqual">
      <formula>0</formula>
    </cfRule>
  </conditionalFormatting>
  <conditionalFormatting sqref="AB159:AB163">
    <cfRule type="cellIs" dxfId="1743" priority="1633" operator="lessThan">
      <formula>0</formula>
    </cfRule>
  </conditionalFormatting>
  <conditionalFormatting sqref="AB159:AB163">
    <cfRule type="cellIs" dxfId="1742" priority="1634" operator="greaterThanOrEqual">
      <formula>0</formula>
    </cfRule>
  </conditionalFormatting>
  <conditionalFormatting sqref="AK56">
    <cfRule type="cellIs" dxfId="1741" priority="769" operator="lessThan">
      <formula>0</formula>
    </cfRule>
  </conditionalFormatting>
  <conditionalFormatting sqref="AK56">
    <cfRule type="cellIs" dxfId="1740" priority="770" operator="greaterThanOrEqual">
      <formula>0</formula>
    </cfRule>
  </conditionalFormatting>
  <conditionalFormatting sqref="V165:V169">
    <cfRule type="cellIs" dxfId="1739" priority="1619" operator="lessThan">
      <formula>0</formula>
    </cfRule>
  </conditionalFormatting>
  <conditionalFormatting sqref="V165:V169">
    <cfRule type="cellIs" dxfId="1738" priority="1620" operator="greaterThanOrEqual">
      <formula>0</formula>
    </cfRule>
  </conditionalFormatting>
  <conditionalFormatting sqref="Y165:Y169">
    <cfRule type="cellIs" dxfId="1737" priority="1621" operator="lessThan">
      <formula>0</formula>
    </cfRule>
  </conditionalFormatting>
  <conditionalFormatting sqref="Y165:Y169">
    <cfRule type="cellIs" dxfId="1736" priority="1622" operator="greaterThanOrEqual">
      <formula>0</formula>
    </cfRule>
  </conditionalFormatting>
  <conditionalFormatting sqref="AE50">
    <cfRule type="cellIs" dxfId="1735" priority="777" operator="lessThan">
      <formula>0</formula>
    </cfRule>
  </conditionalFormatting>
  <conditionalFormatting sqref="AE50">
    <cfRule type="cellIs" dxfId="1734" priority="778" operator="greaterThanOrEqual">
      <formula>0</formula>
    </cfRule>
  </conditionalFormatting>
  <conditionalFormatting sqref="AH165:AH169">
    <cfRule type="cellIs" dxfId="1733" priority="1625" operator="lessThan">
      <formula>0</formula>
    </cfRule>
  </conditionalFormatting>
  <conditionalFormatting sqref="AH165:AH169">
    <cfRule type="cellIs" dxfId="1732" priority="1626" operator="greaterThanOrEqual">
      <formula>0</formula>
    </cfRule>
  </conditionalFormatting>
  <conditionalFormatting sqref="V50">
    <cfRule type="cellIs" dxfId="1731" priority="781" operator="lessThan">
      <formula>0</formula>
    </cfRule>
  </conditionalFormatting>
  <conditionalFormatting sqref="V50">
    <cfRule type="cellIs" dxfId="1730" priority="782" operator="greaterThanOrEqual">
      <formula>0</formula>
    </cfRule>
  </conditionalFormatting>
  <conditionalFormatting sqref="AK165:AK169">
    <cfRule type="cellIs" dxfId="1729" priority="1629" operator="lessThan">
      <formula>0</formula>
    </cfRule>
  </conditionalFormatting>
  <conditionalFormatting sqref="AK165:AK169">
    <cfRule type="cellIs" dxfId="1728" priority="1630" operator="greaterThanOrEqual">
      <formula>0</formula>
    </cfRule>
  </conditionalFormatting>
  <conditionalFormatting sqref="Y56">
    <cfRule type="cellIs" dxfId="1727" priority="765" operator="lessThan">
      <formula>0</formula>
    </cfRule>
  </conditionalFormatting>
  <conditionalFormatting sqref="Y56">
    <cfRule type="cellIs" dxfId="1726" priority="766" operator="greaterThanOrEqual">
      <formula>0</formula>
    </cfRule>
  </conditionalFormatting>
  <conditionalFormatting sqref="AN165:AN169">
    <cfRule type="cellIs" dxfId="1725" priority="1613" operator="lessThan">
      <formula>0</formula>
    </cfRule>
  </conditionalFormatting>
  <conditionalFormatting sqref="AN165:AN169">
    <cfRule type="cellIs" dxfId="1724" priority="1614" operator="greaterThanOrEqual">
      <formula>0</formula>
    </cfRule>
  </conditionalFormatting>
  <conditionalFormatting sqref="AN56">
    <cfRule type="cellIs" dxfId="1723" priority="761" operator="lessThan">
      <formula>0</formula>
    </cfRule>
  </conditionalFormatting>
  <conditionalFormatting sqref="AN56">
    <cfRule type="cellIs" dxfId="1722" priority="762" operator="greaterThanOrEqual">
      <formula>0</formula>
    </cfRule>
  </conditionalFormatting>
  <conditionalFormatting sqref="AE165:AE169">
    <cfRule type="cellIs" dxfId="1721" priority="1609" operator="lessThan">
      <formula>0</formula>
    </cfRule>
  </conditionalFormatting>
  <conditionalFormatting sqref="AE165:AE169">
    <cfRule type="cellIs" dxfId="1720" priority="1610" operator="greaterThanOrEqual">
      <formula>0</formula>
    </cfRule>
  </conditionalFormatting>
  <conditionalFormatting sqref="AB56">
    <cfRule type="cellIs" dxfId="1719" priority="757" operator="lessThan">
      <formula>0</formula>
    </cfRule>
  </conditionalFormatting>
  <conditionalFormatting sqref="AB56">
    <cfRule type="cellIs" dxfId="1718" priority="758" operator="greaterThanOrEqual">
      <formula>0</formula>
    </cfRule>
  </conditionalFormatting>
  <conditionalFormatting sqref="AB165:AB169">
    <cfRule type="cellIs" dxfId="1717" priority="1605" operator="lessThan">
      <formula>0</formula>
    </cfRule>
  </conditionalFormatting>
  <conditionalFormatting sqref="AB165:AB169">
    <cfRule type="cellIs" dxfId="1716" priority="1606" operator="greaterThanOrEqual">
      <formula>0</formula>
    </cfRule>
  </conditionalFormatting>
  <conditionalFormatting sqref="AE62">
    <cfRule type="cellIs" dxfId="1715" priority="741" operator="lessThan">
      <formula>0</formula>
    </cfRule>
  </conditionalFormatting>
  <conditionalFormatting sqref="AE62">
    <cfRule type="cellIs" dxfId="1714" priority="742" operator="greaterThanOrEqual">
      <formula>0</formula>
    </cfRule>
  </conditionalFormatting>
  <conditionalFormatting sqref="V171:V175">
    <cfRule type="cellIs" dxfId="1713" priority="1591" operator="lessThan">
      <formula>0</formula>
    </cfRule>
  </conditionalFormatting>
  <conditionalFormatting sqref="V171:V175">
    <cfRule type="cellIs" dxfId="1712" priority="1592" operator="greaterThanOrEqual">
      <formula>0</formula>
    </cfRule>
  </conditionalFormatting>
  <conditionalFormatting sqref="Y171:Y175">
    <cfRule type="cellIs" dxfId="1711" priority="1593" operator="lessThan">
      <formula>0</formula>
    </cfRule>
  </conditionalFormatting>
  <conditionalFormatting sqref="Y171:Y175">
    <cfRule type="cellIs" dxfId="1710" priority="1594" operator="greaterThanOrEqual">
      <formula>0</formula>
    </cfRule>
  </conditionalFormatting>
  <conditionalFormatting sqref="AH62">
    <cfRule type="cellIs" dxfId="1709" priority="749" operator="lessThan">
      <formula>0</formula>
    </cfRule>
  </conditionalFormatting>
  <conditionalFormatting sqref="AH62">
    <cfRule type="cellIs" dxfId="1708" priority="750" operator="greaterThanOrEqual">
      <formula>0</formula>
    </cfRule>
  </conditionalFormatting>
  <conditionalFormatting sqref="AH171:AH175">
    <cfRule type="cellIs" dxfId="1707" priority="1597" operator="lessThan">
      <formula>0</formula>
    </cfRule>
  </conditionalFormatting>
  <conditionalFormatting sqref="AH171:AH175">
    <cfRule type="cellIs" dxfId="1706" priority="1598" operator="greaterThanOrEqual">
      <formula>0</formula>
    </cfRule>
  </conditionalFormatting>
  <conditionalFormatting sqref="G62 P62 S62">
    <cfRule type="cellIs" dxfId="1705" priority="753" operator="lessThan">
      <formula>0</formula>
    </cfRule>
  </conditionalFormatting>
  <conditionalFormatting sqref="G62 P62 S62">
    <cfRule type="cellIs" dxfId="1704" priority="754" operator="greaterThanOrEqual">
      <formula>0</formula>
    </cfRule>
  </conditionalFormatting>
  <conditionalFormatting sqref="AK171:AK175">
    <cfRule type="cellIs" dxfId="1703" priority="1601" operator="lessThan">
      <formula>0</formula>
    </cfRule>
  </conditionalFormatting>
  <conditionalFormatting sqref="AK171:AK175">
    <cfRule type="cellIs" dxfId="1702" priority="1602" operator="greaterThanOrEqual">
      <formula>0</formula>
    </cfRule>
  </conditionalFormatting>
  <conditionalFormatting sqref="AN171:AN175">
    <cfRule type="cellIs" dxfId="1701" priority="1585" operator="lessThan">
      <formula>0</formula>
    </cfRule>
  </conditionalFormatting>
  <conditionalFormatting sqref="AN171:AN175">
    <cfRule type="cellIs" dxfId="1700" priority="1586" operator="greaterThanOrEqual">
      <formula>0</formula>
    </cfRule>
  </conditionalFormatting>
  <conditionalFormatting sqref="AK68">
    <cfRule type="cellIs" dxfId="1699" priority="733" operator="lessThan">
      <formula>0</formula>
    </cfRule>
  </conditionalFormatting>
  <conditionalFormatting sqref="AK68">
    <cfRule type="cellIs" dxfId="1698" priority="734" operator="greaterThanOrEqual">
      <formula>0</formula>
    </cfRule>
  </conditionalFormatting>
  <conditionalFormatting sqref="AE171:AE175">
    <cfRule type="cellIs" dxfId="1697" priority="1581" operator="lessThan">
      <formula>0</formula>
    </cfRule>
  </conditionalFormatting>
  <conditionalFormatting sqref="AE171:AE175">
    <cfRule type="cellIs" dxfId="1696" priority="1582" operator="greaterThanOrEqual">
      <formula>0</formula>
    </cfRule>
  </conditionalFormatting>
  <conditionalFormatting sqref="Y68">
    <cfRule type="cellIs" dxfId="1695" priority="729" operator="lessThan">
      <formula>0</formula>
    </cfRule>
  </conditionalFormatting>
  <conditionalFormatting sqref="Y68">
    <cfRule type="cellIs" dxfId="1694" priority="730" operator="greaterThanOrEqual">
      <formula>0</formula>
    </cfRule>
  </conditionalFormatting>
  <conditionalFormatting sqref="AB171:AB175">
    <cfRule type="cellIs" dxfId="1693" priority="1577" operator="lessThan">
      <formula>0</formula>
    </cfRule>
  </conditionalFormatting>
  <conditionalFormatting sqref="AB171:AB175">
    <cfRule type="cellIs" dxfId="1692" priority="1578" operator="greaterThanOrEqual">
      <formula>0</formula>
    </cfRule>
  </conditionalFormatting>
  <conditionalFormatting sqref="AH74">
    <cfRule type="cellIs" dxfId="1691" priority="713" operator="lessThan">
      <formula>0</formula>
    </cfRule>
  </conditionalFormatting>
  <conditionalFormatting sqref="AH74">
    <cfRule type="cellIs" dxfId="1690" priority="714" operator="greaterThanOrEqual">
      <formula>0</formula>
    </cfRule>
  </conditionalFormatting>
  <conditionalFormatting sqref="V177:V181">
    <cfRule type="cellIs" dxfId="1689" priority="1563" operator="lessThan">
      <formula>0</formula>
    </cfRule>
  </conditionalFormatting>
  <conditionalFormatting sqref="V177:V181">
    <cfRule type="cellIs" dxfId="1688" priority="1564" operator="greaterThanOrEqual">
      <formula>0</formula>
    </cfRule>
  </conditionalFormatting>
  <conditionalFormatting sqref="Y177:Y181">
    <cfRule type="cellIs" dxfId="1687" priority="1565" operator="lessThan">
      <formula>0</formula>
    </cfRule>
  </conditionalFormatting>
  <conditionalFormatting sqref="Y177:Y181">
    <cfRule type="cellIs" dxfId="1686" priority="1566" operator="greaterThanOrEqual">
      <formula>0</formula>
    </cfRule>
  </conditionalFormatting>
  <conditionalFormatting sqref="AB68">
    <cfRule type="cellIs" dxfId="1685" priority="721" operator="lessThan">
      <formula>0</formula>
    </cfRule>
  </conditionalFormatting>
  <conditionalFormatting sqref="AB68">
    <cfRule type="cellIs" dxfId="1684" priority="722" operator="greaterThanOrEqual">
      <formula>0</formula>
    </cfRule>
  </conditionalFormatting>
  <conditionalFormatting sqref="AH177:AH181">
    <cfRule type="cellIs" dxfId="1683" priority="1569" operator="lessThan">
      <formula>0</formula>
    </cfRule>
  </conditionalFormatting>
  <conditionalFormatting sqref="AH177:AH181">
    <cfRule type="cellIs" dxfId="1682" priority="1570" operator="greaterThanOrEqual">
      <formula>0</formula>
    </cfRule>
  </conditionalFormatting>
  <conditionalFormatting sqref="AN68">
    <cfRule type="cellIs" dxfId="1681" priority="725" operator="lessThan">
      <formula>0</formula>
    </cfRule>
  </conditionalFormatting>
  <conditionalFormatting sqref="AN68">
    <cfRule type="cellIs" dxfId="1680" priority="726" operator="greaterThanOrEqual">
      <formula>0</formula>
    </cfRule>
  </conditionalFormatting>
  <conditionalFormatting sqref="AK177:AK181">
    <cfRule type="cellIs" dxfId="1679" priority="1573" operator="lessThan">
      <formula>0</formula>
    </cfRule>
  </conditionalFormatting>
  <conditionalFormatting sqref="AK177:AK181">
    <cfRule type="cellIs" dxfId="1678" priority="1574" operator="greaterThanOrEqual">
      <formula>0</formula>
    </cfRule>
  </conditionalFormatting>
  <conditionalFormatting sqref="V74">
    <cfRule type="cellIs" dxfId="1677" priority="709" operator="lessThan">
      <formula>0</formula>
    </cfRule>
  </conditionalFormatting>
  <conditionalFormatting sqref="V74">
    <cfRule type="cellIs" dxfId="1676" priority="710" operator="greaterThanOrEqual">
      <formula>0</formula>
    </cfRule>
  </conditionalFormatting>
  <conditionalFormatting sqref="AN177:AN181">
    <cfRule type="cellIs" dxfId="1675" priority="1557" operator="lessThan">
      <formula>0</formula>
    </cfRule>
  </conditionalFormatting>
  <conditionalFormatting sqref="AN177:AN181">
    <cfRule type="cellIs" dxfId="1674" priority="1558" operator="greaterThanOrEqual">
      <formula>0</formula>
    </cfRule>
  </conditionalFormatting>
  <conditionalFormatting sqref="AE74">
    <cfRule type="cellIs" dxfId="1673" priority="705" operator="lessThan">
      <formula>0</formula>
    </cfRule>
  </conditionalFormatting>
  <conditionalFormatting sqref="AE74">
    <cfRule type="cellIs" dxfId="1672" priority="706" operator="greaterThanOrEqual">
      <formula>0</formula>
    </cfRule>
  </conditionalFormatting>
  <conditionalFormatting sqref="AE177:AE181">
    <cfRule type="cellIs" dxfId="1671" priority="1553" operator="lessThan">
      <formula>0</formula>
    </cfRule>
  </conditionalFormatting>
  <conditionalFormatting sqref="AE177:AE181">
    <cfRule type="cellIs" dxfId="1670" priority="1554" operator="greaterThanOrEqual">
      <formula>0</formula>
    </cfRule>
  </conditionalFormatting>
  <conditionalFormatting sqref="AB177:AB181">
    <cfRule type="cellIs" dxfId="1669" priority="1549" operator="lessThan">
      <formula>0</formula>
    </cfRule>
  </conditionalFormatting>
  <conditionalFormatting sqref="AB177:AB181">
    <cfRule type="cellIs" dxfId="1668" priority="1550" operator="greaterThanOrEqual">
      <formula>0</formula>
    </cfRule>
  </conditionalFormatting>
  <conditionalFormatting sqref="AB80">
    <cfRule type="cellIs" dxfId="1667" priority="685" operator="lessThan">
      <formula>0</formula>
    </cfRule>
  </conditionalFormatting>
  <conditionalFormatting sqref="AB80">
    <cfRule type="cellIs" dxfId="1666" priority="686" operator="greaterThanOrEqual">
      <formula>0</formula>
    </cfRule>
  </conditionalFormatting>
  <conditionalFormatting sqref="V183:V187">
    <cfRule type="cellIs" dxfId="1665" priority="1535" operator="lessThan">
      <formula>0</formula>
    </cfRule>
  </conditionalFormatting>
  <conditionalFormatting sqref="V183:V187">
    <cfRule type="cellIs" dxfId="1664" priority="1536" operator="greaterThanOrEqual">
      <formula>0</formula>
    </cfRule>
  </conditionalFormatting>
  <conditionalFormatting sqref="Y183:Y187">
    <cfRule type="cellIs" dxfId="1663" priority="1537" operator="lessThan">
      <formula>0</formula>
    </cfRule>
  </conditionalFormatting>
  <conditionalFormatting sqref="Y183:Y187">
    <cfRule type="cellIs" dxfId="1662" priority="1538" operator="greaterThanOrEqual">
      <formula>0</formula>
    </cfRule>
  </conditionalFormatting>
  <conditionalFormatting sqref="Y80">
    <cfRule type="cellIs" dxfId="1661" priority="693" operator="lessThan">
      <formula>0</formula>
    </cfRule>
  </conditionalFormatting>
  <conditionalFormatting sqref="Y80">
    <cfRule type="cellIs" dxfId="1660" priority="694" operator="greaterThanOrEqual">
      <formula>0</formula>
    </cfRule>
  </conditionalFormatting>
  <conditionalFormatting sqref="AH183:AH187">
    <cfRule type="cellIs" dxfId="1659" priority="1541" operator="lessThan">
      <formula>0</formula>
    </cfRule>
  </conditionalFormatting>
  <conditionalFormatting sqref="AH183:AH187">
    <cfRule type="cellIs" dxfId="1658" priority="1542" operator="greaterThanOrEqual">
      <formula>0</formula>
    </cfRule>
  </conditionalFormatting>
  <conditionalFormatting sqref="AK80">
    <cfRule type="cellIs" dxfId="1657" priority="697" operator="lessThan">
      <formula>0</formula>
    </cfRule>
  </conditionalFormatting>
  <conditionalFormatting sqref="AK80">
    <cfRule type="cellIs" dxfId="1656" priority="698" operator="greaterThanOrEqual">
      <formula>0</formula>
    </cfRule>
  </conditionalFormatting>
  <conditionalFormatting sqref="AK183:AK187">
    <cfRule type="cellIs" dxfId="1655" priority="1545" operator="lessThan">
      <formula>0</formula>
    </cfRule>
  </conditionalFormatting>
  <conditionalFormatting sqref="AK183:AK187">
    <cfRule type="cellIs" dxfId="1654" priority="1546" operator="greaterThanOrEqual">
      <formula>0</formula>
    </cfRule>
  </conditionalFormatting>
  <conditionalFormatting sqref="G86 P86 S86">
    <cfRule type="cellIs" dxfId="1653" priority="681" operator="lessThan">
      <formula>0</formula>
    </cfRule>
  </conditionalFormatting>
  <conditionalFormatting sqref="G86 P86 S86">
    <cfRule type="cellIs" dxfId="1652" priority="682" operator="greaterThanOrEqual">
      <formula>0</formula>
    </cfRule>
  </conditionalFormatting>
  <conditionalFormatting sqref="AN183:AN187">
    <cfRule type="cellIs" dxfId="1651" priority="1529" operator="lessThan">
      <formula>0</formula>
    </cfRule>
  </conditionalFormatting>
  <conditionalFormatting sqref="AN183:AN187">
    <cfRule type="cellIs" dxfId="1650" priority="1530" operator="greaterThanOrEqual">
      <formula>0</formula>
    </cfRule>
  </conditionalFormatting>
  <conditionalFormatting sqref="AH86">
    <cfRule type="cellIs" dxfId="1649" priority="677" operator="lessThan">
      <formula>0</formula>
    </cfRule>
  </conditionalFormatting>
  <conditionalFormatting sqref="AH86">
    <cfRule type="cellIs" dxfId="1648" priority="678" operator="greaterThanOrEqual">
      <formula>0</formula>
    </cfRule>
  </conditionalFormatting>
  <conditionalFormatting sqref="AE183:AE187">
    <cfRule type="cellIs" dxfId="1647" priority="1525" operator="lessThan">
      <formula>0</formula>
    </cfRule>
  </conditionalFormatting>
  <conditionalFormatting sqref="AE183:AE187">
    <cfRule type="cellIs" dxfId="1646" priority="1526" operator="greaterThanOrEqual">
      <formula>0</formula>
    </cfRule>
  </conditionalFormatting>
  <conditionalFormatting sqref="V86">
    <cfRule type="cellIs" dxfId="1645" priority="673" operator="lessThan">
      <formula>0</formula>
    </cfRule>
  </conditionalFormatting>
  <conditionalFormatting sqref="V86">
    <cfRule type="cellIs" dxfId="1644" priority="674" operator="greaterThanOrEqual">
      <formula>0</formula>
    </cfRule>
  </conditionalFormatting>
  <conditionalFormatting sqref="AB183:AB187">
    <cfRule type="cellIs" dxfId="1643" priority="1521" operator="lessThan">
      <formula>0</formula>
    </cfRule>
  </conditionalFormatting>
  <conditionalFormatting sqref="AB183:AB187">
    <cfRule type="cellIs" dxfId="1642" priority="1522" operator="greaterThanOrEqual">
      <formula>0</formula>
    </cfRule>
  </conditionalFormatting>
  <conditionalFormatting sqref="Y92">
    <cfRule type="cellIs" dxfId="1641" priority="657" operator="lessThan">
      <formula>0</formula>
    </cfRule>
  </conditionalFormatting>
  <conditionalFormatting sqref="Y92">
    <cfRule type="cellIs" dxfId="1640" priority="658" operator="greaterThanOrEqual">
      <formula>0</formula>
    </cfRule>
  </conditionalFormatting>
  <conditionalFormatting sqref="V189:V193">
    <cfRule type="cellIs" dxfId="1639" priority="1507" operator="lessThan">
      <formula>0</formula>
    </cfRule>
  </conditionalFormatting>
  <conditionalFormatting sqref="V189:V193">
    <cfRule type="cellIs" dxfId="1638" priority="1508" operator="greaterThanOrEqual">
      <formula>0</formula>
    </cfRule>
  </conditionalFormatting>
  <conditionalFormatting sqref="AH189:AH193">
    <cfRule type="cellIs" dxfId="1637" priority="1513" operator="lessThan">
      <formula>0</formula>
    </cfRule>
  </conditionalFormatting>
  <conditionalFormatting sqref="AH189:AH193">
    <cfRule type="cellIs" dxfId="1636" priority="1514" operator="greaterThanOrEqual">
      <formula>0</formula>
    </cfRule>
  </conditionalFormatting>
  <conditionalFormatting sqref="AE86">
    <cfRule type="cellIs" dxfId="1635" priority="669" operator="lessThan">
      <formula>0</formula>
    </cfRule>
  </conditionalFormatting>
  <conditionalFormatting sqref="AE86">
    <cfRule type="cellIs" dxfId="1634" priority="670" operator="greaterThanOrEqual">
      <formula>0</formula>
    </cfRule>
  </conditionalFormatting>
  <conditionalFormatting sqref="AK189:AK193">
    <cfRule type="cellIs" dxfId="1633" priority="1517" operator="lessThan">
      <formula>0</formula>
    </cfRule>
  </conditionalFormatting>
  <conditionalFormatting sqref="AK189:AK193">
    <cfRule type="cellIs" dxfId="1632" priority="1518" operator="greaterThanOrEqual">
      <formula>0</formula>
    </cfRule>
  </conditionalFormatting>
  <conditionalFormatting sqref="AN92">
    <cfRule type="cellIs" dxfId="1631" priority="653" operator="lessThan">
      <formula>0</formula>
    </cfRule>
  </conditionalFormatting>
  <conditionalFormatting sqref="AN92">
    <cfRule type="cellIs" dxfId="1630" priority="654" operator="greaterThanOrEqual">
      <formula>0</formula>
    </cfRule>
  </conditionalFormatting>
  <conditionalFormatting sqref="AN189:AN193">
    <cfRule type="cellIs" dxfId="1629" priority="1501" operator="lessThan">
      <formula>0</formula>
    </cfRule>
  </conditionalFormatting>
  <conditionalFormatting sqref="AN189:AN193">
    <cfRule type="cellIs" dxfId="1628" priority="1502" operator="greaterThanOrEqual">
      <formula>0</formula>
    </cfRule>
  </conditionalFormatting>
  <conditionalFormatting sqref="AB92">
    <cfRule type="cellIs" dxfId="1627" priority="649" operator="lessThan">
      <formula>0</formula>
    </cfRule>
  </conditionalFormatting>
  <conditionalFormatting sqref="AB92">
    <cfRule type="cellIs" dxfId="1626" priority="650" operator="greaterThanOrEqual">
      <formula>0</formula>
    </cfRule>
  </conditionalFormatting>
  <conditionalFormatting sqref="G98 P98 S98">
    <cfRule type="cellIs" dxfId="1625" priority="645" operator="lessThan">
      <formula>0</formula>
    </cfRule>
  </conditionalFormatting>
  <conditionalFormatting sqref="G98 P98 S98">
    <cfRule type="cellIs" dxfId="1624" priority="646" operator="greaterThanOrEqual">
      <formula>0</formula>
    </cfRule>
  </conditionalFormatting>
  <conditionalFormatting sqref="V195:V199">
    <cfRule type="cellIs" dxfId="1623" priority="1479" operator="lessThan">
      <formula>0</formula>
    </cfRule>
  </conditionalFormatting>
  <conditionalFormatting sqref="V195:V199">
    <cfRule type="cellIs" dxfId="1622" priority="1480" operator="greaterThanOrEqual">
      <formula>0</formula>
    </cfRule>
  </conditionalFormatting>
  <conditionalFormatting sqref="V98">
    <cfRule type="cellIs" dxfId="1621" priority="637" operator="lessThan">
      <formula>0</formula>
    </cfRule>
  </conditionalFormatting>
  <conditionalFormatting sqref="V98">
    <cfRule type="cellIs" dxfId="1620" priority="638" operator="greaterThanOrEqual">
      <formula>0</formula>
    </cfRule>
  </conditionalFormatting>
  <conditionalFormatting sqref="AH98">
    <cfRule type="cellIs" dxfId="1619" priority="641" operator="lessThan">
      <formula>0</formula>
    </cfRule>
  </conditionalFormatting>
  <conditionalFormatting sqref="AH98">
    <cfRule type="cellIs" dxfId="1618" priority="642" operator="greaterThanOrEqual">
      <formula>0</formula>
    </cfRule>
  </conditionalFormatting>
  <conditionalFormatting sqref="AK104">
    <cfRule type="cellIs" dxfId="1617" priority="625" operator="lessThan">
      <formula>0</formula>
    </cfRule>
  </conditionalFormatting>
  <conditionalFormatting sqref="AK104">
    <cfRule type="cellIs" dxfId="1616" priority="626" operator="greaterThanOrEqual">
      <formula>0</formula>
    </cfRule>
  </conditionalFormatting>
  <conditionalFormatting sqref="AN195:AN199">
    <cfRule type="cellIs" dxfId="1615" priority="1473" operator="lessThan">
      <formula>0</formula>
    </cfRule>
  </conditionalFormatting>
  <conditionalFormatting sqref="AN195:AN199">
    <cfRule type="cellIs" dxfId="1614" priority="1474" operator="greaterThanOrEqual">
      <formula>0</formula>
    </cfRule>
  </conditionalFormatting>
  <conditionalFormatting sqref="Y104">
    <cfRule type="cellIs" dxfId="1613" priority="621" operator="lessThan">
      <formula>0</formula>
    </cfRule>
  </conditionalFormatting>
  <conditionalFormatting sqref="Y104">
    <cfRule type="cellIs" dxfId="1612" priority="622" operator="greaterThanOrEqual">
      <formula>0</formula>
    </cfRule>
  </conditionalFormatting>
  <conditionalFormatting sqref="AN104">
    <cfRule type="cellIs" dxfId="1611" priority="617" operator="lessThan">
      <formula>0</formula>
    </cfRule>
  </conditionalFormatting>
  <conditionalFormatting sqref="AN104">
    <cfRule type="cellIs" dxfId="1610" priority="618" operator="greaterThanOrEqual">
      <formula>0</formula>
    </cfRule>
  </conditionalFormatting>
  <conditionalFormatting sqref="V110">
    <cfRule type="cellIs" dxfId="1609" priority="601" operator="lessThan">
      <formula>0</formula>
    </cfRule>
  </conditionalFormatting>
  <conditionalFormatting sqref="V110">
    <cfRule type="cellIs" dxfId="1608" priority="602" operator="greaterThanOrEqual">
      <formula>0</formula>
    </cfRule>
  </conditionalFormatting>
  <conditionalFormatting sqref="V201:V205">
    <cfRule type="cellIs" dxfId="1607" priority="1451" operator="lessThan">
      <formula>0</formula>
    </cfRule>
  </conditionalFormatting>
  <conditionalFormatting sqref="V201:V205">
    <cfRule type="cellIs" dxfId="1606" priority="1452" operator="greaterThanOrEqual">
      <formula>0</formula>
    </cfRule>
  </conditionalFormatting>
  <conditionalFormatting sqref="G110 P110 S110">
    <cfRule type="cellIs" dxfId="1605" priority="609" operator="lessThan">
      <formula>0</formula>
    </cfRule>
  </conditionalFormatting>
  <conditionalFormatting sqref="G110 P110 S110">
    <cfRule type="cellIs" dxfId="1604" priority="610" operator="greaterThanOrEqual">
      <formula>0</formula>
    </cfRule>
  </conditionalFormatting>
  <conditionalFormatting sqref="AB104">
    <cfRule type="cellIs" dxfId="1603" priority="613" operator="lessThan">
      <formula>0</formula>
    </cfRule>
  </conditionalFormatting>
  <conditionalFormatting sqref="AB104">
    <cfRule type="cellIs" dxfId="1602" priority="614" operator="greaterThanOrEqual">
      <formula>0</formula>
    </cfRule>
  </conditionalFormatting>
  <conditionalFormatting sqref="AE110">
    <cfRule type="cellIs" dxfId="1601" priority="597" operator="lessThan">
      <formula>0</formula>
    </cfRule>
  </conditionalFormatting>
  <conditionalFormatting sqref="AE110">
    <cfRule type="cellIs" dxfId="1600" priority="598" operator="greaterThanOrEqual">
      <formula>0</formula>
    </cfRule>
  </conditionalFormatting>
  <conditionalFormatting sqref="AN201:AN205">
    <cfRule type="cellIs" dxfId="1599" priority="1445" operator="lessThan">
      <formula>0</formula>
    </cfRule>
  </conditionalFormatting>
  <conditionalFormatting sqref="AN201:AN205">
    <cfRule type="cellIs" dxfId="1598" priority="1446" operator="greaterThanOrEqual">
      <formula>0</formula>
    </cfRule>
  </conditionalFormatting>
  <conditionalFormatting sqref="AK116">
    <cfRule type="cellIs" dxfId="1597" priority="589" operator="lessThan">
      <formula>0</formula>
    </cfRule>
  </conditionalFormatting>
  <conditionalFormatting sqref="AK116">
    <cfRule type="cellIs" dxfId="1596" priority="590" operator="greaterThanOrEqual">
      <formula>0</formula>
    </cfRule>
  </conditionalFormatting>
  <conditionalFormatting sqref="G122 P122 S122">
    <cfRule type="cellIs" dxfId="1595" priority="573" operator="lessThan">
      <formula>0</formula>
    </cfRule>
  </conditionalFormatting>
  <conditionalFormatting sqref="G122 P122 S122">
    <cfRule type="cellIs" dxfId="1594" priority="574" operator="greaterThanOrEqual">
      <formula>0</formula>
    </cfRule>
  </conditionalFormatting>
  <conditionalFormatting sqref="V207:V211">
    <cfRule type="cellIs" dxfId="1593" priority="1423" operator="lessThan">
      <formula>0</formula>
    </cfRule>
  </conditionalFormatting>
  <conditionalFormatting sqref="V207:V211">
    <cfRule type="cellIs" dxfId="1592" priority="1424" operator="greaterThanOrEqual">
      <formula>0</formula>
    </cfRule>
  </conditionalFormatting>
  <conditionalFormatting sqref="AN116">
    <cfRule type="cellIs" dxfId="1591" priority="581" operator="lessThan">
      <formula>0</formula>
    </cfRule>
  </conditionalFormatting>
  <conditionalFormatting sqref="AN116">
    <cfRule type="cellIs" dxfId="1590" priority="582" operator="greaterThanOrEqual">
      <formula>0</formula>
    </cfRule>
  </conditionalFormatting>
  <conditionalFormatting sqref="Y116">
    <cfRule type="cellIs" dxfId="1589" priority="585" operator="lessThan">
      <formula>0</formula>
    </cfRule>
  </conditionalFormatting>
  <conditionalFormatting sqref="Y116">
    <cfRule type="cellIs" dxfId="1588" priority="586" operator="greaterThanOrEqual">
      <formula>0</formula>
    </cfRule>
  </conditionalFormatting>
  <conditionalFormatting sqref="AH122">
    <cfRule type="cellIs" dxfId="1587" priority="569" operator="lessThan">
      <formula>0</formula>
    </cfRule>
  </conditionalFormatting>
  <conditionalFormatting sqref="AH122">
    <cfRule type="cellIs" dxfId="1586" priority="570" operator="greaterThanOrEqual">
      <formula>0</formula>
    </cfRule>
  </conditionalFormatting>
  <conditionalFormatting sqref="AN207:AN211">
    <cfRule type="cellIs" dxfId="1585" priority="1417" operator="lessThan">
      <formula>0</formula>
    </cfRule>
  </conditionalFormatting>
  <conditionalFormatting sqref="AN207:AN211">
    <cfRule type="cellIs" dxfId="1584" priority="1418" operator="greaterThanOrEqual">
      <formula>0</formula>
    </cfRule>
  </conditionalFormatting>
  <conditionalFormatting sqref="V122">
    <cfRule type="cellIs" dxfId="1583" priority="565" operator="lessThan">
      <formula>0</formula>
    </cfRule>
  </conditionalFormatting>
  <conditionalFormatting sqref="V122">
    <cfRule type="cellIs" dxfId="1582" priority="566" operator="greaterThanOrEqual">
      <formula>0</formula>
    </cfRule>
  </conditionalFormatting>
  <conditionalFormatting sqref="AE122">
    <cfRule type="cellIs" dxfId="1581" priority="561" operator="lessThan">
      <formula>0</formula>
    </cfRule>
  </conditionalFormatting>
  <conditionalFormatting sqref="AE122">
    <cfRule type="cellIs" dxfId="1580" priority="562" operator="greaterThanOrEqual">
      <formula>0</formula>
    </cfRule>
  </conditionalFormatting>
  <conditionalFormatting sqref="AN128">
    <cfRule type="cellIs" dxfId="1579" priority="545" operator="lessThan">
      <formula>0</formula>
    </cfRule>
  </conditionalFormatting>
  <conditionalFormatting sqref="AN128">
    <cfRule type="cellIs" dxfId="1578" priority="546" operator="greaterThanOrEqual">
      <formula>0</formula>
    </cfRule>
  </conditionalFormatting>
  <conditionalFormatting sqref="V213:V217">
    <cfRule type="cellIs" dxfId="1577" priority="1395" operator="lessThan">
      <formula>0</formula>
    </cfRule>
  </conditionalFormatting>
  <conditionalFormatting sqref="V213:V217">
    <cfRule type="cellIs" dxfId="1576" priority="1396" operator="greaterThanOrEqual">
      <formula>0</formula>
    </cfRule>
  </conditionalFormatting>
  <conditionalFormatting sqref="AK128">
    <cfRule type="cellIs" dxfId="1575" priority="553" operator="lessThan">
      <formula>0</formula>
    </cfRule>
  </conditionalFormatting>
  <conditionalFormatting sqref="AK128">
    <cfRule type="cellIs" dxfId="1574" priority="554" operator="greaterThanOrEqual">
      <formula>0</formula>
    </cfRule>
  </conditionalFormatting>
  <conditionalFormatting sqref="AB128">
    <cfRule type="cellIs" dxfId="1573" priority="541" operator="lessThan">
      <formula>0</formula>
    </cfRule>
  </conditionalFormatting>
  <conditionalFormatting sqref="AB128">
    <cfRule type="cellIs" dxfId="1572" priority="542" operator="greaterThanOrEqual">
      <formula>0</formula>
    </cfRule>
  </conditionalFormatting>
  <conditionalFormatting sqref="AN213:AN217">
    <cfRule type="cellIs" dxfId="1571" priority="1389" operator="lessThan">
      <formula>0</formula>
    </cfRule>
  </conditionalFormatting>
  <conditionalFormatting sqref="AN213:AN217">
    <cfRule type="cellIs" dxfId="1570" priority="1390" operator="greaterThanOrEqual">
      <formula>0</formula>
    </cfRule>
  </conditionalFormatting>
  <conditionalFormatting sqref="G134 P134 S134">
    <cfRule type="cellIs" dxfId="1569" priority="537" operator="lessThan">
      <formula>0</formula>
    </cfRule>
  </conditionalFormatting>
  <conditionalFormatting sqref="G134 P134 S134">
    <cfRule type="cellIs" dxfId="1568" priority="538" operator="greaterThanOrEqual">
      <formula>0</formula>
    </cfRule>
  </conditionalFormatting>
  <conditionalFormatting sqref="AH134">
    <cfRule type="cellIs" dxfId="1567" priority="533" operator="lessThan">
      <formula>0</formula>
    </cfRule>
  </conditionalFormatting>
  <conditionalFormatting sqref="AH134">
    <cfRule type="cellIs" dxfId="1566" priority="534" operator="greaterThanOrEqual">
      <formula>0</formula>
    </cfRule>
  </conditionalFormatting>
  <conditionalFormatting sqref="AK140">
    <cfRule type="cellIs" dxfId="1565" priority="517" operator="lessThan">
      <formula>0</formula>
    </cfRule>
  </conditionalFormatting>
  <conditionalFormatting sqref="AK140">
    <cfRule type="cellIs" dxfId="1564" priority="518" operator="greaterThanOrEqual">
      <formula>0</formula>
    </cfRule>
  </conditionalFormatting>
  <conditionalFormatting sqref="V219:V223">
    <cfRule type="cellIs" dxfId="1563" priority="1367" operator="lessThan">
      <formula>0</formula>
    </cfRule>
  </conditionalFormatting>
  <conditionalFormatting sqref="V219:V223">
    <cfRule type="cellIs" dxfId="1562" priority="1368" operator="greaterThanOrEqual">
      <formula>0</formula>
    </cfRule>
  </conditionalFormatting>
  <conditionalFormatting sqref="AE134">
    <cfRule type="cellIs" dxfId="1561" priority="525" operator="lessThan">
      <formula>0</formula>
    </cfRule>
  </conditionalFormatting>
  <conditionalFormatting sqref="AE134">
    <cfRule type="cellIs" dxfId="1560" priority="526" operator="greaterThanOrEqual">
      <formula>0</formula>
    </cfRule>
  </conditionalFormatting>
  <conditionalFormatting sqref="V134">
    <cfRule type="cellIs" dxfId="1559" priority="529" operator="lessThan">
      <formula>0</formula>
    </cfRule>
  </conditionalFormatting>
  <conditionalFormatting sqref="V134">
    <cfRule type="cellIs" dxfId="1558" priority="530" operator="greaterThanOrEqual">
      <formula>0</formula>
    </cfRule>
  </conditionalFormatting>
  <conditionalFormatting sqref="Y140">
    <cfRule type="cellIs" dxfId="1557" priority="513" operator="lessThan">
      <formula>0</formula>
    </cfRule>
  </conditionalFormatting>
  <conditionalFormatting sqref="Y140">
    <cfRule type="cellIs" dxfId="1556" priority="514" operator="greaterThanOrEqual">
      <formula>0</formula>
    </cfRule>
  </conditionalFormatting>
  <conditionalFormatting sqref="AN219:AN223">
    <cfRule type="cellIs" dxfId="1555" priority="1361" operator="lessThan">
      <formula>0</formula>
    </cfRule>
  </conditionalFormatting>
  <conditionalFormatting sqref="AN219:AN223">
    <cfRule type="cellIs" dxfId="1554" priority="1362" operator="greaterThanOrEqual">
      <formula>0</formula>
    </cfRule>
  </conditionalFormatting>
  <conditionalFormatting sqref="AN140">
    <cfRule type="cellIs" dxfId="1553" priority="509" operator="lessThan">
      <formula>0</formula>
    </cfRule>
  </conditionalFormatting>
  <conditionalFormatting sqref="AN140">
    <cfRule type="cellIs" dxfId="1552" priority="510" operator="greaterThanOrEqual">
      <formula>0</formula>
    </cfRule>
  </conditionalFormatting>
  <conditionalFormatting sqref="AB140">
    <cfRule type="cellIs" dxfId="1551" priority="505" operator="lessThan">
      <formula>0</formula>
    </cfRule>
  </conditionalFormatting>
  <conditionalFormatting sqref="AB140">
    <cfRule type="cellIs" dxfId="1550" priority="506" operator="greaterThanOrEqual">
      <formula>0</formula>
    </cfRule>
  </conditionalFormatting>
  <conditionalFormatting sqref="AE146">
    <cfRule type="cellIs" dxfId="1549" priority="489" operator="lessThan">
      <formula>0</formula>
    </cfRule>
  </conditionalFormatting>
  <conditionalFormatting sqref="AE146">
    <cfRule type="cellIs" dxfId="1548" priority="490" operator="greaterThanOrEqual">
      <formula>0</formula>
    </cfRule>
  </conditionalFormatting>
  <conditionalFormatting sqref="V225:V229">
    <cfRule type="cellIs" dxfId="1547" priority="1339" operator="lessThan">
      <formula>0</formula>
    </cfRule>
  </conditionalFormatting>
  <conditionalFormatting sqref="V225:V229">
    <cfRule type="cellIs" dxfId="1546" priority="1340" operator="greaterThanOrEqual">
      <formula>0</formula>
    </cfRule>
  </conditionalFormatting>
  <conditionalFormatting sqref="AH146">
    <cfRule type="cellIs" dxfId="1545" priority="497" operator="lessThan">
      <formula>0</formula>
    </cfRule>
  </conditionalFormatting>
  <conditionalFormatting sqref="AH146">
    <cfRule type="cellIs" dxfId="1544" priority="498" operator="greaterThanOrEqual">
      <formula>0</formula>
    </cfRule>
  </conditionalFormatting>
  <conditionalFormatting sqref="G146 P146 S146">
    <cfRule type="cellIs" dxfId="1543" priority="501" operator="lessThan">
      <formula>0</formula>
    </cfRule>
  </conditionalFormatting>
  <conditionalFormatting sqref="G146 P146 S146">
    <cfRule type="cellIs" dxfId="1542" priority="502" operator="greaterThanOrEqual">
      <formula>0</formula>
    </cfRule>
  </conditionalFormatting>
  <conditionalFormatting sqref="AN225:AN229">
    <cfRule type="cellIs" dxfId="1541" priority="1333" operator="lessThan">
      <formula>0</formula>
    </cfRule>
  </conditionalFormatting>
  <conditionalFormatting sqref="AN225:AN229">
    <cfRule type="cellIs" dxfId="1540" priority="1334" operator="greaterThanOrEqual">
      <formula>0</formula>
    </cfRule>
  </conditionalFormatting>
  <conditionalFormatting sqref="AK152">
    <cfRule type="cellIs" dxfId="1539" priority="481" operator="lessThan">
      <formula>0</formula>
    </cfRule>
  </conditionalFormatting>
  <conditionalFormatting sqref="AK152">
    <cfRule type="cellIs" dxfId="1538" priority="482" operator="greaterThanOrEqual">
      <formula>0</formula>
    </cfRule>
  </conditionalFormatting>
  <conditionalFormatting sqref="Y152">
    <cfRule type="cellIs" dxfId="1537" priority="477" operator="lessThan">
      <formula>0</formula>
    </cfRule>
  </conditionalFormatting>
  <conditionalFormatting sqref="Y152">
    <cfRule type="cellIs" dxfId="1536" priority="478" operator="greaterThanOrEqual">
      <formula>0</formula>
    </cfRule>
  </conditionalFormatting>
  <conditionalFormatting sqref="AH158">
    <cfRule type="cellIs" dxfId="1535" priority="461" operator="lessThan">
      <formula>0</formula>
    </cfRule>
  </conditionalFormatting>
  <conditionalFormatting sqref="AH158">
    <cfRule type="cellIs" dxfId="1534" priority="462" operator="greaterThanOrEqual">
      <formula>0</formula>
    </cfRule>
  </conditionalFormatting>
  <conditionalFormatting sqref="V231:V235">
    <cfRule type="cellIs" dxfId="1533" priority="1311" operator="lessThan">
      <formula>0</formula>
    </cfRule>
  </conditionalFormatting>
  <conditionalFormatting sqref="V231:V235">
    <cfRule type="cellIs" dxfId="1532" priority="1312" operator="greaterThanOrEqual">
      <formula>0</formula>
    </cfRule>
  </conditionalFormatting>
  <conditionalFormatting sqref="AB152">
    <cfRule type="cellIs" dxfId="1531" priority="469" operator="lessThan">
      <formula>0</formula>
    </cfRule>
  </conditionalFormatting>
  <conditionalFormatting sqref="AB152">
    <cfRule type="cellIs" dxfId="1530" priority="470" operator="greaterThanOrEqual">
      <formula>0</formula>
    </cfRule>
  </conditionalFormatting>
  <conditionalFormatting sqref="AN152">
    <cfRule type="cellIs" dxfId="1529" priority="473" operator="lessThan">
      <formula>0</formula>
    </cfRule>
  </conditionalFormatting>
  <conditionalFormatting sqref="AN152">
    <cfRule type="cellIs" dxfId="1528" priority="474" operator="greaterThanOrEqual">
      <formula>0</formula>
    </cfRule>
  </conditionalFormatting>
  <conditionalFormatting sqref="V158">
    <cfRule type="cellIs" dxfId="1527" priority="457" operator="lessThan">
      <formula>0</formula>
    </cfRule>
  </conditionalFormatting>
  <conditionalFormatting sqref="V158">
    <cfRule type="cellIs" dxfId="1526" priority="458" operator="greaterThanOrEqual">
      <formula>0</formula>
    </cfRule>
  </conditionalFormatting>
  <conditionalFormatting sqref="AN231:AN235">
    <cfRule type="cellIs" dxfId="1525" priority="1305" operator="lessThan">
      <formula>0</formula>
    </cfRule>
  </conditionalFormatting>
  <conditionalFormatting sqref="AN231:AN235">
    <cfRule type="cellIs" dxfId="1524" priority="1306" operator="greaterThanOrEqual">
      <formula>0</formula>
    </cfRule>
  </conditionalFormatting>
  <conditionalFormatting sqref="AE158">
    <cfRule type="cellIs" dxfId="1523" priority="453" operator="lessThan">
      <formula>0</formula>
    </cfRule>
  </conditionalFormatting>
  <conditionalFormatting sqref="AE158">
    <cfRule type="cellIs" dxfId="1522" priority="454" operator="greaterThanOrEqual">
      <formula>0</formula>
    </cfRule>
  </conditionalFormatting>
  <conditionalFormatting sqref="AB164">
    <cfRule type="cellIs" dxfId="1521" priority="433" operator="lessThan">
      <formula>0</formula>
    </cfRule>
  </conditionalFormatting>
  <conditionalFormatting sqref="AB164">
    <cfRule type="cellIs" dxfId="1520" priority="434" operator="greaterThanOrEqual">
      <formula>0</formula>
    </cfRule>
  </conditionalFormatting>
  <conditionalFormatting sqref="V237:V241">
    <cfRule type="cellIs" dxfId="1519" priority="1283" operator="lessThan">
      <formula>0</formula>
    </cfRule>
  </conditionalFormatting>
  <conditionalFormatting sqref="V237:V241">
    <cfRule type="cellIs" dxfId="1518" priority="1284" operator="greaterThanOrEqual">
      <formula>0</formula>
    </cfRule>
  </conditionalFormatting>
  <conditionalFormatting sqref="Y164">
    <cfRule type="cellIs" dxfId="1517" priority="441" operator="lessThan">
      <formula>0</formula>
    </cfRule>
  </conditionalFormatting>
  <conditionalFormatting sqref="Y164">
    <cfRule type="cellIs" dxfId="1516" priority="442" operator="greaterThanOrEqual">
      <formula>0</formula>
    </cfRule>
  </conditionalFormatting>
  <conditionalFormatting sqref="AK164">
    <cfRule type="cellIs" dxfId="1515" priority="445" operator="lessThan">
      <formula>0</formula>
    </cfRule>
  </conditionalFormatting>
  <conditionalFormatting sqref="AK164">
    <cfRule type="cellIs" dxfId="1514" priority="446" operator="greaterThanOrEqual">
      <formula>0</formula>
    </cfRule>
  </conditionalFormatting>
  <conditionalFormatting sqref="G170 P170 S170">
    <cfRule type="cellIs" dxfId="1513" priority="429" operator="lessThan">
      <formula>0</formula>
    </cfRule>
  </conditionalFormatting>
  <conditionalFormatting sqref="G170 P170 S170">
    <cfRule type="cellIs" dxfId="1512" priority="430" operator="greaterThanOrEqual">
      <formula>0</formula>
    </cfRule>
  </conditionalFormatting>
  <conditionalFormatting sqref="AN237:AN241">
    <cfRule type="cellIs" dxfId="1511" priority="1277" operator="lessThan">
      <formula>0</formula>
    </cfRule>
  </conditionalFormatting>
  <conditionalFormatting sqref="AN237:AN241">
    <cfRule type="cellIs" dxfId="1510" priority="1278" operator="greaterThanOrEqual">
      <formula>0</formula>
    </cfRule>
  </conditionalFormatting>
  <conditionalFormatting sqref="AH170">
    <cfRule type="cellIs" dxfId="1509" priority="425" operator="lessThan">
      <formula>0</formula>
    </cfRule>
  </conditionalFormatting>
  <conditionalFormatting sqref="AH170">
    <cfRule type="cellIs" dxfId="1508" priority="426" operator="greaterThanOrEqual">
      <formula>0</formula>
    </cfRule>
  </conditionalFormatting>
  <conditionalFormatting sqref="V170">
    <cfRule type="cellIs" dxfId="1507" priority="421" operator="lessThan">
      <formula>0</formula>
    </cfRule>
  </conditionalFormatting>
  <conditionalFormatting sqref="V170">
    <cfRule type="cellIs" dxfId="1506" priority="422" operator="greaterThanOrEqual">
      <formula>0</formula>
    </cfRule>
  </conditionalFormatting>
  <conditionalFormatting sqref="Y176">
    <cfRule type="cellIs" dxfId="1505" priority="405" operator="lessThan">
      <formula>0</formula>
    </cfRule>
  </conditionalFormatting>
  <conditionalFormatting sqref="Y176">
    <cfRule type="cellIs" dxfId="1504" priority="406" operator="greaterThanOrEqual">
      <formula>0</formula>
    </cfRule>
  </conditionalFormatting>
  <conditionalFormatting sqref="V243:V247">
    <cfRule type="cellIs" dxfId="1503" priority="1255" operator="lessThan">
      <formula>0</formula>
    </cfRule>
  </conditionalFormatting>
  <conditionalFormatting sqref="V243:V247">
    <cfRule type="cellIs" dxfId="1502" priority="1256" operator="greaterThanOrEqual">
      <formula>0</formula>
    </cfRule>
  </conditionalFormatting>
  <conditionalFormatting sqref="AE170">
    <cfRule type="cellIs" dxfId="1501" priority="417" operator="lessThan">
      <formula>0</formula>
    </cfRule>
  </conditionalFormatting>
  <conditionalFormatting sqref="AE170">
    <cfRule type="cellIs" dxfId="1500" priority="418" operator="greaterThanOrEqual">
      <formula>0</formula>
    </cfRule>
  </conditionalFormatting>
  <conditionalFormatting sqref="AN176">
    <cfRule type="cellIs" dxfId="1499" priority="401" operator="lessThan">
      <formula>0</formula>
    </cfRule>
  </conditionalFormatting>
  <conditionalFormatting sqref="AN176">
    <cfRule type="cellIs" dxfId="1498" priority="402" operator="greaterThanOrEqual">
      <formula>0</formula>
    </cfRule>
  </conditionalFormatting>
  <conditionalFormatting sqref="AN243:AN247">
    <cfRule type="cellIs" dxfId="1497" priority="1249" operator="lessThan">
      <formula>0</formula>
    </cfRule>
  </conditionalFormatting>
  <conditionalFormatting sqref="AN243:AN247">
    <cfRule type="cellIs" dxfId="1496" priority="1250" operator="greaterThanOrEqual">
      <formula>0</formula>
    </cfRule>
  </conditionalFormatting>
  <conditionalFormatting sqref="AB176">
    <cfRule type="cellIs" dxfId="1495" priority="397" operator="lessThan">
      <formula>0</formula>
    </cfRule>
  </conditionalFormatting>
  <conditionalFormatting sqref="AB176">
    <cfRule type="cellIs" dxfId="1494" priority="398" operator="greaterThanOrEqual">
      <formula>0</formula>
    </cfRule>
  </conditionalFormatting>
  <conditionalFormatting sqref="G182 P182 S182">
    <cfRule type="cellIs" dxfId="1493" priority="393" operator="lessThan">
      <formula>0</formula>
    </cfRule>
  </conditionalFormatting>
  <conditionalFormatting sqref="G182 P182 S182">
    <cfRule type="cellIs" dxfId="1492" priority="394" operator="greaterThanOrEqual">
      <formula>0</formula>
    </cfRule>
  </conditionalFormatting>
  <conditionalFormatting sqref="V249:V253">
    <cfRule type="cellIs" dxfId="1491" priority="1227" operator="lessThan">
      <formula>0</formula>
    </cfRule>
  </conditionalFormatting>
  <conditionalFormatting sqref="V249:V253">
    <cfRule type="cellIs" dxfId="1490" priority="1228" operator="greaterThanOrEqual">
      <formula>0</formula>
    </cfRule>
  </conditionalFormatting>
  <conditionalFormatting sqref="V182">
    <cfRule type="cellIs" dxfId="1489" priority="385" operator="lessThan">
      <formula>0</formula>
    </cfRule>
  </conditionalFormatting>
  <conditionalFormatting sqref="V182">
    <cfRule type="cellIs" dxfId="1488" priority="386" operator="greaterThanOrEqual">
      <formula>0</formula>
    </cfRule>
  </conditionalFormatting>
  <conditionalFormatting sqref="AH182">
    <cfRule type="cellIs" dxfId="1487" priority="389" operator="lessThan">
      <formula>0</formula>
    </cfRule>
  </conditionalFormatting>
  <conditionalFormatting sqref="AH182">
    <cfRule type="cellIs" dxfId="1486" priority="390" operator="greaterThanOrEqual">
      <formula>0</formula>
    </cfRule>
  </conditionalFormatting>
  <conditionalFormatting sqref="AK188">
    <cfRule type="cellIs" dxfId="1485" priority="373" operator="lessThan">
      <formula>0</formula>
    </cfRule>
  </conditionalFormatting>
  <conditionalFormatting sqref="AK188">
    <cfRule type="cellIs" dxfId="1484" priority="374" operator="greaterThanOrEqual">
      <formula>0</formula>
    </cfRule>
  </conditionalFormatting>
  <conditionalFormatting sqref="AN249:AN253">
    <cfRule type="cellIs" dxfId="1483" priority="1221" operator="lessThan">
      <formula>0</formula>
    </cfRule>
  </conditionalFormatting>
  <conditionalFormatting sqref="AN249:AN253">
    <cfRule type="cellIs" dxfId="1482" priority="1222" operator="greaterThanOrEqual">
      <formula>0</formula>
    </cfRule>
  </conditionalFormatting>
  <conditionalFormatting sqref="Y188">
    <cfRule type="cellIs" dxfId="1481" priority="369" operator="lessThan">
      <formula>0</formula>
    </cfRule>
  </conditionalFormatting>
  <conditionalFormatting sqref="Y188">
    <cfRule type="cellIs" dxfId="1480" priority="370" operator="greaterThanOrEqual">
      <formula>0</formula>
    </cfRule>
  </conditionalFormatting>
  <conditionalFormatting sqref="AN188">
    <cfRule type="cellIs" dxfId="1479" priority="365" operator="lessThan">
      <formula>0</formula>
    </cfRule>
  </conditionalFormatting>
  <conditionalFormatting sqref="AN188">
    <cfRule type="cellIs" dxfId="1478" priority="366" operator="greaterThanOrEqual">
      <formula>0</formula>
    </cfRule>
  </conditionalFormatting>
  <conditionalFormatting sqref="V194">
    <cfRule type="cellIs" dxfId="1477" priority="349" operator="lessThan">
      <formula>0</formula>
    </cfRule>
  </conditionalFormatting>
  <conditionalFormatting sqref="V194">
    <cfRule type="cellIs" dxfId="1476" priority="350" operator="greaterThanOrEqual">
      <formula>0</formula>
    </cfRule>
  </conditionalFormatting>
  <conditionalFormatting sqref="V255:V259">
    <cfRule type="cellIs" dxfId="1475" priority="1199" operator="lessThan">
      <formula>0</formula>
    </cfRule>
  </conditionalFormatting>
  <conditionalFormatting sqref="V255:V259">
    <cfRule type="cellIs" dxfId="1474" priority="1200" operator="greaterThanOrEqual">
      <formula>0</formula>
    </cfRule>
  </conditionalFormatting>
  <conditionalFormatting sqref="G194 P194 S194">
    <cfRule type="cellIs" dxfId="1473" priority="357" operator="lessThan">
      <formula>0</formula>
    </cfRule>
  </conditionalFormatting>
  <conditionalFormatting sqref="G194 P194 S194">
    <cfRule type="cellIs" dxfId="1472" priority="358" operator="greaterThanOrEqual">
      <formula>0</formula>
    </cfRule>
  </conditionalFormatting>
  <conditionalFormatting sqref="AB188">
    <cfRule type="cellIs" dxfId="1471" priority="361" operator="lessThan">
      <formula>0</formula>
    </cfRule>
  </conditionalFormatting>
  <conditionalFormatting sqref="AB188">
    <cfRule type="cellIs" dxfId="1470" priority="362" operator="greaterThanOrEqual">
      <formula>0</formula>
    </cfRule>
  </conditionalFormatting>
  <conditionalFormatting sqref="AE194">
    <cfRule type="cellIs" dxfId="1469" priority="345" operator="lessThan">
      <formula>0</formula>
    </cfRule>
  </conditionalFormatting>
  <conditionalFormatting sqref="AE194">
    <cfRule type="cellIs" dxfId="1468" priority="346" operator="greaterThanOrEqual">
      <formula>0</formula>
    </cfRule>
  </conditionalFormatting>
  <conditionalFormatting sqref="AN255:AN259">
    <cfRule type="cellIs" dxfId="1467" priority="1193" operator="lessThan">
      <formula>0</formula>
    </cfRule>
  </conditionalFormatting>
  <conditionalFormatting sqref="AN255:AN259">
    <cfRule type="cellIs" dxfId="1466" priority="1194" operator="greaterThanOrEqual">
      <formula>0</formula>
    </cfRule>
  </conditionalFormatting>
  <conditionalFormatting sqref="AK200">
    <cfRule type="cellIs" dxfId="1465" priority="337" operator="lessThan">
      <formula>0</formula>
    </cfRule>
  </conditionalFormatting>
  <conditionalFormatting sqref="AK200">
    <cfRule type="cellIs" dxfId="1464" priority="338" operator="greaterThanOrEqual">
      <formula>0</formula>
    </cfRule>
  </conditionalFormatting>
  <conditionalFormatting sqref="G206 P206 S206">
    <cfRule type="cellIs" dxfId="1463" priority="321" operator="lessThan">
      <formula>0</formula>
    </cfRule>
  </conditionalFormatting>
  <conditionalFormatting sqref="G206 P206 S206">
    <cfRule type="cellIs" dxfId="1462" priority="322" operator="greaterThanOrEqual">
      <formula>0</formula>
    </cfRule>
  </conditionalFormatting>
  <conditionalFormatting sqref="V261:V265">
    <cfRule type="cellIs" dxfId="1461" priority="1171" operator="lessThan">
      <formula>0</formula>
    </cfRule>
  </conditionalFormatting>
  <conditionalFormatting sqref="V261:V265">
    <cfRule type="cellIs" dxfId="1460" priority="1172" operator="greaterThanOrEqual">
      <formula>0</formula>
    </cfRule>
  </conditionalFormatting>
  <conditionalFormatting sqref="AN200">
    <cfRule type="cellIs" dxfId="1459" priority="329" operator="lessThan">
      <formula>0</formula>
    </cfRule>
  </conditionalFormatting>
  <conditionalFormatting sqref="AN200">
    <cfRule type="cellIs" dxfId="1458" priority="330" operator="greaterThanOrEqual">
      <formula>0</formula>
    </cfRule>
  </conditionalFormatting>
  <conditionalFormatting sqref="Y200">
    <cfRule type="cellIs" dxfId="1457" priority="333" operator="lessThan">
      <formula>0</formula>
    </cfRule>
  </conditionalFormatting>
  <conditionalFormatting sqref="Y200">
    <cfRule type="cellIs" dxfId="1456" priority="334" operator="greaterThanOrEqual">
      <formula>0</formula>
    </cfRule>
  </conditionalFormatting>
  <conditionalFormatting sqref="AH206">
    <cfRule type="cellIs" dxfId="1455" priority="317" operator="lessThan">
      <formula>0</formula>
    </cfRule>
  </conditionalFormatting>
  <conditionalFormatting sqref="AH206">
    <cfRule type="cellIs" dxfId="1454" priority="318" operator="greaterThanOrEqual">
      <formula>0</formula>
    </cfRule>
  </conditionalFormatting>
  <conditionalFormatting sqref="AN261:AN265">
    <cfRule type="cellIs" dxfId="1453" priority="1165" operator="lessThan">
      <formula>0</formula>
    </cfRule>
  </conditionalFormatting>
  <conditionalFormatting sqref="AN261:AN265">
    <cfRule type="cellIs" dxfId="1452" priority="1166" operator="greaterThanOrEqual">
      <formula>0</formula>
    </cfRule>
  </conditionalFormatting>
  <conditionalFormatting sqref="V206">
    <cfRule type="cellIs" dxfId="1451" priority="313" operator="lessThan">
      <formula>0</formula>
    </cfRule>
  </conditionalFormatting>
  <conditionalFormatting sqref="V206">
    <cfRule type="cellIs" dxfId="1450" priority="314" operator="greaterThanOrEqual">
      <formula>0</formula>
    </cfRule>
  </conditionalFormatting>
  <conditionalFormatting sqref="AE206">
    <cfRule type="cellIs" dxfId="1449" priority="309" operator="lessThan">
      <formula>0</formula>
    </cfRule>
  </conditionalFormatting>
  <conditionalFormatting sqref="AE206">
    <cfRule type="cellIs" dxfId="1448" priority="310" operator="greaterThanOrEqual">
      <formula>0</formula>
    </cfRule>
  </conditionalFormatting>
  <conditionalFormatting sqref="AN212">
    <cfRule type="cellIs" dxfId="1447" priority="293" operator="lessThan">
      <formula>0</formula>
    </cfRule>
  </conditionalFormatting>
  <conditionalFormatting sqref="AN212">
    <cfRule type="cellIs" dxfId="1446" priority="294" operator="greaterThanOrEqual">
      <formula>0</formula>
    </cfRule>
  </conditionalFormatting>
  <conditionalFormatting sqref="V267:V271">
    <cfRule type="cellIs" dxfId="1445" priority="1143" operator="lessThan">
      <formula>0</formula>
    </cfRule>
  </conditionalFormatting>
  <conditionalFormatting sqref="V267:V271">
    <cfRule type="cellIs" dxfId="1444" priority="1144" operator="greaterThanOrEqual">
      <formula>0</formula>
    </cfRule>
  </conditionalFormatting>
  <conditionalFormatting sqref="AK212">
    <cfRule type="cellIs" dxfId="1443" priority="301" operator="lessThan">
      <formula>0</formula>
    </cfRule>
  </conditionalFormatting>
  <conditionalFormatting sqref="AK212">
    <cfRule type="cellIs" dxfId="1442" priority="302" operator="greaterThanOrEqual">
      <formula>0</formula>
    </cfRule>
  </conditionalFormatting>
  <conditionalFormatting sqref="AB212">
    <cfRule type="cellIs" dxfId="1441" priority="289" operator="lessThan">
      <formula>0</formula>
    </cfRule>
  </conditionalFormatting>
  <conditionalFormatting sqref="AB212">
    <cfRule type="cellIs" dxfId="1440" priority="290" operator="greaterThanOrEqual">
      <formula>0</formula>
    </cfRule>
  </conditionalFormatting>
  <conditionalFormatting sqref="AN267:AN271">
    <cfRule type="cellIs" dxfId="1439" priority="1137" operator="lessThan">
      <formula>0</formula>
    </cfRule>
  </conditionalFormatting>
  <conditionalFormatting sqref="AN267:AN271">
    <cfRule type="cellIs" dxfId="1438" priority="1138" operator="greaterThanOrEqual">
      <formula>0</formula>
    </cfRule>
  </conditionalFormatting>
  <conditionalFormatting sqref="G218 P218 S218">
    <cfRule type="cellIs" dxfId="1437" priority="285" operator="lessThan">
      <formula>0</formula>
    </cfRule>
  </conditionalFormatting>
  <conditionalFormatting sqref="G218 P218 S218">
    <cfRule type="cellIs" dxfId="1436" priority="286" operator="greaterThanOrEqual">
      <formula>0</formula>
    </cfRule>
  </conditionalFormatting>
  <conditionalFormatting sqref="AH218">
    <cfRule type="cellIs" dxfId="1435" priority="281" operator="lessThan">
      <formula>0</formula>
    </cfRule>
  </conditionalFormatting>
  <conditionalFormatting sqref="AH218">
    <cfRule type="cellIs" dxfId="1434" priority="282" operator="greaterThanOrEqual">
      <formula>0</formula>
    </cfRule>
  </conditionalFormatting>
  <conditionalFormatting sqref="AK224">
    <cfRule type="cellIs" dxfId="1433" priority="265" operator="lessThan">
      <formula>0</formula>
    </cfRule>
  </conditionalFormatting>
  <conditionalFormatting sqref="AK224">
    <cfRule type="cellIs" dxfId="1432" priority="266" operator="greaterThanOrEqual">
      <formula>0</formula>
    </cfRule>
  </conditionalFormatting>
  <conditionalFormatting sqref="V273:V277">
    <cfRule type="cellIs" dxfId="1431" priority="1115" operator="lessThan">
      <formula>0</formula>
    </cfRule>
  </conditionalFormatting>
  <conditionalFormatting sqref="V273:V277">
    <cfRule type="cellIs" dxfId="1430" priority="1116" operator="greaterThanOrEqual">
      <formula>0</formula>
    </cfRule>
  </conditionalFormatting>
  <conditionalFormatting sqref="AE218">
    <cfRule type="cellIs" dxfId="1429" priority="273" operator="lessThan">
      <formula>0</formula>
    </cfRule>
  </conditionalFormatting>
  <conditionalFormatting sqref="AE218">
    <cfRule type="cellIs" dxfId="1428" priority="274" operator="greaterThanOrEqual">
      <formula>0</formula>
    </cfRule>
  </conditionalFormatting>
  <conditionalFormatting sqref="V218">
    <cfRule type="cellIs" dxfId="1427" priority="277" operator="lessThan">
      <formula>0</formula>
    </cfRule>
  </conditionalFormatting>
  <conditionalFormatting sqref="V218">
    <cfRule type="cellIs" dxfId="1426" priority="278" operator="greaterThanOrEqual">
      <formula>0</formula>
    </cfRule>
  </conditionalFormatting>
  <conditionalFormatting sqref="Y224">
    <cfRule type="cellIs" dxfId="1425" priority="261" operator="lessThan">
      <formula>0</formula>
    </cfRule>
  </conditionalFormatting>
  <conditionalFormatting sqref="Y224">
    <cfRule type="cellIs" dxfId="1424" priority="262" operator="greaterThanOrEqual">
      <formula>0</formula>
    </cfRule>
  </conditionalFormatting>
  <conditionalFormatting sqref="AN273:AN277">
    <cfRule type="cellIs" dxfId="1423" priority="1109" operator="lessThan">
      <formula>0</formula>
    </cfRule>
  </conditionalFormatting>
  <conditionalFormatting sqref="AN273:AN277">
    <cfRule type="cellIs" dxfId="1422" priority="1110" operator="greaterThanOrEqual">
      <formula>0</formula>
    </cfRule>
  </conditionalFormatting>
  <conditionalFormatting sqref="AN224">
    <cfRule type="cellIs" dxfId="1421" priority="257" operator="lessThan">
      <formula>0</formula>
    </cfRule>
  </conditionalFormatting>
  <conditionalFormatting sqref="AN224">
    <cfRule type="cellIs" dxfId="1420" priority="258" operator="greaterThanOrEqual">
      <formula>0</formula>
    </cfRule>
  </conditionalFormatting>
  <conditionalFormatting sqref="AB224">
    <cfRule type="cellIs" dxfId="1419" priority="253" operator="lessThan">
      <formula>0</formula>
    </cfRule>
  </conditionalFormatting>
  <conditionalFormatting sqref="AB224">
    <cfRule type="cellIs" dxfId="1418" priority="254" operator="greaterThanOrEqual">
      <formula>0</formula>
    </cfRule>
  </conditionalFormatting>
  <conditionalFormatting sqref="AE230">
    <cfRule type="cellIs" dxfId="1417" priority="237" operator="lessThan">
      <formula>0</formula>
    </cfRule>
  </conditionalFormatting>
  <conditionalFormatting sqref="AE230">
    <cfRule type="cellIs" dxfId="1416" priority="238" operator="greaterThanOrEqual">
      <formula>0</formula>
    </cfRule>
  </conditionalFormatting>
  <conditionalFormatting sqref="V279:V286">
    <cfRule type="cellIs" dxfId="1415" priority="1087" operator="lessThan">
      <formula>0</formula>
    </cfRule>
  </conditionalFormatting>
  <conditionalFormatting sqref="V279:V286">
    <cfRule type="cellIs" dxfId="1414" priority="1088" operator="greaterThanOrEqual">
      <formula>0</formula>
    </cfRule>
  </conditionalFormatting>
  <conditionalFormatting sqref="AH230">
    <cfRule type="cellIs" dxfId="1413" priority="245" operator="lessThan">
      <formula>0</formula>
    </cfRule>
  </conditionalFormatting>
  <conditionalFormatting sqref="AH230">
    <cfRule type="cellIs" dxfId="1412" priority="246" operator="greaterThanOrEqual">
      <formula>0</formula>
    </cfRule>
  </conditionalFormatting>
  <conditionalFormatting sqref="G230 P230 S230">
    <cfRule type="cellIs" dxfId="1411" priority="249" operator="lessThan">
      <formula>0</formula>
    </cfRule>
  </conditionalFormatting>
  <conditionalFormatting sqref="G230 P230 S230">
    <cfRule type="cellIs" dxfId="1410" priority="250" operator="greaterThanOrEqual">
      <formula>0</formula>
    </cfRule>
  </conditionalFormatting>
  <conditionalFormatting sqref="AN279:AN286">
    <cfRule type="cellIs" dxfId="1409" priority="1081" operator="lessThan">
      <formula>0</formula>
    </cfRule>
  </conditionalFormatting>
  <conditionalFormatting sqref="AN279:AN286">
    <cfRule type="cellIs" dxfId="1408" priority="1082" operator="greaterThanOrEqual">
      <formula>0</formula>
    </cfRule>
  </conditionalFormatting>
  <conditionalFormatting sqref="AK236">
    <cfRule type="cellIs" dxfId="1407" priority="229" operator="lessThan">
      <formula>0</formula>
    </cfRule>
  </conditionalFormatting>
  <conditionalFormatting sqref="AK236">
    <cfRule type="cellIs" dxfId="1406" priority="230" operator="greaterThanOrEqual">
      <formula>0</formula>
    </cfRule>
  </conditionalFormatting>
  <conditionalFormatting sqref="Y236">
    <cfRule type="cellIs" dxfId="1405" priority="225" operator="lessThan">
      <formula>0</formula>
    </cfRule>
  </conditionalFormatting>
  <conditionalFormatting sqref="Y236">
    <cfRule type="cellIs" dxfId="1404" priority="226" operator="greaterThanOrEqual">
      <formula>0</formula>
    </cfRule>
  </conditionalFormatting>
  <conditionalFormatting sqref="AH242">
    <cfRule type="cellIs" dxfId="1403" priority="209" operator="lessThan">
      <formula>0</formula>
    </cfRule>
  </conditionalFormatting>
  <conditionalFormatting sqref="AH242">
    <cfRule type="cellIs" dxfId="1402" priority="210" operator="greaterThanOrEqual">
      <formula>0</formula>
    </cfRule>
  </conditionalFormatting>
  <conditionalFormatting sqref="AB236">
    <cfRule type="cellIs" dxfId="1401" priority="217" operator="lessThan">
      <formula>0</formula>
    </cfRule>
  </conditionalFormatting>
  <conditionalFormatting sqref="AB236">
    <cfRule type="cellIs" dxfId="1400" priority="218" operator="greaterThanOrEqual">
      <formula>0</formula>
    </cfRule>
  </conditionalFormatting>
  <conditionalFormatting sqref="AN236">
    <cfRule type="cellIs" dxfId="1399" priority="221" operator="lessThan">
      <formula>0</formula>
    </cfRule>
  </conditionalFormatting>
  <conditionalFormatting sqref="AN236">
    <cfRule type="cellIs" dxfId="1398" priority="222" operator="greaterThanOrEqual">
      <formula>0</formula>
    </cfRule>
  </conditionalFormatting>
  <conditionalFormatting sqref="V242">
    <cfRule type="cellIs" dxfId="1397" priority="205" operator="lessThan">
      <formula>0</formula>
    </cfRule>
  </conditionalFormatting>
  <conditionalFormatting sqref="V242">
    <cfRule type="cellIs" dxfId="1396" priority="206" operator="greaterThanOrEqual">
      <formula>0</formula>
    </cfRule>
  </conditionalFormatting>
  <conditionalFormatting sqref="AE242">
    <cfRule type="cellIs" dxfId="1395" priority="201" operator="lessThan">
      <formula>0</formula>
    </cfRule>
  </conditionalFormatting>
  <conditionalFormatting sqref="AE242">
    <cfRule type="cellIs" dxfId="1394" priority="202" operator="greaterThanOrEqual">
      <formula>0</formula>
    </cfRule>
  </conditionalFormatting>
  <conditionalFormatting sqref="AB248">
    <cfRule type="cellIs" dxfId="1393" priority="181" operator="lessThan">
      <formula>0</formula>
    </cfRule>
  </conditionalFormatting>
  <conditionalFormatting sqref="AB248">
    <cfRule type="cellIs" dxfId="1392" priority="182" operator="greaterThanOrEqual">
      <formula>0</formula>
    </cfRule>
  </conditionalFormatting>
  <conditionalFormatting sqref="V300:V304">
    <cfRule type="cellIs" dxfId="1391" priority="1031" operator="lessThan">
      <formula>0</formula>
    </cfRule>
  </conditionalFormatting>
  <conditionalFormatting sqref="V300:V304">
    <cfRule type="cellIs" dxfId="1390" priority="1032" operator="greaterThanOrEqual">
      <formula>0</formula>
    </cfRule>
  </conditionalFormatting>
  <conditionalFormatting sqref="Y248">
    <cfRule type="cellIs" dxfId="1389" priority="189" operator="lessThan">
      <formula>0</formula>
    </cfRule>
  </conditionalFormatting>
  <conditionalFormatting sqref="Y248">
    <cfRule type="cellIs" dxfId="1388" priority="190" operator="greaterThanOrEqual">
      <formula>0</formula>
    </cfRule>
  </conditionalFormatting>
  <conditionalFormatting sqref="AK248">
    <cfRule type="cellIs" dxfId="1387" priority="193" operator="lessThan">
      <formula>0</formula>
    </cfRule>
  </conditionalFormatting>
  <conditionalFormatting sqref="AK248">
    <cfRule type="cellIs" dxfId="1386" priority="194" operator="greaterThanOrEqual">
      <formula>0</formula>
    </cfRule>
  </conditionalFormatting>
  <conditionalFormatting sqref="G254 P254 S254">
    <cfRule type="cellIs" dxfId="1385" priority="177" operator="lessThan">
      <formula>0</formula>
    </cfRule>
  </conditionalFormatting>
  <conditionalFormatting sqref="G254 P254 S254">
    <cfRule type="cellIs" dxfId="1384" priority="178" operator="greaterThanOrEqual">
      <formula>0</formula>
    </cfRule>
  </conditionalFormatting>
  <conditionalFormatting sqref="AN300:AN304">
    <cfRule type="cellIs" dxfId="1383" priority="1025" operator="lessThan">
      <formula>0</formula>
    </cfRule>
  </conditionalFormatting>
  <conditionalFormatting sqref="AN300:AN304">
    <cfRule type="cellIs" dxfId="1382" priority="1026" operator="greaterThanOrEqual">
      <formula>0</formula>
    </cfRule>
  </conditionalFormatting>
  <conditionalFormatting sqref="AH254">
    <cfRule type="cellIs" dxfId="1381" priority="173" operator="lessThan">
      <formula>0</formula>
    </cfRule>
  </conditionalFormatting>
  <conditionalFormatting sqref="AH254">
    <cfRule type="cellIs" dxfId="1380" priority="174" operator="greaterThanOrEqual">
      <formula>0</formula>
    </cfRule>
  </conditionalFormatting>
  <conditionalFormatting sqref="V254">
    <cfRule type="cellIs" dxfId="1379" priority="169" operator="lessThan">
      <formula>0</formula>
    </cfRule>
  </conditionalFormatting>
  <conditionalFormatting sqref="V254">
    <cfRule type="cellIs" dxfId="1378" priority="170" operator="greaterThanOrEqual">
      <formula>0</formula>
    </cfRule>
  </conditionalFormatting>
  <conditionalFormatting sqref="Y260">
    <cfRule type="cellIs" dxfId="1377" priority="153" operator="lessThan">
      <formula>0</formula>
    </cfRule>
  </conditionalFormatting>
  <conditionalFormatting sqref="Y260">
    <cfRule type="cellIs" dxfId="1376" priority="154" operator="greaterThanOrEqual">
      <formula>0</formula>
    </cfRule>
  </conditionalFormatting>
  <conditionalFormatting sqref="V306:V310">
    <cfRule type="cellIs" dxfId="1375" priority="1003" operator="lessThan">
      <formula>0</formula>
    </cfRule>
  </conditionalFormatting>
  <conditionalFormatting sqref="V306:V310">
    <cfRule type="cellIs" dxfId="1374" priority="1004" operator="greaterThanOrEqual">
      <formula>0</formula>
    </cfRule>
  </conditionalFormatting>
  <conditionalFormatting sqref="AE254">
    <cfRule type="cellIs" dxfId="1373" priority="165" operator="lessThan">
      <formula>0</formula>
    </cfRule>
  </conditionalFormatting>
  <conditionalFormatting sqref="AE254">
    <cfRule type="cellIs" dxfId="1372" priority="166" operator="greaterThanOrEqual">
      <formula>0</formula>
    </cfRule>
  </conditionalFormatting>
  <conditionalFormatting sqref="AN260">
    <cfRule type="cellIs" dxfId="1371" priority="149" operator="lessThan">
      <formula>0</formula>
    </cfRule>
  </conditionalFormatting>
  <conditionalFormatting sqref="AN260">
    <cfRule type="cellIs" dxfId="1370" priority="150" operator="greaterThanOrEqual">
      <formula>0</formula>
    </cfRule>
  </conditionalFormatting>
  <conditionalFormatting sqref="AN306:AN310">
    <cfRule type="cellIs" dxfId="1369" priority="997" operator="lessThan">
      <formula>0</formula>
    </cfRule>
  </conditionalFormatting>
  <conditionalFormatting sqref="AN306:AN310">
    <cfRule type="cellIs" dxfId="1368" priority="998" operator="greaterThanOrEqual">
      <formula>0</formula>
    </cfRule>
  </conditionalFormatting>
  <conditionalFormatting sqref="AB260">
    <cfRule type="cellIs" dxfId="1367" priority="145" operator="lessThan">
      <formula>0</formula>
    </cfRule>
  </conditionalFormatting>
  <conditionalFormatting sqref="AB260">
    <cfRule type="cellIs" dxfId="1366" priority="146" operator="greaterThanOrEqual">
      <formula>0</formula>
    </cfRule>
  </conditionalFormatting>
  <conditionalFormatting sqref="G266 P266 S266">
    <cfRule type="cellIs" dxfId="1365" priority="141" operator="lessThan">
      <formula>0</formula>
    </cfRule>
  </conditionalFormatting>
  <conditionalFormatting sqref="G266 P266 S266">
    <cfRule type="cellIs" dxfId="1364" priority="142" operator="greaterThanOrEqual">
      <formula>0</formula>
    </cfRule>
  </conditionalFormatting>
  <conditionalFormatting sqref="V312:V316">
    <cfRule type="cellIs" dxfId="1363" priority="975" operator="lessThan">
      <formula>0</formula>
    </cfRule>
  </conditionalFormatting>
  <conditionalFormatting sqref="V312:V316">
    <cfRule type="cellIs" dxfId="1362" priority="976" operator="greaterThanOrEqual">
      <formula>0</formula>
    </cfRule>
  </conditionalFormatting>
  <conditionalFormatting sqref="V266">
    <cfRule type="cellIs" dxfId="1361" priority="133" operator="lessThan">
      <formula>0</formula>
    </cfRule>
  </conditionalFormatting>
  <conditionalFormatting sqref="V266">
    <cfRule type="cellIs" dxfId="1360" priority="134" operator="greaterThanOrEqual">
      <formula>0</formula>
    </cfRule>
  </conditionalFormatting>
  <conditionalFormatting sqref="AH266">
    <cfRule type="cellIs" dxfId="1359" priority="137" operator="lessThan">
      <formula>0</formula>
    </cfRule>
  </conditionalFormatting>
  <conditionalFormatting sqref="AH266">
    <cfRule type="cellIs" dxfId="1358" priority="138" operator="greaterThanOrEqual">
      <formula>0</formula>
    </cfRule>
  </conditionalFormatting>
  <conditionalFormatting sqref="AK272">
    <cfRule type="cellIs" dxfId="1357" priority="121" operator="lessThan">
      <formula>0</formula>
    </cfRule>
  </conditionalFormatting>
  <conditionalFormatting sqref="AK272">
    <cfRule type="cellIs" dxfId="1356" priority="122" operator="greaterThanOrEqual">
      <formula>0</formula>
    </cfRule>
  </conditionalFormatting>
  <conditionalFormatting sqref="AN312:AN316">
    <cfRule type="cellIs" dxfId="1355" priority="969" operator="lessThan">
      <formula>0</formula>
    </cfRule>
  </conditionalFormatting>
  <conditionalFormatting sqref="AN312:AN316">
    <cfRule type="cellIs" dxfId="1354" priority="970" operator="greaterThanOrEqual">
      <formula>0</formula>
    </cfRule>
  </conditionalFormatting>
  <conditionalFormatting sqref="Y272">
    <cfRule type="cellIs" dxfId="1353" priority="117" operator="lessThan">
      <formula>0</formula>
    </cfRule>
  </conditionalFormatting>
  <conditionalFormatting sqref="Y272">
    <cfRule type="cellIs" dxfId="1352" priority="118" operator="greaterThanOrEqual">
      <formula>0</formula>
    </cfRule>
  </conditionalFormatting>
  <conditionalFormatting sqref="AN272">
    <cfRule type="cellIs" dxfId="1351" priority="113" operator="lessThan">
      <formula>0</formula>
    </cfRule>
  </conditionalFormatting>
  <conditionalFormatting sqref="AN272">
    <cfRule type="cellIs" dxfId="1350" priority="114" operator="greaterThanOrEqual">
      <formula>0</formula>
    </cfRule>
  </conditionalFormatting>
  <conditionalFormatting sqref="V278">
    <cfRule type="cellIs" dxfId="1349" priority="97" operator="lessThan">
      <formula>0</formula>
    </cfRule>
  </conditionalFormatting>
  <conditionalFormatting sqref="V278">
    <cfRule type="cellIs" dxfId="1348" priority="98" operator="greaterThanOrEqual">
      <formula>0</formula>
    </cfRule>
  </conditionalFormatting>
  <conditionalFormatting sqref="V318:V322">
    <cfRule type="cellIs" dxfId="1347" priority="947" operator="lessThan">
      <formula>0</formula>
    </cfRule>
  </conditionalFormatting>
  <conditionalFormatting sqref="V318:V322">
    <cfRule type="cellIs" dxfId="1346" priority="948" operator="greaterThanOrEqual">
      <formula>0</formula>
    </cfRule>
  </conditionalFormatting>
  <conditionalFormatting sqref="G278 P278 S278">
    <cfRule type="cellIs" dxfId="1345" priority="105" operator="lessThan">
      <formula>0</formula>
    </cfRule>
  </conditionalFormatting>
  <conditionalFormatting sqref="G278 P278 S278">
    <cfRule type="cellIs" dxfId="1344" priority="106" operator="greaterThanOrEqual">
      <formula>0</formula>
    </cfRule>
  </conditionalFormatting>
  <conditionalFormatting sqref="AB272">
    <cfRule type="cellIs" dxfId="1343" priority="109" operator="lessThan">
      <formula>0</formula>
    </cfRule>
  </conditionalFormatting>
  <conditionalFormatting sqref="AB272">
    <cfRule type="cellIs" dxfId="1342" priority="110" operator="greaterThanOrEqual">
      <formula>0</formula>
    </cfRule>
  </conditionalFormatting>
  <conditionalFormatting sqref="AE278">
    <cfRule type="cellIs" dxfId="1341" priority="93" operator="lessThan">
      <formula>0</formula>
    </cfRule>
  </conditionalFormatting>
  <conditionalFormatting sqref="AE278">
    <cfRule type="cellIs" dxfId="1340" priority="94" operator="greaterThanOrEqual">
      <formula>0</formula>
    </cfRule>
  </conditionalFormatting>
  <conditionalFormatting sqref="AN318:AN322">
    <cfRule type="cellIs" dxfId="1339" priority="941" operator="lessThan">
      <formula>0</formula>
    </cfRule>
  </conditionalFormatting>
  <conditionalFormatting sqref="AN318:AN322">
    <cfRule type="cellIs" dxfId="1338" priority="942" operator="greaterThanOrEqual">
      <formula>0</formula>
    </cfRule>
  </conditionalFormatting>
  <conditionalFormatting sqref="AK287">
    <cfRule type="cellIs" dxfId="1337" priority="85" operator="lessThan">
      <formula>0</formula>
    </cfRule>
  </conditionalFormatting>
  <conditionalFormatting sqref="AK287">
    <cfRule type="cellIs" dxfId="1336" priority="86" operator="greaterThanOrEqual">
      <formula>0</formula>
    </cfRule>
  </conditionalFormatting>
  <conditionalFormatting sqref="G299 P299 S299">
    <cfRule type="cellIs" dxfId="1335" priority="69" operator="lessThan">
      <formula>0</formula>
    </cfRule>
  </conditionalFormatting>
  <conditionalFormatting sqref="G299 P299 S299">
    <cfRule type="cellIs" dxfId="1334" priority="70" operator="greaterThanOrEqual">
      <formula>0</formula>
    </cfRule>
  </conditionalFormatting>
  <conditionalFormatting sqref="AN14">
    <cfRule type="cellIs" dxfId="1333" priority="913" operator="lessThan">
      <formula>0</formula>
    </cfRule>
  </conditionalFormatting>
  <conditionalFormatting sqref="AN14">
    <cfRule type="cellIs" dxfId="1332" priority="914" operator="greaterThanOrEqual">
      <formula>0</formula>
    </cfRule>
  </conditionalFormatting>
  <conditionalFormatting sqref="V14">
    <cfRule type="cellIs" dxfId="1331" priority="919" operator="lessThan">
      <formula>0</formula>
    </cfRule>
  </conditionalFormatting>
  <conditionalFormatting sqref="V14">
    <cfRule type="cellIs" dxfId="1330" priority="920" operator="greaterThanOrEqual">
      <formula>0</formula>
    </cfRule>
  </conditionalFormatting>
  <conditionalFormatting sqref="AN287">
    <cfRule type="cellIs" dxfId="1329" priority="77" operator="lessThan">
      <formula>0</formula>
    </cfRule>
  </conditionalFormatting>
  <conditionalFormatting sqref="AN287">
    <cfRule type="cellIs" dxfId="1328" priority="78" operator="greaterThanOrEqual">
      <formula>0</formula>
    </cfRule>
  </conditionalFormatting>
  <conditionalFormatting sqref="Y287">
    <cfRule type="cellIs" dxfId="1327" priority="81" operator="lessThan">
      <formula>0</formula>
    </cfRule>
  </conditionalFormatting>
  <conditionalFormatting sqref="Y287">
    <cfRule type="cellIs" dxfId="1326" priority="82" operator="greaterThanOrEqual">
      <formula>0</formula>
    </cfRule>
  </conditionalFormatting>
  <conditionalFormatting sqref="AH299">
    <cfRule type="cellIs" dxfId="1325" priority="65" operator="lessThan">
      <formula>0</formula>
    </cfRule>
  </conditionalFormatting>
  <conditionalFormatting sqref="AH299">
    <cfRule type="cellIs" dxfId="1324" priority="66" operator="greaterThanOrEqual">
      <formula>0</formula>
    </cfRule>
  </conditionalFormatting>
  <conditionalFormatting sqref="V299">
    <cfRule type="cellIs" dxfId="1323" priority="61" operator="lessThan">
      <formula>0</formula>
    </cfRule>
  </conditionalFormatting>
  <conditionalFormatting sqref="V299">
    <cfRule type="cellIs" dxfId="1322" priority="62" operator="greaterThanOrEqual">
      <formula>0</formula>
    </cfRule>
  </conditionalFormatting>
  <conditionalFormatting sqref="AE299">
    <cfRule type="cellIs" dxfId="1321" priority="57" operator="lessThan">
      <formula>0</formula>
    </cfRule>
  </conditionalFormatting>
  <conditionalFormatting sqref="AE299">
    <cfRule type="cellIs" dxfId="1320" priority="58" operator="greaterThanOrEqual">
      <formula>0</formula>
    </cfRule>
  </conditionalFormatting>
  <conditionalFormatting sqref="AN305">
    <cfRule type="cellIs" dxfId="1319" priority="41" operator="lessThan">
      <formula>0</formula>
    </cfRule>
  </conditionalFormatting>
  <conditionalFormatting sqref="AN305">
    <cfRule type="cellIs" dxfId="1318" priority="42" operator="greaterThanOrEqual">
      <formula>0</formula>
    </cfRule>
  </conditionalFormatting>
  <conditionalFormatting sqref="AN20">
    <cfRule type="cellIs" dxfId="1317" priority="885" operator="lessThan">
      <formula>0</formula>
    </cfRule>
  </conditionalFormatting>
  <conditionalFormatting sqref="AN20">
    <cfRule type="cellIs" dxfId="1316" priority="886" operator="greaterThanOrEqual">
      <formula>0</formula>
    </cfRule>
  </conditionalFormatting>
  <conditionalFormatting sqref="V20">
    <cfRule type="cellIs" dxfId="1315" priority="891" operator="lessThan">
      <formula>0</formula>
    </cfRule>
  </conditionalFormatting>
  <conditionalFormatting sqref="V20">
    <cfRule type="cellIs" dxfId="1314" priority="892" operator="greaterThanOrEqual">
      <formula>0</formula>
    </cfRule>
  </conditionalFormatting>
  <conditionalFormatting sqref="AK305">
    <cfRule type="cellIs" dxfId="1313" priority="49" operator="lessThan">
      <formula>0</formula>
    </cfRule>
  </conditionalFormatting>
  <conditionalFormatting sqref="AK305">
    <cfRule type="cellIs" dxfId="1312" priority="50" operator="greaterThanOrEqual">
      <formula>0</formula>
    </cfRule>
  </conditionalFormatting>
  <conditionalFormatting sqref="AB305">
    <cfRule type="cellIs" dxfId="1311" priority="37" operator="lessThan">
      <formula>0</formula>
    </cfRule>
  </conditionalFormatting>
  <conditionalFormatting sqref="AB305">
    <cfRule type="cellIs" dxfId="1310" priority="38" operator="greaterThanOrEqual">
      <formula>0</formula>
    </cfRule>
  </conditionalFormatting>
  <conditionalFormatting sqref="G311 P311 S311">
    <cfRule type="cellIs" dxfId="1309" priority="33" operator="lessThan">
      <formula>0</formula>
    </cfRule>
  </conditionalFormatting>
  <conditionalFormatting sqref="G311 P311 S311">
    <cfRule type="cellIs" dxfId="1308" priority="34" operator="greaterThanOrEqual">
      <formula>0</formula>
    </cfRule>
  </conditionalFormatting>
  <conditionalFormatting sqref="AH311">
    <cfRule type="cellIs" dxfId="1307" priority="29" operator="lessThan">
      <formula>0</formula>
    </cfRule>
  </conditionalFormatting>
  <conditionalFormatting sqref="AH311">
    <cfRule type="cellIs" dxfId="1306" priority="30" operator="greaterThanOrEqual">
      <formula>0</formula>
    </cfRule>
  </conditionalFormatting>
  <conditionalFormatting sqref="AK317">
    <cfRule type="cellIs" dxfId="1305" priority="13" operator="lessThan">
      <formula>0</formula>
    </cfRule>
  </conditionalFormatting>
  <conditionalFormatting sqref="AK317">
    <cfRule type="cellIs" dxfId="1304" priority="14" operator="greaterThanOrEqual">
      <formula>0</formula>
    </cfRule>
  </conditionalFormatting>
  <conditionalFormatting sqref="AN26">
    <cfRule type="cellIs" dxfId="1303" priority="857" operator="lessThan">
      <formula>0</formula>
    </cfRule>
  </conditionalFormatting>
  <conditionalFormatting sqref="AN26">
    <cfRule type="cellIs" dxfId="1302" priority="858" operator="greaterThanOrEqual">
      <formula>0</formula>
    </cfRule>
  </conditionalFormatting>
  <conditionalFormatting sqref="V26">
    <cfRule type="cellIs" dxfId="1301" priority="863" operator="lessThan">
      <formula>0</formula>
    </cfRule>
  </conditionalFormatting>
  <conditionalFormatting sqref="V26">
    <cfRule type="cellIs" dxfId="1300" priority="864" operator="greaterThanOrEqual">
      <formula>0</formula>
    </cfRule>
  </conditionalFormatting>
  <conditionalFormatting sqref="AE311">
    <cfRule type="cellIs" dxfId="1299" priority="21" operator="lessThan">
      <formula>0</formula>
    </cfRule>
  </conditionalFormatting>
  <conditionalFormatting sqref="AE311">
    <cfRule type="cellIs" dxfId="1298" priority="22" operator="greaterThanOrEqual">
      <formula>0</formula>
    </cfRule>
  </conditionalFormatting>
  <conditionalFormatting sqref="V311">
    <cfRule type="cellIs" dxfId="1297" priority="25" operator="lessThan">
      <formula>0</formula>
    </cfRule>
  </conditionalFormatting>
  <conditionalFormatting sqref="V311">
    <cfRule type="cellIs" dxfId="1296" priority="26" operator="greaterThanOrEqual">
      <formula>0</formula>
    </cfRule>
  </conditionalFormatting>
  <conditionalFormatting sqref="Y317">
    <cfRule type="cellIs" dxfId="1295" priority="9" operator="lessThan">
      <formula>0</formula>
    </cfRule>
  </conditionalFormatting>
  <conditionalFormatting sqref="Y317">
    <cfRule type="cellIs" dxfId="1294" priority="10" operator="greaterThanOrEqual">
      <formula>0</formula>
    </cfRule>
  </conditionalFormatting>
  <conditionalFormatting sqref="AN317">
    <cfRule type="cellIs" dxfId="1293" priority="5" operator="lessThan">
      <formula>0</formula>
    </cfRule>
  </conditionalFormatting>
  <conditionalFormatting sqref="AN317">
    <cfRule type="cellIs" dxfId="1292" priority="6" operator="greaterThanOrEqual">
      <formula>0</formula>
    </cfRule>
  </conditionalFormatting>
  <conditionalFormatting sqref="AB317">
    <cfRule type="cellIs" dxfId="1291" priority="1" operator="lessThan">
      <formula>0</formula>
    </cfRule>
  </conditionalFormatting>
  <conditionalFormatting sqref="AB317">
    <cfRule type="cellIs" dxfId="1290" priority="2" operator="greaterThanOrEqual">
      <formula>0</formula>
    </cfRule>
  </conditionalFormatting>
  <conditionalFormatting sqref="G32 P32 S32">
    <cfRule type="cellIs" dxfId="1289" priority="843" operator="lessThan">
      <formula>0</formula>
    </cfRule>
  </conditionalFormatting>
  <conditionalFormatting sqref="G32 P32 S32">
    <cfRule type="cellIs" dxfId="1288" priority="844" operator="greaterThanOrEqual">
      <formula>0</formula>
    </cfRule>
  </conditionalFormatting>
  <conditionalFormatting sqref="J32 M32">
    <cfRule type="cellIs" dxfId="1287" priority="845" operator="lessThanOrEqual">
      <formula>0</formula>
    </cfRule>
  </conditionalFormatting>
  <conditionalFormatting sqref="J32 M32">
    <cfRule type="cellIs" dxfId="1286" priority="846" operator="greaterThan">
      <formula>0</formula>
    </cfRule>
  </conditionalFormatting>
  <conditionalFormatting sqref="V32">
    <cfRule type="cellIs" dxfId="1285" priority="835" operator="lessThan">
      <formula>0</formula>
    </cfRule>
  </conditionalFormatting>
  <conditionalFormatting sqref="V32">
    <cfRule type="cellIs" dxfId="1284" priority="836" operator="greaterThanOrEqual">
      <formula>0</formula>
    </cfRule>
  </conditionalFormatting>
  <conditionalFormatting sqref="AH32">
    <cfRule type="cellIs" dxfId="1283" priority="839" operator="lessThan">
      <formula>0</formula>
    </cfRule>
  </conditionalFormatting>
  <conditionalFormatting sqref="AH32">
    <cfRule type="cellIs" dxfId="1282" priority="840" operator="greaterThanOrEqual">
      <formula>0</formula>
    </cfRule>
  </conditionalFormatting>
  <conditionalFormatting sqref="AE32">
    <cfRule type="cellIs" dxfId="1281" priority="831" operator="lessThan">
      <formula>0</formula>
    </cfRule>
  </conditionalFormatting>
  <conditionalFormatting sqref="AE32">
    <cfRule type="cellIs" dxfId="1280" priority="832" operator="greaterThanOrEqual">
      <formula>0</formula>
    </cfRule>
  </conditionalFormatting>
  <conditionalFormatting sqref="AB32">
    <cfRule type="cellIs" dxfId="1279" priority="829" operator="lessThan">
      <formula>0</formula>
    </cfRule>
  </conditionalFormatting>
  <conditionalFormatting sqref="AB32">
    <cfRule type="cellIs" dxfId="1278" priority="830" operator="greaterThanOrEqual">
      <formula>0</formula>
    </cfRule>
  </conditionalFormatting>
  <conditionalFormatting sqref="J38 M38">
    <cfRule type="cellIs" dxfId="1277" priority="827" operator="lessThanOrEqual">
      <formula>0</formula>
    </cfRule>
  </conditionalFormatting>
  <conditionalFormatting sqref="J38 M38">
    <cfRule type="cellIs" dxfId="1276" priority="828" operator="greaterThan">
      <formula>0</formula>
    </cfRule>
  </conditionalFormatting>
  <conditionalFormatting sqref="AN38">
    <cfRule type="cellIs" dxfId="1275" priority="815" operator="lessThan">
      <formula>0</formula>
    </cfRule>
  </conditionalFormatting>
  <conditionalFormatting sqref="AN38">
    <cfRule type="cellIs" dxfId="1274" priority="816" operator="greaterThanOrEqual">
      <formula>0</formula>
    </cfRule>
  </conditionalFormatting>
  <conditionalFormatting sqref="Y38">
    <cfRule type="cellIs" dxfId="1273" priority="819" operator="lessThan">
      <formula>0</formula>
    </cfRule>
  </conditionalFormatting>
  <conditionalFormatting sqref="Y38">
    <cfRule type="cellIs" dxfId="1272" priority="820" operator="greaterThanOrEqual">
      <formula>0</formula>
    </cfRule>
  </conditionalFormatting>
  <conditionalFormatting sqref="AK38">
    <cfRule type="cellIs" dxfId="1271" priority="823" operator="lessThan">
      <formula>0</formula>
    </cfRule>
  </conditionalFormatting>
  <conditionalFormatting sqref="AK38">
    <cfRule type="cellIs" dxfId="1270" priority="824" operator="greaterThanOrEqual">
      <formula>0</formula>
    </cfRule>
  </conditionalFormatting>
  <conditionalFormatting sqref="AB38">
    <cfRule type="cellIs" dxfId="1269" priority="811" operator="lessThan">
      <formula>0</formula>
    </cfRule>
  </conditionalFormatting>
  <conditionalFormatting sqref="AB38">
    <cfRule type="cellIs" dxfId="1268" priority="812" operator="greaterThanOrEqual">
      <formula>0</formula>
    </cfRule>
  </conditionalFormatting>
  <conditionalFormatting sqref="G44 P44 S44">
    <cfRule type="cellIs" dxfId="1267" priority="807" operator="lessThan">
      <formula>0</formula>
    </cfRule>
  </conditionalFormatting>
  <conditionalFormatting sqref="G44 P44 S44">
    <cfRule type="cellIs" dxfId="1266" priority="808" operator="greaterThanOrEqual">
      <formula>0</formula>
    </cfRule>
  </conditionalFormatting>
  <conditionalFormatting sqref="J44 M44">
    <cfRule type="cellIs" dxfId="1265" priority="809" operator="lessThanOrEqual">
      <formula>0</formula>
    </cfRule>
  </conditionalFormatting>
  <conditionalFormatting sqref="J44 M44">
    <cfRule type="cellIs" dxfId="1264" priority="810" operator="greaterThan">
      <formula>0</formula>
    </cfRule>
  </conditionalFormatting>
  <conditionalFormatting sqref="V44">
    <cfRule type="cellIs" dxfId="1263" priority="799" operator="lessThan">
      <formula>0</formula>
    </cfRule>
  </conditionalFormatting>
  <conditionalFormatting sqref="V44">
    <cfRule type="cellIs" dxfId="1262" priority="800" operator="greaterThanOrEqual">
      <formula>0</formula>
    </cfRule>
  </conditionalFormatting>
  <conditionalFormatting sqref="Y44">
    <cfRule type="cellIs" dxfId="1261" priority="801" operator="lessThan">
      <formula>0</formula>
    </cfRule>
  </conditionalFormatting>
  <conditionalFormatting sqref="Y44">
    <cfRule type="cellIs" dxfId="1260" priority="802" operator="greaterThanOrEqual">
      <formula>0</formula>
    </cfRule>
  </conditionalFormatting>
  <conditionalFormatting sqref="AH44">
    <cfRule type="cellIs" dxfId="1259" priority="803" operator="lessThan">
      <formula>0</formula>
    </cfRule>
  </conditionalFormatting>
  <conditionalFormatting sqref="AH44">
    <cfRule type="cellIs" dxfId="1258" priority="804" operator="greaterThanOrEqual">
      <formula>0</formula>
    </cfRule>
  </conditionalFormatting>
  <conditionalFormatting sqref="AE44">
    <cfRule type="cellIs" dxfId="1257" priority="795" operator="lessThan">
      <formula>0</formula>
    </cfRule>
  </conditionalFormatting>
  <conditionalFormatting sqref="AE44">
    <cfRule type="cellIs" dxfId="1256" priority="796" operator="greaterThanOrEqual">
      <formula>0</formula>
    </cfRule>
  </conditionalFormatting>
  <conditionalFormatting sqref="J50 M50">
    <cfRule type="cellIs" dxfId="1255" priority="791" operator="lessThanOrEqual">
      <formula>0</formula>
    </cfRule>
  </conditionalFormatting>
  <conditionalFormatting sqref="J50 M50">
    <cfRule type="cellIs" dxfId="1254" priority="792" operator="greaterThan">
      <formula>0</formula>
    </cfRule>
  </conditionalFormatting>
  <conditionalFormatting sqref="AN50">
    <cfRule type="cellIs" dxfId="1253" priority="779" operator="lessThan">
      <formula>0</formula>
    </cfRule>
  </conditionalFormatting>
  <conditionalFormatting sqref="AN50">
    <cfRule type="cellIs" dxfId="1252" priority="780" operator="greaterThanOrEqual">
      <formula>0</formula>
    </cfRule>
  </conditionalFormatting>
  <conditionalFormatting sqref="Y50">
    <cfRule type="cellIs" dxfId="1251" priority="783" operator="lessThan">
      <formula>0</formula>
    </cfRule>
  </conditionalFormatting>
  <conditionalFormatting sqref="Y50">
    <cfRule type="cellIs" dxfId="1250" priority="784" operator="greaterThanOrEqual">
      <formula>0</formula>
    </cfRule>
  </conditionalFormatting>
  <conditionalFormatting sqref="AK50">
    <cfRule type="cellIs" dxfId="1249" priority="787" operator="lessThan">
      <formula>0</formula>
    </cfRule>
  </conditionalFormatting>
  <conditionalFormatting sqref="AK50">
    <cfRule type="cellIs" dxfId="1248" priority="788" operator="greaterThanOrEqual">
      <formula>0</formula>
    </cfRule>
  </conditionalFormatting>
  <conditionalFormatting sqref="AB50">
    <cfRule type="cellIs" dxfId="1247" priority="775" operator="lessThan">
      <formula>0</formula>
    </cfRule>
  </conditionalFormatting>
  <conditionalFormatting sqref="AB50">
    <cfRule type="cellIs" dxfId="1246" priority="776" operator="greaterThanOrEqual">
      <formula>0</formula>
    </cfRule>
  </conditionalFormatting>
  <conditionalFormatting sqref="G56 P56 S56">
    <cfRule type="cellIs" dxfId="1245" priority="771" operator="lessThan">
      <formula>0</formula>
    </cfRule>
  </conditionalFormatting>
  <conditionalFormatting sqref="G56 P56 S56">
    <cfRule type="cellIs" dxfId="1244" priority="772" operator="greaterThanOrEqual">
      <formula>0</formula>
    </cfRule>
  </conditionalFormatting>
  <conditionalFormatting sqref="J56 M56">
    <cfRule type="cellIs" dxfId="1243" priority="773" operator="lessThanOrEqual">
      <formula>0</formula>
    </cfRule>
  </conditionalFormatting>
  <conditionalFormatting sqref="J56 M56">
    <cfRule type="cellIs" dxfId="1242" priority="774" operator="greaterThan">
      <formula>0</formula>
    </cfRule>
  </conditionalFormatting>
  <conditionalFormatting sqref="V56">
    <cfRule type="cellIs" dxfId="1241" priority="763" operator="lessThan">
      <formula>0</formula>
    </cfRule>
  </conditionalFormatting>
  <conditionalFormatting sqref="V56">
    <cfRule type="cellIs" dxfId="1240" priority="764" operator="greaterThanOrEqual">
      <formula>0</formula>
    </cfRule>
  </conditionalFormatting>
  <conditionalFormatting sqref="AH56">
    <cfRule type="cellIs" dxfId="1239" priority="767" operator="lessThan">
      <formula>0</formula>
    </cfRule>
  </conditionalFormatting>
  <conditionalFormatting sqref="AH56">
    <cfRule type="cellIs" dxfId="1238" priority="768" operator="greaterThanOrEqual">
      <formula>0</formula>
    </cfRule>
  </conditionalFormatting>
  <conditionalFormatting sqref="AE56">
    <cfRule type="cellIs" dxfId="1237" priority="759" operator="lessThan">
      <formula>0</formula>
    </cfRule>
  </conditionalFormatting>
  <conditionalFormatting sqref="AE56">
    <cfRule type="cellIs" dxfId="1236" priority="760" operator="greaterThanOrEqual">
      <formula>0</formula>
    </cfRule>
  </conditionalFormatting>
  <conditionalFormatting sqref="J62 M62">
    <cfRule type="cellIs" dxfId="1235" priority="755" operator="lessThanOrEqual">
      <formula>0</formula>
    </cfRule>
  </conditionalFormatting>
  <conditionalFormatting sqref="J62 M62">
    <cfRule type="cellIs" dxfId="1234" priority="756" operator="greaterThan">
      <formula>0</formula>
    </cfRule>
  </conditionalFormatting>
  <conditionalFormatting sqref="AN62">
    <cfRule type="cellIs" dxfId="1233" priority="743" operator="lessThan">
      <formula>0</formula>
    </cfRule>
  </conditionalFormatting>
  <conditionalFormatting sqref="AN62">
    <cfRule type="cellIs" dxfId="1232" priority="744" operator="greaterThanOrEqual">
      <formula>0</formula>
    </cfRule>
  </conditionalFormatting>
  <conditionalFormatting sqref="V62">
    <cfRule type="cellIs" dxfId="1231" priority="745" operator="lessThan">
      <formula>0</formula>
    </cfRule>
  </conditionalFormatting>
  <conditionalFormatting sqref="V62">
    <cfRule type="cellIs" dxfId="1230" priority="746" operator="greaterThanOrEqual">
      <formula>0</formula>
    </cfRule>
  </conditionalFormatting>
  <conditionalFormatting sqref="Y62">
    <cfRule type="cellIs" dxfId="1229" priority="747" operator="lessThan">
      <formula>0</formula>
    </cfRule>
  </conditionalFormatting>
  <conditionalFormatting sqref="Y62">
    <cfRule type="cellIs" dxfId="1228" priority="748" operator="greaterThanOrEqual">
      <formula>0</formula>
    </cfRule>
  </conditionalFormatting>
  <conditionalFormatting sqref="AK62">
    <cfRule type="cellIs" dxfId="1227" priority="751" operator="lessThan">
      <formula>0</formula>
    </cfRule>
  </conditionalFormatting>
  <conditionalFormatting sqref="AK62">
    <cfRule type="cellIs" dxfId="1226" priority="752" operator="greaterThanOrEqual">
      <formula>0</formula>
    </cfRule>
  </conditionalFormatting>
  <conditionalFormatting sqref="AB62">
    <cfRule type="cellIs" dxfId="1225" priority="739" operator="lessThan">
      <formula>0</formula>
    </cfRule>
  </conditionalFormatting>
  <conditionalFormatting sqref="AB62">
    <cfRule type="cellIs" dxfId="1224" priority="740" operator="greaterThanOrEqual">
      <formula>0</formula>
    </cfRule>
  </conditionalFormatting>
  <conditionalFormatting sqref="G68 P68 S68">
    <cfRule type="cellIs" dxfId="1223" priority="735" operator="lessThan">
      <formula>0</formula>
    </cfRule>
  </conditionalFormatting>
  <conditionalFormatting sqref="G68 P68 S68">
    <cfRule type="cellIs" dxfId="1222" priority="736" operator="greaterThanOrEqual">
      <formula>0</formula>
    </cfRule>
  </conditionalFormatting>
  <conditionalFormatting sqref="J68 M68">
    <cfRule type="cellIs" dxfId="1221" priority="737" operator="lessThanOrEqual">
      <formula>0</formula>
    </cfRule>
  </conditionalFormatting>
  <conditionalFormatting sqref="J68 M68">
    <cfRule type="cellIs" dxfId="1220" priority="738" operator="greaterThan">
      <formula>0</formula>
    </cfRule>
  </conditionalFormatting>
  <conditionalFormatting sqref="V68">
    <cfRule type="cellIs" dxfId="1219" priority="727" operator="lessThan">
      <formula>0</formula>
    </cfRule>
  </conditionalFormatting>
  <conditionalFormatting sqref="V68">
    <cfRule type="cellIs" dxfId="1218" priority="728" operator="greaterThanOrEqual">
      <formula>0</formula>
    </cfRule>
  </conditionalFormatting>
  <conditionalFormatting sqref="AH68">
    <cfRule type="cellIs" dxfId="1217" priority="731" operator="lessThan">
      <formula>0</formula>
    </cfRule>
  </conditionalFormatting>
  <conditionalFormatting sqref="AH68">
    <cfRule type="cellIs" dxfId="1216" priority="732" operator="greaterThanOrEqual">
      <formula>0</formula>
    </cfRule>
  </conditionalFormatting>
  <conditionalFormatting sqref="AE68">
    <cfRule type="cellIs" dxfId="1215" priority="723" operator="lessThan">
      <formula>0</formula>
    </cfRule>
  </conditionalFormatting>
  <conditionalFormatting sqref="AE68">
    <cfRule type="cellIs" dxfId="1214" priority="724" operator="greaterThanOrEqual">
      <formula>0</formula>
    </cfRule>
  </conditionalFormatting>
  <conditionalFormatting sqref="G74 P74 S74">
    <cfRule type="cellIs" dxfId="1213" priority="717" operator="lessThan">
      <formula>0</formula>
    </cfRule>
  </conditionalFormatting>
  <conditionalFormatting sqref="G74 P74 S74">
    <cfRule type="cellIs" dxfId="1212" priority="718" operator="greaterThanOrEqual">
      <formula>0</formula>
    </cfRule>
  </conditionalFormatting>
  <conditionalFormatting sqref="J74 M74">
    <cfRule type="cellIs" dxfId="1211" priority="719" operator="lessThanOrEqual">
      <formula>0</formula>
    </cfRule>
  </conditionalFormatting>
  <conditionalFormatting sqref="J74 M74">
    <cfRule type="cellIs" dxfId="1210" priority="720" operator="greaterThan">
      <formula>0</formula>
    </cfRule>
  </conditionalFormatting>
  <conditionalFormatting sqref="AN74">
    <cfRule type="cellIs" dxfId="1209" priority="707" operator="lessThan">
      <formula>0</formula>
    </cfRule>
  </conditionalFormatting>
  <conditionalFormatting sqref="AN74">
    <cfRule type="cellIs" dxfId="1208" priority="708" operator="greaterThanOrEqual">
      <formula>0</formula>
    </cfRule>
  </conditionalFormatting>
  <conditionalFormatting sqref="Y74">
    <cfRule type="cellIs" dxfId="1207" priority="711" operator="lessThan">
      <formula>0</formula>
    </cfRule>
  </conditionalFormatting>
  <conditionalFormatting sqref="Y74">
    <cfRule type="cellIs" dxfId="1206" priority="712" operator="greaterThanOrEqual">
      <formula>0</formula>
    </cfRule>
  </conditionalFormatting>
  <conditionalFormatting sqref="AK74">
    <cfRule type="cellIs" dxfId="1205" priority="715" operator="lessThan">
      <formula>0</formula>
    </cfRule>
  </conditionalFormatting>
  <conditionalFormatting sqref="AK74">
    <cfRule type="cellIs" dxfId="1204" priority="716" operator="greaterThanOrEqual">
      <formula>0</formula>
    </cfRule>
  </conditionalFormatting>
  <conditionalFormatting sqref="AB74">
    <cfRule type="cellIs" dxfId="1203" priority="703" operator="lessThan">
      <formula>0</formula>
    </cfRule>
  </conditionalFormatting>
  <conditionalFormatting sqref="AB74">
    <cfRule type="cellIs" dxfId="1202" priority="704" operator="greaterThanOrEqual">
      <formula>0</formula>
    </cfRule>
  </conditionalFormatting>
  <conditionalFormatting sqref="G80 P80 S80">
    <cfRule type="cellIs" dxfId="1201" priority="699" operator="lessThan">
      <formula>0</formula>
    </cfRule>
  </conditionalFormatting>
  <conditionalFormatting sqref="G80 P80 S80">
    <cfRule type="cellIs" dxfId="1200" priority="700" operator="greaterThanOrEqual">
      <formula>0</formula>
    </cfRule>
  </conditionalFormatting>
  <conditionalFormatting sqref="J80 M80">
    <cfRule type="cellIs" dxfId="1199" priority="701" operator="lessThanOrEqual">
      <formula>0</formula>
    </cfRule>
  </conditionalFormatting>
  <conditionalFormatting sqref="J80 M80">
    <cfRule type="cellIs" dxfId="1198" priority="702" operator="greaterThan">
      <formula>0</formula>
    </cfRule>
  </conditionalFormatting>
  <conditionalFormatting sqref="AN80">
    <cfRule type="cellIs" dxfId="1197" priority="689" operator="lessThan">
      <formula>0</formula>
    </cfRule>
  </conditionalFormatting>
  <conditionalFormatting sqref="AN80">
    <cfRule type="cellIs" dxfId="1196" priority="690" operator="greaterThanOrEqual">
      <formula>0</formula>
    </cfRule>
  </conditionalFormatting>
  <conditionalFormatting sqref="V80">
    <cfRule type="cellIs" dxfId="1195" priority="691" operator="lessThan">
      <formula>0</formula>
    </cfRule>
  </conditionalFormatting>
  <conditionalFormatting sqref="V80">
    <cfRule type="cellIs" dxfId="1194" priority="692" operator="greaterThanOrEqual">
      <formula>0</formula>
    </cfRule>
  </conditionalFormatting>
  <conditionalFormatting sqref="AH80">
    <cfRule type="cellIs" dxfId="1193" priority="695" operator="lessThan">
      <formula>0</formula>
    </cfRule>
  </conditionalFormatting>
  <conditionalFormatting sqref="AH80">
    <cfRule type="cellIs" dxfId="1192" priority="696" operator="greaterThanOrEqual">
      <formula>0</formula>
    </cfRule>
  </conditionalFormatting>
  <conditionalFormatting sqref="AE80">
    <cfRule type="cellIs" dxfId="1191" priority="687" operator="lessThan">
      <formula>0</formula>
    </cfRule>
  </conditionalFormatting>
  <conditionalFormatting sqref="AE80">
    <cfRule type="cellIs" dxfId="1190" priority="688" operator="greaterThanOrEqual">
      <formula>0</formula>
    </cfRule>
  </conditionalFormatting>
  <conditionalFormatting sqref="J86 M86">
    <cfRule type="cellIs" dxfId="1189" priority="683" operator="lessThanOrEqual">
      <formula>0</formula>
    </cfRule>
  </conditionalFormatting>
  <conditionalFormatting sqref="J86 M86">
    <cfRule type="cellIs" dxfId="1188" priority="684" operator="greaterThan">
      <formula>0</formula>
    </cfRule>
  </conditionalFormatting>
  <conditionalFormatting sqref="AN86">
    <cfRule type="cellIs" dxfId="1187" priority="671" operator="lessThan">
      <formula>0</formula>
    </cfRule>
  </conditionalFormatting>
  <conditionalFormatting sqref="AN86">
    <cfRule type="cellIs" dxfId="1186" priority="672" operator="greaterThanOrEqual">
      <formula>0</formula>
    </cfRule>
  </conditionalFormatting>
  <conditionalFormatting sqref="Y86">
    <cfRule type="cellIs" dxfId="1185" priority="675" operator="lessThan">
      <formula>0</formula>
    </cfRule>
  </conditionalFormatting>
  <conditionalFormatting sqref="Y86">
    <cfRule type="cellIs" dxfId="1184" priority="676" operator="greaterThanOrEqual">
      <formula>0</formula>
    </cfRule>
  </conditionalFormatting>
  <conditionalFormatting sqref="AK86">
    <cfRule type="cellIs" dxfId="1183" priority="679" operator="lessThan">
      <formula>0</formula>
    </cfRule>
  </conditionalFormatting>
  <conditionalFormatting sqref="AK86">
    <cfRule type="cellIs" dxfId="1182" priority="680" operator="greaterThanOrEqual">
      <formula>0</formula>
    </cfRule>
  </conditionalFormatting>
  <conditionalFormatting sqref="AB86">
    <cfRule type="cellIs" dxfId="1181" priority="667" operator="lessThan">
      <formula>0</formula>
    </cfRule>
  </conditionalFormatting>
  <conditionalFormatting sqref="AB86">
    <cfRule type="cellIs" dxfId="1180" priority="668" operator="greaterThanOrEqual">
      <formula>0</formula>
    </cfRule>
  </conditionalFormatting>
  <conditionalFormatting sqref="G92 P92 S92">
    <cfRule type="cellIs" dxfId="1179" priority="663" operator="lessThan">
      <formula>0</formula>
    </cfRule>
  </conditionalFormatting>
  <conditionalFormatting sqref="G92 P92 S92">
    <cfRule type="cellIs" dxfId="1178" priority="664" operator="greaterThanOrEqual">
      <formula>0</formula>
    </cfRule>
  </conditionalFormatting>
  <conditionalFormatting sqref="J92 M92">
    <cfRule type="cellIs" dxfId="1177" priority="665" operator="lessThanOrEqual">
      <formula>0</formula>
    </cfRule>
  </conditionalFormatting>
  <conditionalFormatting sqref="J92 M92">
    <cfRule type="cellIs" dxfId="1176" priority="666" operator="greaterThan">
      <formula>0</formula>
    </cfRule>
  </conditionalFormatting>
  <conditionalFormatting sqref="V92">
    <cfRule type="cellIs" dxfId="1175" priority="655" operator="lessThan">
      <formula>0</formula>
    </cfRule>
  </conditionalFormatting>
  <conditionalFormatting sqref="V92">
    <cfRule type="cellIs" dxfId="1174" priority="656" operator="greaterThanOrEqual">
      <formula>0</formula>
    </cfRule>
  </conditionalFormatting>
  <conditionalFormatting sqref="AH92">
    <cfRule type="cellIs" dxfId="1173" priority="659" operator="lessThan">
      <formula>0</formula>
    </cfRule>
  </conditionalFormatting>
  <conditionalFormatting sqref="AH92">
    <cfRule type="cellIs" dxfId="1172" priority="660" operator="greaterThanOrEqual">
      <formula>0</formula>
    </cfRule>
  </conditionalFormatting>
  <conditionalFormatting sqref="AK92">
    <cfRule type="cellIs" dxfId="1171" priority="661" operator="lessThan">
      <formula>0</formula>
    </cfRule>
  </conditionalFormatting>
  <conditionalFormatting sqref="AK92">
    <cfRule type="cellIs" dxfId="1170" priority="662" operator="greaterThanOrEqual">
      <formula>0</formula>
    </cfRule>
  </conditionalFormatting>
  <conditionalFormatting sqref="AE92">
    <cfRule type="cellIs" dxfId="1169" priority="651" operator="lessThan">
      <formula>0</formula>
    </cfRule>
  </conditionalFormatting>
  <conditionalFormatting sqref="AE92">
    <cfRule type="cellIs" dxfId="1168" priority="652" operator="greaterThanOrEqual">
      <formula>0</formula>
    </cfRule>
  </conditionalFormatting>
  <conditionalFormatting sqref="J98 M98">
    <cfRule type="cellIs" dxfId="1167" priority="647" operator="lessThanOrEqual">
      <formula>0</formula>
    </cfRule>
  </conditionalFormatting>
  <conditionalFormatting sqref="J98 M98">
    <cfRule type="cellIs" dxfId="1166" priority="648" operator="greaterThan">
      <formula>0</formula>
    </cfRule>
  </conditionalFormatting>
  <conditionalFormatting sqref="AN98">
    <cfRule type="cellIs" dxfId="1165" priority="635" operator="lessThan">
      <formula>0</formula>
    </cfRule>
  </conditionalFormatting>
  <conditionalFormatting sqref="AN98">
    <cfRule type="cellIs" dxfId="1164" priority="636" operator="greaterThanOrEqual">
      <formula>0</formula>
    </cfRule>
  </conditionalFormatting>
  <conditionalFormatting sqref="Y98">
    <cfRule type="cellIs" dxfId="1163" priority="639" operator="lessThan">
      <formula>0</formula>
    </cfRule>
  </conditionalFormatting>
  <conditionalFormatting sqref="Y98">
    <cfRule type="cellIs" dxfId="1162" priority="640" operator="greaterThanOrEqual">
      <formula>0</formula>
    </cfRule>
  </conditionalFormatting>
  <conditionalFormatting sqref="AK98">
    <cfRule type="cellIs" dxfId="1161" priority="643" operator="lessThan">
      <formula>0</formula>
    </cfRule>
  </conditionalFormatting>
  <conditionalFormatting sqref="AK98">
    <cfRule type="cellIs" dxfId="1160" priority="644" operator="greaterThanOrEqual">
      <formula>0</formula>
    </cfRule>
  </conditionalFormatting>
  <conditionalFormatting sqref="AE98">
    <cfRule type="cellIs" dxfId="1159" priority="633" operator="lessThan">
      <formula>0</formula>
    </cfRule>
  </conditionalFormatting>
  <conditionalFormatting sqref="AE98">
    <cfRule type="cellIs" dxfId="1158" priority="634" operator="greaterThanOrEqual">
      <formula>0</formula>
    </cfRule>
  </conditionalFormatting>
  <conditionalFormatting sqref="AB98">
    <cfRule type="cellIs" dxfId="1157" priority="631" operator="lessThan">
      <formula>0</formula>
    </cfRule>
  </conditionalFormatting>
  <conditionalFormatting sqref="AB98">
    <cfRule type="cellIs" dxfId="1156" priority="632" operator="greaterThanOrEqual">
      <formula>0</formula>
    </cfRule>
  </conditionalFormatting>
  <conditionalFormatting sqref="G104 P104 S104">
    <cfRule type="cellIs" dxfId="1155" priority="627" operator="lessThan">
      <formula>0</formula>
    </cfRule>
  </conditionalFormatting>
  <conditionalFormatting sqref="G104 P104 S104">
    <cfRule type="cellIs" dxfId="1154" priority="628" operator="greaterThanOrEqual">
      <formula>0</formula>
    </cfRule>
  </conditionalFormatting>
  <conditionalFormatting sqref="J104 M104">
    <cfRule type="cellIs" dxfId="1153" priority="629" operator="lessThanOrEqual">
      <formula>0</formula>
    </cfRule>
  </conditionalFormatting>
  <conditionalFormatting sqref="J104 M104">
    <cfRule type="cellIs" dxfId="1152" priority="630" operator="greaterThan">
      <formula>0</formula>
    </cfRule>
  </conditionalFormatting>
  <conditionalFormatting sqref="V104">
    <cfRule type="cellIs" dxfId="1151" priority="619" operator="lessThan">
      <formula>0</formula>
    </cfRule>
  </conditionalFormatting>
  <conditionalFormatting sqref="V104">
    <cfRule type="cellIs" dxfId="1150" priority="620" operator="greaterThanOrEqual">
      <formula>0</formula>
    </cfRule>
  </conditionalFormatting>
  <conditionalFormatting sqref="AH104">
    <cfRule type="cellIs" dxfId="1149" priority="623" operator="lessThan">
      <formula>0</formula>
    </cfRule>
  </conditionalFormatting>
  <conditionalFormatting sqref="AH104">
    <cfRule type="cellIs" dxfId="1148" priority="624" operator="greaterThanOrEqual">
      <formula>0</formula>
    </cfRule>
  </conditionalFormatting>
  <conditionalFormatting sqref="AE104">
    <cfRule type="cellIs" dxfId="1147" priority="615" operator="lessThan">
      <formula>0</formula>
    </cfRule>
  </conditionalFormatting>
  <conditionalFormatting sqref="AE104">
    <cfRule type="cellIs" dxfId="1146" priority="616" operator="greaterThanOrEqual">
      <formula>0</formula>
    </cfRule>
  </conditionalFormatting>
  <conditionalFormatting sqref="J110 M110">
    <cfRule type="cellIs" dxfId="1145" priority="611" operator="lessThanOrEqual">
      <formula>0</formula>
    </cfRule>
  </conditionalFormatting>
  <conditionalFormatting sqref="J110 M110">
    <cfRule type="cellIs" dxfId="1144" priority="612" operator="greaterThan">
      <formula>0</formula>
    </cfRule>
  </conditionalFormatting>
  <conditionalFormatting sqref="AN110">
    <cfRule type="cellIs" dxfId="1143" priority="599" operator="lessThan">
      <formula>0</formula>
    </cfRule>
  </conditionalFormatting>
  <conditionalFormatting sqref="AN110">
    <cfRule type="cellIs" dxfId="1142" priority="600" operator="greaterThanOrEqual">
      <formula>0</formula>
    </cfRule>
  </conditionalFormatting>
  <conditionalFormatting sqref="Y110">
    <cfRule type="cellIs" dxfId="1141" priority="603" operator="lessThan">
      <formula>0</formula>
    </cfRule>
  </conditionalFormatting>
  <conditionalFormatting sqref="Y110">
    <cfRule type="cellIs" dxfId="1140" priority="604" operator="greaterThanOrEqual">
      <formula>0</formula>
    </cfRule>
  </conditionalFormatting>
  <conditionalFormatting sqref="AH110">
    <cfRule type="cellIs" dxfId="1139" priority="605" operator="lessThan">
      <formula>0</formula>
    </cfRule>
  </conditionalFormatting>
  <conditionalFormatting sqref="AH110">
    <cfRule type="cellIs" dxfId="1138" priority="606" operator="greaterThanOrEqual">
      <formula>0</formula>
    </cfRule>
  </conditionalFormatting>
  <conditionalFormatting sqref="AK110">
    <cfRule type="cellIs" dxfId="1137" priority="607" operator="lessThan">
      <formula>0</formula>
    </cfRule>
  </conditionalFormatting>
  <conditionalFormatting sqref="AK110">
    <cfRule type="cellIs" dxfId="1136" priority="608" operator="greaterThanOrEqual">
      <formula>0</formula>
    </cfRule>
  </conditionalFormatting>
  <conditionalFormatting sqref="AB110">
    <cfRule type="cellIs" dxfId="1135" priority="595" operator="lessThan">
      <formula>0</formula>
    </cfRule>
  </conditionalFormatting>
  <conditionalFormatting sqref="AB110">
    <cfRule type="cellIs" dxfId="1134" priority="596" operator="greaterThanOrEqual">
      <formula>0</formula>
    </cfRule>
  </conditionalFormatting>
  <conditionalFormatting sqref="G116 P116 S116">
    <cfRule type="cellIs" dxfId="1133" priority="591" operator="lessThan">
      <formula>0</formula>
    </cfRule>
  </conditionalFormatting>
  <conditionalFormatting sqref="G116 P116 S116">
    <cfRule type="cellIs" dxfId="1132" priority="592" operator="greaterThanOrEqual">
      <formula>0</formula>
    </cfRule>
  </conditionalFormatting>
  <conditionalFormatting sqref="J116 M116">
    <cfRule type="cellIs" dxfId="1131" priority="593" operator="lessThanOrEqual">
      <formula>0</formula>
    </cfRule>
  </conditionalFormatting>
  <conditionalFormatting sqref="J116 M116">
    <cfRule type="cellIs" dxfId="1130" priority="594" operator="greaterThan">
      <formula>0</formula>
    </cfRule>
  </conditionalFormatting>
  <conditionalFormatting sqref="V116">
    <cfRule type="cellIs" dxfId="1129" priority="583" operator="lessThan">
      <formula>0</formula>
    </cfRule>
  </conditionalFormatting>
  <conditionalFormatting sqref="V116">
    <cfRule type="cellIs" dxfId="1128" priority="584" operator="greaterThanOrEqual">
      <formula>0</formula>
    </cfRule>
  </conditionalFormatting>
  <conditionalFormatting sqref="AH116">
    <cfRule type="cellIs" dxfId="1127" priority="587" operator="lessThan">
      <formula>0</formula>
    </cfRule>
  </conditionalFormatting>
  <conditionalFormatting sqref="AH116">
    <cfRule type="cellIs" dxfId="1126" priority="588" operator="greaterThanOrEqual">
      <formula>0</formula>
    </cfRule>
  </conditionalFormatting>
  <conditionalFormatting sqref="AE116">
    <cfRule type="cellIs" dxfId="1125" priority="579" operator="lessThan">
      <formula>0</formula>
    </cfRule>
  </conditionalFormatting>
  <conditionalFormatting sqref="AE116">
    <cfRule type="cellIs" dxfId="1124" priority="580" operator="greaterThanOrEqual">
      <formula>0</formula>
    </cfRule>
  </conditionalFormatting>
  <conditionalFormatting sqref="AB116">
    <cfRule type="cellIs" dxfId="1123" priority="577" operator="lessThan">
      <formula>0</formula>
    </cfRule>
  </conditionalFormatting>
  <conditionalFormatting sqref="AB116">
    <cfRule type="cellIs" dxfId="1122" priority="578" operator="greaterThanOrEqual">
      <formula>0</formula>
    </cfRule>
  </conditionalFormatting>
  <conditionalFormatting sqref="J122 M122">
    <cfRule type="cellIs" dxfId="1121" priority="575" operator="lessThanOrEqual">
      <formula>0</formula>
    </cfRule>
  </conditionalFormatting>
  <conditionalFormatting sqref="J122 M122">
    <cfRule type="cellIs" dxfId="1120" priority="576" operator="greaterThan">
      <formula>0</formula>
    </cfRule>
  </conditionalFormatting>
  <conditionalFormatting sqref="AN122">
    <cfRule type="cellIs" dxfId="1119" priority="563" operator="lessThan">
      <formula>0</formula>
    </cfRule>
  </conditionalFormatting>
  <conditionalFormatting sqref="AN122">
    <cfRule type="cellIs" dxfId="1118" priority="564" operator="greaterThanOrEqual">
      <formula>0</formula>
    </cfRule>
  </conditionalFormatting>
  <conditionalFormatting sqref="Y122">
    <cfRule type="cellIs" dxfId="1117" priority="567" operator="lessThan">
      <formula>0</formula>
    </cfRule>
  </conditionalFormatting>
  <conditionalFormatting sqref="Y122">
    <cfRule type="cellIs" dxfId="1116" priority="568" operator="greaterThanOrEqual">
      <formula>0</formula>
    </cfRule>
  </conditionalFormatting>
  <conditionalFormatting sqref="AK122">
    <cfRule type="cellIs" dxfId="1115" priority="571" operator="lessThan">
      <formula>0</formula>
    </cfRule>
  </conditionalFormatting>
  <conditionalFormatting sqref="AK122">
    <cfRule type="cellIs" dxfId="1114" priority="572" operator="greaterThanOrEqual">
      <formula>0</formula>
    </cfRule>
  </conditionalFormatting>
  <conditionalFormatting sqref="AB122">
    <cfRule type="cellIs" dxfId="1113" priority="559" operator="lessThan">
      <formula>0</formula>
    </cfRule>
  </conditionalFormatting>
  <conditionalFormatting sqref="AB122">
    <cfRule type="cellIs" dxfId="1112" priority="560" operator="greaterThanOrEqual">
      <formula>0</formula>
    </cfRule>
  </conditionalFormatting>
  <conditionalFormatting sqref="G128 P128 S128">
    <cfRule type="cellIs" dxfId="1111" priority="555" operator="lessThan">
      <formula>0</formula>
    </cfRule>
  </conditionalFormatting>
  <conditionalFormatting sqref="G128 P128 S128">
    <cfRule type="cellIs" dxfId="1110" priority="556" operator="greaterThanOrEqual">
      <formula>0</formula>
    </cfRule>
  </conditionalFormatting>
  <conditionalFormatting sqref="J128 M128">
    <cfRule type="cellIs" dxfId="1109" priority="557" operator="lessThanOrEqual">
      <formula>0</formula>
    </cfRule>
  </conditionalFormatting>
  <conditionalFormatting sqref="J128 M128">
    <cfRule type="cellIs" dxfId="1108" priority="558" operator="greaterThan">
      <formula>0</formula>
    </cfRule>
  </conditionalFormatting>
  <conditionalFormatting sqref="V128">
    <cfRule type="cellIs" dxfId="1107" priority="547" operator="lessThan">
      <formula>0</formula>
    </cfRule>
  </conditionalFormatting>
  <conditionalFormatting sqref="V128">
    <cfRule type="cellIs" dxfId="1106" priority="548" operator="greaterThanOrEqual">
      <formula>0</formula>
    </cfRule>
  </conditionalFormatting>
  <conditionalFormatting sqref="Y128">
    <cfRule type="cellIs" dxfId="1105" priority="549" operator="lessThan">
      <formula>0</formula>
    </cfRule>
  </conditionalFormatting>
  <conditionalFormatting sqref="Y128">
    <cfRule type="cellIs" dxfId="1104" priority="550" operator="greaterThanOrEqual">
      <formula>0</formula>
    </cfRule>
  </conditionalFormatting>
  <conditionalFormatting sqref="AH128">
    <cfRule type="cellIs" dxfId="1103" priority="551" operator="lessThan">
      <formula>0</formula>
    </cfRule>
  </conditionalFormatting>
  <conditionalFormatting sqref="AH128">
    <cfRule type="cellIs" dxfId="1102" priority="552" operator="greaterThanOrEqual">
      <formula>0</formula>
    </cfRule>
  </conditionalFormatting>
  <conditionalFormatting sqref="AE128">
    <cfRule type="cellIs" dxfId="1101" priority="543" operator="lessThan">
      <formula>0</formula>
    </cfRule>
  </conditionalFormatting>
  <conditionalFormatting sqref="AE128">
    <cfRule type="cellIs" dxfId="1100" priority="544" operator="greaterThanOrEqual">
      <formula>0</formula>
    </cfRule>
  </conditionalFormatting>
  <conditionalFormatting sqref="J134 M134">
    <cfRule type="cellIs" dxfId="1099" priority="539" operator="lessThanOrEqual">
      <formula>0</formula>
    </cfRule>
  </conditionalFormatting>
  <conditionalFormatting sqref="J134 M134">
    <cfRule type="cellIs" dxfId="1098" priority="540" operator="greaterThan">
      <formula>0</formula>
    </cfRule>
  </conditionalFormatting>
  <conditionalFormatting sqref="AN134">
    <cfRule type="cellIs" dxfId="1097" priority="527" operator="lessThan">
      <formula>0</formula>
    </cfRule>
  </conditionalFormatting>
  <conditionalFormatting sqref="AN134">
    <cfRule type="cellIs" dxfId="1096" priority="528" operator="greaterThanOrEqual">
      <formula>0</formula>
    </cfRule>
  </conditionalFormatting>
  <conditionalFormatting sqref="Y134">
    <cfRule type="cellIs" dxfId="1095" priority="531" operator="lessThan">
      <formula>0</formula>
    </cfRule>
  </conditionalFormatting>
  <conditionalFormatting sqref="Y134">
    <cfRule type="cellIs" dxfId="1094" priority="532" operator="greaterThanOrEqual">
      <formula>0</formula>
    </cfRule>
  </conditionalFormatting>
  <conditionalFormatting sqref="AK134">
    <cfRule type="cellIs" dxfId="1093" priority="535" operator="lessThan">
      <formula>0</formula>
    </cfRule>
  </conditionalFormatting>
  <conditionalFormatting sqref="AK134">
    <cfRule type="cellIs" dxfId="1092" priority="536" operator="greaterThanOrEqual">
      <formula>0</formula>
    </cfRule>
  </conditionalFormatting>
  <conditionalFormatting sqref="AB134">
    <cfRule type="cellIs" dxfId="1091" priority="523" operator="lessThan">
      <formula>0</formula>
    </cfRule>
  </conditionalFormatting>
  <conditionalFormatting sqref="AB134">
    <cfRule type="cellIs" dxfId="1090" priority="524" operator="greaterThanOrEqual">
      <formula>0</formula>
    </cfRule>
  </conditionalFormatting>
  <conditionalFormatting sqref="G140 P140 S140">
    <cfRule type="cellIs" dxfId="1089" priority="519" operator="lessThan">
      <formula>0</formula>
    </cfRule>
  </conditionalFormatting>
  <conditionalFormatting sqref="G140 P140 S140">
    <cfRule type="cellIs" dxfId="1088" priority="520" operator="greaterThanOrEqual">
      <formula>0</formula>
    </cfRule>
  </conditionalFormatting>
  <conditionalFormatting sqref="J140 M140">
    <cfRule type="cellIs" dxfId="1087" priority="521" operator="lessThanOrEqual">
      <formula>0</formula>
    </cfRule>
  </conditionalFormatting>
  <conditionalFormatting sqref="J140 M140">
    <cfRule type="cellIs" dxfId="1086" priority="522" operator="greaterThan">
      <formula>0</formula>
    </cfRule>
  </conditionalFormatting>
  <conditionalFormatting sqref="V140">
    <cfRule type="cellIs" dxfId="1085" priority="511" operator="lessThan">
      <formula>0</formula>
    </cfRule>
  </conditionalFormatting>
  <conditionalFormatting sqref="V140">
    <cfRule type="cellIs" dxfId="1084" priority="512" operator="greaterThanOrEqual">
      <formula>0</formula>
    </cfRule>
  </conditionalFormatting>
  <conditionalFormatting sqref="AH140">
    <cfRule type="cellIs" dxfId="1083" priority="515" operator="lessThan">
      <formula>0</formula>
    </cfRule>
  </conditionalFormatting>
  <conditionalFormatting sqref="AH140">
    <cfRule type="cellIs" dxfId="1082" priority="516" operator="greaterThanOrEqual">
      <formula>0</formula>
    </cfRule>
  </conditionalFormatting>
  <conditionalFormatting sqref="AE140">
    <cfRule type="cellIs" dxfId="1081" priority="507" operator="lessThan">
      <formula>0</formula>
    </cfRule>
  </conditionalFormatting>
  <conditionalFormatting sqref="AE140">
    <cfRule type="cellIs" dxfId="1080" priority="508" operator="greaterThanOrEqual">
      <formula>0</formula>
    </cfRule>
  </conditionalFormatting>
  <conditionalFormatting sqref="J146 M146">
    <cfRule type="cellIs" dxfId="1079" priority="503" operator="lessThanOrEqual">
      <formula>0</formula>
    </cfRule>
  </conditionalFormatting>
  <conditionalFormatting sqref="J146 M146">
    <cfRule type="cellIs" dxfId="1078" priority="504" operator="greaterThan">
      <formula>0</formula>
    </cfRule>
  </conditionalFormatting>
  <conditionalFormatting sqref="AN146">
    <cfRule type="cellIs" dxfId="1077" priority="491" operator="lessThan">
      <formula>0</formula>
    </cfRule>
  </conditionalFormatting>
  <conditionalFormatting sqref="AN146">
    <cfRule type="cellIs" dxfId="1076" priority="492" operator="greaterThanOrEqual">
      <formula>0</formula>
    </cfRule>
  </conditionalFormatting>
  <conditionalFormatting sqref="V146">
    <cfRule type="cellIs" dxfId="1075" priority="493" operator="lessThan">
      <formula>0</formula>
    </cfRule>
  </conditionalFormatting>
  <conditionalFormatting sqref="V146">
    <cfRule type="cellIs" dxfId="1074" priority="494" operator="greaterThanOrEqual">
      <formula>0</formula>
    </cfRule>
  </conditionalFormatting>
  <conditionalFormatting sqref="Y146">
    <cfRule type="cellIs" dxfId="1073" priority="495" operator="lessThan">
      <formula>0</formula>
    </cfRule>
  </conditionalFormatting>
  <conditionalFormatting sqref="Y146">
    <cfRule type="cellIs" dxfId="1072" priority="496" operator="greaterThanOrEqual">
      <formula>0</formula>
    </cfRule>
  </conditionalFormatting>
  <conditionalFormatting sqref="AK146">
    <cfRule type="cellIs" dxfId="1071" priority="499" operator="lessThan">
      <formula>0</formula>
    </cfRule>
  </conditionalFormatting>
  <conditionalFormatting sqref="AK146">
    <cfRule type="cellIs" dxfId="1070" priority="500" operator="greaterThanOrEqual">
      <formula>0</formula>
    </cfRule>
  </conditionalFormatting>
  <conditionalFormatting sqref="AB146">
    <cfRule type="cellIs" dxfId="1069" priority="487" operator="lessThan">
      <formula>0</formula>
    </cfRule>
  </conditionalFormatting>
  <conditionalFormatting sqref="AB146">
    <cfRule type="cellIs" dxfId="1068" priority="488" operator="greaterThanOrEqual">
      <formula>0</formula>
    </cfRule>
  </conditionalFormatting>
  <conditionalFormatting sqref="G152 P152 S152">
    <cfRule type="cellIs" dxfId="1067" priority="483" operator="lessThan">
      <formula>0</formula>
    </cfRule>
  </conditionalFormatting>
  <conditionalFormatting sqref="G152 P152 S152">
    <cfRule type="cellIs" dxfId="1066" priority="484" operator="greaterThanOrEqual">
      <formula>0</formula>
    </cfRule>
  </conditionalFormatting>
  <conditionalFormatting sqref="J152 M152">
    <cfRule type="cellIs" dxfId="1065" priority="485" operator="lessThanOrEqual">
      <formula>0</formula>
    </cfRule>
  </conditionalFormatting>
  <conditionalFormatting sqref="J152 M152">
    <cfRule type="cellIs" dxfId="1064" priority="486" operator="greaterThan">
      <formula>0</formula>
    </cfRule>
  </conditionalFormatting>
  <conditionalFormatting sqref="V152">
    <cfRule type="cellIs" dxfId="1063" priority="475" operator="lessThan">
      <formula>0</formula>
    </cfRule>
  </conditionalFormatting>
  <conditionalFormatting sqref="V152">
    <cfRule type="cellIs" dxfId="1062" priority="476" operator="greaterThanOrEqual">
      <formula>0</formula>
    </cfRule>
  </conditionalFormatting>
  <conditionalFormatting sqref="AH152">
    <cfRule type="cellIs" dxfId="1061" priority="479" operator="lessThan">
      <formula>0</formula>
    </cfRule>
  </conditionalFormatting>
  <conditionalFormatting sqref="AH152">
    <cfRule type="cellIs" dxfId="1060" priority="480" operator="greaterThanOrEqual">
      <formula>0</formula>
    </cfRule>
  </conditionalFormatting>
  <conditionalFormatting sqref="AE152">
    <cfRule type="cellIs" dxfId="1059" priority="471" operator="lessThan">
      <formula>0</formula>
    </cfRule>
  </conditionalFormatting>
  <conditionalFormatting sqref="AE152">
    <cfRule type="cellIs" dxfId="1058" priority="472" operator="greaterThanOrEqual">
      <formula>0</formula>
    </cfRule>
  </conditionalFormatting>
  <conditionalFormatting sqref="G158 P158 S158">
    <cfRule type="cellIs" dxfId="1057" priority="465" operator="lessThan">
      <formula>0</formula>
    </cfRule>
  </conditionalFormatting>
  <conditionalFormatting sqref="G158 P158 S158">
    <cfRule type="cellIs" dxfId="1056" priority="466" operator="greaterThanOrEqual">
      <formula>0</formula>
    </cfRule>
  </conditionalFormatting>
  <conditionalFormatting sqref="J158 M158">
    <cfRule type="cellIs" dxfId="1055" priority="467" operator="lessThanOrEqual">
      <formula>0</formula>
    </cfRule>
  </conditionalFormatting>
  <conditionalFormatting sqref="J158 M158">
    <cfRule type="cellIs" dxfId="1054" priority="468" operator="greaterThan">
      <formula>0</formula>
    </cfRule>
  </conditionalFormatting>
  <conditionalFormatting sqref="AN158">
    <cfRule type="cellIs" dxfId="1053" priority="455" operator="lessThan">
      <formula>0</formula>
    </cfRule>
  </conditionalFormatting>
  <conditionalFormatting sqref="AN158">
    <cfRule type="cellIs" dxfId="1052" priority="456" operator="greaterThanOrEqual">
      <formula>0</formula>
    </cfRule>
  </conditionalFormatting>
  <conditionalFormatting sqref="Y158">
    <cfRule type="cellIs" dxfId="1051" priority="459" operator="lessThan">
      <formula>0</formula>
    </cfRule>
  </conditionalFormatting>
  <conditionalFormatting sqref="Y158">
    <cfRule type="cellIs" dxfId="1050" priority="460" operator="greaterThanOrEqual">
      <formula>0</formula>
    </cfRule>
  </conditionalFormatting>
  <conditionalFormatting sqref="AK158">
    <cfRule type="cellIs" dxfId="1049" priority="463" operator="lessThan">
      <formula>0</formula>
    </cfRule>
  </conditionalFormatting>
  <conditionalFormatting sqref="AK158">
    <cfRule type="cellIs" dxfId="1048" priority="464" operator="greaterThanOrEqual">
      <formula>0</formula>
    </cfRule>
  </conditionalFormatting>
  <conditionalFormatting sqref="AB158">
    <cfRule type="cellIs" dxfId="1047" priority="451" operator="lessThan">
      <formula>0</formula>
    </cfRule>
  </conditionalFormatting>
  <conditionalFormatting sqref="AB158">
    <cfRule type="cellIs" dxfId="1046" priority="452" operator="greaterThanOrEqual">
      <formula>0</formula>
    </cfRule>
  </conditionalFormatting>
  <conditionalFormatting sqref="G164 P164 S164">
    <cfRule type="cellIs" dxfId="1045" priority="447" operator="lessThan">
      <formula>0</formula>
    </cfRule>
  </conditionalFormatting>
  <conditionalFormatting sqref="G164 P164 S164">
    <cfRule type="cellIs" dxfId="1044" priority="448" operator="greaterThanOrEqual">
      <formula>0</formula>
    </cfRule>
  </conditionalFormatting>
  <conditionalFormatting sqref="J164 M164">
    <cfRule type="cellIs" dxfId="1043" priority="449" operator="lessThanOrEqual">
      <formula>0</formula>
    </cfRule>
  </conditionalFormatting>
  <conditionalFormatting sqref="J164 M164">
    <cfRule type="cellIs" dxfId="1042" priority="450" operator="greaterThan">
      <formula>0</formula>
    </cfRule>
  </conditionalFormatting>
  <conditionalFormatting sqref="AN164">
    <cfRule type="cellIs" dxfId="1041" priority="437" operator="lessThan">
      <formula>0</formula>
    </cfRule>
  </conditionalFormatting>
  <conditionalFormatting sqref="AN164">
    <cfRule type="cellIs" dxfId="1040" priority="438" operator="greaterThanOrEqual">
      <formula>0</formula>
    </cfRule>
  </conditionalFormatting>
  <conditionalFormatting sqref="V164">
    <cfRule type="cellIs" dxfId="1039" priority="439" operator="lessThan">
      <formula>0</formula>
    </cfRule>
  </conditionalFormatting>
  <conditionalFormatting sqref="V164">
    <cfRule type="cellIs" dxfId="1038" priority="440" operator="greaterThanOrEqual">
      <formula>0</formula>
    </cfRule>
  </conditionalFormatting>
  <conditionalFormatting sqref="AH164">
    <cfRule type="cellIs" dxfId="1037" priority="443" operator="lessThan">
      <formula>0</formula>
    </cfRule>
  </conditionalFormatting>
  <conditionalFormatting sqref="AH164">
    <cfRule type="cellIs" dxfId="1036" priority="444" operator="greaterThanOrEqual">
      <formula>0</formula>
    </cfRule>
  </conditionalFormatting>
  <conditionalFormatting sqref="AE164">
    <cfRule type="cellIs" dxfId="1035" priority="435" operator="lessThan">
      <formula>0</formula>
    </cfRule>
  </conditionalFormatting>
  <conditionalFormatting sqref="AE164">
    <cfRule type="cellIs" dxfId="1034" priority="436" operator="greaterThanOrEqual">
      <formula>0</formula>
    </cfRule>
  </conditionalFormatting>
  <conditionalFormatting sqref="J170 M170">
    <cfRule type="cellIs" dxfId="1033" priority="431" operator="lessThanOrEqual">
      <formula>0</formula>
    </cfRule>
  </conditionalFormatting>
  <conditionalFormatting sqref="J170 M170">
    <cfRule type="cellIs" dxfId="1032" priority="432" operator="greaterThan">
      <formula>0</formula>
    </cfRule>
  </conditionalFormatting>
  <conditionalFormatting sqref="AN170">
    <cfRule type="cellIs" dxfId="1031" priority="419" operator="lessThan">
      <formula>0</formula>
    </cfRule>
  </conditionalFormatting>
  <conditionalFormatting sqref="AN170">
    <cfRule type="cellIs" dxfId="1030" priority="420" operator="greaterThanOrEqual">
      <formula>0</formula>
    </cfRule>
  </conditionalFormatting>
  <conditionalFormatting sqref="Y170">
    <cfRule type="cellIs" dxfId="1029" priority="423" operator="lessThan">
      <formula>0</formula>
    </cfRule>
  </conditionalFormatting>
  <conditionalFormatting sqref="Y170">
    <cfRule type="cellIs" dxfId="1028" priority="424" operator="greaterThanOrEqual">
      <formula>0</formula>
    </cfRule>
  </conditionalFormatting>
  <conditionalFormatting sqref="AK170">
    <cfRule type="cellIs" dxfId="1027" priority="427" operator="lessThan">
      <formula>0</formula>
    </cfRule>
  </conditionalFormatting>
  <conditionalFormatting sqref="AK170">
    <cfRule type="cellIs" dxfId="1026" priority="428" operator="greaterThanOrEqual">
      <formula>0</formula>
    </cfRule>
  </conditionalFormatting>
  <conditionalFormatting sqref="AB170">
    <cfRule type="cellIs" dxfId="1025" priority="415" operator="lessThan">
      <formula>0</formula>
    </cfRule>
  </conditionalFormatting>
  <conditionalFormatting sqref="AB170">
    <cfRule type="cellIs" dxfId="1024" priority="416" operator="greaterThanOrEqual">
      <formula>0</formula>
    </cfRule>
  </conditionalFormatting>
  <conditionalFormatting sqref="G176 P176 S176">
    <cfRule type="cellIs" dxfId="1023" priority="411" operator="lessThan">
      <formula>0</formula>
    </cfRule>
  </conditionalFormatting>
  <conditionalFormatting sqref="G176 P176 S176">
    <cfRule type="cellIs" dxfId="1022" priority="412" operator="greaterThanOrEqual">
      <formula>0</formula>
    </cfRule>
  </conditionalFormatting>
  <conditionalFormatting sqref="J176 M176">
    <cfRule type="cellIs" dxfId="1021" priority="413" operator="lessThanOrEqual">
      <formula>0</formula>
    </cfRule>
  </conditionalFormatting>
  <conditionalFormatting sqref="J176 M176">
    <cfRule type="cellIs" dxfId="1020" priority="414" operator="greaterThan">
      <formula>0</formula>
    </cfRule>
  </conditionalFormatting>
  <conditionalFormatting sqref="V176">
    <cfRule type="cellIs" dxfId="1019" priority="403" operator="lessThan">
      <formula>0</formula>
    </cfRule>
  </conditionalFormatting>
  <conditionalFormatting sqref="V176">
    <cfRule type="cellIs" dxfId="1018" priority="404" operator="greaterThanOrEqual">
      <formula>0</formula>
    </cfRule>
  </conditionalFormatting>
  <conditionalFormatting sqref="AH176">
    <cfRule type="cellIs" dxfId="1017" priority="407" operator="lessThan">
      <formula>0</formula>
    </cfRule>
  </conditionalFormatting>
  <conditionalFormatting sqref="AH176">
    <cfRule type="cellIs" dxfId="1016" priority="408" operator="greaterThanOrEqual">
      <formula>0</formula>
    </cfRule>
  </conditionalFormatting>
  <conditionalFormatting sqref="AK176">
    <cfRule type="cellIs" dxfId="1015" priority="409" operator="lessThan">
      <formula>0</formula>
    </cfRule>
  </conditionalFormatting>
  <conditionalFormatting sqref="AK176">
    <cfRule type="cellIs" dxfId="1014" priority="410" operator="greaterThanOrEqual">
      <formula>0</formula>
    </cfRule>
  </conditionalFormatting>
  <conditionalFormatting sqref="AE176">
    <cfRule type="cellIs" dxfId="1013" priority="399" operator="lessThan">
      <formula>0</formula>
    </cfRule>
  </conditionalFormatting>
  <conditionalFormatting sqref="AE176">
    <cfRule type="cellIs" dxfId="1012" priority="400" operator="greaterThanOrEqual">
      <formula>0</formula>
    </cfRule>
  </conditionalFormatting>
  <conditionalFormatting sqref="J182 M182">
    <cfRule type="cellIs" dxfId="1011" priority="395" operator="lessThanOrEqual">
      <formula>0</formula>
    </cfRule>
  </conditionalFormatting>
  <conditionalFormatting sqref="J182 M182">
    <cfRule type="cellIs" dxfId="1010" priority="396" operator="greaterThan">
      <formula>0</formula>
    </cfRule>
  </conditionalFormatting>
  <conditionalFormatting sqref="AN182">
    <cfRule type="cellIs" dxfId="1009" priority="383" operator="lessThan">
      <formula>0</formula>
    </cfRule>
  </conditionalFormatting>
  <conditionalFormatting sqref="AN182">
    <cfRule type="cellIs" dxfId="1008" priority="384" operator="greaterThanOrEqual">
      <formula>0</formula>
    </cfRule>
  </conditionalFormatting>
  <conditionalFormatting sqref="Y182">
    <cfRule type="cellIs" dxfId="1007" priority="387" operator="lessThan">
      <formula>0</formula>
    </cfRule>
  </conditionalFormatting>
  <conditionalFormatting sqref="Y182">
    <cfRule type="cellIs" dxfId="1006" priority="388" operator="greaterThanOrEqual">
      <formula>0</formula>
    </cfRule>
  </conditionalFormatting>
  <conditionalFormatting sqref="AK182">
    <cfRule type="cellIs" dxfId="1005" priority="391" operator="lessThan">
      <formula>0</formula>
    </cfRule>
  </conditionalFormatting>
  <conditionalFormatting sqref="AK182">
    <cfRule type="cellIs" dxfId="1004" priority="392" operator="greaterThanOrEqual">
      <formula>0</formula>
    </cfRule>
  </conditionalFormatting>
  <conditionalFormatting sqref="AE182">
    <cfRule type="cellIs" dxfId="1003" priority="381" operator="lessThan">
      <formula>0</formula>
    </cfRule>
  </conditionalFormatting>
  <conditionalFormatting sqref="AE182">
    <cfRule type="cellIs" dxfId="1002" priority="382" operator="greaterThanOrEqual">
      <formula>0</formula>
    </cfRule>
  </conditionalFormatting>
  <conditionalFormatting sqref="AB182">
    <cfRule type="cellIs" dxfId="1001" priority="379" operator="lessThan">
      <formula>0</formula>
    </cfRule>
  </conditionalFormatting>
  <conditionalFormatting sqref="AB182">
    <cfRule type="cellIs" dxfId="1000" priority="380" operator="greaterThanOrEqual">
      <formula>0</formula>
    </cfRule>
  </conditionalFormatting>
  <conditionalFormatting sqref="G188 P188 S188">
    <cfRule type="cellIs" dxfId="999" priority="375" operator="lessThan">
      <formula>0</formula>
    </cfRule>
  </conditionalFormatting>
  <conditionalFormatting sqref="G188 P188 S188">
    <cfRule type="cellIs" dxfId="998" priority="376" operator="greaterThanOrEqual">
      <formula>0</formula>
    </cfRule>
  </conditionalFormatting>
  <conditionalFormatting sqref="J188 M188">
    <cfRule type="cellIs" dxfId="997" priority="377" operator="lessThanOrEqual">
      <formula>0</formula>
    </cfRule>
  </conditionalFormatting>
  <conditionalFormatting sqref="J188 M188">
    <cfRule type="cellIs" dxfId="996" priority="378" operator="greaterThan">
      <formula>0</formula>
    </cfRule>
  </conditionalFormatting>
  <conditionalFormatting sqref="V188">
    <cfRule type="cellIs" dxfId="995" priority="367" operator="lessThan">
      <formula>0</formula>
    </cfRule>
  </conditionalFormatting>
  <conditionalFormatting sqref="V188">
    <cfRule type="cellIs" dxfId="994" priority="368" operator="greaterThanOrEqual">
      <formula>0</formula>
    </cfRule>
  </conditionalFormatting>
  <conditionalFormatting sqref="AH188">
    <cfRule type="cellIs" dxfId="993" priority="371" operator="lessThan">
      <formula>0</formula>
    </cfRule>
  </conditionalFormatting>
  <conditionalFormatting sqref="AH188">
    <cfRule type="cellIs" dxfId="992" priority="372" operator="greaterThanOrEqual">
      <formula>0</formula>
    </cfRule>
  </conditionalFormatting>
  <conditionalFormatting sqref="AE188">
    <cfRule type="cellIs" dxfId="991" priority="363" operator="lessThan">
      <formula>0</formula>
    </cfRule>
  </conditionalFormatting>
  <conditionalFormatting sqref="AE188">
    <cfRule type="cellIs" dxfId="990" priority="364" operator="greaterThanOrEqual">
      <formula>0</formula>
    </cfRule>
  </conditionalFormatting>
  <conditionalFormatting sqref="J194 M194">
    <cfRule type="cellIs" dxfId="989" priority="359" operator="lessThanOrEqual">
      <formula>0</formula>
    </cfRule>
  </conditionalFormatting>
  <conditionalFormatting sqref="J194 M194">
    <cfRule type="cellIs" dxfId="988" priority="360" operator="greaterThan">
      <formula>0</formula>
    </cfRule>
  </conditionalFormatting>
  <conditionalFormatting sqref="AN194">
    <cfRule type="cellIs" dxfId="987" priority="347" operator="lessThan">
      <formula>0</formula>
    </cfRule>
  </conditionalFormatting>
  <conditionalFormatting sqref="AN194">
    <cfRule type="cellIs" dxfId="986" priority="348" operator="greaterThanOrEqual">
      <formula>0</formula>
    </cfRule>
  </conditionalFormatting>
  <conditionalFormatting sqref="Y194">
    <cfRule type="cellIs" dxfId="985" priority="351" operator="lessThan">
      <formula>0</formula>
    </cfRule>
  </conditionalFormatting>
  <conditionalFormatting sqref="Y194">
    <cfRule type="cellIs" dxfId="984" priority="352" operator="greaterThanOrEqual">
      <formula>0</formula>
    </cfRule>
  </conditionalFormatting>
  <conditionalFormatting sqref="AH194">
    <cfRule type="cellIs" dxfId="983" priority="353" operator="lessThan">
      <formula>0</formula>
    </cfRule>
  </conditionalFormatting>
  <conditionalFormatting sqref="AH194">
    <cfRule type="cellIs" dxfId="982" priority="354" operator="greaterThanOrEqual">
      <formula>0</formula>
    </cfRule>
  </conditionalFormatting>
  <conditionalFormatting sqref="AK194">
    <cfRule type="cellIs" dxfId="981" priority="355" operator="lessThan">
      <formula>0</formula>
    </cfRule>
  </conditionalFormatting>
  <conditionalFormatting sqref="AK194">
    <cfRule type="cellIs" dxfId="980" priority="356" operator="greaterThanOrEqual">
      <formula>0</formula>
    </cfRule>
  </conditionalFormatting>
  <conditionalFormatting sqref="AB194">
    <cfRule type="cellIs" dxfId="979" priority="343" operator="lessThan">
      <formula>0</formula>
    </cfRule>
  </conditionalFormatting>
  <conditionalFormatting sqref="AB194">
    <cfRule type="cellIs" dxfId="978" priority="344" operator="greaterThanOrEqual">
      <formula>0</formula>
    </cfRule>
  </conditionalFormatting>
  <conditionalFormatting sqref="G200 P200 S200">
    <cfRule type="cellIs" dxfId="977" priority="339" operator="lessThan">
      <formula>0</formula>
    </cfRule>
  </conditionalFormatting>
  <conditionalFormatting sqref="G200 P200 S200">
    <cfRule type="cellIs" dxfId="976" priority="340" operator="greaterThanOrEqual">
      <formula>0</formula>
    </cfRule>
  </conditionalFormatting>
  <conditionalFormatting sqref="J200 M200">
    <cfRule type="cellIs" dxfId="975" priority="341" operator="lessThanOrEqual">
      <formula>0</formula>
    </cfRule>
  </conditionalFormatting>
  <conditionalFormatting sqref="J200 M200">
    <cfRule type="cellIs" dxfId="974" priority="342" operator="greaterThan">
      <formula>0</formula>
    </cfRule>
  </conditionalFormatting>
  <conditionalFormatting sqref="V200">
    <cfRule type="cellIs" dxfId="973" priority="331" operator="lessThan">
      <formula>0</formula>
    </cfRule>
  </conditionalFormatting>
  <conditionalFormatting sqref="V200">
    <cfRule type="cellIs" dxfId="972" priority="332" operator="greaterThanOrEqual">
      <formula>0</formula>
    </cfRule>
  </conditionalFormatting>
  <conditionalFormatting sqref="AH200">
    <cfRule type="cellIs" dxfId="971" priority="335" operator="lessThan">
      <formula>0</formula>
    </cfRule>
  </conditionalFormatting>
  <conditionalFormatting sqref="AH200">
    <cfRule type="cellIs" dxfId="970" priority="336" operator="greaterThanOrEqual">
      <formula>0</formula>
    </cfRule>
  </conditionalFormatting>
  <conditionalFormatting sqref="AE200">
    <cfRule type="cellIs" dxfId="969" priority="327" operator="lessThan">
      <formula>0</formula>
    </cfRule>
  </conditionalFormatting>
  <conditionalFormatting sqref="AE200">
    <cfRule type="cellIs" dxfId="968" priority="328" operator="greaterThanOrEqual">
      <formula>0</formula>
    </cfRule>
  </conditionalFormatting>
  <conditionalFormatting sqref="AB200">
    <cfRule type="cellIs" dxfId="967" priority="325" operator="lessThan">
      <formula>0</formula>
    </cfRule>
  </conditionalFormatting>
  <conditionalFormatting sqref="AB200">
    <cfRule type="cellIs" dxfId="966" priority="326" operator="greaterThanOrEqual">
      <formula>0</formula>
    </cfRule>
  </conditionalFormatting>
  <conditionalFormatting sqref="J206 M206">
    <cfRule type="cellIs" dxfId="965" priority="323" operator="lessThanOrEqual">
      <formula>0</formula>
    </cfRule>
  </conditionalFormatting>
  <conditionalFormatting sqref="J206 M206">
    <cfRule type="cellIs" dxfId="964" priority="324" operator="greaterThan">
      <formula>0</formula>
    </cfRule>
  </conditionalFormatting>
  <conditionalFormatting sqref="AN206">
    <cfRule type="cellIs" dxfId="963" priority="311" operator="lessThan">
      <formula>0</formula>
    </cfRule>
  </conditionalFormatting>
  <conditionalFormatting sqref="AN206">
    <cfRule type="cellIs" dxfId="962" priority="312" operator="greaterThanOrEqual">
      <formula>0</formula>
    </cfRule>
  </conditionalFormatting>
  <conditionalFormatting sqref="Y206">
    <cfRule type="cellIs" dxfId="961" priority="315" operator="lessThan">
      <formula>0</formula>
    </cfRule>
  </conditionalFormatting>
  <conditionalFormatting sqref="Y206">
    <cfRule type="cellIs" dxfId="960" priority="316" operator="greaterThanOrEqual">
      <formula>0</formula>
    </cfRule>
  </conditionalFormatting>
  <conditionalFormatting sqref="AK206">
    <cfRule type="cellIs" dxfId="959" priority="319" operator="lessThan">
      <formula>0</formula>
    </cfRule>
  </conditionalFormatting>
  <conditionalFormatting sqref="AK206">
    <cfRule type="cellIs" dxfId="958" priority="320" operator="greaterThanOrEqual">
      <formula>0</formula>
    </cfRule>
  </conditionalFormatting>
  <conditionalFormatting sqref="AB206">
    <cfRule type="cellIs" dxfId="957" priority="307" operator="lessThan">
      <formula>0</formula>
    </cfRule>
  </conditionalFormatting>
  <conditionalFormatting sqref="AB206">
    <cfRule type="cellIs" dxfId="956" priority="308" operator="greaterThanOrEqual">
      <formula>0</formula>
    </cfRule>
  </conditionalFormatting>
  <conditionalFormatting sqref="G212 P212 S212">
    <cfRule type="cellIs" dxfId="955" priority="303" operator="lessThan">
      <formula>0</formula>
    </cfRule>
  </conditionalFormatting>
  <conditionalFormatting sqref="G212 P212 S212">
    <cfRule type="cellIs" dxfId="954" priority="304" operator="greaterThanOrEqual">
      <formula>0</formula>
    </cfRule>
  </conditionalFormatting>
  <conditionalFormatting sqref="J212 M212">
    <cfRule type="cellIs" dxfId="953" priority="305" operator="lessThanOrEqual">
      <formula>0</formula>
    </cfRule>
  </conditionalFormatting>
  <conditionalFormatting sqref="J212 M212">
    <cfRule type="cellIs" dxfId="952" priority="306" operator="greaterThan">
      <formula>0</formula>
    </cfRule>
  </conditionalFormatting>
  <conditionalFormatting sqref="V212">
    <cfRule type="cellIs" dxfId="951" priority="295" operator="lessThan">
      <formula>0</formula>
    </cfRule>
  </conditionalFormatting>
  <conditionalFormatting sqref="V212">
    <cfRule type="cellIs" dxfId="950" priority="296" operator="greaterThanOrEqual">
      <formula>0</formula>
    </cfRule>
  </conditionalFormatting>
  <conditionalFormatting sqref="Y212">
    <cfRule type="cellIs" dxfId="949" priority="297" operator="lessThan">
      <formula>0</formula>
    </cfRule>
  </conditionalFormatting>
  <conditionalFormatting sqref="Y212">
    <cfRule type="cellIs" dxfId="948" priority="298" operator="greaterThanOrEqual">
      <formula>0</formula>
    </cfRule>
  </conditionalFormatting>
  <conditionalFormatting sqref="AH212">
    <cfRule type="cellIs" dxfId="947" priority="299" operator="lessThan">
      <formula>0</formula>
    </cfRule>
  </conditionalFormatting>
  <conditionalFormatting sqref="AH212">
    <cfRule type="cellIs" dxfId="946" priority="300" operator="greaterThanOrEqual">
      <formula>0</formula>
    </cfRule>
  </conditionalFormatting>
  <conditionalFormatting sqref="AE212">
    <cfRule type="cellIs" dxfId="945" priority="291" operator="lessThan">
      <formula>0</formula>
    </cfRule>
  </conditionalFormatting>
  <conditionalFormatting sqref="AE212">
    <cfRule type="cellIs" dxfId="944" priority="292" operator="greaterThanOrEqual">
      <formula>0</formula>
    </cfRule>
  </conditionalFormatting>
  <conditionalFormatting sqref="J218 M218">
    <cfRule type="cellIs" dxfId="943" priority="287" operator="lessThanOrEqual">
      <formula>0</formula>
    </cfRule>
  </conditionalFormatting>
  <conditionalFormatting sqref="J218 M218">
    <cfRule type="cellIs" dxfId="942" priority="288" operator="greaterThan">
      <formula>0</formula>
    </cfRule>
  </conditionalFormatting>
  <conditionalFormatting sqref="AN218">
    <cfRule type="cellIs" dxfId="941" priority="275" operator="lessThan">
      <formula>0</formula>
    </cfRule>
  </conditionalFormatting>
  <conditionalFormatting sqref="AN218">
    <cfRule type="cellIs" dxfId="940" priority="276" operator="greaterThanOrEqual">
      <formula>0</formula>
    </cfRule>
  </conditionalFormatting>
  <conditionalFormatting sqref="Y218">
    <cfRule type="cellIs" dxfId="939" priority="279" operator="lessThan">
      <formula>0</formula>
    </cfRule>
  </conditionalFormatting>
  <conditionalFormatting sqref="Y218">
    <cfRule type="cellIs" dxfId="938" priority="280" operator="greaterThanOrEqual">
      <formula>0</formula>
    </cfRule>
  </conditionalFormatting>
  <conditionalFormatting sqref="AK218">
    <cfRule type="cellIs" dxfId="937" priority="283" operator="lessThan">
      <formula>0</formula>
    </cfRule>
  </conditionalFormatting>
  <conditionalFormatting sqref="AK218">
    <cfRule type="cellIs" dxfId="936" priority="284" operator="greaterThanOrEqual">
      <formula>0</formula>
    </cfRule>
  </conditionalFormatting>
  <conditionalFormatting sqref="AB218">
    <cfRule type="cellIs" dxfId="935" priority="271" operator="lessThan">
      <formula>0</formula>
    </cfRule>
  </conditionalFormatting>
  <conditionalFormatting sqref="AB218">
    <cfRule type="cellIs" dxfId="934" priority="272" operator="greaterThanOrEqual">
      <formula>0</formula>
    </cfRule>
  </conditionalFormatting>
  <conditionalFormatting sqref="G224 P224 S224">
    <cfRule type="cellIs" dxfId="933" priority="267" operator="lessThan">
      <formula>0</formula>
    </cfRule>
  </conditionalFormatting>
  <conditionalFormatting sqref="G224 P224 S224">
    <cfRule type="cellIs" dxfId="932" priority="268" operator="greaterThanOrEqual">
      <formula>0</formula>
    </cfRule>
  </conditionalFormatting>
  <conditionalFormatting sqref="J224 M224">
    <cfRule type="cellIs" dxfId="931" priority="269" operator="lessThanOrEqual">
      <formula>0</formula>
    </cfRule>
  </conditionalFormatting>
  <conditionalFormatting sqref="J224 M224">
    <cfRule type="cellIs" dxfId="930" priority="270" operator="greaterThan">
      <formula>0</formula>
    </cfRule>
  </conditionalFormatting>
  <conditionalFormatting sqref="V224">
    <cfRule type="cellIs" dxfId="929" priority="259" operator="lessThan">
      <formula>0</formula>
    </cfRule>
  </conditionalFormatting>
  <conditionalFormatting sqref="V224">
    <cfRule type="cellIs" dxfId="928" priority="260" operator="greaterThanOrEqual">
      <formula>0</formula>
    </cfRule>
  </conditionalFormatting>
  <conditionalFormatting sqref="AH224">
    <cfRule type="cellIs" dxfId="927" priority="263" operator="lessThan">
      <formula>0</formula>
    </cfRule>
  </conditionalFormatting>
  <conditionalFormatting sqref="AH224">
    <cfRule type="cellIs" dxfId="926" priority="264" operator="greaterThanOrEqual">
      <formula>0</formula>
    </cfRule>
  </conditionalFormatting>
  <conditionalFormatting sqref="AE224">
    <cfRule type="cellIs" dxfId="925" priority="255" operator="lessThan">
      <formula>0</formula>
    </cfRule>
  </conditionalFormatting>
  <conditionalFormatting sqref="AE224">
    <cfRule type="cellIs" dxfId="924" priority="256" operator="greaterThanOrEqual">
      <formula>0</formula>
    </cfRule>
  </conditionalFormatting>
  <conditionalFormatting sqref="J230 M230">
    <cfRule type="cellIs" dxfId="923" priority="251" operator="lessThanOrEqual">
      <formula>0</formula>
    </cfRule>
  </conditionalFormatting>
  <conditionalFormatting sqref="J230 M230">
    <cfRule type="cellIs" dxfId="922" priority="252" operator="greaterThan">
      <formula>0</formula>
    </cfRule>
  </conditionalFormatting>
  <conditionalFormatting sqref="AN230">
    <cfRule type="cellIs" dxfId="921" priority="239" operator="lessThan">
      <formula>0</formula>
    </cfRule>
  </conditionalFormatting>
  <conditionalFormatting sqref="AN230">
    <cfRule type="cellIs" dxfId="920" priority="240" operator="greaterThanOrEqual">
      <formula>0</formula>
    </cfRule>
  </conditionalFormatting>
  <conditionalFormatting sqref="V230">
    <cfRule type="cellIs" dxfId="919" priority="241" operator="lessThan">
      <formula>0</formula>
    </cfRule>
  </conditionalFormatting>
  <conditionalFormatting sqref="V230">
    <cfRule type="cellIs" dxfId="918" priority="242" operator="greaterThanOrEqual">
      <formula>0</formula>
    </cfRule>
  </conditionalFormatting>
  <conditionalFormatting sqref="Y230">
    <cfRule type="cellIs" dxfId="917" priority="243" operator="lessThan">
      <formula>0</formula>
    </cfRule>
  </conditionalFormatting>
  <conditionalFormatting sqref="Y230">
    <cfRule type="cellIs" dxfId="916" priority="244" operator="greaterThanOrEqual">
      <formula>0</formula>
    </cfRule>
  </conditionalFormatting>
  <conditionalFormatting sqref="AK230">
    <cfRule type="cellIs" dxfId="915" priority="247" operator="lessThan">
      <formula>0</formula>
    </cfRule>
  </conditionalFormatting>
  <conditionalFormatting sqref="AK230">
    <cfRule type="cellIs" dxfId="914" priority="248" operator="greaterThanOrEqual">
      <formula>0</formula>
    </cfRule>
  </conditionalFormatting>
  <conditionalFormatting sqref="AB230">
    <cfRule type="cellIs" dxfId="913" priority="235" operator="lessThan">
      <formula>0</formula>
    </cfRule>
  </conditionalFormatting>
  <conditionalFormatting sqref="AB230">
    <cfRule type="cellIs" dxfId="912" priority="236" operator="greaterThanOrEqual">
      <formula>0</formula>
    </cfRule>
  </conditionalFormatting>
  <conditionalFormatting sqref="G236 P236 S236">
    <cfRule type="cellIs" dxfId="911" priority="231" operator="lessThan">
      <formula>0</formula>
    </cfRule>
  </conditionalFormatting>
  <conditionalFormatting sqref="G236 P236 S236">
    <cfRule type="cellIs" dxfId="910" priority="232" operator="greaterThanOrEqual">
      <formula>0</formula>
    </cfRule>
  </conditionalFormatting>
  <conditionalFormatting sqref="J236 M236">
    <cfRule type="cellIs" dxfId="909" priority="233" operator="lessThanOrEqual">
      <formula>0</formula>
    </cfRule>
  </conditionalFormatting>
  <conditionalFormatting sqref="J236 M236">
    <cfRule type="cellIs" dxfId="908" priority="234" operator="greaterThan">
      <formula>0</formula>
    </cfRule>
  </conditionalFormatting>
  <conditionalFormatting sqref="V236">
    <cfRule type="cellIs" dxfId="907" priority="223" operator="lessThan">
      <formula>0</formula>
    </cfRule>
  </conditionalFormatting>
  <conditionalFormatting sqref="V236">
    <cfRule type="cellIs" dxfId="906" priority="224" operator="greaterThanOrEqual">
      <formula>0</formula>
    </cfRule>
  </conditionalFormatting>
  <conditionalFormatting sqref="AH236">
    <cfRule type="cellIs" dxfId="905" priority="227" operator="lessThan">
      <formula>0</formula>
    </cfRule>
  </conditionalFormatting>
  <conditionalFormatting sqref="AH236">
    <cfRule type="cellIs" dxfId="904" priority="228" operator="greaterThanOrEqual">
      <formula>0</formula>
    </cfRule>
  </conditionalFormatting>
  <conditionalFormatting sqref="AE236">
    <cfRule type="cellIs" dxfId="903" priority="219" operator="lessThan">
      <formula>0</formula>
    </cfRule>
  </conditionalFormatting>
  <conditionalFormatting sqref="AE236">
    <cfRule type="cellIs" dxfId="902" priority="220" operator="greaterThanOrEqual">
      <formula>0</formula>
    </cfRule>
  </conditionalFormatting>
  <conditionalFormatting sqref="G242 P242 S242">
    <cfRule type="cellIs" dxfId="901" priority="213" operator="lessThan">
      <formula>0</formula>
    </cfRule>
  </conditionalFormatting>
  <conditionalFormatting sqref="G242 P242 S242">
    <cfRule type="cellIs" dxfId="900" priority="214" operator="greaterThanOrEqual">
      <formula>0</formula>
    </cfRule>
  </conditionalFormatting>
  <conditionalFormatting sqref="J242 M242">
    <cfRule type="cellIs" dxfId="899" priority="215" operator="lessThanOrEqual">
      <formula>0</formula>
    </cfRule>
  </conditionalFormatting>
  <conditionalFormatting sqref="J242 M242">
    <cfRule type="cellIs" dxfId="898" priority="216" operator="greaterThan">
      <formula>0</formula>
    </cfRule>
  </conditionalFormatting>
  <conditionalFormatting sqref="AN242">
    <cfRule type="cellIs" dxfId="897" priority="203" operator="lessThan">
      <formula>0</formula>
    </cfRule>
  </conditionalFormatting>
  <conditionalFormatting sqref="AN242">
    <cfRule type="cellIs" dxfId="896" priority="204" operator="greaterThanOrEqual">
      <formula>0</formula>
    </cfRule>
  </conditionalFormatting>
  <conditionalFormatting sqref="Y242">
    <cfRule type="cellIs" dxfId="895" priority="207" operator="lessThan">
      <formula>0</formula>
    </cfRule>
  </conditionalFormatting>
  <conditionalFormatting sqref="Y242">
    <cfRule type="cellIs" dxfId="894" priority="208" operator="greaterThanOrEqual">
      <formula>0</formula>
    </cfRule>
  </conditionalFormatting>
  <conditionalFormatting sqref="AK242">
    <cfRule type="cellIs" dxfId="893" priority="211" operator="lessThan">
      <formula>0</formula>
    </cfRule>
  </conditionalFormatting>
  <conditionalFormatting sqref="AK242">
    <cfRule type="cellIs" dxfId="892" priority="212" operator="greaterThanOrEqual">
      <formula>0</formula>
    </cfRule>
  </conditionalFormatting>
  <conditionalFormatting sqref="AB242">
    <cfRule type="cellIs" dxfId="891" priority="199" operator="lessThan">
      <formula>0</formula>
    </cfRule>
  </conditionalFormatting>
  <conditionalFormatting sqref="AB242">
    <cfRule type="cellIs" dxfId="890" priority="200" operator="greaterThanOrEqual">
      <formula>0</formula>
    </cfRule>
  </conditionalFormatting>
  <conditionalFormatting sqref="G248 P248 S248">
    <cfRule type="cellIs" dxfId="889" priority="195" operator="lessThan">
      <formula>0</formula>
    </cfRule>
  </conditionalFormatting>
  <conditionalFormatting sqref="G248 P248 S248">
    <cfRule type="cellIs" dxfId="888" priority="196" operator="greaterThanOrEqual">
      <formula>0</formula>
    </cfRule>
  </conditionalFormatting>
  <conditionalFormatting sqref="J248 M248">
    <cfRule type="cellIs" dxfId="887" priority="197" operator="lessThanOrEqual">
      <formula>0</formula>
    </cfRule>
  </conditionalFormatting>
  <conditionalFormatting sqref="J248 M248">
    <cfRule type="cellIs" dxfId="886" priority="198" operator="greaterThan">
      <formula>0</formula>
    </cfRule>
  </conditionalFormatting>
  <conditionalFormatting sqref="AN248">
    <cfRule type="cellIs" dxfId="885" priority="185" operator="lessThan">
      <formula>0</formula>
    </cfRule>
  </conditionalFormatting>
  <conditionalFormatting sqref="AN248">
    <cfRule type="cellIs" dxfId="884" priority="186" operator="greaterThanOrEqual">
      <formula>0</formula>
    </cfRule>
  </conditionalFormatting>
  <conditionalFormatting sqref="V248">
    <cfRule type="cellIs" dxfId="883" priority="187" operator="lessThan">
      <formula>0</formula>
    </cfRule>
  </conditionalFormatting>
  <conditionalFormatting sqref="V248">
    <cfRule type="cellIs" dxfId="882" priority="188" operator="greaterThanOrEqual">
      <formula>0</formula>
    </cfRule>
  </conditionalFormatting>
  <conditionalFormatting sqref="AH248">
    <cfRule type="cellIs" dxfId="881" priority="191" operator="lessThan">
      <formula>0</formula>
    </cfRule>
  </conditionalFormatting>
  <conditionalFormatting sqref="AH248">
    <cfRule type="cellIs" dxfId="880" priority="192" operator="greaterThanOrEqual">
      <formula>0</formula>
    </cfRule>
  </conditionalFormatting>
  <conditionalFormatting sqref="AE248">
    <cfRule type="cellIs" dxfId="879" priority="183" operator="lessThan">
      <formula>0</formula>
    </cfRule>
  </conditionalFormatting>
  <conditionalFormatting sqref="AE248">
    <cfRule type="cellIs" dxfId="878" priority="184" operator="greaterThanOrEqual">
      <formula>0</formula>
    </cfRule>
  </conditionalFormatting>
  <conditionalFormatting sqref="J254 M254">
    <cfRule type="cellIs" dxfId="877" priority="179" operator="lessThanOrEqual">
      <formula>0</formula>
    </cfRule>
  </conditionalFormatting>
  <conditionalFormatting sqref="J254 M254">
    <cfRule type="cellIs" dxfId="876" priority="180" operator="greaterThan">
      <formula>0</formula>
    </cfRule>
  </conditionalFormatting>
  <conditionalFormatting sqref="AN254">
    <cfRule type="cellIs" dxfId="875" priority="167" operator="lessThan">
      <formula>0</formula>
    </cfRule>
  </conditionalFormatting>
  <conditionalFormatting sqref="AN254">
    <cfRule type="cellIs" dxfId="874" priority="168" operator="greaterThanOrEqual">
      <formula>0</formula>
    </cfRule>
  </conditionalFormatting>
  <conditionalFormatting sqref="Y254">
    <cfRule type="cellIs" dxfId="873" priority="171" operator="lessThan">
      <formula>0</formula>
    </cfRule>
  </conditionalFormatting>
  <conditionalFormatting sqref="Y254">
    <cfRule type="cellIs" dxfId="872" priority="172" operator="greaterThanOrEqual">
      <formula>0</formula>
    </cfRule>
  </conditionalFormatting>
  <conditionalFormatting sqref="AK254">
    <cfRule type="cellIs" dxfId="871" priority="175" operator="lessThan">
      <formula>0</formula>
    </cfRule>
  </conditionalFormatting>
  <conditionalFormatting sqref="AK254">
    <cfRule type="cellIs" dxfId="870" priority="176" operator="greaterThanOrEqual">
      <formula>0</formula>
    </cfRule>
  </conditionalFormatting>
  <conditionalFormatting sqref="AB254">
    <cfRule type="cellIs" dxfId="869" priority="163" operator="lessThan">
      <formula>0</formula>
    </cfRule>
  </conditionalFormatting>
  <conditionalFormatting sqref="AB254">
    <cfRule type="cellIs" dxfId="868" priority="164" operator="greaterThanOrEqual">
      <formula>0</formula>
    </cfRule>
  </conditionalFormatting>
  <conditionalFormatting sqref="G260 P260 S260">
    <cfRule type="cellIs" dxfId="867" priority="159" operator="lessThan">
      <formula>0</formula>
    </cfRule>
  </conditionalFormatting>
  <conditionalFormatting sqref="G260 P260 S260">
    <cfRule type="cellIs" dxfId="866" priority="160" operator="greaterThanOrEqual">
      <formula>0</formula>
    </cfRule>
  </conditionalFormatting>
  <conditionalFormatting sqref="J260 M260">
    <cfRule type="cellIs" dxfId="865" priority="161" operator="lessThanOrEqual">
      <formula>0</formula>
    </cfRule>
  </conditionalFormatting>
  <conditionalFormatting sqref="J260 M260">
    <cfRule type="cellIs" dxfId="864" priority="162" operator="greaterThan">
      <formula>0</formula>
    </cfRule>
  </conditionalFormatting>
  <conditionalFormatting sqref="V260">
    <cfRule type="cellIs" dxfId="863" priority="151" operator="lessThan">
      <formula>0</formula>
    </cfRule>
  </conditionalFormatting>
  <conditionalFormatting sqref="V260">
    <cfRule type="cellIs" dxfId="862" priority="152" operator="greaterThanOrEqual">
      <formula>0</formula>
    </cfRule>
  </conditionalFormatting>
  <conditionalFormatting sqref="AH260">
    <cfRule type="cellIs" dxfId="861" priority="155" operator="lessThan">
      <formula>0</formula>
    </cfRule>
  </conditionalFormatting>
  <conditionalFormatting sqref="AH260">
    <cfRule type="cellIs" dxfId="860" priority="156" operator="greaterThanOrEqual">
      <formula>0</formula>
    </cfRule>
  </conditionalFormatting>
  <conditionalFormatting sqref="AK260">
    <cfRule type="cellIs" dxfId="859" priority="157" operator="lessThan">
      <formula>0</formula>
    </cfRule>
  </conditionalFormatting>
  <conditionalFormatting sqref="AK260">
    <cfRule type="cellIs" dxfId="858" priority="158" operator="greaterThanOrEqual">
      <formula>0</formula>
    </cfRule>
  </conditionalFormatting>
  <conditionalFormatting sqref="AE260">
    <cfRule type="cellIs" dxfId="857" priority="147" operator="lessThan">
      <formula>0</formula>
    </cfRule>
  </conditionalFormatting>
  <conditionalFormatting sqref="AE260">
    <cfRule type="cellIs" dxfId="856" priority="148" operator="greaterThanOrEqual">
      <formula>0</formula>
    </cfRule>
  </conditionalFormatting>
  <conditionalFormatting sqref="J266 M266">
    <cfRule type="cellIs" dxfId="855" priority="143" operator="lessThanOrEqual">
      <formula>0</formula>
    </cfRule>
  </conditionalFormatting>
  <conditionalFormatting sqref="J266 M266">
    <cfRule type="cellIs" dxfId="854" priority="144" operator="greaterThan">
      <formula>0</formula>
    </cfRule>
  </conditionalFormatting>
  <conditionalFormatting sqref="AN266">
    <cfRule type="cellIs" dxfId="853" priority="131" operator="lessThan">
      <formula>0</formula>
    </cfRule>
  </conditionalFormatting>
  <conditionalFormatting sqref="AN266">
    <cfRule type="cellIs" dxfId="852" priority="132" operator="greaterThanOrEqual">
      <formula>0</formula>
    </cfRule>
  </conditionalFormatting>
  <conditionalFormatting sqref="Y266">
    <cfRule type="cellIs" dxfId="851" priority="135" operator="lessThan">
      <formula>0</formula>
    </cfRule>
  </conditionalFormatting>
  <conditionalFormatting sqref="Y266">
    <cfRule type="cellIs" dxfId="850" priority="136" operator="greaterThanOrEqual">
      <formula>0</formula>
    </cfRule>
  </conditionalFormatting>
  <conditionalFormatting sqref="AK266">
    <cfRule type="cellIs" dxfId="849" priority="139" operator="lessThan">
      <formula>0</formula>
    </cfRule>
  </conditionalFormatting>
  <conditionalFormatting sqref="AK266">
    <cfRule type="cellIs" dxfId="848" priority="140" operator="greaterThanOrEqual">
      <formula>0</formula>
    </cfRule>
  </conditionalFormatting>
  <conditionalFormatting sqref="AE266">
    <cfRule type="cellIs" dxfId="847" priority="129" operator="lessThan">
      <formula>0</formula>
    </cfRule>
  </conditionalFormatting>
  <conditionalFormatting sqref="AE266">
    <cfRule type="cellIs" dxfId="846" priority="130" operator="greaterThanOrEqual">
      <formula>0</formula>
    </cfRule>
  </conditionalFormatting>
  <conditionalFormatting sqref="AB266">
    <cfRule type="cellIs" dxfId="845" priority="127" operator="lessThan">
      <formula>0</formula>
    </cfRule>
  </conditionalFormatting>
  <conditionalFormatting sqref="AB266">
    <cfRule type="cellIs" dxfId="844" priority="128" operator="greaterThanOrEqual">
      <formula>0</formula>
    </cfRule>
  </conditionalFormatting>
  <conditionalFormatting sqref="G272 P272 S272">
    <cfRule type="cellIs" dxfId="843" priority="123" operator="lessThan">
      <formula>0</formula>
    </cfRule>
  </conditionalFormatting>
  <conditionalFormatting sqref="G272 P272 S272">
    <cfRule type="cellIs" dxfId="842" priority="124" operator="greaterThanOrEqual">
      <formula>0</formula>
    </cfRule>
  </conditionalFormatting>
  <conditionalFormatting sqref="J272 M272">
    <cfRule type="cellIs" dxfId="841" priority="125" operator="lessThanOrEqual">
      <formula>0</formula>
    </cfRule>
  </conditionalFormatting>
  <conditionalFormatting sqref="J272 M272">
    <cfRule type="cellIs" dxfId="840" priority="126" operator="greaterThan">
      <formula>0</formula>
    </cfRule>
  </conditionalFormatting>
  <conditionalFormatting sqref="V272">
    <cfRule type="cellIs" dxfId="839" priority="115" operator="lessThan">
      <formula>0</formula>
    </cfRule>
  </conditionalFormatting>
  <conditionalFormatting sqref="V272">
    <cfRule type="cellIs" dxfId="838" priority="116" operator="greaterThanOrEqual">
      <formula>0</formula>
    </cfRule>
  </conditionalFormatting>
  <conditionalFormatting sqref="AH272">
    <cfRule type="cellIs" dxfId="837" priority="119" operator="lessThan">
      <formula>0</formula>
    </cfRule>
  </conditionalFormatting>
  <conditionalFormatting sqref="AH272">
    <cfRule type="cellIs" dxfId="836" priority="120" operator="greaterThanOrEqual">
      <formula>0</formula>
    </cfRule>
  </conditionalFormatting>
  <conditionalFormatting sqref="AE272">
    <cfRule type="cellIs" dxfId="835" priority="111" operator="lessThan">
      <formula>0</formula>
    </cfRule>
  </conditionalFormatting>
  <conditionalFormatting sqref="AE272">
    <cfRule type="cellIs" dxfId="834" priority="112" operator="greaterThanOrEqual">
      <formula>0</formula>
    </cfRule>
  </conditionalFormatting>
  <conditionalFormatting sqref="J278 M278">
    <cfRule type="cellIs" dxfId="833" priority="107" operator="lessThanOrEqual">
      <formula>0</formula>
    </cfRule>
  </conditionalFormatting>
  <conditionalFormatting sqref="J278 M278">
    <cfRule type="cellIs" dxfId="832" priority="108" operator="greaterThan">
      <formula>0</formula>
    </cfRule>
  </conditionalFormatting>
  <conditionalFormatting sqref="AN278">
    <cfRule type="cellIs" dxfId="831" priority="95" operator="lessThan">
      <formula>0</formula>
    </cfRule>
  </conditionalFormatting>
  <conditionalFormatting sqref="AN278">
    <cfRule type="cellIs" dxfId="830" priority="96" operator="greaterThanOrEqual">
      <formula>0</formula>
    </cfRule>
  </conditionalFormatting>
  <conditionalFormatting sqref="Y278">
    <cfRule type="cellIs" dxfId="829" priority="99" operator="lessThan">
      <formula>0</formula>
    </cfRule>
  </conditionalFormatting>
  <conditionalFormatting sqref="Y278">
    <cfRule type="cellIs" dxfId="828" priority="100" operator="greaterThanOrEqual">
      <formula>0</formula>
    </cfRule>
  </conditionalFormatting>
  <conditionalFormatting sqref="AH278">
    <cfRule type="cellIs" dxfId="827" priority="101" operator="lessThan">
      <formula>0</formula>
    </cfRule>
  </conditionalFormatting>
  <conditionalFormatting sqref="AH278">
    <cfRule type="cellIs" dxfId="826" priority="102" operator="greaterThanOrEqual">
      <formula>0</formula>
    </cfRule>
  </conditionalFormatting>
  <conditionalFormatting sqref="AK278">
    <cfRule type="cellIs" dxfId="825" priority="103" operator="lessThan">
      <formula>0</formula>
    </cfRule>
  </conditionalFormatting>
  <conditionalFormatting sqref="AK278">
    <cfRule type="cellIs" dxfId="824" priority="104" operator="greaterThanOrEqual">
      <formula>0</formula>
    </cfRule>
  </conditionalFormatting>
  <conditionalFormatting sqref="AB278">
    <cfRule type="cellIs" dxfId="823" priority="91" operator="lessThan">
      <formula>0</formula>
    </cfRule>
  </conditionalFormatting>
  <conditionalFormatting sqref="AB278">
    <cfRule type="cellIs" dxfId="822" priority="92" operator="greaterThanOrEqual">
      <formula>0</formula>
    </cfRule>
  </conditionalFormatting>
  <conditionalFormatting sqref="G287 P287 S287">
    <cfRule type="cellIs" dxfId="821" priority="87" operator="lessThan">
      <formula>0</formula>
    </cfRule>
  </conditionalFormatting>
  <conditionalFormatting sqref="G287 P287 S287">
    <cfRule type="cellIs" dxfId="820" priority="88" operator="greaterThanOrEqual">
      <formula>0</formula>
    </cfRule>
  </conditionalFormatting>
  <conditionalFormatting sqref="J287 M287">
    <cfRule type="cellIs" dxfId="819" priority="89" operator="lessThanOrEqual">
      <formula>0</formula>
    </cfRule>
  </conditionalFormatting>
  <conditionalFormatting sqref="J287 M287">
    <cfRule type="cellIs" dxfId="818" priority="90" operator="greaterThan">
      <formula>0</formula>
    </cfRule>
  </conditionalFormatting>
  <conditionalFormatting sqref="V287">
    <cfRule type="cellIs" dxfId="817" priority="79" operator="lessThan">
      <formula>0</formula>
    </cfRule>
  </conditionalFormatting>
  <conditionalFormatting sqref="V287">
    <cfRule type="cellIs" dxfId="816" priority="80" operator="greaterThanOrEqual">
      <formula>0</formula>
    </cfRule>
  </conditionalFormatting>
  <conditionalFormatting sqref="AH287">
    <cfRule type="cellIs" dxfId="815" priority="83" operator="lessThan">
      <formula>0</formula>
    </cfRule>
  </conditionalFormatting>
  <conditionalFormatting sqref="AH287">
    <cfRule type="cellIs" dxfId="814" priority="84" operator="greaterThanOrEqual">
      <formula>0</formula>
    </cfRule>
  </conditionalFormatting>
  <conditionalFormatting sqref="AE287">
    <cfRule type="cellIs" dxfId="813" priority="75" operator="lessThan">
      <formula>0</formula>
    </cfRule>
  </conditionalFormatting>
  <conditionalFormatting sqref="AE287">
    <cfRule type="cellIs" dxfId="812" priority="76" operator="greaterThanOrEqual">
      <formula>0</formula>
    </cfRule>
  </conditionalFormatting>
  <conditionalFormatting sqref="AB287">
    <cfRule type="cellIs" dxfId="811" priority="73" operator="lessThan">
      <formula>0</formula>
    </cfRule>
  </conditionalFormatting>
  <conditionalFormatting sqref="AB287">
    <cfRule type="cellIs" dxfId="810" priority="74" operator="greaterThanOrEqual">
      <formula>0</formula>
    </cfRule>
  </conditionalFormatting>
  <conditionalFormatting sqref="J299 M299">
    <cfRule type="cellIs" dxfId="809" priority="71" operator="lessThanOrEqual">
      <formula>0</formula>
    </cfRule>
  </conditionalFormatting>
  <conditionalFormatting sqref="J299 M299">
    <cfRule type="cellIs" dxfId="808" priority="72" operator="greaterThan">
      <formula>0</formula>
    </cfRule>
  </conditionalFormatting>
  <conditionalFormatting sqref="AN299">
    <cfRule type="cellIs" dxfId="807" priority="59" operator="lessThan">
      <formula>0</formula>
    </cfRule>
  </conditionalFormatting>
  <conditionalFormatting sqref="AN299">
    <cfRule type="cellIs" dxfId="806" priority="60" operator="greaterThanOrEqual">
      <formula>0</formula>
    </cfRule>
  </conditionalFormatting>
  <conditionalFormatting sqref="Y299">
    <cfRule type="cellIs" dxfId="805" priority="63" operator="lessThan">
      <formula>0</formula>
    </cfRule>
  </conditionalFormatting>
  <conditionalFormatting sqref="Y299">
    <cfRule type="cellIs" dxfId="804" priority="64" operator="greaterThanOrEqual">
      <formula>0</formula>
    </cfRule>
  </conditionalFormatting>
  <conditionalFormatting sqref="AK299">
    <cfRule type="cellIs" dxfId="803" priority="67" operator="lessThan">
      <formula>0</formula>
    </cfRule>
  </conditionalFormatting>
  <conditionalFormatting sqref="AK299">
    <cfRule type="cellIs" dxfId="802" priority="68" operator="greaterThanOrEqual">
      <formula>0</formula>
    </cfRule>
  </conditionalFormatting>
  <conditionalFormatting sqref="AB299">
    <cfRule type="cellIs" dxfId="801" priority="55" operator="lessThan">
      <formula>0</formula>
    </cfRule>
  </conditionalFormatting>
  <conditionalFormatting sqref="AB299">
    <cfRule type="cellIs" dxfId="800" priority="56" operator="greaterThanOrEqual">
      <formula>0</formula>
    </cfRule>
  </conditionalFormatting>
  <conditionalFormatting sqref="G305 P305 S305">
    <cfRule type="cellIs" dxfId="799" priority="51" operator="lessThan">
      <formula>0</formula>
    </cfRule>
  </conditionalFormatting>
  <conditionalFormatting sqref="G305 P305 S305">
    <cfRule type="cellIs" dxfId="798" priority="52" operator="greaterThanOrEqual">
      <formula>0</formula>
    </cfRule>
  </conditionalFormatting>
  <conditionalFormatting sqref="J305 M305">
    <cfRule type="cellIs" dxfId="797" priority="53" operator="lessThanOrEqual">
      <formula>0</formula>
    </cfRule>
  </conditionalFormatting>
  <conditionalFormatting sqref="J305 M305">
    <cfRule type="cellIs" dxfId="796" priority="54" operator="greaterThan">
      <formula>0</formula>
    </cfRule>
  </conditionalFormatting>
  <conditionalFormatting sqref="V305">
    <cfRule type="cellIs" dxfId="795" priority="43" operator="lessThan">
      <formula>0</formula>
    </cfRule>
  </conditionalFormatting>
  <conditionalFormatting sqref="V305">
    <cfRule type="cellIs" dxfId="794" priority="44" operator="greaterThanOrEqual">
      <formula>0</formula>
    </cfRule>
  </conditionalFormatting>
  <conditionalFormatting sqref="Y305">
    <cfRule type="cellIs" dxfId="793" priority="45" operator="lessThan">
      <formula>0</formula>
    </cfRule>
  </conditionalFormatting>
  <conditionalFormatting sqref="Y305">
    <cfRule type="cellIs" dxfId="792" priority="46" operator="greaterThanOrEqual">
      <formula>0</formula>
    </cfRule>
  </conditionalFormatting>
  <conditionalFormatting sqref="AH305">
    <cfRule type="cellIs" dxfId="791" priority="47" operator="lessThan">
      <formula>0</formula>
    </cfRule>
  </conditionalFormatting>
  <conditionalFormatting sqref="AH305">
    <cfRule type="cellIs" dxfId="790" priority="48" operator="greaterThanOrEqual">
      <formula>0</formula>
    </cfRule>
  </conditionalFormatting>
  <conditionalFormatting sqref="AE305">
    <cfRule type="cellIs" dxfId="789" priority="39" operator="lessThan">
      <formula>0</formula>
    </cfRule>
  </conditionalFormatting>
  <conditionalFormatting sqref="AE305">
    <cfRule type="cellIs" dxfId="788" priority="40" operator="greaterThanOrEqual">
      <formula>0</formula>
    </cfRule>
  </conditionalFormatting>
  <conditionalFormatting sqref="J311 M311">
    <cfRule type="cellIs" dxfId="787" priority="35" operator="lessThanOrEqual">
      <formula>0</formula>
    </cfRule>
  </conditionalFormatting>
  <conditionalFormatting sqref="J311 M311">
    <cfRule type="cellIs" dxfId="786" priority="36" operator="greaterThan">
      <formula>0</formula>
    </cfRule>
  </conditionalFormatting>
  <conditionalFormatting sqref="AN311">
    <cfRule type="cellIs" dxfId="785" priority="23" operator="lessThan">
      <formula>0</formula>
    </cfRule>
  </conditionalFormatting>
  <conditionalFormatting sqref="AN311">
    <cfRule type="cellIs" dxfId="784" priority="24" operator="greaterThanOrEqual">
      <formula>0</formula>
    </cfRule>
  </conditionalFormatting>
  <conditionalFormatting sqref="Y311">
    <cfRule type="cellIs" dxfId="783" priority="27" operator="lessThan">
      <formula>0</formula>
    </cfRule>
  </conditionalFormatting>
  <conditionalFormatting sqref="Y311">
    <cfRule type="cellIs" dxfId="782" priority="28" operator="greaterThanOrEqual">
      <formula>0</formula>
    </cfRule>
  </conditionalFormatting>
  <conditionalFormatting sqref="AK311">
    <cfRule type="cellIs" dxfId="781" priority="31" operator="lessThan">
      <formula>0</formula>
    </cfRule>
  </conditionalFormatting>
  <conditionalFormatting sqref="AK311">
    <cfRule type="cellIs" dxfId="780" priority="32" operator="greaterThanOrEqual">
      <formula>0</formula>
    </cfRule>
  </conditionalFormatting>
  <conditionalFormatting sqref="AB311">
    <cfRule type="cellIs" dxfId="779" priority="19" operator="lessThan">
      <formula>0</formula>
    </cfRule>
  </conditionalFormatting>
  <conditionalFormatting sqref="AB311">
    <cfRule type="cellIs" dxfId="778" priority="20" operator="greaterThanOrEqual">
      <formula>0</formula>
    </cfRule>
  </conditionalFormatting>
  <conditionalFormatting sqref="G317 P317 S317">
    <cfRule type="cellIs" dxfId="777" priority="15" operator="lessThan">
      <formula>0</formula>
    </cfRule>
  </conditionalFormatting>
  <conditionalFormatting sqref="G317 P317 S317">
    <cfRule type="cellIs" dxfId="776" priority="16" operator="greaterThanOrEqual">
      <formula>0</formula>
    </cfRule>
  </conditionalFormatting>
  <conditionalFormatting sqref="J317 M317">
    <cfRule type="cellIs" dxfId="775" priority="17" operator="lessThanOrEqual">
      <formula>0</formula>
    </cfRule>
  </conditionalFormatting>
  <conditionalFormatting sqref="J317 M317">
    <cfRule type="cellIs" dxfId="774" priority="18" operator="greaterThan">
      <formula>0</formula>
    </cfRule>
  </conditionalFormatting>
  <conditionalFormatting sqref="V317">
    <cfRule type="cellIs" dxfId="773" priority="7" operator="lessThan">
      <formula>0</formula>
    </cfRule>
  </conditionalFormatting>
  <conditionalFormatting sqref="V317">
    <cfRule type="cellIs" dxfId="772" priority="8" operator="greaterThanOrEqual">
      <formula>0</formula>
    </cfRule>
  </conditionalFormatting>
  <conditionalFormatting sqref="AH317">
    <cfRule type="cellIs" dxfId="771" priority="11" operator="lessThan">
      <formula>0</formula>
    </cfRule>
  </conditionalFormatting>
  <conditionalFormatting sqref="AH317">
    <cfRule type="cellIs" dxfId="770" priority="12" operator="greaterThanOrEqual">
      <formula>0</formula>
    </cfRule>
  </conditionalFormatting>
  <conditionalFormatting sqref="AE317">
    <cfRule type="cellIs" dxfId="769" priority="3" operator="lessThan">
      <formula>0</formula>
    </cfRule>
  </conditionalFormatting>
  <conditionalFormatting sqref="AE317">
    <cfRule type="cellIs" dxfId="768" priority="4" operator="greaterThanOrEqual">
      <formula>0</formula>
    </cfRule>
  </conditionalFormatting>
  <pageMargins left="0.75" right="0.75" top="1" bottom="1" header="0.5" footer="0.5"/>
  <pageSetup orientation="portrait" horizontalDpi="4294967292" vertic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BE1000"/>
  <sheetViews>
    <sheetView workbookViewId="0">
      <pane ySplit="1" topLeftCell="A36" activePane="bottomLeft" state="frozen"/>
      <selection pane="bottomLeft" activeCell="K64" sqref="K64"/>
    </sheetView>
  </sheetViews>
  <sheetFormatPr defaultColWidth="13.5" defaultRowHeight="15" customHeight="1" outlineLevelCol="1" x14ac:dyDescent="0.25"/>
  <cols>
    <col min="1" max="1" width="12" bestFit="1" customWidth="1"/>
    <col min="2" max="2" width="9.375" bestFit="1" customWidth="1"/>
    <col min="3" max="3" width="13.5" bestFit="1" customWidth="1"/>
    <col min="4" max="4" width="11" customWidth="1"/>
    <col min="5" max="5" width="11" hidden="1" customWidth="1" outlineLevel="1"/>
    <col min="6" max="6" width="6.125" hidden="1" customWidth="1" outlineLevel="1"/>
    <col min="7" max="7" width="8.75" bestFit="1" customWidth="1" collapsed="1"/>
    <col min="8" max="8" width="10.875" customWidth="1"/>
    <col min="9" max="9" width="10.875" hidden="1" customWidth="1" outlineLevel="1"/>
    <col min="10" max="10" width="6.125" style="91" hidden="1" customWidth="1" outlineLevel="1"/>
    <col min="11" max="11" width="8.75" bestFit="1" customWidth="1" collapsed="1"/>
    <col min="12" max="12" width="10.875" customWidth="1"/>
    <col min="13" max="13" width="10.875" hidden="1" customWidth="1" outlineLevel="1"/>
    <col min="14" max="14" width="6.125" style="91" hidden="1" customWidth="1" outlineLevel="1"/>
    <col min="15" max="15" width="8.75" bestFit="1" customWidth="1" collapsed="1"/>
    <col min="16" max="16" width="8.625" customWidth="1"/>
    <col min="17" max="17" width="8.625" hidden="1" customWidth="1" outlineLevel="1"/>
    <col min="18" max="18" width="6.125" style="91" hidden="1" customWidth="1" outlineLevel="1" collapsed="1"/>
    <col min="19" max="19" width="8.375" customWidth="1" collapsed="1"/>
    <col min="20" max="20" width="8.625" customWidth="1"/>
    <col min="21" max="21" width="8.625" hidden="1" customWidth="1" outlineLevel="1"/>
    <col min="22" max="22" width="6.125" style="91" hidden="1" customWidth="1" outlineLevel="1" collapsed="1"/>
    <col min="23" max="23" width="8.375" customWidth="1" collapsed="1"/>
    <col min="24" max="24" width="8.5" customWidth="1"/>
    <col min="25" max="25" width="8.5" hidden="1" customWidth="1" outlineLevel="1"/>
    <col min="26" max="26" width="6.125" style="91" hidden="1" customWidth="1" outlineLevel="1" collapsed="1"/>
    <col min="27" max="27" width="8.375" customWidth="1" collapsed="1"/>
    <col min="28" max="28" width="9.5" customWidth="1"/>
    <col min="29" max="29" width="9.5" customWidth="1" outlineLevel="1"/>
    <col min="30" max="30" width="6.125" customWidth="1" outlineLevel="1" collapsed="1"/>
    <col min="31" max="32" width="8.375" customWidth="1"/>
    <col min="33" max="34" width="8.375" hidden="1" customWidth="1"/>
    <col min="35" max="35" width="8.375" customWidth="1"/>
    <col min="36" max="36" width="9.625" customWidth="1"/>
    <col min="37" max="37" width="8.375" customWidth="1" outlineLevel="1"/>
    <col min="38" max="38" width="6.125" customWidth="1" outlineLevel="1"/>
    <col min="39" max="39" width="8.375" customWidth="1"/>
    <col min="40" max="40" width="9.125" customWidth="1"/>
    <col min="41" max="41" width="10.875" hidden="1" customWidth="1" outlineLevel="1"/>
    <col min="42" max="42" width="6.125" hidden="1" customWidth="1" outlineLevel="1"/>
    <col min="43" max="43" width="8.375" customWidth="1" collapsed="1"/>
    <col min="44" max="44" width="13.875" customWidth="1"/>
    <col min="45" max="45" width="12.875" hidden="1" customWidth="1" outlineLevel="1"/>
    <col min="46" max="46" width="6.125" hidden="1" customWidth="1" outlineLevel="1"/>
    <col min="47" max="47" width="8.375" customWidth="1" collapsed="1"/>
    <col min="48" max="48" width="9.125" customWidth="1"/>
    <col min="49" max="50" width="8.375" hidden="1" customWidth="1"/>
    <col min="51" max="52" width="8.375" customWidth="1"/>
    <col min="53" max="53" width="8.375" hidden="1" customWidth="1" outlineLevel="1"/>
    <col min="54" max="54" width="6.125" hidden="1" customWidth="1" outlineLevel="1"/>
    <col min="55" max="55" width="8.375" customWidth="1" collapsed="1"/>
    <col min="56" max="56" width="17.875" customWidth="1"/>
  </cols>
  <sheetData>
    <row r="1" spans="1:56" ht="15.75" x14ac:dyDescent="0.25">
      <c r="A1" s="25" t="s">
        <v>19</v>
      </c>
      <c r="B1" s="25" t="s">
        <v>20</v>
      </c>
      <c r="C1" s="25" t="s">
        <v>21</v>
      </c>
      <c r="D1" s="25" t="s">
        <v>1</v>
      </c>
      <c r="E1" s="25" t="s">
        <v>98</v>
      </c>
      <c r="F1" s="66" t="s">
        <v>23</v>
      </c>
      <c r="G1" s="66" t="s">
        <v>24</v>
      </c>
      <c r="H1" s="25" t="s">
        <v>279</v>
      </c>
      <c r="I1" s="25" t="s">
        <v>280</v>
      </c>
      <c r="J1" s="102" t="s">
        <v>23</v>
      </c>
      <c r="K1" s="66" t="s">
        <v>24</v>
      </c>
      <c r="L1" s="25" t="s">
        <v>277</v>
      </c>
      <c r="M1" s="25" t="s">
        <v>278</v>
      </c>
      <c r="N1" s="102" t="s">
        <v>23</v>
      </c>
      <c r="O1" s="66" t="s">
        <v>24</v>
      </c>
      <c r="P1" s="25" t="s">
        <v>281</v>
      </c>
      <c r="Q1" s="25" t="s">
        <v>282</v>
      </c>
      <c r="R1" s="102" t="s">
        <v>23</v>
      </c>
      <c r="S1" s="66" t="s">
        <v>24</v>
      </c>
      <c r="T1" s="25" t="s">
        <v>283</v>
      </c>
      <c r="U1" s="25" t="s">
        <v>284</v>
      </c>
      <c r="V1" s="102" t="s">
        <v>23</v>
      </c>
      <c r="W1" s="66" t="s">
        <v>24</v>
      </c>
      <c r="X1" s="25" t="s">
        <v>4</v>
      </c>
      <c r="Y1" s="25" t="s">
        <v>101</v>
      </c>
      <c r="Z1" s="102" t="s">
        <v>23</v>
      </c>
      <c r="AA1" s="66" t="s">
        <v>24</v>
      </c>
      <c r="AB1" s="25" t="s">
        <v>5</v>
      </c>
      <c r="AC1" s="25" t="s">
        <v>102</v>
      </c>
      <c r="AD1" s="66" t="s">
        <v>23</v>
      </c>
      <c r="AE1" s="66" t="s">
        <v>24</v>
      </c>
      <c r="AF1" s="66" t="s">
        <v>109</v>
      </c>
      <c r="AG1" s="66" t="s">
        <v>110</v>
      </c>
      <c r="AH1" s="66" t="s">
        <v>23</v>
      </c>
      <c r="AI1" s="66" t="s">
        <v>24</v>
      </c>
      <c r="AJ1" s="25" t="s">
        <v>6</v>
      </c>
      <c r="AK1" s="25" t="s">
        <v>103</v>
      </c>
      <c r="AL1" s="66" t="s">
        <v>23</v>
      </c>
      <c r="AM1" s="66" t="s">
        <v>24</v>
      </c>
      <c r="AN1" s="48" t="s">
        <v>7</v>
      </c>
      <c r="AO1" s="48" t="s">
        <v>104</v>
      </c>
      <c r="AP1" s="66" t="s">
        <v>23</v>
      </c>
      <c r="AQ1" s="66" t="s">
        <v>24</v>
      </c>
      <c r="AR1" s="48" t="s">
        <v>25</v>
      </c>
      <c r="AS1" s="48" t="s">
        <v>105</v>
      </c>
      <c r="AT1" s="66" t="s">
        <v>23</v>
      </c>
      <c r="AU1" s="66" t="s">
        <v>24</v>
      </c>
      <c r="AV1" s="66" t="s">
        <v>127</v>
      </c>
      <c r="AW1" s="66" t="s">
        <v>313</v>
      </c>
      <c r="AX1" s="66" t="s">
        <v>23</v>
      </c>
      <c r="AY1" s="66" t="s">
        <v>24</v>
      </c>
      <c r="AZ1" s="28" t="s">
        <v>9</v>
      </c>
      <c r="BA1" s="28" t="s">
        <v>106</v>
      </c>
      <c r="BB1" s="66" t="s">
        <v>23</v>
      </c>
      <c r="BC1" s="66" t="s">
        <v>24</v>
      </c>
      <c r="BD1" s="25" t="s">
        <v>26</v>
      </c>
    </row>
    <row r="2" spans="1:56" ht="15.75" customHeight="1" x14ac:dyDescent="0.3">
      <c r="A2" s="49" t="s">
        <v>17</v>
      </c>
      <c r="B2" s="49" t="s">
        <v>27</v>
      </c>
      <c r="C2" s="50">
        <v>42734</v>
      </c>
      <c r="D2" s="51"/>
      <c r="E2" s="51"/>
      <c r="F2" s="51"/>
      <c r="G2" s="103" t="e">
        <f t="shared" ref="G2:G54" si="0">(D2-E2)/E2</f>
        <v>#DIV/0!</v>
      </c>
      <c r="H2" s="51">
        <f>L2*1.085</f>
        <v>0</v>
      </c>
      <c r="I2" s="51">
        <f>M2*1.085</f>
        <v>0</v>
      </c>
      <c r="J2" s="103"/>
      <c r="K2" s="103" t="e">
        <f t="shared" ref="K2:K29" si="1">(H2-I2)/I2</f>
        <v>#DIV/0!</v>
      </c>
      <c r="L2" s="51"/>
      <c r="M2" s="51"/>
      <c r="N2" s="103"/>
      <c r="O2" s="103" t="e">
        <f t="shared" ref="O2:O54" si="2">(L2-M2)/M2</f>
        <v>#DIV/0!</v>
      </c>
      <c r="P2" s="53" t="e">
        <f>D2/H2</f>
        <v>#DIV/0!</v>
      </c>
      <c r="Q2" s="53" t="e">
        <f>E2/I2</f>
        <v>#DIV/0!</v>
      </c>
      <c r="R2" s="103"/>
      <c r="S2" s="103" t="e">
        <f t="shared" ref="S2:S54" si="3">(P2-Q2)/Q2</f>
        <v>#DIV/0!</v>
      </c>
      <c r="T2" s="53" t="e">
        <f t="shared" ref="T2:T33" si="4">D2/L2</f>
        <v>#DIV/0!</v>
      </c>
      <c r="U2" s="51" t="e">
        <f t="shared" ref="U2:U33" si="5">E2/M2</f>
        <v>#DIV/0!</v>
      </c>
      <c r="V2" s="103"/>
      <c r="W2" s="103" t="e">
        <f t="shared" ref="W2:W54" si="6">(T2-U2)/U2</f>
        <v>#DIV/0!</v>
      </c>
      <c r="X2" s="54"/>
      <c r="Y2" s="54"/>
      <c r="Z2" s="103"/>
      <c r="AA2" s="103" t="e">
        <f t="shared" ref="AA2:AA54" si="7">(X2-Y2)/Y2</f>
        <v>#DIV/0!</v>
      </c>
      <c r="AB2" s="54"/>
      <c r="AC2" s="54"/>
      <c r="AD2" s="51"/>
      <c r="AE2" s="103" t="e">
        <f t="shared" ref="AE2:AE54" si="8">(AB2-AC2)/AC2</f>
        <v>#DIV/0!</v>
      </c>
      <c r="AF2" s="103"/>
      <c r="AG2" s="103"/>
      <c r="AH2" s="103"/>
      <c r="AI2" s="103"/>
      <c r="AJ2" s="54" t="e">
        <f t="shared" ref="AJ2:AJ33" si="9">D2/AB2</f>
        <v>#DIV/0!</v>
      </c>
      <c r="AK2" s="54" t="e">
        <f t="shared" ref="AK2:AK33" si="10">E2/AC2</f>
        <v>#DIV/0!</v>
      </c>
      <c r="AL2" s="103"/>
      <c r="AM2" s="103" t="e">
        <f t="shared" ref="AM2:AM54" si="11">(AJ2-AK2)/AK2</f>
        <v>#DIV/0!</v>
      </c>
      <c r="AN2" s="54"/>
      <c r="AO2" s="54"/>
      <c r="AP2" s="51"/>
      <c r="AQ2" s="103" t="e">
        <f t="shared" ref="AQ2:AQ54" si="12">(AN2-AO2)/AO2</f>
        <v>#DIV/0!</v>
      </c>
      <c r="AR2" s="54"/>
      <c r="AS2" s="54"/>
      <c r="AT2" s="51"/>
      <c r="AU2" s="103" t="e">
        <f t="shared" ref="AU2:AU54" si="13">(AR2-AS2)/AS2</f>
        <v>#DIV/0!</v>
      </c>
      <c r="AV2" s="103"/>
      <c r="AW2" s="103"/>
      <c r="AX2" s="103"/>
      <c r="AY2" s="103"/>
      <c r="AZ2" s="82" t="e">
        <f t="shared" ref="AZ2:AZ33" si="14">AN2/AR2</f>
        <v>#DIV/0!</v>
      </c>
      <c r="BA2" s="82" t="e">
        <f t="shared" ref="BA2:BA33" si="15">AO2/AS2</f>
        <v>#DIV/0!</v>
      </c>
      <c r="BB2" s="51"/>
      <c r="BC2" s="103" t="e">
        <f t="shared" ref="BC2:BC54" si="16">(AZ2-BA2)/BA2</f>
        <v>#DIV/0!</v>
      </c>
      <c r="BD2" s="81"/>
    </row>
    <row r="3" spans="1:56" ht="15.75" customHeight="1" x14ac:dyDescent="0.3">
      <c r="A3" s="49" t="s">
        <v>17</v>
      </c>
      <c r="B3" s="49" t="s">
        <v>31</v>
      </c>
      <c r="C3" s="50">
        <f t="shared" ref="C3:C53" si="17">C2+7</f>
        <v>42741</v>
      </c>
      <c r="D3" s="51"/>
      <c r="E3" s="51"/>
      <c r="F3" s="51" t="e">
        <f t="shared" ref="F3:F53" si="18">(D3-D2)/D2</f>
        <v>#DIV/0!</v>
      </c>
      <c r="G3" s="103" t="e">
        <f t="shared" si="0"/>
        <v>#DIV/0!</v>
      </c>
      <c r="H3" s="51">
        <f t="shared" ref="H3:H53" si="19">L3*1.085</f>
        <v>0</v>
      </c>
      <c r="I3" s="51">
        <f t="shared" ref="I3:I53" si="20">M3*1.085</f>
        <v>0</v>
      </c>
      <c r="J3" s="103" t="e">
        <f t="shared" ref="J3:J53" si="21">(H3-H2)/H2</f>
        <v>#DIV/0!</v>
      </c>
      <c r="K3" s="103" t="e">
        <f t="shared" si="1"/>
        <v>#DIV/0!</v>
      </c>
      <c r="L3" s="51"/>
      <c r="M3" s="51"/>
      <c r="N3" s="103" t="e">
        <f t="shared" ref="N3:N53" si="22">(L3-L2)/L2</f>
        <v>#DIV/0!</v>
      </c>
      <c r="O3" s="103" t="e">
        <f t="shared" si="2"/>
        <v>#DIV/0!</v>
      </c>
      <c r="P3" s="53" t="e">
        <f t="shared" ref="P3:P53" si="23">D3/H3</f>
        <v>#DIV/0!</v>
      </c>
      <c r="Q3" s="53" t="e">
        <f t="shared" ref="Q3:Q53" si="24">E3/I3</f>
        <v>#DIV/0!</v>
      </c>
      <c r="R3" s="103" t="e">
        <f t="shared" ref="R3:R53" si="25">(P3-P2)/P2</f>
        <v>#DIV/0!</v>
      </c>
      <c r="S3" s="103" t="e">
        <f t="shared" si="3"/>
        <v>#DIV/0!</v>
      </c>
      <c r="T3" s="53" t="e">
        <f t="shared" si="4"/>
        <v>#DIV/0!</v>
      </c>
      <c r="U3" s="51" t="e">
        <f t="shared" si="5"/>
        <v>#DIV/0!</v>
      </c>
      <c r="V3" s="103" t="e">
        <f t="shared" ref="V3:V53" si="26">(T3-T2)/T2</f>
        <v>#DIV/0!</v>
      </c>
      <c r="W3" s="103" t="e">
        <f t="shared" si="6"/>
        <v>#DIV/0!</v>
      </c>
      <c r="X3" s="54"/>
      <c r="Y3" s="54"/>
      <c r="Z3" s="103" t="e">
        <f t="shared" ref="Z3:Z53" si="27">(X3-X2)/X2</f>
        <v>#DIV/0!</v>
      </c>
      <c r="AA3" s="103" t="e">
        <f t="shared" si="7"/>
        <v>#DIV/0!</v>
      </c>
      <c r="AB3" s="54"/>
      <c r="AC3" s="54"/>
      <c r="AD3" s="54" t="e">
        <f t="shared" ref="AD3:AD53" si="28">(AB3-AB2)/AB2</f>
        <v>#DIV/0!</v>
      </c>
      <c r="AE3" s="103" t="e">
        <f t="shared" si="8"/>
        <v>#DIV/0!</v>
      </c>
      <c r="AF3" s="103"/>
      <c r="AG3" s="103"/>
      <c r="AH3" s="103"/>
      <c r="AI3" s="103"/>
      <c r="AJ3" s="51" t="e">
        <f t="shared" si="9"/>
        <v>#DIV/0!</v>
      </c>
      <c r="AK3" s="54" t="e">
        <f t="shared" si="10"/>
        <v>#DIV/0!</v>
      </c>
      <c r="AL3" s="103" t="e">
        <f t="shared" ref="AL3:AL53" si="29">(AJ3-AJ2)/AJ2</f>
        <v>#DIV/0!</v>
      </c>
      <c r="AM3" s="103" t="e">
        <f t="shared" si="11"/>
        <v>#DIV/0!</v>
      </c>
      <c r="AN3" s="54"/>
      <c r="AO3" s="54"/>
      <c r="AP3" s="54" t="e">
        <f t="shared" ref="AP3:AP53" si="30">(AN3-AN2)/AN2</f>
        <v>#DIV/0!</v>
      </c>
      <c r="AQ3" s="103" t="e">
        <f t="shared" si="12"/>
        <v>#DIV/0!</v>
      </c>
      <c r="AR3" s="54"/>
      <c r="AS3" s="54"/>
      <c r="AT3" s="54" t="e">
        <f t="shared" ref="AT3:AT53" si="31">(AR3-AR2)/AR2</f>
        <v>#DIV/0!</v>
      </c>
      <c r="AU3" s="103" t="e">
        <f t="shared" si="13"/>
        <v>#DIV/0!</v>
      </c>
      <c r="AV3" s="103"/>
      <c r="AW3" s="103"/>
      <c r="AX3" s="103"/>
      <c r="AY3" s="103"/>
      <c r="AZ3" s="82" t="e">
        <f t="shared" si="14"/>
        <v>#DIV/0!</v>
      </c>
      <c r="BA3" s="82" t="e">
        <f t="shared" si="15"/>
        <v>#DIV/0!</v>
      </c>
      <c r="BB3" s="54" t="e">
        <f t="shared" ref="BB3:BB53" si="32">(AZ3-AZ2)/AZ2</f>
        <v>#DIV/0!</v>
      </c>
      <c r="BC3" s="103" t="e">
        <f t="shared" si="16"/>
        <v>#DIV/0!</v>
      </c>
      <c r="BD3" s="81"/>
    </row>
    <row r="4" spans="1:56" ht="15.75" customHeight="1" x14ac:dyDescent="0.3">
      <c r="A4" s="49" t="s">
        <v>17</v>
      </c>
      <c r="B4" s="49" t="s">
        <v>32</v>
      </c>
      <c r="C4" s="50">
        <f t="shared" si="17"/>
        <v>42748</v>
      </c>
      <c r="D4" s="51"/>
      <c r="E4" s="51"/>
      <c r="F4" s="51" t="e">
        <f t="shared" si="18"/>
        <v>#DIV/0!</v>
      </c>
      <c r="G4" s="103" t="e">
        <f t="shared" si="0"/>
        <v>#DIV/0!</v>
      </c>
      <c r="H4" s="51">
        <f t="shared" si="19"/>
        <v>0</v>
      </c>
      <c r="I4" s="51">
        <f t="shared" si="20"/>
        <v>0</v>
      </c>
      <c r="J4" s="103" t="e">
        <f t="shared" si="21"/>
        <v>#DIV/0!</v>
      </c>
      <c r="K4" s="103" t="e">
        <f t="shared" si="1"/>
        <v>#DIV/0!</v>
      </c>
      <c r="L4" s="51"/>
      <c r="M4" s="51"/>
      <c r="N4" s="103" t="e">
        <f t="shared" si="22"/>
        <v>#DIV/0!</v>
      </c>
      <c r="O4" s="103" t="e">
        <f t="shared" si="2"/>
        <v>#DIV/0!</v>
      </c>
      <c r="P4" s="53" t="e">
        <f t="shared" si="23"/>
        <v>#DIV/0!</v>
      </c>
      <c r="Q4" s="53" t="e">
        <f t="shared" si="24"/>
        <v>#DIV/0!</v>
      </c>
      <c r="R4" s="103" t="e">
        <f t="shared" si="25"/>
        <v>#DIV/0!</v>
      </c>
      <c r="S4" s="103" t="e">
        <f t="shared" si="3"/>
        <v>#DIV/0!</v>
      </c>
      <c r="T4" s="53" t="e">
        <f t="shared" si="4"/>
        <v>#DIV/0!</v>
      </c>
      <c r="U4" s="51" t="e">
        <f t="shared" si="5"/>
        <v>#DIV/0!</v>
      </c>
      <c r="V4" s="103" t="e">
        <f t="shared" si="26"/>
        <v>#DIV/0!</v>
      </c>
      <c r="W4" s="103" t="e">
        <f t="shared" si="6"/>
        <v>#DIV/0!</v>
      </c>
      <c r="X4" s="54"/>
      <c r="Y4" s="54"/>
      <c r="Z4" s="103" t="e">
        <f t="shared" si="27"/>
        <v>#DIV/0!</v>
      </c>
      <c r="AA4" s="103" t="e">
        <f t="shared" si="7"/>
        <v>#DIV/0!</v>
      </c>
      <c r="AB4" s="54"/>
      <c r="AC4" s="54"/>
      <c r="AD4" s="54" t="e">
        <f t="shared" si="28"/>
        <v>#DIV/0!</v>
      </c>
      <c r="AE4" s="103" t="e">
        <f t="shared" si="8"/>
        <v>#DIV/0!</v>
      </c>
      <c r="AF4" s="103"/>
      <c r="AG4" s="103"/>
      <c r="AH4" s="103"/>
      <c r="AI4" s="103"/>
      <c r="AJ4" s="51" t="e">
        <f t="shared" si="9"/>
        <v>#DIV/0!</v>
      </c>
      <c r="AK4" s="54" t="e">
        <f t="shared" si="10"/>
        <v>#DIV/0!</v>
      </c>
      <c r="AL4" s="103" t="e">
        <f t="shared" si="29"/>
        <v>#DIV/0!</v>
      </c>
      <c r="AM4" s="103" t="e">
        <f t="shared" si="11"/>
        <v>#DIV/0!</v>
      </c>
      <c r="AN4" s="54"/>
      <c r="AO4" s="54"/>
      <c r="AP4" s="54" t="e">
        <f t="shared" si="30"/>
        <v>#DIV/0!</v>
      </c>
      <c r="AQ4" s="103" t="e">
        <f t="shared" si="12"/>
        <v>#DIV/0!</v>
      </c>
      <c r="AR4" s="54"/>
      <c r="AS4" s="54"/>
      <c r="AT4" s="54" t="e">
        <f t="shared" si="31"/>
        <v>#DIV/0!</v>
      </c>
      <c r="AU4" s="103" t="e">
        <f t="shared" si="13"/>
        <v>#DIV/0!</v>
      </c>
      <c r="AV4" s="103"/>
      <c r="AW4" s="103"/>
      <c r="AX4" s="103"/>
      <c r="AY4" s="103"/>
      <c r="AZ4" s="82" t="e">
        <f t="shared" si="14"/>
        <v>#DIV/0!</v>
      </c>
      <c r="BA4" s="82" t="e">
        <f t="shared" si="15"/>
        <v>#DIV/0!</v>
      </c>
      <c r="BB4" s="54" t="e">
        <f t="shared" si="32"/>
        <v>#DIV/0!</v>
      </c>
      <c r="BC4" s="103" t="e">
        <f t="shared" si="16"/>
        <v>#DIV/0!</v>
      </c>
      <c r="BD4" s="81"/>
    </row>
    <row r="5" spans="1:56" s="80" customFormat="1" ht="15.75" customHeight="1" x14ac:dyDescent="0.3">
      <c r="A5" s="69" t="s">
        <v>17</v>
      </c>
      <c r="B5" s="69" t="s">
        <v>33</v>
      </c>
      <c r="C5" s="70">
        <f t="shared" si="17"/>
        <v>42755</v>
      </c>
      <c r="D5" s="72"/>
      <c r="E5" s="72"/>
      <c r="F5" s="72" t="e">
        <f t="shared" si="18"/>
        <v>#DIV/0!</v>
      </c>
      <c r="G5" s="104" t="e">
        <f t="shared" si="0"/>
        <v>#DIV/0!</v>
      </c>
      <c r="H5" s="72">
        <f t="shared" si="19"/>
        <v>0</v>
      </c>
      <c r="I5" s="72">
        <f t="shared" si="20"/>
        <v>0</v>
      </c>
      <c r="J5" s="104" t="e">
        <f t="shared" si="21"/>
        <v>#DIV/0!</v>
      </c>
      <c r="K5" s="104" t="e">
        <f t="shared" si="1"/>
        <v>#DIV/0!</v>
      </c>
      <c r="L5" s="72"/>
      <c r="M5" s="72"/>
      <c r="N5" s="104" t="e">
        <f t="shared" si="22"/>
        <v>#DIV/0!</v>
      </c>
      <c r="O5" s="104" t="e">
        <f t="shared" si="2"/>
        <v>#DIV/0!</v>
      </c>
      <c r="P5" s="74" t="e">
        <f t="shared" si="23"/>
        <v>#DIV/0!</v>
      </c>
      <c r="Q5" s="74" t="e">
        <f t="shared" si="24"/>
        <v>#DIV/0!</v>
      </c>
      <c r="R5" s="104" t="e">
        <f t="shared" si="25"/>
        <v>#DIV/0!</v>
      </c>
      <c r="S5" s="104" t="e">
        <f t="shared" si="3"/>
        <v>#DIV/0!</v>
      </c>
      <c r="T5" s="74" t="e">
        <f t="shared" si="4"/>
        <v>#DIV/0!</v>
      </c>
      <c r="U5" s="72" t="e">
        <f t="shared" si="5"/>
        <v>#DIV/0!</v>
      </c>
      <c r="V5" s="104" t="e">
        <f t="shared" si="26"/>
        <v>#DIV/0!</v>
      </c>
      <c r="W5" s="104" t="e">
        <f t="shared" si="6"/>
        <v>#DIV/0!</v>
      </c>
      <c r="X5" s="76"/>
      <c r="Y5" s="76"/>
      <c r="Z5" s="104" t="e">
        <f t="shared" si="27"/>
        <v>#DIV/0!</v>
      </c>
      <c r="AA5" s="104" t="e">
        <f t="shared" si="7"/>
        <v>#DIV/0!</v>
      </c>
      <c r="AB5" s="76"/>
      <c r="AC5" s="76"/>
      <c r="AD5" s="76" t="e">
        <f t="shared" si="28"/>
        <v>#DIV/0!</v>
      </c>
      <c r="AE5" s="104" t="e">
        <f t="shared" si="8"/>
        <v>#DIV/0!</v>
      </c>
      <c r="AF5" s="104"/>
      <c r="AG5" s="104"/>
      <c r="AH5" s="104"/>
      <c r="AI5" s="104"/>
      <c r="AJ5" s="72" t="e">
        <f t="shared" si="9"/>
        <v>#DIV/0!</v>
      </c>
      <c r="AK5" s="76" t="e">
        <f t="shared" si="10"/>
        <v>#DIV/0!</v>
      </c>
      <c r="AL5" s="104" t="e">
        <f t="shared" si="29"/>
        <v>#DIV/0!</v>
      </c>
      <c r="AM5" s="104" t="e">
        <f t="shared" si="11"/>
        <v>#DIV/0!</v>
      </c>
      <c r="AN5" s="76"/>
      <c r="AO5" s="76"/>
      <c r="AP5" s="76" t="e">
        <f t="shared" si="30"/>
        <v>#DIV/0!</v>
      </c>
      <c r="AQ5" s="104" t="e">
        <f t="shared" si="12"/>
        <v>#DIV/0!</v>
      </c>
      <c r="AR5" s="76"/>
      <c r="AS5" s="76"/>
      <c r="AT5" s="76" t="e">
        <f t="shared" si="31"/>
        <v>#DIV/0!</v>
      </c>
      <c r="AU5" s="104" t="e">
        <f t="shared" si="13"/>
        <v>#DIV/0!</v>
      </c>
      <c r="AV5" s="104"/>
      <c r="AW5" s="104"/>
      <c r="AX5" s="104"/>
      <c r="AY5" s="104"/>
      <c r="AZ5" s="83" t="e">
        <f t="shared" si="14"/>
        <v>#DIV/0!</v>
      </c>
      <c r="BA5" s="83" t="e">
        <f t="shared" si="15"/>
        <v>#DIV/0!</v>
      </c>
      <c r="BB5" s="76" t="e">
        <f t="shared" si="32"/>
        <v>#DIV/0!</v>
      </c>
      <c r="BC5" s="104" t="e">
        <f t="shared" si="16"/>
        <v>#DIV/0!</v>
      </c>
    </row>
    <row r="6" spans="1:56" ht="15.75" customHeight="1" x14ac:dyDescent="0.3">
      <c r="A6" s="49" t="s">
        <v>18</v>
      </c>
      <c r="B6" s="49" t="s">
        <v>34</v>
      </c>
      <c r="C6" s="50">
        <f t="shared" si="17"/>
        <v>42762</v>
      </c>
      <c r="D6" s="51"/>
      <c r="E6" s="51"/>
      <c r="F6" s="51" t="e">
        <f t="shared" si="18"/>
        <v>#DIV/0!</v>
      </c>
      <c r="G6" s="103" t="e">
        <f t="shared" si="0"/>
        <v>#DIV/0!</v>
      </c>
      <c r="H6" s="51">
        <f t="shared" si="19"/>
        <v>0</v>
      </c>
      <c r="I6" s="51">
        <f t="shared" si="20"/>
        <v>0</v>
      </c>
      <c r="J6" s="103" t="e">
        <f t="shared" si="21"/>
        <v>#DIV/0!</v>
      </c>
      <c r="K6" s="103" t="e">
        <f t="shared" si="1"/>
        <v>#DIV/0!</v>
      </c>
      <c r="L6" s="51"/>
      <c r="M6" s="51"/>
      <c r="N6" s="103" t="e">
        <f t="shared" si="22"/>
        <v>#DIV/0!</v>
      </c>
      <c r="O6" s="103" t="e">
        <f t="shared" si="2"/>
        <v>#DIV/0!</v>
      </c>
      <c r="P6" s="53" t="e">
        <f t="shared" si="23"/>
        <v>#DIV/0!</v>
      </c>
      <c r="Q6" s="53" t="e">
        <f t="shared" si="24"/>
        <v>#DIV/0!</v>
      </c>
      <c r="R6" s="103" t="e">
        <f t="shared" si="25"/>
        <v>#DIV/0!</v>
      </c>
      <c r="S6" s="103" t="e">
        <f t="shared" si="3"/>
        <v>#DIV/0!</v>
      </c>
      <c r="T6" s="53" t="e">
        <f t="shared" si="4"/>
        <v>#DIV/0!</v>
      </c>
      <c r="U6" s="51" t="e">
        <f t="shared" si="5"/>
        <v>#DIV/0!</v>
      </c>
      <c r="V6" s="103" t="e">
        <f t="shared" si="26"/>
        <v>#DIV/0!</v>
      </c>
      <c r="W6" s="103" t="e">
        <f t="shared" si="6"/>
        <v>#DIV/0!</v>
      </c>
      <c r="X6" s="54"/>
      <c r="Y6" s="54"/>
      <c r="Z6" s="103" t="e">
        <f t="shared" si="27"/>
        <v>#DIV/0!</v>
      </c>
      <c r="AA6" s="103" t="e">
        <f t="shared" si="7"/>
        <v>#DIV/0!</v>
      </c>
      <c r="AB6" s="54"/>
      <c r="AC6" s="54"/>
      <c r="AD6" s="54" t="e">
        <f t="shared" si="28"/>
        <v>#DIV/0!</v>
      </c>
      <c r="AE6" s="103" t="e">
        <f t="shared" si="8"/>
        <v>#DIV/0!</v>
      </c>
      <c r="AF6" s="103"/>
      <c r="AG6" s="103"/>
      <c r="AH6" s="103"/>
      <c r="AI6" s="103"/>
      <c r="AJ6" s="51" t="e">
        <f t="shared" si="9"/>
        <v>#DIV/0!</v>
      </c>
      <c r="AK6" s="54" t="e">
        <f t="shared" si="10"/>
        <v>#DIV/0!</v>
      </c>
      <c r="AL6" s="103" t="e">
        <f t="shared" si="29"/>
        <v>#DIV/0!</v>
      </c>
      <c r="AM6" s="103" t="e">
        <f t="shared" si="11"/>
        <v>#DIV/0!</v>
      </c>
      <c r="AN6" s="54"/>
      <c r="AO6" s="54"/>
      <c r="AP6" s="54" t="e">
        <f t="shared" si="30"/>
        <v>#DIV/0!</v>
      </c>
      <c r="AQ6" s="103" t="e">
        <f t="shared" si="12"/>
        <v>#DIV/0!</v>
      </c>
      <c r="AR6" s="54"/>
      <c r="AS6" s="54"/>
      <c r="AT6" s="54" t="e">
        <f t="shared" si="31"/>
        <v>#DIV/0!</v>
      </c>
      <c r="AU6" s="103" t="e">
        <f t="shared" si="13"/>
        <v>#DIV/0!</v>
      </c>
      <c r="AV6" s="103"/>
      <c r="AW6" s="103"/>
      <c r="AX6" s="103"/>
      <c r="AY6" s="103"/>
      <c r="AZ6" s="82" t="e">
        <f t="shared" si="14"/>
        <v>#DIV/0!</v>
      </c>
      <c r="BA6" s="82" t="e">
        <f t="shared" si="15"/>
        <v>#DIV/0!</v>
      </c>
      <c r="BB6" s="54" t="e">
        <f t="shared" si="32"/>
        <v>#DIV/0!</v>
      </c>
      <c r="BC6" s="103" t="e">
        <f t="shared" si="16"/>
        <v>#DIV/0!</v>
      </c>
      <c r="BD6" s="81"/>
    </row>
    <row r="7" spans="1:56" ht="15.75" customHeight="1" x14ac:dyDescent="0.3">
      <c r="A7" s="49" t="s">
        <v>18</v>
      </c>
      <c r="B7" s="49" t="s">
        <v>35</v>
      </c>
      <c r="C7" s="50">
        <f t="shared" si="17"/>
        <v>42769</v>
      </c>
      <c r="D7" s="51"/>
      <c r="E7" s="51"/>
      <c r="F7" s="51" t="e">
        <f t="shared" si="18"/>
        <v>#DIV/0!</v>
      </c>
      <c r="G7" s="103" t="e">
        <f t="shared" si="0"/>
        <v>#DIV/0!</v>
      </c>
      <c r="H7" s="51">
        <f t="shared" si="19"/>
        <v>0</v>
      </c>
      <c r="I7" s="51">
        <f t="shared" si="20"/>
        <v>0</v>
      </c>
      <c r="J7" s="103" t="e">
        <f t="shared" si="21"/>
        <v>#DIV/0!</v>
      </c>
      <c r="K7" s="103" t="e">
        <f t="shared" si="1"/>
        <v>#DIV/0!</v>
      </c>
      <c r="L7" s="51"/>
      <c r="M7" s="51"/>
      <c r="N7" s="103" t="e">
        <f t="shared" si="22"/>
        <v>#DIV/0!</v>
      </c>
      <c r="O7" s="103" t="e">
        <f t="shared" si="2"/>
        <v>#DIV/0!</v>
      </c>
      <c r="P7" s="53" t="e">
        <f t="shared" si="23"/>
        <v>#DIV/0!</v>
      </c>
      <c r="Q7" s="53" t="e">
        <f t="shared" si="24"/>
        <v>#DIV/0!</v>
      </c>
      <c r="R7" s="103" t="e">
        <f t="shared" si="25"/>
        <v>#DIV/0!</v>
      </c>
      <c r="S7" s="103" t="e">
        <f t="shared" si="3"/>
        <v>#DIV/0!</v>
      </c>
      <c r="T7" s="53" t="e">
        <f t="shared" si="4"/>
        <v>#DIV/0!</v>
      </c>
      <c r="U7" s="51" t="e">
        <f t="shared" si="5"/>
        <v>#DIV/0!</v>
      </c>
      <c r="V7" s="103" t="e">
        <f t="shared" si="26"/>
        <v>#DIV/0!</v>
      </c>
      <c r="W7" s="103" t="e">
        <f t="shared" si="6"/>
        <v>#DIV/0!</v>
      </c>
      <c r="X7" s="54"/>
      <c r="Y7" s="54"/>
      <c r="Z7" s="103" t="e">
        <f t="shared" si="27"/>
        <v>#DIV/0!</v>
      </c>
      <c r="AA7" s="103" t="e">
        <f t="shared" si="7"/>
        <v>#DIV/0!</v>
      </c>
      <c r="AB7" s="54"/>
      <c r="AC7" s="54"/>
      <c r="AD7" s="54" t="e">
        <f t="shared" si="28"/>
        <v>#DIV/0!</v>
      </c>
      <c r="AE7" s="103" t="e">
        <f t="shared" si="8"/>
        <v>#DIV/0!</v>
      </c>
      <c r="AF7" s="103"/>
      <c r="AG7" s="103"/>
      <c r="AH7" s="103"/>
      <c r="AI7" s="103"/>
      <c r="AJ7" s="51" t="e">
        <f t="shared" si="9"/>
        <v>#DIV/0!</v>
      </c>
      <c r="AK7" s="54" t="e">
        <f t="shared" si="10"/>
        <v>#DIV/0!</v>
      </c>
      <c r="AL7" s="103" t="e">
        <f t="shared" si="29"/>
        <v>#DIV/0!</v>
      </c>
      <c r="AM7" s="103" t="e">
        <f t="shared" si="11"/>
        <v>#DIV/0!</v>
      </c>
      <c r="AN7" s="54"/>
      <c r="AO7" s="54"/>
      <c r="AP7" s="54" t="e">
        <f t="shared" si="30"/>
        <v>#DIV/0!</v>
      </c>
      <c r="AQ7" s="103" t="e">
        <f t="shared" si="12"/>
        <v>#DIV/0!</v>
      </c>
      <c r="AR7" s="54"/>
      <c r="AS7" s="54"/>
      <c r="AT7" s="54" t="e">
        <f t="shared" si="31"/>
        <v>#DIV/0!</v>
      </c>
      <c r="AU7" s="103" t="e">
        <f t="shared" si="13"/>
        <v>#DIV/0!</v>
      </c>
      <c r="AV7" s="103"/>
      <c r="AW7" s="103"/>
      <c r="AX7" s="103"/>
      <c r="AY7" s="103"/>
      <c r="AZ7" s="82" t="e">
        <f t="shared" si="14"/>
        <v>#DIV/0!</v>
      </c>
      <c r="BA7" s="82" t="e">
        <f t="shared" si="15"/>
        <v>#DIV/0!</v>
      </c>
      <c r="BB7" s="54" t="e">
        <f t="shared" si="32"/>
        <v>#DIV/0!</v>
      </c>
      <c r="BC7" s="103" t="e">
        <f t="shared" si="16"/>
        <v>#DIV/0!</v>
      </c>
      <c r="BD7" s="81"/>
    </row>
    <row r="8" spans="1:56" ht="15.75" customHeight="1" x14ac:dyDescent="0.3">
      <c r="A8" s="49" t="s">
        <v>18</v>
      </c>
      <c r="B8" s="49" t="s">
        <v>36</v>
      </c>
      <c r="C8" s="50">
        <f t="shared" si="17"/>
        <v>42776</v>
      </c>
      <c r="D8" s="51"/>
      <c r="E8" s="51"/>
      <c r="F8" s="51" t="e">
        <f t="shared" si="18"/>
        <v>#DIV/0!</v>
      </c>
      <c r="G8" s="103" t="e">
        <f t="shared" si="0"/>
        <v>#DIV/0!</v>
      </c>
      <c r="H8" s="51">
        <f t="shared" si="19"/>
        <v>0</v>
      </c>
      <c r="I8" s="51">
        <f t="shared" si="20"/>
        <v>0</v>
      </c>
      <c r="J8" s="103" t="e">
        <f t="shared" si="21"/>
        <v>#DIV/0!</v>
      </c>
      <c r="K8" s="103" t="e">
        <f t="shared" si="1"/>
        <v>#DIV/0!</v>
      </c>
      <c r="L8" s="51"/>
      <c r="M8" s="51"/>
      <c r="N8" s="103" t="e">
        <f t="shared" si="22"/>
        <v>#DIV/0!</v>
      </c>
      <c r="O8" s="103" t="e">
        <f t="shared" si="2"/>
        <v>#DIV/0!</v>
      </c>
      <c r="P8" s="53" t="e">
        <f t="shared" si="23"/>
        <v>#DIV/0!</v>
      </c>
      <c r="Q8" s="53" t="e">
        <f t="shared" si="24"/>
        <v>#DIV/0!</v>
      </c>
      <c r="R8" s="103" t="e">
        <f t="shared" si="25"/>
        <v>#DIV/0!</v>
      </c>
      <c r="S8" s="103" t="e">
        <f t="shared" si="3"/>
        <v>#DIV/0!</v>
      </c>
      <c r="T8" s="53" t="e">
        <f t="shared" si="4"/>
        <v>#DIV/0!</v>
      </c>
      <c r="U8" s="51" t="e">
        <f t="shared" si="5"/>
        <v>#DIV/0!</v>
      </c>
      <c r="V8" s="103" t="e">
        <f t="shared" si="26"/>
        <v>#DIV/0!</v>
      </c>
      <c r="W8" s="103" t="e">
        <f t="shared" si="6"/>
        <v>#DIV/0!</v>
      </c>
      <c r="X8" s="54"/>
      <c r="Y8" s="54"/>
      <c r="Z8" s="103" t="e">
        <f t="shared" si="27"/>
        <v>#DIV/0!</v>
      </c>
      <c r="AA8" s="103" t="e">
        <f t="shared" si="7"/>
        <v>#DIV/0!</v>
      </c>
      <c r="AB8" s="54"/>
      <c r="AC8" s="54"/>
      <c r="AD8" s="54" t="e">
        <f t="shared" si="28"/>
        <v>#DIV/0!</v>
      </c>
      <c r="AE8" s="103" t="e">
        <f t="shared" si="8"/>
        <v>#DIV/0!</v>
      </c>
      <c r="AF8" s="103"/>
      <c r="AG8" s="103"/>
      <c r="AH8" s="103"/>
      <c r="AI8" s="103"/>
      <c r="AJ8" s="51" t="e">
        <f t="shared" si="9"/>
        <v>#DIV/0!</v>
      </c>
      <c r="AK8" s="54" t="e">
        <f t="shared" si="10"/>
        <v>#DIV/0!</v>
      </c>
      <c r="AL8" s="103" t="e">
        <f t="shared" si="29"/>
        <v>#DIV/0!</v>
      </c>
      <c r="AM8" s="103" t="e">
        <f t="shared" si="11"/>
        <v>#DIV/0!</v>
      </c>
      <c r="AN8" s="54"/>
      <c r="AO8" s="54"/>
      <c r="AP8" s="54" t="e">
        <f t="shared" si="30"/>
        <v>#DIV/0!</v>
      </c>
      <c r="AQ8" s="103" t="e">
        <f t="shared" si="12"/>
        <v>#DIV/0!</v>
      </c>
      <c r="AR8" s="54"/>
      <c r="AS8" s="54"/>
      <c r="AT8" s="54" t="e">
        <f t="shared" si="31"/>
        <v>#DIV/0!</v>
      </c>
      <c r="AU8" s="103" t="e">
        <f t="shared" si="13"/>
        <v>#DIV/0!</v>
      </c>
      <c r="AV8" s="103"/>
      <c r="AW8" s="103"/>
      <c r="AX8" s="103"/>
      <c r="AY8" s="103"/>
      <c r="AZ8" s="82" t="e">
        <f t="shared" si="14"/>
        <v>#DIV/0!</v>
      </c>
      <c r="BA8" s="82" t="e">
        <f t="shared" si="15"/>
        <v>#DIV/0!</v>
      </c>
      <c r="BB8" s="54" t="e">
        <f t="shared" si="32"/>
        <v>#DIV/0!</v>
      </c>
      <c r="BC8" s="103" t="e">
        <f t="shared" si="16"/>
        <v>#DIV/0!</v>
      </c>
      <c r="BD8" s="81"/>
    </row>
    <row r="9" spans="1:56" s="80" customFormat="1" ht="15.75" customHeight="1" x14ac:dyDescent="0.3">
      <c r="A9" s="69" t="s">
        <v>18</v>
      </c>
      <c r="B9" s="69" t="s">
        <v>37</v>
      </c>
      <c r="C9" s="70">
        <f t="shared" si="17"/>
        <v>42783</v>
      </c>
      <c r="D9" s="72"/>
      <c r="E9" s="72"/>
      <c r="F9" s="72" t="e">
        <f t="shared" si="18"/>
        <v>#DIV/0!</v>
      </c>
      <c r="G9" s="104" t="e">
        <f t="shared" si="0"/>
        <v>#DIV/0!</v>
      </c>
      <c r="H9" s="72">
        <f t="shared" si="19"/>
        <v>0</v>
      </c>
      <c r="I9" s="72">
        <f t="shared" si="20"/>
        <v>0</v>
      </c>
      <c r="J9" s="104" t="e">
        <f t="shared" si="21"/>
        <v>#DIV/0!</v>
      </c>
      <c r="K9" s="104" t="e">
        <f t="shared" si="1"/>
        <v>#DIV/0!</v>
      </c>
      <c r="L9" s="72"/>
      <c r="M9" s="72"/>
      <c r="N9" s="104" t="e">
        <f t="shared" si="22"/>
        <v>#DIV/0!</v>
      </c>
      <c r="O9" s="104" t="e">
        <f t="shared" si="2"/>
        <v>#DIV/0!</v>
      </c>
      <c r="P9" s="74" t="e">
        <f t="shared" si="23"/>
        <v>#DIV/0!</v>
      </c>
      <c r="Q9" s="74" t="e">
        <f t="shared" si="24"/>
        <v>#DIV/0!</v>
      </c>
      <c r="R9" s="104" t="e">
        <f t="shared" si="25"/>
        <v>#DIV/0!</v>
      </c>
      <c r="S9" s="104" t="e">
        <f t="shared" si="3"/>
        <v>#DIV/0!</v>
      </c>
      <c r="T9" s="74" t="e">
        <f t="shared" si="4"/>
        <v>#DIV/0!</v>
      </c>
      <c r="U9" s="72" t="e">
        <f t="shared" si="5"/>
        <v>#DIV/0!</v>
      </c>
      <c r="V9" s="104" t="e">
        <f t="shared" si="26"/>
        <v>#DIV/0!</v>
      </c>
      <c r="W9" s="104" t="e">
        <f t="shared" si="6"/>
        <v>#DIV/0!</v>
      </c>
      <c r="X9" s="76"/>
      <c r="Y9" s="76"/>
      <c r="Z9" s="104" t="e">
        <f t="shared" si="27"/>
        <v>#DIV/0!</v>
      </c>
      <c r="AA9" s="104" t="e">
        <f t="shared" si="7"/>
        <v>#DIV/0!</v>
      </c>
      <c r="AB9" s="76"/>
      <c r="AC9" s="76"/>
      <c r="AD9" s="76" t="e">
        <f t="shared" si="28"/>
        <v>#DIV/0!</v>
      </c>
      <c r="AE9" s="104" t="e">
        <f t="shared" si="8"/>
        <v>#DIV/0!</v>
      </c>
      <c r="AF9" s="104"/>
      <c r="AG9" s="104"/>
      <c r="AH9" s="104"/>
      <c r="AI9" s="104"/>
      <c r="AJ9" s="72" t="e">
        <f t="shared" si="9"/>
        <v>#DIV/0!</v>
      </c>
      <c r="AK9" s="76" t="e">
        <f t="shared" si="10"/>
        <v>#DIV/0!</v>
      </c>
      <c r="AL9" s="104" t="e">
        <f t="shared" si="29"/>
        <v>#DIV/0!</v>
      </c>
      <c r="AM9" s="104" t="e">
        <f t="shared" si="11"/>
        <v>#DIV/0!</v>
      </c>
      <c r="AN9" s="76"/>
      <c r="AO9" s="76"/>
      <c r="AP9" s="76" t="e">
        <f t="shared" si="30"/>
        <v>#DIV/0!</v>
      </c>
      <c r="AQ9" s="104" t="e">
        <f t="shared" si="12"/>
        <v>#DIV/0!</v>
      </c>
      <c r="AR9" s="76"/>
      <c r="AS9" s="76"/>
      <c r="AT9" s="76" t="e">
        <f t="shared" si="31"/>
        <v>#DIV/0!</v>
      </c>
      <c r="AU9" s="104" t="e">
        <f t="shared" si="13"/>
        <v>#DIV/0!</v>
      </c>
      <c r="AV9" s="104"/>
      <c r="AW9" s="104"/>
      <c r="AX9" s="104"/>
      <c r="AY9" s="104"/>
      <c r="AZ9" s="83" t="e">
        <f t="shared" si="14"/>
        <v>#DIV/0!</v>
      </c>
      <c r="BA9" s="83" t="e">
        <f t="shared" si="15"/>
        <v>#DIV/0!</v>
      </c>
      <c r="BB9" s="76" t="e">
        <f t="shared" si="32"/>
        <v>#DIV/0!</v>
      </c>
      <c r="BC9" s="104" t="e">
        <f t="shared" si="16"/>
        <v>#DIV/0!</v>
      </c>
    </row>
    <row r="10" spans="1:56" ht="15.75" customHeight="1" x14ac:dyDescent="0.3">
      <c r="A10" s="49" t="s">
        <v>38</v>
      </c>
      <c r="B10" s="49" t="s">
        <v>39</v>
      </c>
      <c r="C10" s="50">
        <f t="shared" si="17"/>
        <v>42790</v>
      </c>
      <c r="D10" s="51"/>
      <c r="E10" s="51"/>
      <c r="F10" s="51" t="e">
        <f t="shared" si="18"/>
        <v>#DIV/0!</v>
      </c>
      <c r="G10" s="103" t="e">
        <f t="shared" si="0"/>
        <v>#DIV/0!</v>
      </c>
      <c r="H10" s="51">
        <f t="shared" si="19"/>
        <v>0</v>
      </c>
      <c r="I10" s="51">
        <f t="shared" si="20"/>
        <v>0</v>
      </c>
      <c r="J10" s="103" t="e">
        <f t="shared" si="21"/>
        <v>#DIV/0!</v>
      </c>
      <c r="K10" s="103" t="e">
        <f t="shared" si="1"/>
        <v>#DIV/0!</v>
      </c>
      <c r="L10" s="51"/>
      <c r="M10" s="51"/>
      <c r="N10" s="103" t="e">
        <f t="shared" si="22"/>
        <v>#DIV/0!</v>
      </c>
      <c r="O10" s="103" t="e">
        <f t="shared" si="2"/>
        <v>#DIV/0!</v>
      </c>
      <c r="P10" s="53" t="e">
        <f t="shared" si="23"/>
        <v>#DIV/0!</v>
      </c>
      <c r="Q10" s="53" t="e">
        <f t="shared" si="24"/>
        <v>#DIV/0!</v>
      </c>
      <c r="R10" s="103" t="e">
        <f t="shared" si="25"/>
        <v>#DIV/0!</v>
      </c>
      <c r="S10" s="103" t="e">
        <f t="shared" si="3"/>
        <v>#DIV/0!</v>
      </c>
      <c r="T10" s="53" t="e">
        <f t="shared" si="4"/>
        <v>#DIV/0!</v>
      </c>
      <c r="U10" s="51" t="e">
        <f t="shared" si="5"/>
        <v>#DIV/0!</v>
      </c>
      <c r="V10" s="103" t="e">
        <f t="shared" si="26"/>
        <v>#DIV/0!</v>
      </c>
      <c r="W10" s="103" t="e">
        <f t="shared" si="6"/>
        <v>#DIV/0!</v>
      </c>
      <c r="X10" s="54"/>
      <c r="Y10" s="54"/>
      <c r="Z10" s="103" t="e">
        <f t="shared" si="27"/>
        <v>#DIV/0!</v>
      </c>
      <c r="AA10" s="103" t="e">
        <f t="shared" si="7"/>
        <v>#DIV/0!</v>
      </c>
      <c r="AB10" s="54"/>
      <c r="AC10" s="54"/>
      <c r="AD10" s="54" t="e">
        <f t="shared" si="28"/>
        <v>#DIV/0!</v>
      </c>
      <c r="AE10" s="103" t="e">
        <f t="shared" si="8"/>
        <v>#DIV/0!</v>
      </c>
      <c r="AF10" s="103"/>
      <c r="AG10" s="103"/>
      <c r="AH10" s="103"/>
      <c r="AI10" s="103"/>
      <c r="AJ10" s="51" t="e">
        <f t="shared" si="9"/>
        <v>#DIV/0!</v>
      </c>
      <c r="AK10" s="54" t="e">
        <f t="shared" si="10"/>
        <v>#DIV/0!</v>
      </c>
      <c r="AL10" s="103" t="e">
        <f t="shared" si="29"/>
        <v>#DIV/0!</v>
      </c>
      <c r="AM10" s="103" t="e">
        <f t="shared" si="11"/>
        <v>#DIV/0!</v>
      </c>
      <c r="AN10" s="54"/>
      <c r="AO10" s="54"/>
      <c r="AP10" s="54" t="e">
        <f t="shared" si="30"/>
        <v>#DIV/0!</v>
      </c>
      <c r="AQ10" s="103" t="e">
        <f t="shared" si="12"/>
        <v>#DIV/0!</v>
      </c>
      <c r="AR10" s="54"/>
      <c r="AS10" s="54"/>
      <c r="AT10" s="54" t="e">
        <f t="shared" si="31"/>
        <v>#DIV/0!</v>
      </c>
      <c r="AU10" s="103" t="e">
        <f t="shared" si="13"/>
        <v>#DIV/0!</v>
      </c>
      <c r="AV10" s="103"/>
      <c r="AW10" s="103"/>
      <c r="AX10" s="103"/>
      <c r="AY10" s="103"/>
      <c r="AZ10" s="82" t="e">
        <f t="shared" si="14"/>
        <v>#DIV/0!</v>
      </c>
      <c r="BA10" s="82" t="e">
        <f t="shared" si="15"/>
        <v>#DIV/0!</v>
      </c>
      <c r="BB10" s="54" t="e">
        <f t="shared" si="32"/>
        <v>#DIV/0!</v>
      </c>
      <c r="BC10" s="103" t="e">
        <f t="shared" si="16"/>
        <v>#DIV/0!</v>
      </c>
      <c r="BD10" s="81"/>
    </row>
    <row r="11" spans="1:56" ht="15.75" customHeight="1" x14ac:dyDescent="0.3">
      <c r="A11" s="49" t="s">
        <v>38</v>
      </c>
      <c r="B11" s="49" t="s">
        <v>40</v>
      </c>
      <c r="C11" s="50">
        <v>42797</v>
      </c>
      <c r="D11" s="51"/>
      <c r="E11" s="51"/>
      <c r="F11" s="51" t="e">
        <f t="shared" si="18"/>
        <v>#DIV/0!</v>
      </c>
      <c r="G11" s="103" t="e">
        <f t="shared" si="0"/>
        <v>#DIV/0!</v>
      </c>
      <c r="H11" s="51">
        <f t="shared" si="19"/>
        <v>0</v>
      </c>
      <c r="I11" s="51">
        <f t="shared" si="20"/>
        <v>0</v>
      </c>
      <c r="J11" s="103" t="e">
        <f t="shared" si="21"/>
        <v>#DIV/0!</v>
      </c>
      <c r="K11" s="103" t="e">
        <f t="shared" si="1"/>
        <v>#DIV/0!</v>
      </c>
      <c r="L11" s="51"/>
      <c r="M11" s="51"/>
      <c r="N11" s="103" t="e">
        <f t="shared" si="22"/>
        <v>#DIV/0!</v>
      </c>
      <c r="O11" s="103" t="e">
        <f t="shared" si="2"/>
        <v>#DIV/0!</v>
      </c>
      <c r="P11" s="53" t="e">
        <f t="shared" si="23"/>
        <v>#DIV/0!</v>
      </c>
      <c r="Q11" s="53" t="e">
        <f t="shared" si="24"/>
        <v>#DIV/0!</v>
      </c>
      <c r="R11" s="103" t="e">
        <f t="shared" si="25"/>
        <v>#DIV/0!</v>
      </c>
      <c r="S11" s="103" t="e">
        <f t="shared" si="3"/>
        <v>#DIV/0!</v>
      </c>
      <c r="T11" s="53" t="e">
        <f t="shared" si="4"/>
        <v>#DIV/0!</v>
      </c>
      <c r="U11" s="51" t="e">
        <f t="shared" si="5"/>
        <v>#DIV/0!</v>
      </c>
      <c r="V11" s="103" t="e">
        <f t="shared" si="26"/>
        <v>#DIV/0!</v>
      </c>
      <c r="W11" s="103" t="e">
        <f t="shared" si="6"/>
        <v>#DIV/0!</v>
      </c>
      <c r="X11" s="54"/>
      <c r="Y11" s="54"/>
      <c r="Z11" s="103" t="e">
        <f t="shared" si="27"/>
        <v>#DIV/0!</v>
      </c>
      <c r="AA11" s="103" t="e">
        <f t="shared" si="7"/>
        <v>#DIV/0!</v>
      </c>
      <c r="AB11" s="54"/>
      <c r="AC11" s="54"/>
      <c r="AD11" s="54" t="e">
        <f t="shared" si="28"/>
        <v>#DIV/0!</v>
      </c>
      <c r="AE11" s="103" t="e">
        <f t="shared" si="8"/>
        <v>#DIV/0!</v>
      </c>
      <c r="AF11" s="103"/>
      <c r="AG11" s="103"/>
      <c r="AH11" s="103"/>
      <c r="AI11" s="103"/>
      <c r="AJ11" s="51" t="e">
        <f t="shared" si="9"/>
        <v>#DIV/0!</v>
      </c>
      <c r="AK11" s="54" t="e">
        <f t="shared" si="10"/>
        <v>#DIV/0!</v>
      </c>
      <c r="AL11" s="103" t="e">
        <f t="shared" si="29"/>
        <v>#DIV/0!</v>
      </c>
      <c r="AM11" s="103" t="e">
        <f t="shared" si="11"/>
        <v>#DIV/0!</v>
      </c>
      <c r="AN11" s="54"/>
      <c r="AO11" s="54"/>
      <c r="AP11" s="54" t="e">
        <f t="shared" si="30"/>
        <v>#DIV/0!</v>
      </c>
      <c r="AQ11" s="103" t="e">
        <f t="shared" si="12"/>
        <v>#DIV/0!</v>
      </c>
      <c r="AR11" s="54"/>
      <c r="AS11" s="54"/>
      <c r="AT11" s="54" t="e">
        <f t="shared" si="31"/>
        <v>#DIV/0!</v>
      </c>
      <c r="AU11" s="103" t="e">
        <f t="shared" si="13"/>
        <v>#DIV/0!</v>
      </c>
      <c r="AV11" s="103"/>
      <c r="AW11" s="103"/>
      <c r="AX11" s="103"/>
      <c r="AY11" s="103"/>
      <c r="AZ11" s="82" t="e">
        <f t="shared" si="14"/>
        <v>#DIV/0!</v>
      </c>
      <c r="BA11" s="82" t="e">
        <f t="shared" si="15"/>
        <v>#DIV/0!</v>
      </c>
      <c r="BB11" s="54" t="e">
        <f t="shared" si="32"/>
        <v>#DIV/0!</v>
      </c>
      <c r="BC11" s="103" t="e">
        <f t="shared" si="16"/>
        <v>#DIV/0!</v>
      </c>
      <c r="BD11" s="81"/>
    </row>
    <row r="12" spans="1:56" ht="15.75" customHeight="1" x14ac:dyDescent="0.3">
      <c r="A12" s="49" t="s">
        <v>38</v>
      </c>
      <c r="B12" s="49" t="s">
        <v>41</v>
      </c>
      <c r="C12" s="50">
        <f>C11+7</f>
        <v>42804</v>
      </c>
      <c r="D12" s="51"/>
      <c r="E12" s="51"/>
      <c r="F12" s="51" t="e">
        <f t="shared" si="18"/>
        <v>#DIV/0!</v>
      </c>
      <c r="G12" s="103" t="e">
        <f t="shared" si="0"/>
        <v>#DIV/0!</v>
      </c>
      <c r="H12" s="51">
        <f t="shared" si="19"/>
        <v>0</v>
      </c>
      <c r="I12" s="51">
        <f t="shared" si="20"/>
        <v>0</v>
      </c>
      <c r="J12" s="103" t="e">
        <f t="shared" si="21"/>
        <v>#DIV/0!</v>
      </c>
      <c r="K12" s="103" t="e">
        <f t="shared" si="1"/>
        <v>#DIV/0!</v>
      </c>
      <c r="L12" s="51"/>
      <c r="M12" s="51"/>
      <c r="N12" s="103" t="e">
        <f t="shared" si="22"/>
        <v>#DIV/0!</v>
      </c>
      <c r="O12" s="103" t="e">
        <f t="shared" si="2"/>
        <v>#DIV/0!</v>
      </c>
      <c r="P12" s="53" t="e">
        <f t="shared" si="23"/>
        <v>#DIV/0!</v>
      </c>
      <c r="Q12" s="53" t="e">
        <f t="shared" si="24"/>
        <v>#DIV/0!</v>
      </c>
      <c r="R12" s="103" t="e">
        <f t="shared" si="25"/>
        <v>#DIV/0!</v>
      </c>
      <c r="S12" s="103" t="e">
        <f t="shared" si="3"/>
        <v>#DIV/0!</v>
      </c>
      <c r="T12" s="53" t="e">
        <f t="shared" si="4"/>
        <v>#DIV/0!</v>
      </c>
      <c r="U12" s="51" t="e">
        <f t="shared" si="5"/>
        <v>#DIV/0!</v>
      </c>
      <c r="V12" s="103" t="e">
        <f t="shared" si="26"/>
        <v>#DIV/0!</v>
      </c>
      <c r="W12" s="103" t="e">
        <f t="shared" si="6"/>
        <v>#DIV/0!</v>
      </c>
      <c r="X12" s="54"/>
      <c r="Y12" s="54"/>
      <c r="Z12" s="103" t="e">
        <f t="shared" si="27"/>
        <v>#DIV/0!</v>
      </c>
      <c r="AA12" s="103" t="e">
        <f t="shared" si="7"/>
        <v>#DIV/0!</v>
      </c>
      <c r="AB12" s="54"/>
      <c r="AC12" s="54"/>
      <c r="AD12" s="54" t="e">
        <f t="shared" si="28"/>
        <v>#DIV/0!</v>
      </c>
      <c r="AE12" s="103" t="e">
        <f t="shared" si="8"/>
        <v>#DIV/0!</v>
      </c>
      <c r="AF12" s="103"/>
      <c r="AG12" s="103"/>
      <c r="AH12" s="103"/>
      <c r="AI12" s="103"/>
      <c r="AJ12" s="51" t="e">
        <f t="shared" si="9"/>
        <v>#DIV/0!</v>
      </c>
      <c r="AK12" s="54" t="e">
        <f t="shared" si="10"/>
        <v>#DIV/0!</v>
      </c>
      <c r="AL12" s="103" t="e">
        <f t="shared" si="29"/>
        <v>#DIV/0!</v>
      </c>
      <c r="AM12" s="103" t="e">
        <f t="shared" si="11"/>
        <v>#DIV/0!</v>
      </c>
      <c r="AN12" s="54"/>
      <c r="AO12" s="54"/>
      <c r="AP12" s="54" t="e">
        <f t="shared" si="30"/>
        <v>#DIV/0!</v>
      </c>
      <c r="AQ12" s="103" t="e">
        <f t="shared" si="12"/>
        <v>#DIV/0!</v>
      </c>
      <c r="AR12" s="54"/>
      <c r="AS12" s="54"/>
      <c r="AT12" s="54" t="e">
        <f t="shared" si="31"/>
        <v>#DIV/0!</v>
      </c>
      <c r="AU12" s="103" t="e">
        <f t="shared" si="13"/>
        <v>#DIV/0!</v>
      </c>
      <c r="AV12" s="103"/>
      <c r="AW12" s="103"/>
      <c r="AX12" s="103"/>
      <c r="AY12" s="103"/>
      <c r="AZ12" s="82" t="e">
        <f t="shared" si="14"/>
        <v>#DIV/0!</v>
      </c>
      <c r="BA12" s="82" t="e">
        <f t="shared" si="15"/>
        <v>#DIV/0!</v>
      </c>
      <c r="BB12" s="54" t="e">
        <f t="shared" si="32"/>
        <v>#DIV/0!</v>
      </c>
      <c r="BC12" s="103" t="e">
        <f t="shared" si="16"/>
        <v>#DIV/0!</v>
      </c>
      <c r="BD12" s="81"/>
    </row>
    <row r="13" spans="1:56" s="80" customFormat="1" ht="15.75" customHeight="1" x14ac:dyDescent="0.3">
      <c r="A13" s="69" t="s">
        <v>38</v>
      </c>
      <c r="B13" s="69" t="s">
        <v>42</v>
      </c>
      <c r="C13" s="70">
        <f t="shared" si="17"/>
        <v>42811</v>
      </c>
      <c r="D13" s="72"/>
      <c r="E13" s="72"/>
      <c r="F13" s="72" t="e">
        <f t="shared" si="18"/>
        <v>#DIV/0!</v>
      </c>
      <c r="G13" s="104" t="e">
        <f t="shared" si="0"/>
        <v>#DIV/0!</v>
      </c>
      <c r="H13" s="72">
        <f t="shared" si="19"/>
        <v>0</v>
      </c>
      <c r="I13" s="72">
        <f t="shared" si="20"/>
        <v>0</v>
      </c>
      <c r="J13" s="104" t="e">
        <f t="shared" si="21"/>
        <v>#DIV/0!</v>
      </c>
      <c r="K13" s="104" t="e">
        <f t="shared" si="1"/>
        <v>#DIV/0!</v>
      </c>
      <c r="L13" s="72"/>
      <c r="M13" s="72"/>
      <c r="N13" s="104" t="e">
        <f t="shared" si="22"/>
        <v>#DIV/0!</v>
      </c>
      <c r="O13" s="104" t="e">
        <f t="shared" si="2"/>
        <v>#DIV/0!</v>
      </c>
      <c r="P13" s="74" t="e">
        <f t="shared" si="23"/>
        <v>#DIV/0!</v>
      </c>
      <c r="Q13" s="74" t="e">
        <f t="shared" si="24"/>
        <v>#DIV/0!</v>
      </c>
      <c r="R13" s="104" t="e">
        <f t="shared" si="25"/>
        <v>#DIV/0!</v>
      </c>
      <c r="S13" s="104" t="e">
        <f t="shared" si="3"/>
        <v>#DIV/0!</v>
      </c>
      <c r="T13" s="74" t="e">
        <f t="shared" si="4"/>
        <v>#DIV/0!</v>
      </c>
      <c r="U13" s="72" t="e">
        <f t="shared" si="5"/>
        <v>#DIV/0!</v>
      </c>
      <c r="V13" s="104" t="e">
        <f t="shared" si="26"/>
        <v>#DIV/0!</v>
      </c>
      <c r="W13" s="104" t="e">
        <f t="shared" si="6"/>
        <v>#DIV/0!</v>
      </c>
      <c r="X13" s="76"/>
      <c r="Y13" s="76"/>
      <c r="Z13" s="104" t="e">
        <f t="shared" si="27"/>
        <v>#DIV/0!</v>
      </c>
      <c r="AA13" s="104" t="e">
        <f t="shared" si="7"/>
        <v>#DIV/0!</v>
      </c>
      <c r="AB13" s="76"/>
      <c r="AC13" s="76"/>
      <c r="AD13" s="76" t="e">
        <f t="shared" si="28"/>
        <v>#DIV/0!</v>
      </c>
      <c r="AE13" s="104" t="e">
        <f t="shared" si="8"/>
        <v>#DIV/0!</v>
      </c>
      <c r="AF13" s="104"/>
      <c r="AG13" s="104"/>
      <c r="AH13" s="104"/>
      <c r="AI13" s="104"/>
      <c r="AJ13" s="72" t="e">
        <f t="shared" si="9"/>
        <v>#DIV/0!</v>
      </c>
      <c r="AK13" s="76" t="e">
        <f t="shared" si="10"/>
        <v>#DIV/0!</v>
      </c>
      <c r="AL13" s="104" t="e">
        <f t="shared" si="29"/>
        <v>#DIV/0!</v>
      </c>
      <c r="AM13" s="104" t="e">
        <f t="shared" si="11"/>
        <v>#DIV/0!</v>
      </c>
      <c r="AN13" s="76"/>
      <c r="AO13" s="76"/>
      <c r="AP13" s="76" t="e">
        <f t="shared" si="30"/>
        <v>#DIV/0!</v>
      </c>
      <c r="AQ13" s="104" t="e">
        <f t="shared" si="12"/>
        <v>#DIV/0!</v>
      </c>
      <c r="AR13" s="76"/>
      <c r="AS13" s="76"/>
      <c r="AT13" s="76" t="e">
        <f t="shared" si="31"/>
        <v>#DIV/0!</v>
      </c>
      <c r="AU13" s="104" t="e">
        <f t="shared" si="13"/>
        <v>#DIV/0!</v>
      </c>
      <c r="AV13" s="104"/>
      <c r="AW13" s="104"/>
      <c r="AX13" s="104"/>
      <c r="AY13" s="104"/>
      <c r="AZ13" s="83" t="e">
        <f t="shared" si="14"/>
        <v>#DIV/0!</v>
      </c>
      <c r="BA13" s="83" t="e">
        <f t="shared" si="15"/>
        <v>#DIV/0!</v>
      </c>
      <c r="BB13" s="76" t="e">
        <f t="shared" si="32"/>
        <v>#DIV/0!</v>
      </c>
      <c r="BC13" s="104" t="e">
        <f t="shared" si="16"/>
        <v>#DIV/0!</v>
      </c>
    </row>
    <row r="14" spans="1:56" ht="15.75" customHeight="1" x14ac:dyDescent="0.3">
      <c r="A14" s="49" t="s">
        <v>43</v>
      </c>
      <c r="B14" s="49" t="s">
        <v>44</v>
      </c>
      <c r="C14" s="50">
        <f t="shared" si="17"/>
        <v>42818</v>
      </c>
      <c r="D14" s="51"/>
      <c r="E14" s="51"/>
      <c r="F14" s="51" t="e">
        <f t="shared" si="18"/>
        <v>#DIV/0!</v>
      </c>
      <c r="G14" s="103" t="e">
        <f t="shared" si="0"/>
        <v>#DIV/0!</v>
      </c>
      <c r="H14" s="51">
        <f t="shared" si="19"/>
        <v>0</v>
      </c>
      <c r="I14" s="51">
        <f t="shared" si="20"/>
        <v>0</v>
      </c>
      <c r="J14" s="103" t="e">
        <f t="shared" si="21"/>
        <v>#DIV/0!</v>
      </c>
      <c r="K14" s="103" t="e">
        <f t="shared" si="1"/>
        <v>#DIV/0!</v>
      </c>
      <c r="L14" s="51"/>
      <c r="M14" s="51"/>
      <c r="N14" s="103" t="e">
        <f t="shared" si="22"/>
        <v>#DIV/0!</v>
      </c>
      <c r="O14" s="103" t="e">
        <f t="shared" si="2"/>
        <v>#DIV/0!</v>
      </c>
      <c r="P14" s="53" t="e">
        <f t="shared" si="23"/>
        <v>#DIV/0!</v>
      </c>
      <c r="Q14" s="53" t="e">
        <f t="shared" si="24"/>
        <v>#DIV/0!</v>
      </c>
      <c r="R14" s="103" t="e">
        <f t="shared" si="25"/>
        <v>#DIV/0!</v>
      </c>
      <c r="S14" s="103" t="e">
        <f t="shared" si="3"/>
        <v>#DIV/0!</v>
      </c>
      <c r="T14" s="53" t="e">
        <f t="shared" si="4"/>
        <v>#DIV/0!</v>
      </c>
      <c r="U14" s="51" t="e">
        <f t="shared" si="5"/>
        <v>#DIV/0!</v>
      </c>
      <c r="V14" s="103" t="e">
        <f t="shared" si="26"/>
        <v>#DIV/0!</v>
      </c>
      <c r="W14" s="103" t="e">
        <f t="shared" si="6"/>
        <v>#DIV/0!</v>
      </c>
      <c r="X14" s="54"/>
      <c r="Y14" s="54"/>
      <c r="Z14" s="103" t="e">
        <f t="shared" si="27"/>
        <v>#DIV/0!</v>
      </c>
      <c r="AA14" s="103" t="e">
        <f t="shared" si="7"/>
        <v>#DIV/0!</v>
      </c>
      <c r="AB14" s="54"/>
      <c r="AC14" s="54"/>
      <c r="AD14" s="54" t="e">
        <f t="shared" si="28"/>
        <v>#DIV/0!</v>
      </c>
      <c r="AE14" s="103" t="e">
        <f t="shared" si="8"/>
        <v>#DIV/0!</v>
      </c>
      <c r="AF14" s="103"/>
      <c r="AG14" s="103"/>
      <c r="AH14" s="103"/>
      <c r="AI14" s="103"/>
      <c r="AJ14" s="51" t="e">
        <f t="shared" si="9"/>
        <v>#DIV/0!</v>
      </c>
      <c r="AK14" s="54" t="e">
        <f t="shared" si="10"/>
        <v>#DIV/0!</v>
      </c>
      <c r="AL14" s="103" t="e">
        <f t="shared" si="29"/>
        <v>#DIV/0!</v>
      </c>
      <c r="AM14" s="103" t="e">
        <f t="shared" si="11"/>
        <v>#DIV/0!</v>
      </c>
      <c r="AN14" s="54"/>
      <c r="AO14" s="54"/>
      <c r="AP14" s="54" t="e">
        <f t="shared" si="30"/>
        <v>#DIV/0!</v>
      </c>
      <c r="AQ14" s="103" t="e">
        <f t="shared" si="12"/>
        <v>#DIV/0!</v>
      </c>
      <c r="AR14" s="54"/>
      <c r="AS14" s="54"/>
      <c r="AT14" s="54" t="e">
        <f t="shared" si="31"/>
        <v>#DIV/0!</v>
      </c>
      <c r="AU14" s="103" t="e">
        <f t="shared" si="13"/>
        <v>#DIV/0!</v>
      </c>
      <c r="AV14" s="103"/>
      <c r="AW14" s="103"/>
      <c r="AX14" s="103"/>
      <c r="AY14" s="103"/>
      <c r="AZ14" s="82" t="e">
        <f t="shared" si="14"/>
        <v>#DIV/0!</v>
      </c>
      <c r="BA14" s="82" t="e">
        <f t="shared" si="15"/>
        <v>#DIV/0!</v>
      </c>
      <c r="BB14" s="54" t="e">
        <f t="shared" si="32"/>
        <v>#DIV/0!</v>
      </c>
      <c r="BC14" s="103" t="e">
        <f t="shared" si="16"/>
        <v>#DIV/0!</v>
      </c>
      <c r="BD14" s="81"/>
    </row>
    <row r="15" spans="1:56" ht="15.75" customHeight="1" x14ac:dyDescent="0.3">
      <c r="A15" s="49" t="s">
        <v>43</v>
      </c>
      <c r="B15" s="49" t="s">
        <v>45</v>
      </c>
      <c r="C15" s="50">
        <f t="shared" si="17"/>
        <v>42825</v>
      </c>
      <c r="D15" s="51"/>
      <c r="E15" s="51"/>
      <c r="F15" s="51" t="e">
        <f t="shared" si="18"/>
        <v>#DIV/0!</v>
      </c>
      <c r="G15" s="103" t="e">
        <f t="shared" si="0"/>
        <v>#DIV/0!</v>
      </c>
      <c r="H15" s="51">
        <f t="shared" si="19"/>
        <v>0</v>
      </c>
      <c r="I15" s="51">
        <f t="shared" si="20"/>
        <v>0</v>
      </c>
      <c r="J15" s="103" t="e">
        <f t="shared" si="21"/>
        <v>#DIV/0!</v>
      </c>
      <c r="K15" s="103" t="e">
        <f t="shared" si="1"/>
        <v>#DIV/0!</v>
      </c>
      <c r="L15" s="51"/>
      <c r="M15" s="51"/>
      <c r="N15" s="103" t="e">
        <f t="shared" si="22"/>
        <v>#DIV/0!</v>
      </c>
      <c r="O15" s="103" t="e">
        <f t="shared" si="2"/>
        <v>#DIV/0!</v>
      </c>
      <c r="P15" s="53" t="e">
        <f t="shared" si="23"/>
        <v>#DIV/0!</v>
      </c>
      <c r="Q15" s="53" t="e">
        <f t="shared" si="24"/>
        <v>#DIV/0!</v>
      </c>
      <c r="R15" s="103" t="e">
        <f t="shared" si="25"/>
        <v>#DIV/0!</v>
      </c>
      <c r="S15" s="103" t="e">
        <f t="shared" si="3"/>
        <v>#DIV/0!</v>
      </c>
      <c r="T15" s="53" t="e">
        <f t="shared" si="4"/>
        <v>#DIV/0!</v>
      </c>
      <c r="U15" s="51" t="e">
        <f t="shared" si="5"/>
        <v>#DIV/0!</v>
      </c>
      <c r="V15" s="103" t="e">
        <f t="shared" si="26"/>
        <v>#DIV/0!</v>
      </c>
      <c r="W15" s="103" t="e">
        <f t="shared" si="6"/>
        <v>#DIV/0!</v>
      </c>
      <c r="X15" s="54"/>
      <c r="Y15" s="54"/>
      <c r="Z15" s="103" t="e">
        <f t="shared" si="27"/>
        <v>#DIV/0!</v>
      </c>
      <c r="AA15" s="103" t="e">
        <f t="shared" si="7"/>
        <v>#DIV/0!</v>
      </c>
      <c r="AB15" s="54"/>
      <c r="AC15" s="54"/>
      <c r="AD15" s="54" t="e">
        <f t="shared" si="28"/>
        <v>#DIV/0!</v>
      </c>
      <c r="AE15" s="103" t="e">
        <f t="shared" si="8"/>
        <v>#DIV/0!</v>
      </c>
      <c r="AF15" s="103"/>
      <c r="AG15" s="103"/>
      <c r="AH15" s="103"/>
      <c r="AI15" s="103"/>
      <c r="AJ15" s="51" t="e">
        <f t="shared" si="9"/>
        <v>#DIV/0!</v>
      </c>
      <c r="AK15" s="54" t="e">
        <f t="shared" si="10"/>
        <v>#DIV/0!</v>
      </c>
      <c r="AL15" s="103" t="e">
        <f t="shared" si="29"/>
        <v>#DIV/0!</v>
      </c>
      <c r="AM15" s="103" t="e">
        <f t="shared" si="11"/>
        <v>#DIV/0!</v>
      </c>
      <c r="AN15" s="54"/>
      <c r="AO15" s="54"/>
      <c r="AP15" s="54" t="e">
        <f t="shared" si="30"/>
        <v>#DIV/0!</v>
      </c>
      <c r="AQ15" s="103" t="e">
        <f t="shared" si="12"/>
        <v>#DIV/0!</v>
      </c>
      <c r="AR15" s="54"/>
      <c r="AS15" s="54"/>
      <c r="AT15" s="54" t="e">
        <f t="shared" si="31"/>
        <v>#DIV/0!</v>
      </c>
      <c r="AU15" s="103" t="e">
        <f t="shared" si="13"/>
        <v>#DIV/0!</v>
      </c>
      <c r="AV15" s="103"/>
      <c r="AW15" s="103"/>
      <c r="AX15" s="103"/>
      <c r="AY15" s="103"/>
      <c r="AZ15" s="82" t="e">
        <f t="shared" si="14"/>
        <v>#DIV/0!</v>
      </c>
      <c r="BA15" s="82" t="e">
        <f t="shared" si="15"/>
        <v>#DIV/0!</v>
      </c>
      <c r="BB15" s="54" t="e">
        <f t="shared" si="32"/>
        <v>#DIV/0!</v>
      </c>
      <c r="BC15" s="103" t="e">
        <f t="shared" si="16"/>
        <v>#DIV/0!</v>
      </c>
      <c r="BD15" s="81"/>
    </row>
    <row r="16" spans="1:56" ht="15.75" customHeight="1" x14ac:dyDescent="0.3">
      <c r="A16" s="49" t="s">
        <v>43</v>
      </c>
      <c r="B16" s="49" t="s">
        <v>46</v>
      </c>
      <c r="C16" s="50">
        <f t="shared" si="17"/>
        <v>42832</v>
      </c>
      <c r="D16" s="51"/>
      <c r="E16" s="51"/>
      <c r="F16" s="51" t="e">
        <f t="shared" si="18"/>
        <v>#DIV/0!</v>
      </c>
      <c r="G16" s="103" t="e">
        <f t="shared" si="0"/>
        <v>#DIV/0!</v>
      </c>
      <c r="H16" s="51">
        <f t="shared" si="19"/>
        <v>0</v>
      </c>
      <c r="I16" s="51">
        <f t="shared" si="20"/>
        <v>0</v>
      </c>
      <c r="J16" s="103" t="e">
        <f t="shared" si="21"/>
        <v>#DIV/0!</v>
      </c>
      <c r="K16" s="103" t="e">
        <f t="shared" si="1"/>
        <v>#DIV/0!</v>
      </c>
      <c r="L16" s="53"/>
      <c r="M16" s="53"/>
      <c r="N16" s="103" t="e">
        <f t="shared" si="22"/>
        <v>#DIV/0!</v>
      </c>
      <c r="O16" s="103" t="e">
        <f t="shared" si="2"/>
        <v>#DIV/0!</v>
      </c>
      <c r="P16" s="53" t="e">
        <f t="shared" si="23"/>
        <v>#DIV/0!</v>
      </c>
      <c r="Q16" s="53" t="e">
        <f t="shared" si="24"/>
        <v>#DIV/0!</v>
      </c>
      <c r="R16" s="103" t="e">
        <f t="shared" si="25"/>
        <v>#DIV/0!</v>
      </c>
      <c r="S16" s="103" t="e">
        <f t="shared" si="3"/>
        <v>#DIV/0!</v>
      </c>
      <c r="T16" s="53" t="e">
        <f t="shared" si="4"/>
        <v>#DIV/0!</v>
      </c>
      <c r="U16" s="51" t="e">
        <f t="shared" si="5"/>
        <v>#DIV/0!</v>
      </c>
      <c r="V16" s="103" t="e">
        <f t="shared" si="26"/>
        <v>#DIV/0!</v>
      </c>
      <c r="W16" s="103" t="e">
        <f t="shared" si="6"/>
        <v>#DIV/0!</v>
      </c>
      <c r="X16" s="54"/>
      <c r="Y16" s="54"/>
      <c r="Z16" s="103" t="e">
        <f t="shared" si="27"/>
        <v>#DIV/0!</v>
      </c>
      <c r="AA16" s="103" t="e">
        <f t="shared" si="7"/>
        <v>#DIV/0!</v>
      </c>
      <c r="AB16" s="54"/>
      <c r="AC16" s="54"/>
      <c r="AD16" s="54" t="e">
        <f t="shared" si="28"/>
        <v>#DIV/0!</v>
      </c>
      <c r="AE16" s="103" t="e">
        <f t="shared" si="8"/>
        <v>#DIV/0!</v>
      </c>
      <c r="AF16" s="103"/>
      <c r="AG16" s="103"/>
      <c r="AH16" s="103"/>
      <c r="AI16" s="103"/>
      <c r="AJ16" s="51" t="e">
        <f t="shared" si="9"/>
        <v>#DIV/0!</v>
      </c>
      <c r="AK16" s="54" t="e">
        <f t="shared" si="10"/>
        <v>#DIV/0!</v>
      </c>
      <c r="AL16" s="103" t="e">
        <f t="shared" si="29"/>
        <v>#DIV/0!</v>
      </c>
      <c r="AM16" s="103" t="e">
        <f t="shared" si="11"/>
        <v>#DIV/0!</v>
      </c>
      <c r="AN16" s="54"/>
      <c r="AO16" s="54"/>
      <c r="AP16" s="54" t="e">
        <f t="shared" si="30"/>
        <v>#DIV/0!</v>
      </c>
      <c r="AQ16" s="103" t="e">
        <f t="shared" si="12"/>
        <v>#DIV/0!</v>
      </c>
      <c r="AR16" s="54"/>
      <c r="AS16" s="54"/>
      <c r="AT16" s="54" t="e">
        <f t="shared" si="31"/>
        <v>#DIV/0!</v>
      </c>
      <c r="AU16" s="103" t="e">
        <f t="shared" si="13"/>
        <v>#DIV/0!</v>
      </c>
      <c r="AV16" s="103"/>
      <c r="AW16" s="103"/>
      <c r="AX16" s="103"/>
      <c r="AY16" s="103"/>
      <c r="AZ16" s="82" t="e">
        <f t="shared" si="14"/>
        <v>#DIV/0!</v>
      </c>
      <c r="BA16" s="82" t="e">
        <f t="shared" si="15"/>
        <v>#DIV/0!</v>
      </c>
      <c r="BB16" s="54" t="e">
        <f t="shared" si="32"/>
        <v>#DIV/0!</v>
      </c>
      <c r="BC16" s="103" t="e">
        <f t="shared" si="16"/>
        <v>#DIV/0!</v>
      </c>
      <c r="BD16" s="81"/>
    </row>
    <row r="17" spans="1:56" s="80" customFormat="1" ht="15.75" customHeight="1" x14ac:dyDescent="0.3">
      <c r="A17" s="69" t="s">
        <v>43</v>
      </c>
      <c r="B17" s="69" t="s">
        <v>47</v>
      </c>
      <c r="C17" s="70">
        <f t="shared" si="17"/>
        <v>42839</v>
      </c>
      <c r="D17" s="72"/>
      <c r="E17" s="72"/>
      <c r="F17" s="72" t="e">
        <f t="shared" si="18"/>
        <v>#DIV/0!</v>
      </c>
      <c r="G17" s="104" t="e">
        <f t="shared" si="0"/>
        <v>#DIV/0!</v>
      </c>
      <c r="H17" s="72">
        <f t="shared" si="19"/>
        <v>0</v>
      </c>
      <c r="I17" s="72">
        <f t="shared" si="20"/>
        <v>0</v>
      </c>
      <c r="J17" s="104" t="e">
        <f t="shared" si="21"/>
        <v>#DIV/0!</v>
      </c>
      <c r="K17" s="104" t="e">
        <f t="shared" si="1"/>
        <v>#DIV/0!</v>
      </c>
      <c r="L17" s="74"/>
      <c r="M17" s="74"/>
      <c r="N17" s="104" t="e">
        <f t="shared" si="22"/>
        <v>#DIV/0!</v>
      </c>
      <c r="O17" s="104" t="e">
        <f t="shared" si="2"/>
        <v>#DIV/0!</v>
      </c>
      <c r="P17" s="74" t="e">
        <f t="shared" si="23"/>
        <v>#DIV/0!</v>
      </c>
      <c r="Q17" s="74" t="e">
        <f t="shared" si="24"/>
        <v>#DIV/0!</v>
      </c>
      <c r="R17" s="104" t="e">
        <f t="shared" si="25"/>
        <v>#DIV/0!</v>
      </c>
      <c r="S17" s="104" t="e">
        <f t="shared" si="3"/>
        <v>#DIV/0!</v>
      </c>
      <c r="T17" s="74" t="e">
        <f t="shared" si="4"/>
        <v>#DIV/0!</v>
      </c>
      <c r="U17" s="72" t="e">
        <f t="shared" si="5"/>
        <v>#DIV/0!</v>
      </c>
      <c r="V17" s="104" t="e">
        <f t="shared" si="26"/>
        <v>#DIV/0!</v>
      </c>
      <c r="W17" s="104" t="e">
        <f t="shared" si="6"/>
        <v>#DIV/0!</v>
      </c>
      <c r="X17" s="76"/>
      <c r="Y17" s="76"/>
      <c r="Z17" s="104" t="e">
        <f t="shared" si="27"/>
        <v>#DIV/0!</v>
      </c>
      <c r="AA17" s="104" t="e">
        <f t="shared" si="7"/>
        <v>#DIV/0!</v>
      </c>
      <c r="AB17" s="76"/>
      <c r="AC17" s="76"/>
      <c r="AD17" s="76" t="e">
        <f t="shared" si="28"/>
        <v>#DIV/0!</v>
      </c>
      <c r="AE17" s="104" t="e">
        <f t="shared" si="8"/>
        <v>#DIV/0!</v>
      </c>
      <c r="AF17" s="104"/>
      <c r="AG17" s="104"/>
      <c r="AH17" s="104"/>
      <c r="AI17" s="104"/>
      <c r="AJ17" s="72" t="e">
        <f t="shared" si="9"/>
        <v>#DIV/0!</v>
      </c>
      <c r="AK17" s="76" t="e">
        <f t="shared" si="10"/>
        <v>#DIV/0!</v>
      </c>
      <c r="AL17" s="104" t="e">
        <f t="shared" si="29"/>
        <v>#DIV/0!</v>
      </c>
      <c r="AM17" s="104" t="e">
        <f t="shared" si="11"/>
        <v>#DIV/0!</v>
      </c>
      <c r="AN17" s="76"/>
      <c r="AO17" s="76"/>
      <c r="AP17" s="76" t="e">
        <f t="shared" si="30"/>
        <v>#DIV/0!</v>
      </c>
      <c r="AQ17" s="104" t="e">
        <f t="shared" si="12"/>
        <v>#DIV/0!</v>
      </c>
      <c r="AR17" s="76"/>
      <c r="AS17" s="76"/>
      <c r="AT17" s="76" t="e">
        <f t="shared" si="31"/>
        <v>#DIV/0!</v>
      </c>
      <c r="AU17" s="104" t="e">
        <f t="shared" si="13"/>
        <v>#DIV/0!</v>
      </c>
      <c r="AV17" s="104"/>
      <c r="AW17" s="104"/>
      <c r="AX17" s="104"/>
      <c r="AY17" s="104"/>
      <c r="AZ17" s="83" t="e">
        <f t="shared" si="14"/>
        <v>#DIV/0!</v>
      </c>
      <c r="BA17" s="83" t="e">
        <f t="shared" si="15"/>
        <v>#DIV/0!</v>
      </c>
      <c r="BB17" s="76" t="e">
        <f t="shared" si="32"/>
        <v>#DIV/0!</v>
      </c>
      <c r="BC17" s="104" t="e">
        <f t="shared" si="16"/>
        <v>#DIV/0!</v>
      </c>
    </row>
    <row r="18" spans="1:56" ht="15.75" customHeight="1" x14ac:dyDescent="0.3">
      <c r="A18" s="49" t="s">
        <v>48</v>
      </c>
      <c r="B18" s="49" t="s">
        <v>49</v>
      </c>
      <c r="C18" s="50">
        <f t="shared" si="17"/>
        <v>42846</v>
      </c>
      <c r="D18" s="51"/>
      <c r="E18" s="51"/>
      <c r="F18" s="51" t="e">
        <f t="shared" si="18"/>
        <v>#DIV/0!</v>
      </c>
      <c r="G18" s="103" t="e">
        <f t="shared" si="0"/>
        <v>#DIV/0!</v>
      </c>
      <c r="H18" s="51">
        <f t="shared" si="19"/>
        <v>0</v>
      </c>
      <c r="I18" s="51">
        <f t="shared" si="20"/>
        <v>0</v>
      </c>
      <c r="J18" s="103" t="e">
        <f t="shared" si="21"/>
        <v>#DIV/0!</v>
      </c>
      <c r="K18" s="103" t="e">
        <f t="shared" si="1"/>
        <v>#DIV/0!</v>
      </c>
      <c r="L18" s="53"/>
      <c r="M18" s="53"/>
      <c r="N18" s="103" t="e">
        <f t="shared" si="22"/>
        <v>#DIV/0!</v>
      </c>
      <c r="O18" s="103" t="e">
        <f t="shared" si="2"/>
        <v>#DIV/0!</v>
      </c>
      <c r="P18" s="53" t="e">
        <f t="shared" si="23"/>
        <v>#DIV/0!</v>
      </c>
      <c r="Q18" s="53" t="e">
        <f t="shared" si="24"/>
        <v>#DIV/0!</v>
      </c>
      <c r="R18" s="103" t="e">
        <f t="shared" si="25"/>
        <v>#DIV/0!</v>
      </c>
      <c r="S18" s="103" t="e">
        <f t="shared" si="3"/>
        <v>#DIV/0!</v>
      </c>
      <c r="T18" s="53" t="e">
        <f t="shared" si="4"/>
        <v>#DIV/0!</v>
      </c>
      <c r="U18" s="51" t="e">
        <f t="shared" si="5"/>
        <v>#DIV/0!</v>
      </c>
      <c r="V18" s="103" t="e">
        <f t="shared" si="26"/>
        <v>#DIV/0!</v>
      </c>
      <c r="W18" s="103" t="e">
        <f t="shared" si="6"/>
        <v>#DIV/0!</v>
      </c>
      <c r="X18" s="54"/>
      <c r="Y18" s="54"/>
      <c r="Z18" s="103" t="e">
        <f t="shared" si="27"/>
        <v>#DIV/0!</v>
      </c>
      <c r="AA18" s="103" t="e">
        <f t="shared" si="7"/>
        <v>#DIV/0!</v>
      </c>
      <c r="AB18" s="54"/>
      <c r="AC18" s="54"/>
      <c r="AD18" s="54" t="e">
        <f t="shared" si="28"/>
        <v>#DIV/0!</v>
      </c>
      <c r="AE18" s="103" t="e">
        <f t="shared" si="8"/>
        <v>#DIV/0!</v>
      </c>
      <c r="AF18" s="103"/>
      <c r="AG18" s="103"/>
      <c r="AH18" s="103"/>
      <c r="AI18" s="103"/>
      <c r="AJ18" s="51" t="e">
        <f t="shared" si="9"/>
        <v>#DIV/0!</v>
      </c>
      <c r="AK18" s="54" t="e">
        <f t="shared" si="10"/>
        <v>#DIV/0!</v>
      </c>
      <c r="AL18" s="103" t="e">
        <f t="shared" si="29"/>
        <v>#DIV/0!</v>
      </c>
      <c r="AM18" s="103" t="e">
        <f t="shared" si="11"/>
        <v>#DIV/0!</v>
      </c>
      <c r="AN18" s="54"/>
      <c r="AO18" s="54"/>
      <c r="AP18" s="54" t="e">
        <f t="shared" si="30"/>
        <v>#DIV/0!</v>
      </c>
      <c r="AQ18" s="103" t="e">
        <f t="shared" si="12"/>
        <v>#DIV/0!</v>
      </c>
      <c r="AR18" s="54"/>
      <c r="AS18" s="54"/>
      <c r="AT18" s="54" t="e">
        <f t="shared" si="31"/>
        <v>#DIV/0!</v>
      </c>
      <c r="AU18" s="103" t="e">
        <f t="shared" si="13"/>
        <v>#DIV/0!</v>
      </c>
      <c r="AV18" s="103"/>
      <c r="AW18" s="103"/>
      <c r="AX18" s="103"/>
      <c r="AY18" s="103"/>
      <c r="AZ18" s="82" t="e">
        <f t="shared" si="14"/>
        <v>#DIV/0!</v>
      </c>
      <c r="BA18" s="82" t="e">
        <f t="shared" si="15"/>
        <v>#DIV/0!</v>
      </c>
      <c r="BB18" s="54" t="e">
        <f t="shared" si="32"/>
        <v>#DIV/0!</v>
      </c>
      <c r="BC18" s="103" t="e">
        <f t="shared" si="16"/>
        <v>#DIV/0!</v>
      </c>
      <c r="BD18" s="81"/>
    </row>
    <row r="19" spans="1:56" ht="15.75" customHeight="1" x14ac:dyDescent="0.3">
      <c r="A19" s="49" t="s">
        <v>48</v>
      </c>
      <c r="B19" s="49" t="s">
        <v>50</v>
      </c>
      <c r="C19" s="50">
        <f t="shared" si="17"/>
        <v>42853</v>
      </c>
      <c r="D19" s="51"/>
      <c r="E19" s="51"/>
      <c r="F19" s="51" t="e">
        <f t="shared" si="18"/>
        <v>#DIV/0!</v>
      </c>
      <c r="G19" s="103" t="e">
        <f t="shared" si="0"/>
        <v>#DIV/0!</v>
      </c>
      <c r="H19" s="51">
        <f t="shared" si="19"/>
        <v>0</v>
      </c>
      <c r="I19" s="51">
        <f t="shared" si="20"/>
        <v>0</v>
      </c>
      <c r="J19" s="103" t="e">
        <f t="shared" si="21"/>
        <v>#DIV/0!</v>
      </c>
      <c r="K19" s="103" t="e">
        <f t="shared" si="1"/>
        <v>#DIV/0!</v>
      </c>
      <c r="L19" s="53"/>
      <c r="M19" s="53"/>
      <c r="N19" s="103" t="e">
        <f t="shared" si="22"/>
        <v>#DIV/0!</v>
      </c>
      <c r="O19" s="103" t="e">
        <f t="shared" si="2"/>
        <v>#DIV/0!</v>
      </c>
      <c r="P19" s="53" t="e">
        <f t="shared" si="23"/>
        <v>#DIV/0!</v>
      </c>
      <c r="Q19" s="53" t="e">
        <f t="shared" si="24"/>
        <v>#DIV/0!</v>
      </c>
      <c r="R19" s="103" t="e">
        <f t="shared" si="25"/>
        <v>#DIV/0!</v>
      </c>
      <c r="S19" s="103" t="e">
        <f t="shared" si="3"/>
        <v>#DIV/0!</v>
      </c>
      <c r="T19" s="53" t="e">
        <f t="shared" si="4"/>
        <v>#DIV/0!</v>
      </c>
      <c r="U19" s="51" t="e">
        <f t="shared" si="5"/>
        <v>#DIV/0!</v>
      </c>
      <c r="V19" s="103" t="e">
        <f t="shared" si="26"/>
        <v>#DIV/0!</v>
      </c>
      <c r="W19" s="103" t="e">
        <f t="shared" si="6"/>
        <v>#DIV/0!</v>
      </c>
      <c r="X19" s="54"/>
      <c r="Y19" s="54"/>
      <c r="Z19" s="103" t="e">
        <f t="shared" si="27"/>
        <v>#DIV/0!</v>
      </c>
      <c r="AA19" s="103" t="e">
        <f t="shared" si="7"/>
        <v>#DIV/0!</v>
      </c>
      <c r="AB19" s="54"/>
      <c r="AC19" s="54"/>
      <c r="AD19" s="54" t="e">
        <f t="shared" si="28"/>
        <v>#DIV/0!</v>
      </c>
      <c r="AE19" s="103" t="e">
        <f t="shared" si="8"/>
        <v>#DIV/0!</v>
      </c>
      <c r="AF19" s="103"/>
      <c r="AG19" s="103"/>
      <c r="AH19" s="103"/>
      <c r="AI19" s="103"/>
      <c r="AJ19" s="51" t="e">
        <f t="shared" si="9"/>
        <v>#DIV/0!</v>
      </c>
      <c r="AK19" s="54" t="e">
        <f t="shared" si="10"/>
        <v>#DIV/0!</v>
      </c>
      <c r="AL19" s="103" t="e">
        <f t="shared" si="29"/>
        <v>#DIV/0!</v>
      </c>
      <c r="AM19" s="103" t="e">
        <f t="shared" si="11"/>
        <v>#DIV/0!</v>
      </c>
      <c r="AN19" s="54"/>
      <c r="AO19" s="54"/>
      <c r="AP19" s="54" t="e">
        <f t="shared" si="30"/>
        <v>#DIV/0!</v>
      </c>
      <c r="AQ19" s="103" t="e">
        <f t="shared" si="12"/>
        <v>#DIV/0!</v>
      </c>
      <c r="AR19" s="54"/>
      <c r="AS19" s="54"/>
      <c r="AT19" s="54" t="e">
        <f t="shared" si="31"/>
        <v>#DIV/0!</v>
      </c>
      <c r="AU19" s="103" t="e">
        <f t="shared" si="13"/>
        <v>#DIV/0!</v>
      </c>
      <c r="AV19" s="103"/>
      <c r="AW19" s="103"/>
      <c r="AX19" s="103"/>
      <c r="AY19" s="103"/>
      <c r="AZ19" s="82" t="e">
        <f t="shared" si="14"/>
        <v>#DIV/0!</v>
      </c>
      <c r="BA19" s="82" t="e">
        <f t="shared" si="15"/>
        <v>#DIV/0!</v>
      </c>
      <c r="BB19" s="54" t="e">
        <f t="shared" si="32"/>
        <v>#DIV/0!</v>
      </c>
      <c r="BC19" s="103" t="e">
        <f t="shared" si="16"/>
        <v>#DIV/0!</v>
      </c>
      <c r="BD19" s="81"/>
    </row>
    <row r="20" spans="1:56" ht="15.75" customHeight="1" x14ac:dyDescent="0.3">
      <c r="A20" s="49" t="s">
        <v>48</v>
      </c>
      <c r="B20" s="49" t="s">
        <v>51</v>
      </c>
      <c r="C20" s="50">
        <f t="shared" si="17"/>
        <v>42860</v>
      </c>
      <c r="D20" s="51"/>
      <c r="E20" s="51"/>
      <c r="F20" s="51" t="e">
        <f t="shared" si="18"/>
        <v>#DIV/0!</v>
      </c>
      <c r="G20" s="103" t="e">
        <f t="shared" si="0"/>
        <v>#DIV/0!</v>
      </c>
      <c r="H20" s="51">
        <f t="shared" si="19"/>
        <v>0</v>
      </c>
      <c r="I20" s="51">
        <f t="shared" si="20"/>
        <v>0</v>
      </c>
      <c r="J20" s="103" t="e">
        <f t="shared" si="21"/>
        <v>#DIV/0!</v>
      </c>
      <c r="K20" s="103" t="e">
        <f t="shared" si="1"/>
        <v>#DIV/0!</v>
      </c>
      <c r="L20" s="53"/>
      <c r="M20" s="53"/>
      <c r="N20" s="103" t="e">
        <f t="shared" si="22"/>
        <v>#DIV/0!</v>
      </c>
      <c r="O20" s="103" t="e">
        <f t="shared" si="2"/>
        <v>#DIV/0!</v>
      </c>
      <c r="P20" s="53" t="e">
        <f t="shared" si="23"/>
        <v>#DIV/0!</v>
      </c>
      <c r="Q20" s="53" t="e">
        <f t="shared" si="24"/>
        <v>#DIV/0!</v>
      </c>
      <c r="R20" s="103" t="e">
        <f t="shared" si="25"/>
        <v>#DIV/0!</v>
      </c>
      <c r="S20" s="103" t="e">
        <f t="shared" si="3"/>
        <v>#DIV/0!</v>
      </c>
      <c r="T20" s="53" t="e">
        <f t="shared" si="4"/>
        <v>#DIV/0!</v>
      </c>
      <c r="U20" s="51" t="e">
        <f t="shared" si="5"/>
        <v>#DIV/0!</v>
      </c>
      <c r="V20" s="103" t="e">
        <f t="shared" si="26"/>
        <v>#DIV/0!</v>
      </c>
      <c r="W20" s="103" t="e">
        <f t="shared" si="6"/>
        <v>#DIV/0!</v>
      </c>
      <c r="X20" s="54"/>
      <c r="Y20" s="54"/>
      <c r="Z20" s="103" t="e">
        <f t="shared" si="27"/>
        <v>#DIV/0!</v>
      </c>
      <c r="AA20" s="103" t="e">
        <f t="shared" si="7"/>
        <v>#DIV/0!</v>
      </c>
      <c r="AB20" s="54"/>
      <c r="AC20" s="54"/>
      <c r="AD20" s="54" t="e">
        <f t="shared" si="28"/>
        <v>#DIV/0!</v>
      </c>
      <c r="AE20" s="103" t="e">
        <f t="shared" si="8"/>
        <v>#DIV/0!</v>
      </c>
      <c r="AF20" s="103"/>
      <c r="AG20" s="103"/>
      <c r="AH20" s="103"/>
      <c r="AI20" s="103"/>
      <c r="AJ20" s="51" t="e">
        <f t="shared" si="9"/>
        <v>#DIV/0!</v>
      </c>
      <c r="AK20" s="54" t="e">
        <f t="shared" si="10"/>
        <v>#DIV/0!</v>
      </c>
      <c r="AL20" s="103" t="e">
        <f t="shared" si="29"/>
        <v>#DIV/0!</v>
      </c>
      <c r="AM20" s="103" t="e">
        <f t="shared" si="11"/>
        <v>#DIV/0!</v>
      </c>
      <c r="AN20" s="54"/>
      <c r="AO20" s="54"/>
      <c r="AP20" s="54" t="e">
        <f t="shared" si="30"/>
        <v>#DIV/0!</v>
      </c>
      <c r="AQ20" s="103" t="e">
        <f t="shared" si="12"/>
        <v>#DIV/0!</v>
      </c>
      <c r="AR20" s="54"/>
      <c r="AS20" s="54"/>
      <c r="AT20" s="54" t="e">
        <f t="shared" si="31"/>
        <v>#DIV/0!</v>
      </c>
      <c r="AU20" s="103" t="e">
        <f t="shared" si="13"/>
        <v>#DIV/0!</v>
      </c>
      <c r="AV20" s="103"/>
      <c r="AW20" s="103"/>
      <c r="AX20" s="103"/>
      <c r="AY20" s="103"/>
      <c r="AZ20" s="82" t="e">
        <f t="shared" si="14"/>
        <v>#DIV/0!</v>
      </c>
      <c r="BA20" s="82" t="e">
        <f t="shared" si="15"/>
        <v>#DIV/0!</v>
      </c>
      <c r="BB20" s="54" t="e">
        <f t="shared" si="32"/>
        <v>#DIV/0!</v>
      </c>
      <c r="BC20" s="103" t="e">
        <f t="shared" si="16"/>
        <v>#DIV/0!</v>
      </c>
      <c r="BD20" s="81"/>
    </row>
    <row r="21" spans="1:56" s="80" customFormat="1" ht="15.75" customHeight="1" x14ac:dyDescent="0.3">
      <c r="A21" s="69" t="s">
        <v>48</v>
      </c>
      <c r="B21" s="69" t="s">
        <v>52</v>
      </c>
      <c r="C21" s="70">
        <f t="shared" si="17"/>
        <v>42867</v>
      </c>
      <c r="D21" s="72"/>
      <c r="E21" s="72"/>
      <c r="F21" s="72" t="e">
        <f t="shared" si="18"/>
        <v>#DIV/0!</v>
      </c>
      <c r="G21" s="104" t="e">
        <f t="shared" si="0"/>
        <v>#DIV/0!</v>
      </c>
      <c r="H21" s="72">
        <f t="shared" si="19"/>
        <v>0</v>
      </c>
      <c r="I21" s="72">
        <f t="shared" si="20"/>
        <v>0</v>
      </c>
      <c r="J21" s="104" t="e">
        <f t="shared" si="21"/>
        <v>#DIV/0!</v>
      </c>
      <c r="K21" s="104" t="e">
        <f t="shared" si="1"/>
        <v>#DIV/0!</v>
      </c>
      <c r="L21" s="74"/>
      <c r="M21" s="74"/>
      <c r="N21" s="104" t="e">
        <f t="shared" si="22"/>
        <v>#DIV/0!</v>
      </c>
      <c r="O21" s="104" t="e">
        <f t="shared" si="2"/>
        <v>#DIV/0!</v>
      </c>
      <c r="P21" s="74" t="e">
        <f t="shared" si="23"/>
        <v>#DIV/0!</v>
      </c>
      <c r="Q21" s="74" t="e">
        <f t="shared" si="24"/>
        <v>#DIV/0!</v>
      </c>
      <c r="R21" s="104" t="e">
        <f t="shared" si="25"/>
        <v>#DIV/0!</v>
      </c>
      <c r="S21" s="104" t="e">
        <f t="shared" si="3"/>
        <v>#DIV/0!</v>
      </c>
      <c r="T21" s="74" t="e">
        <f t="shared" si="4"/>
        <v>#DIV/0!</v>
      </c>
      <c r="U21" s="72" t="e">
        <f t="shared" si="5"/>
        <v>#DIV/0!</v>
      </c>
      <c r="V21" s="104" t="e">
        <f t="shared" si="26"/>
        <v>#DIV/0!</v>
      </c>
      <c r="W21" s="104" t="e">
        <f t="shared" si="6"/>
        <v>#DIV/0!</v>
      </c>
      <c r="X21" s="76"/>
      <c r="Y21" s="76"/>
      <c r="Z21" s="104" t="e">
        <f t="shared" si="27"/>
        <v>#DIV/0!</v>
      </c>
      <c r="AA21" s="104" t="e">
        <f t="shared" si="7"/>
        <v>#DIV/0!</v>
      </c>
      <c r="AB21" s="76"/>
      <c r="AC21" s="76"/>
      <c r="AD21" s="76" t="e">
        <f t="shared" si="28"/>
        <v>#DIV/0!</v>
      </c>
      <c r="AE21" s="104" t="e">
        <f t="shared" si="8"/>
        <v>#DIV/0!</v>
      </c>
      <c r="AF21" s="104"/>
      <c r="AG21" s="104"/>
      <c r="AH21" s="104"/>
      <c r="AI21" s="104"/>
      <c r="AJ21" s="72" t="e">
        <f t="shared" si="9"/>
        <v>#DIV/0!</v>
      </c>
      <c r="AK21" s="76" t="e">
        <f t="shared" si="10"/>
        <v>#DIV/0!</v>
      </c>
      <c r="AL21" s="104" t="e">
        <f t="shared" si="29"/>
        <v>#DIV/0!</v>
      </c>
      <c r="AM21" s="104" t="e">
        <f t="shared" si="11"/>
        <v>#DIV/0!</v>
      </c>
      <c r="AN21" s="76"/>
      <c r="AO21" s="76"/>
      <c r="AP21" s="76" t="e">
        <f t="shared" si="30"/>
        <v>#DIV/0!</v>
      </c>
      <c r="AQ21" s="104" t="e">
        <f t="shared" si="12"/>
        <v>#DIV/0!</v>
      </c>
      <c r="AR21" s="76"/>
      <c r="AS21" s="76"/>
      <c r="AT21" s="76" t="e">
        <f t="shared" si="31"/>
        <v>#DIV/0!</v>
      </c>
      <c r="AU21" s="104" t="e">
        <f t="shared" si="13"/>
        <v>#DIV/0!</v>
      </c>
      <c r="AV21" s="104"/>
      <c r="AW21" s="104"/>
      <c r="AX21" s="104"/>
      <c r="AY21" s="104"/>
      <c r="AZ21" s="83" t="e">
        <f t="shared" si="14"/>
        <v>#DIV/0!</v>
      </c>
      <c r="BA21" s="83" t="e">
        <f t="shared" si="15"/>
        <v>#DIV/0!</v>
      </c>
      <c r="BB21" s="76" t="e">
        <f t="shared" si="32"/>
        <v>#DIV/0!</v>
      </c>
      <c r="BC21" s="104" t="e">
        <f t="shared" si="16"/>
        <v>#DIV/0!</v>
      </c>
    </row>
    <row r="22" spans="1:56" ht="15.75" customHeight="1" x14ac:dyDescent="0.3">
      <c r="A22" s="49" t="s">
        <v>53</v>
      </c>
      <c r="B22" s="49" t="s">
        <v>54</v>
      </c>
      <c r="C22" s="50">
        <f t="shared" si="17"/>
        <v>42874</v>
      </c>
      <c r="D22" s="51"/>
      <c r="E22" s="51"/>
      <c r="F22" s="51" t="e">
        <f t="shared" si="18"/>
        <v>#DIV/0!</v>
      </c>
      <c r="G22" s="103" t="e">
        <f t="shared" si="0"/>
        <v>#DIV/0!</v>
      </c>
      <c r="H22" s="51">
        <f t="shared" si="19"/>
        <v>0</v>
      </c>
      <c r="I22" s="51">
        <f t="shared" si="20"/>
        <v>0</v>
      </c>
      <c r="J22" s="103" t="e">
        <f t="shared" si="21"/>
        <v>#DIV/0!</v>
      </c>
      <c r="K22" s="103" t="e">
        <f t="shared" si="1"/>
        <v>#DIV/0!</v>
      </c>
      <c r="L22" s="53"/>
      <c r="M22" s="53"/>
      <c r="N22" s="103" t="e">
        <f t="shared" si="22"/>
        <v>#DIV/0!</v>
      </c>
      <c r="O22" s="103" t="e">
        <f t="shared" si="2"/>
        <v>#DIV/0!</v>
      </c>
      <c r="P22" s="53" t="e">
        <f t="shared" si="23"/>
        <v>#DIV/0!</v>
      </c>
      <c r="Q22" s="53" t="e">
        <f t="shared" si="24"/>
        <v>#DIV/0!</v>
      </c>
      <c r="R22" s="103" t="e">
        <f t="shared" si="25"/>
        <v>#DIV/0!</v>
      </c>
      <c r="S22" s="103" t="e">
        <f t="shared" si="3"/>
        <v>#DIV/0!</v>
      </c>
      <c r="T22" s="53" t="e">
        <f t="shared" si="4"/>
        <v>#DIV/0!</v>
      </c>
      <c r="U22" s="51" t="e">
        <f t="shared" si="5"/>
        <v>#DIV/0!</v>
      </c>
      <c r="V22" s="103" t="e">
        <f t="shared" si="26"/>
        <v>#DIV/0!</v>
      </c>
      <c r="W22" s="103" t="e">
        <f t="shared" si="6"/>
        <v>#DIV/0!</v>
      </c>
      <c r="X22" s="54"/>
      <c r="Y22" s="54"/>
      <c r="Z22" s="103" t="e">
        <f t="shared" si="27"/>
        <v>#DIV/0!</v>
      </c>
      <c r="AA22" s="103" t="e">
        <f t="shared" si="7"/>
        <v>#DIV/0!</v>
      </c>
      <c r="AB22" s="54"/>
      <c r="AC22" s="54"/>
      <c r="AD22" s="54" t="e">
        <f t="shared" si="28"/>
        <v>#DIV/0!</v>
      </c>
      <c r="AE22" s="103" t="e">
        <f t="shared" si="8"/>
        <v>#DIV/0!</v>
      </c>
      <c r="AF22" s="103"/>
      <c r="AG22" s="103"/>
      <c r="AH22" s="103"/>
      <c r="AI22" s="103"/>
      <c r="AJ22" s="51" t="e">
        <f t="shared" si="9"/>
        <v>#DIV/0!</v>
      </c>
      <c r="AK22" s="54" t="e">
        <f t="shared" si="10"/>
        <v>#DIV/0!</v>
      </c>
      <c r="AL22" s="103" t="e">
        <f t="shared" si="29"/>
        <v>#DIV/0!</v>
      </c>
      <c r="AM22" s="103" t="e">
        <f t="shared" si="11"/>
        <v>#DIV/0!</v>
      </c>
      <c r="AN22" s="54"/>
      <c r="AO22" s="54"/>
      <c r="AP22" s="54" t="e">
        <f t="shared" si="30"/>
        <v>#DIV/0!</v>
      </c>
      <c r="AQ22" s="103" t="e">
        <f t="shared" si="12"/>
        <v>#DIV/0!</v>
      </c>
      <c r="AR22" s="54"/>
      <c r="AS22" s="54"/>
      <c r="AT22" s="54" t="e">
        <f t="shared" si="31"/>
        <v>#DIV/0!</v>
      </c>
      <c r="AU22" s="103" t="e">
        <f t="shared" si="13"/>
        <v>#DIV/0!</v>
      </c>
      <c r="AV22" s="103"/>
      <c r="AW22" s="103"/>
      <c r="AX22" s="103"/>
      <c r="AY22" s="103"/>
      <c r="AZ22" s="82" t="e">
        <f t="shared" si="14"/>
        <v>#DIV/0!</v>
      </c>
      <c r="BA22" s="82" t="e">
        <f t="shared" si="15"/>
        <v>#DIV/0!</v>
      </c>
      <c r="BB22" s="54" t="e">
        <f t="shared" si="32"/>
        <v>#DIV/0!</v>
      </c>
      <c r="BC22" s="103" t="e">
        <f t="shared" si="16"/>
        <v>#DIV/0!</v>
      </c>
      <c r="BD22" s="81"/>
    </row>
    <row r="23" spans="1:56" ht="15.75" customHeight="1" x14ac:dyDescent="0.3">
      <c r="A23" s="49" t="s">
        <v>53</v>
      </c>
      <c r="B23" s="49" t="s">
        <v>55</v>
      </c>
      <c r="C23" s="50">
        <f t="shared" si="17"/>
        <v>42881</v>
      </c>
      <c r="D23" s="51"/>
      <c r="E23" s="51"/>
      <c r="F23" s="51" t="e">
        <f t="shared" si="18"/>
        <v>#DIV/0!</v>
      </c>
      <c r="G23" s="103" t="e">
        <f t="shared" si="0"/>
        <v>#DIV/0!</v>
      </c>
      <c r="H23" s="51">
        <f t="shared" si="19"/>
        <v>0</v>
      </c>
      <c r="I23" s="51">
        <f t="shared" si="20"/>
        <v>0</v>
      </c>
      <c r="J23" s="103" t="e">
        <f t="shared" si="21"/>
        <v>#DIV/0!</v>
      </c>
      <c r="K23" s="103" t="e">
        <f t="shared" si="1"/>
        <v>#DIV/0!</v>
      </c>
      <c r="L23" s="53"/>
      <c r="M23" s="53"/>
      <c r="N23" s="103" t="e">
        <f t="shared" si="22"/>
        <v>#DIV/0!</v>
      </c>
      <c r="O23" s="103" t="e">
        <f t="shared" si="2"/>
        <v>#DIV/0!</v>
      </c>
      <c r="P23" s="53" t="e">
        <f t="shared" si="23"/>
        <v>#DIV/0!</v>
      </c>
      <c r="Q23" s="53" t="e">
        <f t="shared" si="24"/>
        <v>#DIV/0!</v>
      </c>
      <c r="R23" s="103" t="e">
        <f t="shared" si="25"/>
        <v>#DIV/0!</v>
      </c>
      <c r="S23" s="103" t="e">
        <f t="shared" si="3"/>
        <v>#DIV/0!</v>
      </c>
      <c r="T23" s="53" t="e">
        <f t="shared" si="4"/>
        <v>#DIV/0!</v>
      </c>
      <c r="U23" s="51" t="e">
        <f t="shared" si="5"/>
        <v>#DIV/0!</v>
      </c>
      <c r="V23" s="103" t="e">
        <f t="shared" si="26"/>
        <v>#DIV/0!</v>
      </c>
      <c r="W23" s="103" t="e">
        <f t="shared" si="6"/>
        <v>#DIV/0!</v>
      </c>
      <c r="X23" s="54"/>
      <c r="Y23" s="54"/>
      <c r="Z23" s="103" t="e">
        <f t="shared" si="27"/>
        <v>#DIV/0!</v>
      </c>
      <c r="AA23" s="103" t="e">
        <f t="shared" si="7"/>
        <v>#DIV/0!</v>
      </c>
      <c r="AB23" s="54"/>
      <c r="AC23" s="54"/>
      <c r="AD23" s="54" t="e">
        <f t="shared" si="28"/>
        <v>#DIV/0!</v>
      </c>
      <c r="AE23" s="103" t="e">
        <f t="shared" si="8"/>
        <v>#DIV/0!</v>
      </c>
      <c r="AF23" s="103"/>
      <c r="AG23" s="103"/>
      <c r="AH23" s="103"/>
      <c r="AI23" s="103"/>
      <c r="AJ23" s="51" t="e">
        <f t="shared" si="9"/>
        <v>#DIV/0!</v>
      </c>
      <c r="AK23" s="54" t="e">
        <f t="shared" si="10"/>
        <v>#DIV/0!</v>
      </c>
      <c r="AL23" s="103" t="e">
        <f t="shared" si="29"/>
        <v>#DIV/0!</v>
      </c>
      <c r="AM23" s="103" t="e">
        <f t="shared" si="11"/>
        <v>#DIV/0!</v>
      </c>
      <c r="AN23" s="54"/>
      <c r="AO23" s="54"/>
      <c r="AP23" s="54" t="e">
        <f t="shared" si="30"/>
        <v>#DIV/0!</v>
      </c>
      <c r="AQ23" s="103" t="e">
        <f t="shared" si="12"/>
        <v>#DIV/0!</v>
      </c>
      <c r="AR23" s="54"/>
      <c r="AS23" s="54"/>
      <c r="AT23" s="54" t="e">
        <f t="shared" si="31"/>
        <v>#DIV/0!</v>
      </c>
      <c r="AU23" s="103" t="e">
        <f t="shared" si="13"/>
        <v>#DIV/0!</v>
      </c>
      <c r="AV23" s="103"/>
      <c r="AW23" s="103"/>
      <c r="AX23" s="103"/>
      <c r="AY23" s="103"/>
      <c r="AZ23" s="82" t="e">
        <f t="shared" si="14"/>
        <v>#DIV/0!</v>
      </c>
      <c r="BA23" s="82" t="e">
        <f t="shared" si="15"/>
        <v>#DIV/0!</v>
      </c>
      <c r="BB23" s="54" t="e">
        <f t="shared" si="32"/>
        <v>#DIV/0!</v>
      </c>
      <c r="BC23" s="103" t="e">
        <f t="shared" si="16"/>
        <v>#DIV/0!</v>
      </c>
      <c r="BD23" s="81"/>
    </row>
    <row r="24" spans="1:56" ht="15.75" customHeight="1" x14ac:dyDescent="0.3">
      <c r="A24" s="49" t="s">
        <v>53</v>
      </c>
      <c r="B24" s="49" t="s">
        <v>56</v>
      </c>
      <c r="C24" s="50">
        <f t="shared" si="17"/>
        <v>42888</v>
      </c>
      <c r="D24" s="51"/>
      <c r="E24" s="51"/>
      <c r="F24" s="51" t="e">
        <f t="shared" si="18"/>
        <v>#DIV/0!</v>
      </c>
      <c r="G24" s="103" t="e">
        <f t="shared" si="0"/>
        <v>#DIV/0!</v>
      </c>
      <c r="H24" s="51">
        <f t="shared" si="19"/>
        <v>0</v>
      </c>
      <c r="I24" s="51">
        <f t="shared" si="20"/>
        <v>0</v>
      </c>
      <c r="J24" s="103" t="e">
        <f t="shared" si="21"/>
        <v>#DIV/0!</v>
      </c>
      <c r="K24" s="103" t="e">
        <f t="shared" si="1"/>
        <v>#DIV/0!</v>
      </c>
      <c r="L24" s="53"/>
      <c r="M24" s="53"/>
      <c r="N24" s="103" t="e">
        <f t="shared" si="22"/>
        <v>#DIV/0!</v>
      </c>
      <c r="O24" s="103" t="e">
        <f t="shared" si="2"/>
        <v>#DIV/0!</v>
      </c>
      <c r="P24" s="53" t="e">
        <f t="shared" si="23"/>
        <v>#DIV/0!</v>
      </c>
      <c r="Q24" s="53" t="e">
        <f t="shared" si="24"/>
        <v>#DIV/0!</v>
      </c>
      <c r="R24" s="103" t="e">
        <f t="shared" si="25"/>
        <v>#DIV/0!</v>
      </c>
      <c r="S24" s="103" t="e">
        <f t="shared" si="3"/>
        <v>#DIV/0!</v>
      </c>
      <c r="T24" s="53" t="e">
        <f t="shared" si="4"/>
        <v>#DIV/0!</v>
      </c>
      <c r="U24" s="51" t="e">
        <f t="shared" si="5"/>
        <v>#DIV/0!</v>
      </c>
      <c r="V24" s="103" t="e">
        <f t="shared" si="26"/>
        <v>#DIV/0!</v>
      </c>
      <c r="W24" s="103" t="e">
        <f t="shared" si="6"/>
        <v>#DIV/0!</v>
      </c>
      <c r="X24" s="54"/>
      <c r="Y24" s="54"/>
      <c r="Z24" s="103" t="e">
        <f t="shared" si="27"/>
        <v>#DIV/0!</v>
      </c>
      <c r="AA24" s="103" t="e">
        <f t="shared" si="7"/>
        <v>#DIV/0!</v>
      </c>
      <c r="AB24" s="54"/>
      <c r="AC24" s="54"/>
      <c r="AD24" s="54" t="e">
        <f t="shared" si="28"/>
        <v>#DIV/0!</v>
      </c>
      <c r="AE24" s="103" t="e">
        <f t="shared" si="8"/>
        <v>#DIV/0!</v>
      </c>
      <c r="AF24" s="103"/>
      <c r="AG24" s="103"/>
      <c r="AH24" s="103"/>
      <c r="AI24" s="103"/>
      <c r="AJ24" s="51" t="e">
        <f t="shared" si="9"/>
        <v>#DIV/0!</v>
      </c>
      <c r="AK24" s="54" t="e">
        <f t="shared" si="10"/>
        <v>#DIV/0!</v>
      </c>
      <c r="AL24" s="103" t="e">
        <f t="shared" si="29"/>
        <v>#DIV/0!</v>
      </c>
      <c r="AM24" s="103" t="e">
        <f t="shared" si="11"/>
        <v>#DIV/0!</v>
      </c>
      <c r="AN24" s="54"/>
      <c r="AO24" s="54"/>
      <c r="AP24" s="54" t="e">
        <f t="shared" si="30"/>
        <v>#DIV/0!</v>
      </c>
      <c r="AQ24" s="103" t="e">
        <f t="shared" si="12"/>
        <v>#DIV/0!</v>
      </c>
      <c r="AR24" s="54"/>
      <c r="AS24" s="54"/>
      <c r="AT24" s="54" t="e">
        <f t="shared" si="31"/>
        <v>#DIV/0!</v>
      </c>
      <c r="AU24" s="103" t="e">
        <f t="shared" si="13"/>
        <v>#DIV/0!</v>
      </c>
      <c r="AV24" s="103"/>
      <c r="AW24" s="103"/>
      <c r="AX24" s="103"/>
      <c r="AY24" s="103"/>
      <c r="AZ24" s="82" t="e">
        <f t="shared" si="14"/>
        <v>#DIV/0!</v>
      </c>
      <c r="BA24" s="82" t="e">
        <f t="shared" si="15"/>
        <v>#DIV/0!</v>
      </c>
      <c r="BB24" s="54" t="e">
        <f t="shared" si="32"/>
        <v>#DIV/0!</v>
      </c>
      <c r="BC24" s="103" t="e">
        <f t="shared" si="16"/>
        <v>#DIV/0!</v>
      </c>
      <c r="BD24" s="81"/>
    </row>
    <row r="25" spans="1:56" s="80" customFormat="1" ht="15.75" customHeight="1" x14ac:dyDescent="0.3">
      <c r="A25" s="69" t="s">
        <v>53</v>
      </c>
      <c r="B25" s="69" t="s">
        <v>57</v>
      </c>
      <c r="C25" s="70">
        <f t="shared" si="17"/>
        <v>42895</v>
      </c>
      <c r="D25" s="72"/>
      <c r="E25" s="72"/>
      <c r="F25" s="72" t="e">
        <f t="shared" si="18"/>
        <v>#DIV/0!</v>
      </c>
      <c r="G25" s="104" t="e">
        <f t="shared" si="0"/>
        <v>#DIV/0!</v>
      </c>
      <c r="H25" s="72">
        <f t="shared" si="19"/>
        <v>0</v>
      </c>
      <c r="I25" s="72">
        <f t="shared" si="20"/>
        <v>0</v>
      </c>
      <c r="J25" s="104" t="e">
        <f t="shared" si="21"/>
        <v>#DIV/0!</v>
      </c>
      <c r="K25" s="104" t="e">
        <f t="shared" si="1"/>
        <v>#DIV/0!</v>
      </c>
      <c r="L25" s="74"/>
      <c r="M25" s="74"/>
      <c r="N25" s="104" t="e">
        <f t="shared" si="22"/>
        <v>#DIV/0!</v>
      </c>
      <c r="O25" s="104" t="e">
        <f t="shared" si="2"/>
        <v>#DIV/0!</v>
      </c>
      <c r="P25" s="74" t="e">
        <f t="shared" si="23"/>
        <v>#DIV/0!</v>
      </c>
      <c r="Q25" s="74" t="e">
        <f t="shared" si="24"/>
        <v>#DIV/0!</v>
      </c>
      <c r="R25" s="104" t="e">
        <f t="shared" si="25"/>
        <v>#DIV/0!</v>
      </c>
      <c r="S25" s="104" t="e">
        <f t="shared" si="3"/>
        <v>#DIV/0!</v>
      </c>
      <c r="T25" s="74" t="e">
        <f t="shared" si="4"/>
        <v>#DIV/0!</v>
      </c>
      <c r="U25" s="72" t="e">
        <f t="shared" si="5"/>
        <v>#DIV/0!</v>
      </c>
      <c r="V25" s="104" t="e">
        <f t="shared" si="26"/>
        <v>#DIV/0!</v>
      </c>
      <c r="W25" s="104" t="e">
        <f t="shared" si="6"/>
        <v>#DIV/0!</v>
      </c>
      <c r="X25" s="76"/>
      <c r="Y25" s="76"/>
      <c r="Z25" s="104" t="e">
        <f t="shared" si="27"/>
        <v>#DIV/0!</v>
      </c>
      <c r="AA25" s="104" t="e">
        <f t="shared" si="7"/>
        <v>#DIV/0!</v>
      </c>
      <c r="AB25" s="76"/>
      <c r="AC25" s="76"/>
      <c r="AD25" s="76" t="e">
        <f t="shared" si="28"/>
        <v>#DIV/0!</v>
      </c>
      <c r="AE25" s="104" t="e">
        <f t="shared" si="8"/>
        <v>#DIV/0!</v>
      </c>
      <c r="AF25" s="104"/>
      <c r="AG25" s="104"/>
      <c r="AH25" s="104"/>
      <c r="AI25" s="104"/>
      <c r="AJ25" s="72" t="e">
        <f t="shared" si="9"/>
        <v>#DIV/0!</v>
      </c>
      <c r="AK25" s="76" t="e">
        <f t="shared" si="10"/>
        <v>#DIV/0!</v>
      </c>
      <c r="AL25" s="104" t="e">
        <f t="shared" si="29"/>
        <v>#DIV/0!</v>
      </c>
      <c r="AM25" s="104" t="e">
        <f t="shared" si="11"/>
        <v>#DIV/0!</v>
      </c>
      <c r="AN25" s="76"/>
      <c r="AO25" s="76"/>
      <c r="AP25" s="76" t="e">
        <f t="shared" si="30"/>
        <v>#DIV/0!</v>
      </c>
      <c r="AQ25" s="104" t="e">
        <f t="shared" si="12"/>
        <v>#DIV/0!</v>
      </c>
      <c r="AR25" s="76"/>
      <c r="AS25" s="76"/>
      <c r="AT25" s="76" t="e">
        <f t="shared" si="31"/>
        <v>#DIV/0!</v>
      </c>
      <c r="AU25" s="104" t="e">
        <f t="shared" si="13"/>
        <v>#DIV/0!</v>
      </c>
      <c r="AV25" s="104"/>
      <c r="AW25" s="104"/>
      <c r="AX25" s="104"/>
      <c r="AY25" s="104"/>
      <c r="AZ25" s="83" t="e">
        <f t="shared" si="14"/>
        <v>#DIV/0!</v>
      </c>
      <c r="BA25" s="83" t="e">
        <f t="shared" si="15"/>
        <v>#DIV/0!</v>
      </c>
      <c r="BB25" s="76" t="e">
        <f t="shared" si="32"/>
        <v>#DIV/0!</v>
      </c>
      <c r="BC25" s="104" t="e">
        <f t="shared" si="16"/>
        <v>#DIV/0!</v>
      </c>
    </row>
    <row r="26" spans="1:56" ht="15.75" customHeight="1" x14ac:dyDescent="0.3">
      <c r="A26" s="49" t="s">
        <v>58</v>
      </c>
      <c r="B26" s="49" t="s">
        <v>59</v>
      </c>
      <c r="C26" s="50">
        <f t="shared" si="17"/>
        <v>42902</v>
      </c>
      <c r="D26" s="51"/>
      <c r="E26" s="51"/>
      <c r="F26" s="51" t="e">
        <f t="shared" si="18"/>
        <v>#DIV/0!</v>
      </c>
      <c r="G26" s="103" t="e">
        <f t="shared" si="0"/>
        <v>#DIV/0!</v>
      </c>
      <c r="H26" s="51">
        <f t="shared" si="19"/>
        <v>0</v>
      </c>
      <c r="I26" s="51">
        <f t="shared" si="20"/>
        <v>0</v>
      </c>
      <c r="J26" s="103" t="e">
        <f t="shared" si="21"/>
        <v>#DIV/0!</v>
      </c>
      <c r="K26" s="103" t="e">
        <f t="shared" si="1"/>
        <v>#DIV/0!</v>
      </c>
      <c r="L26" s="53"/>
      <c r="M26" s="53"/>
      <c r="N26" s="103" t="e">
        <f t="shared" si="22"/>
        <v>#DIV/0!</v>
      </c>
      <c r="O26" s="103" t="e">
        <f t="shared" si="2"/>
        <v>#DIV/0!</v>
      </c>
      <c r="P26" s="53" t="e">
        <f t="shared" si="23"/>
        <v>#DIV/0!</v>
      </c>
      <c r="Q26" s="53" t="e">
        <f t="shared" si="24"/>
        <v>#DIV/0!</v>
      </c>
      <c r="R26" s="103" t="e">
        <f t="shared" si="25"/>
        <v>#DIV/0!</v>
      </c>
      <c r="S26" s="103" t="e">
        <f t="shared" si="3"/>
        <v>#DIV/0!</v>
      </c>
      <c r="T26" s="53" t="e">
        <f t="shared" si="4"/>
        <v>#DIV/0!</v>
      </c>
      <c r="U26" s="51" t="e">
        <f t="shared" si="5"/>
        <v>#DIV/0!</v>
      </c>
      <c r="V26" s="103" t="e">
        <f t="shared" si="26"/>
        <v>#DIV/0!</v>
      </c>
      <c r="W26" s="103" t="e">
        <f t="shared" si="6"/>
        <v>#DIV/0!</v>
      </c>
      <c r="X26" s="54"/>
      <c r="Y26" s="54"/>
      <c r="Z26" s="103" t="e">
        <f t="shared" si="27"/>
        <v>#DIV/0!</v>
      </c>
      <c r="AA26" s="103" t="e">
        <f t="shared" si="7"/>
        <v>#DIV/0!</v>
      </c>
      <c r="AB26" s="54"/>
      <c r="AC26" s="54"/>
      <c r="AD26" s="54" t="e">
        <f t="shared" si="28"/>
        <v>#DIV/0!</v>
      </c>
      <c r="AE26" s="103" t="e">
        <f t="shared" si="8"/>
        <v>#DIV/0!</v>
      </c>
      <c r="AF26" s="103"/>
      <c r="AG26" s="103"/>
      <c r="AH26" s="103"/>
      <c r="AI26" s="103"/>
      <c r="AJ26" s="51" t="e">
        <f t="shared" si="9"/>
        <v>#DIV/0!</v>
      </c>
      <c r="AK26" s="54" t="e">
        <f t="shared" si="10"/>
        <v>#DIV/0!</v>
      </c>
      <c r="AL26" s="103" t="e">
        <f t="shared" si="29"/>
        <v>#DIV/0!</v>
      </c>
      <c r="AM26" s="103" t="e">
        <f t="shared" si="11"/>
        <v>#DIV/0!</v>
      </c>
      <c r="AN26" s="54"/>
      <c r="AO26" s="54"/>
      <c r="AP26" s="54" t="e">
        <f t="shared" si="30"/>
        <v>#DIV/0!</v>
      </c>
      <c r="AQ26" s="103" t="e">
        <f t="shared" si="12"/>
        <v>#DIV/0!</v>
      </c>
      <c r="AR26" s="54"/>
      <c r="AS26" s="54"/>
      <c r="AT26" s="54" t="e">
        <f t="shared" si="31"/>
        <v>#DIV/0!</v>
      </c>
      <c r="AU26" s="104" t="e">
        <f t="shared" si="13"/>
        <v>#DIV/0!</v>
      </c>
      <c r="AV26" s="103"/>
      <c r="AW26" s="103"/>
      <c r="AX26" s="103"/>
      <c r="AY26" s="103"/>
      <c r="AZ26" s="82" t="e">
        <f t="shared" si="14"/>
        <v>#DIV/0!</v>
      </c>
      <c r="BA26" s="82" t="e">
        <f t="shared" si="15"/>
        <v>#DIV/0!</v>
      </c>
      <c r="BB26" s="54" t="e">
        <f t="shared" si="32"/>
        <v>#DIV/0!</v>
      </c>
      <c r="BC26" s="103" t="e">
        <f t="shared" si="16"/>
        <v>#DIV/0!</v>
      </c>
      <c r="BD26" s="81"/>
    </row>
    <row r="27" spans="1:56" ht="15.75" customHeight="1" x14ac:dyDescent="0.3">
      <c r="A27" s="49" t="s">
        <v>58</v>
      </c>
      <c r="B27" s="49" t="s">
        <v>60</v>
      </c>
      <c r="C27" s="50">
        <f t="shared" si="17"/>
        <v>42909</v>
      </c>
      <c r="D27" s="51"/>
      <c r="E27" s="51"/>
      <c r="F27" s="51" t="e">
        <f t="shared" si="18"/>
        <v>#DIV/0!</v>
      </c>
      <c r="G27" s="103" t="e">
        <f t="shared" si="0"/>
        <v>#DIV/0!</v>
      </c>
      <c r="H27" s="51">
        <f t="shared" si="19"/>
        <v>0</v>
      </c>
      <c r="I27" s="51">
        <f t="shared" si="20"/>
        <v>0</v>
      </c>
      <c r="J27" s="103" t="e">
        <f t="shared" si="21"/>
        <v>#DIV/0!</v>
      </c>
      <c r="K27" s="103" t="e">
        <f t="shared" si="1"/>
        <v>#DIV/0!</v>
      </c>
      <c r="L27" s="53"/>
      <c r="M27" s="53"/>
      <c r="N27" s="103" t="e">
        <f t="shared" si="22"/>
        <v>#DIV/0!</v>
      </c>
      <c r="O27" s="103" t="e">
        <f t="shared" si="2"/>
        <v>#DIV/0!</v>
      </c>
      <c r="P27" s="53" t="e">
        <f t="shared" si="23"/>
        <v>#DIV/0!</v>
      </c>
      <c r="Q27" s="53" t="e">
        <f t="shared" si="24"/>
        <v>#DIV/0!</v>
      </c>
      <c r="R27" s="103" t="e">
        <f t="shared" si="25"/>
        <v>#DIV/0!</v>
      </c>
      <c r="S27" s="103" t="e">
        <f t="shared" si="3"/>
        <v>#DIV/0!</v>
      </c>
      <c r="T27" s="53" t="e">
        <f t="shared" si="4"/>
        <v>#DIV/0!</v>
      </c>
      <c r="U27" s="51" t="e">
        <f t="shared" si="5"/>
        <v>#DIV/0!</v>
      </c>
      <c r="V27" s="103" t="e">
        <f t="shared" si="26"/>
        <v>#DIV/0!</v>
      </c>
      <c r="W27" s="103" t="e">
        <f t="shared" si="6"/>
        <v>#DIV/0!</v>
      </c>
      <c r="X27" s="54"/>
      <c r="Y27" s="54"/>
      <c r="Z27" s="103" t="e">
        <f t="shared" si="27"/>
        <v>#DIV/0!</v>
      </c>
      <c r="AA27" s="103" t="e">
        <f t="shared" si="7"/>
        <v>#DIV/0!</v>
      </c>
      <c r="AB27" s="54"/>
      <c r="AC27" s="54"/>
      <c r="AD27" s="54" t="e">
        <f t="shared" si="28"/>
        <v>#DIV/0!</v>
      </c>
      <c r="AE27" s="103" t="e">
        <f t="shared" si="8"/>
        <v>#DIV/0!</v>
      </c>
      <c r="AF27" s="103"/>
      <c r="AG27" s="103"/>
      <c r="AH27" s="103"/>
      <c r="AI27" s="103"/>
      <c r="AJ27" s="51" t="e">
        <f t="shared" si="9"/>
        <v>#DIV/0!</v>
      </c>
      <c r="AK27" s="54" t="e">
        <f t="shared" si="10"/>
        <v>#DIV/0!</v>
      </c>
      <c r="AL27" s="103" t="e">
        <f t="shared" si="29"/>
        <v>#DIV/0!</v>
      </c>
      <c r="AM27" s="103" t="e">
        <f t="shared" si="11"/>
        <v>#DIV/0!</v>
      </c>
      <c r="AN27" s="54"/>
      <c r="AO27" s="54"/>
      <c r="AP27" s="54" t="e">
        <f t="shared" si="30"/>
        <v>#DIV/0!</v>
      </c>
      <c r="AQ27" s="103" t="e">
        <f t="shared" si="12"/>
        <v>#DIV/0!</v>
      </c>
      <c r="AR27" s="54"/>
      <c r="AS27" s="54"/>
      <c r="AT27" s="54" t="e">
        <f t="shared" si="31"/>
        <v>#DIV/0!</v>
      </c>
      <c r="AU27" s="103" t="e">
        <f t="shared" si="13"/>
        <v>#DIV/0!</v>
      </c>
      <c r="AV27" s="103"/>
      <c r="AW27" s="103"/>
      <c r="AX27" s="103"/>
      <c r="AY27" s="103"/>
      <c r="AZ27" s="82" t="e">
        <f t="shared" si="14"/>
        <v>#DIV/0!</v>
      </c>
      <c r="BA27" s="82" t="e">
        <f t="shared" si="15"/>
        <v>#DIV/0!</v>
      </c>
      <c r="BB27" s="54" t="e">
        <f t="shared" si="32"/>
        <v>#DIV/0!</v>
      </c>
      <c r="BC27" s="103" t="e">
        <f t="shared" si="16"/>
        <v>#DIV/0!</v>
      </c>
      <c r="BD27" s="81"/>
    </row>
    <row r="28" spans="1:56" ht="15.75" customHeight="1" x14ac:dyDescent="0.3">
      <c r="A28" s="49" t="s">
        <v>58</v>
      </c>
      <c r="B28" s="49" t="s">
        <v>61</v>
      </c>
      <c r="C28" s="50">
        <f t="shared" si="17"/>
        <v>42916</v>
      </c>
      <c r="D28" s="51"/>
      <c r="E28" s="51"/>
      <c r="F28" s="51" t="e">
        <f t="shared" si="18"/>
        <v>#DIV/0!</v>
      </c>
      <c r="G28" s="103" t="e">
        <f t="shared" si="0"/>
        <v>#DIV/0!</v>
      </c>
      <c r="H28" s="51">
        <f t="shared" si="19"/>
        <v>0</v>
      </c>
      <c r="I28" s="51">
        <f t="shared" si="20"/>
        <v>0</v>
      </c>
      <c r="J28" s="103" t="e">
        <f t="shared" si="21"/>
        <v>#DIV/0!</v>
      </c>
      <c r="K28" s="103" t="e">
        <f t="shared" si="1"/>
        <v>#DIV/0!</v>
      </c>
      <c r="L28" s="53"/>
      <c r="M28" s="53"/>
      <c r="N28" s="103" t="e">
        <f t="shared" si="22"/>
        <v>#DIV/0!</v>
      </c>
      <c r="O28" s="103" t="e">
        <f t="shared" si="2"/>
        <v>#DIV/0!</v>
      </c>
      <c r="P28" s="53" t="e">
        <f t="shared" si="23"/>
        <v>#DIV/0!</v>
      </c>
      <c r="Q28" s="53" t="e">
        <f t="shared" si="24"/>
        <v>#DIV/0!</v>
      </c>
      <c r="R28" s="103" t="e">
        <f t="shared" si="25"/>
        <v>#DIV/0!</v>
      </c>
      <c r="S28" s="103" t="e">
        <f t="shared" si="3"/>
        <v>#DIV/0!</v>
      </c>
      <c r="T28" s="53" t="e">
        <f t="shared" si="4"/>
        <v>#DIV/0!</v>
      </c>
      <c r="U28" s="51" t="e">
        <f t="shared" si="5"/>
        <v>#DIV/0!</v>
      </c>
      <c r="V28" s="103" t="e">
        <f t="shared" si="26"/>
        <v>#DIV/0!</v>
      </c>
      <c r="W28" s="103" t="e">
        <f t="shared" si="6"/>
        <v>#DIV/0!</v>
      </c>
      <c r="X28" s="54"/>
      <c r="Y28" s="54"/>
      <c r="Z28" s="103" t="e">
        <f t="shared" si="27"/>
        <v>#DIV/0!</v>
      </c>
      <c r="AA28" s="103" t="e">
        <f t="shared" si="7"/>
        <v>#DIV/0!</v>
      </c>
      <c r="AB28" s="54"/>
      <c r="AC28" s="54"/>
      <c r="AD28" s="54" t="e">
        <f t="shared" si="28"/>
        <v>#DIV/0!</v>
      </c>
      <c r="AE28" s="103" t="e">
        <f t="shared" si="8"/>
        <v>#DIV/0!</v>
      </c>
      <c r="AF28" s="103"/>
      <c r="AG28" s="103"/>
      <c r="AH28" s="103"/>
      <c r="AI28" s="103"/>
      <c r="AJ28" s="51" t="e">
        <f t="shared" si="9"/>
        <v>#DIV/0!</v>
      </c>
      <c r="AK28" s="54" t="e">
        <f t="shared" si="10"/>
        <v>#DIV/0!</v>
      </c>
      <c r="AL28" s="103" t="e">
        <f t="shared" si="29"/>
        <v>#DIV/0!</v>
      </c>
      <c r="AM28" s="103" t="e">
        <f t="shared" si="11"/>
        <v>#DIV/0!</v>
      </c>
      <c r="AN28" s="54"/>
      <c r="AO28" s="54"/>
      <c r="AP28" s="54" t="e">
        <f t="shared" si="30"/>
        <v>#DIV/0!</v>
      </c>
      <c r="AQ28" s="103" t="e">
        <f t="shared" si="12"/>
        <v>#DIV/0!</v>
      </c>
      <c r="AR28" s="54"/>
      <c r="AS28" s="54"/>
      <c r="AT28" s="54" t="e">
        <f t="shared" si="31"/>
        <v>#DIV/0!</v>
      </c>
      <c r="AU28" s="103" t="e">
        <f t="shared" si="13"/>
        <v>#DIV/0!</v>
      </c>
      <c r="AV28" s="103"/>
      <c r="AW28" s="103"/>
      <c r="AX28" s="103"/>
      <c r="AY28" s="103"/>
      <c r="AZ28" s="82" t="e">
        <f t="shared" si="14"/>
        <v>#DIV/0!</v>
      </c>
      <c r="BA28" s="82" t="e">
        <f t="shared" si="15"/>
        <v>#DIV/0!</v>
      </c>
      <c r="BB28" s="54" t="e">
        <f t="shared" si="32"/>
        <v>#DIV/0!</v>
      </c>
      <c r="BC28" s="103" t="e">
        <f t="shared" si="16"/>
        <v>#DIV/0!</v>
      </c>
      <c r="BD28" s="81"/>
    </row>
    <row r="29" spans="1:56" s="80" customFormat="1" ht="15.75" customHeight="1" x14ac:dyDescent="0.3">
      <c r="A29" s="69" t="s">
        <v>58</v>
      </c>
      <c r="B29" s="69" t="s">
        <v>62</v>
      </c>
      <c r="C29" s="70">
        <f t="shared" si="17"/>
        <v>42923</v>
      </c>
      <c r="D29" s="72"/>
      <c r="E29" s="72"/>
      <c r="F29" s="72" t="e">
        <f t="shared" si="18"/>
        <v>#DIV/0!</v>
      </c>
      <c r="G29" s="104" t="e">
        <f t="shared" si="0"/>
        <v>#DIV/0!</v>
      </c>
      <c r="H29" s="72">
        <f t="shared" si="19"/>
        <v>0</v>
      </c>
      <c r="I29" s="72">
        <f t="shared" si="20"/>
        <v>0</v>
      </c>
      <c r="J29" s="104" t="e">
        <f t="shared" si="21"/>
        <v>#DIV/0!</v>
      </c>
      <c r="K29" s="104" t="e">
        <f t="shared" si="1"/>
        <v>#DIV/0!</v>
      </c>
      <c r="L29" s="74"/>
      <c r="M29" s="74"/>
      <c r="N29" s="104" t="e">
        <f t="shared" si="22"/>
        <v>#DIV/0!</v>
      </c>
      <c r="O29" s="104" t="e">
        <f t="shared" si="2"/>
        <v>#DIV/0!</v>
      </c>
      <c r="P29" s="74" t="e">
        <f t="shared" si="23"/>
        <v>#DIV/0!</v>
      </c>
      <c r="Q29" s="74" t="e">
        <f t="shared" si="24"/>
        <v>#DIV/0!</v>
      </c>
      <c r="R29" s="104" t="e">
        <f t="shared" si="25"/>
        <v>#DIV/0!</v>
      </c>
      <c r="S29" s="104" t="e">
        <f t="shared" si="3"/>
        <v>#DIV/0!</v>
      </c>
      <c r="T29" s="74" t="e">
        <f t="shared" si="4"/>
        <v>#DIV/0!</v>
      </c>
      <c r="U29" s="72" t="e">
        <f t="shared" si="5"/>
        <v>#DIV/0!</v>
      </c>
      <c r="V29" s="104" t="e">
        <f t="shared" si="26"/>
        <v>#DIV/0!</v>
      </c>
      <c r="W29" s="104" t="e">
        <f t="shared" si="6"/>
        <v>#DIV/0!</v>
      </c>
      <c r="X29" s="76"/>
      <c r="Y29" s="76"/>
      <c r="Z29" s="104" t="e">
        <f t="shared" si="27"/>
        <v>#DIV/0!</v>
      </c>
      <c r="AA29" s="104" t="e">
        <f t="shared" si="7"/>
        <v>#DIV/0!</v>
      </c>
      <c r="AB29" s="76"/>
      <c r="AC29" s="76"/>
      <c r="AD29" s="76" t="e">
        <f t="shared" si="28"/>
        <v>#DIV/0!</v>
      </c>
      <c r="AE29" s="104" t="e">
        <f t="shared" si="8"/>
        <v>#DIV/0!</v>
      </c>
      <c r="AF29" s="104"/>
      <c r="AG29" s="104"/>
      <c r="AH29" s="104"/>
      <c r="AI29" s="104"/>
      <c r="AJ29" s="72" t="e">
        <f t="shared" si="9"/>
        <v>#DIV/0!</v>
      </c>
      <c r="AK29" s="76" t="e">
        <f t="shared" si="10"/>
        <v>#DIV/0!</v>
      </c>
      <c r="AL29" s="104" t="e">
        <f t="shared" si="29"/>
        <v>#DIV/0!</v>
      </c>
      <c r="AM29" s="104" t="e">
        <f t="shared" si="11"/>
        <v>#DIV/0!</v>
      </c>
      <c r="AN29" s="76"/>
      <c r="AO29" s="76"/>
      <c r="AP29" s="76" t="e">
        <f t="shared" si="30"/>
        <v>#DIV/0!</v>
      </c>
      <c r="AQ29" s="104" t="e">
        <f t="shared" si="12"/>
        <v>#DIV/0!</v>
      </c>
      <c r="AR29" s="76"/>
      <c r="AS29" s="76"/>
      <c r="AT29" s="76" t="e">
        <f t="shared" si="31"/>
        <v>#DIV/0!</v>
      </c>
      <c r="AU29" s="104" t="e">
        <f t="shared" si="13"/>
        <v>#DIV/0!</v>
      </c>
      <c r="AV29" s="104"/>
      <c r="AW29" s="104"/>
      <c r="AX29" s="104"/>
      <c r="AY29" s="104"/>
      <c r="AZ29" s="83" t="e">
        <f t="shared" si="14"/>
        <v>#DIV/0!</v>
      </c>
      <c r="BA29" s="83" t="e">
        <f t="shared" si="15"/>
        <v>#DIV/0!</v>
      </c>
      <c r="BB29" s="76" t="e">
        <f t="shared" si="32"/>
        <v>#DIV/0!</v>
      </c>
      <c r="BC29" s="104" t="e">
        <f t="shared" si="16"/>
        <v>#DIV/0!</v>
      </c>
    </row>
    <row r="30" spans="1:56" ht="15.75" customHeight="1" x14ac:dyDescent="0.3">
      <c r="A30" s="49" t="s">
        <v>63</v>
      </c>
      <c r="B30" s="49" t="s">
        <v>64</v>
      </c>
      <c r="C30" s="50">
        <f t="shared" si="17"/>
        <v>42930</v>
      </c>
      <c r="D30" s="51"/>
      <c r="E30" s="51"/>
      <c r="F30" s="51" t="e">
        <f t="shared" si="18"/>
        <v>#DIV/0!</v>
      </c>
      <c r="G30" s="103" t="e">
        <f t="shared" si="0"/>
        <v>#DIV/0!</v>
      </c>
      <c r="H30" s="51">
        <f t="shared" si="19"/>
        <v>0</v>
      </c>
      <c r="I30" s="51">
        <f t="shared" si="20"/>
        <v>0</v>
      </c>
      <c r="J30" s="103" t="e">
        <f t="shared" si="21"/>
        <v>#DIV/0!</v>
      </c>
      <c r="K30" s="103" t="e">
        <f t="shared" ref="K30:K54" si="33">(H30-I30)/I30</f>
        <v>#DIV/0!</v>
      </c>
      <c r="L30" s="53"/>
      <c r="M30" s="53"/>
      <c r="N30" s="103" t="e">
        <f t="shared" si="22"/>
        <v>#DIV/0!</v>
      </c>
      <c r="O30" s="103" t="e">
        <f t="shared" si="2"/>
        <v>#DIV/0!</v>
      </c>
      <c r="P30" s="53" t="e">
        <f t="shared" si="23"/>
        <v>#DIV/0!</v>
      </c>
      <c r="Q30" s="53" t="e">
        <f t="shared" si="24"/>
        <v>#DIV/0!</v>
      </c>
      <c r="R30" s="103" t="e">
        <f t="shared" si="25"/>
        <v>#DIV/0!</v>
      </c>
      <c r="S30" s="103" t="e">
        <f t="shared" si="3"/>
        <v>#DIV/0!</v>
      </c>
      <c r="T30" s="53" t="e">
        <f t="shared" si="4"/>
        <v>#DIV/0!</v>
      </c>
      <c r="U30" s="51" t="e">
        <f t="shared" si="5"/>
        <v>#DIV/0!</v>
      </c>
      <c r="V30" s="103" t="e">
        <f t="shared" si="26"/>
        <v>#DIV/0!</v>
      </c>
      <c r="W30" s="103" t="e">
        <f t="shared" si="6"/>
        <v>#DIV/0!</v>
      </c>
      <c r="X30" s="54"/>
      <c r="Y30" s="54"/>
      <c r="Z30" s="103" t="e">
        <f t="shared" si="27"/>
        <v>#DIV/0!</v>
      </c>
      <c r="AA30" s="103" t="e">
        <f t="shared" si="7"/>
        <v>#DIV/0!</v>
      </c>
      <c r="AB30" s="54"/>
      <c r="AC30" s="54"/>
      <c r="AD30" s="54" t="e">
        <f t="shared" si="28"/>
        <v>#DIV/0!</v>
      </c>
      <c r="AE30" s="103" t="e">
        <f t="shared" si="8"/>
        <v>#DIV/0!</v>
      </c>
      <c r="AF30" s="103"/>
      <c r="AG30" s="103"/>
      <c r="AH30" s="103"/>
      <c r="AI30" s="103"/>
      <c r="AJ30" s="51" t="e">
        <f t="shared" si="9"/>
        <v>#DIV/0!</v>
      </c>
      <c r="AK30" s="54" t="e">
        <f t="shared" si="10"/>
        <v>#DIV/0!</v>
      </c>
      <c r="AL30" s="103" t="e">
        <f t="shared" si="29"/>
        <v>#DIV/0!</v>
      </c>
      <c r="AM30" s="103" t="e">
        <f t="shared" si="11"/>
        <v>#DIV/0!</v>
      </c>
      <c r="AN30" s="54"/>
      <c r="AO30" s="54"/>
      <c r="AP30" s="54" t="e">
        <f t="shared" si="30"/>
        <v>#DIV/0!</v>
      </c>
      <c r="AQ30" s="103" t="e">
        <f t="shared" si="12"/>
        <v>#DIV/0!</v>
      </c>
      <c r="AR30" s="54"/>
      <c r="AS30" s="54"/>
      <c r="AT30" s="54" t="e">
        <f t="shared" si="31"/>
        <v>#DIV/0!</v>
      </c>
      <c r="AU30" s="103" t="e">
        <f t="shared" si="13"/>
        <v>#DIV/0!</v>
      </c>
      <c r="AV30" s="103"/>
      <c r="AW30" s="103"/>
      <c r="AX30" s="103"/>
      <c r="AY30" s="103"/>
      <c r="AZ30" s="82" t="e">
        <f t="shared" si="14"/>
        <v>#DIV/0!</v>
      </c>
      <c r="BA30" s="82" t="e">
        <f t="shared" si="15"/>
        <v>#DIV/0!</v>
      </c>
      <c r="BB30" s="54" t="e">
        <f t="shared" si="32"/>
        <v>#DIV/0!</v>
      </c>
      <c r="BC30" s="103" t="e">
        <f t="shared" si="16"/>
        <v>#DIV/0!</v>
      </c>
      <c r="BD30" s="81"/>
    </row>
    <row r="31" spans="1:56" ht="15.75" customHeight="1" x14ac:dyDescent="0.3">
      <c r="A31" s="49" t="s">
        <v>63</v>
      </c>
      <c r="B31" s="49" t="s">
        <v>65</v>
      </c>
      <c r="C31" s="50">
        <f t="shared" si="17"/>
        <v>42937</v>
      </c>
      <c r="D31" s="51"/>
      <c r="E31" s="51"/>
      <c r="F31" s="51" t="e">
        <f t="shared" si="18"/>
        <v>#DIV/0!</v>
      </c>
      <c r="G31" s="103" t="e">
        <f t="shared" si="0"/>
        <v>#DIV/0!</v>
      </c>
      <c r="H31" s="51">
        <f t="shared" si="19"/>
        <v>0</v>
      </c>
      <c r="I31" s="51">
        <f t="shared" si="20"/>
        <v>0</v>
      </c>
      <c r="J31" s="103" t="e">
        <f t="shared" si="21"/>
        <v>#DIV/0!</v>
      </c>
      <c r="K31" s="103" t="e">
        <f t="shared" si="33"/>
        <v>#DIV/0!</v>
      </c>
      <c r="L31" s="53"/>
      <c r="M31" s="53"/>
      <c r="N31" s="103" t="e">
        <f t="shared" si="22"/>
        <v>#DIV/0!</v>
      </c>
      <c r="O31" s="103" t="e">
        <f t="shared" si="2"/>
        <v>#DIV/0!</v>
      </c>
      <c r="P31" s="53" t="e">
        <f t="shared" si="23"/>
        <v>#DIV/0!</v>
      </c>
      <c r="Q31" s="53" t="e">
        <f t="shared" si="24"/>
        <v>#DIV/0!</v>
      </c>
      <c r="R31" s="103" t="e">
        <f t="shared" si="25"/>
        <v>#DIV/0!</v>
      </c>
      <c r="S31" s="103" t="e">
        <f t="shared" si="3"/>
        <v>#DIV/0!</v>
      </c>
      <c r="T31" s="53" t="e">
        <f t="shared" si="4"/>
        <v>#DIV/0!</v>
      </c>
      <c r="U31" s="51" t="e">
        <f t="shared" si="5"/>
        <v>#DIV/0!</v>
      </c>
      <c r="V31" s="103" t="e">
        <f t="shared" si="26"/>
        <v>#DIV/0!</v>
      </c>
      <c r="W31" s="103" t="e">
        <f t="shared" si="6"/>
        <v>#DIV/0!</v>
      </c>
      <c r="X31" s="54"/>
      <c r="Y31" s="54"/>
      <c r="Z31" s="103" t="e">
        <f t="shared" si="27"/>
        <v>#DIV/0!</v>
      </c>
      <c r="AA31" s="103" t="e">
        <f t="shared" si="7"/>
        <v>#DIV/0!</v>
      </c>
      <c r="AB31" s="54"/>
      <c r="AC31" s="54"/>
      <c r="AD31" s="54" t="e">
        <f t="shared" si="28"/>
        <v>#DIV/0!</v>
      </c>
      <c r="AE31" s="103" t="e">
        <f t="shared" si="8"/>
        <v>#DIV/0!</v>
      </c>
      <c r="AF31" s="103"/>
      <c r="AG31" s="103"/>
      <c r="AH31" s="103"/>
      <c r="AI31" s="103"/>
      <c r="AJ31" s="51" t="e">
        <f t="shared" si="9"/>
        <v>#DIV/0!</v>
      </c>
      <c r="AK31" s="54" t="e">
        <f t="shared" si="10"/>
        <v>#DIV/0!</v>
      </c>
      <c r="AL31" s="103" t="e">
        <f t="shared" si="29"/>
        <v>#DIV/0!</v>
      </c>
      <c r="AM31" s="103" t="e">
        <f t="shared" si="11"/>
        <v>#DIV/0!</v>
      </c>
      <c r="AN31" s="54"/>
      <c r="AO31" s="54"/>
      <c r="AP31" s="54" t="e">
        <f t="shared" si="30"/>
        <v>#DIV/0!</v>
      </c>
      <c r="AQ31" s="103" t="e">
        <f t="shared" si="12"/>
        <v>#DIV/0!</v>
      </c>
      <c r="AR31" s="54"/>
      <c r="AS31" s="54"/>
      <c r="AT31" s="54" t="e">
        <f t="shared" si="31"/>
        <v>#DIV/0!</v>
      </c>
      <c r="AU31" s="103" t="e">
        <f t="shared" si="13"/>
        <v>#DIV/0!</v>
      </c>
      <c r="AV31" s="103"/>
      <c r="AW31" s="103"/>
      <c r="AX31" s="103"/>
      <c r="AY31" s="103"/>
      <c r="AZ31" s="82" t="e">
        <f t="shared" si="14"/>
        <v>#DIV/0!</v>
      </c>
      <c r="BA31" s="82" t="e">
        <f t="shared" si="15"/>
        <v>#DIV/0!</v>
      </c>
      <c r="BB31" s="54" t="e">
        <f t="shared" si="32"/>
        <v>#DIV/0!</v>
      </c>
      <c r="BC31" s="103" t="e">
        <f t="shared" si="16"/>
        <v>#DIV/0!</v>
      </c>
      <c r="BD31" s="81"/>
    </row>
    <row r="32" spans="1:56" ht="15.75" customHeight="1" x14ac:dyDescent="0.3">
      <c r="A32" s="49" t="s">
        <v>63</v>
      </c>
      <c r="B32" s="49" t="s">
        <v>66</v>
      </c>
      <c r="C32" s="50">
        <f t="shared" si="17"/>
        <v>42944</v>
      </c>
      <c r="D32" s="51"/>
      <c r="E32" s="51"/>
      <c r="F32" s="51" t="e">
        <f t="shared" si="18"/>
        <v>#DIV/0!</v>
      </c>
      <c r="G32" s="103" t="e">
        <f t="shared" si="0"/>
        <v>#DIV/0!</v>
      </c>
      <c r="H32" s="51">
        <f t="shared" si="19"/>
        <v>0</v>
      </c>
      <c r="I32" s="51">
        <f t="shared" si="20"/>
        <v>0</v>
      </c>
      <c r="J32" s="103" t="e">
        <f t="shared" si="21"/>
        <v>#DIV/0!</v>
      </c>
      <c r="K32" s="103" t="e">
        <f t="shared" si="33"/>
        <v>#DIV/0!</v>
      </c>
      <c r="L32" s="53"/>
      <c r="M32" s="53"/>
      <c r="N32" s="103" t="e">
        <f t="shared" si="22"/>
        <v>#DIV/0!</v>
      </c>
      <c r="O32" s="103" t="e">
        <f t="shared" si="2"/>
        <v>#DIV/0!</v>
      </c>
      <c r="P32" s="53" t="e">
        <f t="shared" si="23"/>
        <v>#DIV/0!</v>
      </c>
      <c r="Q32" s="53" t="e">
        <f t="shared" si="24"/>
        <v>#DIV/0!</v>
      </c>
      <c r="R32" s="103" t="e">
        <f t="shared" si="25"/>
        <v>#DIV/0!</v>
      </c>
      <c r="S32" s="103" t="e">
        <f t="shared" si="3"/>
        <v>#DIV/0!</v>
      </c>
      <c r="T32" s="53" t="e">
        <f t="shared" si="4"/>
        <v>#DIV/0!</v>
      </c>
      <c r="U32" s="51" t="e">
        <f t="shared" si="5"/>
        <v>#DIV/0!</v>
      </c>
      <c r="V32" s="103" t="e">
        <f t="shared" si="26"/>
        <v>#DIV/0!</v>
      </c>
      <c r="W32" s="103" t="e">
        <f t="shared" si="6"/>
        <v>#DIV/0!</v>
      </c>
      <c r="X32" s="54"/>
      <c r="Y32" s="54"/>
      <c r="Z32" s="103" t="e">
        <f t="shared" si="27"/>
        <v>#DIV/0!</v>
      </c>
      <c r="AA32" s="103" t="e">
        <f t="shared" si="7"/>
        <v>#DIV/0!</v>
      </c>
      <c r="AB32" s="54"/>
      <c r="AC32" s="54"/>
      <c r="AD32" s="54" t="e">
        <f t="shared" si="28"/>
        <v>#DIV/0!</v>
      </c>
      <c r="AE32" s="103" t="e">
        <f t="shared" si="8"/>
        <v>#DIV/0!</v>
      </c>
      <c r="AF32" s="103"/>
      <c r="AG32" s="103"/>
      <c r="AH32" s="103"/>
      <c r="AI32" s="103"/>
      <c r="AJ32" s="51" t="e">
        <f t="shared" si="9"/>
        <v>#DIV/0!</v>
      </c>
      <c r="AK32" s="54" t="e">
        <f t="shared" si="10"/>
        <v>#DIV/0!</v>
      </c>
      <c r="AL32" s="103" t="e">
        <f t="shared" si="29"/>
        <v>#DIV/0!</v>
      </c>
      <c r="AM32" s="103" t="e">
        <f t="shared" si="11"/>
        <v>#DIV/0!</v>
      </c>
      <c r="AN32" s="54"/>
      <c r="AO32" s="54"/>
      <c r="AP32" s="54" t="e">
        <f t="shared" si="30"/>
        <v>#DIV/0!</v>
      </c>
      <c r="AQ32" s="103" t="e">
        <f t="shared" si="12"/>
        <v>#DIV/0!</v>
      </c>
      <c r="AR32" s="54"/>
      <c r="AS32" s="54"/>
      <c r="AT32" s="54" t="e">
        <f t="shared" si="31"/>
        <v>#DIV/0!</v>
      </c>
      <c r="AU32" s="103" t="e">
        <f t="shared" si="13"/>
        <v>#DIV/0!</v>
      </c>
      <c r="AV32" s="103"/>
      <c r="AW32" s="103"/>
      <c r="AX32" s="103"/>
      <c r="AY32" s="103"/>
      <c r="AZ32" s="82" t="e">
        <f t="shared" si="14"/>
        <v>#DIV/0!</v>
      </c>
      <c r="BA32" s="82" t="e">
        <f t="shared" si="15"/>
        <v>#DIV/0!</v>
      </c>
      <c r="BB32" s="54" t="e">
        <f t="shared" si="32"/>
        <v>#DIV/0!</v>
      </c>
      <c r="BC32" s="103" t="e">
        <f t="shared" si="16"/>
        <v>#DIV/0!</v>
      </c>
      <c r="BD32" s="81"/>
    </row>
    <row r="33" spans="1:57" s="80" customFormat="1" ht="15.75" customHeight="1" x14ac:dyDescent="0.3">
      <c r="A33" s="69" t="s">
        <v>63</v>
      </c>
      <c r="B33" s="69" t="s">
        <v>67</v>
      </c>
      <c r="C33" s="70">
        <f t="shared" si="17"/>
        <v>42951</v>
      </c>
      <c r="D33" s="72"/>
      <c r="E33" s="72"/>
      <c r="F33" s="72" t="e">
        <f t="shared" si="18"/>
        <v>#DIV/0!</v>
      </c>
      <c r="G33" s="104" t="e">
        <f t="shared" si="0"/>
        <v>#DIV/0!</v>
      </c>
      <c r="H33" s="72">
        <f t="shared" si="19"/>
        <v>0</v>
      </c>
      <c r="I33" s="72">
        <f t="shared" si="20"/>
        <v>0</v>
      </c>
      <c r="J33" s="104" t="e">
        <f t="shared" si="21"/>
        <v>#DIV/0!</v>
      </c>
      <c r="K33" s="104" t="e">
        <f t="shared" si="33"/>
        <v>#DIV/0!</v>
      </c>
      <c r="L33" s="74"/>
      <c r="M33" s="74"/>
      <c r="N33" s="104" t="e">
        <f t="shared" si="22"/>
        <v>#DIV/0!</v>
      </c>
      <c r="O33" s="104" t="e">
        <f t="shared" si="2"/>
        <v>#DIV/0!</v>
      </c>
      <c r="P33" s="74" t="e">
        <f t="shared" si="23"/>
        <v>#DIV/0!</v>
      </c>
      <c r="Q33" s="74" t="e">
        <f t="shared" si="24"/>
        <v>#DIV/0!</v>
      </c>
      <c r="R33" s="104" t="e">
        <f t="shared" si="25"/>
        <v>#DIV/0!</v>
      </c>
      <c r="S33" s="104" t="e">
        <f t="shared" si="3"/>
        <v>#DIV/0!</v>
      </c>
      <c r="T33" s="74" t="e">
        <f t="shared" si="4"/>
        <v>#DIV/0!</v>
      </c>
      <c r="U33" s="72" t="e">
        <f t="shared" si="5"/>
        <v>#DIV/0!</v>
      </c>
      <c r="V33" s="104" t="e">
        <f t="shared" si="26"/>
        <v>#DIV/0!</v>
      </c>
      <c r="W33" s="104" t="e">
        <f t="shared" si="6"/>
        <v>#DIV/0!</v>
      </c>
      <c r="X33" s="76"/>
      <c r="Y33" s="76"/>
      <c r="Z33" s="104" t="e">
        <f t="shared" si="27"/>
        <v>#DIV/0!</v>
      </c>
      <c r="AA33" s="104" t="e">
        <f t="shared" si="7"/>
        <v>#DIV/0!</v>
      </c>
      <c r="AB33" s="76"/>
      <c r="AC33" s="76"/>
      <c r="AD33" s="72" t="e">
        <f t="shared" si="28"/>
        <v>#DIV/0!</v>
      </c>
      <c r="AE33" s="104" t="e">
        <f t="shared" si="8"/>
        <v>#DIV/0!</v>
      </c>
      <c r="AF33" s="104"/>
      <c r="AG33" s="104"/>
      <c r="AH33" s="104"/>
      <c r="AI33" s="104"/>
      <c r="AJ33" s="72" t="e">
        <f t="shared" si="9"/>
        <v>#DIV/0!</v>
      </c>
      <c r="AK33" s="76" t="e">
        <f t="shared" si="10"/>
        <v>#DIV/0!</v>
      </c>
      <c r="AL33" s="104" t="e">
        <f t="shared" si="29"/>
        <v>#DIV/0!</v>
      </c>
      <c r="AM33" s="104" t="e">
        <f t="shared" si="11"/>
        <v>#DIV/0!</v>
      </c>
      <c r="AN33" s="76"/>
      <c r="AO33" s="76"/>
      <c r="AP33" s="72" t="e">
        <f t="shared" si="30"/>
        <v>#DIV/0!</v>
      </c>
      <c r="AQ33" s="104" t="e">
        <f t="shared" si="12"/>
        <v>#DIV/0!</v>
      </c>
      <c r="AR33" s="76"/>
      <c r="AS33" s="76"/>
      <c r="AT33" s="72" t="e">
        <f t="shared" si="31"/>
        <v>#DIV/0!</v>
      </c>
      <c r="AU33" s="104" t="e">
        <f t="shared" si="13"/>
        <v>#DIV/0!</v>
      </c>
      <c r="AV33" s="104"/>
      <c r="AW33" s="104"/>
      <c r="AX33" s="104"/>
      <c r="AY33" s="104"/>
      <c r="AZ33" s="83" t="e">
        <f t="shared" si="14"/>
        <v>#DIV/0!</v>
      </c>
      <c r="BA33" s="83" t="e">
        <f t="shared" si="15"/>
        <v>#DIV/0!</v>
      </c>
      <c r="BB33" s="72" t="e">
        <f t="shared" si="32"/>
        <v>#DIV/0!</v>
      </c>
      <c r="BC33" s="104" t="e">
        <f t="shared" si="16"/>
        <v>#DIV/0!</v>
      </c>
    </row>
    <row r="34" spans="1:57" ht="15.75" customHeight="1" x14ac:dyDescent="0.3">
      <c r="A34" s="49" t="s">
        <v>68</v>
      </c>
      <c r="B34" s="49" t="s">
        <v>69</v>
      </c>
      <c r="C34" s="50">
        <f t="shared" si="17"/>
        <v>42958</v>
      </c>
      <c r="D34" s="51"/>
      <c r="E34" s="51"/>
      <c r="F34" s="52" t="e">
        <f t="shared" si="18"/>
        <v>#DIV/0!</v>
      </c>
      <c r="G34" s="103" t="e">
        <f t="shared" si="0"/>
        <v>#DIV/0!</v>
      </c>
      <c r="H34" s="51">
        <f t="shared" si="19"/>
        <v>0</v>
      </c>
      <c r="I34" s="51">
        <f t="shared" si="20"/>
        <v>0</v>
      </c>
      <c r="J34" s="103" t="e">
        <f t="shared" si="21"/>
        <v>#DIV/0!</v>
      </c>
      <c r="K34" s="103" t="e">
        <f t="shared" si="33"/>
        <v>#DIV/0!</v>
      </c>
      <c r="L34" s="53"/>
      <c r="M34" s="53"/>
      <c r="N34" s="103" t="e">
        <f t="shared" si="22"/>
        <v>#DIV/0!</v>
      </c>
      <c r="O34" s="103" t="e">
        <f t="shared" si="2"/>
        <v>#DIV/0!</v>
      </c>
      <c r="P34" s="53" t="e">
        <f t="shared" si="23"/>
        <v>#DIV/0!</v>
      </c>
      <c r="Q34" s="53" t="e">
        <f t="shared" si="24"/>
        <v>#DIV/0!</v>
      </c>
      <c r="R34" s="103" t="e">
        <f t="shared" si="25"/>
        <v>#DIV/0!</v>
      </c>
      <c r="S34" s="103" t="e">
        <f t="shared" si="3"/>
        <v>#DIV/0!</v>
      </c>
      <c r="T34" s="53" t="e">
        <f t="shared" ref="T34:T54" si="34">D34/L34</f>
        <v>#DIV/0!</v>
      </c>
      <c r="U34" s="51" t="e">
        <f t="shared" ref="U34:U54" si="35">E34/M34</f>
        <v>#DIV/0!</v>
      </c>
      <c r="V34" s="103" t="e">
        <f t="shared" si="26"/>
        <v>#DIV/0!</v>
      </c>
      <c r="W34" s="103" t="e">
        <f t="shared" si="6"/>
        <v>#DIV/0!</v>
      </c>
      <c r="X34" s="54"/>
      <c r="Y34" s="54"/>
      <c r="Z34" s="103" t="e">
        <f t="shared" si="27"/>
        <v>#DIV/0!</v>
      </c>
      <c r="AA34" s="103" t="e">
        <f t="shared" si="7"/>
        <v>#DIV/0!</v>
      </c>
      <c r="AB34" s="54"/>
      <c r="AC34" s="54"/>
      <c r="AD34" s="52" t="e">
        <f t="shared" si="28"/>
        <v>#DIV/0!</v>
      </c>
      <c r="AE34" s="103" t="e">
        <f t="shared" si="8"/>
        <v>#DIV/0!</v>
      </c>
      <c r="AF34" s="103"/>
      <c r="AG34" s="103"/>
      <c r="AH34" s="103"/>
      <c r="AI34" s="103"/>
      <c r="AJ34" s="51" t="e">
        <f t="shared" ref="AJ34:AJ54" si="36">D34/AB34</f>
        <v>#DIV/0!</v>
      </c>
      <c r="AK34" s="54" t="e">
        <f t="shared" ref="AK34:AK54" si="37">E34/AC34</f>
        <v>#DIV/0!</v>
      </c>
      <c r="AL34" s="103" t="e">
        <f t="shared" si="29"/>
        <v>#DIV/0!</v>
      </c>
      <c r="AM34" s="104" t="e">
        <f t="shared" si="11"/>
        <v>#DIV/0!</v>
      </c>
      <c r="AN34" s="54"/>
      <c r="AO34" s="54"/>
      <c r="AP34" s="52" t="e">
        <f t="shared" si="30"/>
        <v>#DIV/0!</v>
      </c>
      <c r="AQ34" s="103" t="e">
        <f t="shared" si="12"/>
        <v>#DIV/0!</v>
      </c>
      <c r="AR34" s="54"/>
      <c r="AS34" s="54"/>
      <c r="AT34" s="52" t="e">
        <f t="shared" si="31"/>
        <v>#DIV/0!</v>
      </c>
      <c r="AU34" s="103" t="e">
        <f t="shared" si="13"/>
        <v>#DIV/0!</v>
      </c>
      <c r="AV34" s="103"/>
      <c r="AW34" s="103"/>
      <c r="AX34" s="103"/>
      <c r="AY34" s="103"/>
      <c r="AZ34" s="82" t="e">
        <f t="shared" ref="AZ34:BA54" si="38">AN34/AR34</f>
        <v>#DIV/0!</v>
      </c>
      <c r="BA34" s="82" t="e">
        <f t="shared" si="38"/>
        <v>#DIV/0!</v>
      </c>
      <c r="BB34" s="52" t="e">
        <f t="shared" si="32"/>
        <v>#DIV/0!</v>
      </c>
      <c r="BC34" s="103" t="e">
        <f t="shared" si="16"/>
        <v>#DIV/0!</v>
      </c>
      <c r="BD34" s="81"/>
    </row>
    <row r="35" spans="1:57" ht="15.75" customHeight="1" x14ac:dyDescent="0.3">
      <c r="A35" s="49" t="s">
        <v>68</v>
      </c>
      <c r="B35" s="49" t="s">
        <v>70</v>
      </c>
      <c r="C35" s="50">
        <f t="shared" si="17"/>
        <v>42965</v>
      </c>
      <c r="D35" s="51"/>
      <c r="E35" s="51"/>
      <c r="F35" s="52" t="e">
        <f t="shared" si="18"/>
        <v>#DIV/0!</v>
      </c>
      <c r="G35" s="103" t="e">
        <f t="shared" si="0"/>
        <v>#DIV/0!</v>
      </c>
      <c r="H35" s="51">
        <f t="shared" si="19"/>
        <v>0</v>
      </c>
      <c r="I35" s="51">
        <f t="shared" si="20"/>
        <v>0</v>
      </c>
      <c r="J35" s="103" t="e">
        <f t="shared" si="21"/>
        <v>#DIV/0!</v>
      </c>
      <c r="K35" s="103" t="e">
        <f t="shared" si="33"/>
        <v>#DIV/0!</v>
      </c>
      <c r="L35" s="53"/>
      <c r="M35" s="53"/>
      <c r="N35" s="103" t="e">
        <f t="shared" si="22"/>
        <v>#DIV/0!</v>
      </c>
      <c r="O35" s="103" t="e">
        <f t="shared" si="2"/>
        <v>#DIV/0!</v>
      </c>
      <c r="P35" s="53" t="e">
        <f t="shared" si="23"/>
        <v>#DIV/0!</v>
      </c>
      <c r="Q35" s="53" t="e">
        <f t="shared" si="24"/>
        <v>#DIV/0!</v>
      </c>
      <c r="R35" s="103" t="e">
        <f t="shared" si="25"/>
        <v>#DIV/0!</v>
      </c>
      <c r="S35" s="103" t="e">
        <f t="shared" si="3"/>
        <v>#DIV/0!</v>
      </c>
      <c r="T35" s="53" t="e">
        <f t="shared" si="34"/>
        <v>#DIV/0!</v>
      </c>
      <c r="U35" s="51" t="e">
        <f t="shared" si="35"/>
        <v>#DIV/0!</v>
      </c>
      <c r="V35" s="103" t="e">
        <f t="shared" si="26"/>
        <v>#DIV/0!</v>
      </c>
      <c r="W35" s="103" t="e">
        <f t="shared" si="6"/>
        <v>#DIV/0!</v>
      </c>
      <c r="X35" s="54"/>
      <c r="Y35" s="54"/>
      <c r="Z35" s="103" t="e">
        <f t="shared" si="27"/>
        <v>#DIV/0!</v>
      </c>
      <c r="AA35" s="103" t="e">
        <f t="shared" si="7"/>
        <v>#DIV/0!</v>
      </c>
      <c r="AB35" s="54"/>
      <c r="AC35" s="54"/>
      <c r="AD35" s="52" t="e">
        <f t="shared" si="28"/>
        <v>#DIV/0!</v>
      </c>
      <c r="AE35" s="103" t="e">
        <f t="shared" si="8"/>
        <v>#DIV/0!</v>
      </c>
      <c r="AF35" s="103"/>
      <c r="AG35" s="103"/>
      <c r="AH35" s="103"/>
      <c r="AI35" s="103"/>
      <c r="AJ35" s="51" t="e">
        <f t="shared" si="36"/>
        <v>#DIV/0!</v>
      </c>
      <c r="AK35" s="54" t="e">
        <f t="shared" si="37"/>
        <v>#DIV/0!</v>
      </c>
      <c r="AL35" s="103" t="e">
        <f t="shared" si="29"/>
        <v>#DIV/0!</v>
      </c>
      <c r="AM35" s="103" t="e">
        <f t="shared" si="11"/>
        <v>#DIV/0!</v>
      </c>
      <c r="AN35" s="54"/>
      <c r="AO35" s="54"/>
      <c r="AP35" s="52" t="e">
        <f t="shared" si="30"/>
        <v>#DIV/0!</v>
      </c>
      <c r="AQ35" s="103" t="e">
        <f t="shared" si="12"/>
        <v>#DIV/0!</v>
      </c>
      <c r="AR35" s="54"/>
      <c r="AS35" s="54"/>
      <c r="AT35" s="52" t="e">
        <f t="shared" si="31"/>
        <v>#DIV/0!</v>
      </c>
      <c r="AU35" s="103" t="e">
        <f t="shared" si="13"/>
        <v>#DIV/0!</v>
      </c>
      <c r="AV35" s="103"/>
      <c r="AW35" s="103"/>
      <c r="AX35" s="103"/>
      <c r="AY35" s="103"/>
      <c r="AZ35" s="82" t="e">
        <f t="shared" si="38"/>
        <v>#DIV/0!</v>
      </c>
      <c r="BA35" s="82" t="e">
        <f t="shared" si="38"/>
        <v>#DIV/0!</v>
      </c>
      <c r="BB35" s="52" t="e">
        <f t="shared" si="32"/>
        <v>#DIV/0!</v>
      </c>
      <c r="BC35" s="103" t="e">
        <f t="shared" si="16"/>
        <v>#DIV/0!</v>
      </c>
      <c r="BD35" s="81"/>
    </row>
    <row r="36" spans="1:57" ht="15.75" customHeight="1" x14ac:dyDescent="0.3">
      <c r="A36" s="49" t="s">
        <v>68</v>
      </c>
      <c r="B36" s="49" t="s">
        <v>71</v>
      </c>
      <c r="C36" s="50">
        <f t="shared" si="17"/>
        <v>42972</v>
      </c>
      <c r="D36" s="51"/>
      <c r="E36" s="51"/>
      <c r="F36" s="52" t="e">
        <f t="shared" si="18"/>
        <v>#DIV/0!</v>
      </c>
      <c r="G36" s="103" t="e">
        <f t="shared" si="0"/>
        <v>#DIV/0!</v>
      </c>
      <c r="H36" s="51">
        <f t="shared" si="19"/>
        <v>0</v>
      </c>
      <c r="I36" s="51">
        <f t="shared" si="20"/>
        <v>0</v>
      </c>
      <c r="J36" s="103" t="e">
        <f t="shared" si="21"/>
        <v>#DIV/0!</v>
      </c>
      <c r="K36" s="103" t="e">
        <f t="shared" si="33"/>
        <v>#DIV/0!</v>
      </c>
      <c r="L36" s="53"/>
      <c r="M36" s="53"/>
      <c r="N36" s="103" t="e">
        <f t="shared" si="22"/>
        <v>#DIV/0!</v>
      </c>
      <c r="O36" s="103" t="e">
        <f t="shared" si="2"/>
        <v>#DIV/0!</v>
      </c>
      <c r="P36" s="53" t="e">
        <f t="shared" si="23"/>
        <v>#DIV/0!</v>
      </c>
      <c r="Q36" s="53" t="e">
        <f t="shared" si="24"/>
        <v>#DIV/0!</v>
      </c>
      <c r="R36" s="103" t="e">
        <f t="shared" si="25"/>
        <v>#DIV/0!</v>
      </c>
      <c r="S36" s="103" t="e">
        <f t="shared" si="3"/>
        <v>#DIV/0!</v>
      </c>
      <c r="T36" s="53" t="e">
        <f t="shared" si="34"/>
        <v>#DIV/0!</v>
      </c>
      <c r="U36" s="51" t="e">
        <f t="shared" si="35"/>
        <v>#DIV/0!</v>
      </c>
      <c r="V36" s="103" t="e">
        <f t="shared" si="26"/>
        <v>#DIV/0!</v>
      </c>
      <c r="W36" s="103" t="e">
        <f t="shared" si="6"/>
        <v>#DIV/0!</v>
      </c>
      <c r="X36" s="54"/>
      <c r="Y36" s="54"/>
      <c r="Z36" s="103" t="e">
        <f t="shared" si="27"/>
        <v>#DIV/0!</v>
      </c>
      <c r="AA36" s="103" t="e">
        <f t="shared" si="7"/>
        <v>#DIV/0!</v>
      </c>
      <c r="AB36" s="54"/>
      <c r="AC36" s="54"/>
      <c r="AD36" s="52" t="e">
        <f t="shared" si="28"/>
        <v>#DIV/0!</v>
      </c>
      <c r="AE36" s="103" t="e">
        <f t="shared" si="8"/>
        <v>#DIV/0!</v>
      </c>
      <c r="AF36" s="103"/>
      <c r="AG36" s="103"/>
      <c r="AH36" s="103"/>
      <c r="AI36" s="103"/>
      <c r="AJ36" s="51" t="e">
        <f t="shared" si="36"/>
        <v>#DIV/0!</v>
      </c>
      <c r="AK36" s="54" t="e">
        <f t="shared" si="37"/>
        <v>#DIV/0!</v>
      </c>
      <c r="AL36" s="103" t="e">
        <f t="shared" si="29"/>
        <v>#DIV/0!</v>
      </c>
      <c r="AM36" s="103" t="e">
        <f t="shared" si="11"/>
        <v>#DIV/0!</v>
      </c>
      <c r="AN36" s="54"/>
      <c r="AO36" s="54"/>
      <c r="AP36" s="52" t="e">
        <f t="shared" si="30"/>
        <v>#DIV/0!</v>
      </c>
      <c r="AQ36" s="103" t="e">
        <f t="shared" si="12"/>
        <v>#DIV/0!</v>
      </c>
      <c r="AR36" s="54"/>
      <c r="AS36" s="54"/>
      <c r="AT36" s="52" t="e">
        <f t="shared" si="31"/>
        <v>#DIV/0!</v>
      </c>
      <c r="AU36" s="103" t="e">
        <f t="shared" si="13"/>
        <v>#DIV/0!</v>
      </c>
      <c r="AV36" s="103"/>
      <c r="AW36" s="103"/>
      <c r="AX36" s="103"/>
      <c r="AY36" s="103"/>
      <c r="AZ36" s="82" t="e">
        <f t="shared" si="38"/>
        <v>#DIV/0!</v>
      </c>
      <c r="BA36" s="82" t="e">
        <f t="shared" si="38"/>
        <v>#DIV/0!</v>
      </c>
      <c r="BB36" s="52" t="e">
        <f t="shared" si="32"/>
        <v>#DIV/0!</v>
      </c>
      <c r="BC36" s="103" t="e">
        <f t="shared" si="16"/>
        <v>#DIV/0!</v>
      </c>
      <c r="BD36" s="81"/>
    </row>
    <row r="37" spans="1:57" s="80" customFormat="1" ht="15.75" customHeight="1" x14ac:dyDescent="0.3">
      <c r="A37" s="69" t="s">
        <v>68</v>
      </c>
      <c r="B37" s="69" t="s">
        <v>72</v>
      </c>
      <c r="C37" s="70">
        <f t="shared" si="17"/>
        <v>42979</v>
      </c>
      <c r="D37" s="72"/>
      <c r="E37" s="72"/>
      <c r="F37" s="73" t="e">
        <f t="shared" si="18"/>
        <v>#DIV/0!</v>
      </c>
      <c r="G37" s="104" t="e">
        <f t="shared" si="0"/>
        <v>#DIV/0!</v>
      </c>
      <c r="H37" s="72">
        <f t="shared" si="19"/>
        <v>0</v>
      </c>
      <c r="I37" s="72">
        <f t="shared" si="20"/>
        <v>0</v>
      </c>
      <c r="J37" s="104" t="e">
        <f t="shared" si="21"/>
        <v>#DIV/0!</v>
      </c>
      <c r="K37" s="104" t="e">
        <f t="shared" si="33"/>
        <v>#DIV/0!</v>
      </c>
      <c r="L37" s="74"/>
      <c r="M37" s="74"/>
      <c r="N37" s="104" t="e">
        <f t="shared" si="22"/>
        <v>#DIV/0!</v>
      </c>
      <c r="O37" s="104" t="e">
        <f t="shared" si="2"/>
        <v>#DIV/0!</v>
      </c>
      <c r="P37" s="74" t="e">
        <f t="shared" si="23"/>
        <v>#DIV/0!</v>
      </c>
      <c r="Q37" s="74" t="e">
        <f t="shared" si="24"/>
        <v>#DIV/0!</v>
      </c>
      <c r="R37" s="104" t="e">
        <f t="shared" si="25"/>
        <v>#DIV/0!</v>
      </c>
      <c r="S37" s="104" t="e">
        <f t="shared" si="3"/>
        <v>#DIV/0!</v>
      </c>
      <c r="T37" s="74" t="e">
        <f t="shared" si="34"/>
        <v>#DIV/0!</v>
      </c>
      <c r="U37" s="72" t="e">
        <f t="shared" si="35"/>
        <v>#DIV/0!</v>
      </c>
      <c r="V37" s="104" t="e">
        <f t="shared" si="26"/>
        <v>#DIV/0!</v>
      </c>
      <c r="W37" s="104" t="e">
        <f t="shared" si="6"/>
        <v>#DIV/0!</v>
      </c>
      <c r="X37" s="76"/>
      <c r="Y37" s="76"/>
      <c r="Z37" s="104" t="e">
        <f t="shared" si="27"/>
        <v>#DIV/0!</v>
      </c>
      <c r="AA37" s="104" t="e">
        <f t="shared" si="7"/>
        <v>#DIV/0!</v>
      </c>
      <c r="AB37" s="76"/>
      <c r="AC37" s="76"/>
      <c r="AD37" s="73" t="e">
        <f t="shared" si="28"/>
        <v>#DIV/0!</v>
      </c>
      <c r="AE37" s="104" t="e">
        <f t="shared" si="8"/>
        <v>#DIV/0!</v>
      </c>
      <c r="AF37" s="104"/>
      <c r="AG37" s="104"/>
      <c r="AH37" s="104"/>
      <c r="AI37" s="104"/>
      <c r="AJ37" s="72" t="e">
        <f t="shared" si="36"/>
        <v>#DIV/0!</v>
      </c>
      <c r="AK37" s="76" t="e">
        <f t="shared" si="37"/>
        <v>#DIV/0!</v>
      </c>
      <c r="AL37" s="104" t="e">
        <f t="shared" si="29"/>
        <v>#DIV/0!</v>
      </c>
      <c r="AM37" s="104" t="e">
        <f t="shared" si="11"/>
        <v>#DIV/0!</v>
      </c>
      <c r="AN37" s="76"/>
      <c r="AO37" s="76"/>
      <c r="AP37" s="73" t="e">
        <f t="shared" si="30"/>
        <v>#DIV/0!</v>
      </c>
      <c r="AQ37" s="104" t="e">
        <f t="shared" si="12"/>
        <v>#DIV/0!</v>
      </c>
      <c r="AR37" s="76"/>
      <c r="AS37" s="76"/>
      <c r="AT37" s="73" t="e">
        <f t="shared" si="31"/>
        <v>#DIV/0!</v>
      </c>
      <c r="AU37" s="104" t="e">
        <f t="shared" si="13"/>
        <v>#DIV/0!</v>
      </c>
      <c r="AV37" s="104"/>
      <c r="AW37" s="104"/>
      <c r="AX37" s="104"/>
      <c r="AY37" s="104"/>
      <c r="AZ37" s="83" t="e">
        <f t="shared" si="38"/>
        <v>#DIV/0!</v>
      </c>
      <c r="BA37" s="83" t="e">
        <f t="shared" si="38"/>
        <v>#DIV/0!</v>
      </c>
      <c r="BB37" s="73" t="e">
        <f t="shared" si="32"/>
        <v>#DIV/0!</v>
      </c>
      <c r="BC37" s="104" t="e">
        <f t="shared" si="16"/>
        <v>#DIV/0!</v>
      </c>
    </row>
    <row r="38" spans="1:57" ht="15.75" customHeight="1" x14ac:dyDescent="0.3">
      <c r="A38" s="49" t="s">
        <v>73</v>
      </c>
      <c r="B38" s="49" t="s">
        <v>74</v>
      </c>
      <c r="C38" s="50">
        <f t="shared" si="17"/>
        <v>42986</v>
      </c>
      <c r="D38" s="51"/>
      <c r="E38" s="51"/>
      <c r="F38" s="52" t="e">
        <f t="shared" si="18"/>
        <v>#DIV/0!</v>
      </c>
      <c r="G38" s="103" t="e">
        <f t="shared" si="0"/>
        <v>#DIV/0!</v>
      </c>
      <c r="H38" s="51">
        <f t="shared" si="19"/>
        <v>0</v>
      </c>
      <c r="I38" s="51">
        <f t="shared" si="20"/>
        <v>0</v>
      </c>
      <c r="J38" s="103" t="e">
        <f t="shared" si="21"/>
        <v>#DIV/0!</v>
      </c>
      <c r="K38" s="103" t="e">
        <f t="shared" si="33"/>
        <v>#DIV/0!</v>
      </c>
      <c r="L38" s="53"/>
      <c r="M38" s="53"/>
      <c r="N38" s="103" t="e">
        <f t="shared" si="22"/>
        <v>#DIV/0!</v>
      </c>
      <c r="O38" s="103" t="e">
        <f t="shared" si="2"/>
        <v>#DIV/0!</v>
      </c>
      <c r="P38" s="53" t="e">
        <f t="shared" si="23"/>
        <v>#DIV/0!</v>
      </c>
      <c r="Q38" s="53" t="e">
        <f t="shared" si="24"/>
        <v>#DIV/0!</v>
      </c>
      <c r="R38" s="103" t="e">
        <f t="shared" si="25"/>
        <v>#DIV/0!</v>
      </c>
      <c r="S38" s="103" t="e">
        <f t="shared" si="3"/>
        <v>#DIV/0!</v>
      </c>
      <c r="T38" s="53" t="e">
        <f t="shared" si="34"/>
        <v>#DIV/0!</v>
      </c>
      <c r="U38" s="51" t="e">
        <f t="shared" si="35"/>
        <v>#DIV/0!</v>
      </c>
      <c r="V38" s="103" t="e">
        <f t="shared" si="26"/>
        <v>#DIV/0!</v>
      </c>
      <c r="W38" s="103" t="e">
        <f t="shared" si="6"/>
        <v>#DIV/0!</v>
      </c>
      <c r="X38" s="54"/>
      <c r="Y38" s="54"/>
      <c r="Z38" s="103" t="e">
        <f t="shared" si="27"/>
        <v>#DIV/0!</v>
      </c>
      <c r="AA38" s="103" t="e">
        <f t="shared" si="7"/>
        <v>#DIV/0!</v>
      </c>
      <c r="AB38" s="54"/>
      <c r="AC38" s="54"/>
      <c r="AD38" s="52" t="e">
        <f t="shared" si="28"/>
        <v>#DIV/0!</v>
      </c>
      <c r="AE38" s="103" t="e">
        <f t="shared" si="8"/>
        <v>#DIV/0!</v>
      </c>
      <c r="AF38" s="103"/>
      <c r="AG38" s="103"/>
      <c r="AH38" s="103"/>
      <c r="AI38" s="103"/>
      <c r="AJ38" s="51" t="e">
        <f t="shared" si="36"/>
        <v>#DIV/0!</v>
      </c>
      <c r="AK38" s="54" t="e">
        <f t="shared" si="37"/>
        <v>#DIV/0!</v>
      </c>
      <c r="AL38" s="103" t="e">
        <f t="shared" si="29"/>
        <v>#DIV/0!</v>
      </c>
      <c r="AM38" s="103" t="e">
        <f t="shared" si="11"/>
        <v>#DIV/0!</v>
      </c>
      <c r="AN38" s="54"/>
      <c r="AO38" s="54"/>
      <c r="AP38" s="52" t="e">
        <f t="shared" si="30"/>
        <v>#DIV/0!</v>
      </c>
      <c r="AQ38" s="103" t="e">
        <f t="shared" si="12"/>
        <v>#DIV/0!</v>
      </c>
      <c r="AR38" s="54"/>
      <c r="AS38" s="54"/>
      <c r="AT38" s="52" t="e">
        <f t="shared" si="31"/>
        <v>#DIV/0!</v>
      </c>
      <c r="AU38" s="103" t="e">
        <f t="shared" si="13"/>
        <v>#DIV/0!</v>
      </c>
      <c r="AV38" s="103"/>
      <c r="AW38" s="103"/>
      <c r="AX38" s="103"/>
      <c r="AY38" s="103"/>
      <c r="AZ38" s="82" t="e">
        <f t="shared" si="38"/>
        <v>#DIV/0!</v>
      </c>
      <c r="BA38" s="82" t="e">
        <f t="shared" si="38"/>
        <v>#DIV/0!</v>
      </c>
      <c r="BB38" s="52" t="e">
        <f t="shared" si="32"/>
        <v>#DIV/0!</v>
      </c>
      <c r="BC38" s="103" t="e">
        <f t="shared" si="16"/>
        <v>#DIV/0!</v>
      </c>
      <c r="BD38" s="81"/>
    </row>
    <row r="39" spans="1:57" ht="15.75" customHeight="1" x14ac:dyDescent="0.3">
      <c r="A39" s="49" t="s">
        <v>73</v>
      </c>
      <c r="B39" s="49" t="s">
        <v>75</v>
      </c>
      <c r="C39" s="50">
        <f t="shared" si="17"/>
        <v>42993</v>
      </c>
      <c r="D39" s="51"/>
      <c r="E39" s="51"/>
      <c r="F39" s="52" t="e">
        <f t="shared" si="18"/>
        <v>#DIV/0!</v>
      </c>
      <c r="G39" s="103" t="e">
        <f t="shared" si="0"/>
        <v>#DIV/0!</v>
      </c>
      <c r="H39" s="51">
        <f t="shared" si="19"/>
        <v>0</v>
      </c>
      <c r="I39" s="51">
        <f t="shared" si="20"/>
        <v>0</v>
      </c>
      <c r="J39" s="103" t="e">
        <f t="shared" si="21"/>
        <v>#DIV/0!</v>
      </c>
      <c r="K39" s="103" t="e">
        <f t="shared" si="33"/>
        <v>#DIV/0!</v>
      </c>
      <c r="L39" s="53"/>
      <c r="M39" s="53"/>
      <c r="N39" s="103" t="e">
        <f t="shared" si="22"/>
        <v>#DIV/0!</v>
      </c>
      <c r="O39" s="103" t="e">
        <f t="shared" si="2"/>
        <v>#DIV/0!</v>
      </c>
      <c r="P39" s="53" t="e">
        <f t="shared" si="23"/>
        <v>#DIV/0!</v>
      </c>
      <c r="Q39" s="53" t="e">
        <f t="shared" si="24"/>
        <v>#DIV/0!</v>
      </c>
      <c r="R39" s="103" t="e">
        <f t="shared" si="25"/>
        <v>#DIV/0!</v>
      </c>
      <c r="S39" s="103" t="e">
        <f t="shared" si="3"/>
        <v>#DIV/0!</v>
      </c>
      <c r="T39" s="53" t="e">
        <f t="shared" si="34"/>
        <v>#DIV/0!</v>
      </c>
      <c r="U39" s="51" t="e">
        <f t="shared" si="35"/>
        <v>#DIV/0!</v>
      </c>
      <c r="V39" s="103" t="e">
        <f t="shared" si="26"/>
        <v>#DIV/0!</v>
      </c>
      <c r="W39" s="103" t="e">
        <f t="shared" si="6"/>
        <v>#DIV/0!</v>
      </c>
      <c r="X39" s="54"/>
      <c r="Y39" s="54"/>
      <c r="Z39" s="103" t="e">
        <f t="shared" si="27"/>
        <v>#DIV/0!</v>
      </c>
      <c r="AA39" s="103" t="e">
        <f t="shared" si="7"/>
        <v>#DIV/0!</v>
      </c>
      <c r="AB39" s="54"/>
      <c r="AC39" s="54"/>
      <c r="AD39" s="52" t="e">
        <f t="shared" si="28"/>
        <v>#DIV/0!</v>
      </c>
      <c r="AE39" s="103" t="e">
        <f t="shared" si="8"/>
        <v>#DIV/0!</v>
      </c>
      <c r="AF39" s="103"/>
      <c r="AG39" s="103"/>
      <c r="AH39" s="103"/>
      <c r="AI39" s="103"/>
      <c r="AJ39" s="51" t="e">
        <f t="shared" si="36"/>
        <v>#DIV/0!</v>
      </c>
      <c r="AK39" s="54" t="e">
        <f t="shared" si="37"/>
        <v>#DIV/0!</v>
      </c>
      <c r="AL39" s="103" t="e">
        <f t="shared" si="29"/>
        <v>#DIV/0!</v>
      </c>
      <c r="AM39" s="103" t="e">
        <f t="shared" si="11"/>
        <v>#DIV/0!</v>
      </c>
      <c r="AN39" s="54"/>
      <c r="AO39" s="54"/>
      <c r="AP39" s="52" t="e">
        <f t="shared" si="30"/>
        <v>#DIV/0!</v>
      </c>
      <c r="AQ39" s="103" t="e">
        <f t="shared" si="12"/>
        <v>#DIV/0!</v>
      </c>
      <c r="AR39" s="54"/>
      <c r="AS39" s="54"/>
      <c r="AT39" s="52" t="e">
        <f t="shared" si="31"/>
        <v>#DIV/0!</v>
      </c>
      <c r="AU39" s="103" t="e">
        <f t="shared" si="13"/>
        <v>#DIV/0!</v>
      </c>
      <c r="AV39" s="103"/>
      <c r="AW39" s="103"/>
      <c r="AX39" s="103"/>
      <c r="AY39" s="103"/>
      <c r="AZ39" s="82" t="e">
        <f t="shared" si="38"/>
        <v>#DIV/0!</v>
      </c>
      <c r="BA39" s="82" t="e">
        <f t="shared" si="38"/>
        <v>#DIV/0!</v>
      </c>
      <c r="BB39" s="52" t="e">
        <f t="shared" si="32"/>
        <v>#DIV/0!</v>
      </c>
      <c r="BC39" s="103" t="e">
        <f t="shared" si="16"/>
        <v>#DIV/0!</v>
      </c>
      <c r="BD39" s="81"/>
    </row>
    <row r="40" spans="1:57" ht="15.75" customHeight="1" x14ac:dyDescent="0.3">
      <c r="A40" s="49" t="s">
        <v>73</v>
      </c>
      <c r="B40" s="49" t="s">
        <v>76</v>
      </c>
      <c r="C40" s="50">
        <f t="shared" si="17"/>
        <v>43000</v>
      </c>
      <c r="D40" s="51"/>
      <c r="E40" s="51"/>
      <c r="F40" s="52" t="e">
        <f t="shared" si="18"/>
        <v>#DIV/0!</v>
      </c>
      <c r="G40" s="103" t="e">
        <f t="shared" si="0"/>
        <v>#DIV/0!</v>
      </c>
      <c r="H40" s="51">
        <f t="shared" si="19"/>
        <v>0</v>
      </c>
      <c r="I40" s="51">
        <f t="shared" si="20"/>
        <v>0</v>
      </c>
      <c r="J40" s="103" t="e">
        <f t="shared" si="21"/>
        <v>#DIV/0!</v>
      </c>
      <c r="K40" s="103" t="e">
        <f t="shared" si="33"/>
        <v>#DIV/0!</v>
      </c>
      <c r="L40" s="53"/>
      <c r="M40" s="53"/>
      <c r="N40" s="103" t="e">
        <f t="shared" si="22"/>
        <v>#DIV/0!</v>
      </c>
      <c r="O40" s="103" t="e">
        <f t="shared" si="2"/>
        <v>#DIV/0!</v>
      </c>
      <c r="P40" s="53" t="e">
        <f t="shared" si="23"/>
        <v>#DIV/0!</v>
      </c>
      <c r="Q40" s="53" t="e">
        <f t="shared" si="24"/>
        <v>#DIV/0!</v>
      </c>
      <c r="R40" s="103" t="e">
        <f t="shared" si="25"/>
        <v>#DIV/0!</v>
      </c>
      <c r="S40" s="103" t="e">
        <f t="shared" si="3"/>
        <v>#DIV/0!</v>
      </c>
      <c r="T40" s="53" t="e">
        <f t="shared" si="34"/>
        <v>#DIV/0!</v>
      </c>
      <c r="U40" s="51" t="e">
        <f t="shared" si="35"/>
        <v>#DIV/0!</v>
      </c>
      <c r="V40" s="103" t="e">
        <f t="shared" si="26"/>
        <v>#DIV/0!</v>
      </c>
      <c r="W40" s="103" t="e">
        <f t="shared" si="6"/>
        <v>#DIV/0!</v>
      </c>
      <c r="X40" s="54"/>
      <c r="Y40" s="54"/>
      <c r="Z40" s="103" t="e">
        <f t="shared" si="27"/>
        <v>#DIV/0!</v>
      </c>
      <c r="AA40" s="103" t="e">
        <f t="shared" si="7"/>
        <v>#DIV/0!</v>
      </c>
      <c r="AB40" s="54"/>
      <c r="AC40" s="54"/>
      <c r="AD40" s="52" t="e">
        <f t="shared" si="28"/>
        <v>#DIV/0!</v>
      </c>
      <c r="AE40" s="103" t="e">
        <f t="shared" si="8"/>
        <v>#DIV/0!</v>
      </c>
      <c r="AF40" s="103"/>
      <c r="AG40" s="103"/>
      <c r="AH40" s="103"/>
      <c r="AI40" s="103"/>
      <c r="AJ40" s="51" t="e">
        <f t="shared" si="36"/>
        <v>#DIV/0!</v>
      </c>
      <c r="AK40" s="54" t="e">
        <f t="shared" si="37"/>
        <v>#DIV/0!</v>
      </c>
      <c r="AL40" s="103" t="e">
        <f t="shared" si="29"/>
        <v>#DIV/0!</v>
      </c>
      <c r="AM40" s="103" t="e">
        <f t="shared" si="11"/>
        <v>#DIV/0!</v>
      </c>
      <c r="AN40" s="54"/>
      <c r="AO40" s="54"/>
      <c r="AP40" s="52" t="e">
        <f t="shared" si="30"/>
        <v>#DIV/0!</v>
      </c>
      <c r="AQ40" s="103" t="e">
        <f t="shared" si="12"/>
        <v>#DIV/0!</v>
      </c>
      <c r="AR40" s="54"/>
      <c r="AS40" s="54"/>
      <c r="AT40" s="52" t="e">
        <f t="shared" si="31"/>
        <v>#DIV/0!</v>
      </c>
      <c r="AU40" s="103" t="e">
        <f t="shared" si="13"/>
        <v>#DIV/0!</v>
      </c>
      <c r="AV40" s="103"/>
      <c r="AW40" s="103"/>
      <c r="AX40" s="103"/>
      <c r="AY40" s="103"/>
      <c r="AZ40" s="82" t="e">
        <f t="shared" si="38"/>
        <v>#DIV/0!</v>
      </c>
      <c r="BA40" s="82" t="e">
        <f t="shared" si="38"/>
        <v>#DIV/0!</v>
      </c>
      <c r="BB40" s="52" t="e">
        <f t="shared" si="32"/>
        <v>#DIV/0!</v>
      </c>
      <c r="BC40" s="103" t="e">
        <f t="shared" si="16"/>
        <v>#DIV/0!</v>
      </c>
      <c r="BD40" s="81"/>
    </row>
    <row r="41" spans="1:57" s="80" customFormat="1" ht="15.75" customHeight="1" x14ac:dyDescent="0.3">
      <c r="A41" s="69" t="s">
        <v>73</v>
      </c>
      <c r="B41" s="69" t="s">
        <v>77</v>
      </c>
      <c r="C41" s="70">
        <f t="shared" si="17"/>
        <v>43007</v>
      </c>
      <c r="D41" s="72"/>
      <c r="E41" s="72"/>
      <c r="F41" s="73" t="e">
        <f t="shared" si="18"/>
        <v>#DIV/0!</v>
      </c>
      <c r="G41" s="104" t="e">
        <f t="shared" si="0"/>
        <v>#DIV/0!</v>
      </c>
      <c r="H41" s="72">
        <f t="shared" si="19"/>
        <v>0</v>
      </c>
      <c r="I41" s="72">
        <f t="shared" si="20"/>
        <v>0</v>
      </c>
      <c r="J41" s="104" t="e">
        <f t="shared" si="21"/>
        <v>#DIV/0!</v>
      </c>
      <c r="K41" s="104" t="e">
        <f t="shared" si="33"/>
        <v>#DIV/0!</v>
      </c>
      <c r="L41" s="72"/>
      <c r="M41" s="72"/>
      <c r="N41" s="104" t="e">
        <f t="shared" si="22"/>
        <v>#DIV/0!</v>
      </c>
      <c r="O41" s="104" t="e">
        <f t="shared" si="2"/>
        <v>#DIV/0!</v>
      </c>
      <c r="P41" s="74" t="e">
        <f t="shared" si="23"/>
        <v>#DIV/0!</v>
      </c>
      <c r="Q41" s="74" t="e">
        <f t="shared" si="24"/>
        <v>#DIV/0!</v>
      </c>
      <c r="R41" s="104" t="e">
        <f t="shared" si="25"/>
        <v>#DIV/0!</v>
      </c>
      <c r="S41" s="104" t="e">
        <f t="shared" si="3"/>
        <v>#DIV/0!</v>
      </c>
      <c r="T41" s="74" t="e">
        <f t="shared" si="34"/>
        <v>#DIV/0!</v>
      </c>
      <c r="U41" s="72" t="e">
        <f t="shared" si="35"/>
        <v>#DIV/0!</v>
      </c>
      <c r="V41" s="104" t="e">
        <f t="shared" si="26"/>
        <v>#DIV/0!</v>
      </c>
      <c r="W41" s="104" t="e">
        <f t="shared" si="6"/>
        <v>#DIV/0!</v>
      </c>
      <c r="X41" s="76"/>
      <c r="Y41" s="76"/>
      <c r="Z41" s="104" t="e">
        <f t="shared" si="27"/>
        <v>#DIV/0!</v>
      </c>
      <c r="AA41" s="104" t="e">
        <f t="shared" si="7"/>
        <v>#DIV/0!</v>
      </c>
      <c r="AB41" s="76"/>
      <c r="AC41" s="76"/>
      <c r="AD41" s="73" t="e">
        <f t="shared" si="28"/>
        <v>#DIV/0!</v>
      </c>
      <c r="AE41" s="104" t="e">
        <f t="shared" si="8"/>
        <v>#DIV/0!</v>
      </c>
      <c r="AF41" s="104"/>
      <c r="AG41" s="104"/>
      <c r="AH41" s="104"/>
      <c r="AI41" s="104"/>
      <c r="AJ41" s="72" t="e">
        <f t="shared" si="36"/>
        <v>#DIV/0!</v>
      </c>
      <c r="AK41" s="76" t="e">
        <f t="shared" si="37"/>
        <v>#DIV/0!</v>
      </c>
      <c r="AL41" s="104" t="e">
        <f t="shared" si="29"/>
        <v>#DIV/0!</v>
      </c>
      <c r="AM41" s="104" t="e">
        <f t="shared" si="11"/>
        <v>#DIV/0!</v>
      </c>
      <c r="AN41" s="76"/>
      <c r="AO41" s="76"/>
      <c r="AP41" s="73" t="e">
        <f t="shared" si="30"/>
        <v>#DIV/0!</v>
      </c>
      <c r="AQ41" s="104" t="e">
        <f t="shared" si="12"/>
        <v>#DIV/0!</v>
      </c>
      <c r="AR41" s="76"/>
      <c r="AS41" s="76"/>
      <c r="AT41" s="73" t="e">
        <f t="shared" si="31"/>
        <v>#DIV/0!</v>
      </c>
      <c r="AU41" s="104" t="e">
        <f t="shared" si="13"/>
        <v>#DIV/0!</v>
      </c>
      <c r="AV41" s="104"/>
      <c r="AW41" s="104"/>
      <c r="AX41" s="104"/>
      <c r="AY41" s="104"/>
      <c r="AZ41" s="83" t="e">
        <f t="shared" si="38"/>
        <v>#DIV/0!</v>
      </c>
      <c r="BA41" s="83" t="e">
        <f t="shared" si="38"/>
        <v>#DIV/0!</v>
      </c>
      <c r="BB41" s="73" t="e">
        <f t="shared" si="32"/>
        <v>#DIV/0!</v>
      </c>
      <c r="BC41" s="104" t="e">
        <f t="shared" si="16"/>
        <v>#DIV/0!</v>
      </c>
    </row>
    <row r="42" spans="1:57" ht="15.75" customHeight="1" x14ac:dyDescent="0.3">
      <c r="A42" s="49" t="s">
        <v>78</v>
      </c>
      <c r="B42" s="49" t="s">
        <v>79</v>
      </c>
      <c r="C42" s="50">
        <f t="shared" si="17"/>
        <v>43014</v>
      </c>
      <c r="D42" s="51">
        <v>0</v>
      </c>
      <c r="E42" s="51"/>
      <c r="F42" s="52" t="e">
        <f t="shared" si="18"/>
        <v>#DIV/0!</v>
      </c>
      <c r="G42" s="103" t="e">
        <f t="shared" si="0"/>
        <v>#DIV/0!</v>
      </c>
      <c r="H42" s="51">
        <f t="shared" si="19"/>
        <v>250.99305000000001</v>
      </c>
      <c r="I42" s="51">
        <f t="shared" si="20"/>
        <v>0</v>
      </c>
      <c r="J42" s="103" t="e">
        <f t="shared" si="21"/>
        <v>#DIV/0!</v>
      </c>
      <c r="K42" s="103" t="e">
        <f t="shared" si="33"/>
        <v>#DIV/0!</v>
      </c>
      <c r="L42" s="51">
        <v>231.33</v>
      </c>
      <c r="M42" s="51"/>
      <c r="N42" s="103" t="e">
        <f t="shared" si="22"/>
        <v>#DIV/0!</v>
      </c>
      <c r="O42" s="103" t="e">
        <f t="shared" si="2"/>
        <v>#DIV/0!</v>
      </c>
      <c r="P42" s="53">
        <f t="shared" si="23"/>
        <v>0</v>
      </c>
      <c r="Q42" s="53" t="e">
        <f t="shared" si="24"/>
        <v>#DIV/0!</v>
      </c>
      <c r="R42" s="103" t="e">
        <f t="shared" si="25"/>
        <v>#DIV/0!</v>
      </c>
      <c r="S42" s="103" t="e">
        <f t="shared" si="3"/>
        <v>#DIV/0!</v>
      </c>
      <c r="T42" s="53">
        <f t="shared" si="34"/>
        <v>0</v>
      </c>
      <c r="U42" s="51" t="e">
        <f t="shared" si="35"/>
        <v>#DIV/0!</v>
      </c>
      <c r="V42" s="103" t="e">
        <f t="shared" si="26"/>
        <v>#DIV/0!</v>
      </c>
      <c r="W42" s="103" t="e">
        <f t="shared" si="6"/>
        <v>#DIV/0!</v>
      </c>
      <c r="X42" s="54">
        <v>291</v>
      </c>
      <c r="Y42" s="54"/>
      <c r="Z42" s="103" t="e">
        <f t="shared" si="27"/>
        <v>#DIV/0!</v>
      </c>
      <c r="AA42" s="103" t="e">
        <f t="shared" si="7"/>
        <v>#DIV/0!</v>
      </c>
      <c r="AB42" s="54">
        <v>0</v>
      </c>
      <c r="AC42" s="54"/>
      <c r="AD42" s="52" t="e">
        <f t="shared" si="28"/>
        <v>#DIV/0!</v>
      </c>
      <c r="AE42" s="103" t="e">
        <f t="shared" si="8"/>
        <v>#DIV/0!</v>
      </c>
      <c r="AF42" s="82">
        <f>AB42/X42</f>
        <v>0</v>
      </c>
      <c r="AG42" s="103"/>
      <c r="AH42" s="103"/>
      <c r="AI42" s="103"/>
      <c r="AJ42" s="51" t="e">
        <f t="shared" si="36"/>
        <v>#DIV/0!</v>
      </c>
      <c r="AK42" s="54" t="e">
        <f t="shared" si="37"/>
        <v>#DIV/0!</v>
      </c>
      <c r="AL42" s="103" t="e">
        <f t="shared" si="29"/>
        <v>#DIV/0!</v>
      </c>
      <c r="AM42" s="103" t="e">
        <f t="shared" si="11"/>
        <v>#DIV/0!</v>
      </c>
      <c r="AN42" s="54">
        <v>297</v>
      </c>
      <c r="AO42" s="54"/>
      <c r="AP42" s="52" t="e">
        <f t="shared" si="30"/>
        <v>#DIV/0!</v>
      </c>
      <c r="AQ42" s="103" t="e">
        <f t="shared" si="12"/>
        <v>#DIV/0!</v>
      </c>
      <c r="AR42" s="54">
        <v>9582</v>
      </c>
      <c r="AS42" s="54"/>
      <c r="AT42" s="52" t="e">
        <f t="shared" si="31"/>
        <v>#DIV/0!</v>
      </c>
      <c r="AU42" s="103" t="e">
        <f t="shared" si="13"/>
        <v>#DIV/0!</v>
      </c>
      <c r="AV42" s="450">
        <f>L42/AN42</f>
        <v>0.77888888888888896</v>
      </c>
      <c r="AW42" s="103"/>
      <c r="AX42" s="82" t="e">
        <f>(AV42-AV41)/AV41</f>
        <v>#DIV/0!</v>
      </c>
      <c r="AY42" s="82" t="e">
        <f>(AV42-AW42)/AW42</f>
        <v>#DIV/0!</v>
      </c>
      <c r="AZ42" s="82">
        <f t="shared" si="38"/>
        <v>3.0995616781465247E-2</v>
      </c>
      <c r="BA42" s="82" t="e">
        <f t="shared" si="38"/>
        <v>#DIV/0!</v>
      </c>
      <c r="BB42" s="52" t="e">
        <f t="shared" si="32"/>
        <v>#DIV/0!</v>
      </c>
      <c r="BC42" s="103" t="e">
        <f t="shared" si="16"/>
        <v>#DIV/0!</v>
      </c>
      <c r="BD42" s="81"/>
    </row>
    <row r="43" spans="1:57" ht="15.75" customHeight="1" x14ac:dyDescent="0.3">
      <c r="A43" s="49" t="s">
        <v>78</v>
      </c>
      <c r="B43" s="49" t="s">
        <v>80</v>
      </c>
      <c r="C43" s="50">
        <f t="shared" si="17"/>
        <v>43021</v>
      </c>
      <c r="D43" s="51">
        <v>152</v>
      </c>
      <c r="E43" s="51"/>
      <c r="F43" s="52" t="e">
        <f t="shared" si="18"/>
        <v>#DIV/0!</v>
      </c>
      <c r="G43" s="103" t="e">
        <f t="shared" si="0"/>
        <v>#DIV/0!</v>
      </c>
      <c r="H43" s="51">
        <f t="shared" si="19"/>
        <v>1519.3688999999999</v>
      </c>
      <c r="I43" s="51">
        <f t="shared" si="20"/>
        <v>0</v>
      </c>
      <c r="J43" s="103">
        <f t="shared" si="21"/>
        <v>5.0534301646997788</v>
      </c>
      <c r="K43" s="103" t="e">
        <f t="shared" si="33"/>
        <v>#DIV/0!</v>
      </c>
      <c r="L43" s="51">
        <v>1400.34</v>
      </c>
      <c r="M43" s="51"/>
      <c r="N43" s="103">
        <f t="shared" si="22"/>
        <v>5.0534301646997788</v>
      </c>
      <c r="O43" s="103" t="e">
        <f t="shared" si="2"/>
        <v>#DIV/0!</v>
      </c>
      <c r="P43" s="53">
        <f t="shared" si="23"/>
        <v>0.10004153698288809</v>
      </c>
      <c r="Q43" s="53" t="e">
        <f t="shared" si="24"/>
        <v>#DIV/0!</v>
      </c>
      <c r="R43" s="103" t="e">
        <f t="shared" si="25"/>
        <v>#DIV/0!</v>
      </c>
      <c r="S43" s="103" t="e">
        <f t="shared" si="3"/>
        <v>#DIV/0!</v>
      </c>
      <c r="T43" s="53">
        <f t="shared" si="34"/>
        <v>0.10854506762643358</v>
      </c>
      <c r="U43" s="51" t="e">
        <f t="shared" si="35"/>
        <v>#DIV/0!</v>
      </c>
      <c r="V43" s="103" t="e">
        <f t="shared" si="26"/>
        <v>#DIV/0!</v>
      </c>
      <c r="W43" s="103" t="e">
        <f t="shared" si="6"/>
        <v>#DIV/0!</v>
      </c>
      <c r="X43" s="54">
        <v>890</v>
      </c>
      <c r="Y43" s="54"/>
      <c r="Z43" s="103">
        <f t="shared" si="27"/>
        <v>2.0584192439862541</v>
      </c>
      <c r="AA43" s="103" t="e">
        <f t="shared" si="7"/>
        <v>#DIV/0!</v>
      </c>
      <c r="AB43" s="54">
        <v>3</v>
      </c>
      <c r="AC43" s="54"/>
      <c r="AD43" s="52" t="e">
        <f t="shared" si="28"/>
        <v>#DIV/0!</v>
      </c>
      <c r="AE43" s="103" t="e">
        <f t="shared" si="8"/>
        <v>#DIV/0!</v>
      </c>
      <c r="AF43" s="82">
        <f t="shared" ref="AF43:AF47" si="39">AB43/X43</f>
        <v>3.3707865168539327E-3</v>
      </c>
      <c r="AG43" s="103"/>
      <c r="AH43" s="82" t="e">
        <f>(AF43-AF42)/AF42</f>
        <v>#DIV/0!</v>
      </c>
      <c r="AI43" s="82" t="e">
        <f>(AF43-AG43)/AG43</f>
        <v>#DIV/0!</v>
      </c>
      <c r="AJ43" s="51">
        <f t="shared" si="36"/>
        <v>50.666666666666664</v>
      </c>
      <c r="AK43" s="54" t="e">
        <f t="shared" si="37"/>
        <v>#DIV/0!</v>
      </c>
      <c r="AL43" s="103" t="e">
        <f t="shared" si="29"/>
        <v>#DIV/0!</v>
      </c>
      <c r="AM43" s="103" t="e">
        <f t="shared" si="11"/>
        <v>#DIV/0!</v>
      </c>
      <c r="AN43" s="54">
        <v>1148</v>
      </c>
      <c r="AO43" s="54"/>
      <c r="AP43" s="52">
        <f t="shared" si="30"/>
        <v>2.8653198653198655</v>
      </c>
      <c r="AQ43" s="103" t="e">
        <f t="shared" si="12"/>
        <v>#DIV/0!</v>
      </c>
      <c r="AR43" s="54">
        <v>48638</v>
      </c>
      <c r="AS43" s="54"/>
      <c r="AT43" s="52">
        <f t="shared" si="31"/>
        <v>4.0759757879357128</v>
      </c>
      <c r="AU43" s="103" t="e">
        <f t="shared" si="13"/>
        <v>#DIV/0!</v>
      </c>
      <c r="AV43" s="450">
        <f t="shared" ref="AV43:AV46" si="40">L43/AN43</f>
        <v>1.2198083623693379</v>
      </c>
      <c r="AW43" s="103"/>
      <c r="AX43" s="82">
        <f>(AV43-AV42)/AV42</f>
        <v>0.56608776909044789</v>
      </c>
      <c r="AY43" s="82" t="e">
        <f>(AV43-AW43)/AW43</f>
        <v>#DIV/0!</v>
      </c>
      <c r="AZ43" s="82">
        <f t="shared" si="38"/>
        <v>2.3602944200008222E-2</v>
      </c>
      <c r="BA43" s="82" t="e">
        <f t="shared" si="38"/>
        <v>#DIV/0!</v>
      </c>
      <c r="BB43" s="52">
        <f t="shared" si="32"/>
        <v>-0.23850703257751249</v>
      </c>
      <c r="BC43" s="103" t="e">
        <f t="shared" si="16"/>
        <v>#DIV/0!</v>
      </c>
      <c r="BD43" s="68"/>
    </row>
    <row r="44" spans="1:57" ht="15.75" customHeight="1" x14ac:dyDescent="0.3">
      <c r="A44" s="49" t="s">
        <v>78</v>
      </c>
      <c r="B44" s="49" t="s">
        <v>81</v>
      </c>
      <c r="C44" s="50">
        <f t="shared" si="17"/>
        <v>43028</v>
      </c>
      <c r="D44" s="51">
        <v>786</v>
      </c>
      <c r="E44" s="51"/>
      <c r="F44" s="52">
        <f t="shared" si="18"/>
        <v>4.1710526315789478</v>
      </c>
      <c r="G44" s="103" t="e">
        <f t="shared" si="0"/>
        <v>#DIV/0!</v>
      </c>
      <c r="H44" s="51">
        <f t="shared" si="19"/>
        <v>1625.33</v>
      </c>
      <c r="I44" s="51">
        <f t="shared" si="20"/>
        <v>0</v>
      </c>
      <c r="J44" s="103">
        <f t="shared" si="21"/>
        <v>6.9740205949983564E-2</v>
      </c>
      <c r="K44" s="103" t="e">
        <f t="shared" si="33"/>
        <v>#DIV/0!</v>
      </c>
      <c r="L44" s="51">
        <v>1498</v>
      </c>
      <c r="M44" s="51"/>
      <c r="N44" s="103">
        <f t="shared" si="22"/>
        <v>6.9740205949983633E-2</v>
      </c>
      <c r="O44" s="103" t="e">
        <f t="shared" si="2"/>
        <v>#DIV/0!</v>
      </c>
      <c r="P44" s="53">
        <f t="shared" si="23"/>
        <v>0.48359410089028076</v>
      </c>
      <c r="Q44" s="53" t="e">
        <f t="shared" si="24"/>
        <v>#DIV/0!</v>
      </c>
      <c r="R44" s="103">
        <f t="shared" si="25"/>
        <v>3.8339331389220717</v>
      </c>
      <c r="S44" s="103" t="e">
        <f t="shared" si="3"/>
        <v>#DIV/0!</v>
      </c>
      <c r="T44" s="53">
        <f t="shared" si="34"/>
        <v>0.52469959946595457</v>
      </c>
      <c r="U44" s="51" t="e">
        <f t="shared" si="35"/>
        <v>#DIV/0!</v>
      </c>
      <c r="V44" s="103">
        <f t="shared" si="26"/>
        <v>3.8339331389220712</v>
      </c>
      <c r="W44" s="103" t="e">
        <f t="shared" si="6"/>
        <v>#DIV/0!</v>
      </c>
      <c r="X44" s="54">
        <v>1301</v>
      </c>
      <c r="Y44" s="54"/>
      <c r="Z44" s="103">
        <f t="shared" si="27"/>
        <v>0.46179775280898877</v>
      </c>
      <c r="AA44" s="103" t="e">
        <f t="shared" si="7"/>
        <v>#DIV/0!</v>
      </c>
      <c r="AB44" s="54">
        <v>8</v>
      </c>
      <c r="AC44" s="54"/>
      <c r="AD44" s="52">
        <f t="shared" si="28"/>
        <v>1.6666666666666667</v>
      </c>
      <c r="AE44" s="103" t="e">
        <f t="shared" si="8"/>
        <v>#DIV/0!</v>
      </c>
      <c r="AF44" s="82">
        <f t="shared" si="39"/>
        <v>6.1491160645657187E-3</v>
      </c>
      <c r="AG44" s="103"/>
      <c r="AH44" s="82">
        <f t="shared" ref="AH44:AH47" si="41">(AF44-AF43)/AF43</f>
        <v>0.82423776582116315</v>
      </c>
      <c r="AI44" s="82" t="e">
        <f t="shared" ref="AI44:AI49" si="42">(AF44-AG44)/AG44</f>
        <v>#DIV/0!</v>
      </c>
      <c r="AJ44" s="51">
        <f t="shared" si="36"/>
        <v>98.25</v>
      </c>
      <c r="AK44" s="54" t="e">
        <f t="shared" si="37"/>
        <v>#DIV/0!</v>
      </c>
      <c r="AL44" s="103">
        <f t="shared" si="29"/>
        <v>0.93914473684210531</v>
      </c>
      <c r="AM44" s="103" t="e">
        <f t="shared" si="11"/>
        <v>#DIV/0!</v>
      </c>
      <c r="AN44" s="54">
        <v>1654</v>
      </c>
      <c r="AO44" s="54"/>
      <c r="AP44" s="52">
        <f t="shared" si="30"/>
        <v>0.44076655052264807</v>
      </c>
      <c r="AQ44" s="103" t="e">
        <f t="shared" si="12"/>
        <v>#DIV/0!</v>
      </c>
      <c r="AR44" s="54">
        <v>59742</v>
      </c>
      <c r="AS44" s="54"/>
      <c r="AT44" s="52">
        <f t="shared" si="31"/>
        <v>0.22829886097290183</v>
      </c>
      <c r="AU44" s="103" t="e">
        <f t="shared" si="13"/>
        <v>#DIV/0!</v>
      </c>
      <c r="AV44" s="450">
        <f t="shared" si="40"/>
        <v>0.90568319226118499</v>
      </c>
      <c r="AW44" s="103"/>
      <c r="AX44" s="82">
        <f t="shared" ref="AX44:AX47" si="43">(AV44-AV43)/AV43</f>
        <v>-0.2575200988932399</v>
      </c>
      <c r="AY44" s="82" t="e">
        <f t="shared" ref="AY44:AY49" si="44">(AV44-AW44)/AW44</f>
        <v>#DIV/0!</v>
      </c>
      <c r="AZ44" s="82">
        <f t="shared" si="38"/>
        <v>2.7685715242208163E-2</v>
      </c>
      <c r="BA44" s="82" t="e">
        <f t="shared" si="38"/>
        <v>#DIV/0!</v>
      </c>
      <c r="BB44" s="52">
        <f t="shared" si="32"/>
        <v>0.17297719333669051</v>
      </c>
      <c r="BC44" s="103" t="e">
        <f t="shared" si="16"/>
        <v>#DIV/0!</v>
      </c>
      <c r="BD44" s="68"/>
    </row>
    <row r="45" spans="1:57" s="80" customFormat="1" ht="15.75" customHeight="1" x14ac:dyDescent="0.3">
      <c r="A45" s="69" t="s">
        <v>78</v>
      </c>
      <c r="B45" s="69" t="s">
        <v>82</v>
      </c>
      <c r="C45" s="70">
        <f t="shared" si="17"/>
        <v>43035</v>
      </c>
      <c r="D45" s="78">
        <v>210</v>
      </c>
      <c r="E45" s="78"/>
      <c r="F45" s="73">
        <f t="shared" si="18"/>
        <v>-0.73282442748091603</v>
      </c>
      <c r="G45" s="104" t="e">
        <f t="shared" si="0"/>
        <v>#DIV/0!</v>
      </c>
      <c r="H45" s="72">
        <f t="shared" si="19"/>
        <v>1604.5739499999997</v>
      </c>
      <c r="I45" s="72">
        <f t="shared" si="20"/>
        <v>0</v>
      </c>
      <c r="J45" s="104">
        <f t="shared" si="21"/>
        <v>-1.2770360480640969E-2</v>
      </c>
      <c r="K45" s="104" t="e">
        <f t="shared" si="33"/>
        <v>#DIV/0!</v>
      </c>
      <c r="L45" s="72">
        <v>1478.87</v>
      </c>
      <c r="M45" s="72"/>
      <c r="N45" s="104">
        <f t="shared" si="22"/>
        <v>-1.2770360480640928E-2</v>
      </c>
      <c r="O45" s="104" t="e">
        <f t="shared" si="2"/>
        <v>#DIV/0!</v>
      </c>
      <c r="P45" s="74">
        <f t="shared" si="23"/>
        <v>0.13087586271732757</v>
      </c>
      <c r="Q45" s="74" t="e">
        <f t="shared" si="24"/>
        <v>#DIV/0!</v>
      </c>
      <c r="R45" s="104">
        <f t="shared" si="25"/>
        <v>-0.72936836393084736</v>
      </c>
      <c r="S45" s="104" t="e">
        <f t="shared" si="3"/>
        <v>#DIV/0!</v>
      </c>
      <c r="T45" s="74">
        <f t="shared" si="34"/>
        <v>0.14200031104830041</v>
      </c>
      <c r="U45" s="72" t="e">
        <f t="shared" si="35"/>
        <v>#DIV/0!</v>
      </c>
      <c r="V45" s="104">
        <f t="shared" si="26"/>
        <v>-0.72936836393084725</v>
      </c>
      <c r="W45" s="104" t="e">
        <f t="shared" si="6"/>
        <v>#DIV/0!</v>
      </c>
      <c r="X45" s="76">
        <v>1347</v>
      </c>
      <c r="Y45" s="76"/>
      <c r="Z45" s="104">
        <f t="shared" si="27"/>
        <v>3.5357417371252885E-2</v>
      </c>
      <c r="AA45" s="104" t="e">
        <f t="shared" si="7"/>
        <v>#DIV/0!</v>
      </c>
      <c r="AB45" s="76">
        <v>3</v>
      </c>
      <c r="AC45" s="76"/>
      <c r="AD45" s="73">
        <f t="shared" si="28"/>
        <v>-0.625</v>
      </c>
      <c r="AE45" s="104" t="e">
        <f t="shared" si="8"/>
        <v>#DIV/0!</v>
      </c>
      <c r="AF45" s="83">
        <f t="shared" si="39"/>
        <v>2.2271714922048997E-3</v>
      </c>
      <c r="AG45" s="104"/>
      <c r="AH45" s="83">
        <f t="shared" si="41"/>
        <v>-0.63780623608017817</v>
      </c>
      <c r="AI45" s="82" t="e">
        <f t="shared" si="42"/>
        <v>#DIV/0!</v>
      </c>
      <c r="AJ45" s="72">
        <f t="shared" si="36"/>
        <v>70</v>
      </c>
      <c r="AK45" s="76" t="e">
        <f t="shared" si="37"/>
        <v>#DIV/0!</v>
      </c>
      <c r="AL45" s="104">
        <f t="shared" si="29"/>
        <v>-0.2875318066157761</v>
      </c>
      <c r="AM45" s="104" t="e">
        <f t="shared" si="11"/>
        <v>#DIV/0!</v>
      </c>
      <c r="AN45" s="76">
        <v>1708</v>
      </c>
      <c r="AO45" s="76"/>
      <c r="AP45" s="73">
        <f t="shared" si="30"/>
        <v>3.2648125755743655E-2</v>
      </c>
      <c r="AQ45" s="104" t="e">
        <f t="shared" si="12"/>
        <v>#DIV/0!</v>
      </c>
      <c r="AR45" s="76">
        <v>62794</v>
      </c>
      <c r="AS45" s="76"/>
      <c r="AT45" s="73">
        <f t="shared" si="31"/>
        <v>5.1086337919721468E-2</v>
      </c>
      <c r="AU45" s="104" t="e">
        <f t="shared" si="13"/>
        <v>#DIV/0!</v>
      </c>
      <c r="AV45" s="451">
        <f t="shared" si="40"/>
        <v>0.8658489461358313</v>
      </c>
      <c r="AW45" s="104"/>
      <c r="AX45" s="83">
        <f t="shared" si="43"/>
        <v>-4.3982538779262351E-2</v>
      </c>
      <c r="AY45" s="83" t="e">
        <f t="shared" si="44"/>
        <v>#DIV/0!</v>
      </c>
      <c r="AZ45" s="83">
        <f t="shared" si="38"/>
        <v>2.7200050960282829E-2</v>
      </c>
      <c r="BA45" s="83" t="e">
        <f t="shared" si="38"/>
        <v>#DIV/0!</v>
      </c>
      <c r="BB45" s="73">
        <f t="shared" si="32"/>
        <v>-1.7542052920667052E-2</v>
      </c>
      <c r="BC45" s="104" t="e">
        <f t="shared" si="16"/>
        <v>#DIV/0!</v>
      </c>
      <c r="BD45" s="77"/>
    </row>
    <row r="46" spans="1:57" ht="15.75" customHeight="1" x14ac:dyDescent="0.3">
      <c r="A46" s="49" t="s">
        <v>83</v>
      </c>
      <c r="B46" s="49" t="s">
        <v>84</v>
      </c>
      <c r="C46" s="50">
        <f t="shared" si="17"/>
        <v>43042</v>
      </c>
      <c r="D46" s="57">
        <v>281</v>
      </c>
      <c r="E46" s="57"/>
      <c r="F46" s="52">
        <f t="shared" si="18"/>
        <v>0.33809523809523812</v>
      </c>
      <c r="G46" s="103" t="e">
        <f t="shared" si="0"/>
        <v>#DIV/0!</v>
      </c>
      <c r="H46" s="51">
        <f t="shared" si="19"/>
        <v>857.80100000000004</v>
      </c>
      <c r="I46" s="51">
        <f t="shared" si="20"/>
        <v>0</v>
      </c>
      <c r="J46" s="103">
        <f t="shared" si="21"/>
        <v>-0.46540263850101754</v>
      </c>
      <c r="K46" s="103" t="e">
        <f t="shared" si="33"/>
        <v>#DIV/0!</v>
      </c>
      <c r="L46" s="51">
        <v>790.6</v>
      </c>
      <c r="M46" s="51"/>
      <c r="N46" s="103">
        <f t="shared" si="22"/>
        <v>-0.4654026385010176</v>
      </c>
      <c r="O46" s="103" t="e">
        <f t="shared" si="2"/>
        <v>#DIV/0!</v>
      </c>
      <c r="P46" s="53">
        <f t="shared" si="23"/>
        <v>0.32758180510398099</v>
      </c>
      <c r="Q46" s="53" t="e">
        <f t="shared" si="24"/>
        <v>#DIV/0!</v>
      </c>
      <c r="R46" s="103">
        <f t="shared" si="25"/>
        <v>1.5029963379229756</v>
      </c>
      <c r="S46" s="103" t="e">
        <f t="shared" si="3"/>
        <v>#DIV/0!</v>
      </c>
      <c r="T46" s="53">
        <f t="shared" si="34"/>
        <v>0.3554262585378194</v>
      </c>
      <c r="U46" s="51" t="e">
        <f t="shared" si="35"/>
        <v>#DIV/0!</v>
      </c>
      <c r="V46" s="103">
        <f t="shared" si="26"/>
        <v>1.5029963379229758</v>
      </c>
      <c r="W46" s="103" t="e">
        <f t="shared" si="6"/>
        <v>#DIV/0!</v>
      </c>
      <c r="X46" s="54">
        <v>1231</v>
      </c>
      <c r="Y46" s="54"/>
      <c r="Z46" s="103">
        <f t="shared" si="27"/>
        <v>-8.6117297698589459E-2</v>
      </c>
      <c r="AA46" s="103" t="e">
        <f t="shared" si="7"/>
        <v>#DIV/0!</v>
      </c>
      <c r="AB46" s="54">
        <v>4</v>
      </c>
      <c r="AC46" s="54"/>
      <c r="AD46" s="52">
        <f t="shared" si="28"/>
        <v>0.33333333333333331</v>
      </c>
      <c r="AE46" s="103" t="e">
        <f t="shared" si="8"/>
        <v>#DIV/0!</v>
      </c>
      <c r="AF46" s="82">
        <f t="shared" si="39"/>
        <v>3.249390739236393E-3</v>
      </c>
      <c r="AG46" s="103"/>
      <c r="AH46" s="82">
        <f t="shared" si="41"/>
        <v>0.45897644191714054</v>
      </c>
      <c r="AI46" s="82" t="e">
        <f t="shared" si="42"/>
        <v>#DIV/0!</v>
      </c>
      <c r="AJ46" s="51">
        <f t="shared" si="36"/>
        <v>70.25</v>
      </c>
      <c r="AK46" s="54" t="e">
        <f t="shared" si="37"/>
        <v>#DIV/0!</v>
      </c>
      <c r="AL46" s="103">
        <f t="shared" si="29"/>
        <v>3.5714285714285713E-3</v>
      </c>
      <c r="AM46" s="103" t="e">
        <f t="shared" si="11"/>
        <v>#DIV/0!</v>
      </c>
      <c r="AN46" s="54">
        <v>1506</v>
      </c>
      <c r="AO46" s="54"/>
      <c r="AP46" s="52">
        <f t="shared" si="30"/>
        <v>-0.11826697892271663</v>
      </c>
      <c r="AQ46" s="103" t="e">
        <f t="shared" si="12"/>
        <v>#DIV/0!</v>
      </c>
      <c r="AR46" s="54">
        <v>38885</v>
      </c>
      <c r="AS46" s="54"/>
      <c r="AT46" s="52">
        <f t="shared" si="31"/>
        <v>-0.3807529381788069</v>
      </c>
      <c r="AU46" s="103" t="e">
        <f t="shared" si="13"/>
        <v>#DIV/0!</v>
      </c>
      <c r="AV46" s="450">
        <f t="shared" si="40"/>
        <v>0.52496679946879155</v>
      </c>
      <c r="AW46" s="103"/>
      <c r="AX46" s="82">
        <f t="shared" si="43"/>
        <v>-0.39369701630792697</v>
      </c>
      <c r="AY46" s="82" t="e">
        <f t="shared" si="44"/>
        <v>#DIV/0!</v>
      </c>
      <c r="AZ46" s="82">
        <f t="shared" si="38"/>
        <v>3.8729587244438729E-2</v>
      </c>
      <c r="BA46" s="82" t="e">
        <f t="shared" si="38"/>
        <v>#DIV/0!</v>
      </c>
      <c r="BB46" s="52">
        <f t="shared" si="32"/>
        <v>0.42387921629232178</v>
      </c>
      <c r="BC46" s="103" t="e">
        <f t="shared" si="16"/>
        <v>#DIV/0!</v>
      </c>
      <c r="BD46" s="68"/>
      <c r="BE46" t="s">
        <v>309</v>
      </c>
    </row>
    <row r="47" spans="1:57" ht="15.75" customHeight="1" x14ac:dyDescent="0.3">
      <c r="A47" s="49" t="s">
        <v>83</v>
      </c>
      <c r="B47" s="49" t="s">
        <v>85</v>
      </c>
      <c r="C47" s="50">
        <f t="shared" si="17"/>
        <v>43049</v>
      </c>
      <c r="D47" s="57">
        <v>632</v>
      </c>
      <c r="E47" s="57"/>
      <c r="F47" s="52">
        <f t="shared" si="18"/>
        <v>1.2491103202846976</v>
      </c>
      <c r="G47" s="103" t="e">
        <f t="shared" si="0"/>
        <v>#DIV/0!</v>
      </c>
      <c r="H47" s="51">
        <f t="shared" si="19"/>
        <v>2151.60925</v>
      </c>
      <c r="I47" s="51">
        <f t="shared" si="20"/>
        <v>0</v>
      </c>
      <c r="J47" s="103">
        <f t="shared" si="21"/>
        <v>1.5082848469516823</v>
      </c>
      <c r="K47" s="103" t="e">
        <f t="shared" si="33"/>
        <v>#DIV/0!</v>
      </c>
      <c r="L47" s="51">
        <v>1983.05</v>
      </c>
      <c r="M47" s="51"/>
      <c r="N47" s="103">
        <f t="shared" si="22"/>
        <v>1.5082848469516821</v>
      </c>
      <c r="O47" s="103" t="e">
        <f t="shared" si="2"/>
        <v>#DIV/0!</v>
      </c>
      <c r="P47" s="53">
        <f t="shared" si="23"/>
        <v>0.29373363216392567</v>
      </c>
      <c r="Q47" s="53" t="e">
        <f t="shared" si="24"/>
        <v>#DIV/0!</v>
      </c>
      <c r="R47" s="103">
        <f t="shared" si="25"/>
        <v>-0.10332739002189464</v>
      </c>
      <c r="S47" s="103" t="e">
        <f t="shared" si="3"/>
        <v>#DIV/0!</v>
      </c>
      <c r="T47" s="53">
        <f t="shared" si="34"/>
        <v>0.31870099089785936</v>
      </c>
      <c r="U47" s="51" t="e">
        <f t="shared" si="35"/>
        <v>#DIV/0!</v>
      </c>
      <c r="V47" s="103">
        <f t="shared" si="26"/>
        <v>-0.10332739002189467</v>
      </c>
      <c r="W47" s="103" t="e">
        <f t="shared" si="6"/>
        <v>#DIV/0!</v>
      </c>
      <c r="X47" s="54">
        <v>2027</v>
      </c>
      <c r="Y47" s="54"/>
      <c r="Z47" s="103">
        <f t="shared" si="27"/>
        <v>0.64662875710804224</v>
      </c>
      <c r="AA47" s="103" t="e">
        <f t="shared" si="7"/>
        <v>#DIV/0!</v>
      </c>
      <c r="AB47" s="58">
        <v>5</v>
      </c>
      <c r="AC47" s="58"/>
      <c r="AD47" s="52">
        <f t="shared" si="28"/>
        <v>0.25</v>
      </c>
      <c r="AE47" s="103" t="e">
        <f t="shared" si="8"/>
        <v>#DIV/0!</v>
      </c>
      <c r="AF47" s="82">
        <f t="shared" si="39"/>
        <v>2.4666995559940799E-3</v>
      </c>
      <c r="AG47" s="103"/>
      <c r="AH47" s="82">
        <f t="shared" si="41"/>
        <v>-0.24087321164282188</v>
      </c>
      <c r="AI47" s="82" t="e">
        <f t="shared" si="42"/>
        <v>#DIV/0!</v>
      </c>
      <c r="AJ47" s="51">
        <f t="shared" si="36"/>
        <v>126.4</v>
      </c>
      <c r="AK47" s="54" t="e">
        <f t="shared" si="37"/>
        <v>#DIV/0!</v>
      </c>
      <c r="AL47" s="103">
        <f t="shared" si="29"/>
        <v>0.79928825622775812</v>
      </c>
      <c r="AM47" s="103" t="e">
        <f t="shared" si="11"/>
        <v>#DIV/0!</v>
      </c>
      <c r="AN47" s="54">
        <v>2428</v>
      </c>
      <c r="AO47" s="54"/>
      <c r="AP47" s="52">
        <f t="shared" si="30"/>
        <v>0.61221779548472777</v>
      </c>
      <c r="AQ47" s="103" t="e">
        <f t="shared" si="12"/>
        <v>#DIV/0!</v>
      </c>
      <c r="AR47" s="58">
        <v>86217</v>
      </c>
      <c r="AS47" s="58"/>
      <c r="AT47" s="52">
        <f t="shared" si="31"/>
        <v>1.2172302944580173</v>
      </c>
      <c r="AU47" s="103" t="e">
        <f t="shared" si="13"/>
        <v>#DIV/0!</v>
      </c>
      <c r="AV47" s="450">
        <f>L47/AN47</f>
        <v>0.81674217462932452</v>
      </c>
      <c r="AW47" s="103"/>
      <c r="AX47" s="82">
        <f t="shared" si="43"/>
        <v>0.55579776750792131</v>
      </c>
      <c r="AY47" s="82" t="e">
        <f t="shared" si="44"/>
        <v>#DIV/0!</v>
      </c>
      <c r="AZ47" s="82">
        <f t="shared" si="38"/>
        <v>2.8161499472261851E-2</v>
      </c>
      <c r="BA47" s="82" t="e">
        <f t="shared" si="38"/>
        <v>#DIV/0!</v>
      </c>
      <c r="BB47" s="52">
        <f t="shared" si="32"/>
        <v>-0.27286858766341165</v>
      </c>
      <c r="BC47" s="103" t="e">
        <f t="shared" si="16"/>
        <v>#DIV/0!</v>
      </c>
      <c r="BD47" s="68"/>
    </row>
    <row r="48" spans="1:57" ht="15.75" customHeight="1" x14ac:dyDescent="0.3">
      <c r="A48" s="49" t="s">
        <v>83</v>
      </c>
      <c r="B48" s="49" t="s">
        <v>86</v>
      </c>
      <c r="C48" s="50">
        <f t="shared" si="17"/>
        <v>43056</v>
      </c>
      <c r="D48" s="57">
        <v>881</v>
      </c>
      <c r="E48" s="57"/>
      <c r="F48" s="52">
        <f t="shared" si="18"/>
        <v>0.39398734177215189</v>
      </c>
      <c r="G48" s="103" t="e">
        <f t="shared" si="0"/>
        <v>#DIV/0!</v>
      </c>
      <c r="H48" s="51">
        <f t="shared" si="19"/>
        <v>3510.3438999999998</v>
      </c>
      <c r="I48" s="51">
        <f t="shared" si="20"/>
        <v>0</v>
      </c>
      <c r="J48" s="103">
        <f t="shared" si="21"/>
        <v>0.63149693653715233</v>
      </c>
      <c r="K48" s="103" t="e">
        <f t="shared" si="33"/>
        <v>#DIV/0!</v>
      </c>
      <c r="L48" s="51">
        <v>3235.34</v>
      </c>
      <c r="M48" s="51"/>
      <c r="N48" s="103">
        <f t="shared" si="22"/>
        <v>0.63149693653715244</v>
      </c>
      <c r="O48" s="103" t="e">
        <f t="shared" si="2"/>
        <v>#DIV/0!</v>
      </c>
      <c r="P48" s="53">
        <f t="shared" si="23"/>
        <v>0.25097256140630553</v>
      </c>
      <c r="Q48" s="53" t="e">
        <f t="shared" si="24"/>
        <v>#DIV/0!</v>
      </c>
      <c r="R48" s="103">
        <f t="shared" si="25"/>
        <v>-0.14557771421202534</v>
      </c>
      <c r="S48" s="103" t="e">
        <f t="shared" si="3"/>
        <v>#DIV/0!</v>
      </c>
      <c r="T48" s="53">
        <f t="shared" si="34"/>
        <v>0.27230522912584149</v>
      </c>
      <c r="U48" s="51" t="e">
        <f t="shared" si="35"/>
        <v>#DIV/0!</v>
      </c>
      <c r="V48" s="103">
        <f t="shared" si="26"/>
        <v>-0.14557771421202539</v>
      </c>
      <c r="W48" s="103" t="e">
        <f t="shared" si="6"/>
        <v>#DIV/0!</v>
      </c>
      <c r="X48" s="54">
        <v>2229</v>
      </c>
      <c r="Y48" s="54"/>
      <c r="Z48" s="103">
        <f t="shared" si="27"/>
        <v>9.9654662062160823E-2</v>
      </c>
      <c r="AA48" s="103" t="e">
        <f t="shared" si="7"/>
        <v>#DIV/0!</v>
      </c>
      <c r="AB48" s="58">
        <v>9</v>
      </c>
      <c r="AC48" s="58"/>
      <c r="AD48" s="52">
        <f t="shared" si="28"/>
        <v>0.8</v>
      </c>
      <c r="AE48" s="103" t="e">
        <f t="shared" si="8"/>
        <v>#DIV/0!</v>
      </c>
      <c r="AF48" s="82">
        <f>AB48/X48</f>
        <v>4.0376850605652759E-3</v>
      </c>
      <c r="AG48" s="103"/>
      <c r="AH48" s="448"/>
      <c r="AI48" s="448" t="e">
        <f t="shared" si="42"/>
        <v>#DIV/0!</v>
      </c>
      <c r="AJ48" s="51">
        <f t="shared" si="36"/>
        <v>97.888888888888886</v>
      </c>
      <c r="AK48" s="54" t="e">
        <f t="shared" si="37"/>
        <v>#DIV/0!</v>
      </c>
      <c r="AL48" s="103">
        <f t="shared" si="29"/>
        <v>-0.22556258790436012</v>
      </c>
      <c r="AM48" s="103" t="e">
        <f t="shared" si="11"/>
        <v>#DIV/0!</v>
      </c>
      <c r="AN48" s="54">
        <v>2724</v>
      </c>
      <c r="AO48" s="54"/>
      <c r="AP48" s="52">
        <f t="shared" si="30"/>
        <v>0.12191103789126853</v>
      </c>
      <c r="AQ48" s="103" t="e">
        <f t="shared" si="12"/>
        <v>#DIV/0!</v>
      </c>
      <c r="AR48" s="58">
        <v>102300</v>
      </c>
      <c r="AS48" s="58"/>
      <c r="AT48" s="52">
        <f t="shared" si="31"/>
        <v>0.18654093740213648</v>
      </c>
      <c r="AU48" s="103" t="e">
        <f t="shared" si="13"/>
        <v>#DIV/0!</v>
      </c>
      <c r="AV48" s="450">
        <f>L48/AN48</f>
        <v>1.1877165932452276</v>
      </c>
      <c r="AW48" s="103"/>
      <c r="AX48" s="448"/>
      <c r="AY48" s="448" t="e">
        <f t="shared" si="44"/>
        <v>#DIV/0!</v>
      </c>
      <c r="AZ48" s="82">
        <f t="shared" si="38"/>
        <v>2.6627565982404691E-2</v>
      </c>
      <c r="BA48" s="82" t="e">
        <f t="shared" si="38"/>
        <v>#DIV/0!</v>
      </c>
      <c r="BB48" s="52">
        <f t="shared" si="32"/>
        <v>-5.4469169561373446E-2</v>
      </c>
      <c r="BC48" s="103" t="e">
        <f t="shared" si="16"/>
        <v>#DIV/0!</v>
      </c>
      <c r="BD48" s="68"/>
      <c r="BE48" t="s">
        <v>309</v>
      </c>
    </row>
    <row r="49" spans="1:56" s="80" customFormat="1" ht="15.75" customHeight="1" x14ac:dyDescent="0.3">
      <c r="A49" s="69" t="s">
        <v>83</v>
      </c>
      <c r="B49" s="69" t="s">
        <v>87</v>
      </c>
      <c r="C49" s="70">
        <f t="shared" si="17"/>
        <v>43063</v>
      </c>
      <c r="D49" s="78">
        <v>2416</v>
      </c>
      <c r="E49" s="78"/>
      <c r="F49" s="73">
        <f t="shared" si="18"/>
        <v>1.742338251986379</v>
      </c>
      <c r="G49" s="104" t="e">
        <f t="shared" si="0"/>
        <v>#DIV/0!</v>
      </c>
      <c r="H49" s="72">
        <f t="shared" si="19"/>
        <v>12204.513999999999</v>
      </c>
      <c r="I49" s="72">
        <f t="shared" si="20"/>
        <v>0</v>
      </c>
      <c r="J49" s="104">
        <f t="shared" si="21"/>
        <v>2.4767288754814021</v>
      </c>
      <c r="K49" s="104" t="e">
        <f t="shared" si="33"/>
        <v>#DIV/0!</v>
      </c>
      <c r="L49" s="72">
        <v>11248.4</v>
      </c>
      <c r="M49" s="72"/>
      <c r="N49" s="104">
        <f t="shared" si="22"/>
        <v>2.4767288754814021</v>
      </c>
      <c r="O49" s="104" t="e">
        <f t="shared" si="2"/>
        <v>#DIV/0!</v>
      </c>
      <c r="P49" s="74">
        <f t="shared" si="23"/>
        <v>0.19795954185475964</v>
      </c>
      <c r="Q49" s="74" t="e">
        <f t="shared" si="24"/>
        <v>#DIV/0!</v>
      </c>
      <c r="R49" s="104">
        <f t="shared" si="25"/>
        <v>-0.21123034029892149</v>
      </c>
      <c r="S49" s="104" t="e">
        <f t="shared" si="3"/>
        <v>#DIV/0!</v>
      </c>
      <c r="T49" s="74">
        <f t="shared" si="34"/>
        <v>0.21478610291241421</v>
      </c>
      <c r="U49" s="72" t="e">
        <f t="shared" si="35"/>
        <v>#DIV/0!</v>
      </c>
      <c r="V49" s="104">
        <f t="shared" si="26"/>
        <v>-0.21123034029892146</v>
      </c>
      <c r="W49" s="104" t="e">
        <f t="shared" si="6"/>
        <v>#DIV/0!</v>
      </c>
      <c r="X49" s="76">
        <v>3489</v>
      </c>
      <c r="Y49" s="76"/>
      <c r="Z49" s="104">
        <f t="shared" si="27"/>
        <v>0.56527590847913867</v>
      </c>
      <c r="AA49" s="104" t="e">
        <f t="shared" si="7"/>
        <v>#DIV/0!</v>
      </c>
      <c r="AB49" s="79">
        <v>20</v>
      </c>
      <c r="AC49" s="79"/>
      <c r="AD49" s="73">
        <f t="shared" si="28"/>
        <v>1.2222222222222223</v>
      </c>
      <c r="AE49" s="104" t="e">
        <f t="shared" si="8"/>
        <v>#DIV/0!</v>
      </c>
      <c r="AF49" s="104">
        <f>AB49/X49</f>
        <v>5.7323015190599022E-3</v>
      </c>
      <c r="AG49" s="104"/>
      <c r="AH49" s="449"/>
      <c r="AI49" s="449" t="e">
        <f t="shared" si="42"/>
        <v>#DIV/0!</v>
      </c>
      <c r="AJ49" s="72">
        <f t="shared" si="36"/>
        <v>120.8</v>
      </c>
      <c r="AK49" s="76" t="e">
        <f t="shared" si="37"/>
        <v>#DIV/0!</v>
      </c>
      <c r="AL49" s="104">
        <f t="shared" si="29"/>
        <v>0.23405221339387061</v>
      </c>
      <c r="AM49" s="104" t="e">
        <f t="shared" si="11"/>
        <v>#DIV/0!</v>
      </c>
      <c r="AN49" s="76">
        <v>4472</v>
      </c>
      <c r="AO49" s="76"/>
      <c r="AP49" s="73">
        <f t="shared" si="30"/>
        <v>0.64170337738619676</v>
      </c>
      <c r="AQ49" s="104" t="e">
        <f t="shared" si="12"/>
        <v>#DIV/0!</v>
      </c>
      <c r="AR49" s="79">
        <v>220785</v>
      </c>
      <c r="AS49" s="79"/>
      <c r="AT49" s="73">
        <f t="shared" si="31"/>
        <v>1.1582111436950147</v>
      </c>
      <c r="AU49" s="104" t="e">
        <f t="shared" si="13"/>
        <v>#DIV/0!</v>
      </c>
      <c r="AV49" s="104">
        <f>L49/AN49</f>
        <v>2.5152951699463326</v>
      </c>
      <c r="AW49" s="104"/>
      <c r="AX49" s="449"/>
      <c r="AY49" s="449" t="e">
        <f t="shared" si="44"/>
        <v>#DIV/0!</v>
      </c>
      <c r="AZ49" s="83">
        <f t="shared" si="38"/>
        <v>2.025499920737369E-2</v>
      </c>
      <c r="BA49" s="83" t="e">
        <f t="shared" si="38"/>
        <v>#DIV/0!</v>
      </c>
      <c r="BB49" s="73">
        <f t="shared" si="32"/>
        <v>-0.23932216633101006</v>
      </c>
      <c r="BC49" s="104" t="e">
        <f t="shared" si="16"/>
        <v>#DIV/0!</v>
      </c>
      <c r="BD49" s="77"/>
    </row>
    <row r="50" spans="1:56" ht="15.75" customHeight="1" x14ac:dyDescent="0.3">
      <c r="A50" s="49" t="s">
        <v>88</v>
      </c>
      <c r="B50" s="49" t="s">
        <v>89</v>
      </c>
      <c r="C50" s="50">
        <f t="shared" si="17"/>
        <v>43070</v>
      </c>
      <c r="D50" s="51"/>
      <c r="E50" s="189"/>
      <c r="F50" s="52">
        <f t="shared" si="18"/>
        <v>-1</v>
      </c>
      <c r="G50" s="103" t="e">
        <f t="shared" si="0"/>
        <v>#DIV/0!</v>
      </c>
      <c r="H50" s="51">
        <f t="shared" si="19"/>
        <v>0</v>
      </c>
      <c r="I50" s="51">
        <f t="shared" si="20"/>
        <v>0</v>
      </c>
      <c r="J50" s="103">
        <f t="shared" si="21"/>
        <v>-1</v>
      </c>
      <c r="K50" s="103" t="e">
        <f t="shared" si="33"/>
        <v>#DIV/0!</v>
      </c>
      <c r="L50" s="51"/>
      <c r="M50" s="189"/>
      <c r="N50" s="103">
        <f t="shared" si="22"/>
        <v>-1</v>
      </c>
      <c r="O50" s="103" t="e">
        <f t="shared" si="2"/>
        <v>#DIV/0!</v>
      </c>
      <c r="P50" s="53" t="e">
        <f t="shared" si="23"/>
        <v>#DIV/0!</v>
      </c>
      <c r="Q50" s="53" t="e">
        <f t="shared" si="24"/>
        <v>#DIV/0!</v>
      </c>
      <c r="R50" s="103" t="e">
        <f t="shared" si="25"/>
        <v>#DIV/0!</v>
      </c>
      <c r="S50" s="103" t="e">
        <f t="shared" si="3"/>
        <v>#DIV/0!</v>
      </c>
      <c r="T50" s="53" t="e">
        <f t="shared" si="34"/>
        <v>#DIV/0!</v>
      </c>
      <c r="U50" s="51" t="e">
        <f t="shared" si="35"/>
        <v>#DIV/0!</v>
      </c>
      <c r="V50" s="103" t="e">
        <f t="shared" si="26"/>
        <v>#DIV/0!</v>
      </c>
      <c r="W50" s="103" t="e">
        <f t="shared" si="6"/>
        <v>#DIV/0!</v>
      </c>
      <c r="X50" s="54"/>
      <c r="Y50" s="54"/>
      <c r="Z50" s="103">
        <f t="shared" si="27"/>
        <v>-1</v>
      </c>
      <c r="AA50" s="103" t="e">
        <f t="shared" si="7"/>
        <v>#DIV/0!</v>
      </c>
      <c r="AB50" s="58"/>
      <c r="AC50" s="54"/>
      <c r="AD50" s="52">
        <f t="shared" si="28"/>
        <v>-1</v>
      </c>
      <c r="AE50" s="103" t="e">
        <f t="shared" si="8"/>
        <v>#DIV/0!</v>
      </c>
      <c r="AF50" s="103"/>
      <c r="AG50" s="103"/>
      <c r="AH50" s="103"/>
      <c r="AI50" s="103"/>
      <c r="AJ50" s="51" t="e">
        <f t="shared" si="36"/>
        <v>#DIV/0!</v>
      </c>
      <c r="AK50" s="54" t="e">
        <f t="shared" si="37"/>
        <v>#DIV/0!</v>
      </c>
      <c r="AL50" s="103" t="e">
        <f t="shared" si="29"/>
        <v>#DIV/0!</v>
      </c>
      <c r="AM50" s="103" t="e">
        <f t="shared" si="11"/>
        <v>#DIV/0!</v>
      </c>
      <c r="AN50" s="54"/>
      <c r="AO50" s="54"/>
      <c r="AP50" s="52">
        <f t="shared" si="30"/>
        <v>-1</v>
      </c>
      <c r="AQ50" s="103" t="e">
        <f t="shared" si="12"/>
        <v>#DIV/0!</v>
      </c>
      <c r="AR50" s="58"/>
      <c r="AS50" s="54"/>
      <c r="AT50" s="52">
        <f t="shared" si="31"/>
        <v>-1</v>
      </c>
      <c r="AU50" s="103" t="e">
        <f t="shared" si="13"/>
        <v>#DIV/0!</v>
      </c>
      <c r="AV50" s="103"/>
      <c r="AW50" s="103"/>
      <c r="AX50" s="103"/>
      <c r="AY50" s="103"/>
      <c r="AZ50" s="82" t="e">
        <f t="shared" si="38"/>
        <v>#DIV/0!</v>
      </c>
      <c r="BA50" s="82" t="e">
        <f t="shared" si="38"/>
        <v>#DIV/0!</v>
      </c>
      <c r="BB50" s="52" t="e">
        <f t="shared" si="32"/>
        <v>#DIV/0!</v>
      </c>
      <c r="BC50" s="103" t="e">
        <f t="shared" si="16"/>
        <v>#DIV/0!</v>
      </c>
      <c r="BD50" s="36"/>
    </row>
    <row r="51" spans="1:56" ht="15.75" customHeight="1" x14ac:dyDescent="0.3">
      <c r="A51" s="49" t="s">
        <v>88</v>
      </c>
      <c r="B51" s="49" t="s">
        <v>90</v>
      </c>
      <c r="C51" s="50">
        <f t="shared" si="17"/>
        <v>43077</v>
      </c>
      <c r="D51" s="51"/>
      <c r="E51" s="189"/>
      <c r="F51" s="52" t="e">
        <f t="shared" si="18"/>
        <v>#DIV/0!</v>
      </c>
      <c r="G51" s="103" t="e">
        <f t="shared" si="0"/>
        <v>#DIV/0!</v>
      </c>
      <c r="H51" s="51">
        <f t="shared" si="19"/>
        <v>0</v>
      </c>
      <c r="I51" s="51">
        <f t="shared" si="20"/>
        <v>0</v>
      </c>
      <c r="J51" s="103" t="e">
        <f t="shared" si="21"/>
        <v>#DIV/0!</v>
      </c>
      <c r="K51" s="103" t="e">
        <f t="shared" si="33"/>
        <v>#DIV/0!</v>
      </c>
      <c r="L51" s="51"/>
      <c r="M51" s="189"/>
      <c r="N51" s="103" t="e">
        <f t="shared" si="22"/>
        <v>#DIV/0!</v>
      </c>
      <c r="O51" s="103" t="e">
        <f t="shared" si="2"/>
        <v>#DIV/0!</v>
      </c>
      <c r="P51" s="53" t="e">
        <f t="shared" si="23"/>
        <v>#DIV/0!</v>
      </c>
      <c r="Q51" s="53" t="e">
        <f t="shared" si="24"/>
        <v>#DIV/0!</v>
      </c>
      <c r="R51" s="103" t="e">
        <f t="shared" si="25"/>
        <v>#DIV/0!</v>
      </c>
      <c r="S51" s="103" t="e">
        <f t="shared" si="3"/>
        <v>#DIV/0!</v>
      </c>
      <c r="T51" s="53" t="e">
        <f t="shared" si="34"/>
        <v>#DIV/0!</v>
      </c>
      <c r="U51" s="51" t="e">
        <f t="shared" si="35"/>
        <v>#DIV/0!</v>
      </c>
      <c r="V51" s="103" t="e">
        <f t="shared" si="26"/>
        <v>#DIV/0!</v>
      </c>
      <c r="W51" s="103" t="e">
        <f t="shared" si="6"/>
        <v>#DIV/0!</v>
      </c>
      <c r="X51" s="54"/>
      <c r="Y51" s="54"/>
      <c r="Z51" s="103" t="e">
        <f t="shared" si="27"/>
        <v>#DIV/0!</v>
      </c>
      <c r="AA51" s="103" t="e">
        <f t="shared" si="7"/>
        <v>#DIV/0!</v>
      </c>
      <c r="AB51" s="58"/>
      <c r="AC51" s="54"/>
      <c r="AD51" s="52" t="e">
        <f t="shared" si="28"/>
        <v>#DIV/0!</v>
      </c>
      <c r="AE51" s="103" t="e">
        <f t="shared" si="8"/>
        <v>#DIV/0!</v>
      </c>
      <c r="AF51" s="103"/>
      <c r="AG51" s="103"/>
      <c r="AH51" s="103"/>
      <c r="AI51" s="103"/>
      <c r="AJ51" s="51" t="e">
        <f t="shared" si="36"/>
        <v>#DIV/0!</v>
      </c>
      <c r="AK51" s="54" t="e">
        <f t="shared" si="37"/>
        <v>#DIV/0!</v>
      </c>
      <c r="AL51" s="103" t="e">
        <f t="shared" si="29"/>
        <v>#DIV/0!</v>
      </c>
      <c r="AM51" s="103" t="e">
        <f t="shared" si="11"/>
        <v>#DIV/0!</v>
      </c>
      <c r="AN51" s="54"/>
      <c r="AO51" s="54"/>
      <c r="AP51" s="52" t="e">
        <f t="shared" si="30"/>
        <v>#DIV/0!</v>
      </c>
      <c r="AQ51" s="103" t="e">
        <f t="shared" si="12"/>
        <v>#DIV/0!</v>
      </c>
      <c r="AR51" s="58"/>
      <c r="AS51" s="58"/>
      <c r="AT51" s="52" t="e">
        <f t="shared" si="31"/>
        <v>#DIV/0!</v>
      </c>
      <c r="AU51" s="103" t="e">
        <f t="shared" si="13"/>
        <v>#DIV/0!</v>
      </c>
      <c r="AV51" s="103"/>
      <c r="AW51" s="103"/>
      <c r="AX51" s="103"/>
      <c r="AY51" s="103"/>
      <c r="AZ51" s="82" t="e">
        <f t="shared" si="38"/>
        <v>#DIV/0!</v>
      </c>
      <c r="BA51" s="82" t="e">
        <f t="shared" si="38"/>
        <v>#DIV/0!</v>
      </c>
      <c r="BB51" s="52" t="e">
        <f t="shared" si="32"/>
        <v>#DIV/0!</v>
      </c>
      <c r="BC51" s="103" t="e">
        <f t="shared" si="16"/>
        <v>#DIV/0!</v>
      </c>
      <c r="BD51" s="36"/>
    </row>
    <row r="52" spans="1:56" ht="15.75" customHeight="1" x14ac:dyDescent="0.3">
      <c r="A52" s="49" t="s">
        <v>88</v>
      </c>
      <c r="B52" s="49" t="s">
        <v>91</v>
      </c>
      <c r="C52" s="50">
        <f t="shared" si="17"/>
        <v>43084</v>
      </c>
      <c r="D52" s="51"/>
      <c r="E52" s="189"/>
      <c r="F52" s="52" t="e">
        <f t="shared" si="18"/>
        <v>#DIV/0!</v>
      </c>
      <c r="G52" s="103" t="e">
        <f t="shared" si="0"/>
        <v>#DIV/0!</v>
      </c>
      <c r="H52" s="51">
        <f t="shared" si="19"/>
        <v>0</v>
      </c>
      <c r="I52" s="51">
        <f t="shared" si="20"/>
        <v>0</v>
      </c>
      <c r="J52" s="103" t="e">
        <f t="shared" si="21"/>
        <v>#DIV/0!</v>
      </c>
      <c r="K52" s="103" t="e">
        <f t="shared" si="33"/>
        <v>#DIV/0!</v>
      </c>
      <c r="L52" s="51"/>
      <c r="M52" s="189"/>
      <c r="N52" s="103" t="e">
        <f t="shared" si="22"/>
        <v>#DIV/0!</v>
      </c>
      <c r="O52" s="103" t="e">
        <f t="shared" si="2"/>
        <v>#DIV/0!</v>
      </c>
      <c r="P52" s="53" t="e">
        <f t="shared" si="23"/>
        <v>#DIV/0!</v>
      </c>
      <c r="Q52" s="53" t="e">
        <f t="shared" si="24"/>
        <v>#DIV/0!</v>
      </c>
      <c r="R52" s="103" t="e">
        <f t="shared" si="25"/>
        <v>#DIV/0!</v>
      </c>
      <c r="S52" s="103" t="e">
        <f t="shared" si="3"/>
        <v>#DIV/0!</v>
      </c>
      <c r="T52" s="53" t="e">
        <f t="shared" si="34"/>
        <v>#DIV/0!</v>
      </c>
      <c r="U52" s="51" t="e">
        <f t="shared" si="35"/>
        <v>#DIV/0!</v>
      </c>
      <c r="V52" s="103" t="e">
        <f t="shared" si="26"/>
        <v>#DIV/0!</v>
      </c>
      <c r="W52" s="103" t="e">
        <f t="shared" si="6"/>
        <v>#DIV/0!</v>
      </c>
      <c r="X52" s="54"/>
      <c r="Y52" s="54"/>
      <c r="Z52" s="103" t="e">
        <f t="shared" si="27"/>
        <v>#DIV/0!</v>
      </c>
      <c r="AA52" s="103" t="e">
        <f t="shared" si="7"/>
        <v>#DIV/0!</v>
      </c>
      <c r="AB52" s="58"/>
      <c r="AC52" s="54"/>
      <c r="AD52" s="52" t="e">
        <f t="shared" si="28"/>
        <v>#DIV/0!</v>
      </c>
      <c r="AE52" s="103" t="e">
        <f t="shared" si="8"/>
        <v>#DIV/0!</v>
      </c>
      <c r="AF52" s="103"/>
      <c r="AG52" s="103"/>
      <c r="AH52" s="103"/>
      <c r="AI52" s="103"/>
      <c r="AJ52" s="51" t="e">
        <f t="shared" si="36"/>
        <v>#DIV/0!</v>
      </c>
      <c r="AK52" s="54" t="e">
        <f t="shared" si="37"/>
        <v>#DIV/0!</v>
      </c>
      <c r="AL52" s="103" t="e">
        <f t="shared" si="29"/>
        <v>#DIV/0!</v>
      </c>
      <c r="AM52" s="103" t="e">
        <f t="shared" si="11"/>
        <v>#DIV/0!</v>
      </c>
      <c r="AN52" s="54"/>
      <c r="AO52" s="54"/>
      <c r="AP52" s="52" t="e">
        <f t="shared" si="30"/>
        <v>#DIV/0!</v>
      </c>
      <c r="AQ52" s="103" t="e">
        <f t="shared" si="12"/>
        <v>#DIV/0!</v>
      </c>
      <c r="AR52" s="58"/>
      <c r="AS52" s="58"/>
      <c r="AT52" s="52" t="e">
        <f t="shared" si="31"/>
        <v>#DIV/0!</v>
      </c>
      <c r="AU52" s="103" t="e">
        <f t="shared" si="13"/>
        <v>#DIV/0!</v>
      </c>
      <c r="AV52" s="103"/>
      <c r="AW52" s="103"/>
      <c r="AX52" s="103"/>
      <c r="AY52" s="103"/>
      <c r="AZ52" s="82" t="e">
        <f t="shared" si="38"/>
        <v>#DIV/0!</v>
      </c>
      <c r="BA52" s="82" t="e">
        <f t="shared" si="38"/>
        <v>#DIV/0!</v>
      </c>
      <c r="BB52" s="52" t="e">
        <f t="shared" si="32"/>
        <v>#DIV/0!</v>
      </c>
      <c r="BC52" s="103" t="e">
        <f t="shared" si="16"/>
        <v>#DIV/0!</v>
      </c>
      <c r="BD52" s="36"/>
    </row>
    <row r="53" spans="1:56" s="80" customFormat="1" ht="15.75" customHeight="1" x14ac:dyDescent="0.3">
      <c r="A53" s="69" t="s">
        <v>88</v>
      </c>
      <c r="B53" s="69" t="s">
        <v>92</v>
      </c>
      <c r="C53" s="70">
        <f t="shared" si="17"/>
        <v>43091</v>
      </c>
      <c r="D53" s="72"/>
      <c r="E53" s="346"/>
      <c r="F53" s="73" t="e">
        <f t="shared" si="18"/>
        <v>#DIV/0!</v>
      </c>
      <c r="G53" s="104" t="e">
        <f t="shared" si="0"/>
        <v>#DIV/0!</v>
      </c>
      <c r="H53" s="72">
        <f t="shared" si="19"/>
        <v>0</v>
      </c>
      <c r="I53" s="72">
        <f t="shared" si="20"/>
        <v>0</v>
      </c>
      <c r="J53" s="104" t="e">
        <f t="shared" si="21"/>
        <v>#DIV/0!</v>
      </c>
      <c r="K53" s="104" t="e">
        <f t="shared" si="33"/>
        <v>#DIV/0!</v>
      </c>
      <c r="L53" s="72"/>
      <c r="M53" s="346"/>
      <c r="N53" s="104" t="e">
        <f t="shared" si="22"/>
        <v>#DIV/0!</v>
      </c>
      <c r="O53" s="104" t="e">
        <f t="shared" si="2"/>
        <v>#DIV/0!</v>
      </c>
      <c r="P53" s="74" t="e">
        <f t="shared" si="23"/>
        <v>#DIV/0!</v>
      </c>
      <c r="Q53" s="74" t="e">
        <f t="shared" si="24"/>
        <v>#DIV/0!</v>
      </c>
      <c r="R53" s="104" t="e">
        <f t="shared" si="25"/>
        <v>#DIV/0!</v>
      </c>
      <c r="S53" s="104" t="e">
        <f t="shared" si="3"/>
        <v>#DIV/0!</v>
      </c>
      <c r="T53" s="74" t="e">
        <f t="shared" si="34"/>
        <v>#DIV/0!</v>
      </c>
      <c r="U53" s="72" t="e">
        <f t="shared" si="35"/>
        <v>#DIV/0!</v>
      </c>
      <c r="V53" s="104" t="e">
        <f t="shared" si="26"/>
        <v>#DIV/0!</v>
      </c>
      <c r="W53" s="104" t="e">
        <f t="shared" si="6"/>
        <v>#DIV/0!</v>
      </c>
      <c r="X53" s="76"/>
      <c r="Y53" s="76"/>
      <c r="Z53" s="104" t="e">
        <f t="shared" si="27"/>
        <v>#DIV/0!</v>
      </c>
      <c r="AA53" s="104" t="e">
        <f t="shared" si="7"/>
        <v>#DIV/0!</v>
      </c>
      <c r="AB53" s="79"/>
      <c r="AC53" s="76"/>
      <c r="AD53" s="73" t="e">
        <f t="shared" si="28"/>
        <v>#DIV/0!</v>
      </c>
      <c r="AE53" s="104" t="e">
        <f t="shared" si="8"/>
        <v>#DIV/0!</v>
      </c>
      <c r="AF53" s="104"/>
      <c r="AG53" s="104"/>
      <c r="AH53" s="104"/>
      <c r="AI53" s="104"/>
      <c r="AJ53" s="72" t="e">
        <f t="shared" si="36"/>
        <v>#DIV/0!</v>
      </c>
      <c r="AK53" s="76" t="e">
        <f t="shared" si="37"/>
        <v>#DIV/0!</v>
      </c>
      <c r="AL53" s="104" t="e">
        <f t="shared" si="29"/>
        <v>#DIV/0!</v>
      </c>
      <c r="AM53" s="104" t="e">
        <f t="shared" si="11"/>
        <v>#DIV/0!</v>
      </c>
      <c r="AN53" s="76"/>
      <c r="AO53" s="76"/>
      <c r="AP53" s="73" t="e">
        <f t="shared" si="30"/>
        <v>#DIV/0!</v>
      </c>
      <c r="AQ53" s="104" t="e">
        <f t="shared" si="12"/>
        <v>#DIV/0!</v>
      </c>
      <c r="AR53" s="79"/>
      <c r="AS53" s="79"/>
      <c r="AT53" s="73" t="e">
        <f t="shared" si="31"/>
        <v>#DIV/0!</v>
      </c>
      <c r="AU53" s="104" t="e">
        <f t="shared" si="13"/>
        <v>#DIV/0!</v>
      </c>
      <c r="AV53" s="104"/>
      <c r="AW53" s="104"/>
      <c r="AX53" s="104"/>
      <c r="AY53" s="104"/>
      <c r="AZ53" s="83" t="e">
        <f t="shared" si="38"/>
        <v>#DIV/0!</v>
      </c>
      <c r="BA53" s="83" t="e">
        <f t="shared" si="38"/>
        <v>#DIV/0!</v>
      </c>
      <c r="BB53" s="73" t="e">
        <f t="shared" si="32"/>
        <v>#DIV/0!</v>
      </c>
      <c r="BC53" s="104" t="e">
        <f t="shared" si="16"/>
        <v>#DIV/0!</v>
      </c>
      <c r="BD53" s="77"/>
    </row>
    <row r="54" spans="1:56" s="182" customFormat="1" ht="19.5" customHeight="1" x14ac:dyDescent="0.3">
      <c r="A54" s="172" t="s">
        <v>94</v>
      </c>
      <c r="B54" s="173"/>
      <c r="C54" s="174"/>
      <c r="D54" s="175">
        <f>SUM(D2:D53)</f>
        <v>5358</v>
      </c>
      <c r="E54" s="175">
        <f>SUM(E2:E53)</f>
        <v>0</v>
      </c>
      <c r="F54" s="175"/>
      <c r="G54" s="190" t="e">
        <f t="shared" si="0"/>
        <v>#DIV/0!</v>
      </c>
      <c r="H54" s="175">
        <f>SUM(H2:H53)</f>
        <v>23724.534049999998</v>
      </c>
      <c r="I54" s="175">
        <f>SUM(I2:I53)</f>
        <v>0</v>
      </c>
      <c r="J54" s="179"/>
      <c r="K54" s="179" t="e">
        <f t="shared" si="33"/>
        <v>#DIV/0!</v>
      </c>
      <c r="L54" s="175">
        <f>SUM(L2:L53)</f>
        <v>21865.93</v>
      </c>
      <c r="M54" s="175">
        <f>SUM(M2:M53)</f>
        <v>0</v>
      </c>
      <c r="N54" s="179"/>
      <c r="O54" s="179" t="e">
        <f t="shared" si="2"/>
        <v>#DIV/0!</v>
      </c>
      <c r="P54" s="176"/>
      <c r="Q54" s="176"/>
      <c r="R54" s="179"/>
      <c r="S54" s="190" t="e">
        <f t="shared" si="3"/>
        <v>#DIV/0!</v>
      </c>
      <c r="T54" s="176">
        <f t="shared" si="34"/>
        <v>0.24503874292106487</v>
      </c>
      <c r="U54" s="176" t="e">
        <f t="shared" si="35"/>
        <v>#DIV/0!</v>
      </c>
      <c r="V54" s="179"/>
      <c r="W54" s="190" t="e">
        <f t="shared" si="6"/>
        <v>#DIV/0!</v>
      </c>
      <c r="X54" s="177">
        <f>SUM(X2:X53)</f>
        <v>12805</v>
      </c>
      <c r="Y54" s="177">
        <f>SUM(Y2:Y53)</f>
        <v>0</v>
      </c>
      <c r="Z54" s="179"/>
      <c r="AA54" s="190" t="e">
        <f t="shared" si="7"/>
        <v>#DIV/0!</v>
      </c>
      <c r="AB54" s="177">
        <f>SUM(AB2:AB53)</f>
        <v>52</v>
      </c>
      <c r="AC54" s="177">
        <f>SUM(AC2:AC53)</f>
        <v>0</v>
      </c>
      <c r="AD54" s="177"/>
      <c r="AE54" s="190" t="e">
        <f t="shared" si="8"/>
        <v>#DIV/0!</v>
      </c>
      <c r="AF54" s="447"/>
      <c r="AG54" s="447"/>
      <c r="AH54" s="447"/>
      <c r="AI54" s="447"/>
      <c r="AJ54" s="175">
        <f t="shared" si="36"/>
        <v>103.03846153846153</v>
      </c>
      <c r="AK54" s="175" t="e">
        <f t="shared" si="37"/>
        <v>#DIV/0!</v>
      </c>
      <c r="AL54" s="179"/>
      <c r="AM54" s="191" t="e">
        <f t="shared" si="11"/>
        <v>#DIV/0!</v>
      </c>
      <c r="AN54" s="177">
        <f>SUM(AN2:AN53)</f>
        <v>15937</v>
      </c>
      <c r="AO54" s="177">
        <f>SUM(AO2:AO53)</f>
        <v>0</v>
      </c>
      <c r="AP54" s="177"/>
      <c r="AQ54" s="190" t="e">
        <f t="shared" si="12"/>
        <v>#DIV/0!</v>
      </c>
      <c r="AR54" s="177">
        <f>SUM(AR2:AR53)</f>
        <v>628943</v>
      </c>
      <c r="AS54" s="177">
        <f>SUM(AS2:AS53)</f>
        <v>0</v>
      </c>
      <c r="AT54" s="177"/>
      <c r="AU54" s="190" t="e">
        <f t="shared" si="13"/>
        <v>#DIV/0!</v>
      </c>
      <c r="AV54" s="447"/>
      <c r="AW54" s="447"/>
      <c r="AX54" s="447"/>
      <c r="AY54" s="447"/>
      <c r="AZ54" s="178">
        <f t="shared" si="38"/>
        <v>2.5339339177000143E-2</v>
      </c>
      <c r="BA54" s="178" t="e">
        <f t="shared" si="38"/>
        <v>#DIV/0!</v>
      </c>
      <c r="BB54" s="177"/>
      <c r="BC54" s="191" t="e">
        <f t="shared" si="16"/>
        <v>#DIV/0!</v>
      </c>
      <c r="BD54" s="2"/>
    </row>
    <row r="55" spans="1:56" ht="15.75" x14ac:dyDescent="0.25">
      <c r="A55" s="44"/>
      <c r="B55" s="45"/>
      <c r="C55" s="45"/>
      <c r="D55" s="39"/>
      <c r="E55" s="39"/>
      <c r="F55" s="39"/>
      <c r="G55" s="39"/>
      <c r="H55" s="39"/>
      <c r="I55" s="39"/>
      <c r="J55" s="105"/>
      <c r="K55" s="39"/>
      <c r="L55" s="39"/>
      <c r="M55" s="39"/>
      <c r="N55" s="105"/>
      <c r="O55" s="39"/>
      <c r="P55" s="41"/>
      <c r="Q55" s="41"/>
      <c r="R55" s="105"/>
      <c r="S55" s="42"/>
      <c r="T55" s="41"/>
      <c r="U55" s="41"/>
      <c r="V55" s="105"/>
      <c r="W55" s="42"/>
      <c r="X55" s="42"/>
      <c r="Y55" s="42"/>
      <c r="Z55" s="105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36"/>
    </row>
    <row r="56" spans="1:56" ht="15.75" x14ac:dyDescent="0.25">
      <c r="A56" s="44"/>
      <c r="B56" s="36"/>
      <c r="C56" s="36"/>
      <c r="D56" s="39"/>
      <c r="E56" s="39"/>
      <c r="F56" s="39"/>
      <c r="G56" s="39"/>
      <c r="H56" s="39"/>
      <c r="I56" s="39"/>
      <c r="J56" s="105"/>
      <c r="K56" s="39"/>
      <c r="L56" s="39"/>
      <c r="M56" s="39"/>
      <c r="N56" s="105"/>
      <c r="O56" s="39"/>
      <c r="P56" s="41"/>
      <c r="Q56" s="41"/>
      <c r="R56" s="105"/>
      <c r="S56" s="42"/>
      <c r="T56" s="41"/>
      <c r="U56" s="41"/>
      <c r="V56" s="105"/>
      <c r="W56" s="42"/>
      <c r="X56" s="42"/>
      <c r="Y56" s="42"/>
      <c r="Z56" s="105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36"/>
    </row>
    <row r="57" spans="1:56" ht="15.75" x14ac:dyDescent="0.25">
      <c r="A57" s="44"/>
      <c r="B57" s="44"/>
      <c r="C57" s="46"/>
      <c r="D57" s="39"/>
      <c r="E57" s="39"/>
      <c r="F57" s="39"/>
      <c r="G57" s="39"/>
      <c r="H57" s="39"/>
      <c r="I57" s="39"/>
      <c r="J57" s="105"/>
      <c r="K57" s="39"/>
      <c r="L57" s="39"/>
      <c r="M57" s="39"/>
      <c r="N57" s="105"/>
      <c r="O57" s="39"/>
      <c r="P57" s="41"/>
      <c r="Q57" s="41"/>
      <c r="R57" s="105"/>
      <c r="S57" s="42"/>
      <c r="T57" s="41"/>
      <c r="U57" s="41"/>
      <c r="V57" s="105"/>
      <c r="W57" s="42"/>
      <c r="X57" s="42"/>
      <c r="Y57" s="42"/>
      <c r="Z57" s="105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36"/>
    </row>
    <row r="58" spans="1:56" ht="15.75" x14ac:dyDescent="0.25">
      <c r="A58" s="44"/>
      <c r="B58" s="36"/>
      <c r="C58" s="36"/>
      <c r="D58" s="36"/>
      <c r="E58" s="36"/>
      <c r="F58" s="36"/>
      <c r="G58" s="36"/>
      <c r="H58" s="36"/>
      <c r="I58" s="36"/>
      <c r="J58" s="105"/>
      <c r="K58" s="36"/>
      <c r="L58" s="36"/>
      <c r="M58" s="36"/>
      <c r="N58" s="105"/>
      <c r="O58" s="36"/>
      <c r="P58" s="36"/>
      <c r="Q58" s="36"/>
      <c r="R58" s="105"/>
      <c r="S58" s="36"/>
      <c r="T58" s="36"/>
      <c r="U58" s="36"/>
      <c r="V58" s="105"/>
      <c r="W58" s="36"/>
      <c r="X58" s="36"/>
      <c r="Y58" s="36"/>
      <c r="Z58" s="105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42"/>
      <c r="AO58" s="42"/>
      <c r="AP58" s="36"/>
      <c r="AQ58" s="36"/>
      <c r="AR58" s="42"/>
      <c r="AS58" s="42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</row>
    <row r="59" spans="1:56" ht="15.75" x14ac:dyDescent="0.25">
      <c r="A59" s="44"/>
      <c r="B59" s="36"/>
      <c r="C59" s="36"/>
      <c r="D59" s="36"/>
      <c r="E59" s="36"/>
      <c r="F59" s="36"/>
      <c r="G59" s="36"/>
      <c r="H59" s="36"/>
      <c r="I59" s="36"/>
      <c r="J59" s="105"/>
      <c r="K59" s="36"/>
      <c r="L59" s="36"/>
      <c r="M59" s="36"/>
      <c r="N59" s="105"/>
      <c r="O59" s="36"/>
      <c r="P59" s="36"/>
      <c r="Q59" s="36"/>
      <c r="R59" s="105"/>
      <c r="S59" s="36"/>
      <c r="T59" s="36"/>
      <c r="U59" s="36"/>
      <c r="V59" s="105"/>
      <c r="W59" s="36"/>
      <c r="X59" s="36"/>
      <c r="Y59" s="36"/>
      <c r="Z59" s="105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42"/>
      <c r="AO59" s="42"/>
      <c r="AP59" s="36"/>
      <c r="AQ59" s="36"/>
      <c r="AR59" s="42"/>
      <c r="AS59" s="42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</row>
    <row r="60" spans="1:56" ht="15.75" x14ac:dyDescent="0.25">
      <c r="A60" s="44"/>
      <c r="B60" s="36"/>
      <c r="C60" s="36"/>
      <c r="D60" s="36"/>
      <c r="E60" s="36"/>
      <c r="F60" s="36"/>
      <c r="G60" s="36"/>
      <c r="H60" s="36"/>
      <c r="I60" s="36"/>
      <c r="J60" s="105"/>
      <c r="K60" s="36"/>
      <c r="L60" s="36"/>
      <c r="M60" s="36"/>
      <c r="N60" s="105"/>
      <c r="O60" s="36"/>
      <c r="P60" s="36"/>
      <c r="Q60" s="36"/>
      <c r="R60" s="105"/>
      <c r="S60" s="36"/>
      <c r="T60" s="36"/>
      <c r="U60" s="36"/>
      <c r="V60" s="105"/>
      <c r="W60" s="36"/>
      <c r="X60" s="36"/>
      <c r="Y60" s="36"/>
      <c r="Z60" s="105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42"/>
      <c r="AO60" s="42"/>
      <c r="AP60" s="36"/>
      <c r="AQ60" s="36"/>
      <c r="AR60" s="42"/>
      <c r="AS60" s="42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</row>
    <row r="61" spans="1:56" ht="15.75" x14ac:dyDescent="0.25">
      <c r="A61" s="44"/>
      <c r="B61" s="36"/>
      <c r="C61" s="36"/>
      <c r="D61" s="36"/>
      <c r="E61" s="36"/>
      <c r="F61" s="36"/>
      <c r="G61" s="36"/>
      <c r="H61" s="36"/>
      <c r="I61" s="36"/>
      <c r="J61" s="105"/>
      <c r="K61" s="36"/>
      <c r="L61" s="36"/>
      <c r="M61" s="36"/>
      <c r="N61" s="105"/>
      <c r="O61" s="36"/>
      <c r="P61" s="36"/>
      <c r="Q61" s="36"/>
      <c r="R61" s="105"/>
      <c r="S61" s="36"/>
      <c r="T61" s="36"/>
      <c r="U61" s="36"/>
      <c r="V61" s="105"/>
      <c r="W61" s="36"/>
      <c r="X61" s="36"/>
      <c r="Y61" s="36"/>
      <c r="Z61" s="105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42"/>
      <c r="AO61" s="42"/>
      <c r="AP61" s="36"/>
      <c r="AQ61" s="36"/>
      <c r="AR61" s="42"/>
      <c r="AS61" s="42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</row>
    <row r="62" spans="1:56" ht="15.75" x14ac:dyDescent="0.25">
      <c r="A62" s="44"/>
      <c r="B62" s="36"/>
      <c r="C62" s="36"/>
      <c r="D62" s="36"/>
      <c r="E62" s="36"/>
      <c r="F62" s="36"/>
      <c r="G62" s="36"/>
      <c r="H62" s="36"/>
      <c r="I62" s="36"/>
      <c r="J62" s="105"/>
      <c r="K62" s="36"/>
      <c r="L62" s="36"/>
      <c r="M62" s="36"/>
      <c r="N62" s="105"/>
      <c r="O62" s="36"/>
      <c r="P62" s="36"/>
      <c r="Q62" s="36"/>
      <c r="R62" s="105"/>
      <c r="S62" s="36"/>
      <c r="T62" s="36"/>
      <c r="U62" s="36"/>
      <c r="V62" s="105"/>
      <c r="W62" s="36"/>
      <c r="X62" s="36"/>
      <c r="Y62" s="36"/>
      <c r="Z62" s="105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42"/>
      <c r="AO62" s="42"/>
      <c r="AP62" s="36"/>
      <c r="AQ62" s="36"/>
      <c r="AR62" s="42"/>
      <c r="AS62" s="42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</row>
    <row r="63" spans="1:56" ht="15.75" x14ac:dyDescent="0.25">
      <c r="A63" s="44"/>
      <c r="B63" s="36"/>
      <c r="C63" s="36"/>
      <c r="D63" s="36"/>
      <c r="E63" s="36"/>
      <c r="F63" s="36"/>
      <c r="G63" s="36"/>
      <c r="H63" s="36"/>
      <c r="I63" s="36"/>
      <c r="J63" s="105"/>
      <c r="K63" s="36"/>
      <c r="L63" s="36"/>
      <c r="M63" s="36"/>
      <c r="N63" s="105"/>
      <c r="O63" s="36"/>
      <c r="P63" s="36"/>
      <c r="Q63" s="36"/>
      <c r="R63" s="105"/>
      <c r="S63" s="36"/>
      <c r="T63" s="36"/>
      <c r="U63" s="36"/>
      <c r="V63" s="105"/>
      <c r="W63" s="36"/>
      <c r="X63" s="36"/>
      <c r="Y63" s="36"/>
      <c r="Z63" s="105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42"/>
      <c r="AO63" s="42"/>
      <c r="AP63" s="36"/>
      <c r="AQ63" s="36"/>
      <c r="AR63" s="42"/>
      <c r="AS63" s="42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</row>
    <row r="64" spans="1:56" ht="15.75" x14ac:dyDescent="0.25">
      <c r="A64" s="44"/>
      <c r="B64" s="36"/>
      <c r="C64" s="36"/>
      <c r="D64" s="36"/>
      <c r="E64" s="36"/>
      <c r="F64" s="36"/>
      <c r="G64" s="36"/>
      <c r="H64" s="36"/>
      <c r="I64" s="36"/>
      <c r="J64" s="105"/>
      <c r="K64" s="36"/>
      <c r="L64" s="36"/>
      <c r="M64" s="36"/>
      <c r="N64" s="105"/>
      <c r="O64" s="36"/>
      <c r="P64" s="36"/>
      <c r="Q64" s="36"/>
      <c r="R64" s="105"/>
      <c r="S64" s="36"/>
      <c r="T64" s="36"/>
      <c r="U64" s="36"/>
      <c r="V64" s="105"/>
      <c r="W64" s="36"/>
      <c r="X64" s="36"/>
      <c r="Y64" s="36"/>
      <c r="Z64" s="105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42"/>
      <c r="AO64" s="42"/>
      <c r="AP64" s="36"/>
      <c r="AQ64" s="36"/>
      <c r="AR64" s="42"/>
      <c r="AS64" s="42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</row>
    <row r="65" spans="1:56" ht="15.75" x14ac:dyDescent="0.25">
      <c r="A65" s="44"/>
      <c r="B65" s="36"/>
      <c r="C65" s="36"/>
      <c r="D65" s="36"/>
      <c r="E65" s="36"/>
      <c r="F65" s="36"/>
      <c r="G65" s="36"/>
      <c r="H65" s="36"/>
      <c r="I65" s="36"/>
      <c r="J65" s="105"/>
      <c r="K65" s="36"/>
      <c r="L65" s="36"/>
      <c r="M65" s="36"/>
      <c r="N65" s="105"/>
      <c r="O65" s="36"/>
      <c r="P65" s="36"/>
      <c r="Q65" s="36"/>
      <c r="R65" s="105"/>
      <c r="S65" s="36"/>
      <c r="T65" s="36"/>
      <c r="U65" s="36"/>
      <c r="V65" s="105"/>
      <c r="W65" s="36"/>
      <c r="X65" s="36"/>
      <c r="Y65" s="36"/>
      <c r="Z65" s="105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42"/>
      <c r="AO65" s="42"/>
      <c r="AP65" s="36"/>
      <c r="AQ65" s="36"/>
      <c r="AR65" s="42"/>
      <c r="AS65" s="42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</row>
    <row r="66" spans="1:56" ht="15.75" x14ac:dyDescent="0.25">
      <c r="A66" s="44"/>
      <c r="B66" s="36"/>
      <c r="C66" s="36"/>
      <c r="D66" s="36"/>
      <c r="E66" s="36"/>
      <c r="F66" s="36"/>
      <c r="G66" s="36"/>
      <c r="H66" s="36"/>
      <c r="I66" s="36"/>
      <c r="J66" s="105"/>
      <c r="K66" s="36"/>
      <c r="L66" s="36"/>
      <c r="M66" s="36"/>
      <c r="N66" s="105"/>
      <c r="O66" s="36"/>
      <c r="P66" s="36"/>
      <c r="Q66" s="36"/>
      <c r="R66" s="105"/>
      <c r="S66" s="36"/>
      <c r="T66" s="36"/>
      <c r="U66" s="36"/>
      <c r="V66" s="105"/>
      <c r="W66" s="36"/>
      <c r="X66" s="36"/>
      <c r="Y66" s="36"/>
      <c r="Z66" s="105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42"/>
      <c r="AO66" s="42"/>
      <c r="AP66" s="36"/>
      <c r="AQ66" s="36"/>
      <c r="AR66" s="42"/>
      <c r="AS66" s="42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</row>
    <row r="67" spans="1:56" ht="15.75" x14ac:dyDescent="0.25">
      <c r="A67" s="44"/>
      <c r="B67" s="36"/>
      <c r="C67" s="36"/>
      <c r="D67" s="36"/>
      <c r="E67" s="36"/>
      <c r="F67" s="36"/>
      <c r="G67" s="36"/>
      <c r="H67" s="36"/>
      <c r="I67" s="36"/>
      <c r="J67" s="105"/>
      <c r="K67" s="36"/>
      <c r="L67" s="36"/>
      <c r="M67" s="36"/>
      <c r="N67" s="105"/>
      <c r="O67" s="36"/>
      <c r="P67" s="36"/>
      <c r="Q67" s="36"/>
      <c r="R67" s="105"/>
      <c r="S67" s="36"/>
      <c r="T67" s="36"/>
      <c r="U67" s="36"/>
      <c r="V67" s="105"/>
      <c r="W67" s="36"/>
      <c r="X67" s="36"/>
      <c r="Y67" s="36"/>
      <c r="Z67" s="105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42"/>
      <c r="AO67" s="42"/>
      <c r="AP67" s="36"/>
      <c r="AQ67" s="36"/>
      <c r="AR67" s="42"/>
      <c r="AS67" s="42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</row>
    <row r="68" spans="1:56" ht="15.75" x14ac:dyDescent="0.25">
      <c r="A68" s="44"/>
      <c r="B68" s="36"/>
      <c r="C68" s="36"/>
      <c r="D68" s="36"/>
      <c r="E68" s="36"/>
      <c r="F68" s="36"/>
      <c r="G68" s="36"/>
      <c r="H68" s="36"/>
      <c r="I68" s="36"/>
      <c r="J68" s="105"/>
      <c r="K68" s="36"/>
      <c r="L68" s="36"/>
      <c r="M68" s="36"/>
      <c r="N68" s="105"/>
      <c r="O68" s="36"/>
      <c r="P68" s="36"/>
      <c r="Q68" s="36"/>
      <c r="R68" s="105"/>
      <c r="S68" s="36"/>
      <c r="T68" s="36"/>
      <c r="U68" s="36"/>
      <c r="V68" s="105"/>
      <c r="W68" s="36"/>
      <c r="X68" s="36"/>
      <c r="Y68" s="36"/>
      <c r="Z68" s="105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42"/>
      <c r="AO68" s="42"/>
      <c r="AP68" s="36"/>
      <c r="AQ68" s="36"/>
      <c r="AR68" s="42"/>
      <c r="AS68" s="42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</row>
    <row r="69" spans="1:56" ht="15.75" x14ac:dyDescent="0.25">
      <c r="A69" s="44"/>
      <c r="B69" s="36"/>
      <c r="C69" s="36"/>
      <c r="D69" s="36"/>
      <c r="E69" s="36"/>
      <c r="F69" s="36"/>
      <c r="G69" s="36"/>
      <c r="H69" s="36"/>
      <c r="I69" s="36"/>
      <c r="J69" s="105"/>
      <c r="K69" s="36"/>
      <c r="L69" s="36"/>
      <c r="M69" s="36"/>
      <c r="N69" s="105"/>
      <c r="O69" s="36"/>
      <c r="P69" s="36"/>
      <c r="Q69" s="36"/>
      <c r="R69" s="105"/>
      <c r="S69" s="36"/>
      <c r="T69" s="36"/>
      <c r="U69" s="36"/>
      <c r="V69" s="105"/>
      <c r="W69" s="36"/>
      <c r="X69" s="36"/>
      <c r="Y69" s="36"/>
      <c r="Z69" s="105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42"/>
      <c r="AO69" s="42"/>
      <c r="AP69" s="36"/>
      <c r="AQ69" s="36"/>
      <c r="AR69" s="42"/>
      <c r="AS69" s="42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</row>
    <row r="70" spans="1:56" ht="15.75" x14ac:dyDescent="0.25">
      <c r="A70" s="44"/>
      <c r="B70" s="36"/>
      <c r="C70" s="36"/>
      <c r="D70" s="36"/>
      <c r="E70" s="36"/>
      <c r="F70" s="36"/>
      <c r="G70" s="36"/>
      <c r="H70" s="36"/>
      <c r="I70" s="36"/>
      <c r="J70" s="105"/>
      <c r="K70" s="36"/>
      <c r="L70" s="36"/>
      <c r="M70" s="36"/>
      <c r="N70" s="105"/>
      <c r="O70" s="36"/>
      <c r="P70" s="36"/>
      <c r="Q70" s="36"/>
      <c r="R70" s="105"/>
      <c r="S70" s="36"/>
      <c r="T70" s="36"/>
      <c r="U70" s="36"/>
      <c r="V70" s="105"/>
      <c r="W70" s="36"/>
      <c r="X70" s="36"/>
      <c r="Y70" s="36"/>
      <c r="Z70" s="105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42"/>
      <c r="AO70" s="42"/>
      <c r="AP70" s="36"/>
      <c r="AQ70" s="36"/>
      <c r="AR70" s="42"/>
      <c r="AS70" s="42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</row>
    <row r="71" spans="1:56" ht="15.75" x14ac:dyDescent="0.25">
      <c r="A71" s="44"/>
      <c r="B71" s="36"/>
      <c r="C71" s="36"/>
      <c r="D71" s="36"/>
      <c r="E71" s="36"/>
      <c r="F71" s="36"/>
      <c r="G71" s="36"/>
      <c r="H71" s="36"/>
      <c r="I71" s="36"/>
      <c r="J71" s="105"/>
      <c r="K71" s="36"/>
      <c r="L71" s="36"/>
      <c r="M71" s="36"/>
      <c r="N71" s="105"/>
      <c r="O71" s="36"/>
      <c r="P71" s="36"/>
      <c r="Q71" s="36"/>
      <c r="R71" s="105"/>
      <c r="S71" s="36"/>
      <c r="T71" s="36"/>
      <c r="U71" s="36"/>
      <c r="V71" s="105"/>
      <c r="W71" s="36"/>
      <c r="X71" s="36"/>
      <c r="Y71" s="36"/>
      <c r="Z71" s="105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42"/>
      <c r="AO71" s="42"/>
      <c r="AP71" s="36"/>
      <c r="AQ71" s="36"/>
      <c r="AR71" s="42"/>
      <c r="AS71" s="42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</row>
    <row r="72" spans="1:56" ht="15.75" x14ac:dyDescent="0.25">
      <c r="A72" s="44"/>
      <c r="B72" s="36"/>
      <c r="C72" s="36"/>
      <c r="D72" s="36"/>
      <c r="E72" s="36"/>
      <c r="F72" s="36"/>
      <c r="G72" s="36"/>
      <c r="H72" s="36"/>
      <c r="I72" s="36"/>
      <c r="J72" s="105"/>
      <c r="K72" s="36"/>
      <c r="L72" s="36"/>
      <c r="M72" s="36"/>
      <c r="N72" s="105"/>
      <c r="O72" s="36"/>
      <c r="P72" s="36"/>
      <c r="Q72" s="36"/>
      <c r="R72" s="105"/>
      <c r="S72" s="36"/>
      <c r="T72" s="36"/>
      <c r="U72" s="36"/>
      <c r="V72" s="105"/>
      <c r="W72" s="36"/>
      <c r="X72" s="36"/>
      <c r="Y72" s="36"/>
      <c r="Z72" s="105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42"/>
      <c r="AO72" s="42"/>
      <c r="AP72" s="36"/>
      <c r="AQ72" s="36"/>
      <c r="AR72" s="42"/>
      <c r="AS72" s="42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</row>
    <row r="73" spans="1:56" ht="15.75" x14ac:dyDescent="0.25">
      <c r="A73" s="44"/>
      <c r="B73" s="36"/>
      <c r="C73" s="36"/>
      <c r="D73" s="36"/>
      <c r="E73" s="36"/>
      <c r="F73" s="36"/>
      <c r="G73" s="36"/>
      <c r="H73" s="36"/>
      <c r="I73" s="36"/>
      <c r="J73" s="105"/>
      <c r="K73" s="36"/>
      <c r="L73" s="36"/>
      <c r="M73" s="36"/>
      <c r="N73" s="105"/>
      <c r="O73" s="36"/>
      <c r="P73" s="36"/>
      <c r="Q73" s="36"/>
      <c r="R73" s="105"/>
      <c r="S73" s="36"/>
      <c r="T73" s="36"/>
      <c r="U73" s="36"/>
      <c r="V73" s="105"/>
      <c r="W73" s="36"/>
      <c r="X73" s="36"/>
      <c r="Y73" s="36"/>
      <c r="Z73" s="105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42"/>
      <c r="AO73" s="42"/>
      <c r="AP73" s="36"/>
      <c r="AQ73" s="36"/>
      <c r="AR73" s="42"/>
      <c r="AS73" s="42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</row>
    <row r="74" spans="1:56" ht="15.75" x14ac:dyDescent="0.25">
      <c r="A74" s="44"/>
      <c r="B74" s="36"/>
      <c r="C74" s="36"/>
      <c r="D74" s="36"/>
      <c r="E74" s="36"/>
      <c r="F74" s="36"/>
      <c r="G74" s="36"/>
      <c r="H74" s="36"/>
      <c r="I74" s="36"/>
      <c r="J74" s="105"/>
      <c r="K74" s="36"/>
      <c r="L74" s="36"/>
      <c r="M74" s="36"/>
      <c r="N74" s="105"/>
      <c r="O74" s="36"/>
      <c r="P74" s="36"/>
      <c r="Q74" s="36"/>
      <c r="R74" s="105"/>
      <c r="S74" s="36"/>
      <c r="T74" s="36"/>
      <c r="U74" s="36"/>
      <c r="V74" s="105"/>
      <c r="W74" s="36"/>
      <c r="X74" s="36"/>
      <c r="Y74" s="36"/>
      <c r="Z74" s="105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42"/>
      <c r="AO74" s="42"/>
      <c r="AP74" s="36"/>
      <c r="AQ74" s="36"/>
      <c r="AR74" s="42"/>
      <c r="AS74" s="42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</row>
    <row r="75" spans="1:56" ht="15.75" x14ac:dyDescent="0.25">
      <c r="A75" s="44"/>
      <c r="B75" s="36"/>
      <c r="C75" s="36"/>
      <c r="D75" s="36"/>
      <c r="E75" s="36"/>
      <c r="F75" s="36"/>
      <c r="G75" s="36"/>
      <c r="H75" s="36"/>
      <c r="I75" s="36"/>
      <c r="J75" s="105"/>
      <c r="K75" s="36"/>
      <c r="L75" s="36"/>
      <c r="M75" s="36"/>
      <c r="N75" s="105"/>
      <c r="O75" s="36"/>
      <c r="P75" s="36"/>
      <c r="Q75" s="36"/>
      <c r="R75" s="105"/>
      <c r="S75" s="36"/>
      <c r="T75" s="36"/>
      <c r="U75" s="36"/>
      <c r="V75" s="105"/>
      <c r="W75" s="36"/>
      <c r="X75" s="36"/>
      <c r="Y75" s="36"/>
      <c r="Z75" s="105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42"/>
      <c r="AO75" s="42"/>
      <c r="AP75" s="36"/>
      <c r="AQ75" s="36"/>
      <c r="AR75" s="42"/>
      <c r="AS75" s="42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</row>
    <row r="76" spans="1:56" ht="15.75" x14ac:dyDescent="0.25">
      <c r="A76" s="44"/>
      <c r="B76" s="36"/>
      <c r="C76" s="36"/>
      <c r="D76" s="36"/>
      <c r="E76" s="36"/>
      <c r="F76" s="36"/>
      <c r="G76" s="36"/>
      <c r="H76" s="36"/>
      <c r="I76" s="36"/>
      <c r="J76" s="105"/>
      <c r="K76" s="36"/>
      <c r="L76" s="36"/>
      <c r="M76" s="36"/>
      <c r="N76" s="105"/>
      <c r="O76" s="36"/>
      <c r="P76" s="36"/>
      <c r="Q76" s="36"/>
      <c r="R76" s="105"/>
      <c r="S76" s="36"/>
      <c r="T76" s="36"/>
      <c r="U76" s="36"/>
      <c r="V76" s="105"/>
      <c r="W76" s="36"/>
      <c r="X76" s="36"/>
      <c r="Y76" s="36"/>
      <c r="Z76" s="105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42"/>
      <c r="AO76" s="42"/>
      <c r="AP76" s="36"/>
      <c r="AQ76" s="36"/>
      <c r="AR76" s="42"/>
      <c r="AS76" s="42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</row>
    <row r="77" spans="1:56" ht="15.75" x14ac:dyDescent="0.25">
      <c r="A77" s="44"/>
      <c r="B77" s="36"/>
      <c r="C77" s="36"/>
      <c r="D77" s="36"/>
      <c r="E77" s="36"/>
      <c r="F77" s="36"/>
      <c r="G77" s="36"/>
      <c r="H77" s="36"/>
      <c r="I77" s="36"/>
      <c r="J77" s="105"/>
      <c r="K77" s="36"/>
      <c r="L77" s="36"/>
      <c r="M77" s="36"/>
      <c r="N77" s="105"/>
      <c r="O77" s="36"/>
      <c r="P77" s="36"/>
      <c r="Q77" s="36"/>
      <c r="R77" s="105"/>
      <c r="S77" s="36"/>
      <c r="T77" s="36"/>
      <c r="U77" s="36"/>
      <c r="V77" s="105"/>
      <c r="W77" s="36"/>
      <c r="X77" s="36"/>
      <c r="Y77" s="36"/>
      <c r="Z77" s="105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42"/>
      <c r="AO77" s="42"/>
      <c r="AP77" s="36"/>
      <c r="AQ77" s="36"/>
      <c r="AR77" s="42"/>
      <c r="AS77" s="42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</row>
    <row r="78" spans="1:56" ht="15.75" x14ac:dyDescent="0.25">
      <c r="A78" s="44"/>
      <c r="B78" s="36"/>
      <c r="C78" s="36"/>
      <c r="D78" s="36"/>
      <c r="E78" s="36"/>
      <c r="F78" s="36"/>
      <c r="G78" s="36"/>
      <c r="H78" s="36"/>
      <c r="I78" s="36"/>
      <c r="J78" s="105"/>
      <c r="K78" s="36"/>
      <c r="L78" s="36"/>
      <c r="M78" s="36"/>
      <c r="N78" s="105"/>
      <c r="O78" s="36"/>
      <c r="P78" s="36"/>
      <c r="Q78" s="36"/>
      <c r="R78" s="105"/>
      <c r="S78" s="36"/>
      <c r="T78" s="36"/>
      <c r="U78" s="36"/>
      <c r="V78" s="105"/>
      <c r="W78" s="36"/>
      <c r="X78" s="36"/>
      <c r="Y78" s="36"/>
      <c r="Z78" s="105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42"/>
      <c r="AO78" s="42"/>
      <c r="AP78" s="36"/>
      <c r="AQ78" s="36"/>
      <c r="AR78" s="42"/>
      <c r="AS78" s="42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</row>
    <row r="79" spans="1:56" ht="15.75" x14ac:dyDescent="0.25">
      <c r="A79" s="44"/>
      <c r="B79" s="36"/>
      <c r="C79" s="36"/>
      <c r="D79" s="36"/>
      <c r="E79" s="36"/>
      <c r="F79" s="36"/>
      <c r="G79" s="36"/>
      <c r="H79" s="36"/>
      <c r="I79" s="36"/>
      <c r="J79" s="105"/>
      <c r="K79" s="36"/>
      <c r="L79" s="36"/>
      <c r="M79" s="36"/>
      <c r="N79" s="105"/>
      <c r="O79" s="36"/>
      <c r="P79" s="36"/>
      <c r="Q79" s="36"/>
      <c r="R79" s="105"/>
      <c r="S79" s="36"/>
      <c r="T79" s="36"/>
      <c r="U79" s="36"/>
      <c r="V79" s="105"/>
      <c r="W79" s="36"/>
      <c r="X79" s="36"/>
      <c r="Y79" s="36"/>
      <c r="Z79" s="105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42"/>
      <c r="AO79" s="42"/>
      <c r="AP79" s="36"/>
      <c r="AQ79" s="36"/>
      <c r="AR79" s="42"/>
      <c r="AS79" s="42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</row>
    <row r="80" spans="1:56" ht="15.75" x14ac:dyDescent="0.25">
      <c r="A80" s="44"/>
      <c r="B80" s="36"/>
      <c r="C80" s="36"/>
      <c r="D80" s="36"/>
      <c r="E80" s="36"/>
      <c r="F80" s="36"/>
      <c r="G80" s="36"/>
      <c r="H80" s="36"/>
      <c r="I80" s="36"/>
      <c r="J80" s="105"/>
      <c r="K80" s="36"/>
      <c r="L80" s="36"/>
      <c r="M80" s="36"/>
      <c r="N80" s="105"/>
      <c r="O80" s="36"/>
      <c r="P80" s="36"/>
      <c r="Q80" s="36"/>
      <c r="R80" s="105"/>
      <c r="S80" s="36"/>
      <c r="T80" s="36"/>
      <c r="U80" s="36"/>
      <c r="V80" s="105"/>
      <c r="W80" s="36"/>
      <c r="X80" s="36"/>
      <c r="Y80" s="36"/>
      <c r="Z80" s="105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42"/>
      <c r="AO80" s="42"/>
      <c r="AP80" s="36"/>
      <c r="AQ80" s="36"/>
      <c r="AR80" s="42"/>
      <c r="AS80" s="42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</row>
    <row r="81" spans="1:56" ht="15.75" x14ac:dyDescent="0.25">
      <c r="A81" s="44"/>
      <c r="B81" s="36"/>
      <c r="C81" s="36"/>
      <c r="D81" s="36"/>
      <c r="E81" s="36"/>
      <c r="F81" s="36"/>
      <c r="G81" s="36"/>
      <c r="H81" s="36"/>
      <c r="I81" s="36"/>
      <c r="J81" s="105"/>
      <c r="K81" s="36"/>
      <c r="L81" s="36"/>
      <c r="M81" s="36"/>
      <c r="N81" s="105"/>
      <c r="O81" s="36"/>
      <c r="P81" s="36"/>
      <c r="Q81" s="36"/>
      <c r="R81" s="105"/>
      <c r="S81" s="36"/>
      <c r="T81" s="36"/>
      <c r="U81" s="36"/>
      <c r="V81" s="105"/>
      <c r="W81" s="36"/>
      <c r="X81" s="36"/>
      <c r="Y81" s="36"/>
      <c r="Z81" s="105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42"/>
      <c r="AO81" s="42"/>
      <c r="AP81" s="36"/>
      <c r="AQ81" s="36"/>
      <c r="AR81" s="42"/>
      <c r="AS81" s="42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</row>
    <row r="82" spans="1:56" ht="15.75" x14ac:dyDescent="0.25">
      <c r="A82" s="44"/>
      <c r="B82" s="36"/>
      <c r="C82" s="36"/>
      <c r="D82" s="36"/>
      <c r="E82" s="36"/>
      <c r="F82" s="36"/>
      <c r="G82" s="36"/>
      <c r="H82" s="36"/>
      <c r="I82" s="36"/>
      <c r="J82" s="105"/>
      <c r="K82" s="36"/>
      <c r="L82" s="36"/>
      <c r="M82" s="36"/>
      <c r="N82" s="105"/>
      <c r="O82" s="36"/>
      <c r="P82" s="36"/>
      <c r="Q82" s="36"/>
      <c r="R82" s="105"/>
      <c r="S82" s="36"/>
      <c r="T82" s="36"/>
      <c r="U82" s="36"/>
      <c r="V82" s="105"/>
      <c r="W82" s="36"/>
      <c r="X82" s="36"/>
      <c r="Y82" s="36"/>
      <c r="Z82" s="105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42"/>
      <c r="AO82" s="42"/>
      <c r="AP82" s="36"/>
      <c r="AQ82" s="36"/>
      <c r="AR82" s="42"/>
      <c r="AS82" s="42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</row>
    <row r="83" spans="1:56" ht="15.75" x14ac:dyDescent="0.25">
      <c r="A83" s="44"/>
      <c r="B83" s="36"/>
      <c r="C83" s="36"/>
      <c r="D83" s="36"/>
      <c r="E83" s="36"/>
      <c r="F83" s="36"/>
      <c r="G83" s="36"/>
      <c r="H83" s="36"/>
      <c r="I83" s="36"/>
      <c r="J83" s="105"/>
      <c r="K83" s="36"/>
      <c r="L83" s="36"/>
      <c r="M83" s="36"/>
      <c r="N83" s="105"/>
      <c r="O83" s="36"/>
      <c r="P83" s="36"/>
      <c r="Q83" s="36"/>
      <c r="R83" s="105"/>
      <c r="S83" s="36"/>
      <c r="T83" s="36"/>
      <c r="U83" s="36"/>
      <c r="V83" s="105"/>
      <c r="W83" s="36"/>
      <c r="X83" s="36"/>
      <c r="Y83" s="36"/>
      <c r="Z83" s="105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42"/>
      <c r="AO83" s="42"/>
      <c r="AP83" s="36"/>
      <c r="AQ83" s="36"/>
      <c r="AR83" s="42"/>
      <c r="AS83" s="42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</row>
    <row r="84" spans="1:56" ht="15.75" x14ac:dyDescent="0.25">
      <c r="A84" s="44"/>
      <c r="B84" s="36"/>
      <c r="C84" s="36"/>
      <c r="D84" s="36"/>
      <c r="E84" s="36"/>
      <c r="F84" s="36"/>
      <c r="G84" s="36"/>
      <c r="H84" s="36"/>
      <c r="I84" s="36"/>
      <c r="J84" s="105"/>
      <c r="K84" s="36"/>
      <c r="L84" s="36"/>
      <c r="M84" s="36"/>
      <c r="N84" s="105"/>
      <c r="O84" s="36"/>
      <c r="P84" s="36"/>
      <c r="Q84" s="36"/>
      <c r="R84" s="105"/>
      <c r="S84" s="36"/>
      <c r="T84" s="36"/>
      <c r="U84" s="36"/>
      <c r="V84" s="105"/>
      <c r="W84" s="36"/>
      <c r="X84" s="36"/>
      <c r="Y84" s="36"/>
      <c r="Z84" s="105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42"/>
      <c r="AO84" s="42"/>
      <c r="AP84" s="36"/>
      <c r="AQ84" s="36"/>
      <c r="AR84" s="42"/>
      <c r="AS84" s="42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</row>
    <row r="85" spans="1:56" ht="15.75" x14ac:dyDescent="0.25">
      <c r="A85" s="44"/>
      <c r="B85" s="36"/>
      <c r="C85" s="36"/>
      <c r="D85" s="36"/>
      <c r="E85" s="36"/>
      <c r="F85" s="36"/>
      <c r="G85" s="36"/>
      <c r="H85" s="36"/>
      <c r="I85" s="36"/>
      <c r="J85" s="105"/>
      <c r="K85" s="36"/>
      <c r="L85" s="36"/>
      <c r="M85" s="36"/>
      <c r="N85" s="105"/>
      <c r="O85" s="36"/>
      <c r="P85" s="36"/>
      <c r="Q85" s="36"/>
      <c r="R85" s="105"/>
      <c r="S85" s="36"/>
      <c r="T85" s="36"/>
      <c r="U85" s="36"/>
      <c r="V85" s="105"/>
      <c r="W85" s="36"/>
      <c r="X85" s="36"/>
      <c r="Y85" s="36"/>
      <c r="Z85" s="105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42"/>
      <c r="AO85" s="42"/>
      <c r="AP85" s="36"/>
      <c r="AQ85" s="36"/>
      <c r="AR85" s="42"/>
      <c r="AS85" s="42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</row>
    <row r="86" spans="1:56" ht="15.75" x14ac:dyDescent="0.25">
      <c r="A86" s="44"/>
      <c r="B86" s="36"/>
      <c r="C86" s="36"/>
      <c r="D86" s="36"/>
      <c r="E86" s="36"/>
      <c r="F86" s="36"/>
      <c r="G86" s="36"/>
      <c r="H86" s="36"/>
      <c r="I86" s="36"/>
      <c r="J86" s="105"/>
      <c r="K86" s="36"/>
      <c r="L86" s="36"/>
      <c r="M86" s="36"/>
      <c r="N86" s="105"/>
      <c r="O86" s="36"/>
      <c r="P86" s="36"/>
      <c r="Q86" s="36"/>
      <c r="R86" s="105"/>
      <c r="S86" s="36"/>
      <c r="T86" s="36"/>
      <c r="U86" s="36"/>
      <c r="V86" s="105"/>
      <c r="W86" s="36"/>
      <c r="X86" s="36"/>
      <c r="Y86" s="36"/>
      <c r="Z86" s="105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42"/>
      <c r="AO86" s="42"/>
      <c r="AP86" s="36"/>
      <c r="AQ86" s="36"/>
      <c r="AR86" s="42"/>
      <c r="AS86" s="42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</row>
    <row r="87" spans="1:56" ht="15.75" x14ac:dyDescent="0.25">
      <c r="A87" s="44"/>
      <c r="B87" s="36"/>
      <c r="C87" s="36"/>
      <c r="D87" s="36"/>
      <c r="E87" s="36"/>
      <c r="F87" s="36"/>
      <c r="G87" s="36"/>
      <c r="H87" s="36"/>
      <c r="I87" s="36"/>
      <c r="J87" s="105"/>
      <c r="K87" s="36"/>
      <c r="L87" s="36"/>
      <c r="M87" s="36"/>
      <c r="N87" s="105"/>
      <c r="O87" s="36"/>
      <c r="P87" s="36"/>
      <c r="Q87" s="36"/>
      <c r="R87" s="105"/>
      <c r="S87" s="36"/>
      <c r="T87" s="36"/>
      <c r="U87" s="36"/>
      <c r="V87" s="105"/>
      <c r="W87" s="36"/>
      <c r="X87" s="36"/>
      <c r="Y87" s="36"/>
      <c r="Z87" s="105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42"/>
      <c r="AO87" s="42"/>
      <c r="AP87" s="36"/>
      <c r="AQ87" s="36"/>
      <c r="AR87" s="42"/>
      <c r="AS87" s="42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</row>
    <row r="88" spans="1:56" ht="15.75" x14ac:dyDescent="0.25">
      <c r="A88" s="44"/>
      <c r="B88" s="36"/>
      <c r="C88" s="36"/>
      <c r="D88" s="36"/>
      <c r="E88" s="36"/>
      <c r="F88" s="36"/>
      <c r="G88" s="36"/>
      <c r="H88" s="36"/>
      <c r="I88" s="36"/>
      <c r="J88" s="105"/>
      <c r="K88" s="36"/>
      <c r="L88" s="36"/>
      <c r="M88" s="36"/>
      <c r="N88" s="105"/>
      <c r="O88" s="36"/>
      <c r="P88" s="36"/>
      <c r="Q88" s="36"/>
      <c r="R88" s="105"/>
      <c r="S88" s="36"/>
      <c r="T88" s="36"/>
      <c r="U88" s="36"/>
      <c r="V88" s="105"/>
      <c r="W88" s="36"/>
      <c r="X88" s="36"/>
      <c r="Y88" s="36"/>
      <c r="Z88" s="105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42"/>
      <c r="AO88" s="42"/>
      <c r="AP88" s="36"/>
      <c r="AQ88" s="36"/>
      <c r="AR88" s="42"/>
      <c r="AS88" s="42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</row>
    <row r="89" spans="1:56" ht="15.75" x14ac:dyDescent="0.25">
      <c r="A89" s="44"/>
      <c r="B89" s="36"/>
      <c r="C89" s="36"/>
      <c r="D89" s="36"/>
      <c r="E89" s="36"/>
      <c r="F89" s="36"/>
      <c r="G89" s="36"/>
      <c r="H89" s="36"/>
      <c r="I89" s="36"/>
      <c r="J89" s="105"/>
      <c r="K89" s="36"/>
      <c r="L89" s="36"/>
      <c r="M89" s="36"/>
      <c r="N89" s="105"/>
      <c r="O89" s="36"/>
      <c r="P89" s="36"/>
      <c r="Q89" s="36"/>
      <c r="R89" s="105"/>
      <c r="S89" s="36"/>
      <c r="T89" s="36"/>
      <c r="U89" s="36"/>
      <c r="V89" s="105"/>
      <c r="W89" s="36"/>
      <c r="X89" s="36"/>
      <c r="Y89" s="36"/>
      <c r="Z89" s="105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42"/>
      <c r="AO89" s="42"/>
      <c r="AP89" s="36"/>
      <c r="AQ89" s="36"/>
      <c r="AR89" s="42"/>
      <c r="AS89" s="42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</row>
    <row r="90" spans="1:56" ht="15.75" x14ac:dyDescent="0.25">
      <c r="A90" s="44"/>
      <c r="B90" s="36"/>
      <c r="C90" s="36"/>
      <c r="D90" s="36"/>
      <c r="E90" s="36"/>
      <c r="F90" s="36"/>
      <c r="G90" s="36"/>
      <c r="H90" s="36"/>
      <c r="I90" s="36"/>
      <c r="J90" s="105"/>
      <c r="K90" s="36"/>
      <c r="L90" s="36"/>
      <c r="M90" s="36"/>
      <c r="N90" s="105"/>
      <c r="O90" s="36"/>
      <c r="P90" s="36"/>
      <c r="Q90" s="36"/>
      <c r="R90" s="105"/>
      <c r="S90" s="36"/>
      <c r="T90" s="36"/>
      <c r="U90" s="36"/>
      <c r="V90" s="105"/>
      <c r="W90" s="36"/>
      <c r="X90" s="36"/>
      <c r="Y90" s="36"/>
      <c r="Z90" s="105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42"/>
      <c r="AO90" s="42"/>
      <c r="AP90" s="36"/>
      <c r="AQ90" s="36"/>
      <c r="AR90" s="42"/>
      <c r="AS90" s="42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</row>
    <row r="91" spans="1:56" ht="15.75" x14ac:dyDescent="0.25">
      <c r="A91" s="44"/>
      <c r="B91" s="36"/>
      <c r="C91" s="36"/>
      <c r="D91" s="36"/>
      <c r="E91" s="36"/>
      <c r="F91" s="36"/>
      <c r="G91" s="36"/>
      <c r="H91" s="36"/>
      <c r="I91" s="36"/>
      <c r="J91" s="105"/>
      <c r="K91" s="36"/>
      <c r="L91" s="36"/>
      <c r="M91" s="36"/>
      <c r="N91" s="105"/>
      <c r="O91" s="36"/>
      <c r="P91" s="36"/>
      <c r="Q91" s="36"/>
      <c r="R91" s="105"/>
      <c r="S91" s="36"/>
      <c r="T91" s="36"/>
      <c r="U91" s="36"/>
      <c r="V91" s="105"/>
      <c r="W91" s="36"/>
      <c r="X91" s="36"/>
      <c r="Y91" s="36"/>
      <c r="Z91" s="105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42"/>
      <c r="AO91" s="42"/>
      <c r="AP91" s="36"/>
      <c r="AQ91" s="36"/>
      <c r="AR91" s="42"/>
      <c r="AS91" s="42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</row>
    <row r="92" spans="1:56" ht="15.75" x14ac:dyDescent="0.25">
      <c r="A92" s="44"/>
      <c r="B92" s="36"/>
      <c r="C92" s="36"/>
      <c r="D92" s="36"/>
      <c r="E92" s="36"/>
      <c r="F92" s="36"/>
      <c r="G92" s="36"/>
      <c r="H92" s="36"/>
      <c r="I92" s="36"/>
      <c r="J92" s="105"/>
      <c r="K92" s="36"/>
      <c r="L92" s="36"/>
      <c r="M92" s="36"/>
      <c r="N92" s="105"/>
      <c r="O92" s="36"/>
      <c r="P92" s="36"/>
      <c r="Q92" s="36"/>
      <c r="R92" s="105"/>
      <c r="S92" s="36"/>
      <c r="T92" s="36"/>
      <c r="U92" s="36"/>
      <c r="V92" s="105"/>
      <c r="W92" s="36"/>
      <c r="X92" s="36"/>
      <c r="Y92" s="36"/>
      <c r="Z92" s="105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42"/>
      <c r="AO92" s="42"/>
      <c r="AP92" s="36"/>
      <c r="AQ92" s="36"/>
      <c r="AR92" s="42"/>
      <c r="AS92" s="42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</row>
    <row r="93" spans="1:56" ht="15.75" x14ac:dyDescent="0.25">
      <c r="A93" s="44"/>
      <c r="B93" s="36"/>
      <c r="C93" s="36"/>
      <c r="D93" s="36"/>
      <c r="E93" s="36"/>
      <c r="F93" s="36"/>
      <c r="G93" s="36"/>
      <c r="H93" s="36"/>
      <c r="I93" s="36"/>
      <c r="J93" s="105"/>
      <c r="K93" s="36"/>
      <c r="L93" s="36"/>
      <c r="M93" s="36"/>
      <c r="N93" s="105"/>
      <c r="O93" s="36"/>
      <c r="P93" s="36"/>
      <c r="Q93" s="36"/>
      <c r="R93" s="105"/>
      <c r="S93" s="36"/>
      <c r="T93" s="36"/>
      <c r="U93" s="36"/>
      <c r="V93" s="105"/>
      <c r="W93" s="36"/>
      <c r="X93" s="36"/>
      <c r="Y93" s="36"/>
      <c r="Z93" s="105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42"/>
      <c r="AO93" s="42"/>
      <c r="AP93" s="36"/>
      <c r="AQ93" s="36"/>
      <c r="AR93" s="42"/>
      <c r="AS93" s="42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</row>
    <row r="94" spans="1:56" ht="15.75" x14ac:dyDescent="0.25">
      <c r="A94" s="44"/>
      <c r="B94" s="36"/>
      <c r="C94" s="36"/>
      <c r="D94" s="36"/>
      <c r="E94" s="36"/>
      <c r="F94" s="36"/>
      <c r="G94" s="36"/>
      <c r="H94" s="36"/>
      <c r="I94" s="36"/>
      <c r="J94" s="105"/>
      <c r="K94" s="36"/>
      <c r="L94" s="36"/>
      <c r="M94" s="36"/>
      <c r="N94" s="105"/>
      <c r="O94" s="36"/>
      <c r="P94" s="36"/>
      <c r="Q94" s="36"/>
      <c r="R94" s="105"/>
      <c r="S94" s="36"/>
      <c r="T94" s="36"/>
      <c r="U94" s="36"/>
      <c r="V94" s="105"/>
      <c r="W94" s="36"/>
      <c r="X94" s="36"/>
      <c r="Y94" s="36"/>
      <c r="Z94" s="105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42"/>
      <c r="AO94" s="42"/>
      <c r="AP94" s="36"/>
      <c r="AQ94" s="36"/>
      <c r="AR94" s="42"/>
      <c r="AS94" s="42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</row>
    <row r="95" spans="1:56" ht="15.75" x14ac:dyDescent="0.25">
      <c r="A95" s="44"/>
      <c r="B95" s="36"/>
      <c r="C95" s="36"/>
      <c r="D95" s="36"/>
      <c r="E95" s="36"/>
      <c r="F95" s="36"/>
      <c r="G95" s="36"/>
      <c r="H95" s="36"/>
      <c r="I95" s="36"/>
      <c r="J95" s="105"/>
      <c r="K95" s="36"/>
      <c r="L95" s="36"/>
      <c r="M95" s="36"/>
      <c r="N95" s="105"/>
      <c r="O95" s="36"/>
      <c r="P95" s="36"/>
      <c r="Q95" s="36"/>
      <c r="R95" s="105"/>
      <c r="S95" s="36"/>
      <c r="T95" s="36"/>
      <c r="U95" s="36"/>
      <c r="V95" s="105"/>
      <c r="W95" s="36"/>
      <c r="X95" s="36"/>
      <c r="Y95" s="36"/>
      <c r="Z95" s="105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42"/>
      <c r="AO95" s="42"/>
      <c r="AP95" s="36"/>
      <c r="AQ95" s="36"/>
      <c r="AR95" s="42"/>
      <c r="AS95" s="42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</row>
    <row r="96" spans="1:56" ht="15.75" x14ac:dyDescent="0.25">
      <c r="A96" s="44"/>
      <c r="B96" s="36"/>
      <c r="C96" s="36"/>
      <c r="D96" s="36"/>
      <c r="E96" s="36"/>
      <c r="F96" s="36"/>
      <c r="G96" s="36"/>
      <c r="H96" s="36"/>
      <c r="I96" s="36"/>
      <c r="J96" s="105"/>
      <c r="K96" s="36"/>
      <c r="L96" s="36"/>
      <c r="M96" s="36"/>
      <c r="N96" s="105"/>
      <c r="O96" s="36"/>
      <c r="P96" s="36"/>
      <c r="Q96" s="36"/>
      <c r="R96" s="105"/>
      <c r="S96" s="36"/>
      <c r="T96" s="36"/>
      <c r="U96" s="36"/>
      <c r="V96" s="105"/>
      <c r="W96" s="36"/>
      <c r="X96" s="36"/>
      <c r="Y96" s="36"/>
      <c r="Z96" s="105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42"/>
      <c r="AO96" s="42"/>
      <c r="AP96" s="36"/>
      <c r="AQ96" s="36"/>
      <c r="AR96" s="42"/>
      <c r="AS96" s="42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</row>
    <row r="97" spans="1:56" ht="15.75" x14ac:dyDescent="0.25">
      <c r="A97" s="44"/>
      <c r="B97" s="36"/>
      <c r="C97" s="36"/>
      <c r="D97" s="36"/>
      <c r="E97" s="36"/>
      <c r="F97" s="36"/>
      <c r="G97" s="36"/>
      <c r="H97" s="36"/>
      <c r="I97" s="36"/>
      <c r="J97" s="105"/>
      <c r="K97" s="36"/>
      <c r="L97" s="36"/>
      <c r="M97" s="36"/>
      <c r="N97" s="105"/>
      <c r="O97" s="36"/>
      <c r="P97" s="36"/>
      <c r="Q97" s="36"/>
      <c r="R97" s="105"/>
      <c r="S97" s="36"/>
      <c r="T97" s="36"/>
      <c r="U97" s="36"/>
      <c r="V97" s="105"/>
      <c r="W97" s="36"/>
      <c r="X97" s="36"/>
      <c r="Y97" s="36"/>
      <c r="Z97" s="105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42"/>
      <c r="AO97" s="42"/>
      <c r="AP97" s="36"/>
      <c r="AQ97" s="36"/>
      <c r="AR97" s="42"/>
      <c r="AS97" s="42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</row>
    <row r="98" spans="1:56" ht="15.75" x14ac:dyDescent="0.25">
      <c r="A98" s="44"/>
      <c r="B98" s="36"/>
      <c r="C98" s="36"/>
      <c r="D98" s="36"/>
      <c r="E98" s="36"/>
      <c r="F98" s="36"/>
      <c r="G98" s="36"/>
      <c r="H98" s="36"/>
      <c r="I98" s="36"/>
      <c r="J98" s="105"/>
      <c r="K98" s="36"/>
      <c r="L98" s="36"/>
      <c r="M98" s="36"/>
      <c r="N98" s="105"/>
      <c r="O98" s="36"/>
      <c r="P98" s="36"/>
      <c r="Q98" s="36"/>
      <c r="R98" s="105"/>
      <c r="S98" s="36"/>
      <c r="T98" s="36"/>
      <c r="U98" s="36"/>
      <c r="V98" s="105"/>
      <c r="W98" s="36"/>
      <c r="X98" s="36"/>
      <c r="Y98" s="36"/>
      <c r="Z98" s="105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42"/>
      <c r="AO98" s="42"/>
      <c r="AP98" s="36"/>
      <c r="AQ98" s="36"/>
      <c r="AR98" s="42"/>
      <c r="AS98" s="42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</row>
    <row r="99" spans="1:56" ht="15.75" x14ac:dyDescent="0.25">
      <c r="A99" s="44"/>
      <c r="B99" s="36"/>
      <c r="C99" s="36"/>
      <c r="D99" s="36"/>
      <c r="E99" s="36"/>
      <c r="F99" s="36"/>
      <c r="G99" s="36"/>
      <c r="H99" s="36"/>
      <c r="I99" s="36"/>
      <c r="J99" s="105"/>
      <c r="K99" s="36"/>
      <c r="L99" s="36"/>
      <c r="M99" s="36"/>
      <c r="N99" s="105"/>
      <c r="O99" s="36"/>
      <c r="P99" s="36"/>
      <c r="Q99" s="36"/>
      <c r="R99" s="105"/>
      <c r="S99" s="36"/>
      <c r="T99" s="36"/>
      <c r="U99" s="36"/>
      <c r="V99" s="105"/>
      <c r="W99" s="36"/>
      <c r="X99" s="36"/>
      <c r="Y99" s="36"/>
      <c r="Z99" s="105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42"/>
      <c r="AO99" s="42"/>
      <c r="AP99" s="36"/>
      <c r="AQ99" s="36"/>
      <c r="AR99" s="42"/>
      <c r="AS99" s="42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</row>
    <row r="100" spans="1:56" ht="15.75" x14ac:dyDescent="0.25">
      <c r="A100" s="44"/>
      <c r="B100" s="36"/>
      <c r="C100" s="36"/>
      <c r="D100" s="36"/>
      <c r="E100" s="36"/>
      <c r="F100" s="36"/>
      <c r="G100" s="36"/>
      <c r="H100" s="36"/>
      <c r="I100" s="36"/>
      <c r="J100" s="105"/>
      <c r="K100" s="36"/>
      <c r="L100" s="36"/>
      <c r="M100" s="36"/>
      <c r="N100" s="105"/>
      <c r="O100" s="36"/>
      <c r="P100" s="36"/>
      <c r="Q100" s="36"/>
      <c r="R100" s="105"/>
      <c r="S100" s="36"/>
      <c r="T100" s="36"/>
      <c r="U100" s="36"/>
      <c r="V100" s="105"/>
      <c r="W100" s="36"/>
      <c r="X100" s="36"/>
      <c r="Y100" s="36"/>
      <c r="Z100" s="105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42"/>
      <c r="AO100" s="42"/>
      <c r="AP100" s="36"/>
      <c r="AQ100" s="36"/>
      <c r="AR100" s="42"/>
      <c r="AS100" s="42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</row>
    <row r="101" spans="1:56" ht="15.75" x14ac:dyDescent="0.25">
      <c r="A101" s="44"/>
      <c r="B101" s="36"/>
      <c r="C101" s="36"/>
      <c r="D101" s="36"/>
      <c r="E101" s="36"/>
      <c r="F101" s="36"/>
      <c r="G101" s="36"/>
      <c r="H101" s="36"/>
      <c r="I101" s="36"/>
      <c r="J101" s="105"/>
      <c r="K101" s="36"/>
      <c r="L101" s="36"/>
      <c r="M101" s="36"/>
      <c r="N101" s="105"/>
      <c r="O101" s="36"/>
      <c r="P101" s="36"/>
      <c r="Q101" s="36"/>
      <c r="R101" s="105"/>
      <c r="S101" s="36"/>
      <c r="T101" s="36"/>
      <c r="U101" s="36"/>
      <c r="V101" s="105"/>
      <c r="W101" s="36"/>
      <c r="X101" s="36"/>
      <c r="Y101" s="36"/>
      <c r="Z101" s="105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42"/>
      <c r="AO101" s="42"/>
      <c r="AP101" s="36"/>
      <c r="AQ101" s="36"/>
      <c r="AR101" s="42"/>
      <c r="AS101" s="42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</row>
    <row r="102" spans="1:56" ht="15.75" x14ac:dyDescent="0.25">
      <c r="A102" s="44"/>
      <c r="B102" s="36"/>
      <c r="C102" s="36"/>
      <c r="D102" s="36"/>
      <c r="E102" s="36"/>
      <c r="F102" s="36"/>
      <c r="G102" s="36"/>
      <c r="H102" s="36"/>
      <c r="I102" s="36"/>
      <c r="J102" s="105"/>
      <c r="K102" s="36"/>
      <c r="L102" s="36"/>
      <c r="M102" s="36"/>
      <c r="N102" s="105"/>
      <c r="O102" s="36"/>
      <c r="P102" s="36"/>
      <c r="Q102" s="36"/>
      <c r="R102" s="105"/>
      <c r="S102" s="36"/>
      <c r="T102" s="36"/>
      <c r="U102" s="36"/>
      <c r="V102" s="105"/>
      <c r="W102" s="36"/>
      <c r="X102" s="36"/>
      <c r="Y102" s="36"/>
      <c r="Z102" s="105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42"/>
      <c r="AO102" s="42"/>
      <c r="AP102" s="36"/>
      <c r="AQ102" s="36"/>
      <c r="AR102" s="42"/>
      <c r="AS102" s="42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</row>
    <row r="103" spans="1:56" ht="15.75" x14ac:dyDescent="0.25">
      <c r="A103" s="44"/>
      <c r="B103" s="36"/>
      <c r="C103" s="36"/>
      <c r="D103" s="36"/>
      <c r="E103" s="36"/>
      <c r="F103" s="36"/>
      <c r="G103" s="36"/>
      <c r="H103" s="36"/>
      <c r="I103" s="36"/>
      <c r="J103" s="105"/>
      <c r="K103" s="36"/>
      <c r="L103" s="36"/>
      <c r="M103" s="36"/>
      <c r="N103" s="105"/>
      <c r="O103" s="36"/>
      <c r="P103" s="36"/>
      <c r="Q103" s="36"/>
      <c r="R103" s="105"/>
      <c r="S103" s="36"/>
      <c r="T103" s="36"/>
      <c r="U103" s="36"/>
      <c r="V103" s="105"/>
      <c r="W103" s="36"/>
      <c r="X103" s="36"/>
      <c r="Y103" s="36"/>
      <c r="Z103" s="105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42"/>
      <c r="AO103" s="42"/>
      <c r="AP103" s="36"/>
      <c r="AQ103" s="36"/>
      <c r="AR103" s="42"/>
      <c r="AS103" s="42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</row>
    <row r="104" spans="1:56" ht="15.75" x14ac:dyDescent="0.25">
      <c r="A104" s="44"/>
      <c r="B104" s="36"/>
      <c r="C104" s="36"/>
      <c r="D104" s="36"/>
      <c r="E104" s="36"/>
      <c r="F104" s="36"/>
      <c r="G104" s="36"/>
      <c r="H104" s="36"/>
      <c r="I104" s="36"/>
      <c r="J104" s="105"/>
      <c r="K104" s="36"/>
      <c r="L104" s="36"/>
      <c r="M104" s="36"/>
      <c r="N104" s="105"/>
      <c r="O104" s="36"/>
      <c r="P104" s="36"/>
      <c r="Q104" s="36"/>
      <c r="R104" s="105"/>
      <c r="S104" s="36"/>
      <c r="T104" s="36"/>
      <c r="U104" s="36"/>
      <c r="V104" s="105"/>
      <c r="W104" s="36"/>
      <c r="X104" s="36"/>
      <c r="Y104" s="36"/>
      <c r="Z104" s="105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42"/>
      <c r="AO104" s="42"/>
      <c r="AP104" s="36"/>
      <c r="AQ104" s="36"/>
      <c r="AR104" s="42"/>
      <c r="AS104" s="42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</row>
    <row r="105" spans="1:56" ht="15.75" x14ac:dyDescent="0.25">
      <c r="A105" s="44"/>
      <c r="B105" s="36"/>
      <c r="C105" s="36"/>
      <c r="D105" s="36"/>
      <c r="E105" s="36"/>
      <c r="F105" s="36"/>
      <c r="G105" s="36"/>
      <c r="H105" s="36"/>
      <c r="I105" s="36"/>
      <c r="J105" s="105"/>
      <c r="K105" s="36"/>
      <c r="L105" s="36"/>
      <c r="M105" s="36"/>
      <c r="N105" s="105"/>
      <c r="O105" s="36"/>
      <c r="P105" s="36"/>
      <c r="Q105" s="36"/>
      <c r="R105" s="105"/>
      <c r="S105" s="36"/>
      <c r="T105" s="36"/>
      <c r="U105" s="36"/>
      <c r="V105" s="105"/>
      <c r="W105" s="36"/>
      <c r="X105" s="36"/>
      <c r="Y105" s="36"/>
      <c r="Z105" s="105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42"/>
      <c r="AO105" s="42"/>
      <c r="AP105" s="36"/>
      <c r="AQ105" s="36"/>
      <c r="AR105" s="42"/>
      <c r="AS105" s="42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</row>
    <row r="106" spans="1:56" ht="15.75" x14ac:dyDescent="0.25">
      <c r="A106" s="44"/>
      <c r="B106" s="36"/>
      <c r="C106" s="36"/>
      <c r="D106" s="36"/>
      <c r="E106" s="36"/>
      <c r="F106" s="36"/>
      <c r="G106" s="36"/>
      <c r="H106" s="36"/>
      <c r="I106" s="36"/>
      <c r="J106" s="105"/>
      <c r="K106" s="36"/>
      <c r="L106" s="36"/>
      <c r="M106" s="36"/>
      <c r="N106" s="105"/>
      <c r="O106" s="36"/>
      <c r="P106" s="36"/>
      <c r="Q106" s="36"/>
      <c r="R106" s="105"/>
      <c r="S106" s="36"/>
      <c r="T106" s="36"/>
      <c r="U106" s="36"/>
      <c r="V106" s="105"/>
      <c r="W106" s="36"/>
      <c r="X106" s="36"/>
      <c r="Y106" s="36"/>
      <c r="Z106" s="105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42"/>
      <c r="AO106" s="42"/>
      <c r="AP106" s="36"/>
      <c r="AQ106" s="36"/>
      <c r="AR106" s="42"/>
      <c r="AS106" s="42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</row>
    <row r="107" spans="1:56" ht="15.75" x14ac:dyDescent="0.25">
      <c r="A107" s="44"/>
      <c r="B107" s="36"/>
      <c r="C107" s="36"/>
      <c r="D107" s="36"/>
      <c r="E107" s="36"/>
      <c r="F107" s="36"/>
      <c r="G107" s="36"/>
      <c r="H107" s="36"/>
      <c r="I107" s="36"/>
      <c r="J107" s="105"/>
      <c r="K107" s="36"/>
      <c r="L107" s="36"/>
      <c r="M107" s="36"/>
      <c r="N107" s="105"/>
      <c r="O107" s="36"/>
      <c r="P107" s="36"/>
      <c r="Q107" s="36"/>
      <c r="R107" s="105"/>
      <c r="S107" s="36"/>
      <c r="T107" s="36"/>
      <c r="U107" s="36"/>
      <c r="V107" s="105"/>
      <c r="W107" s="36"/>
      <c r="X107" s="36"/>
      <c r="Y107" s="36"/>
      <c r="Z107" s="105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42"/>
      <c r="AO107" s="42"/>
      <c r="AP107" s="36"/>
      <c r="AQ107" s="36"/>
      <c r="AR107" s="42"/>
      <c r="AS107" s="42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</row>
    <row r="108" spans="1:56" ht="15.75" x14ac:dyDescent="0.25">
      <c r="A108" s="44"/>
      <c r="B108" s="36"/>
      <c r="C108" s="36"/>
      <c r="D108" s="36"/>
      <c r="E108" s="36"/>
      <c r="F108" s="36"/>
      <c r="G108" s="36"/>
      <c r="H108" s="36"/>
      <c r="I108" s="36"/>
      <c r="J108" s="105"/>
      <c r="K108" s="36"/>
      <c r="L108" s="36"/>
      <c r="M108" s="36"/>
      <c r="N108" s="105"/>
      <c r="O108" s="36"/>
      <c r="P108" s="36"/>
      <c r="Q108" s="36"/>
      <c r="R108" s="105"/>
      <c r="S108" s="36"/>
      <c r="T108" s="36"/>
      <c r="U108" s="36"/>
      <c r="V108" s="105"/>
      <c r="W108" s="36"/>
      <c r="X108" s="36"/>
      <c r="Y108" s="36"/>
      <c r="Z108" s="105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42"/>
      <c r="AO108" s="42"/>
      <c r="AP108" s="36"/>
      <c r="AQ108" s="36"/>
      <c r="AR108" s="42"/>
      <c r="AS108" s="42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</row>
    <row r="109" spans="1:56" ht="15.75" x14ac:dyDescent="0.25">
      <c r="A109" s="44"/>
      <c r="B109" s="36"/>
      <c r="C109" s="36"/>
      <c r="D109" s="36"/>
      <c r="E109" s="36"/>
      <c r="F109" s="36"/>
      <c r="G109" s="36"/>
      <c r="H109" s="36"/>
      <c r="I109" s="36"/>
      <c r="J109" s="105"/>
      <c r="K109" s="36"/>
      <c r="L109" s="36"/>
      <c r="M109" s="36"/>
      <c r="N109" s="105"/>
      <c r="O109" s="36"/>
      <c r="P109" s="36"/>
      <c r="Q109" s="36"/>
      <c r="R109" s="105"/>
      <c r="S109" s="36"/>
      <c r="T109" s="36"/>
      <c r="U109" s="36"/>
      <c r="V109" s="105"/>
      <c r="W109" s="36"/>
      <c r="X109" s="36"/>
      <c r="Y109" s="36"/>
      <c r="Z109" s="105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42"/>
      <c r="AO109" s="42"/>
      <c r="AP109" s="36"/>
      <c r="AQ109" s="36"/>
      <c r="AR109" s="42"/>
      <c r="AS109" s="42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</row>
    <row r="110" spans="1:56" ht="15.75" x14ac:dyDescent="0.25">
      <c r="A110" s="44"/>
      <c r="B110" s="36"/>
      <c r="C110" s="36"/>
      <c r="D110" s="36"/>
      <c r="E110" s="36"/>
      <c r="F110" s="36"/>
      <c r="G110" s="36"/>
      <c r="H110" s="36"/>
      <c r="I110" s="36"/>
      <c r="J110" s="105"/>
      <c r="K110" s="36"/>
      <c r="L110" s="36"/>
      <c r="M110" s="36"/>
      <c r="N110" s="105"/>
      <c r="O110" s="36"/>
      <c r="P110" s="36"/>
      <c r="Q110" s="36"/>
      <c r="R110" s="105"/>
      <c r="S110" s="36"/>
      <c r="T110" s="36"/>
      <c r="U110" s="36"/>
      <c r="V110" s="105"/>
      <c r="W110" s="36"/>
      <c r="X110" s="36"/>
      <c r="Y110" s="36"/>
      <c r="Z110" s="105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42"/>
      <c r="AO110" s="42"/>
      <c r="AP110" s="36"/>
      <c r="AQ110" s="36"/>
      <c r="AR110" s="42"/>
      <c r="AS110" s="42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</row>
    <row r="111" spans="1:56" ht="15.75" x14ac:dyDescent="0.25">
      <c r="A111" s="44"/>
      <c r="B111" s="36"/>
      <c r="C111" s="36"/>
      <c r="D111" s="36"/>
      <c r="E111" s="36"/>
      <c r="F111" s="36"/>
      <c r="G111" s="36"/>
      <c r="H111" s="36"/>
      <c r="I111" s="36"/>
      <c r="J111" s="105"/>
      <c r="K111" s="36"/>
      <c r="L111" s="36"/>
      <c r="M111" s="36"/>
      <c r="N111" s="105"/>
      <c r="O111" s="36"/>
      <c r="P111" s="36"/>
      <c r="Q111" s="36"/>
      <c r="R111" s="105"/>
      <c r="S111" s="36"/>
      <c r="T111" s="36"/>
      <c r="U111" s="36"/>
      <c r="V111" s="105"/>
      <c r="W111" s="36"/>
      <c r="X111" s="36"/>
      <c r="Y111" s="36"/>
      <c r="Z111" s="105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42"/>
      <c r="AO111" s="42"/>
      <c r="AP111" s="36"/>
      <c r="AQ111" s="36"/>
      <c r="AR111" s="42"/>
      <c r="AS111" s="42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</row>
    <row r="112" spans="1:56" ht="15.75" x14ac:dyDescent="0.25">
      <c r="A112" s="44"/>
      <c r="B112" s="36"/>
      <c r="C112" s="36"/>
      <c r="D112" s="36"/>
      <c r="E112" s="36"/>
      <c r="F112" s="36"/>
      <c r="G112" s="36"/>
      <c r="H112" s="36"/>
      <c r="I112" s="36"/>
      <c r="J112" s="105"/>
      <c r="K112" s="36"/>
      <c r="L112" s="36"/>
      <c r="M112" s="36"/>
      <c r="N112" s="105"/>
      <c r="O112" s="36"/>
      <c r="P112" s="36"/>
      <c r="Q112" s="36"/>
      <c r="R112" s="105"/>
      <c r="S112" s="36"/>
      <c r="T112" s="36"/>
      <c r="U112" s="36"/>
      <c r="V112" s="105"/>
      <c r="W112" s="36"/>
      <c r="X112" s="36"/>
      <c r="Y112" s="36"/>
      <c r="Z112" s="105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42"/>
      <c r="AO112" s="42"/>
      <c r="AP112" s="36"/>
      <c r="AQ112" s="36"/>
      <c r="AR112" s="42"/>
      <c r="AS112" s="42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</row>
    <row r="113" spans="1:56" ht="15.75" x14ac:dyDescent="0.25">
      <c r="A113" s="44"/>
      <c r="B113" s="36"/>
      <c r="C113" s="36"/>
      <c r="D113" s="36"/>
      <c r="E113" s="36"/>
      <c r="F113" s="36"/>
      <c r="G113" s="36"/>
      <c r="H113" s="36"/>
      <c r="I113" s="36"/>
      <c r="J113" s="105"/>
      <c r="K113" s="36"/>
      <c r="L113" s="36"/>
      <c r="M113" s="36"/>
      <c r="N113" s="105"/>
      <c r="O113" s="36"/>
      <c r="P113" s="36"/>
      <c r="Q113" s="36"/>
      <c r="R113" s="105"/>
      <c r="S113" s="36"/>
      <c r="T113" s="36"/>
      <c r="U113" s="36"/>
      <c r="V113" s="105"/>
      <c r="W113" s="36"/>
      <c r="X113" s="36"/>
      <c r="Y113" s="36"/>
      <c r="Z113" s="105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42"/>
      <c r="AO113" s="42"/>
      <c r="AP113" s="36"/>
      <c r="AQ113" s="36"/>
      <c r="AR113" s="42"/>
      <c r="AS113" s="42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</row>
    <row r="114" spans="1:56" ht="15.75" x14ac:dyDescent="0.25">
      <c r="A114" s="44"/>
      <c r="B114" s="36"/>
      <c r="C114" s="36"/>
      <c r="D114" s="36"/>
      <c r="E114" s="36"/>
      <c r="F114" s="36"/>
      <c r="G114" s="36"/>
      <c r="H114" s="36"/>
      <c r="I114" s="36"/>
      <c r="J114" s="105"/>
      <c r="K114" s="36"/>
      <c r="L114" s="36"/>
      <c r="M114" s="36"/>
      <c r="N114" s="105"/>
      <c r="O114" s="36"/>
      <c r="P114" s="36"/>
      <c r="Q114" s="36"/>
      <c r="R114" s="105"/>
      <c r="S114" s="36"/>
      <c r="T114" s="36"/>
      <c r="U114" s="36"/>
      <c r="V114" s="105"/>
      <c r="W114" s="36"/>
      <c r="X114" s="36"/>
      <c r="Y114" s="36"/>
      <c r="Z114" s="105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42"/>
      <c r="AO114" s="42"/>
      <c r="AP114" s="36"/>
      <c r="AQ114" s="36"/>
      <c r="AR114" s="42"/>
      <c r="AS114" s="42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</row>
    <row r="115" spans="1:56" ht="15.75" x14ac:dyDescent="0.25">
      <c r="A115" s="44"/>
      <c r="B115" s="36"/>
      <c r="C115" s="36"/>
      <c r="D115" s="36"/>
      <c r="E115" s="36"/>
      <c r="F115" s="36"/>
      <c r="G115" s="36"/>
      <c r="H115" s="36"/>
      <c r="I115" s="36"/>
      <c r="J115" s="105"/>
      <c r="K115" s="36"/>
      <c r="L115" s="36"/>
      <c r="M115" s="36"/>
      <c r="N115" s="105"/>
      <c r="O115" s="36"/>
      <c r="P115" s="36"/>
      <c r="Q115" s="36"/>
      <c r="R115" s="105"/>
      <c r="S115" s="36"/>
      <c r="T115" s="36"/>
      <c r="U115" s="36"/>
      <c r="V115" s="105"/>
      <c r="W115" s="36"/>
      <c r="X115" s="36"/>
      <c r="Y115" s="36"/>
      <c r="Z115" s="105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42"/>
      <c r="AO115" s="42"/>
      <c r="AP115" s="36"/>
      <c r="AQ115" s="36"/>
      <c r="AR115" s="42"/>
      <c r="AS115" s="42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</row>
    <row r="116" spans="1:56" ht="15.75" x14ac:dyDescent="0.25">
      <c r="A116" s="44"/>
      <c r="B116" s="36"/>
      <c r="C116" s="36"/>
      <c r="D116" s="36"/>
      <c r="E116" s="36"/>
      <c r="F116" s="36"/>
      <c r="G116" s="36"/>
      <c r="H116" s="36"/>
      <c r="I116" s="36"/>
      <c r="J116" s="105"/>
      <c r="K116" s="36"/>
      <c r="L116" s="36"/>
      <c r="M116" s="36"/>
      <c r="N116" s="105"/>
      <c r="O116" s="36"/>
      <c r="P116" s="36"/>
      <c r="Q116" s="36"/>
      <c r="R116" s="105"/>
      <c r="S116" s="36"/>
      <c r="T116" s="36"/>
      <c r="U116" s="36"/>
      <c r="V116" s="105"/>
      <c r="W116" s="36"/>
      <c r="X116" s="36"/>
      <c r="Y116" s="36"/>
      <c r="Z116" s="105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42"/>
      <c r="AO116" s="42"/>
      <c r="AP116" s="36"/>
      <c r="AQ116" s="36"/>
      <c r="AR116" s="42"/>
      <c r="AS116" s="42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</row>
    <row r="117" spans="1:56" ht="15.75" x14ac:dyDescent="0.25">
      <c r="A117" s="44"/>
      <c r="B117" s="36"/>
      <c r="C117" s="36"/>
      <c r="D117" s="36"/>
      <c r="E117" s="36"/>
      <c r="F117" s="36"/>
      <c r="G117" s="36"/>
      <c r="H117" s="36"/>
      <c r="I117" s="36"/>
      <c r="J117" s="105"/>
      <c r="K117" s="36"/>
      <c r="L117" s="36"/>
      <c r="M117" s="36"/>
      <c r="N117" s="105"/>
      <c r="O117" s="36"/>
      <c r="P117" s="36"/>
      <c r="Q117" s="36"/>
      <c r="R117" s="105"/>
      <c r="S117" s="36"/>
      <c r="T117" s="36"/>
      <c r="U117" s="36"/>
      <c r="V117" s="105"/>
      <c r="W117" s="36"/>
      <c r="X117" s="36"/>
      <c r="Y117" s="36"/>
      <c r="Z117" s="105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42"/>
      <c r="AO117" s="42"/>
      <c r="AP117" s="36"/>
      <c r="AQ117" s="36"/>
      <c r="AR117" s="42"/>
      <c r="AS117" s="42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</row>
    <row r="118" spans="1:56" ht="15.75" x14ac:dyDescent="0.25">
      <c r="A118" s="44"/>
      <c r="B118" s="36"/>
      <c r="C118" s="36"/>
      <c r="D118" s="36"/>
      <c r="E118" s="36"/>
      <c r="F118" s="36"/>
      <c r="G118" s="36"/>
      <c r="H118" s="36"/>
      <c r="I118" s="36"/>
      <c r="J118" s="105"/>
      <c r="K118" s="36"/>
      <c r="L118" s="36"/>
      <c r="M118" s="36"/>
      <c r="N118" s="105"/>
      <c r="O118" s="36"/>
      <c r="P118" s="36"/>
      <c r="Q118" s="36"/>
      <c r="R118" s="105"/>
      <c r="S118" s="36"/>
      <c r="T118" s="36"/>
      <c r="U118" s="36"/>
      <c r="V118" s="105"/>
      <c r="W118" s="36"/>
      <c r="X118" s="36"/>
      <c r="Y118" s="36"/>
      <c r="Z118" s="105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42"/>
      <c r="AO118" s="42"/>
      <c r="AP118" s="36"/>
      <c r="AQ118" s="36"/>
      <c r="AR118" s="42"/>
      <c r="AS118" s="42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</row>
    <row r="119" spans="1:56" ht="15.75" x14ac:dyDescent="0.25">
      <c r="A119" s="44"/>
      <c r="B119" s="36"/>
      <c r="C119" s="36"/>
      <c r="D119" s="36"/>
      <c r="E119" s="36"/>
      <c r="F119" s="36"/>
      <c r="G119" s="36"/>
      <c r="H119" s="36"/>
      <c r="I119" s="36"/>
      <c r="J119" s="105"/>
      <c r="K119" s="36"/>
      <c r="L119" s="36"/>
      <c r="M119" s="36"/>
      <c r="N119" s="105"/>
      <c r="O119" s="36"/>
      <c r="P119" s="36"/>
      <c r="Q119" s="36"/>
      <c r="R119" s="105"/>
      <c r="S119" s="36"/>
      <c r="T119" s="36"/>
      <c r="U119" s="36"/>
      <c r="V119" s="105"/>
      <c r="W119" s="36"/>
      <c r="X119" s="36"/>
      <c r="Y119" s="36"/>
      <c r="Z119" s="105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42"/>
      <c r="AO119" s="42"/>
      <c r="AP119" s="36"/>
      <c r="AQ119" s="36"/>
      <c r="AR119" s="42"/>
      <c r="AS119" s="42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</row>
    <row r="120" spans="1:56" ht="15.75" x14ac:dyDescent="0.25">
      <c r="A120" s="44"/>
      <c r="B120" s="36"/>
      <c r="C120" s="36"/>
      <c r="D120" s="36"/>
      <c r="E120" s="36"/>
      <c r="F120" s="36"/>
      <c r="G120" s="36"/>
      <c r="H120" s="36"/>
      <c r="I120" s="36"/>
      <c r="J120" s="105"/>
      <c r="K120" s="36"/>
      <c r="L120" s="36"/>
      <c r="M120" s="36"/>
      <c r="N120" s="105"/>
      <c r="O120" s="36"/>
      <c r="P120" s="36"/>
      <c r="Q120" s="36"/>
      <c r="R120" s="105"/>
      <c r="S120" s="36"/>
      <c r="T120" s="36"/>
      <c r="U120" s="36"/>
      <c r="V120" s="105"/>
      <c r="W120" s="36"/>
      <c r="X120" s="36"/>
      <c r="Y120" s="36"/>
      <c r="Z120" s="105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42"/>
      <c r="AO120" s="42"/>
      <c r="AP120" s="36"/>
      <c r="AQ120" s="36"/>
      <c r="AR120" s="42"/>
      <c r="AS120" s="42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</row>
    <row r="121" spans="1:56" ht="15.75" x14ac:dyDescent="0.25">
      <c r="A121" s="44"/>
      <c r="B121" s="36"/>
      <c r="C121" s="36"/>
      <c r="D121" s="36"/>
      <c r="E121" s="36"/>
      <c r="F121" s="36"/>
      <c r="G121" s="36"/>
      <c r="H121" s="36"/>
      <c r="I121" s="36"/>
      <c r="J121" s="105"/>
      <c r="K121" s="36"/>
      <c r="L121" s="36"/>
      <c r="M121" s="36"/>
      <c r="N121" s="105"/>
      <c r="O121" s="36"/>
      <c r="P121" s="36"/>
      <c r="Q121" s="36"/>
      <c r="R121" s="105"/>
      <c r="S121" s="36"/>
      <c r="T121" s="36"/>
      <c r="U121" s="36"/>
      <c r="V121" s="105"/>
      <c r="W121" s="36"/>
      <c r="X121" s="36"/>
      <c r="Y121" s="36"/>
      <c r="Z121" s="105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42"/>
      <c r="AO121" s="42"/>
      <c r="AP121" s="36"/>
      <c r="AQ121" s="36"/>
      <c r="AR121" s="42"/>
      <c r="AS121" s="42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</row>
    <row r="122" spans="1:56" ht="15.75" x14ac:dyDescent="0.25">
      <c r="A122" s="44"/>
      <c r="B122" s="36"/>
      <c r="C122" s="36"/>
      <c r="D122" s="36"/>
      <c r="E122" s="36"/>
      <c r="F122" s="36"/>
      <c r="G122" s="36"/>
      <c r="H122" s="36"/>
      <c r="I122" s="36"/>
      <c r="J122" s="105"/>
      <c r="K122" s="36"/>
      <c r="L122" s="36"/>
      <c r="M122" s="36"/>
      <c r="N122" s="105"/>
      <c r="O122" s="36"/>
      <c r="P122" s="36"/>
      <c r="Q122" s="36"/>
      <c r="R122" s="105"/>
      <c r="S122" s="36"/>
      <c r="T122" s="36"/>
      <c r="U122" s="36"/>
      <c r="V122" s="105"/>
      <c r="W122" s="36"/>
      <c r="X122" s="36"/>
      <c r="Y122" s="36"/>
      <c r="Z122" s="105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42"/>
      <c r="AO122" s="42"/>
      <c r="AP122" s="36"/>
      <c r="AQ122" s="36"/>
      <c r="AR122" s="42"/>
      <c r="AS122" s="42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</row>
    <row r="123" spans="1:56" ht="15.75" x14ac:dyDescent="0.25">
      <c r="A123" s="44"/>
      <c r="B123" s="36"/>
      <c r="C123" s="36"/>
      <c r="D123" s="36"/>
      <c r="E123" s="36"/>
      <c r="F123" s="36"/>
      <c r="G123" s="36"/>
      <c r="H123" s="36"/>
      <c r="I123" s="36"/>
      <c r="J123" s="105"/>
      <c r="K123" s="36"/>
      <c r="L123" s="36"/>
      <c r="M123" s="36"/>
      <c r="N123" s="105"/>
      <c r="O123" s="36"/>
      <c r="P123" s="36"/>
      <c r="Q123" s="36"/>
      <c r="R123" s="105"/>
      <c r="S123" s="36"/>
      <c r="T123" s="36"/>
      <c r="U123" s="36"/>
      <c r="V123" s="105"/>
      <c r="W123" s="36"/>
      <c r="X123" s="36"/>
      <c r="Y123" s="36"/>
      <c r="Z123" s="105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42"/>
      <c r="AO123" s="42"/>
      <c r="AP123" s="36"/>
      <c r="AQ123" s="36"/>
      <c r="AR123" s="42"/>
      <c r="AS123" s="42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</row>
    <row r="124" spans="1:56" ht="15.75" x14ac:dyDescent="0.25">
      <c r="A124" s="44"/>
      <c r="B124" s="36"/>
      <c r="C124" s="36"/>
      <c r="D124" s="36"/>
      <c r="E124" s="36"/>
      <c r="F124" s="36"/>
      <c r="G124" s="36"/>
      <c r="H124" s="36"/>
      <c r="I124" s="36"/>
      <c r="J124" s="105"/>
      <c r="K124" s="36"/>
      <c r="L124" s="36"/>
      <c r="M124" s="36"/>
      <c r="N124" s="105"/>
      <c r="O124" s="36"/>
      <c r="P124" s="36"/>
      <c r="Q124" s="36"/>
      <c r="R124" s="105"/>
      <c r="S124" s="36"/>
      <c r="T124" s="36"/>
      <c r="U124" s="36"/>
      <c r="V124" s="105"/>
      <c r="W124" s="36"/>
      <c r="X124" s="36"/>
      <c r="Y124" s="36"/>
      <c r="Z124" s="105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42"/>
      <c r="AO124" s="42"/>
      <c r="AP124" s="36"/>
      <c r="AQ124" s="36"/>
      <c r="AR124" s="42"/>
      <c r="AS124" s="42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</row>
    <row r="125" spans="1:56" ht="15.75" x14ac:dyDescent="0.25">
      <c r="A125" s="44"/>
      <c r="B125" s="36"/>
      <c r="C125" s="36"/>
      <c r="D125" s="36"/>
      <c r="E125" s="36"/>
      <c r="F125" s="36"/>
      <c r="G125" s="36"/>
      <c r="H125" s="36"/>
      <c r="I125" s="36"/>
      <c r="J125" s="105"/>
      <c r="K125" s="36"/>
      <c r="L125" s="36"/>
      <c r="M125" s="36"/>
      <c r="N125" s="105"/>
      <c r="O125" s="36"/>
      <c r="P125" s="36"/>
      <c r="Q125" s="36"/>
      <c r="R125" s="105"/>
      <c r="S125" s="36"/>
      <c r="T125" s="36"/>
      <c r="U125" s="36"/>
      <c r="V125" s="105"/>
      <c r="W125" s="36"/>
      <c r="X125" s="36"/>
      <c r="Y125" s="36"/>
      <c r="Z125" s="105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42"/>
      <c r="AO125" s="42"/>
      <c r="AP125" s="36"/>
      <c r="AQ125" s="36"/>
      <c r="AR125" s="42"/>
      <c r="AS125" s="42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</row>
    <row r="126" spans="1:56" ht="15.75" x14ac:dyDescent="0.25">
      <c r="A126" s="44"/>
      <c r="B126" s="36"/>
      <c r="C126" s="36"/>
      <c r="D126" s="36"/>
      <c r="E126" s="36"/>
      <c r="F126" s="36"/>
      <c r="G126" s="36"/>
      <c r="H126" s="36"/>
      <c r="I126" s="36"/>
      <c r="J126" s="105"/>
      <c r="K126" s="36"/>
      <c r="L126" s="36"/>
      <c r="M126" s="36"/>
      <c r="N126" s="105"/>
      <c r="O126" s="36"/>
      <c r="P126" s="36"/>
      <c r="Q126" s="36"/>
      <c r="R126" s="105"/>
      <c r="S126" s="36"/>
      <c r="T126" s="36"/>
      <c r="U126" s="36"/>
      <c r="V126" s="105"/>
      <c r="W126" s="36"/>
      <c r="X126" s="36"/>
      <c r="Y126" s="36"/>
      <c r="Z126" s="105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42"/>
      <c r="AO126" s="42"/>
      <c r="AP126" s="36"/>
      <c r="AQ126" s="36"/>
      <c r="AR126" s="42"/>
      <c r="AS126" s="42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</row>
    <row r="127" spans="1:56" ht="15.75" x14ac:dyDescent="0.25">
      <c r="A127" s="44"/>
      <c r="B127" s="36"/>
      <c r="C127" s="36"/>
      <c r="D127" s="36"/>
      <c r="E127" s="36"/>
      <c r="F127" s="36"/>
      <c r="G127" s="36"/>
      <c r="H127" s="36"/>
      <c r="I127" s="36"/>
      <c r="J127" s="105"/>
      <c r="K127" s="36"/>
      <c r="L127" s="36"/>
      <c r="M127" s="36"/>
      <c r="N127" s="105"/>
      <c r="O127" s="36"/>
      <c r="P127" s="36"/>
      <c r="Q127" s="36"/>
      <c r="R127" s="105"/>
      <c r="S127" s="36"/>
      <c r="T127" s="36"/>
      <c r="U127" s="36"/>
      <c r="V127" s="105"/>
      <c r="W127" s="36"/>
      <c r="X127" s="36"/>
      <c r="Y127" s="36"/>
      <c r="Z127" s="105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42"/>
      <c r="AO127" s="42"/>
      <c r="AP127" s="36"/>
      <c r="AQ127" s="36"/>
      <c r="AR127" s="42"/>
      <c r="AS127" s="42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</row>
    <row r="128" spans="1:56" ht="15.75" x14ac:dyDescent="0.25">
      <c r="A128" s="44"/>
      <c r="B128" s="36"/>
      <c r="C128" s="36"/>
      <c r="D128" s="36"/>
      <c r="E128" s="36"/>
      <c r="F128" s="36"/>
      <c r="G128" s="36"/>
      <c r="H128" s="36"/>
      <c r="I128" s="36"/>
      <c r="J128" s="105"/>
      <c r="K128" s="36"/>
      <c r="L128" s="36"/>
      <c r="M128" s="36"/>
      <c r="N128" s="105"/>
      <c r="O128" s="36"/>
      <c r="P128" s="36"/>
      <c r="Q128" s="36"/>
      <c r="R128" s="105"/>
      <c r="S128" s="36"/>
      <c r="T128" s="36"/>
      <c r="U128" s="36"/>
      <c r="V128" s="105"/>
      <c r="W128" s="36"/>
      <c r="X128" s="36"/>
      <c r="Y128" s="36"/>
      <c r="Z128" s="105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42"/>
      <c r="AO128" s="42"/>
      <c r="AP128" s="36"/>
      <c r="AQ128" s="36"/>
      <c r="AR128" s="42"/>
      <c r="AS128" s="42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</row>
    <row r="129" spans="1:56" ht="15.75" x14ac:dyDescent="0.25">
      <c r="A129" s="44"/>
      <c r="B129" s="36"/>
      <c r="C129" s="36"/>
      <c r="D129" s="36"/>
      <c r="E129" s="36"/>
      <c r="F129" s="36"/>
      <c r="G129" s="36"/>
      <c r="H129" s="36"/>
      <c r="I129" s="36"/>
      <c r="J129" s="105"/>
      <c r="K129" s="36"/>
      <c r="L129" s="36"/>
      <c r="M129" s="36"/>
      <c r="N129" s="105"/>
      <c r="O129" s="36"/>
      <c r="P129" s="36"/>
      <c r="Q129" s="36"/>
      <c r="R129" s="105"/>
      <c r="S129" s="36"/>
      <c r="T129" s="36"/>
      <c r="U129" s="36"/>
      <c r="V129" s="105"/>
      <c r="W129" s="36"/>
      <c r="X129" s="36"/>
      <c r="Y129" s="36"/>
      <c r="Z129" s="105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42"/>
      <c r="AO129" s="42"/>
      <c r="AP129" s="36"/>
      <c r="AQ129" s="36"/>
      <c r="AR129" s="42"/>
      <c r="AS129" s="42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</row>
    <row r="130" spans="1:56" ht="15.75" x14ac:dyDescent="0.25">
      <c r="A130" s="44"/>
      <c r="B130" s="36"/>
      <c r="C130" s="36"/>
      <c r="D130" s="36"/>
      <c r="E130" s="36"/>
      <c r="F130" s="36"/>
      <c r="G130" s="36"/>
      <c r="H130" s="36"/>
      <c r="I130" s="36"/>
      <c r="J130" s="105"/>
      <c r="K130" s="36"/>
      <c r="L130" s="36"/>
      <c r="M130" s="36"/>
      <c r="N130" s="105"/>
      <c r="O130" s="36"/>
      <c r="P130" s="36"/>
      <c r="Q130" s="36"/>
      <c r="R130" s="105"/>
      <c r="S130" s="36"/>
      <c r="T130" s="36"/>
      <c r="U130" s="36"/>
      <c r="V130" s="105"/>
      <c r="W130" s="36"/>
      <c r="X130" s="36"/>
      <c r="Y130" s="36"/>
      <c r="Z130" s="105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42"/>
      <c r="AO130" s="42"/>
      <c r="AP130" s="36"/>
      <c r="AQ130" s="36"/>
      <c r="AR130" s="42"/>
      <c r="AS130" s="42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</row>
    <row r="131" spans="1:56" ht="15.75" x14ac:dyDescent="0.25">
      <c r="A131" s="44"/>
      <c r="B131" s="36"/>
      <c r="C131" s="36"/>
      <c r="D131" s="36"/>
      <c r="E131" s="36"/>
      <c r="F131" s="36"/>
      <c r="G131" s="36"/>
      <c r="H131" s="36"/>
      <c r="I131" s="36"/>
      <c r="J131" s="105"/>
      <c r="K131" s="36"/>
      <c r="L131" s="36"/>
      <c r="M131" s="36"/>
      <c r="N131" s="105"/>
      <c r="O131" s="36"/>
      <c r="P131" s="36"/>
      <c r="Q131" s="36"/>
      <c r="R131" s="105"/>
      <c r="S131" s="36"/>
      <c r="T131" s="36"/>
      <c r="U131" s="36"/>
      <c r="V131" s="105"/>
      <c r="W131" s="36"/>
      <c r="X131" s="36"/>
      <c r="Y131" s="36"/>
      <c r="Z131" s="105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42"/>
      <c r="AO131" s="42"/>
      <c r="AP131" s="36"/>
      <c r="AQ131" s="36"/>
      <c r="AR131" s="42"/>
      <c r="AS131" s="42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</row>
    <row r="132" spans="1:56" ht="15.75" x14ac:dyDescent="0.25">
      <c r="A132" s="44"/>
      <c r="B132" s="36"/>
      <c r="C132" s="36"/>
      <c r="D132" s="36"/>
      <c r="E132" s="36"/>
      <c r="F132" s="36"/>
      <c r="G132" s="36"/>
      <c r="H132" s="36"/>
      <c r="I132" s="36"/>
      <c r="J132" s="105"/>
      <c r="K132" s="36"/>
      <c r="L132" s="36"/>
      <c r="M132" s="36"/>
      <c r="N132" s="105"/>
      <c r="O132" s="36"/>
      <c r="P132" s="36"/>
      <c r="Q132" s="36"/>
      <c r="R132" s="105"/>
      <c r="S132" s="36"/>
      <c r="T132" s="36"/>
      <c r="U132" s="36"/>
      <c r="V132" s="105"/>
      <c r="W132" s="36"/>
      <c r="X132" s="36"/>
      <c r="Y132" s="36"/>
      <c r="Z132" s="105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42"/>
      <c r="AO132" s="42"/>
      <c r="AP132" s="36"/>
      <c r="AQ132" s="36"/>
      <c r="AR132" s="42"/>
      <c r="AS132" s="42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</row>
    <row r="133" spans="1:56" ht="15.75" x14ac:dyDescent="0.25">
      <c r="A133" s="44"/>
      <c r="B133" s="36"/>
      <c r="C133" s="36"/>
      <c r="D133" s="36"/>
      <c r="E133" s="36"/>
      <c r="F133" s="36"/>
      <c r="G133" s="36"/>
      <c r="H133" s="36"/>
      <c r="I133" s="36"/>
      <c r="J133" s="105"/>
      <c r="K133" s="36"/>
      <c r="L133" s="36"/>
      <c r="M133" s="36"/>
      <c r="N133" s="105"/>
      <c r="O133" s="36"/>
      <c r="P133" s="36"/>
      <c r="Q133" s="36"/>
      <c r="R133" s="105"/>
      <c r="S133" s="36"/>
      <c r="T133" s="36"/>
      <c r="U133" s="36"/>
      <c r="V133" s="105"/>
      <c r="W133" s="36"/>
      <c r="X133" s="36"/>
      <c r="Y133" s="36"/>
      <c r="Z133" s="105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42"/>
      <c r="AO133" s="42"/>
      <c r="AP133" s="36"/>
      <c r="AQ133" s="36"/>
      <c r="AR133" s="42"/>
      <c r="AS133" s="42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</row>
    <row r="134" spans="1:56" ht="15.75" x14ac:dyDescent="0.25">
      <c r="A134" s="44"/>
      <c r="B134" s="36"/>
      <c r="C134" s="36"/>
      <c r="D134" s="36"/>
      <c r="E134" s="36"/>
      <c r="F134" s="36"/>
      <c r="G134" s="36"/>
      <c r="H134" s="36"/>
      <c r="I134" s="36"/>
      <c r="J134" s="105"/>
      <c r="K134" s="36"/>
      <c r="L134" s="36"/>
      <c r="M134" s="36"/>
      <c r="N134" s="105"/>
      <c r="O134" s="36"/>
      <c r="P134" s="36"/>
      <c r="Q134" s="36"/>
      <c r="R134" s="105"/>
      <c r="S134" s="36"/>
      <c r="T134" s="36"/>
      <c r="U134" s="36"/>
      <c r="V134" s="105"/>
      <c r="W134" s="36"/>
      <c r="X134" s="36"/>
      <c r="Y134" s="36"/>
      <c r="Z134" s="105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42"/>
      <c r="AO134" s="42"/>
      <c r="AP134" s="36"/>
      <c r="AQ134" s="36"/>
      <c r="AR134" s="42"/>
      <c r="AS134" s="42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</row>
    <row r="135" spans="1:56" ht="15.75" x14ac:dyDescent="0.25">
      <c r="A135" s="44"/>
      <c r="B135" s="36"/>
      <c r="C135" s="36"/>
      <c r="D135" s="36"/>
      <c r="E135" s="36"/>
      <c r="F135" s="36"/>
      <c r="G135" s="36"/>
      <c r="H135" s="36"/>
      <c r="I135" s="36"/>
      <c r="J135" s="105"/>
      <c r="K135" s="36"/>
      <c r="L135" s="36"/>
      <c r="M135" s="36"/>
      <c r="N135" s="105"/>
      <c r="O135" s="36"/>
      <c r="P135" s="36"/>
      <c r="Q135" s="36"/>
      <c r="R135" s="105"/>
      <c r="S135" s="36"/>
      <c r="T135" s="36"/>
      <c r="U135" s="36"/>
      <c r="V135" s="105"/>
      <c r="W135" s="36"/>
      <c r="X135" s="36"/>
      <c r="Y135" s="36"/>
      <c r="Z135" s="105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42"/>
      <c r="AO135" s="42"/>
      <c r="AP135" s="36"/>
      <c r="AQ135" s="36"/>
      <c r="AR135" s="42"/>
      <c r="AS135" s="42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</row>
    <row r="136" spans="1:56" ht="15.75" x14ac:dyDescent="0.25">
      <c r="A136" s="44"/>
      <c r="B136" s="36"/>
      <c r="C136" s="36"/>
      <c r="D136" s="36"/>
      <c r="E136" s="36"/>
      <c r="F136" s="36"/>
      <c r="G136" s="36"/>
      <c r="H136" s="36"/>
      <c r="I136" s="36"/>
      <c r="J136" s="105"/>
      <c r="K136" s="36"/>
      <c r="L136" s="36"/>
      <c r="M136" s="36"/>
      <c r="N136" s="105"/>
      <c r="O136" s="36"/>
      <c r="P136" s="36"/>
      <c r="Q136" s="36"/>
      <c r="R136" s="105"/>
      <c r="S136" s="36"/>
      <c r="T136" s="36"/>
      <c r="U136" s="36"/>
      <c r="V136" s="105"/>
      <c r="W136" s="36"/>
      <c r="X136" s="36"/>
      <c r="Y136" s="36"/>
      <c r="Z136" s="105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42"/>
      <c r="AO136" s="42"/>
      <c r="AP136" s="36"/>
      <c r="AQ136" s="36"/>
      <c r="AR136" s="42"/>
      <c r="AS136" s="42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</row>
    <row r="137" spans="1:56" ht="15.75" x14ac:dyDescent="0.25">
      <c r="A137" s="44"/>
      <c r="B137" s="36"/>
      <c r="C137" s="36"/>
      <c r="D137" s="36"/>
      <c r="E137" s="36"/>
      <c r="F137" s="36"/>
      <c r="G137" s="36"/>
      <c r="H137" s="36"/>
      <c r="I137" s="36"/>
      <c r="J137" s="105"/>
      <c r="K137" s="36"/>
      <c r="L137" s="36"/>
      <c r="M137" s="36"/>
      <c r="N137" s="105"/>
      <c r="O137" s="36"/>
      <c r="P137" s="36"/>
      <c r="Q137" s="36"/>
      <c r="R137" s="105"/>
      <c r="S137" s="36"/>
      <c r="T137" s="36"/>
      <c r="U137" s="36"/>
      <c r="V137" s="105"/>
      <c r="W137" s="36"/>
      <c r="X137" s="36"/>
      <c r="Y137" s="36"/>
      <c r="Z137" s="105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42"/>
      <c r="AO137" s="42"/>
      <c r="AP137" s="36"/>
      <c r="AQ137" s="36"/>
      <c r="AR137" s="42"/>
      <c r="AS137" s="42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</row>
    <row r="138" spans="1:56" ht="15.75" x14ac:dyDescent="0.25">
      <c r="A138" s="44"/>
      <c r="B138" s="36"/>
      <c r="C138" s="36"/>
      <c r="D138" s="36"/>
      <c r="E138" s="36"/>
      <c r="F138" s="36"/>
      <c r="G138" s="36"/>
      <c r="H138" s="36"/>
      <c r="I138" s="36"/>
      <c r="J138" s="105"/>
      <c r="K138" s="36"/>
      <c r="L138" s="36"/>
      <c r="M138" s="36"/>
      <c r="N138" s="105"/>
      <c r="O138" s="36"/>
      <c r="P138" s="36"/>
      <c r="Q138" s="36"/>
      <c r="R138" s="105"/>
      <c r="S138" s="36"/>
      <c r="T138" s="36"/>
      <c r="U138" s="36"/>
      <c r="V138" s="105"/>
      <c r="W138" s="36"/>
      <c r="X138" s="36"/>
      <c r="Y138" s="36"/>
      <c r="Z138" s="105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42"/>
      <c r="AO138" s="42"/>
      <c r="AP138" s="36"/>
      <c r="AQ138" s="36"/>
      <c r="AR138" s="42"/>
      <c r="AS138" s="42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</row>
    <row r="139" spans="1:56" ht="15.75" x14ac:dyDescent="0.25">
      <c r="A139" s="44"/>
      <c r="B139" s="36"/>
      <c r="C139" s="36"/>
      <c r="D139" s="36"/>
      <c r="E139" s="36"/>
      <c r="F139" s="36"/>
      <c r="G139" s="36"/>
      <c r="H139" s="36"/>
      <c r="I139" s="36"/>
      <c r="J139" s="105"/>
      <c r="K139" s="36"/>
      <c r="L139" s="36"/>
      <c r="M139" s="36"/>
      <c r="N139" s="105"/>
      <c r="O139" s="36"/>
      <c r="P139" s="36"/>
      <c r="Q139" s="36"/>
      <c r="R139" s="105"/>
      <c r="S139" s="36"/>
      <c r="T139" s="36"/>
      <c r="U139" s="36"/>
      <c r="V139" s="105"/>
      <c r="W139" s="36"/>
      <c r="X139" s="36"/>
      <c r="Y139" s="36"/>
      <c r="Z139" s="105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42"/>
      <c r="AO139" s="42"/>
      <c r="AP139" s="36"/>
      <c r="AQ139" s="36"/>
      <c r="AR139" s="42"/>
      <c r="AS139" s="42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</row>
    <row r="140" spans="1:56" ht="15.75" x14ac:dyDescent="0.25">
      <c r="A140" s="44"/>
      <c r="B140" s="36"/>
      <c r="C140" s="36"/>
      <c r="D140" s="36"/>
      <c r="E140" s="36"/>
      <c r="F140" s="36"/>
      <c r="G140" s="36"/>
      <c r="H140" s="36"/>
      <c r="I140" s="36"/>
      <c r="J140" s="105"/>
      <c r="K140" s="36"/>
      <c r="L140" s="36"/>
      <c r="M140" s="36"/>
      <c r="N140" s="105"/>
      <c r="O140" s="36"/>
      <c r="P140" s="36"/>
      <c r="Q140" s="36"/>
      <c r="R140" s="105"/>
      <c r="S140" s="36"/>
      <c r="T140" s="36"/>
      <c r="U140" s="36"/>
      <c r="V140" s="105"/>
      <c r="W140" s="36"/>
      <c r="X140" s="36"/>
      <c r="Y140" s="36"/>
      <c r="Z140" s="105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42"/>
      <c r="AO140" s="42"/>
      <c r="AP140" s="36"/>
      <c r="AQ140" s="36"/>
      <c r="AR140" s="42"/>
      <c r="AS140" s="42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</row>
    <row r="141" spans="1:56" ht="15.75" x14ac:dyDescent="0.25">
      <c r="A141" s="44"/>
      <c r="B141" s="36"/>
      <c r="C141" s="36"/>
      <c r="D141" s="36"/>
      <c r="E141" s="36"/>
      <c r="F141" s="36"/>
      <c r="G141" s="36"/>
      <c r="H141" s="36"/>
      <c r="I141" s="36"/>
      <c r="J141" s="105"/>
      <c r="K141" s="36"/>
      <c r="L141" s="36"/>
      <c r="M141" s="36"/>
      <c r="N141" s="105"/>
      <c r="O141" s="36"/>
      <c r="P141" s="36"/>
      <c r="Q141" s="36"/>
      <c r="R141" s="105"/>
      <c r="S141" s="36"/>
      <c r="T141" s="36"/>
      <c r="U141" s="36"/>
      <c r="V141" s="105"/>
      <c r="W141" s="36"/>
      <c r="X141" s="36"/>
      <c r="Y141" s="36"/>
      <c r="Z141" s="105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42"/>
      <c r="AO141" s="42"/>
      <c r="AP141" s="36"/>
      <c r="AQ141" s="36"/>
      <c r="AR141" s="42"/>
      <c r="AS141" s="42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</row>
    <row r="142" spans="1:56" ht="15.75" x14ac:dyDescent="0.25">
      <c r="A142" s="44"/>
      <c r="B142" s="36"/>
      <c r="C142" s="36"/>
      <c r="D142" s="36"/>
      <c r="E142" s="36"/>
      <c r="F142" s="36"/>
      <c r="G142" s="36"/>
      <c r="H142" s="36"/>
      <c r="I142" s="36"/>
      <c r="J142" s="105"/>
      <c r="K142" s="36"/>
      <c r="L142" s="36"/>
      <c r="M142" s="36"/>
      <c r="N142" s="105"/>
      <c r="O142" s="36"/>
      <c r="P142" s="36"/>
      <c r="Q142" s="36"/>
      <c r="R142" s="105"/>
      <c r="S142" s="36"/>
      <c r="T142" s="36"/>
      <c r="U142" s="36"/>
      <c r="V142" s="105"/>
      <c r="W142" s="36"/>
      <c r="X142" s="36"/>
      <c r="Y142" s="36"/>
      <c r="Z142" s="105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42"/>
      <c r="AO142" s="42"/>
      <c r="AP142" s="36"/>
      <c r="AQ142" s="36"/>
      <c r="AR142" s="42"/>
      <c r="AS142" s="42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</row>
    <row r="143" spans="1:56" ht="15.75" x14ac:dyDescent="0.25">
      <c r="A143" s="44"/>
      <c r="B143" s="36"/>
      <c r="C143" s="36"/>
      <c r="D143" s="36"/>
      <c r="E143" s="36"/>
      <c r="F143" s="36"/>
      <c r="G143" s="36"/>
      <c r="H143" s="36"/>
      <c r="I143" s="36"/>
      <c r="J143" s="105"/>
      <c r="K143" s="36"/>
      <c r="L143" s="36"/>
      <c r="M143" s="36"/>
      <c r="N143" s="105"/>
      <c r="O143" s="36"/>
      <c r="P143" s="36"/>
      <c r="Q143" s="36"/>
      <c r="R143" s="105"/>
      <c r="S143" s="36"/>
      <c r="T143" s="36"/>
      <c r="U143" s="36"/>
      <c r="V143" s="105"/>
      <c r="W143" s="36"/>
      <c r="X143" s="36"/>
      <c r="Y143" s="36"/>
      <c r="Z143" s="105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42"/>
      <c r="AO143" s="42"/>
      <c r="AP143" s="36"/>
      <c r="AQ143" s="36"/>
      <c r="AR143" s="42"/>
      <c r="AS143" s="42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</row>
    <row r="144" spans="1:56" ht="15.75" x14ac:dyDescent="0.25">
      <c r="A144" s="44"/>
      <c r="B144" s="36"/>
      <c r="C144" s="36"/>
      <c r="D144" s="36"/>
      <c r="E144" s="36"/>
      <c r="F144" s="36"/>
      <c r="G144" s="36"/>
      <c r="H144" s="36"/>
      <c r="I144" s="36"/>
      <c r="J144" s="105"/>
      <c r="K144" s="36"/>
      <c r="L144" s="36"/>
      <c r="M144" s="36"/>
      <c r="N144" s="105"/>
      <c r="O144" s="36"/>
      <c r="P144" s="36"/>
      <c r="Q144" s="36"/>
      <c r="R144" s="105"/>
      <c r="S144" s="36"/>
      <c r="T144" s="36"/>
      <c r="U144" s="36"/>
      <c r="V144" s="105"/>
      <c r="W144" s="36"/>
      <c r="X144" s="36"/>
      <c r="Y144" s="36"/>
      <c r="Z144" s="105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42"/>
      <c r="AO144" s="42"/>
      <c r="AP144" s="36"/>
      <c r="AQ144" s="36"/>
      <c r="AR144" s="42"/>
      <c r="AS144" s="42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</row>
    <row r="145" spans="1:56" ht="15.75" x14ac:dyDescent="0.25">
      <c r="A145" s="44"/>
      <c r="B145" s="36"/>
      <c r="C145" s="36"/>
      <c r="D145" s="36"/>
      <c r="E145" s="36"/>
      <c r="F145" s="36"/>
      <c r="G145" s="36"/>
      <c r="H145" s="36"/>
      <c r="I145" s="36"/>
      <c r="J145" s="105"/>
      <c r="K145" s="36"/>
      <c r="L145" s="36"/>
      <c r="M145" s="36"/>
      <c r="N145" s="105"/>
      <c r="O145" s="36"/>
      <c r="P145" s="36"/>
      <c r="Q145" s="36"/>
      <c r="R145" s="105"/>
      <c r="S145" s="36"/>
      <c r="T145" s="36"/>
      <c r="U145" s="36"/>
      <c r="V145" s="105"/>
      <c r="W145" s="36"/>
      <c r="X145" s="36"/>
      <c r="Y145" s="36"/>
      <c r="Z145" s="105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42"/>
      <c r="AO145" s="42"/>
      <c r="AP145" s="36"/>
      <c r="AQ145" s="36"/>
      <c r="AR145" s="42"/>
      <c r="AS145" s="42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</row>
    <row r="146" spans="1:56" ht="15.75" x14ac:dyDescent="0.25">
      <c r="A146" s="44"/>
      <c r="B146" s="36"/>
      <c r="C146" s="36"/>
      <c r="D146" s="36"/>
      <c r="E146" s="36"/>
      <c r="F146" s="36"/>
      <c r="G146" s="36"/>
      <c r="H146" s="36"/>
      <c r="I146" s="36"/>
      <c r="J146" s="105"/>
      <c r="K146" s="36"/>
      <c r="L146" s="36"/>
      <c r="M146" s="36"/>
      <c r="N146" s="105"/>
      <c r="O146" s="36"/>
      <c r="P146" s="36"/>
      <c r="Q146" s="36"/>
      <c r="R146" s="105"/>
      <c r="S146" s="36"/>
      <c r="T146" s="36"/>
      <c r="U146" s="36"/>
      <c r="V146" s="105"/>
      <c r="W146" s="36"/>
      <c r="X146" s="36"/>
      <c r="Y146" s="36"/>
      <c r="Z146" s="105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42"/>
      <c r="AO146" s="42"/>
      <c r="AP146" s="36"/>
      <c r="AQ146" s="36"/>
      <c r="AR146" s="42"/>
      <c r="AS146" s="42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</row>
    <row r="147" spans="1:56" ht="15.75" x14ac:dyDescent="0.25">
      <c r="A147" s="44"/>
      <c r="B147" s="36"/>
      <c r="C147" s="36"/>
      <c r="D147" s="36"/>
      <c r="E147" s="36"/>
      <c r="F147" s="36"/>
      <c r="G147" s="36"/>
      <c r="H147" s="36"/>
      <c r="I147" s="36"/>
      <c r="J147" s="105"/>
      <c r="K147" s="36"/>
      <c r="L147" s="36"/>
      <c r="M147" s="36"/>
      <c r="N147" s="105"/>
      <c r="O147" s="36"/>
      <c r="P147" s="36"/>
      <c r="Q147" s="36"/>
      <c r="R147" s="105"/>
      <c r="S147" s="36"/>
      <c r="T147" s="36"/>
      <c r="U147" s="36"/>
      <c r="V147" s="105"/>
      <c r="W147" s="36"/>
      <c r="X147" s="36"/>
      <c r="Y147" s="36"/>
      <c r="Z147" s="105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42"/>
      <c r="AO147" s="42"/>
      <c r="AP147" s="36"/>
      <c r="AQ147" s="36"/>
      <c r="AR147" s="42"/>
      <c r="AS147" s="42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</row>
    <row r="148" spans="1:56" ht="15.75" x14ac:dyDescent="0.25">
      <c r="A148" s="44"/>
      <c r="B148" s="36"/>
      <c r="C148" s="36"/>
      <c r="D148" s="36"/>
      <c r="E148" s="36"/>
      <c r="F148" s="36"/>
      <c r="G148" s="36"/>
      <c r="H148" s="36"/>
      <c r="I148" s="36"/>
      <c r="J148" s="105"/>
      <c r="K148" s="36"/>
      <c r="L148" s="36"/>
      <c r="M148" s="36"/>
      <c r="N148" s="105"/>
      <c r="O148" s="36"/>
      <c r="P148" s="36"/>
      <c r="Q148" s="36"/>
      <c r="R148" s="105"/>
      <c r="S148" s="36"/>
      <c r="T148" s="36"/>
      <c r="U148" s="36"/>
      <c r="V148" s="105"/>
      <c r="W148" s="36"/>
      <c r="X148" s="36"/>
      <c r="Y148" s="36"/>
      <c r="Z148" s="105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42"/>
      <c r="AO148" s="42"/>
      <c r="AP148" s="36"/>
      <c r="AQ148" s="36"/>
      <c r="AR148" s="42"/>
      <c r="AS148" s="42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</row>
    <row r="149" spans="1:56" ht="15.75" x14ac:dyDescent="0.25">
      <c r="A149" s="44"/>
      <c r="B149" s="36"/>
      <c r="C149" s="36"/>
      <c r="D149" s="36"/>
      <c r="E149" s="36"/>
      <c r="F149" s="36"/>
      <c r="G149" s="36"/>
      <c r="H149" s="36"/>
      <c r="I149" s="36"/>
      <c r="J149" s="105"/>
      <c r="K149" s="36"/>
      <c r="L149" s="36"/>
      <c r="M149" s="36"/>
      <c r="N149" s="105"/>
      <c r="O149" s="36"/>
      <c r="P149" s="36"/>
      <c r="Q149" s="36"/>
      <c r="R149" s="105"/>
      <c r="S149" s="36"/>
      <c r="T149" s="36"/>
      <c r="U149" s="36"/>
      <c r="V149" s="105"/>
      <c r="W149" s="36"/>
      <c r="X149" s="36"/>
      <c r="Y149" s="36"/>
      <c r="Z149" s="105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42"/>
      <c r="AO149" s="42"/>
      <c r="AP149" s="36"/>
      <c r="AQ149" s="36"/>
      <c r="AR149" s="42"/>
      <c r="AS149" s="42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</row>
    <row r="150" spans="1:56" ht="15.75" x14ac:dyDescent="0.25">
      <c r="A150" s="44"/>
      <c r="B150" s="36"/>
      <c r="C150" s="36"/>
      <c r="D150" s="36"/>
      <c r="E150" s="36"/>
      <c r="F150" s="36"/>
      <c r="G150" s="36"/>
      <c r="H150" s="36"/>
      <c r="I150" s="36"/>
      <c r="J150" s="105"/>
      <c r="K150" s="36"/>
      <c r="L150" s="36"/>
      <c r="M150" s="36"/>
      <c r="N150" s="105"/>
      <c r="O150" s="36"/>
      <c r="P150" s="36"/>
      <c r="Q150" s="36"/>
      <c r="R150" s="105"/>
      <c r="S150" s="36"/>
      <c r="T150" s="36"/>
      <c r="U150" s="36"/>
      <c r="V150" s="105"/>
      <c r="W150" s="36"/>
      <c r="X150" s="36"/>
      <c r="Y150" s="36"/>
      <c r="Z150" s="105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42"/>
      <c r="AO150" s="42"/>
      <c r="AP150" s="36"/>
      <c r="AQ150" s="36"/>
      <c r="AR150" s="42"/>
      <c r="AS150" s="42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</row>
    <row r="151" spans="1:56" ht="15.75" x14ac:dyDescent="0.25">
      <c r="A151" s="44"/>
      <c r="B151" s="36"/>
      <c r="C151" s="36"/>
      <c r="D151" s="36"/>
      <c r="E151" s="36"/>
      <c r="F151" s="36"/>
      <c r="G151" s="36"/>
      <c r="H151" s="36"/>
      <c r="I151" s="36"/>
      <c r="J151" s="105"/>
      <c r="K151" s="36"/>
      <c r="L151" s="36"/>
      <c r="M151" s="36"/>
      <c r="N151" s="105"/>
      <c r="O151" s="36"/>
      <c r="P151" s="36"/>
      <c r="Q151" s="36"/>
      <c r="R151" s="105"/>
      <c r="S151" s="36"/>
      <c r="T151" s="36"/>
      <c r="U151" s="36"/>
      <c r="V151" s="105"/>
      <c r="W151" s="36"/>
      <c r="X151" s="36"/>
      <c r="Y151" s="36"/>
      <c r="Z151" s="105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42"/>
      <c r="AO151" s="42"/>
      <c r="AP151" s="36"/>
      <c r="AQ151" s="36"/>
      <c r="AR151" s="42"/>
      <c r="AS151" s="42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</row>
    <row r="152" spans="1:56" ht="15.75" x14ac:dyDescent="0.25">
      <c r="A152" s="44"/>
      <c r="B152" s="36"/>
      <c r="C152" s="36"/>
      <c r="D152" s="36"/>
      <c r="E152" s="36"/>
      <c r="F152" s="36"/>
      <c r="G152" s="36"/>
      <c r="H152" s="36"/>
      <c r="I152" s="36"/>
      <c r="J152" s="105"/>
      <c r="K152" s="36"/>
      <c r="L152" s="36"/>
      <c r="M152" s="36"/>
      <c r="N152" s="105"/>
      <c r="O152" s="36"/>
      <c r="P152" s="36"/>
      <c r="Q152" s="36"/>
      <c r="R152" s="105"/>
      <c r="S152" s="36"/>
      <c r="T152" s="36"/>
      <c r="U152" s="36"/>
      <c r="V152" s="105"/>
      <c r="W152" s="36"/>
      <c r="X152" s="36"/>
      <c r="Y152" s="36"/>
      <c r="Z152" s="105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42"/>
      <c r="AO152" s="42"/>
      <c r="AP152" s="36"/>
      <c r="AQ152" s="36"/>
      <c r="AR152" s="42"/>
      <c r="AS152" s="42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</row>
    <row r="153" spans="1:56" ht="15.75" x14ac:dyDescent="0.25">
      <c r="A153" s="44"/>
      <c r="B153" s="36"/>
      <c r="C153" s="36"/>
      <c r="D153" s="36"/>
      <c r="E153" s="36"/>
      <c r="F153" s="36"/>
      <c r="G153" s="36"/>
      <c r="H153" s="36"/>
      <c r="I153" s="36"/>
      <c r="J153" s="105"/>
      <c r="K153" s="36"/>
      <c r="L153" s="36"/>
      <c r="M153" s="36"/>
      <c r="N153" s="105"/>
      <c r="O153" s="36"/>
      <c r="P153" s="36"/>
      <c r="Q153" s="36"/>
      <c r="R153" s="105"/>
      <c r="S153" s="36"/>
      <c r="T153" s="36"/>
      <c r="U153" s="36"/>
      <c r="V153" s="105"/>
      <c r="W153" s="36"/>
      <c r="X153" s="36"/>
      <c r="Y153" s="36"/>
      <c r="Z153" s="105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42"/>
      <c r="AO153" s="42"/>
      <c r="AP153" s="36"/>
      <c r="AQ153" s="36"/>
      <c r="AR153" s="42"/>
      <c r="AS153" s="42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</row>
    <row r="154" spans="1:56" ht="15.75" x14ac:dyDescent="0.25">
      <c r="A154" s="44"/>
      <c r="B154" s="36"/>
      <c r="C154" s="36"/>
      <c r="D154" s="36"/>
      <c r="E154" s="36"/>
      <c r="F154" s="36"/>
      <c r="G154" s="36"/>
      <c r="H154" s="36"/>
      <c r="I154" s="36"/>
      <c r="J154" s="105"/>
      <c r="K154" s="36"/>
      <c r="L154" s="36"/>
      <c r="M154" s="36"/>
      <c r="N154" s="105"/>
      <c r="O154" s="36"/>
      <c r="P154" s="36"/>
      <c r="Q154" s="36"/>
      <c r="R154" s="105"/>
      <c r="S154" s="36"/>
      <c r="T154" s="36"/>
      <c r="U154" s="36"/>
      <c r="V154" s="105"/>
      <c r="W154" s="36"/>
      <c r="X154" s="36"/>
      <c r="Y154" s="36"/>
      <c r="Z154" s="105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42"/>
      <c r="AO154" s="42"/>
      <c r="AP154" s="36"/>
      <c r="AQ154" s="36"/>
      <c r="AR154" s="42"/>
      <c r="AS154" s="42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</row>
    <row r="155" spans="1:56" ht="15.75" x14ac:dyDescent="0.25">
      <c r="A155" s="44"/>
      <c r="B155" s="36"/>
      <c r="C155" s="36"/>
      <c r="D155" s="36"/>
      <c r="E155" s="36"/>
      <c r="F155" s="36"/>
      <c r="G155" s="36"/>
      <c r="H155" s="36"/>
      <c r="I155" s="36"/>
      <c r="J155" s="105"/>
      <c r="K155" s="36"/>
      <c r="L155" s="36"/>
      <c r="M155" s="36"/>
      <c r="N155" s="105"/>
      <c r="O155" s="36"/>
      <c r="P155" s="36"/>
      <c r="Q155" s="36"/>
      <c r="R155" s="105"/>
      <c r="S155" s="36"/>
      <c r="T155" s="36"/>
      <c r="U155" s="36"/>
      <c r="V155" s="105"/>
      <c r="W155" s="36"/>
      <c r="X155" s="36"/>
      <c r="Y155" s="36"/>
      <c r="Z155" s="105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42"/>
      <c r="AO155" s="42"/>
      <c r="AP155" s="36"/>
      <c r="AQ155" s="36"/>
      <c r="AR155" s="42"/>
      <c r="AS155" s="42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</row>
    <row r="156" spans="1:56" ht="15.75" x14ac:dyDescent="0.25">
      <c r="A156" s="44"/>
      <c r="B156" s="36"/>
      <c r="C156" s="36"/>
      <c r="D156" s="36"/>
      <c r="E156" s="36"/>
      <c r="F156" s="36"/>
      <c r="G156" s="36"/>
      <c r="H156" s="36"/>
      <c r="I156" s="36"/>
      <c r="J156" s="105"/>
      <c r="K156" s="36"/>
      <c r="L156" s="36"/>
      <c r="M156" s="36"/>
      <c r="N156" s="105"/>
      <c r="O156" s="36"/>
      <c r="P156" s="36"/>
      <c r="Q156" s="36"/>
      <c r="R156" s="105"/>
      <c r="S156" s="36"/>
      <c r="T156" s="36"/>
      <c r="U156" s="36"/>
      <c r="V156" s="105"/>
      <c r="W156" s="36"/>
      <c r="X156" s="36"/>
      <c r="Y156" s="36"/>
      <c r="Z156" s="105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42"/>
      <c r="AO156" s="42"/>
      <c r="AP156" s="36"/>
      <c r="AQ156" s="36"/>
      <c r="AR156" s="42"/>
      <c r="AS156" s="42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</row>
    <row r="157" spans="1:56" ht="15.75" x14ac:dyDescent="0.25">
      <c r="A157" s="44"/>
      <c r="B157" s="36"/>
      <c r="C157" s="36"/>
      <c r="D157" s="36"/>
      <c r="E157" s="36"/>
      <c r="F157" s="36"/>
      <c r="G157" s="36"/>
      <c r="H157" s="36"/>
      <c r="I157" s="36"/>
      <c r="J157" s="105"/>
      <c r="K157" s="36"/>
      <c r="L157" s="36"/>
      <c r="M157" s="36"/>
      <c r="N157" s="105"/>
      <c r="O157" s="36"/>
      <c r="P157" s="36"/>
      <c r="Q157" s="36"/>
      <c r="R157" s="105"/>
      <c r="S157" s="36"/>
      <c r="T157" s="36"/>
      <c r="U157" s="36"/>
      <c r="V157" s="105"/>
      <c r="W157" s="36"/>
      <c r="X157" s="36"/>
      <c r="Y157" s="36"/>
      <c r="Z157" s="105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42"/>
      <c r="AO157" s="42"/>
      <c r="AP157" s="36"/>
      <c r="AQ157" s="36"/>
      <c r="AR157" s="42"/>
      <c r="AS157" s="42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</row>
    <row r="158" spans="1:56" ht="15.75" x14ac:dyDescent="0.25">
      <c r="A158" s="44"/>
      <c r="B158" s="36"/>
      <c r="C158" s="36"/>
      <c r="D158" s="36"/>
      <c r="E158" s="36"/>
      <c r="F158" s="36"/>
      <c r="G158" s="36"/>
      <c r="H158" s="36"/>
      <c r="I158" s="36"/>
      <c r="J158" s="105"/>
      <c r="K158" s="36"/>
      <c r="L158" s="36"/>
      <c r="M158" s="36"/>
      <c r="N158" s="105"/>
      <c r="O158" s="36"/>
      <c r="P158" s="36"/>
      <c r="Q158" s="36"/>
      <c r="R158" s="105"/>
      <c r="S158" s="36"/>
      <c r="T158" s="36"/>
      <c r="U158" s="36"/>
      <c r="V158" s="105"/>
      <c r="W158" s="36"/>
      <c r="X158" s="36"/>
      <c r="Y158" s="36"/>
      <c r="Z158" s="105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42"/>
      <c r="AO158" s="42"/>
      <c r="AP158" s="36"/>
      <c r="AQ158" s="36"/>
      <c r="AR158" s="42"/>
      <c r="AS158" s="42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</row>
    <row r="159" spans="1:56" ht="15.75" x14ac:dyDescent="0.25">
      <c r="A159" s="44"/>
      <c r="B159" s="36"/>
      <c r="C159" s="36"/>
      <c r="D159" s="36"/>
      <c r="E159" s="36"/>
      <c r="F159" s="36"/>
      <c r="G159" s="36"/>
      <c r="H159" s="36"/>
      <c r="I159" s="36"/>
      <c r="J159" s="105"/>
      <c r="K159" s="36"/>
      <c r="L159" s="36"/>
      <c r="M159" s="36"/>
      <c r="N159" s="105"/>
      <c r="O159" s="36"/>
      <c r="P159" s="36"/>
      <c r="Q159" s="36"/>
      <c r="R159" s="105"/>
      <c r="S159" s="36"/>
      <c r="T159" s="36"/>
      <c r="U159" s="36"/>
      <c r="V159" s="105"/>
      <c r="W159" s="36"/>
      <c r="X159" s="36"/>
      <c r="Y159" s="36"/>
      <c r="Z159" s="105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42"/>
      <c r="AO159" s="42"/>
      <c r="AP159" s="36"/>
      <c r="AQ159" s="36"/>
      <c r="AR159" s="42"/>
      <c r="AS159" s="42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</row>
    <row r="160" spans="1:56" ht="15.75" x14ac:dyDescent="0.25">
      <c r="A160" s="44"/>
      <c r="B160" s="36"/>
      <c r="C160" s="36"/>
      <c r="D160" s="36"/>
      <c r="E160" s="36"/>
      <c r="F160" s="36"/>
      <c r="G160" s="36"/>
      <c r="H160" s="36"/>
      <c r="I160" s="36"/>
      <c r="J160" s="105"/>
      <c r="K160" s="36"/>
      <c r="L160" s="36"/>
      <c r="M160" s="36"/>
      <c r="N160" s="105"/>
      <c r="O160" s="36"/>
      <c r="P160" s="36"/>
      <c r="Q160" s="36"/>
      <c r="R160" s="105"/>
      <c r="S160" s="36"/>
      <c r="T160" s="36"/>
      <c r="U160" s="36"/>
      <c r="V160" s="105"/>
      <c r="W160" s="36"/>
      <c r="X160" s="36"/>
      <c r="Y160" s="36"/>
      <c r="Z160" s="105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42"/>
      <c r="AO160" s="42"/>
      <c r="AP160" s="36"/>
      <c r="AQ160" s="36"/>
      <c r="AR160" s="42"/>
      <c r="AS160" s="42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</row>
    <row r="161" spans="1:56" ht="15.75" x14ac:dyDescent="0.25">
      <c r="A161" s="44"/>
      <c r="B161" s="36"/>
      <c r="C161" s="36"/>
      <c r="D161" s="36"/>
      <c r="E161" s="36"/>
      <c r="F161" s="36"/>
      <c r="G161" s="36"/>
      <c r="H161" s="36"/>
      <c r="I161" s="36"/>
      <c r="J161" s="105"/>
      <c r="K161" s="36"/>
      <c r="L161" s="36"/>
      <c r="M161" s="36"/>
      <c r="N161" s="105"/>
      <c r="O161" s="36"/>
      <c r="P161" s="36"/>
      <c r="Q161" s="36"/>
      <c r="R161" s="105"/>
      <c r="S161" s="36"/>
      <c r="T161" s="36"/>
      <c r="U161" s="36"/>
      <c r="V161" s="105"/>
      <c r="W161" s="36"/>
      <c r="X161" s="36"/>
      <c r="Y161" s="36"/>
      <c r="Z161" s="105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42"/>
      <c r="AO161" s="42"/>
      <c r="AP161" s="36"/>
      <c r="AQ161" s="36"/>
      <c r="AR161" s="42"/>
      <c r="AS161" s="42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</row>
    <row r="162" spans="1:56" ht="15.75" x14ac:dyDescent="0.25">
      <c r="A162" s="44"/>
      <c r="B162" s="36"/>
      <c r="C162" s="36"/>
      <c r="D162" s="36"/>
      <c r="E162" s="36"/>
      <c r="F162" s="36"/>
      <c r="G162" s="36"/>
      <c r="H162" s="36"/>
      <c r="I162" s="36"/>
      <c r="J162" s="105"/>
      <c r="K162" s="36"/>
      <c r="L162" s="36"/>
      <c r="M162" s="36"/>
      <c r="N162" s="105"/>
      <c r="O162" s="36"/>
      <c r="P162" s="36"/>
      <c r="Q162" s="36"/>
      <c r="R162" s="105"/>
      <c r="S162" s="36"/>
      <c r="T162" s="36"/>
      <c r="U162" s="36"/>
      <c r="V162" s="105"/>
      <c r="W162" s="36"/>
      <c r="X162" s="36"/>
      <c r="Y162" s="36"/>
      <c r="Z162" s="105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42"/>
      <c r="AO162" s="42"/>
      <c r="AP162" s="36"/>
      <c r="AQ162" s="36"/>
      <c r="AR162" s="42"/>
      <c r="AS162" s="42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</row>
    <row r="163" spans="1:56" ht="15.75" x14ac:dyDescent="0.25">
      <c r="A163" s="44"/>
      <c r="B163" s="36"/>
      <c r="C163" s="36"/>
      <c r="D163" s="36"/>
      <c r="E163" s="36"/>
      <c r="F163" s="36"/>
      <c r="G163" s="36"/>
      <c r="H163" s="36"/>
      <c r="I163" s="36"/>
      <c r="J163" s="105"/>
      <c r="K163" s="36"/>
      <c r="L163" s="36"/>
      <c r="M163" s="36"/>
      <c r="N163" s="105"/>
      <c r="O163" s="36"/>
      <c r="P163" s="36"/>
      <c r="Q163" s="36"/>
      <c r="R163" s="105"/>
      <c r="S163" s="36"/>
      <c r="T163" s="36"/>
      <c r="U163" s="36"/>
      <c r="V163" s="105"/>
      <c r="W163" s="36"/>
      <c r="X163" s="36"/>
      <c r="Y163" s="36"/>
      <c r="Z163" s="105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42"/>
      <c r="AO163" s="42"/>
      <c r="AP163" s="36"/>
      <c r="AQ163" s="36"/>
      <c r="AR163" s="42"/>
      <c r="AS163" s="42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</row>
    <row r="164" spans="1:56" ht="15.75" x14ac:dyDescent="0.25">
      <c r="A164" s="44"/>
      <c r="B164" s="36"/>
      <c r="C164" s="36"/>
      <c r="D164" s="36"/>
      <c r="E164" s="36"/>
      <c r="F164" s="36"/>
      <c r="G164" s="36"/>
      <c r="H164" s="36"/>
      <c r="I164" s="36"/>
      <c r="J164" s="105"/>
      <c r="K164" s="36"/>
      <c r="L164" s="36"/>
      <c r="M164" s="36"/>
      <c r="N164" s="105"/>
      <c r="O164" s="36"/>
      <c r="P164" s="36"/>
      <c r="Q164" s="36"/>
      <c r="R164" s="105"/>
      <c r="S164" s="36"/>
      <c r="T164" s="36"/>
      <c r="U164" s="36"/>
      <c r="V164" s="105"/>
      <c r="W164" s="36"/>
      <c r="X164" s="36"/>
      <c r="Y164" s="36"/>
      <c r="Z164" s="105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42"/>
      <c r="AO164" s="42"/>
      <c r="AP164" s="36"/>
      <c r="AQ164" s="36"/>
      <c r="AR164" s="42"/>
      <c r="AS164" s="42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</row>
    <row r="165" spans="1:56" ht="15.75" x14ac:dyDescent="0.25">
      <c r="A165" s="44"/>
      <c r="B165" s="36"/>
      <c r="C165" s="36"/>
      <c r="D165" s="36"/>
      <c r="E165" s="36"/>
      <c r="F165" s="36"/>
      <c r="G165" s="36"/>
      <c r="H165" s="36"/>
      <c r="I165" s="36"/>
      <c r="J165" s="105"/>
      <c r="K165" s="36"/>
      <c r="L165" s="36"/>
      <c r="M165" s="36"/>
      <c r="N165" s="105"/>
      <c r="O165" s="36"/>
      <c r="P165" s="36"/>
      <c r="Q165" s="36"/>
      <c r="R165" s="105"/>
      <c r="S165" s="36"/>
      <c r="T165" s="36"/>
      <c r="U165" s="36"/>
      <c r="V165" s="105"/>
      <c r="W165" s="36"/>
      <c r="X165" s="36"/>
      <c r="Y165" s="36"/>
      <c r="Z165" s="105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42"/>
      <c r="AO165" s="42"/>
      <c r="AP165" s="36"/>
      <c r="AQ165" s="36"/>
      <c r="AR165" s="42"/>
      <c r="AS165" s="42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</row>
    <row r="166" spans="1:56" ht="15.75" x14ac:dyDescent="0.25">
      <c r="A166" s="44"/>
      <c r="B166" s="36"/>
      <c r="C166" s="36"/>
      <c r="D166" s="36"/>
      <c r="E166" s="36"/>
      <c r="F166" s="36"/>
      <c r="G166" s="36"/>
      <c r="H166" s="36"/>
      <c r="I166" s="36"/>
      <c r="J166" s="105"/>
      <c r="K166" s="36"/>
      <c r="L166" s="36"/>
      <c r="M166" s="36"/>
      <c r="N166" s="105"/>
      <c r="O166" s="36"/>
      <c r="P166" s="36"/>
      <c r="Q166" s="36"/>
      <c r="R166" s="105"/>
      <c r="S166" s="36"/>
      <c r="T166" s="36"/>
      <c r="U166" s="36"/>
      <c r="V166" s="105"/>
      <c r="W166" s="36"/>
      <c r="X166" s="36"/>
      <c r="Y166" s="36"/>
      <c r="Z166" s="105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42"/>
      <c r="AO166" s="42"/>
      <c r="AP166" s="36"/>
      <c r="AQ166" s="36"/>
      <c r="AR166" s="42"/>
      <c r="AS166" s="42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</row>
    <row r="167" spans="1:56" ht="15.75" x14ac:dyDescent="0.25">
      <c r="A167" s="44"/>
      <c r="B167" s="36"/>
      <c r="C167" s="36"/>
      <c r="D167" s="36"/>
      <c r="E167" s="36"/>
      <c r="F167" s="36"/>
      <c r="G167" s="36"/>
      <c r="H167" s="36"/>
      <c r="I167" s="36"/>
      <c r="J167" s="105"/>
      <c r="K167" s="36"/>
      <c r="L167" s="36"/>
      <c r="M167" s="36"/>
      <c r="N167" s="105"/>
      <c r="O167" s="36"/>
      <c r="P167" s="36"/>
      <c r="Q167" s="36"/>
      <c r="R167" s="105"/>
      <c r="S167" s="36"/>
      <c r="T167" s="36"/>
      <c r="U167" s="36"/>
      <c r="V167" s="105"/>
      <c r="W167" s="36"/>
      <c r="X167" s="36"/>
      <c r="Y167" s="36"/>
      <c r="Z167" s="105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42"/>
      <c r="AO167" s="42"/>
      <c r="AP167" s="36"/>
      <c r="AQ167" s="36"/>
      <c r="AR167" s="42"/>
      <c r="AS167" s="42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</row>
    <row r="168" spans="1:56" ht="15.75" x14ac:dyDescent="0.25">
      <c r="A168" s="44"/>
      <c r="B168" s="36"/>
      <c r="C168" s="36"/>
      <c r="D168" s="36"/>
      <c r="E168" s="36"/>
      <c r="F168" s="36"/>
      <c r="G168" s="36"/>
      <c r="H168" s="36"/>
      <c r="I168" s="36"/>
      <c r="J168" s="105"/>
      <c r="K168" s="36"/>
      <c r="L168" s="36"/>
      <c r="M168" s="36"/>
      <c r="N168" s="105"/>
      <c r="O168" s="36"/>
      <c r="P168" s="36"/>
      <c r="Q168" s="36"/>
      <c r="R168" s="105"/>
      <c r="S168" s="36"/>
      <c r="T168" s="36"/>
      <c r="U168" s="36"/>
      <c r="V168" s="105"/>
      <c r="W168" s="36"/>
      <c r="X168" s="36"/>
      <c r="Y168" s="36"/>
      <c r="Z168" s="105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42"/>
      <c r="AO168" s="42"/>
      <c r="AP168" s="36"/>
      <c r="AQ168" s="36"/>
      <c r="AR168" s="42"/>
      <c r="AS168" s="42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</row>
    <row r="169" spans="1:56" ht="15.75" x14ac:dyDescent="0.25">
      <c r="A169" s="44"/>
      <c r="B169" s="36"/>
      <c r="C169" s="36"/>
      <c r="D169" s="36"/>
      <c r="E169" s="36"/>
      <c r="F169" s="36"/>
      <c r="G169" s="36"/>
      <c r="H169" s="36"/>
      <c r="I169" s="36"/>
      <c r="J169" s="105"/>
      <c r="K169" s="36"/>
      <c r="L169" s="36"/>
      <c r="M169" s="36"/>
      <c r="N169" s="105"/>
      <c r="O169" s="36"/>
      <c r="P169" s="36"/>
      <c r="Q169" s="36"/>
      <c r="R169" s="105"/>
      <c r="S169" s="36"/>
      <c r="T169" s="36"/>
      <c r="U169" s="36"/>
      <c r="V169" s="105"/>
      <c r="W169" s="36"/>
      <c r="X169" s="36"/>
      <c r="Y169" s="36"/>
      <c r="Z169" s="105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42"/>
      <c r="AO169" s="42"/>
      <c r="AP169" s="36"/>
      <c r="AQ169" s="36"/>
      <c r="AR169" s="42"/>
      <c r="AS169" s="42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</row>
    <row r="170" spans="1:56" ht="15.75" x14ac:dyDescent="0.25">
      <c r="A170" s="44"/>
      <c r="B170" s="36"/>
      <c r="C170" s="36"/>
      <c r="D170" s="36"/>
      <c r="E170" s="36"/>
      <c r="F170" s="36"/>
      <c r="G170" s="36"/>
      <c r="H170" s="36"/>
      <c r="I170" s="36"/>
      <c r="J170" s="105"/>
      <c r="K170" s="36"/>
      <c r="L170" s="36"/>
      <c r="M170" s="36"/>
      <c r="N170" s="105"/>
      <c r="O170" s="36"/>
      <c r="P170" s="36"/>
      <c r="Q170" s="36"/>
      <c r="R170" s="105"/>
      <c r="S170" s="36"/>
      <c r="T170" s="36"/>
      <c r="U170" s="36"/>
      <c r="V170" s="105"/>
      <c r="W170" s="36"/>
      <c r="X170" s="36"/>
      <c r="Y170" s="36"/>
      <c r="Z170" s="105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42"/>
      <c r="AO170" s="42"/>
      <c r="AP170" s="36"/>
      <c r="AQ170" s="36"/>
      <c r="AR170" s="42"/>
      <c r="AS170" s="42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</row>
    <row r="171" spans="1:56" ht="15.75" x14ac:dyDescent="0.25">
      <c r="A171" s="44"/>
      <c r="B171" s="36"/>
      <c r="C171" s="36"/>
      <c r="D171" s="36"/>
      <c r="E171" s="36"/>
      <c r="F171" s="36"/>
      <c r="G171" s="36"/>
      <c r="H171" s="36"/>
      <c r="I171" s="36"/>
      <c r="J171" s="105"/>
      <c r="K171" s="36"/>
      <c r="L171" s="36"/>
      <c r="M171" s="36"/>
      <c r="N171" s="105"/>
      <c r="O171" s="36"/>
      <c r="P171" s="36"/>
      <c r="Q171" s="36"/>
      <c r="R171" s="105"/>
      <c r="S171" s="36"/>
      <c r="T171" s="36"/>
      <c r="U171" s="36"/>
      <c r="V171" s="105"/>
      <c r="W171" s="36"/>
      <c r="X171" s="36"/>
      <c r="Y171" s="36"/>
      <c r="Z171" s="105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42"/>
      <c r="AO171" s="42"/>
      <c r="AP171" s="36"/>
      <c r="AQ171" s="36"/>
      <c r="AR171" s="42"/>
      <c r="AS171" s="42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</row>
    <row r="172" spans="1:56" ht="15.75" x14ac:dyDescent="0.25">
      <c r="A172" s="44"/>
      <c r="B172" s="36"/>
      <c r="C172" s="36"/>
      <c r="D172" s="36"/>
      <c r="E172" s="36"/>
      <c r="F172" s="36"/>
      <c r="G172" s="36"/>
      <c r="H172" s="36"/>
      <c r="I172" s="36"/>
      <c r="J172" s="105"/>
      <c r="K172" s="36"/>
      <c r="L172" s="36"/>
      <c r="M172" s="36"/>
      <c r="N172" s="105"/>
      <c r="O172" s="36"/>
      <c r="P172" s="36"/>
      <c r="Q172" s="36"/>
      <c r="R172" s="105"/>
      <c r="S172" s="36"/>
      <c r="T172" s="36"/>
      <c r="U172" s="36"/>
      <c r="V172" s="105"/>
      <c r="W172" s="36"/>
      <c r="X172" s="36"/>
      <c r="Y172" s="36"/>
      <c r="Z172" s="105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42"/>
      <c r="AO172" s="42"/>
      <c r="AP172" s="36"/>
      <c r="AQ172" s="36"/>
      <c r="AR172" s="42"/>
      <c r="AS172" s="42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</row>
    <row r="173" spans="1:56" ht="15.75" x14ac:dyDescent="0.25">
      <c r="A173" s="44"/>
      <c r="B173" s="36"/>
      <c r="C173" s="36"/>
      <c r="D173" s="36"/>
      <c r="E173" s="36"/>
      <c r="F173" s="36"/>
      <c r="G173" s="36"/>
      <c r="H173" s="36"/>
      <c r="I173" s="36"/>
      <c r="J173" s="105"/>
      <c r="K173" s="36"/>
      <c r="L173" s="36"/>
      <c r="M173" s="36"/>
      <c r="N173" s="105"/>
      <c r="O173" s="36"/>
      <c r="P173" s="36"/>
      <c r="Q173" s="36"/>
      <c r="R173" s="105"/>
      <c r="S173" s="36"/>
      <c r="T173" s="36"/>
      <c r="U173" s="36"/>
      <c r="V173" s="105"/>
      <c r="W173" s="36"/>
      <c r="X173" s="36"/>
      <c r="Y173" s="36"/>
      <c r="Z173" s="105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42"/>
      <c r="AO173" s="42"/>
      <c r="AP173" s="36"/>
      <c r="AQ173" s="36"/>
      <c r="AR173" s="42"/>
      <c r="AS173" s="42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</row>
    <row r="174" spans="1:56" ht="15.75" x14ac:dyDescent="0.25">
      <c r="A174" s="44"/>
      <c r="B174" s="36"/>
      <c r="C174" s="36"/>
      <c r="D174" s="36"/>
      <c r="E174" s="36"/>
      <c r="F174" s="36"/>
      <c r="G174" s="36"/>
      <c r="H174" s="36"/>
      <c r="I174" s="36"/>
      <c r="J174" s="105"/>
      <c r="K174" s="36"/>
      <c r="L174" s="36"/>
      <c r="M174" s="36"/>
      <c r="N174" s="105"/>
      <c r="O174" s="36"/>
      <c r="P174" s="36"/>
      <c r="Q174" s="36"/>
      <c r="R174" s="105"/>
      <c r="S174" s="36"/>
      <c r="T174" s="36"/>
      <c r="U174" s="36"/>
      <c r="V174" s="105"/>
      <c r="W174" s="36"/>
      <c r="X174" s="36"/>
      <c r="Y174" s="36"/>
      <c r="Z174" s="105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42"/>
      <c r="AO174" s="42"/>
      <c r="AP174" s="36"/>
      <c r="AQ174" s="36"/>
      <c r="AR174" s="42"/>
      <c r="AS174" s="42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</row>
    <row r="175" spans="1:56" ht="15.75" x14ac:dyDescent="0.25">
      <c r="A175" s="44"/>
      <c r="B175" s="36"/>
      <c r="C175" s="36"/>
      <c r="D175" s="36"/>
      <c r="E175" s="36"/>
      <c r="F175" s="36"/>
      <c r="G175" s="36"/>
      <c r="H175" s="36"/>
      <c r="I175" s="36"/>
      <c r="J175" s="105"/>
      <c r="K175" s="36"/>
      <c r="L175" s="36"/>
      <c r="M175" s="36"/>
      <c r="N175" s="105"/>
      <c r="O175" s="36"/>
      <c r="P175" s="36"/>
      <c r="Q175" s="36"/>
      <c r="R175" s="105"/>
      <c r="S175" s="36"/>
      <c r="T175" s="36"/>
      <c r="U175" s="36"/>
      <c r="V175" s="105"/>
      <c r="W175" s="36"/>
      <c r="X175" s="36"/>
      <c r="Y175" s="36"/>
      <c r="Z175" s="105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42"/>
      <c r="AO175" s="42"/>
      <c r="AP175" s="36"/>
      <c r="AQ175" s="36"/>
      <c r="AR175" s="42"/>
      <c r="AS175" s="42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</row>
    <row r="176" spans="1:56" ht="15.75" x14ac:dyDescent="0.25">
      <c r="A176" s="44"/>
      <c r="B176" s="36"/>
      <c r="C176" s="36"/>
      <c r="D176" s="36"/>
      <c r="E176" s="36"/>
      <c r="F176" s="36"/>
      <c r="G176" s="36"/>
      <c r="H176" s="36"/>
      <c r="I176" s="36"/>
      <c r="J176" s="105"/>
      <c r="K176" s="36"/>
      <c r="L176" s="36"/>
      <c r="M176" s="36"/>
      <c r="N176" s="105"/>
      <c r="O176" s="36"/>
      <c r="P176" s="36"/>
      <c r="Q176" s="36"/>
      <c r="R176" s="105"/>
      <c r="S176" s="36"/>
      <c r="T176" s="36"/>
      <c r="U176" s="36"/>
      <c r="V176" s="105"/>
      <c r="W176" s="36"/>
      <c r="X176" s="36"/>
      <c r="Y176" s="36"/>
      <c r="Z176" s="105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42"/>
      <c r="AO176" s="42"/>
      <c r="AP176" s="36"/>
      <c r="AQ176" s="36"/>
      <c r="AR176" s="42"/>
      <c r="AS176" s="42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</row>
    <row r="177" spans="1:56" ht="15.75" x14ac:dyDescent="0.25">
      <c r="A177" s="44"/>
      <c r="B177" s="36"/>
      <c r="C177" s="36"/>
      <c r="D177" s="36"/>
      <c r="E177" s="36"/>
      <c r="F177" s="36"/>
      <c r="G177" s="36"/>
      <c r="H177" s="36"/>
      <c r="I177" s="36"/>
      <c r="J177" s="105"/>
      <c r="K177" s="36"/>
      <c r="L177" s="36"/>
      <c r="M177" s="36"/>
      <c r="N177" s="105"/>
      <c r="O177" s="36"/>
      <c r="P177" s="36"/>
      <c r="Q177" s="36"/>
      <c r="R177" s="105"/>
      <c r="S177" s="36"/>
      <c r="T177" s="36"/>
      <c r="U177" s="36"/>
      <c r="V177" s="105"/>
      <c r="W177" s="36"/>
      <c r="X177" s="36"/>
      <c r="Y177" s="36"/>
      <c r="Z177" s="105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42"/>
      <c r="AO177" s="42"/>
      <c r="AP177" s="36"/>
      <c r="AQ177" s="36"/>
      <c r="AR177" s="42"/>
      <c r="AS177" s="42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</row>
    <row r="178" spans="1:56" ht="15.75" x14ac:dyDescent="0.25">
      <c r="A178" s="44"/>
      <c r="B178" s="36"/>
      <c r="C178" s="36"/>
      <c r="D178" s="36"/>
      <c r="E178" s="36"/>
      <c r="F178" s="36"/>
      <c r="G178" s="36"/>
      <c r="H178" s="36"/>
      <c r="I178" s="36"/>
      <c r="J178" s="105"/>
      <c r="K178" s="36"/>
      <c r="L178" s="36"/>
      <c r="M178" s="36"/>
      <c r="N178" s="105"/>
      <c r="O178" s="36"/>
      <c r="P178" s="36"/>
      <c r="Q178" s="36"/>
      <c r="R178" s="105"/>
      <c r="S178" s="36"/>
      <c r="T178" s="36"/>
      <c r="U178" s="36"/>
      <c r="V178" s="105"/>
      <c r="W178" s="36"/>
      <c r="X178" s="36"/>
      <c r="Y178" s="36"/>
      <c r="Z178" s="105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42"/>
      <c r="AO178" s="42"/>
      <c r="AP178" s="36"/>
      <c r="AQ178" s="36"/>
      <c r="AR178" s="42"/>
      <c r="AS178" s="42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</row>
    <row r="179" spans="1:56" ht="15.75" x14ac:dyDescent="0.25">
      <c r="A179" s="44"/>
      <c r="B179" s="36"/>
      <c r="C179" s="36"/>
      <c r="D179" s="36"/>
      <c r="E179" s="36"/>
      <c r="F179" s="36"/>
      <c r="G179" s="36"/>
      <c r="H179" s="36"/>
      <c r="I179" s="36"/>
      <c r="J179" s="105"/>
      <c r="K179" s="36"/>
      <c r="L179" s="36"/>
      <c r="M179" s="36"/>
      <c r="N179" s="105"/>
      <c r="O179" s="36"/>
      <c r="P179" s="36"/>
      <c r="Q179" s="36"/>
      <c r="R179" s="105"/>
      <c r="S179" s="36"/>
      <c r="T179" s="36"/>
      <c r="U179" s="36"/>
      <c r="V179" s="105"/>
      <c r="W179" s="36"/>
      <c r="X179" s="36"/>
      <c r="Y179" s="36"/>
      <c r="Z179" s="105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42"/>
      <c r="AO179" s="42"/>
      <c r="AP179" s="36"/>
      <c r="AQ179" s="36"/>
      <c r="AR179" s="42"/>
      <c r="AS179" s="42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</row>
    <row r="180" spans="1:56" ht="15.75" x14ac:dyDescent="0.25">
      <c r="A180" s="44"/>
      <c r="B180" s="36"/>
      <c r="C180" s="36"/>
      <c r="D180" s="36"/>
      <c r="E180" s="36"/>
      <c r="F180" s="36"/>
      <c r="G180" s="36"/>
      <c r="H180" s="36"/>
      <c r="I180" s="36"/>
      <c r="J180" s="105"/>
      <c r="K180" s="36"/>
      <c r="L180" s="36"/>
      <c r="M180" s="36"/>
      <c r="N180" s="105"/>
      <c r="O180" s="36"/>
      <c r="P180" s="36"/>
      <c r="Q180" s="36"/>
      <c r="R180" s="105"/>
      <c r="S180" s="36"/>
      <c r="T180" s="36"/>
      <c r="U180" s="36"/>
      <c r="V180" s="105"/>
      <c r="W180" s="36"/>
      <c r="X180" s="36"/>
      <c r="Y180" s="36"/>
      <c r="Z180" s="105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42"/>
      <c r="AO180" s="42"/>
      <c r="AP180" s="36"/>
      <c r="AQ180" s="36"/>
      <c r="AR180" s="42"/>
      <c r="AS180" s="42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</row>
    <row r="181" spans="1:56" ht="15.75" x14ac:dyDescent="0.25">
      <c r="A181" s="44"/>
      <c r="B181" s="36"/>
      <c r="C181" s="36"/>
      <c r="D181" s="36"/>
      <c r="E181" s="36"/>
      <c r="F181" s="36"/>
      <c r="G181" s="36"/>
      <c r="H181" s="36"/>
      <c r="I181" s="36"/>
      <c r="J181" s="105"/>
      <c r="K181" s="36"/>
      <c r="L181" s="36"/>
      <c r="M181" s="36"/>
      <c r="N181" s="105"/>
      <c r="O181" s="36"/>
      <c r="P181" s="36"/>
      <c r="Q181" s="36"/>
      <c r="R181" s="105"/>
      <c r="S181" s="36"/>
      <c r="T181" s="36"/>
      <c r="U181" s="36"/>
      <c r="V181" s="105"/>
      <c r="W181" s="36"/>
      <c r="X181" s="36"/>
      <c r="Y181" s="36"/>
      <c r="Z181" s="105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42"/>
      <c r="AO181" s="42"/>
      <c r="AP181" s="36"/>
      <c r="AQ181" s="36"/>
      <c r="AR181" s="42"/>
      <c r="AS181" s="42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</row>
    <row r="182" spans="1:56" ht="15.75" x14ac:dyDescent="0.25">
      <c r="A182" s="44"/>
      <c r="B182" s="36"/>
      <c r="C182" s="36"/>
      <c r="D182" s="36"/>
      <c r="E182" s="36"/>
      <c r="F182" s="36"/>
      <c r="G182" s="36"/>
      <c r="H182" s="36"/>
      <c r="I182" s="36"/>
      <c r="J182" s="105"/>
      <c r="K182" s="36"/>
      <c r="L182" s="36"/>
      <c r="M182" s="36"/>
      <c r="N182" s="105"/>
      <c r="O182" s="36"/>
      <c r="P182" s="36"/>
      <c r="Q182" s="36"/>
      <c r="R182" s="105"/>
      <c r="S182" s="36"/>
      <c r="T182" s="36"/>
      <c r="U182" s="36"/>
      <c r="V182" s="105"/>
      <c r="W182" s="36"/>
      <c r="X182" s="36"/>
      <c r="Y182" s="36"/>
      <c r="Z182" s="105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42"/>
      <c r="AO182" s="42"/>
      <c r="AP182" s="36"/>
      <c r="AQ182" s="36"/>
      <c r="AR182" s="42"/>
      <c r="AS182" s="42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</row>
    <row r="183" spans="1:56" ht="15.75" x14ac:dyDescent="0.25">
      <c r="A183" s="44"/>
      <c r="B183" s="36"/>
      <c r="C183" s="36"/>
      <c r="D183" s="36"/>
      <c r="E183" s="36"/>
      <c r="F183" s="36"/>
      <c r="G183" s="36"/>
      <c r="H183" s="36"/>
      <c r="I183" s="36"/>
      <c r="J183" s="105"/>
      <c r="K183" s="36"/>
      <c r="L183" s="36"/>
      <c r="M183" s="36"/>
      <c r="N183" s="105"/>
      <c r="O183" s="36"/>
      <c r="P183" s="36"/>
      <c r="Q183" s="36"/>
      <c r="R183" s="105"/>
      <c r="S183" s="36"/>
      <c r="T183" s="36"/>
      <c r="U183" s="36"/>
      <c r="V183" s="105"/>
      <c r="W183" s="36"/>
      <c r="X183" s="36"/>
      <c r="Y183" s="36"/>
      <c r="Z183" s="105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42"/>
      <c r="AO183" s="42"/>
      <c r="AP183" s="36"/>
      <c r="AQ183" s="36"/>
      <c r="AR183" s="42"/>
      <c r="AS183" s="42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</row>
    <row r="184" spans="1:56" ht="15.75" x14ac:dyDescent="0.25">
      <c r="A184" s="44"/>
      <c r="B184" s="36"/>
      <c r="C184" s="36"/>
      <c r="D184" s="36"/>
      <c r="E184" s="36"/>
      <c r="F184" s="36"/>
      <c r="G184" s="36"/>
      <c r="H184" s="36"/>
      <c r="I184" s="36"/>
      <c r="J184" s="105"/>
      <c r="K184" s="36"/>
      <c r="L184" s="36"/>
      <c r="M184" s="36"/>
      <c r="N184" s="105"/>
      <c r="O184" s="36"/>
      <c r="P184" s="36"/>
      <c r="Q184" s="36"/>
      <c r="R184" s="105"/>
      <c r="S184" s="36"/>
      <c r="T184" s="36"/>
      <c r="U184" s="36"/>
      <c r="V184" s="105"/>
      <c r="W184" s="36"/>
      <c r="X184" s="36"/>
      <c r="Y184" s="36"/>
      <c r="Z184" s="105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42"/>
      <c r="AO184" s="42"/>
      <c r="AP184" s="36"/>
      <c r="AQ184" s="36"/>
      <c r="AR184" s="42"/>
      <c r="AS184" s="42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</row>
    <row r="185" spans="1:56" ht="15.75" x14ac:dyDescent="0.25">
      <c r="A185" s="44"/>
      <c r="B185" s="36"/>
      <c r="C185" s="36"/>
      <c r="D185" s="36"/>
      <c r="E185" s="36"/>
      <c r="F185" s="36"/>
      <c r="G185" s="36"/>
      <c r="H185" s="36"/>
      <c r="I185" s="36"/>
      <c r="J185" s="105"/>
      <c r="K185" s="36"/>
      <c r="L185" s="36"/>
      <c r="M185" s="36"/>
      <c r="N185" s="105"/>
      <c r="O185" s="36"/>
      <c r="P185" s="36"/>
      <c r="Q185" s="36"/>
      <c r="R185" s="105"/>
      <c r="S185" s="36"/>
      <c r="T185" s="36"/>
      <c r="U185" s="36"/>
      <c r="V185" s="105"/>
      <c r="W185" s="36"/>
      <c r="X185" s="36"/>
      <c r="Y185" s="36"/>
      <c r="Z185" s="105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42"/>
      <c r="AO185" s="42"/>
      <c r="AP185" s="36"/>
      <c r="AQ185" s="36"/>
      <c r="AR185" s="42"/>
      <c r="AS185" s="42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</row>
    <row r="186" spans="1:56" ht="15.75" x14ac:dyDescent="0.25">
      <c r="A186" s="44"/>
      <c r="B186" s="36"/>
      <c r="C186" s="36"/>
      <c r="D186" s="36"/>
      <c r="E186" s="36"/>
      <c r="F186" s="36"/>
      <c r="G186" s="36"/>
      <c r="H186" s="36"/>
      <c r="I186" s="36"/>
      <c r="J186" s="105"/>
      <c r="K186" s="36"/>
      <c r="L186" s="36"/>
      <c r="M186" s="36"/>
      <c r="N186" s="105"/>
      <c r="O186" s="36"/>
      <c r="P186" s="36"/>
      <c r="Q186" s="36"/>
      <c r="R186" s="105"/>
      <c r="S186" s="36"/>
      <c r="T186" s="36"/>
      <c r="U186" s="36"/>
      <c r="V186" s="105"/>
      <c r="W186" s="36"/>
      <c r="X186" s="36"/>
      <c r="Y186" s="36"/>
      <c r="Z186" s="105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42"/>
      <c r="AO186" s="42"/>
      <c r="AP186" s="36"/>
      <c r="AQ186" s="36"/>
      <c r="AR186" s="42"/>
      <c r="AS186" s="42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</row>
    <row r="187" spans="1:56" ht="15.75" x14ac:dyDescent="0.25">
      <c r="A187" s="44"/>
      <c r="B187" s="36"/>
      <c r="C187" s="36"/>
      <c r="D187" s="36"/>
      <c r="E187" s="36"/>
      <c r="F187" s="36"/>
      <c r="G187" s="36"/>
      <c r="H187" s="36"/>
      <c r="I187" s="36"/>
      <c r="J187" s="105"/>
      <c r="K187" s="36"/>
      <c r="L187" s="36"/>
      <c r="M187" s="36"/>
      <c r="N187" s="105"/>
      <c r="O187" s="36"/>
      <c r="P187" s="36"/>
      <c r="Q187" s="36"/>
      <c r="R187" s="105"/>
      <c r="S187" s="36"/>
      <c r="T187" s="36"/>
      <c r="U187" s="36"/>
      <c r="V187" s="105"/>
      <c r="W187" s="36"/>
      <c r="X187" s="36"/>
      <c r="Y187" s="36"/>
      <c r="Z187" s="105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42"/>
      <c r="AO187" s="42"/>
      <c r="AP187" s="36"/>
      <c r="AQ187" s="36"/>
      <c r="AR187" s="42"/>
      <c r="AS187" s="42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</row>
    <row r="188" spans="1:56" ht="15.75" x14ac:dyDescent="0.25">
      <c r="A188" s="44"/>
      <c r="B188" s="36"/>
      <c r="C188" s="36"/>
      <c r="D188" s="36"/>
      <c r="E188" s="36"/>
      <c r="F188" s="36"/>
      <c r="G188" s="36"/>
      <c r="H188" s="36"/>
      <c r="I188" s="36"/>
      <c r="J188" s="105"/>
      <c r="K188" s="36"/>
      <c r="L188" s="36"/>
      <c r="M188" s="36"/>
      <c r="N188" s="105"/>
      <c r="O188" s="36"/>
      <c r="P188" s="36"/>
      <c r="Q188" s="36"/>
      <c r="R188" s="105"/>
      <c r="S188" s="36"/>
      <c r="T188" s="36"/>
      <c r="U188" s="36"/>
      <c r="V188" s="105"/>
      <c r="W188" s="36"/>
      <c r="X188" s="36"/>
      <c r="Y188" s="36"/>
      <c r="Z188" s="105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42"/>
      <c r="AO188" s="42"/>
      <c r="AP188" s="36"/>
      <c r="AQ188" s="36"/>
      <c r="AR188" s="42"/>
      <c r="AS188" s="42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</row>
    <row r="189" spans="1:56" ht="15.75" x14ac:dyDescent="0.25">
      <c r="A189" s="44"/>
      <c r="B189" s="36"/>
      <c r="C189" s="36"/>
      <c r="D189" s="36"/>
      <c r="E189" s="36"/>
      <c r="F189" s="36"/>
      <c r="G189" s="36"/>
      <c r="H189" s="36"/>
      <c r="I189" s="36"/>
      <c r="J189" s="105"/>
      <c r="K189" s="36"/>
      <c r="L189" s="36"/>
      <c r="M189" s="36"/>
      <c r="N189" s="105"/>
      <c r="O189" s="36"/>
      <c r="P189" s="36"/>
      <c r="Q189" s="36"/>
      <c r="R189" s="105"/>
      <c r="S189" s="36"/>
      <c r="T189" s="36"/>
      <c r="U189" s="36"/>
      <c r="V189" s="105"/>
      <c r="W189" s="36"/>
      <c r="X189" s="36"/>
      <c r="Y189" s="36"/>
      <c r="Z189" s="105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42"/>
      <c r="AO189" s="42"/>
      <c r="AP189" s="36"/>
      <c r="AQ189" s="36"/>
      <c r="AR189" s="42"/>
      <c r="AS189" s="42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</row>
    <row r="190" spans="1:56" ht="15.75" x14ac:dyDescent="0.25">
      <c r="A190" s="44"/>
      <c r="B190" s="36"/>
      <c r="C190" s="36"/>
      <c r="D190" s="36"/>
      <c r="E190" s="36"/>
      <c r="F190" s="36"/>
      <c r="G190" s="36"/>
      <c r="H190" s="36"/>
      <c r="I190" s="36"/>
      <c r="J190" s="105"/>
      <c r="K190" s="36"/>
      <c r="L190" s="36"/>
      <c r="M190" s="36"/>
      <c r="N190" s="105"/>
      <c r="O190" s="36"/>
      <c r="P190" s="36"/>
      <c r="Q190" s="36"/>
      <c r="R190" s="105"/>
      <c r="S190" s="36"/>
      <c r="T190" s="36"/>
      <c r="U190" s="36"/>
      <c r="V190" s="105"/>
      <c r="W190" s="36"/>
      <c r="X190" s="36"/>
      <c r="Y190" s="36"/>
      <c r="Z190" s="105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42"/>
      <c r="AO190" s="42"/>
      <c r="AP190" s="36"/>
      <c r="AQ190" s="36"/>
      <c r="AR190" s="42"/>
      <c r="AS190" s="42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</row>
    <row r="191" spans="1:56" ht="15.75" x14ac:dyDescent="0.25">
      <c r="A191" s="44"/>
      <c r="B191" s="36"/>
      <c r="C191" s="36"/>
      <c r="D191" s="36"/>
      <c r="E191" s="36"/>
      <c r="F191" s="36"/>
      <c r="G191" s="36"/>
      <c r="H191" s="36"/>
      <c r="I191" s="36"/>
      <c r="J191" s="105"/>
      <c r="K191" s="36"/>
      <c r="L191" s="36"/>
      <c r="M191" s="36"/>
      <c r="N191" s="105"/>
      <c r="O191" s="36"/>
      <c r="P191" s="36"/>
      <c r="Q191" s="36"/>
      <c r="R191" s="105"/>
      <c r="S191" s="36"/>
      <c r="T191" s="36"/>
      <c r="U191" s="36"/>
      <c r="V191" s="105"/>
      <c r="W191" s="36"/>
      <c r="X191" s="36"/>
      <c r="Y191" s="36"/>
      <c r="Z191" s="105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42"/>
      <c r="AO191" s="42"/>
      <c r="AP191" s="36"/>
      <c r="AQ191" s="36"/>
      <c r="AR191" s="42"/>
      <c r="AS191" s="42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</row>
    <row r="192" spans="1:56" ht="15.75" x14ac:dyDescent="0.25">
      <c r="A192" s="44"/>
      <c r="B192" s="36"/>
      <c r="C192" s="36"/>
      <c r="D192" s="36"/>
      <c r="E192" s="36"/>
      <c r="F192" s="36"/>
      <c r="G192" s="36"/>
      <c r="H192" s="36"/>
      <c r="I192" s="36"/>
      <c r="J192" s="105"/>
      <c r="K192" s="36"/>
      <c r="L192" s="36"/>
      <c r="M192" s="36"/>
      <c r="N192" s="105"/>
      <c r="O192" s="36"/>
      <c r="P192" s="36"/>
      <c r="Q192" s="36"/>
      <c r="R192" s="105"/>
      <c r="S192" s="36"/>
      <c r="T192" s="36"/>
      <c r="U192" s="36"/>
      <c r="V192" s="105"/>
      <c r="W192" s="36"/>
      <c r="X192" s="36"/>
      <c r="Y192" s="36"/>
      <c r="Z192" s="105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42"/>
      <c r="AO192" s="42"/>
      <c r="AP192" s="36"/>
      <c r="AQ192" s="36"/>
      <c r="AR192" s="42"/>
      <c r="AS192" s="42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</row>
    <row r="193" spans="1:56" ht="15.75" x14ac:dyDescent="0.25">
      <c r="A193" s="44"/>
      <c r="B193" s="36"/>
      <c r="C193" s="36"/>
      <c r="D193" s="36"/>
      <c r="E193" s="36"/>
      <c r="F193" s="36"/>
      <c r="G193" s="36"/>
      <c r="H193" s="36"/>
      <c r="I193" s="36"/>
      <c r="J193" s="105"/>
      <c r="K193" s="36"/>
      <c r="L193" s="36"/>
      <c r="M193" s="36"/>
      <c r="N193" s="105"/>
      <c r="O193" s="36"/>
      <c r="P193" s="36"/>
      <c r="Q193" s="36"/>
      <c r="R193" s="105"/>
      <c r="S193" s="36"/>
      <c r="T193" s="36"/>
      <c r="U193" s="36"/>
      <c r="V193" s="105"/>
      <c r="W193" s="36"/>
      <c r="X193" s="36"/>
      <c r="Y193" s="36"/>
      <c r="Z193" s="105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42"/>
      <c r="AO193" s="42"/>
      <c r="AP193" s="36"/>
      <c r="AQ193" s="36"/>
      <c r="AR193" s="42"/>
      <c r="AS193" s="42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</row>
    <row r="194" spans="1:56" ht="15.75" x14ac:dyDescent="0.25">
      <c r="A194" s="44"/>
      <c r="B194" s="36"/>
      <c r="C194" s="36"/>
      <c r="D194" s="36"/>
      <c r="E194" s="36"/>
      <c r="F194" s="36"/>
      <c r="G194" s="36"/>
      <c r="H194" s="36"/>
      <c r="I194" s="36"/>
      <c r="J194" s="105"/>
      <c r="K194" s="36"/>
      <c r="L194" s="36"/>
      <c r="M194" s="36"/>
      <c r="N194" s="105"/>
      <c r="O194" s="36"/>
      <c r="P194" s="36"/>
      <c r="Q194" s="36"/>
      <c r="R194" s="105"/>
      <c r="S194" s="36"/>
      <c r="T194" s="36"/>
      <c r="U194" s="36"/>
      <c r="V194" s="105"/>
      <c r="W194" s="36"/>
      <c r="X194" s="36"/>
      <c r="Y194" s="36"/>
      <c r="Z194" s="105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42"/>
      <c r="AO194" s="42"/>
      <c r="AP194" s="36"/>
      <c r="AQ194" s="36"/>
      <c r="AR194" s="42"/>
      <c r="AS194" s="42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</row>
    <row r="195" spans="1:56" ht="15.75" x14ac:dyDescent="0.25">
      <c r="A195" s="44"/>
      <c r="B195" s="36"/>
      <c r="C195" s="36"/>
      <c r="D195" s="36"/>
      <c r="E195" s="36"/>
      <c r="F195" s="36"/>
      <c r="G195" s="36"/>
      <c r="H195" s="36"/>
      <c r="I195" s="36"/>
      <c r="J195" s="105"/>
      <c r="K195" s="36"/>
      <c r="L195" s="36"/>
      <c r="M195" s="36"/>
      <c r="N195" s="105"/>
      <c r="O195" s="36"/>
      <c r="P195" s="36"/>
      <c r="Q195" s="36"/>
      <c r="R195" s="105"/>
      <c r="S195" s="36"/>
      <c r="T195" s="36"/>
      <c r="U195" s="36"/>
      <c r="V195" s="105"/>
      <c r="W195" s="36"/>
      <c r="X195" s="36"/>
      <c r="Y195" s="36"/>
      <c r="Z195" s="105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42"/>
      <c r="AO195" s="42"/>
      <c r="AP195" s="36"/>
      <c r="AQ195" s="36"/>
      <c r="AR195" s="42"/>
      <c r="AS195" s="42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</row>
    <row r="196" spans="1:56" ht="15.75" x14ac:dyDescent="0.25">
      <c r="A196" s="44"/>
      <c r="B196" s="36"/>
      <c r="C196" s="36"/>
      <c r="D196" s="36"/>
      <c r="E196" s="36"/>
      <c r="F196" s="36"/>
      <c r="G196" s="36"/>
      <c r="H196" s="36"/>
      <c r="I196" s="36"/>
      <c r="J196" s="105"/>
      <c r="K196" s="36"/>
      <c r="L196" s="36"/>
      <c r="M196" s="36"/>
      <c r="N196" s="105"/>
      <c r="O196" s="36"/>
      <c r="P196" s="36"/>
      <c r="Q196" s="36"/>
      <c r="R196" s="105"/>
      <c r="S196" s="36"/>
      <c r="T196" s="36"/>
      <c r="U196" s="36"/>
      <c r="V196" s="105"/>
      <c r="W196" s="36"/>
      <c r="X196" s="36"/>
      <c r="Y196" s="36"/>
      <c r="Z196" s="105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42"/>
      <c r="AO196" s="42"/>
      <c r="AP196" s="36"/>
      <c r="AQ196" s="36"/>
      <c r="AR196" s="42"/>
      <c r="AS196" s="42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</row>
    <row r="197" spans="1:56" ht="15.75" x14ac:dyDescent="0.25">
      <c r="A197" s="44"/>
      <c r="B197" s="36"/>
      <c r="C197" s="36"/>
      <c r="D197" s="36"/>
      <c r="E197" s="36"/>
      <c r="F197" s="36"/>
      <c r="G197" s="36"/>
      <c r="H197" s="36"/>
      <c r="I197" s="36"/>
      <c r="J197" s="105"/>
      <c r="K197" s="36"/>
      <c r="L197" s="36"/>
      <c r="M197" s="36"/>
      <c r="N197" s="105"/>
      <c r="O197" s="36"/>
      <c r="P197" s="36"/>
      <c r="Q197" s="36"/>
      <c r="R197" s="105"/>
      <c r="S197" s="36"/>
      <c r="T197" s="36"/>
      <c r="U197" s="36"/>
      <c r="V197" s="105"/>
      <c r="W197" s="36"/>
      <c r="X197" s="36"/>
      <c r="Y197" s="36"/>
      <c r="Z197" s="105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42"/>
      <c r="AO197" s="42"/>
      <c r="AP197" s="36"/>
      <c r="AQ197" s="36"/>
      <c r="AR197" s="42"/>
      <c r="AS197" s="42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</row>
    <row r="198" spans="1:56" ht="15.75" x14ac:dyDescent="0.25">
      <c r="A198" s="44"/>
      <c r="B198" s="36"/>
      <c r="C198" s="36"/>
      <c r="D198" s="36"/>
      <c r="E198" s="36"/>
      <c r="F198" s="36"/>
      <c r="G198" s="36"/>
      <c r="H198" s="36"/>
      <c r="I198" s="36"/>
      <c r="J198" s="105"/>
      <c r="K198" s="36"/>
      <c r="L198" s="36"/>
      <c r="M198" s="36"/>
      <c r="N198" s="105"/>
      <c r="O198" s="36"/>
      <c r="P198" s="36"/>
      <c r="Q198" s="36"/>
      <c r="R198" s="105"/>
      <c r="S198" s="36"/>
      <c r="T198" s="36"/>
      <c r="U198" s="36"/>
      <c r="V198" s="105"/>
      <c r="W198" s="36"/>
      <c r="X198" s="36"/>
      <c r="Y198" s="36"/>
      <c r="Z198" s="105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42"/>
      <c r="AO198" s="42"/>
      <c r="AP198" s="36"/>
      <c r="AQ198" s="36"/>
      <c r="AR198" s="42"/>
      <c r="AS198" s="42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</row>
    <row r="199" spans="1:56" ht="15.75" x14ac:dyDescent="0.25">
      <c r="A199" s="44"/>
      <c r="B199" s="36"/>
      <c r="C199" s="36"/>
      <c r="D199" s="36"/>
      <c r="E199" s="36"/>
      <c r="F199" s="36"/>
      <c r="G199" s="36"/>
      <c r="H199" s="36"/>
      <c r="I199" s="36"/>
      <c r="J199" s="105"/>
      <c r="K199" s="36"/>
      <c r="L199" s="36"/>
      <c r="M199" s="36"/>
      <c r="N199" s="105"/>
      <c r="O199" s="36"/>
      <c r="P199" s="36"/>
      <c r="Q199" s="36"/>
      <c r="R199" s="105"/>
      <c r="S199" s="36"/>
      <c r="T199" s="36"/>
      <c r="U199" s="36"/>
      <c r="V199" s="105"/>
      <c r="W199" s="36"/>
      <c r="X199" s="36"/>
      <c r="Y199" s="36"/>
      <c r="Z199" s="105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42"/>
      <c r="AO199" s="42"/>
      <c r="AP199" s="36"/>
      <c r="AQ199" s="36"/>
      <c r="AR199" s="42"/>
      <c r="AS199" s="42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</row>
    <row r="200" spans="1:56" ht="15.75" x14ac:dyDescent="0.25">
      <c r="A200" s="44"/>
      <c r="B200" s="36"/>
      <c r="C200" s="36"/>
      <c r="D200" s="36"/>
      <c r="E200" s="36"/>
      <c r="F200" s="36"/>
      <c r="G200" s="36"/>
      <c r="H200" s="36"/>
      <c r="I200" s="36"/>
      <c r="J200" s="105"/>
      <c r="K200" s="36"/>
      <c r="L200" s="36"/>
      <c r="M200" s="36"/>
      <c r="N200" s="105"/>
      <c r="O200" s="36"/>
      <c r="P200" s="36"/>
      <c r="Q200" s="36"/>
      <c r="R200" s="105"/>
      <c r="S200" s="36"/>
      <c r="T200" s="36"/>
      <c r="U200" s="36"/>
      <c r="V200" s="105"/>
      <c r="W200" s="36"/>
      <c r="X200" s="36"/>
      <c r="Y200" s="36"/>
      <c r="Z200" s="105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42"/>
      <c r="AO200" s="42"/>
      <c r="AP200" s="36"/>
      <c r="AQ200" s="36"/>
      <c r="AR200" s="42"/>
      <c r="AS200" s="42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</row>
    <row r="201" spans="1:56" ht="15.75" x14ac:dyDescent="0.25">
      <c r="A201" s="44"/>
      <c r="B201" s="36"/>
      <c r="C201" s="36"/>
      <c r="D201" s="36"/>
      <c r="E201" s="36"/>
      <c r="F201" s="36"/>
      <c r="G201" s="36"/>
      <c r="H201" s="36"/>
      <c r="I201" s="36"/>
      <c r="J201" s="105"/>
      <c r="K201" s="36"/>
      <c r="L201" s="36"/>
      <c r="M201" s="36"/>
      <c r="N201" s="105"/>
      <c r="O201" s="36"/>
      <c r="P201" s="36"/>
      <c r="Q201" s="36"/>
      <c r="R201" s="105"/>
      <c r="S201" s="36"/>
      <c r="T201" s="36"/>
      <c r="U201" s="36"/>
      <c r="V201" s="105"/>
      <c r="W201" s="36"/>
      <c r="X201" s="36"/>
      <c r="Y201" s="36"/>
      <c r="Z201" s="105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42"/>
      <c r="AO201" s="42"/>
      <c r="AP201" s="36"/>
      <c r="AQ201" s="36"/>
      <c r="AR201" s="42"/>
      <c r="AS201" s="42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</row>
    <row r="202" spans="1:56" ht="15.75" x14ac:dyDescent="0.25">
      <c r="A202" s="44"/>
      <c r="B202" s="36"/>
      <c r="C202" s="36"/>
      <c r="D202" s="36"/>
      <c r="E202" s="36"/>
      <c r="F202" s="36"/>
      <c r="G202" s="36"/>
      <c r="H202" s="36"/>
      <c r="I202" s="36"/>
      <c r="J202" s="105"/>
      <c r="K202" s="36"/>
      <c r="L202" s="36"/>
      <c r="M202" s="36"/>
      <c r="N202" s="105"/>
      <c r="O202" s="36"/>
      <c r="P202" s="36"/>
      <c r="Q202" s="36"/>
      <c r="R202" s="105"/>
      <c r="S202" s="36"/>
      <c r="T202" s="36"/>
      <c r="U202" s="36"/>
      <c r="V202" s="105"/>
      <c r="W202" s="36"/>
      <c r="X202" s="36"/>
      <c r="Y202" s="36"/>
      <c r="Z202" s="105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42"/>
      <c r="AO202" s="42"/>
      <c r="AP202" s="36"/>
      <c r="AQ202" s="36"/>
      <c r="AR202" s="42"/>
      <c r="AS202" s="42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</row>
    <row r="203" spans="1:56" ht="15.75" x14ac:dyDescent="0.25">
      <c r="A203" s="44"/>
      <c r="B203" s="36"/>
      <c r="C203" s="36"/>
      <c r="D203" s="36"/>
      <c r="E203" s="36"/>
      <c r="F203" s="36"/>
      <c r="G203" s="36"/>
      <c r="H203" s="36"/>
      <c r="I203" s="36"/>
      <c r="J203" s="105"/>
      <c r="K203" s="36"/>
      <c r="L203" s="36"/>
      <c r="M203" s="36"/>
      <c r="N203" s="105"/>
      <c r="O203" s="36"/>
      <c r="P203" s="36"/>
      <c r="Q203" s="36"/>
      <c r="R203" s="105"/>
      <c r="S203" s="36"/>
      <c r="T203" s="36"/>
      <c r="U203" s="36"/>
      <c r="V203" s="105"/>
      <c r="W203" s="36"/>
      <c r="X203" s="36"/>
      <c r="Y203" s="36"/>
      <c r="Z203" s="105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42"/>
      <c r="AO203" s="42"/>
      <c r="AP203" s="36"/>
      <c r="AQ203" s="36"/>
      <c r="AR203" s="42"/>
      <c r="AS203" s="42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</row>
    <row r="204" spans="1:56" ht="15.75" x14ac:dyDescent="0.25">
      <c r="A204" s="44"/>
      <c r="B204" s="36"/>
      <c r="C204" s="36"/>
      <c r="D204" s="36"/>
      <c r="E204" s="36"/>
      <c r="F204" s="36"/>
      <c r="G204" s="36"/>
      <c r="H204" s="36"/>
      <c r="I204" s="36"/>
      <c r="J204" s="105"/>
      <c r="K204" s="36"/>
      <c r="L204" s="36"/>
      <c r="M204" s="36"/>
      <c r="N204" s="105"/>
      <c r="O204" s="36"/>
      <c r="P204" s="36"/>
      <c r="Q204" s="36"/>
      <c r="R204" s="105"/>
      <c r="S204" s="36"/>
      <c r="T204" s="36"/>
      <c r="U204" s="36"/>
      <c r="V204" s="105"/>
      <c r="W204" s="36"/>
      <c r="X204" s="36"/>
      <c r="Y204" s="36"/>
      <c r="Z204" s="105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42"/>
      <c r="AO204" s="42"/>
      <c r="AP204" s="36"/>
      <c r="AQ204" s="36"/>
      <c r="AR204" s="42"/>
      <c r="AS204" s="42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</row>
    <row r="205" spans="1:56" ht="15.75" x14ac:dyDescent="0.25">
      <c r="A205" s="44"/>
      <c r="B205" s="36"/>
      <c r="C205" s="36"/>
      <c r="D205" s="36"/>
      <c r="E205" s="36"/>
      <c r="F205" s="36"/>
      <c r="G205" s="36"/>
      <c r="H205" s="36"/>
      <c r="I205" s="36"/>
      <c r="J205" s="105"/>
      <c r="K205" s="36"/>
      <c r="L205" s="36"/>
      <c r="M205" s="36"/>
      <c r="N205" s="105"/>
      <c r="O205" s="36"/>
      <c r="P205" s="36"/>
      <c r="Q205" s="36"/>
      <c r="R205" s="105"/>
      <c r="S205" s="36"/>
      <c r="T205" s="36"/>
      <c r="U205" s="36"/>
      <c r="V205" s="105"/>
      <c r="W205" s="36"/>
      <c r="X205" s="36"/>
      <c r="Y205" s="36"/>
      <c r="Z205" s="105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42"/>
      <c r="AO205" s="42"/>
      <c r="AP205" s="36"/>
      <c r="AQ205" s="36"/>
      <c r="AR205" s="42"/>
      <c r="AS205" s="42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</row>
    <row r="206" spans="1:56" ht="15.75" x14ac:dyDescent="0.25">
      <c r="A206" s="44"/>
      <c r="B206" s="36"/>
      <c r="C206" s="36"/>
      <c r="D206" s="36"/>
      <c r="E206" s="36"/>
      <c r="F206" s="36"/>
      <c r="G206" s="36"/>
      <c r="H206" s="36"/>
      <c r="I206" s="36"/>
      <c r="J206" s="105"/>
      <c r="K206" s="36"/>
      <c r="L206" s="36"/>
      <c r="M206" s="36"/>
      <c r="N206" s="105"/>
      <c r="O206" s="36"/>
      <c r="P206" s="36"/>
      <c r="Q206" s="36"/>
      <c r="R206" s="105"/>
      <c r="S206" s="36"/>
      <c r="T206" s="36"/>
      <c r="U206" s="36"/>
      <c r="V206" s="105"/>
      <c r="W206" s="36"/>
      <c r="X206" s="36"/>
      <c r="Y206" s="36"/>
      <c r="Z206" s="105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42"/>
      <c r="AO206" s="42"/>
      <c r="AP206" s="36"/>
      <c r="AQ206" s="36"/>
      <c r="AR206" s="42"/>
      <c r="AS206" s="42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</row>
    <row r="207" spans="1:56" ht="15.75" x14ac:dyDescent="0.25">
      <c r="A207" s="44"/>
      <c r="B207" s="36"/>
      <c r="C207" s="36"/>
      <c r="D207" s="36"/>
      <c r="E207" s="36"/>
      <c r="F207" s="36"/>
      <c r="G207" s="36"/>
      <c r="H207" s="36"/>
      <c r="I207" s="36"/>
      <c r="J207" s="105"/>
      <c r="K207" s="36"/>
      <c r="L207" s="36"/>
      <c r="M207" s="36"/>
      <c r="N207" s="105"/>
      <c r="O207" s="36"/>
      <c r="P207" s="36"/>
      <c r="Q207" s="36"/>
      <c r="R207" s="105"/>
      <c r="S207" s="36"/>
      <c r="T207" s="36"/>
      <c r="U207" s="36"/>
      <c r="V207" s="105"/>
      <c r="W207" s="36"/>
      <c r="X207" s="36"/>
      <c r="Y207" s="36"/>
      <c r="Z207" s="105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42"/>
      <c r="AO207" s="42"/>
      <c r="AP207" s="36"/>
      <c r="AQ207" s="36"/>
      <c r="AR207" s="42"/>
      <c r="AS207" s="42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</row>
    <row r="208" spans="1:56" ht="15.75" x14ac:dyDescent="0.25">
      <c r="A208" s="44"/>
      <c r="B208" s="36"/>
      <c r="C208" s="36"/>
      <c r="D208" s="36"/>
      <c r="E208" s="36"/>
      <c r="F208" s="36"/>
      <c r="G208" s="36"/>
      <c r="H208" s="36"/>
      <c r="I208" s="36"/>
      <c r="J208" s="105"/>
      <c r="K208" s="36"/>
      <c r="L208" s="36"/>
      <c r="M208" s="36"/>
      <c r="N208" s="105"/>
      <c r="O208" s="36"/>
      <c r="P208" s="36"/>
      <c r="Q208" s="36"/>
      <c r="R208" s="105"/>
      <c r="S208" s="36"/>
      <c r="T208" s="36"/>
      <c r="U208" s="36"/>
      <c r="V208" s="105"/>
      <c r="W208" s="36"/>
      <c r="X208" s="36"/>
      <c r="Y208" s="36"/>
      <c r="Z208" s="105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42"/>
      <c r="AO208" s="42"/>
      <c r="AP208" s="36"/>
      <c r="AQ208" s="36"/>
      <c r="AR208" s="42"/>
      <c r="AS208" s="42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</row>
    <row r="209" spans="1:56" ht="15.75" x14ac:dyDescent="0.25">
      <c r="A209" s="44"/>
      <c r="B209" s="36"/>
      <c r="C209" s="36"/>
      <c r="D209" s="36"/>
      <c r="E209" s="36"/>
      <c r="F209" s="36"/>
      <c r="G209" s="36"/>
      <c r="H209" s="36"/>
      <c r="I209" s="36"/>
      <c r="J209" s="105"/>
      <c r="K209" s="36"/>
      <c r="L209" s="36"/>
      <c r="M209" s="36"/>
      <c r="N209" s="105"/>
      <c r="O209" s="36"/>
      <c r="P209" s="36"/>
      <c r="Q209" s="36"/>
      <c r="R209" s="105"/>
      <c r="S209" s="36"/>
      <c r="T209" s="36"/>
      <c r="U209" s="36"/>
      <c r="V209" s="105"/>
      <c r="W209" s="36"/>
      <c r="X209" s="36"/>
      <c r="Y209" s="36"/>
      <c r="Z209" s="105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42"/>
      <c r="AO209" s="42"/>
      <c r="AP209" s="36"/>
      <c r="AQ209" s="36"/>
      <c r="AR209" s="42"/>
      <c r="AS209" s="42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</row>
    <row r="210" spans="1:56" ht="15.75" x14ac:dyDescent="0.25">
      <c r="A210" s="44"/>
      <c r="B210" s="36"/>
      <c r="C210" s="36"/>
      <c r="D210" s="36"/>
      <c r="E210" s="36"/>
      <c r="F210" s="36"/>
      <c r="G210" s="36"/>
      <c r="H210" s="36"/>
      <c r="I210" s="36"/>
      <c r="J210" s="105"/>
      <c r="K210" s="36"/>
      <c r="L210" s="36"/>
      <c r="M210" s="36"/>
      <c r="N210" s="105"/>
      <c r="O210" s="36"/>
      <c r="P210" s="36"/>
      <c r="Q210" s="36"/>
      <c r="R210" s="105"/>
      <c r="S210" s="36"/>
      <c r="T210" s="36"/>
      <c r="U210" s="36"/>
      <c r="V210" s="105"/>
      <c r="W210" s="36"/>
      <c r="X210" s="36"/>
      <c r="Y210" s="36"/>
      <c r="Z210" s="105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42"/>
      <c r="AO210" s="42"/>
      <c r="AP210" s="36"/>
      <c r="AQ210" s="36"/>
      <c r="AR210" s="42"/>
      <c r="AS210" s="42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</row>
    <row r="211" spans="1:56" ht="15.75" x14ac:dyDescent="0.25">
      <c r="A211" s="44"/>
      <c r="B211" s="36"/>
      <c r="C211" s="36"/>
      <c r="D211" s="36"/>
      <c r="E211" s="36"/>
      <c r="F211" s="36"/>
      <c r="G211" s="36"/>
      <c r="H211" s="36"/>
      <c r="I211" s="36"/>
      <c r="J211" s="105"/>
      <c r="K211" s="36"/>
      <c r="L211" s="36"/>
      <c r="M211" s="36"/>
      <c r="N211" s="105"/>
      <c r="O211" s="36"/>
      <c r="P211" s="36"/>
      <c r="Q211" s="36"/>
      <c r="R211" s="105"/>
      <c r="S211" s="36"/>
      <c r="T211" s="36"/>
      <c r="U211" s="36"/>
      <c r="V211" s="105"/>
      <c r="W211" s="36"/>
      <c r="X211" s="36"/>
      <c r="Y211" s="36"/>
      <c r="Z211" s="105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42"/>
      <c r="AO211" s="42"/>
      <c r="AP211" s="36"/>
      <c r="AQ211" s="36"/>
      <c r="AR211" s="42"/>
      <c r="AS211" s="42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</row>
    <row r="212" spans="1:56" ht="15.75" x14ac:dyDescent="0.25">
      <c r="A212" s="44"/>
      <c r="B212" s="36"/>
      <c r="C212" s="36"/>
      <c r="D212" s="36"/>
      <c r="E212" s="36"/>
      <c r="F212" s="36"/>
      <c r="G212" s="36"/>
      <c r="H212" s="36"/>
      <c r="I212" s="36"/>
      <c r="J212" s="105"/>
      <c r="K212" s="36"/>
      <c r="L212" s="36"/>
      <c r="M212" s="36"/>
      <c r="N212" s="105"/>
      <c r="O212" s="36"/>
      <c r="P212" s="36"/>
      <c r="Q212" s="36"/>
      <c r="R212" s="105"/>
      <c r="S212" s="36"/>
      <c r="T212" s="36"/>
      <c r="U212" s="36"/>
      <c r="V212" s="105"/>
      <c r="W212" s="36"/>
      <c r="X212" s="36"/>
      <c r="Y212" s="36"/>
      <c r="Z212" s="105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42"/>
      <c r="AO212" s="42"/>
      <c r="AP212" s="36"/>
      <c r="AQ212" s="36"/>
      <c r="AR212" s="42"/>
      <c r="AS212" s="42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</row>
    <row r="213" spans="1:56" ht="15.75" x14ac:dyDescent="0.25">
      <c r="A213" s="44"/>
      <c r="B213" s="36"/>
      <c r="C213" s="36"/>
      <c r="D213" s="36"/>
      <c r="E213" s="36"/>
      <c r="F213" s="36"/>
      <c r="G213" s="36"/>
      <c r="H213" s="36"/>
      <c r="I213" s="36"/>
      <c r="J213" s="105"/>
      <c r="K213" s="36"/>
      <c r="L213" s="36"/>
      <c r="M213" s="36"/>
      <c r="N213" s="105"/>
      <c r="O213" s="36"/>
      <c r="P213" s="36"/>
      <c r="Q213" s="36"/>
      <c r="R213" s="105"/>
      <c r="S213" s="36"/>
      <c r="T213" s="36"/>
      <c r="U213" s="36"/>
      <c r="V213" s="105"/>
      <c r="W213" s="36"/>
      <c r="X213" s="36"/>
      <c r="Y213" s="36"/>
      <c r="Z213" s="105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42"/>
      <c r="AO213" s="42"/>
      <c r="AP213" s="36"/>
      <c r="AQ213" s="36"/>
      <c r="AR213" s="42"/>
      <c r="AS213" s="42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</row>
    <row r="214" spans="1:56" ht="15.75" x14ac:dyDescent="0.25">
      <c r="A214" s="44"/>
      <c r="B214" s="36"/>
      <c r="C214" s="36"/>
      <c r="D214" s="36"/>
      <c r="E214" s="36"/>
      <c r="F214" s="36"/>
      <c r="G214" s="36"/>
      <c r="H214" s="36"/>
      <c r="I214" s="36"/>
      <c r="J214" s="105"/>
      <c r="K214" s="36"/>
      <c r="L214" s="36"/>
      <c r="M214" s="36"/>
      <c r="N214" s="105"/>
      <c r="O214" s="36"/>
      <c r="P214" s="36"/>
      <c r="Q214" s="36"/>
      <c r="R214" s="105"/>
      <c r="S214" s="36"/>
      <c r="T214" s="36"/>
      <c r="U214" s="36"/>
      <c r="V214" s="105"/>
      <c r="W214" s="36"/>
      <c r="X214" s="36"/>
      <c r="Y214" s="36"/>
      <c r="Z214" s="105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42"/>
      <c r="AO214" s="42"/>
      <c r="AP214" s="36"/>
      <c r="AQ214" s="36"/>
      <c r="AR214" s="42"/>
      <c r="AS214" s="42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</row>
    <row r="215" spans="1:56" ht="15.75" x14ac:dyDescent="0.25">
      <c r="A215" s="44"/>
      <c r="B215" s="36"/>
      <c r="C215" s="36"/>
      <c r="D215" s="36"/>
      <c r="E215" s="36"/>
      <c r="F215" s="36"/>
      <c r="G215" s="36"/>
      <c r="H215" s="36"/>
      <c r="I215" s="36"/>
      <c r="J215" s="105"/>
      <c r="K215" s="36"/>
      <c r="L215" s="36"/>
      <c r="M215" s="36"/>
      <c r="N215" s="105"/>
      <c r="O215" s="36"/>
      <c r="P215" s="36"/>
      <c r="Q215" s="36"/>
      <c r="R215" s="105"/>
      <c r="S215" s="36"/>
      <c r="T215" s="36"/>
      <c r="U215" s="36"/>
      <c r="V215" s="105"/>
      <c r="W215" s="36"/>
      <c r="X215" s="36"/>
      <c r="Y215" s="36"/>
      <c r="Z215" s="105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42"/>
      <c r="AO215" s="42"/>
      <c r="AP215" s="36"/>
      <c r="AQ215" s="36"/>
      <c r="AR215" s="42"/>
      <c r="AS215" s="42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</row>
    <row r="216" spans="1:56" ht="15.75" x14ac:dyDescent="0.25">
      <c r="A216" s="44"/>
      <c r="B216" s="36"/>
      <c r="C216" s="36"/>
      <c r="D216" s="36"/>
      <c r="E216" s="36"/>
      <c r="F216" s="36"/>
      <c r="G216" s="36"/>
      <c r="H216" s="36"/>
      <c r="I216" s="36"/>
      <c r="J216" s="105"/>
      <c r="K216" s="36"/>
      <c r="L216" s="36"/>
      <c r="M216" s="36"/>
      <c r="N216" s="105"/>
      <c r="O216" s="36"/>
      <c r="P216" s="36"/>
      <c r="Q216" s="36"/>
      <c r="R216" s="105"/>
      <c r="S216" s="36"/>
      <c r="T216" s="36"/>
      <c r="U216" s="36"/>
      <c r="V216" s="105"/>
      <c r="W216" s="36"/>
      <c r="X216" s="36"/>
      <c r="Y216" s="36"/>
      <c r="Z216" s="105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42"/>
      <c r="AO216" s="42"/>
      <c r="AP216" s="36"/>
      <c r="AQ216" s="36"/>
      <c r="AR216" s="42"/>
      <c r="AS216" s="42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</row>
    <row r="217" spans="1:56" ht="15.75" x14ac:dyDescent="0.25">
      <c r="A217" s="44"/>
      <c r="B217" s="36"/>
      <c r="C217" s="36"/>
      <c r="D217" s="36"/>
      <c r="E217" s="36"/>
      <c r="F217" s="36"/>
      <c r="G217" s="36"/>
      <c r="H217" s="36"/>
      <c r="I217" s="36"/>
      <c r="J217" s="105"/>
      <c r="K217" s="36"/>
      <c r="L217" s="36"/>
      <c r="M217" s="36"/>
      <c r="N217" s="105"/>
      <c r="O217" s="36"/>
      <c r="P217" s="36"/>
      <c r="Q217" s="36"/>
      <c r="R217" s="105"/>
      <c r="S217" s="36"/>
      <c r="T217" s="36"/>
      <c r="U217" s="36"/>
      <c r="V217" s="105"/>
      <c r="W217" s="36"/>
      <c r="X217" s="36"/>
      <c r="Y217" s="36"/>
      <c r="Z217" s="105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42"/>
      <c r="AO217" s="42"/>
      <c r="AP217" s="36"/>
      <c r="AQ217" s="36"/>
      <c r="AR217" s="42"/>
      <c r="AS217" s="42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</row>
    <row r="218" spans="1:56" ht="15.75" x14ac:dyDescent="0.25">
      <c r="A218" s="44"/>
      <c r="B218" s="36"/>
      <c r="C218" s="36"/>
      <c r="D218" s="36"/>
      <c r="E218" s="36"/>
      <c r="F218" s="36"/>
      <c r="G218" s="36"/>
      <c r="H218" s="36"/>
      <c r="I218" s="36"/>
      <c r="J218" s="105"/>
      <c r="K218" s="36"/>
      <c r="L218" s="36"/>
      <c r="M218" s="36"/>
      <c r="N218" s="105"/>
      <c r="O218" s="36"/>
      <c r="P218" s="36"/>
      <c r="Q218" s="36"/>
      <c r="R218" s="105"/>
      <c r="S218" s="36"/>
      <c r="T218" s="36"/>
      <c r="U218" s="36"/>
      <c r="V218" s="105"/>
      <c r="W218" s="36"/>
      <c r="X218" s="36"/>
      <c r="Y218" s="36"/>
      <c r="Z218" s="105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42"/>
      <c r="AO218" s="42"/>
      <c r="AP218" s="36"/>
      <c r="AQ218" s="36"/>
      <c r="AR218" s="42"/>
      <c r="AS218" s="42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</row>
    <row r="219" spans="1:56" ht="15.75" x14ac:dyDescent="0.25">
      <c r="A219" s="44"/>
      <c r="B219" s="36"/>
      <c r="C219" s="36"/>
      <c r="D219" s="36"/>
      <c r="E219" s="36"/>
      <c r="F219" s="36"/>
      <c r="G219" s="36"/>
      <c r="H219" s="36"/>
      <c r="I219" s="36"/>
      <c r="J219" s="105"/>
      <c r="K219" s="36"/>
      <c r="L219" s="36"/>
      <c r="M219" s="36"/>
      <c r="N219" s="105"/>
      <c r="O219" s="36"/>
      <c r="P219" s="36"/>
      <c r="Q219" s="36"/>
      <c r="R219" s="105"/>
      <c r="S219" s="36"/>
      <c r="T219" s="36"/>
      <c r="U219" s="36"/>
      <c r="V219" s="105"/>
      <c r="W219" s="36"/>
      <c r="X219" s="36"/>
      <c r="Y219" s="36"/>
      <c r="Z219" s="105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42"/>
      <c r="AO219" s="42"/>
      <c r="AP219" s="36"/>
      <c r="AQ219" s="36"/>
      <c r="AR219" s="42"/>
      <c r="AS219" s="42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</row>
    <row r="220" spans="1:56" ht="15.75" x14ac:dyDescent="0.25">
      <c r="A220" s="44"/>
      <c r="B220" s="36"/>
      <c r="C220" s="36"/>
      <c r="D220" s="36"/>
      <c r="E220" s="36"/>
      <c r="F220" s="36"/>
      <c r="G220" s="36"/>
      <c r="H220" s="36"/>
      <c r="I220" s="36"/>
      <c r="J220" s="105"/>
      <c r="K220" s="36"/>
      <c r="L220" s="36"/>
      <c r="M220" s="36"/>
      <c r="N220" s="105"/>
      <c r="O220" s="36"/>
      <c r="P220" s="36"/>
      <c r="Q220" s="36"/>
      <c r="R220" s="105"/>
      <c r="S220" s="36"/>
      <c r="T220" s="36"/>
      <c r="U220" s="36"/>
      <c r="V220" s="105"/>
      <c r="W220" s="36"/>
      <c r="X220" s="36"/>
      <c r="Y220" s="36"/>
      <c r="Z220" s="105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42"/>
      <c r="AO220" s="42"/>
      <c r="AP220" s="36"/>
      <c r="AQ220" s="36"/>
      <c r="AR220" s="42"/>
      <c r="AS220" s="42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</row>
    <row r="221" spans="1:56" ht="15.75" x14ac:dyDescent="0.25">
      <c r="A221" s="44"/>
      <c r="B221" s="36"/>
      <c r="C221" s="36"/>
      <c r="D221" s="36"/>
      <c r="E221" s="36"/>
      <c r="F221" s="36"/>
      <c r="G221" s="36"/>
      <c r="H221" s="36"/>
      <c r="I221" s="36"/>
      <c r="J221" s="105"/>
      <c r="K221" s="36"/>
      <c r="L221" s="36"/>
      <c r="M221" s="36"/>
      <c r="N221" s="105"/>
      <c r="O221" s="36"/>
      <c r="P221" s="36"/>
      <c r="Q221" s="36"/>
      <c r="R221" s="105"/>
      <c r="S221" s="36"/>
      <c r="T221" s="36"/>
      <c r="U221" s="36"/>
      <c r="V221" s="105"/>
      <c r="W221" s="36"/>
      <c r="X221" s="36"/>
      <c r="Y221" s="36"/>
      <c r="Z221" s="105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42"/>
      <c r="AO221" s="42"/>
      <c r="AP221" s="36"/>
      <c r="AQ221" s="36"/>
      <c r="AR221" s="42"/>
      <c r="AS221" s="42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</row>
    <row r="222" spans="1:56" ht="15.75" x14ac:dyDescent="0.25">
      <c r="A222" s="44"/>
      <c r="B222" s="36"/>
      <c r="C222" s="36"/>
      <c r="D222" s="36"/>
      <c r="E222" s="36"/>
      <c r="F222" s="36"/>
      <c r="G222" s="36"/>
      <c r="H222" s="36"/>
      <c r="I222" s="36"/>
      <c r="J222" s="105"/>
      <c r="K222" s="36"/>
      <c r="L222" s="36"/>
      <c r="M222" s="36"/>
      <c r="N222" s="105"/>
      <c r="O222" s="36"/>
      <c r="P222" s="36"/>
      <c r="Q222" s="36"/>
      <c r="R222" s="105"/>
      <c r="S222" s="36"/>
      <c r="T222" s="36"/>
      <c r="U222" s="36"/>
      <c r="V222" s="105"/>
      <c r="W222" s="36"/>
      <c r="X222" s="36"/>
      <c r="Y222" s="36"/>
      <c r="Z222" s="105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42"/>
      <c r="AO222" s="42"/>
      <c r="AP222" s="36"/>
      <c r="AQ222" s="36"/>
      <c r="AR222" s="42"/>
      <c r="AS222" s="42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</row>
    <row r="223" spans="1:56" ht="15.75" x14ac:dyDescent="0.25">
      <c r="A223" s="44"/>
      <c r="B223" s="36"/>
      <c r="C223" s="36"/>
      <c r="D223" s="36"/>
      <c r="E223" s="36"/>
      <c r="F223" s="36"/>
      <c r="G223" s="36"/>
      <c r="H223" s="36"/>
      <c r="I223" s="36"/>
      <c r="J223" s="105"/>
      <c r="K223" s="36"/>
      <c r="L223" s="36"/>
      <c r="M223" s="36"/>
      <c r="N223" s="105"/>
      <c r="O223" s="36"/>
      <c r="P223" s="36"/>
      <c r="Q223" s="36"/>
      <c r="R223" s="105"/>
      <c r="S223" s="36"/>
      <c r="T223" s="36"/>
      <c r="U223" s="36"/>
      <c r="V223" s="105"/>
      <c r="W223" s="36"/>
      <c r="X223" s="36"/>
      <c r="Y223" s="36"/>
      <c r="Z223" s="105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42"/>
      <c r="AO223" s="42"/>
      <c r="AP223" s="36"/>
      <c r="AQ223" s="36"/>
      <c r="AR223" s="42"/>
      <c r="AS223" s="42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</row>
    <row r="224" spans="1:56" ht="15.75" x14ac:dyDescent="0.25">
      <c r="A224" s="44"/>
      <c r="B224" s="36"/>
      <c r="C224" s="36"/>
      <c r="D224" s="36"/>
      <c r="E224" s="36"/>
      <c r="F224" s="36"/>
      <c r="G224" s="36"/>
      <c r="H224" s="36"/>
      <c r="I224" s="36"/>
      <c r="J224" s="105"/>
      <c r="K224" s="36"/>
      <c r="L224" s="36"/>
      <c r="M224" s="36"/>
      <c r="N224" s="105"/>
      <c r="O224" s="36"/>
      <c r="P224" s="36"/>
      <c r="Q224" s="36"/>
      <c r="R224" s="105"/>
      <c r="S224" s="36"/>
      <c r="T224" s="36"/>
      <c r="U224" s="36"/>
      <c r="V224" s="105"/>
      <c r="W224" s="36"/>
      <c r="X224" s="36"/>
      <c r="Y224" s="36"/>
      <c r="Z224" s="105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42"/>
      <c r="AO224" s="42"/>
      <c r="AP224" s="36"/>
      <c r="AQ224" s="36"/>
      <c r="AR224" s="42"/>
      <c r="AS224" s="42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</row>
    <row r="225" spans="1:56" ht="15.75" x14ac:dyDescent="0.25">
      <c r="A225" s="44"/>
      <c r="B225" s="36"/>
      <c r="C225" s="36"/>
      <c r="D225" s="36"/>
      <c r="E225" s="36"/>
      <c r="F225" s="36"/>
      <c r="G225" s="36"/>
      <c r="H225" s="36"/>
      <c r="I225" s="36"/>
      <c r="J225" s="105"/>
      <c r="K225" s="36"/>
      <c r="L225" s="36"/>
      <c r="M225" s="36"/>
      <c r="N225" s="105"/>
      <c r="O225" s="36"/>
      <c r="P225" s="36"/>
      <c r="Q225" s="36"/>
      <c r="R225" s="105"/>
      <c r="S225" s="36"/>
      <c r="T225" s="36"/>
      <c r="U225" s="36"/>
      <c r="V225" s="105"/>
      <c r="W225" s="36"/>
      <c r="X225" s="36"/>
      <c r="Y225" s="36"/>
      <c r="Z225" s="105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42"/>
      <c r="AO225" s="42"/>
      <c r="AP225" s="36"/>
      <c r="AQ225" s="36"/>
      <c r="AR225" s="42"/>
      <c r="AS225" s="42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</row>
    <row r="226" spans="1:56" ht="15.75" x14ac:dyDescent="0.25">
      <c r="A226" s="44"/>
      <c r="B226" s="36"/>
      <c r="C226" s="36"/>
      <c r="D226" s="36"/>
      <c r="E226" s="36"/>
      <c r="F226" s="36"/>
      <c r="G226" s="36"/>
      <c r="H226" s="36"/>
      <c r="I226" s="36"/>
      <c r="J226" s="105"/>
      <c r="K226" s="36"/>
      <c r="L226" s="36"/>
      <c r="M226" s="36"/>
      <c r="N226" s="105"/>
      <c r="O226" s="36"/>
      <c r="P226" s="36"/>
      <c r="Q226" s="36"/>
      <c r="R226" s="105"/>
      <c r="S226" s="36"/>
      <c r="T226" s="36"/>
      <c r="U226" s="36"/>
      <c r="V226" s="105"/>
      <c r="W226" s="36"/>
      <c r="X226" s="36"/>
      <c r="Y226" s="36"/>
      <c r="Z226" s="105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42"/>
      <c r="AO226" s="42"/>
      <c r="AP226" s="36"/>
      <c r="AQ226" s="36"/>
      <c r="AR226" s="42"/>
      <c r="AS226" s="42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</row>
    <row r="227" spans="1:56" ht="15.75" x14ac:dyDescent="0.25">
      <c r="A227" s="44"/>
      <c r="B227" s="36"/>
      <c r="C227" s="36"/>
      <c r="D227" s="36"/>
      <c r="E227" s="36"/>
      <c r="F227" s="36"/>
      <c r="G227" s="36"/>
      <c r="H227" s="36"/>
      <c r="I227" s="36"/>
      <c r="J227" s="105"/>
      <c r="K227" s="36"/>
      <c r="L227" s="36"/>
      <c r="M227" s="36"/>
      <c r="N227" s="105"/>
      <c r="O227" s="36"/>
      <c r="P227" s="36"/>
      <c r="Q227" s="36"/>
      <c r="R227" s="105"/>
      <c r="S227" s="36"/>
      <c r="T227" s="36"/>
      <c r="U227" s="36"/>
      <c r="V227" s="105"/>
      <c r="W227" s="36"/>
      <c r="X227" s="36"/>
      <c r="Y227" s="36"/>
      <c r="Z227" s="105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42"/>
      <c r="AO227" s="42"/>
      <c r="AP227" s="36"/>
      <c r="AQ227" s="36"/>
      <c r="AR227" s="42"/>
      <c r="AS227" s="42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</row>
    <row r="228" spans="1:56" ht="15.75" x14ac:dyDescent="0.25">
      <c r="A228" s="44"/>
      <c r="B228" s="36"/>
      <c r="C228" s="36"/>
      <c r="D228" s="36"/>
      <c r="E228" s="36"/>
      <c r="F228" s="36"/>
      <c r="G228" s="36"/>
      <c r="H228" s="36"/>
      <c r="I228" s="36"/>
      <c r="J228" s="105"/>
      <c r="K228" s="36"/>
      <c r="L228" s="36"/>
      <c r="M228" s="36"/>
      <c r="N228" s="105"/>
      <c r="O228" s="36"/>
      <c r="P228" s="36"/>
      <c r="Q228" s="36"/>
      <c r="R228" s="105"/>
      <c r="S228" s="36"/>
      <c r="T228" s="36"/>
      <c r="U228" s="36"/>
      <c r="V228" s="105"/>
      <c r="W228" s="36"/>
      <c r="X228" s="36"/>
      <c r="Y228" s="36"/>
      <c r="Z228" s="105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42"/>
      <c r="AO228" s="42"/>
      <c r="AP228" s="36"/>
      <c r="AQ228" s="36"/>
      <c r="AR228" s="42"/>
      <c r="AS228" s="42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</row>
    <row r="229" spans="1:56" ht="15.75" x14ac:dyDescent="0.25">
      <c r="A229" s="44"/>
      <c r="B229" s="36"/>
      <c r="C229" s="36"/>
      <c r="D229" s="36"/>
      <c r="E229" s="36"/>
      <c r="F229" s="36"/>
      <c r="G229" s="36"/>
      <c r="H229" s="36"/>
      <c r="I229" s="36"/>
      <c r="J229" s="105"/>
      <c r="K229" s="36"/>
      <c r="L229" s="36"/>
      <c r="M229" s="36"/>
      <c r="N229" s="105"/>
      <c r="O229" s="36"/>
      <c r="P229" s="36"/>
      <c r="Q229" s="36"/>
      <c r="R229" s="105"/>
      <c r="S229" s="36"/>
      <c r="T229" s="36"/>
      <c r="U229" s="36"/>
      <c r="V229" s="105"/>
      <c r="W229" s="36"/>
      <c r="X229" s="36"/>
      <c r="Y229" s="36"/>
      <c r="Z229" s="105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42"/>
      <c r="AO229" s="42"/>
      <c r="AP229" s="36"/>
      <c r="AQ229" s="36"/>
      <c r="AR229" s="42"/>
      <c r="AS229" s="42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</row>
    <row r="230" spans="1:56" ht="15.75" x14ac:dyDescent="0.25">
      <c r="A230" s="44"/>
      <c r="B230" s="36"/>
      <c r="C230" s="36"/>
      <c r="D230" s="36"/>
      <c r="E230" s="36"/>
      <c r="F230" s="36"/>
      <c r="G230" s="36"/>
      <c r="H230" s="36"/>
      <c r="I230" s="36"/>
      <c r="J230" s="105"/>
      <c r="K230" s="36"/>
      <c r="L230" s="36"/>
      <c r="M230" s="36"/>
      <c r="N230" s="105"/>
      <c r="O230" s="36"/>
      <c r="P230" s="36"/>
      <c r="Q230" s="36"/>
      <c r="R230" s="105"/>
      <c r="S230" s="36"/>
      <c r="T230" s="36"/>
      <c r="U230" s="36"/>
      <c r="V230" s="105"/>
      <c r="W230" s="36"/>
      <c r="X230" s="36"/>
      <c r="Y230" s="36"/>
      <c r="Z230" s="105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42"/>
      <c r="AO230" s="42"/>
      <c r="AP230" s="36"/>
      <c r="AQ230" s="36"/>
      <c r="AR230" s="42"/>
      <c r="AS230" s="42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</row>
    <row r="231" spans="1:56" ht="15.75" x14ac:dyDescent="0.25">
      <c r="A231" s="44"/>
      <c r="B231" s="36"/>
      <c r="C231" s="36"/>
      <c r="D231" s="36"/>
      <c r="E231" s="36"/>
      <c r="F231" s="36"/>
      <c r="G231" s="36"/>
      <c r="H231" s="36"/>
      <c r="I231" s="36"/>
      <c r="J231" s="105"/>
      <c r="K231" s="36"/>
      <c r="L231" s="36"/>
      <c r="M231" s="36"/>
      <c r="N231" s="105"/>
      <c r="O231" s="36"/>
      <c r="P231" s="36"/>
      <c r="Q231" s="36"/>
      <c r="R231" s="105"/>
      <c r="S231" s="36"/>
      <c r="T231" s="36"/>
      <c r="U231" s="36"/>
      <c r="V231" s="105"/>
      <c r="W231" s="36"/>
      <c r="X231" s="36"/>
      <c r="Y231" s="36"/>
      <c r="Z231" s="105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42"/>
      <c r="AO231" s="42"/>
      <c r="AP231" s="36"/>
      <c r="AQ231" s="36"/>
      <c r="AR231" s="42"/>
      <c r="AS231" s="42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</row>
    <row r="232" spans="1:56" ht="15.75" x14ac:dyDescent="0.25">
      <c r="A232" s="44"/>
      <c r="B232" s="36"/>
      <c r="C232" s="36"/>
      <c r="D232" s="36"/>
      <c r="E232" s="36"/>
      <c r="F232" s="36"/>
      <c r="G232" s="36"/>
      <c r="H232" s="36"/>
      <c r="I232" s="36"/>
      <c r="J232" s="105"/>
      <c r="K232" s="36"/>
      <c r="L232" s="36"/>
      <c r="M232" s="36"/>
      <c r="N232" s="105"/>
      <c r="O232" s="36"/>
      <c r="P232" s="36"/>
      <c r="Q232" s="36"/>
      <c r="R232" s="105"/>
      <c r="S232" s="36"/>
      <c r="T232" s="36"/>
      <c r="U232" s="36"/>
      <c r="V232" s="105"/>
      <c r="W232" s="36"/>
      <c r="X232" s="36"/>
      <c r="Y232" s="36"/>
      <c r="Z232" s="105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42"/>
      <c r="AO232" s="42"/>
      <c r="AP232" s="36"/>
      <c r="AQ232" s="36"/>
      <c r="AR232" s="42"/>
      <c r="AS232" s="42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</row>
    <row r="233" spans="1:56" ht="15.75" x14ac:dyDescent="0.25">
      <c r="A233" s="44"/>
      <c r="B233" s="36"/>
      <c r="C233" s="36"/>
      <c r="D233" s="36"/>
      <c r="E233" s="36"/>
      <c r="F233" s="36"/>
      <c r="G233" s="36"/>
      <c r="H233" s="36"/>
      <c r="I233" s="36"/>
      <c r="J233" s="105"/>
      <c r="K233" s="36"/>
      <c r="L233" s="36"/>
      <c r="M233" s="36"/>
      <c r="N233" s="105"/>
      <c r="O233" s="36"/>
      <c r="P233" s="36"/>
      <c r="Q233" s="36"/>
      <c r="R233" s="105"/>
      <c r="S233" s="36"/>
      <c r="T233" s="36"/>
      <c r="U233" s="36"/>
      <c r="V233" s="105"/>
      <c r="W233" s="36"/>
      <c r="X233" s="36"/>
      <c r="Y233" s="36"/>
      <c r="Z233" s="105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42"/>
      <c r="AO233" s="42"/>
      <c r="AP233" s="36"/>
      <c r="AQ233" s="36"/>
      <c r="AR233" s="42"/>
      <c r="AS233" s="42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</row>
    <row r="234" spans="1:56" ht="15.75" x14ac:dyDescent="0.25">
      <c r="A234" s="44"/>
      <c r="B234" s="36"/>
      <c r="C234" s="36"/>
      <c r="D234" s="36"/>
      <c r="E234" s="36"/>
      <c r="F234" s="36"/>
      <c r="G234" s="36"/>
      <c r="H234" s="36"/>
      <c r="I234" s="36"/>
      <c r="J234" s="105"/>
      <c r="K234" s="36"/>
      <c r="L234" s="36"/>
      <c r="M234" s="36"/>
      <c r="N234" s="105"/>
      <c r="O234" s="36"/>
      <c r="P234" s="36"/>
      <c r="Q234" s="36"/>
      <c r="R234" s="105"/>
      <c r="S234" s="36"/>
      <c r="T234" s="36"/>
      <c r="U234" s="36"/>
      <c r="V234" s="105"/>
      <c r="W234" s="36"/>
      <c r="X234" s="36"/>
      <c r="Y234" s="36"/>
      <c r="Z234" s="105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42"/>
      <c r="AO234" s="42"/>
      <c r="AP234" s="36"/>
      <c r="AQ234" s="36"/>
      <c r="AR234" s="42"/>
      <c r="AS234" s="42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</row>
    <row r="235" spans="1:56" ht="15.75" x14ac:dyDescent="0.25">
      <c r="A235" s="44"/>
      <c r="B235" s="36"/>
      <c r="C235" s="36"/>
      <c r="D235" s="36"/>
      <c r="E235" s="36"/>
      <c r="F235" s="36"/>
      <c r="G235" s="36"/>
      <c r="H235" s="36"/>
      <c r="I235" s="36"/>
      <c r="J235" s="105"/>
      <c r="K235" s="36"/>
      <c r="L235" s="36"/>
      <c r="M235" s="36"/>
      <c r="N235" s="105"/>
      <c r="O235" s="36"/>
      <c r="P235" s="36"/>
      <c r="Q235" s="36"/>
      <c r="R235" s="105"/>
      <c r="S235" s="36"/>
      <c r="T235" s="36"/>
      <c r="U235" s="36"/>
      <c r="V235" s="105"/>
      <c r="W235" s="36"/>
      <c r="X235" s="36"/>
      <c r="Y235" s="36"/>
      <c r="Z235" s="105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42"/>
      <c r="AO235" s="42"/>
      <c r="AP235" s="36"/>
      <c r="AQ235" s="36"/>
      <c r="AR235" s="42"/>
      <c r="AS235" s="42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</row>
    <row r="236" spans="1:56" ht="15.75" x14ac:dyDescent="0.25">
      <c r="A236" s="44"/>
      <c r="B236" s="36"/>
      <c r="C236" s="36"/>
      <c r="D236" s="36"/>
      <c r="E236" s="36"/>
      <c r="F236" s="36"/>
      <c r="G236" s="36"/>
      <c r="H236" s="36"/>
      <c r="I236" s="36"/>
      <c r="J236" s="105"/>
      <c r="K236" s="36"/>
      <c r="L236" s="36"/>
      <c r="M236" s="36"/>
      <c r="N236" s="105"/>
      <c r="O236" s="36"/>
      <c r="P236" s="36"/>
      <c r="Q236" s="36"/>
      <c r="R236" s="105"/>
      <c r="S236" s="36"/>
      <c r="T236" s="36"/>
      <c r="U236" s="36"/>
      <c r="V236" s="105"/>
      <c r="W236" s="36"/>
      <c r="X236" s="36"/>
      <c r="Y236" s="36"/>
      <c r="Z236" s="105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42"/>
      <c r="AO236" s="42"/>
      <c r="AP236" s="36"/>
      <c r="AQ236" s="36"/>
      <c r="AR236" s="42"/>
      <c r="AS236" s="42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</row>
    <row r="237" spans="1:56" ht="15.75" x14ac:dyDescent="0.25">
      <c r="A237" s="44"/>
      <c r="B237" s="36"/>
      <c r="C237" s="36"/>
      <c r="D237" s="36"/>
      <c r="E237" s="36"/>
      <c r="F237" s="36"/>
      <c r="G237" s="36"/>
      <c r="H237" s="36"/>
      <c r="I237" s="36"/>
      <c r="J237" s="105"/>
      <c r="K237" s="36"/>
      <c r="L237" s="36"/>
      <c r="M237" s="36"/>
      <c r="N237" s="105"/>
      <c r="O237" s="36"/>
      <c r="P237" s="36"/>
      <c r="Q237" s="36"/>
      <c r="R237" s="105"/>
      <c r="S237" s="36"/>
      <c r="T237" s="36"/>
      <c r="U237" s="36"/>
      <c r="V237" s="105"/>
      <c r="W237" s="36"/>
      <c r="X237" s="36"/>
      <c r="Y237" s="36"/>
      <c r="Z237" s="105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42"/>
      <c r="AO237" s="42"/>
      <c r="AP237" s="36"/>
      <c r="AQ237" s="36"/>
      <c r="AR237" s="42"/>
      <c r="AS237" s="42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</row>
    <row r="238" spans="1:56" ht="15.75" x14ac:dyDescent="0.25">
      <c r="A238" s="44"/>
      <c r="B238" s="36"/>
      <c r="C238" s="36"/>
      <c r="D238" s="36"/>
      <c r="E238" s="36"/>
      <c r="F238" s="36"/>
      <c r="G238" s="36"/>
      <c r="H238" s="36"/>
      <c r="I238" s="36"/>
      <c r="J238" s="105"/>
      <c r="K238" s="36"/>
      <c r="L238" s="36"/>
      <c r="M238" s="36"/>
      <c r="N238" s="105"/>
      <c r="O238" s="36"/>
      <c r="P238" s="36"/>
      <c r="Q238" s="36"/>
      <c r="R238" s="105"/>
      <c r="S238" s="36"/>
      <c r="T238" s="36"/>
      <c r="U238" s="36"/>
      <c r="V238" s="105"/>
      <c r="W238" s="36"/>
      <c r="X238" s="36"/>
      <c r="Y238" s="36"/>
      <c r="Z238" s="105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42"/>
      <c r="AO238" s="42"/>
      <c r="AP238" s="36"/>
      <c r="AQ238" s="36"/>
      <c r="AR238" s="42"/>
      <c r="AS238" s="42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</row>
    <row r="239" spans="1:56" ht="15.75" x14ac:dyDescent="0.25">
      <c r="A239" s="44"/>
      <c r="B239" s="36"/>
      <c r="C239" s="36"/>
      <c r="D239" s="36"/>
      <c r="E239" s="36"/>
      <c r="F239" s="36"/>
      <c r="G239" s="36"/>
      <c r="H239" s="36"/>
      <c r="I239" s="36"/>
      <c r="J239" s="105"/>
      <c r="K239" s="36"/>
      <c r="L239" s="36"/>
      <c r="M239" s="36"/>
      <c r="N239" s="105"/>
      <c r="O239" s="36"/>
      <c r="P239" s="36"/>
      <c r="Q239" s="36"/>
      <c r="R239" s="105"/>
      <c r="S239" s="36"/>
      <c r="T239" s="36"/>
      <c r="U239" s="36"/>
      <c r="V239" s="105"/>
      <c r="W239" s="36"/>
      <c r="X239" s="36"/>
      <c r="Y239" s="36"/>
      <c r="Z239" s="105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42"/>
      <c r="AO239" s="42"/>
      <c r="AP239" s="36"/>
      <c r="AQ239" s="36"/>
      <c r="AR239" s="42"/>
      <c r="AS239" s="42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</row>
    <row r="240" spans="1:56" ht="15.75" x14ac:dyDescent="0.25">
      <c r="A240" s="44"/>
      <c r="B240" s="36"/>
      <c r="C240" s="36"/>
      <c r="D240" s="36"/>
      <c r="E240" s="36"/>
      <c r="F240" s="36"/>
      <c r="G240" s="36"/>
      <c r="H240" s="36"/>
      <c r="I240" s="36"/>
      <c r="J240" s="105"/>
      <c r="K240" s="36"/>
      <c r="L240" s="36"/>
      <c r="M240" s="36"/>
      <c r="N240" s="105"/>
      <c r="O240" s="36"/>
      <c r="P240" s="36"/>
      <c r="Q240" s="36"/>
      <c r="R240" s="105"/>
      <c r="S240" s="36"/>
      <c r="T240" s="36"/>
      <c r="U240" s="36"/>
      <c r="V240" s="105"/>
      <c r="W240" s="36"/>
      <c r="X240" s="36"/>
      <c r="Y240" s="36"/>
      <c r="Z240" s="105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42"/>
      <c r="AO240" s="42"/>
      <c r="AP240" s="36"/>
      <c r="AQ240" s="36"/>
      <c r="AR240" s="42"/>
      <c r="AS240" s="42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</row>
    <row r="241" spans="1:56" ht="15.75" x14ac:dyDescent="0.25">
      <c r="A241" s="44"/>
      <c r="B241" s="36"/>
      <c r="C241" s="36"/>
      <c r="D241" s="36"/>
      <c r="E241" s="36"/>
      <c r="F241" s="36"/>
      <c r="G241" s="36"/>
      <c r="H241" s="36"/>
      <c r="I241" s="36"/>
      <c r="J241" s="105"/>
      <c r="K241" s="36"/>
      <c r="L241" s="36"/>
      <c r="M241" s="36"/>
      <c r="N241" s="105"/>
      <c r="O241" s="36"/>
      <c r="P241" s="36"/>
      <c r="Q241" s="36"/>
      <c r="R241" s="105"/>
      <c r="S241" s="36"/>
      <c r="T241" s="36"/>
      <c r="U241" s="36"/>
      <c r="V241" s="105"/>
      <c r="W241" s="36"/>
      <c r="X241" s="36"/>
      <c r="Y241" s="36"/>
      <c r="Z241" s="105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42"/>
      <c r="AO241" s="42"/>
      <c r="AP241" s="36"/>
      <c r="AQ241" s="36"/>
      <c r="AR241" s="42"/>
      <c r="AS241" s="42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</row>
    <row r="242" spans="1:56" ht="15.75" x14ac:dyDescent="0.25">
      <c r="A242" s="44"/>
      <c r="B242" s="36"/>
      <c r="C242" s="36"/>
      <c r="D242" s="36"/>
      <c r="E242" s="36"/>
      <c r="F242" s="36"/>
      <c r="G242" s="36"/>
      <c r="H242" s="36"/>
      <c r="I242" s="36"/>
      <c r="J242" s="105"/>
      <c r="K242" s="36"/>
      <c r="L242" s="36"/>
      <c r="M242" s="36"/>
      <c r="N242" s="105"/>
      <c r="O242" s="36"/>
      <c r="P242" s="36"/>
      <c r="Q242" s="36"/>
      <c r="R242" s="105"/>
      <c r="S242" s="36"/>
      <c r="T242" s="36"/>
      <c r="U242" s="36"/>
      <c r="V242" s="105"/>
      <c r="W242" s="36"/>
      <c r="X242" s="36"/>
      <c r="Y242" s="36"/>
      <c r="Z242" s="105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42"/>
      <c r="AO242" s="42"/>
      <c r="AP242" s="36"/>
      <c r="AQ242" s="36"/>
      <c r="AR242" s="42"/>
      <c r="AS242" s="42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</row>
    <row r="243" spans="1:56" ht="15.75" x14ac:dyDescent="0.25">
      <c r="A243" s="44"/>
      <c r="B243" s="36"/>
      <c r="C243" s="36"/>
      <c r="D243" s="36"/>
      <c r="E243" s="36"/>
      <c r="F243" s="36"/>
      <c r="G243" s="36"/>
      <c r="H243" s="36"/>
      <c r="I243" s="36"/>
      <c r="J243" s="105"/>
      <c r="K243" s="36"/>
      <c r="L243" s="36"/>
      <c r="M243" s="36"/>
      <c r="N243" s="105"/>
      <c r="O243" s="36"/>
      <c r="P243" s="36"/>
      <c r="Q243" s="36"/>
      <c r="R243" s="105"/>
      <c r="S243" s="36"/>
      <c r="T243" s="36"/>
      <c r="U243" s="36"/>
      <c r="V243" s="105"/>
      <c r="W243" s="36"/>
      <c r="X243" s="36"/>
      <c r="Y243" s="36"/>
      <c r="Z243" s="105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42"/>
      <c r="AO243" s="42"/>
      <c r="AP243" s="36"/>
      <c r="AQ243" s="36"/>
      <c r="AR243" s="42"/>
      <c r="AS243" s="42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</row>
    <row r="244" spans="1:56" ht="15.75" x14ac:dyDescent="0.25">
      <c r="A244" s="44"/>
      <c r="B244" s="36"/>
      <c r="C244" s="36"/>
      <c r="D244" s="36"/>
      <c r="E244" s="36"/>
      <c r="F244" s="36"/>
      <c r="G244" s="36"/>
      <c r="H244" s="36"/>
      <c r="I244" s="36"/>
      <c r="J244" s="105"/>
      <c r="K244" s="36"/>
      <c r="L244" s="36"/>
      <c r="M244" s="36"/>
      <c r="N244" s="105"/>
      <c r="O244" s="36"/>
      <c r="P244" s="36"/>
      <c r="Q244" s="36"/>
      <c r="R244" s="105"/>
      <c r="S244" s="36"/>
      <c r="T244" s="36"/>
      <c r="U244" s="36"/>
      <c r="V244" s="105"/>
      <c r="W244" s="36"/>
      <c r="X244" s="36"/>
      <c r="Y244" s="36"/>
      <c r="Z244" s="105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42"/>
      <c r="AO244" s="42"/>
      <c r="AP244" s="36"/>
      <c r="AQ244" s="36"/>
      <c r="AR244" s="42"/>
      <c r="AS244" s="42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</row>
    <row r="245" spans="1:56" ht="15.75" x14ac:dyDescent="0.25">
      <c r="A245" s="44"/>
      <c r="B245" s="36"/>
      <c r="C245" s="36"/>
      <c r="D245" s="36"/>
      <c r="E245" s="36"/>
      <c r="F245" s="36"/>
      <c r="G245" s="36"/>
      <c r="H245" s="36"/>
      <c r="I245" s="36"/>
      <c r="J245" s="105"/>
      <c r="K245" s="36"/>
      <c r="L245" s="36"/>
      <c r="M245" s="36"/>
      <c r="N245" s="105"/>
      <c r="O245" s="36"/>
      <c r="P245" s="36"/>
      <c r="Q245" s="36"/>
      <c r="R245" s="105"/>
      <c r="S245" s="36"/>
      <c r="T245" s="36"/>
      <c r="U245" s="36"/>
      <c r="V245" s="105"/>
      <c r="W245" s="36"/>
      <c r="X245" s="36"/>
      <c r="Y245" s="36"/>
      <c r="Z245" s="105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42"/>
      <c r="AO245" s="42"/>
      <c r="AP245" s="36"/>
      <c r="AQ245" s="36"/>
      <c r="AR245" s="42"/>
      <c r="AS245" s="42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</row>
    <row r="246" spans="1:56" ht="15.75" x14ac:dyDescent="0.25">
      <c r="A246" s="44"/>
      <c r="B246" s="36"/>
      <c r="C246" s="36"/>
      <c r="D246" s="36"/>
      <c r="E246" s="36"/>
      <c r="F246" s="36"/>
      <c r="G246" s="36"/>
      <c r="H246" s="36"/>
      <c r="I246" s="36"/>
      <c r="J246" s="105"/>
      <c r="K246" s="36"/>
      <c r="L246" s="36"/>
      <c r="M246" s="36"/>
      <c r="N246" s="105"/>
      <c r="O246" s="36"/>
      <c r="P246" s="36"/>
      <c r="Q246" s="36"/>
      <c r="R246" s="105"/>
      <c r="S246" s="36"/>
      <c r="T246" s="36"/>
      <c r="U246" s="36"/>
      <c r="V246" s="105"/>
      <c r="W246" s="36"/>
      <c r="X246" s="36"/>
      <c r="Y246" s="36"/>
      <c r="Z246" s="105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42"/>
      <c r="AO246" s="42"/>
      <c r="AP246" s="36"/>
      <c r="AQ246" s="36"/>
      <c r="AR246" s="42"/>
      <c r="AS246" s="42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</row>
    <row r="247" spans="1:56" ht="15.75" x14ac:dyDescent="0.25">
      <c r="A247" s="44"/>
      <c r="B247" s="36"/>
      <c r="C247" s="36"/>
      <c r="D247" s="36"/>
      <c r="E247" s="36"/>
      <c r="F247" s="36"/>
      <c r="G247" s="36"/>
      <c r="H247" s="36"/>
      <c r="I247" s="36"/>
      <c r="J247" s="105"/>
      <c r="K247" s="36"/>
      <c r="L247" s="36"/>
      <c r="M247" s="36"/>
      <c r="N247" s="105"/>
      <c r="O247" s="36"/>
      <c r="P247" s="36"/>
      <c r="Q247" s="36"/>
      <c r="R247" s="105"/>
      <c r="S247" s="36"/>
      <c r="T247" s="36"/>
      <c r="U247" s="36"/>
      <c r="V247" s="105"/>
      <c r="W247" s="36"/>
      <c r="X247" s="36"/>
      <c r="Y247" s="36"/>
      <c r="Z247" s="105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42"/>
      <c r="AO247" s="42"/>
      <c r="AP247" s="36"/>
      <c r="AQ247" s="36"/>
      <c r="AR247" s="42"/>
      <c r="AS247" s="42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</row>
    <row r="248" spans="1:56" ht="15.75" x14ac:dyDescent="0.25">
      <c r="A248" s="44"/>
      <c r="B248" s="36"/>
      <c r="C248" s="36"/>
      <c r="D248" s="36"/>
      <c r="E248" s="36"/>
      <c r="F248" s="36"/>
      <c r="G248" s="36"/>
      <c r="H248" s="36"/>
      <c r="I248" s="36"/>
      <c r="J248" s="105"/>
      <c r="K248" s="36"/>
      <c r="L248" s="36"/>
      <c r="M248" s="36"/>
      <c r="N248" s="105"/>
      <c r="O248" s="36"/>
      <c r="P248" s="36"/>
      <c r="Q248" s="36"/>
      <c r="R248" s="105"/>
      <c r="S248" s="36"/>
      <c r="T248" s="36"/>
      <c r="U248" s="36"/>
      <c r="V248" s="105"/>
      <c r="W248" s="36"/>
      <c r="X248" s="36"/>
      <c r="Y248" s="36"/>
      <c r="Z248" s="105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42"/>
      <c r="AO248" s="42"/>
      <c r="AP248" s="36"/>
      <c r="AQ248" s="36"/>
      <c r="AR248" s="42"/>
      <c r="AS248" s="42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</row>
    <row r="249" spans="1:56" ht="15.75" x14ac:dyDescent="0.25">
      <c r="A249" s="44"/>
      <c r="B249" s="36"/>
      <c r="C249" s="36"/>
      <c r="D249" s="36"/>
      <c r="E249" s="36"/>
      <c r="F249" s="36"/>
      <c r="G249" s="36"/>
      <c r="H249" s="36"/>
      <c r="I249" s="36"/>
      <c r="J249" s="105"/>
      <c r="K249" s="36"/>
      <c r="L249" s="36"/>
      <c r="M249" s="36"/>
      <c r="N249" s="105"/>
      <c r="O249" s="36"/>
      <c r="P249" s="36"/>
      <c r="Q249" s="36"/>
      <c r="R249" s="105"/>
      <c r="S249" s="36"/>
      <c r="T249" s="36"/>
      <c r="U249" s="36"/>
      <c r="V249" s="105"/>
      <c r="W249" s="36"/>
      <c r="X249" s="36"/>
      <c r="Y249" s="36"/>
      <c r="Z249" s="105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42"/>
      <c r="AO249" s="42"/>
      <c r="AP249" s="36"/>
      <c r="AQ249" s="36"/>
      <c r="AR249" s="42"/>
      <c r="AS249" s="42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</row>
    <row r="250" spans="1:56" ht="15.75" x14ac:dyDescent="0.25">
      <c r="A250" s="44"/>
      <c r="B250" s="36"/>
      <c r="C250" s="36"/>
      <c r="D250" s="36"/>
      <c r="E250" s="36"/>
      <c r="F250" s="36"/>
      <c r="G250" s="36"/>
      <c r="H250" s="36"/>
      <c r="I250" s="36"/>
      <c r="J250" s="105"/>
      <c r="K250" s="36"/>
      <c r="L250" s="36"/>
      <c r="M250" s="36"/>
      <c r="N250" s="105"/>
      <c r="O250" s="36"/>
      <c r="P250" s="36"/>
      <c r="Q250" s="36"/>
      <c r="R250" s="105"/>
      <c r="S250" s="36"/>
      <c r="T250" s="36"/>
      <c r="U250" s="36"/>
      <c r="V250" s="105"/>
      <c r="W250" s="36"/>
      <c r="X250" s="36"/>
      <c r="Y250" s="36"/>
      <c r="Z250" s="105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42"/>
      <c r="AO250" s="42"/>
      <c r="AP250" s="36"/>
      <c r="AQ250" s="36"/>
      <c r="AR250" s="42"/>
      <c r="AS250" s="42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</row>
    <row r="251" spans="1:56" ht="15.75" x14ac:dyDescent="0.25">
      <c r="A251" s="44"/>
      <c r="B251" s="36"/>
      <c r="C251" s="36"/>
      <c r="D251" s="36"/>
      <c r="E251" s="36"/>
      <c r="F251" s="36"/>
      <c r="G251" s="36"/>
      <c r="H251" s="36"/>
      <c r="I251" s="36"/>
      <c r="J251" s="105"/>
      <c r="K251" s="36"/>
      <c r="L251" s="36"/>
      <c r="M251" s="36"/>
      <c r="N251" s="105"/>
      <c r="O251" s="36"/>
      <c r="P251" s="36"/>
      <c r="Q251" s="36"/>
      <c r="R251" s="105"/>
      <c r="S251" s="36"/>
      <c r="T251" s="36"/>
      <c r="U251" s="36"/>
      <c r="V251" s="105"/>
      <c r="W251" s="36"/>
      <c r="X251" s="36"/>
      <c r="Y251" s="36"/>
      <c r="Z251" s="105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42"/>
      <c r="AO251" s="42"/>
      <c r="AP251" s="36"/>
      <c r="AQ251" s="36"/>
      <c r="AR251" s="42"/>
      <c r="AS251" s="42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</row>
    <row r="252" spans="1:56" ht="15.75" x14ac:dyDescent="0.25">
      <c r="A252" s="44"/>
      <c r="B252" s="36"/>
      <c r="C252" s="36"/>
      <c r="D252" s="36"/>
      <c r="E252" s="36"/>
      <c r="F252" s="36"/>
      <c r="G252" s="36"/>
      <c r="H252" s="36"/>
      <c r="I252" s="36"/>
      <c r="J252" s="105"/>
      <c r="K252" s="36"/>
      <c r="L252" s="36"/>
      <c r="M252" s="36"/>
      <c r="N252" s="105"/>
      <c r="O252" s="36"/>
      <c r="P252" s="36"/>
      <c r="Q252" s="36"/>
      <c r="R252" s="105"/>
      <c r="S252" s="36"/>
      <c r="T252" s="36"/>
      <c r="U252" s="36"/>
      <c r="V252" s="105"/>
      <c r="W252" s="36"/>
      <c r="X252" s="36"/>
      <c r="Y252" s="36"/>
      <c r="Z252" s="105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42"/>
      <c r="AO252" s="42"/>
      <c r="AP252" s="36"/>
      <c r="AQ252" s="36"/>
      <c r="AR252" s="42"/>
      <c r="AS252" s="42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</row>
    <row r="253" spans="1:56" ht="15.75" x14ac:dyDescent="0.25">
      <c r="A253" s="44"/>
      <c r="B253" s="36"/>
      <c r="C253" s="36"/>
      <c r="D253" s="36"/>
      <c r="E253" s="36"/>
      <c r="F253" s="36"/>
      <c r="G253" s="36"/>
      <c r="H253" s="36"/>
      <c r="I253" s="36"/>
      <c r="J253" s="105"/>
      <c r="K253" s="36"/>
      <c r="L253" s="36"/>
      <c r="M253" s="36"/>
      <c r="N253" s="105"/>
      <c r="O253" s="36"/>
      <c r="P253" s="36"/>
      <c r="Q253" s="36"/>
      <c r="R253" s="105"/>
      <c r="S253" s="36"/>
      <c r="T253" s="36"/>
      <c r="U253" s="36"/>
      <c r="V253" s="105"/>
      <c r="W253" s="36"/>
      <c r="X253" s="36"/>
      <c r="Y253" s="36"/>
      <c r="Z253" s="105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42"/>
      <c r="AO253" s="42"/>
      <c r="AP253" s="36"/>
      <c r="AQ253" s="36"/>
      <c r="AR253" s="42"/>
      <c r="AS253" s="42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</row>
    <row r="254" spans="1:56" ht="15.75" x14ac:dyDescent="0.25">
      <c r="A254" s="44"/>
      <c r="B254" s="36"/>
      <c r="C254" s="36"/>
      <c r="D254" s="36"/>
      <c r="E254" s="36"/>
      <c r="F254" s="36"/>
      <c r="G254" s="36"/>
      <c r="H254" s="36"/>
      <c r="I254" s="36"/>
      <c r="J254" s="105"/>
      <c r="K254" s="36"/>
      <c r="L254" s="36"/>
      <c r="M254" s="36"/>
      <c r="N254" s="105"/>
      <c r="O254" s="36"/>
      <c r="P254" s="36"/>
      <c r="Q254" s="36"/>
      <c r="R254" s="105"/>
      <c r="S254" s="36"/>
      <c r="T254" s="36"/>
      <c r="U254" s="36"/>
      <c r="V254" s="105"/>
      <c r="W254" s="36"/>
      <c r="X254" s="36"/>
      <c r="Y254" s="36"/>
      <c r="Z254" s="105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42"/>
      <c r="AO254" s="42"/>
      <c r="AP254" s="36"/>
      <c r="AQ254" s="36"/>
      <c r="AR254" s="42"/>
      <c r="AS254" s="42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</row>
    <row r="255" spans="1:56" ht="15.75" x14ac:dyDescent="0.25">
      <c r="A255" s="44"/>
      <c r="B255" s="36"/>
      <c r="C255" s="36"/>
      <c r="D255" s="36"/>
      <c r="E255" s="36"/>
      <c r="F255" s="36"/>
      <c r="G255" s="36"/>
      <c r="H255" s="36"/>
      <c r="I255" s="36"/>
      <c r="J255" s="105"/>
      <c r="K255" s="36"/>
      <c r="L255" s="36"/>
      <c r="M255" s="36"/>
      <c r="N255" s="105"/>
      <c r="O255" s="36"/>
      <c r="P255" s="36"/>
      <c r="Q255" s="36"/>
      <c r="R255" s="105"/>
      <c r="S255" s="36"/>
      <c r="T255" s="36"/>
      <c r="U255" s="36"/>
      <c r="V255" s="105"/>
      <c r="W255" s="36"/>
      <c r="X255" s="36"/>
      <c r="Y255" s="36"/>
      <c r="Z255" s="105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42"/>
      <c r="AO255" s="42"/>
      <c r="AP255" s="36"/>
      <c r="AQ255" s="36"/>
      <c r="AR255" s="42"/>
      <c r="AS255" s="42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</row>
    <row r="256" spans="1:56" ht="15.75" x14ac:dyDescent="0.25">
      <c r="A256" s="44"/>
      <c r="B256" s="36"/>
      <c r="C256" s="36"/>
      <c r="D256" s="36"/>
      <c r="E256" s="36"/>
      <c r="F256" s="36"/>
      <c r="G256" s="36"/>
      <c r="H256" s="36"/>
      <c r="I256" s="36"/>
      <c r="J256" s="105"/>
      <c r="K256" s="36"/>
      <c r="L256" s="36"/>
      <c r="M256" s="36"/>
      <c r="N256" s="105"/>
      <c r="O256" s="36"/>
      <c r="P256" s="36"/>
      <c r="Q256" s="36"/>
      <c r="R256" s="105"/>
      <c r="S256" s="36"/>
      <c r="T256" s="36"/>
      <c r="U256" s="36"/>
      <c r="V256" s="105"/>
      <c r="W256" s="36"/>
      <c r="X256" s="36"/>
      <c r="Y256" s="36"/>
      <c r="Z256" s="105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42"/>
      <c r="AO256" s="42"/>
      <c r="AP256" s="36"/>
      <c r="AQ256" s="36"/>
      <c r="AR256" s="42"/>
      <c r="AS256" s="42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</row>
    <row r="257" spans="1:56" ht="15.75" x14ac:dyDescent="0.25">
      <c r="A257" s="44"/>
      <c r="B257" s="36"/>
      <c r="C257" s="36"/>
      <c r="D257" s="36"/>
      <c r="E257" s="36"/>
      <c r="F257" s="36"/>
      <c r="G257" s="36"/>
      <c r="H257" s="36"/>
      <c r="I257" s="36"/>
      <c r="J257" s="105"/>
      <c r="K257" s="36"/>
      <c r="L257" s="36"/>
      <c r="M257" s="36"/>
      <c r="N257" s="105"/>
      <c r="O257" s="36"/>
      <c r="P257" s="36"/>
      <c r="Q257" s="36"/>
      <c r="R257" s="105"/>
      <c r="S257" s="36"/>
      <c r="T257" s="36"/>
      <c r="U257" s="36"/>
      <c r="V257" s="105"/>
      <c r="W257" s="36"/>
      <c r="X257" s="36"/>
      <c r="Y257" s="36"/>
      <c r="Z257" s="105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42"/>
      <c r="AO257" s="42"/>
      <c r="AP257" s="36"/>
      <c r="AQ257" s="36"/>
      <c r="AR257" s="42"/>
      <c r="AS257" s="42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</row>
    <row r="258" spans="1:56" ht="15.75" x14ac:dyDescent="0.25">
      <c r="A258" s="44"/>
      <c r="B258" s="36"/>
      <c r="C258" s="36"/>
      <c r="D258" s="36"/>
      <c r="E258" s="36"/>
      <c r="F258" s="36"/>
      <c r="G258" s="36"/>
      <c r="H258" s="36"/>
      <c r="I258" s="36"/>
      <c r="J258" s="105"/>
      <c r="K258" s="36"/>
      <c r="L258" s="36"/>
      <c r="M258" s="36"/>
      <c r="N258" s="105"/>
      <c r="O258" s="36"/>
      <c r="P258" s="36"/>
      <c r="Q258" s="36"/>
      <c r="R258" s="105"/>
      <c r="S258" s="36"/>
      <c r="T258" s="36"/>
      <c r="U258" s="36"/>
      <c r="V258" s="105"/>
      <c r="W258" s="36"/>
      <c r="X258" s="36"/>
      <c r="Y258" s="36"/>
      <c r="Z258" s="105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42"/>
      <c r="AO258" s="42"/>
      <c r="AP258" s="36"/>
      <c r="AQ258" s="36"/>
      <c r="AR258" s="42"/>
      <c r="AS258" s="42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</row>
    <row r="259" spans="1:56" ht="15.75" x14ac:dyDescent="0.25">
      <c r="A259" s="44"/>
      <c r="B259" s="36"/>
      <c r="C259" s="36"/>
      <c r="D259" s="36"/>
      <c r="E259" s="36"/>
      <c r="F259" s="36"/>
      <c r="G259" s="36"/>
      <c r="H259" s="36"/>
      <c r="I259" s="36"/>
      <c r="J259" s="105"/>
      <c r="K259" s="36"/>
      <c r="L259" s="36"/>
      <c r="M259" s="36"/>
      <c r="N259" s="105"/>
      <c r="O259" s="36"/>
      <c r="P259" s="36"/>
      <c r="Q259" s="36"/>
      <c r="R259" s="105"/>
      <c r="S259" s="36"/>
      <c r="T259" s="36"/>
      <c r="U259" s="36"/>
      <c r="V259" s="105"/>
      <c r="W259" s="36"/>
      <c r="X259" s="36"/>
      <c r="Y259" s="36"/>
      <c r="Z259" s="105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42"/>
      <c r="AO259" s="42"/>
      <c r="AP259" s="36"/>
      <c r="AQ259" s="36"/>
      <c r="AR259" s="42"/>
      <c r="AS259" s="42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</row>
    <row r="260" spans="1:56" ht="15.75" x14ac:dyDescent="0.25">
      <c r="A260" s="44"/>
      <c r="B260" s="36"/>
      <c r="C260" s="36"/>
      <c r="D260" s="36"/>
      <c r="E260" s="36"/>
      <c r="F260" s="36"/>
      <c r="G260" s="36"/>
      <c r="H260" s="36"/>
      <c r="I260" s="36"/>
      <c r="J260" s="105"/>
      <c r="K260" s="36"/>
      <c r="L260" s="36"/>
      <c r="M260" s="36"/>
      <c r="N260" s="105"/>
      <c r="O260" s="36"/>
      <c r="P260" s="36"/>
      <c r="Q260" s="36"/>
      <c r="R260" s="105"/>
      <c r="S260" s="36"/>
      <c r="T260" s="36"/>
      <c r="U260" s="36"/>
      <c r="V260" s="105"/>
      <c r="W260" s="36"/>
      <c r="X260" s="36"/>
      <c r="Y260" s="36"/>
      <c r="Z260" s="105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42"/>
      <c r="AO260" s="42"/>
      <c r="AP260" s="36"/>
      <c r="AQ260" s="36"/>
      <c r="AR260" s="42"/>
      <c r="AS260" s="42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</row>
    <row r="261" spans="1:56" ht="15.75" x14ac:dyDescent="0.25">
      <c r="A261" s="44"/>
      <c r="B261" s="36"/>
      <c r="C261" s="36"/>
      <c r="D261" s="36"/>
      <c r="E261" s="36"/>
      <c r="F261" s="36"/>
      <c r="G261" s="36"/>
      <c r="H261" s="36"/>
      <c r="I261" s="36"/>
      <c r="J261" s="105"/>
      <c r="K261" s="36"/>
      <c r="L261" s="36"/>
      <c r="M261" s="36"/>
      <c r="N261" s="105"/>
      <c r="O261" s="36"/>
      <c r="P261" s="36"/>
      <c r="Q261" s="36"/>
      <c r="R261" s="105"/>
      <c r="S261" s="36"/>
      <c r="T261" s="36"/>
      <c r="U261" s="36"/>
      <c r="V261" s="105"/>
      <c r="W261" s="36"/>
      <c r="X261" s="36"/>
      <c r="Y261" s="36"/>
      <c r="Z261" s="105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42"/>
      <c r="AO261" s="42"/>
      <c r="AP261" s="36"/>
      <c r="AQ261" s="36"/>
      <c r="AR261" s="42"/>
      <c r="AS261" s="42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</row>
    <row r="262" spans="1:56" ht="15.75" x14ac:dyDescent="0.25">
      <c r="A262" s="44"/>
      <c r="B262" s="36"/>
      <c r="C262" s="36"/>
      <c r="D262" s="36"/>
      <c r="E262" s="36"/>
      <c r="F262" s="36"/>
      <c r="G262" s="36"/>
      <c r="H262" s="36"/>
      <c r="I262" s="36"/>
      <c r="J262" s="105"/>
      <c r="K262" s="36"/>
      <c r="L262" s="36"/>
      <c r="M262" s="36"/>
      <c r="N262" s="105"/>
      <c r="O262" s="36"/>
      <c r="P262" s="36"/>
      <c r="Q262" s="36"/>
      <c r="R262" s="105"/>
      <c r="S262" s="36"/>
      <c r="T262" s="36"/>
      <c r="U262" s="36"/>
      <c r="V262" s="105"/>
      <c r="W262" s="36"/>
      <c r="X262" s="36"/>
      <c r="Y262" s="36"/>
      <c r="Z262" s="105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42"/>
      <c r="AO262" s="42"/>
      <c r="AP262" s="36"/>
      <c r="AQ262" s="36"/>
      <c r="AR262" s="42"/>
      <c r="AS262" s="42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</row>
    <row r="263" spans="1:56" ht="15.75" x14ac:dyDescent="0.25">
      <c r="A263" s="44"/>
      <c r="B263" s="36"/>
      <c r="C263" s="36"/>
      <c r="D263" s="36"/>
      <c r="E263" s="36"/>
      <c r="F263" s="36"/>
      <c r="G263" s="36"/>
      <c r="H263" s="36"/>
      <c r="I263" s="36"/>
      <c r="J263" s="105"/>
      <c r="K263" s="36"/>
      <c r="L263" s="36"/>
      <c r="M263" s="36"/>
      <c r="N263" s="105"/>
      <c r="O263" s="36"/>
      <c r="P263" s="36"/>
      <c r="Q263" s="36"/>
      <c r="R263" s="105"/>
      <c r="S263" s="36"/>
      <c r="T263" s="36"/>
      <c r="U263" s="36"/>
      <c r="V263" s="105"/>
      <c r="W263" s="36"/>
      <c r="X263" s="36"/>
      <c r="Y263" s="36"/>
      <c r="Z263" s="105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42"/>
      <c r="AO263" s="42"/>
      <c r="AP263" s="36"/>
      <c r="AQ263" s="36"/>
      <c r="AR263" s="42"/>
      <c r="AS263" s="42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</row>
    <row r="264" spans="1:56" ht="15.75" x14ac:dyDescent="0.25">
      <c r="A264" s="44"/>
      <c r="B264" s="36"/>
      <c r="C264" s="36"/>
      <c r="D264" s="36"/>
      <c r="E264" s="36"/>
      <c r="F264" s="36"/>
      <c r="G264" s="36"/>
      <c r="H264" s="36"/>
      <c r="I264" s="36"/>
      <c r="J264" s="105"/>
      <c r="K264" s="36"/>
      <c r="L264" s="36"/>
      <c r="M264" s="36"/>
      <c r="N264" s="105"/>
      <c r="O264" s="36"/>
      <c r="P264" s="36"/>
      <c r="Q264" s="36"/>
      <c r="R264" s="105"/>
      <c r="S264" s="36"/>
      <c r="T264" s="36"/>
      <c r="U264" s="36"/>
      <c r="V264" s="105"/>
      <c r="W264" s="36"/>
      <c r="X264" s="36"/>
      <c r="Y264" s="36"/>
      <c r="Z264" s="105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42"/>
      <c r="AO264" s="42"/>
      <c r="AP264" s="36"/>
      <c r="AQ264" s="36"/>
      <c r="AR264" s="42"/>
      <c r="AS264" s="42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</row>
    <row r="265" spans="1:56" ht="15.75" x14ac:dyDescent="0.25">
      <c r="A265" s="44"/>
      <c r="B265" s="36"/>
      <c r="C265" s="36"/>
      <c r="D265" s="36"/>
      <c r="E265" s="36"/>
      <c r="F265" s="36"/>
      <c r="G265" s="36"/>
      <c r="H265" s="36"/>
      <c r="I265" s="36"/>
      <c r="J265" s="105"/>
      <c r="K265" s="36"/>
      <c r="L265" s="36"/>
      <c r="M265" s="36"/>
      <c r="N265" s="105"/>
      <c r="O265" s="36"/>
      <c r="P265" s="36"/>
      <c r="Q265" s="36"/>
      <c r="R265" s="105"/>
      <c r="S265" s="36"/>
      <c r="T265" s="36"/>
      <c r="U265" s="36"/>
      <c r="V265" s="105"/>
      <c r="W265" s="36"/>
      <c r="X265" s="36"/>
      <c r="Y265" s="36"/>
      <c r="Z265" s="105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42"/>
      <c r="AO265" s="42"/>
      <c r="AP265" s="36"/>
      <c r="AQ265" s="36"/>
      <c r="AR265" s="42"/>
      <c r="AS265" s="42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</row>
    <row r="266" spans="1:56" ht="15.75" x14ac:dyDescent="0.25">
      <c r="A266" s="44"/>
      <c r="B266" s="36"/>
      <c r="C266" s="36"/>
      <c r="D266" s="36"/>
      <c r="E266" s="36"/>
      <c r="F266" s="36"/>
      <c r="G266" s="36"/>
      <c r="H266" s="36"/>
      <c r="I266" s="36"/>
      <c r="J266" s="105"/>
      <c r="K266" s="36"/>
      <c r="L266" s="36"/>
      <c r="M266" s="36"/>
      <c r="N266" s="105"/>
      <c r="O266" s="36"/>
      <c r="P266" s="36"/>
      <c r="Q266" s="36"/>
      <c r="R266" s="105"/>
      <c r="S266" s="36"/>
      <c r="T266" s="36"/>
      <c r="U266" s="36"/>
      <c r="V266" s="105"/>
      <c r="W266" s="36"/>
      <c r="X266" s="36"/>
      <c r="Y266" s="36"/>
      <c r="Z266" s="105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42"/>
      <c r="AO266" s="42"/>
      <c r="AP266" s="36"/>
      <c r="AQ266" s="36"/>
      <c r="AR266" s="42"/>
      <c r="AS266" s="42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</row>
    <row r="267" spans="1:56" ht="15.75" x14ac:dyDescent="0.25">
      <c r="A267" s="44"/>
      <c r="B267" s="36"/>
      <c r="C267" s="36"/>
      <c r="D267" s="36"/>
      <c r="E267" s="36"/>
      <c r="F267" s="36"/>
      <c r="G267" s="36"/>
      <c r="H267" s="36"/>
      <c r="I267" s="36"/>
      <c r="J267" s="105"/>
      <c r="K267" s="36"/>
      <c r="L267" s="36"/>
      <c r="M267" s="36"/>
      <c r="N267" s="105"/>
      <c r="O267" s="36"/>
      <c r="P267" s="36"/>
      <c r="Q267" s="36"/>
      <c r="R267" s="105"/>
      <c r="S267" s="36"/>
      <c r="T267" s="36"/>
      <c r="U267" s="36"/>
      <c r="V267" s="105"/>
      <c r="W267" s="36"/>
      <c r="X267" s="36"/>
      <c r="Y267" s="36"/>
      <c r="Z267" s="105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42"/>
      <c r="AO267" s="42"/>
      <c r="AP267" s="36"/>
      <c r="AQ267" s="36"/>
      <c r="AR267" s="42"/>
      <c r="AS267" s="42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</row>
    <row r="268" spans="1:56" ht="15.75" x14ac:dyDescent="0.25">
      <c r="A268" s="44"/>
      <c r="B268" s="36"/>
      <c r="C268" s="36"/>
      <c r="D268" s="36"/>
      <c r="E268" s="36"/>
      <c r="F268" s="36"/>
      <c r="G268" s="36"/>
      <c r="H268" s="36"/>
      <c r="I268" s="36"/>
      <c r="J268" s="105"/>
      <c r="K268" s="36"/>
      <c r="L268" s="36"/>
      <c r="M268" s="36"/>
      <c r="N268" s="105"/>
      <c r="O268" s="36"/>
      <c r="P268" s="36"/>
      <c r="Q268" s="36"/>
      <c r="R268" s="105"/>
      <c r="S268" s="36"/>
      <c r="T268" s="36"/>
      <c r="U268" s="36"/>
      <c r="V268" s="105"/>
      <c r="W268" s="36"/>
      <c r="X268" s="36"/>
      <c r="Y268" s="36"/>
      <c r="Z268" s="105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42"/>
      <c r="AO268" s="42"/>
      <c r="AP268" s="36"/>
      <c r="AQ268" s="36"/>
      <c r="AR268" s="42"/>
      <c r="AS268" s="42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</row>
    <row r="269" spans="1:56" ht="15.75" x14ac:dyDescent="0.25">
      <c r="A269" s="44"/>
      <c r="B269" s="36"/>
      <c r="C269" s="36"/>
      <c r="D269" s="36"/>
      <c r="E269" s="36"/>
      <c r="F269" s="36"/>
      <c r="G269" s="36"/>
      <c r="H269" s="36"/>
      <c r="I269" s="36"/>
      <c r="J269" s="105"/>
      <c r="K269" s="36"/>
      <c r="L269" s="36"/>
      <c r="M269" s="36"/>
      <c r="N269" s="105"/>
      <c r="O269" s="36"/>
      <c r="P269" s="36"/>
      <c r="Q269" s="36"/>
      <c r="R269" s="105"/>
      <c r="S269" s="36"/>
      <c r="T269" s="36"/>
      <c r="U269" s="36"/>
      <c r="V269" s="105"/>
      <c r="W269" s="36"/>
      <c r="X269" s="36"/>
      <c r="Y269" s="36"/>
      <c r="Z269" s="105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42"/>
      <c r="AO269" s="42"/>
      <c r="AP269" s="36"/>
      <c r="AQ269" s="36"/>
      <c r="AR269" s="42"/>
      <c r="AS269" s="42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</row>
    <row r="270" spans="1:56" ht="15.75" x14ac:dyDescent="0.25">
      <c r="A270" s="44"/>
      <c r="B270" s="36"/>
      <c r="C270" s="36"/>
      <c r="D270" s="36"/>
      <c r="E270" s="36"/>
      <c r="F270" s="36"/>
      <c r="G270" s="36"/>
      <c r="H270" s="36"/>
      <c r="I270" s="36"/>
      <c r="J270" s="105"/>
      <c r="K270" s="36"/>
      <c r="L270" s="36"/>
      <c r="M270" s="36"/>
      <c r="N270" s="105"/>
      <c r="O270" s="36"/>
      <c r="P270" s="36"/>
      <c r="Q270" s="36"/>
      <c r="R270" s="105"/>
      <c r="S270" s="36"/>
      <c r="T270" s="36"/>
      <c r="U270" s="36"/>
      <c r="V270" s="105"/>
      <c r="W270" s="36"/>
      <c r="X270" s="36"/>
      <c r="Y270" s="36"/>
      <c r="Z270" s="105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42"/>
      <c r="AO270" s="42"/>
      <c r="AP270" s="36"/>
      <c r="AQ270" s="36"/>
      <c r="AR270" s="42"/>
      <c r="AS270" s="42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</row>
    <row r="271" spans="1:56" ht="15.75" x14ac:dyDescent="0.25">
      <c r="A271" s="44"/>
      <c r="B271" s="36"/>
      <c r="C271" s="36"/>
      <c r="D271" s="36"/>
      <c r="E271" s="36"/>
      <c r="F271" s="36"/>
      <c r="G271" s="36"/>
      <c r="H271" s="36"/>
      <c r="I271" s="36"/>
      <c r="J271" s="105"/>
      <c r="K271" s="36"/>
      <c r="L271" s="36"/>
      <c r="M271" s="36"/>
      <c r="N271" s="105"/>
      <c r="O271" s="36"/>
      <c r="P271" s="36"/>
      <c r="Q271" s="36"/>
      <c r="R271" s="105"/>
      <c r="S271" s="36"/>
      <c r="T271" s="36"/>
      <c r="U271" s="36"/>
      <c r="V271" s="105"/>
      <c r="W271" s="36"/>
      <c r="X271" s="36"/>
      <c r="Y271" s="36"/>
      <c r="Z271" s="105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42"/>
      <c r="AO271" s="42"/>
      <c r="AP271" s="36"/>
      <c r="AQ271" s="36"/>
      <c r="AR271" s="42"/>
      <c r="AS271" s="42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</row>
    <row r="272" spans="1:56" ht="15.75" x14ac:dyDescent="0.25">
      <c r="A272" s="44"/>
      <c r="B272" s="36"/>
      <c r="C272" s="36"/>
      <c r="D272" s="36"/>
      <c r="E272" s="36"/>
      <c r="F272" s="36"/>
      <c r="G272" s="36"/>
      <c r="H272" s="36"/>
      <c r="I272" s="36"/>
      <c r="J272" s="105"/>
      <c r="K272" s="36"/>
      <c r="L272" s="36"/>
      <c r="M272" s="36"/>
      <c r="N272" s="105"/>
      <c r="O272" s="36"/>
      <c r="P272" s="36"/>
      <c r="Q272" s="36"/>
      <c r="R272" s="105"/>
      <c r="S272" s="36"/>
      <c r="T272" s="36"/>
      <c r="U272" s="36"/>
      <c r="V272" s="105"/>
      <c r="W272" s="36"/>
      <c r="X272" s="36"/>
      <c r="Y272" s="36"/>
      <c r="Z272" s="105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42"/>
      <c r="AO272" s="42"/>
      <c r="AP272" s="36"/>
      <c r="AQ272" s="36"/>
      <c r="AR272" s="42"/>
      <c r="AS272" s="42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</row>
    <row r="273" spans="1:56" ht="15.75" x14ac:dyDescent="0.25">
      <c r="A273" s="44"/>
      <c r="B273" s="36"/>
      <c r="C273" s="36"/>
      <c r="D273" s="36"/>
      <c r="E273" s="36"/>
      <c r="F273" s="36"/>
      <c r="G273" s="36"/>
      <c r="H273" s="36"/>
      <c r="I273" s="36"/>
      <c r="J273" s="105"/>
      <c r="K273" s="36"/>
      <c r="L273" s="36"/>
      <c r="M273" s="36"/>
      <c r="N273" s="105"/>
      <c r="O273" s="36"/>
      <c r="P273" s="36"/>
      <c r="Q273" s="36"/>
      <c r="R273" s="105"/>
      <c r="S273" s="36"/>
      <c r="T273" s="36"/>
      <c r="U273" s="36"/>
      <c r="V273" s="105"/>
      <c r="W273" s="36"/>
      <c r="X273" s="36"/>
      <c r="Y273" s="36"/>
      <c r="Z273" s="105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42"/>
      <c r="AO273" s="42"/>
      <c r="AP273" s="36"/>
      <c r="AQ273" s="36"/>
      <c r="AR273" s="42"/>
      <c r="AS273" s="42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</row>
    <row r="274" spans="1:56" ht="15.75" x14ac:dyDescent="0.25">
      <c r="A274" s="44"/>
      <c r="B274" s="36"/>
      <c r="C274" s="36"/>
      <c r="D274" s="36"/>
      <c r="E274" s="36"/>
      <c r="F274" s="36"/>
      <c r="G274" s="36"/>
      <c r="H274" s="36"/>
      <c r="I274" s="36"/>
      <c r="J274" s="105"/>
      <c r="K274" s="36"/>
      <c r="L274" s="36"/>
      <c r="M274" s="36"/>
      <c r="N274" s="105"/>
      <c r="O274" s="36"/>
      <c r="P274" s="36"/>
      <c r="Q274" s="36"/>
      <c r="R274" s="105"/>
      <c r="S274" s="36"/>
      <c r="T274" s="36"/>
      <c r="U274" s="36"/>
      <c r="V274" s="105"/>
      <c r="W274" s="36"/>
      <c r="X274" s="36"/>
      <c r="Y274" s="36"/>
      <c r="Z274" s="105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42"/>
      <c r="AO274" s="42"/>
      <c r="AP274" s="36"/>
      <c r="AQ274" s="36"/>
      <c r="AR274" s="42"/>
      <c r="AS274" s="42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</row>
    <row r="275" spans="1:56" ht="15.75" x14ac:dyDescent="0.25">
      <c r="A275" s="44"/>
      <c r="B275" s="36"/>
      <c r="C275" s="36"/>
      <c r="D275" s="36"/>
      <c r="E275" s="36"/>
      <c r="F275" s="36"/>
      <c r="G275" s="36"/>
      <c r="H275" s="36"/>
      <c r="I275" s="36"/>
      <c r="J275" s="105"/>
      <c r="K275" s="36"/>
      <c r="L275" s="36"/>
      <c r="M275" s="36"/>
      <c r="N275" s="105"/>
      <c r="O275" s="36"/>
      <c r="P275" s="36"/>
      <c r="Q275" s="36"/>
      <c r="R275" s="105"/>
      <c r="S275" s="36"/>
      <c r="T275" s="36"/>
      <c r="U275" s="36"/>
      <c r="V275" s="105"/>
      <c r="W275" s="36"/>
      <c r="X275" s="36"/>
      <c r="Y275" s="36"/>
      <c r="Z275" s="105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42"/>
      <c r="AO275" s="42"/>
      <c r="AP275" s="36"/>
      <c r="AQ275" s="36"/>
      <c r="AR275" s="42"/>
      <c r="AS275" s="42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</row>
    <row r="276" spans="1:56" ht="15.75" x14ac:dyDescent="0.25">
      <c r="A276" s="44"/>
      <c r="B276" s="36"/>
      <c r="C276" s="36"/>
      <c r="D276" s="36"/>
      <c r="E276" s="36"/>
      <c r="F276" s="36"/>
      <c r="G276" s="36"/>
      <c r="H276" s="36"/>
      <c r="I276" s="36"/>
      <c r="J276" s="105"/>
      <c r="K276" s="36"/>
      <c r="L276" s="36"/>
      <c r="M276" s="36"/>
      <c r="N276" s="105"/>
      <c r="O276" s="36"/>
      <c r="P276" s="36"/>
      <c r="Q276" s="36"/>
      <c r="R276" s="105"/>
      <c r="S276" s="36"/>
      <c r="T276" s="36"/>
      <c r="U276" s="36"/>
      <c r="V276" s="105"/>
      <c r="W276" s="36"/>
      <c r="X276" s="36"/>
      <c r="Y276" s="36"/>
      <c r="Z276" s="105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42"/>
      <c r="AO276" s="42"/>
      <c r="AP276" s="36"/>
      <c r="AQ276" s="36"/>
      <c r="AR276" s="42"/>
      <c r="AS276" s="42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</row>
    <row r="277" spans="1:56" ht="15.75" x14ac:dyDescent="0.25">
      <c r="A277" s="44"/>
      <c r="B277" s="36"/>
      <c r="C277" s="36"/>
      <c r="D277" s="36"/>
      <c r="E277" s="36"/>
      <c r="F277" s="36"/>
      <c r="G277" s="36"/>
      <c r="H277" s="36"/>
      <c r="I277" s="36"/>
      <c r="J277" s="105"/>
      <c r="K277" s="36"/>
      <c r="L277" s="36"/>
      <c r="M277" s="36"/>
      <c r="N277" s="105"/>
      <c r="O277" s="36"/>
      <c r="P277" s="36"/>
      <c r="Q277" s="36"/>
      <c r="R277" s="105"/>
      <c r="S277" s="36"/>
      <c r="T277" s="36"/>
      <c r="U277" s="36"/>
      <c r="V277" s="105"/>
      <c r="W277" s="36"/>
      <c r="X277" s="36"/>
      <c r="Y277" s="36"/>
      <c r="Z277" s="105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42"/>
      <c r="AO277" s="42"/>
      <c r="AP277" s="36"/>
      <c r="AQ277" s="36"/>
      <c r="AR277" s="42"/>
      <c r="AS277" s="42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</row>
    <row r="278" spans="1:56" ht="15.75" x14ac:dyDescent="0.25">
      <c r="A278" s="44"/>
      <c r="B278" s="36"/>
      <c r="C278" s="36"/>
      <c r="D278" s="36"/>
      <c r="E278" s="36"/>
      <c r="F278" s="36"/>
      <c r="G278" s="36"/>
      <c r="H278" s="36"/>
      <c r="I278" s="36"/>
      <c r="J278" s="105"/>
      <c r="K278" s="36"/>
      <c r="L278" s="36"/>
      <c r="M278" s="36"/>
      <c r="N278" s="105"/>
      <c r="O278" s="36"/>
      <c r="P278" s="36"/>
      <c r="Q278" s="36"/>
      <c r="R278" s="105"/>
      <c r="S278" s="36"/>
      <c r="T278" s="36"/>
      <c r="U278" s="36"/>
      <c r="V278" s="105"/>
      <c r="W278" s="36"/>
      <c r="X278" s="36"/>
      <c r="Y278" s="36"/>
      <c r="Z278" s="105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42"/>
      <c r="AO278" s="42"/>
      <c r="AP278" s="36"/>
      <c r="AQ278" s="36"/>
      <c r="AR278" s="42"/>
      <c r="AS278" s="42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</row>
    <row r="279" spans="1:56" ht="15.75" x14ac:dyDescent="0.25">
      <c r="A279" s="44"/>
      <c r="B279" s="36"/>
      <c r="C279" s="36"/>
      <c r="D279" s="36"/>
      <c r="E279" s="36"/>
      <c r="F279" s="36"/>
      <c r="G279" s="36"/>
      <c r="H279" s="36"/>
      <c r="I279" s="36"/>
      <c r="J279" s="105"/>
      <c r="K279" s="36"/>
      <c r="L279" s="36"/>
      <c r="M279" s="36"/>
      <c r="N279" s="105"/>
      <c r="O279" s="36"/>
      <c r="P279" s="36"/>
      <c r="Q279" s="36"/>
      <c r="R279" s="105"/>
      <c r="S279" s="36"/>
      <c r="T279" s="36"/>
      <c r="U279" s="36"/>
      <c r="V279" s="105"/>
      <c r="W279" s="36"/>
      <c r="X279" s="36"/>
      <c r="Y279" s="36"/>
      <c r="Z279" s="105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42"/>
      <c r="AO279" s="42"/>
      <c r="AP279" s="36"/>
      <c r="AQ279" s="36"/>
      <c r="AR279" s="42"/>
      <c r="AS279" s="42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</row>
    <row r="280" spans="1:56" ht="15.75" x14ac:dyDescent="0.25">
      <c r="A280" s="44"/>
      <c r="B280" s="36"/>
      <c r="C280" s="36"/>
      <c r="D280" s="36"/>
      <c r="E280" s="36"/>
      <c r="F280" s="36"/>
      <c r="G280" s="36"/>
      <c r="H280" s="36"/>
      <c r="I280" s="36"/>
      <c r="J280" s="105"/>
      <c r="K280" s="36"/>
      <c r="L280" s="36"/>
      <c r="M280" s="36"/>
      <c r="N280" s="105"/>
      <c r="O280" s="36"/>
      <c r="P280" s="36"/>
      <c r="Q280" s="36"/>
      <c r="R280" s="105"/>
      <c r="S280" s="36"/>
      <c r="T280" s="36"/>
      <c r="U280" s="36"/>
      <c r="V280" s="105"/>
      <c r="W280" s="36"/>
      <c r="X280" s="36"/>
      <c r="Y280" s="36"/>
      <c r="Z280" s="105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42"/>
      <c r="AO280" s="42"/>
      <c r="AP280" s="36"/>
      <c r="AQ280" s="36"/>
      <c r="AR280" s="42"/>
      <c r="AS280" s="42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</row>
    <row r="281" spans="1:56" ht="15.75" x14ac:dyDescent="0.25">
      <c r="A281" s="44"/>
      <c r="B281" s="36"/>
      <c r="C281" s="36"/>
      <c r="D281" s="36"/>
      <c r="E281" s="36"/>
      <c r="F281" s="36"/>
      <c r="G281" s="36"/>
      <c r="H281" s="36"/>
      <c r="I281" s="36"/>
      <c r="J281" s="105"/>
      <c r="K281" s="36"/>
      <c r="L281" s="36"/>
      <c r="M281" s="36"/>
      <c r="N281" s="105"/>
      <c r="O281" s="36"/>
      <c r="P281" s="36"/>
      <c r="Q281" s="36"/>
      <c r="R281" s="105"/>
      <c r="S281" s="36"/>
      <c r="T281" s="36"/>
      <c r="U281" s="36"/>
      <c r="V281" s="105"/>
      <c r="W281" s="36"/>
      <c r="X281" s="36"/>
      <c r="Y281" s="36"/>
      <c r="Z281" s="105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42"/>
      <c r="AO281" s="42"/>
      <c r="AP281" s="36"/>
      <c r="AQ281" s="36"/>
      <c r="AR281" s="42"/>
      <c r="AS281" s="42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</row>
    <row r="282" spans="1:56" ht="15.75" x14ac:dyDescent="0.25">
      <c r="A282" s="44"/>
      <c r="B282" s="36"/>
      <c r="C282" s="36"/>
      <c r="D282" s="36"/>
      <c r="E282" s="36"/>
      <c r="F282" s="36"/>
      <c r="G282" s="36"/>
      <c r="H282" s="36"/>
      <c r="I282" s="36"/>
      <c r="J282" s="105"/>
      <c r="K282" s="36"/>
      <c r="L282" s="36"/>
      <c r="M282" s="36"/>
      <c r="N282" s="105"/>
      <c r="O282" s="36"/>
      <c r="P282" s="36"/>
      <c r="Q282" s="36"/>
      <c r="R282" s="105"/>
      <c r="S282" s="36"/>
      <c r="T282" s="36"/>
      <c r="U282" s="36"/>
      <c r="V282" s="105"/>
      <c r="W282" s="36"/>
      <c r="X282" s="36"/>
      <c r="Y282" s="36"/>
      <c r="Z282" s="105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42"/>
      <c r="AO282" s="42"/>
      <c r="AP282" s="36"/>
      <c r="AQ282" s="36"/>
      <c r="AR282" s="42"/>
      <c r="AS282" s="42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</row>
    <row r="283" spans="1:56" ht="15.75" x14ac:dyDescent="0.25">
      <c r="A283" s="44"/>
      <c r="B283" s="36"/>
      <c r="C283" s="36"/>
      <c r="D283" s="36"/>
      <c r="E283" s="36"/>
      <c r="F283" s="36"/>
      <c r="G283" s="36"/>
      <c r="H283" s="36"/>
      <c r="I283" s="36"/>
      <c r="J283" s="105"/>
      <c r="K283" s="36"/>
      <c r="L283" s="36"/>
      <c r="M283" s="36"/>
      <c r="N283" s="105"/>
      <c r="O283" s="36"/>
      <c r="P283" s="36"/>
      <c r="Q283" s="36"/>
      <c r="R283" s="105"/>
      <c r="S283" s="36"/>
      <c r="T283" s="36"/>
      <c r="U283" s="36"/>
      <c r="V283" s="105"/>
      <c r="W283" s="36"/>
      <c r="X283" s="36"/>
      <c r="Y283" s="36"/>
      <c r="Z283" s="105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42"/>
      <c r="AO283" s="42"/>
      <c r="AP283" s="36"/>
      <c r="AQ283" s="36"/>
      <c r="AR283" s="42"/>
      <c r="AS283" s="42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</row>
    <row r="284" spans="1:56" ht="15.75" x14ac:dyDescent="0.25">
      <c r="A284" s="44"/>
      <c r="B284" s="36"/>
      <c r="C284" s="36"/>
      <c r="D284" s="36"/>
      <c r="E284" s="36"/>
      <c r="F284" s="36"/>
      <c r="G284" s="36"/>
      <c r="H284" s="36"/>
      <c r="I284" s="36"/>
      <c r="J284" s="105"/>
      <c r="K284" s="36"/>
      <c r="L284" s="36"/>
      <c r="M284" s="36"/>
      <c r="N284" s="105"/>
      <c r="O284" s="36"/>
      <c r="P284" s="36"/>
      <c r="Q284" s="36"/>
      <c r="R284" s="105"/>
      <c r="S284" s="36"/>
      <c r="T284" s="36"/>
      <c r="U284" s="36"/>
      <c r="V284" s="105"/>
      <c r="W284" s="36"/>
      <c r="X284" s="36"/>
      <c r="Y284" s="36"/>
      <c r="Z284" s="105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42"/>
      <c r="AO284" s="42"/>
      <c r="AP284" s="36"/>
      <c r="AQ284" s="36"/>
      <c r="AR284" s="42"/>
      <c r="AS284" s="42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</row>
    <row r="285" spans="1:56" ht="15.75" x14ac:dyDescent="0.25">
      <c r="A285" s="44"/>
      <c r="B285" s="36"/>
      <c r="C285" s="36"/>
      <c r="D285" s="36"/>
      <c r="E285" s="36"/>
      <c r="F285" s="36"/>
      <c r="G285" s="36"/>
      <c r="H285" s="36"/>
      <c r="I285" s="36"/>
      <c r="J285" s="105"/>
      <c r="K285" s="36"/>
      <c r="L285" s="36"/>
      <c r="M285" s="36"/>
      <c r="N285" s="105"/>
      <c r="O285" s="36"/>
      <c r="P285" s="36"/>
      <c r="Q285" s="36"/>
      <c r="R285" s="105"/>
      <c r="S285" s="36"/>
      <c r="T285" s="36"/>
      <c r="U285" s="36"/>
      <c r="V285" s="105"/>
      <c r="W285" s="36"/>
      <c r="X285" s="36"/>
      <c r="Y285" s="36"/>
      <c r="Z285" s="105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42"/>
      <c r="AO285" s="42"/>
      <c r="AP285" s="36"/>
      <c r="AQ285" s="36"/>
      <c r="AR285" s="42"/>
      <c r="AS285" s="42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</row>
    <row r="286" spans="1:56" ht="15.75" x14ac:dyDescent="0.25">
      <c r="A286" s="44"/>
      <c r="B286" s="36"/>
      <c r="C286" s="36"/>
      <c r="D286" s="36"/>
      <c r="E286" s="36"/>
      <c r="F286" s="36"/>
      <c r="G286" s="36"/>
      <c r="H286" s="36"/>
      <c r="I286" s="36"/>
      <c r="J286" s="105"/>
      <c r="K286" s="36"/>
      <c r="L286" s="36"/>
      <c r="M286" s="36"/>
      <c r="N286" s="105"/>
      <c r="O286" s="36"/>
      <c r="P286" s="36"/>
      <c r="Q286" s="36"/>
      <c r="R286" s="105"/>
      <c r="S286" s="36"/>
      <c r="T286" s="36"/>
      <c r="U286" s="36"/>
      <c r="V286" s="105"/>
      <c r="W286" s="36"/>
      <c r="X286" s="36"/>
      <c r="Y286" s="36"/>
      <c r="Z286" s="105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42"/>
      <c r="AO286" s="42"/>
      <c r="AP286" s="36"/>
      <c r="AQ286" s="36"/>
      <c r="AR286" s="42"/>
      <c r="AS286" s="42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</row>
    <row r="287" spans="1:56" ht="15.75" x14ac:dyDescent="0.25">
      <c r="A287" s="44"/>
      <c r="B287" s="36"/>
      <c r="C287" s="36"/>
      <c r="D287" s="36"/>
      <c r="E287" s="36"/>
      <c r="F287" s="36"/>
      <c r="G287" s="36"/>
      <c r="H287" s="36"/>
      <c r="I287" s="36"/>
      <c r="J287" s="105"/>
      <c r="K287" s="36"/>
      <c r="L287" s="36"/>
      <c r="M287" s="36"/>
      <c r="N287" s="105"/>
      <c r="O287" s="36"/>
      <c r="P287" s="36"/>
      <c r="Q287" s="36"/>
      <c r="R287" s="105"/>
      <c r="S287" s="36"/>
      <c r="T287" s="36"/>
      <c r="U287" s="36"/>
      <c r="V287" s="105"/>
      <c r="W287" s="36"/>
      <c r="X287" s="36"/>
      <c r="Y287" s="36"/>
      <c r="Z287" s="105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42"/>
      <c r="AO287" s="42"/>
      <c r="AP287" s="36"/>
      <c r="AQ287" s="36"/>
      <c r="AR287" s="42"/>
      <c r="AS287" s="42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</row>
    <row r="288" spans="1:56" ht="15.75" x14ac:dyDescent="0.25">
      <c r="A288" s="44"/>
      <c r="B288" s="36"/>
      <c r="C288" s="36"/>
      <c r="D288" s="36"/>
      <c r="E288" s="36"/>
      <c r="F288" s="36"/>
      <c r="G288" s="36"/>
      <c r="H288" s="36"/>
      <c r="I288" s="36"/>
      <c r="J288" s="105"/>
      <c r="K288" s="36"/>
      <c r="L288" s="36"/>
      <c r="M288" s="36"/>
      <c r="N288" s="105"/>
      <c r="O288" s="36"/>
      <c r="P288" s="36"/>
      <c r="Q288" s="36"/>
      <c r="R288" s="105"/>
      <c r="S288" s="36"/>
      <c r="T288" s="36"/>
      <c r="U288" s="36"/>
      <c r="V288" s="105"/>
      <c r="W288" s="36"/>
      <c r="X288" s="36"/>
      <c r="Y288" s="36"/>
      <c r="Z288" s="105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42"/>
      <c r="AO288" s="42"/>
      <c r="AP288" s="36"/>
      <c r="AQ288" s="36"/>
      <c r="AR288" s="42"/>
      <c r="AS288" s="42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</row>
    <row r="289" spans="1:56" ht="15.75" x14ac:dyDescent="0.25">
      <c r="A289" s="44"/>
      <c r="B289" s="36"/>
      <c r="C289" s="36"/>
      <c r="D289" s="36"/>
      <c r="E289" s="36"/>
      <c r="F289" s="36"/>
      <c r="G289" s="36"/>
      <c r="H289" s="36"/>
      <c r="I289" s="36"/>
      <c r="J289" s="105"/>
      <c r="K289" s="36"/>
      <c r="L289" s="36"/>
      <c r="M289" s="36"/>
      <c r="N289" s="105"/>
      <c r="O289" s="36"/>
      <c r="P289" s="36"/>
      <c r="Q289" s="36"/>
      <c r="R289" s="105"/>
      <c r="S289" s="36"/>
      <c r="T289" s="36"/>
      <c r="U289" s="36"/>
      <c r="V289" s="105"/>
      <c r="W289" s="36"/>
      <c r="X289" s="36"/>
      <c r="Y289" s="36"/>
      <c r="Z289" s="105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42"/>
      <c r="AO289" s="42"/>
      <c r="AP289" s="36"/>
      <c r="AQ289" s="36"/>
      <c r="AR289" s="42"/>
      <c r="AS289" s="42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</row>
    <row r="290" spans="1:56" ht="15.75" x14ac:dyDescent="0.25">
      <c r="A290" s="44"/>
      <c r="B290" s="36"/>
      <c r="C290" s="36"/>
      <c r="D290" s="36"/>
      <c r="E290" s="36"/>
      <c r="F290" s="36"/>
      <c r="G290" s="36"/>
      <c r="H290" s="36"/>
      <c r="I290" s="36"/>
      <c r="J290" s="105"/>
      <c r="K290" s="36"/>
      <c r="L290" s="36"/>
      <c r="M290" s="36"/>
      <c r="N290" s="105"/>
      <c r="O290" s="36"/>
      <c r="P290" s="36"/>
      <c r="Q290" s="36"/>
      <c r="R290" s="105"/>
      <c r="S290" s="36"/>
      <c r="T290" s="36"/>
      <c r="U290" s="36"/>
      <c r="V290" s="105"/>
      <c r="W290" s="36"/>
      <c r="X290" s="36"/>
      <c r="Y290" s="36"/>
      <c r="Z290" s="105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42"/>
      <c r="AO290" s="42"/>
      <c r="AP290" s="36"/>
      <c r="AQ290" s="36"/>
      <c r="AR290" s="42"/>
      <c r="AS290" s="42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</row>
    <row r="291" spans="1:56" ht="15.75" x14ac:dyDescent="0.25">
      <c r="A291" s="44"/>
      <c r="B291" s="36"/>
      <c r="C291" s="36"/>
      <c r="D291" s="36"/>
      <c r="E291" s="36"/>
      <c r="F291" s="36"/>
      <c r="G291" s="36"/>
      <c r="H291" s="36"/>
      <c r="I291" s="36"/>
      <c r="J291" s="105"/>
      <c r="K291" s="36"/>
      <c r="L291" s="36"/>
      <c r="M291" s="36"/>
      <c r="N291" s="105"/>
      <c r="O291" s="36"/>
      <c r="P291" s="36"/>
      <c r="Q291" s="36"/>
      <c r="R291" s="105"/>
      <c r="S291" s="36"/>
      <c r="T291" s="36"/>
      <c r="U291" s="36"/>
      <c r="V291" s="105"/>
      <c r="W291" s="36"/>
      <c r="X291" s="36"/>
      <c r="Y291" s="36"/>
      <c r="Z291" s="105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42"/>
      <c r="AO291" s="42"/>
      <c r="AP291" s="36"/>
      <c r="AQ291" s="36"/>
      <c r="AR291" s="42"/>
      <c r="AS291" s="42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</row>
    <row r="292" spans="1:56" ht="15.75" x14ac:dyDescent="0.25">
      <c r="A292" s="44"/>
      <c r="B292" s="36"/>
      <c r="C292" s="36"/>
      <c r="D292" s="36"/>
      <c r="E292" s="36"/>
      <c r="F292" s="36"/>
      <c r="G292" s="36"/>
      <c r="H292" s="36"/>
      <c r="I292" s="36"/>
      <c r="J292" s="105"/>
      <c r="K292" s="36"/>
      <c r="L292" s="36"/>
      <c r="M292" s="36"/>
      <c r="N292" s="105"/>
      <c r="O292" s="36"/>
      <c r="P292" s="36"/>
      <c r="Q292" s="36"/>
      <c r="R292" s="105"/>
      <c r="S292" s="36"/>
      <c r="T292" s="36"/>
      <c r="U292" s="36"/>
      <c r="V292" s="105"/>
      <c r="W292" s="36"/>
      <c r="X292" s="36"/>
      <c r="Y292" s="36"/>
      <c r="Z292" s="105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42"/>
      <c r="AO292" s="42"/>
      <c r="AP292" s="36"/>
      <c r="AQ292" s="36"/>
      <c r="AR292" s="42"/>
      <c r="AS292" s="42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</row>
    <row r="293" spans="1:56" ht="15.75" x14ac:dyDescent="0.25">
      <c r="A293" s="44"/>
      <c r="B293" s="36"/>
      <c r="C293" s="36"/>
      <c r="D293" s="36"/>
      <c r="E293" s="36"/>
      <c r="F293" s="36"/>
      <c r="G293" s="36"/>
      <c r="H293" s="36"/>
      <c r="I293" s="36"/>
      <c r="J293" s="105"/>
      <c r="K293" s="36"/>
      <c r="L293" s="36"/>
      <c r="M293" s="36"/>
      <c r="N293" s="105"/>
      <c r="O293" s="36"/>
      <c r="P293" s="36"/>
      <c r="Q293" s="36"/>
      <c r="R293" s="105"/>
      <c r="S293" s="36"/>
      <c r="T293" s="36"/>
      <c r="U293" s="36"/>
      <c r="V293" s="105"/>
      <c r="W293" s="36"/>
      <c r="X293" s="36"/>
      <c r="Y293" s="36"/>
      <c r="Z293" s="105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42"/>
      <c r="AO293" s="42"/>
      <c r="AP293" s="36"/>
      <c r="AQ293" s="36"/>
      <c r="AR293" s="42"/>
      <c r="AS293" s="42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</row>
    <row r="294" spans="1:56" ht="15.75" x14ac:dyDescent="0.25">
      <c r="A294" s="44"/>
      <c r="B294" s="36"/>
      <c r="C294" s="36"/>
      <c r="D294" s="36"/>
      <c r="E294" s="36"/>
      <c r="F294" s="36"/>
      <c r="G294" s="36"/>
      <c r="H294" s="36"/>
      <c r="I294" s="36"/>
      <c r="J294" s="105"/>
      <c r="K294" s="36"/>
      <c r="L294" s="36"/>
      <c r="M294" s="36"/>
      <c r="N294" s="105"/>
      <c r="O294" s="36"/>
      <c r="P294" s="36"/>
      <c r="Q294" s="36"/>
      <c r="R294" s="105"/>
      <c r="S294" s="36"/>
      <c r="T294" s="36"/>
      <c r="U294" s="36"/>
      <c r="V294" s="105"/>
      <c r="W294" s="36"/>
      <c r="X294" s="36"/>
      <c r="Y294" s="36"/>
      <c r="Z294" s="105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42"/>
      <c r="AO294" s="42"/>
      <c r="AP294" s="36"/>
      <c r="AQ294" s="36"/>
      <c r="AR294" s="42"/>
      <c r="AS294" s="42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</row>
    <row r="295" spans="1:56" ht="15.75" x14ac:dyDescent="0.25">
      <c r="A295" s="44"/>
      <c r="B295" s="36"/>
      <c r="C295" s="36"/>
      <c r="D295" s="36"/>
      <c r="E295" s="36"/>
      <c r="F295" s="36"/>
      <c r="G295" s="36"/>
      <c r="H295" s="36"/>
      <c r="I295" s="36"/>
      <c r="J295" s="105"/>
      <c r="K295" s="36"/>
      <c r="L295" s="36"/>
      <c r="M295" s="36"/>
      <c r="N295" s="105"/>
      <c r="O295" s="36"/>
      <c r="P295" s="36"/>
      <c r="Q295" s="36"/>
      <c r="R295" s="105"/>
      <c r="S295" s="36"/>
      <c r="T295" s="36"/>
      <c r="U295" s="36"/>
      <c r="V295" s="105"/>
      <c r="W295" s="36"/>
      <c r="X295" s="36"/>
      <c r="Y295" s="36"/>
      <c r="Z295" s="105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42"/>
      <c r="AO295" s="42"/>
      <c r="AP295" s="36"/>
      <c r="AQ295" s="36"/>
      <c r="AR295" s="42"/>
      <c r="AS295" s="42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</row>
    <row r="296" spans="1:56" ht="15.75" x14ac:dyDescent="0.25">
      <c r="A296" s="44"/>
      <c r="B296" s="36"/>
      <c r="C296" s="36"/>
      <c r="D296" s="36"/>
      <c r="E296" s="36"/>
      <c r="F296" s="36"/>
      <c r="G296" s="36"/>
      <c r="H296" s="36"/>
      <c r="I296" s="36"/>
      <c r="J296" s="105"/>
      <c r="K296" s="36"/>
      <c r="L296" s="36"/>
      <c r="M296" s="36"/>
      <c r="N296" s="105"/>
      <c r="O296" s="36"/>
      <c r="P296" s="36"/>
      <c r="Q296" s="36"/>
      <c r="R296" s="105"/>
      <c r="S296" s="36"/>
      <c r="T296" s="36"/>
      <c r="U296" s="36"/>
      <c r="V296" s="105"/>
      <c r="W296" s="36"/>
      <c r="X296" s="36"/>
      <c r="Y296" s="36"/>
      <c r="Z296" s="105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42"/>
      <c r="AO296" s="42"/>
      <c r="AP296" s="36"/>
      <c r="AQ296" s="36"/>
      <c r="AR296" s="42"/>
      <c r="AS296" s="42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</row>
    <row r="297" spans="1:56" ht="15.75" x14ac:dyDescent="0.25">
      <c r="A297" s="44"/>
      <c r="B297" s="36"/>
      <c r="C297" s="36"/>
      <c r="D297" s="36"/>
      <c r="E297" s="36"/>
      <c r="F297" s="36"/>
      <c r="G297" s="36"/>
      <c r="H297" s="36"/>
      <c r="I297" s="36"/>
      <c r="J297" s="105"/>
      <c r="K297" s="36"/>
      <c r="L297" s="36"/>
      <c r="M297" s="36"/>
      <c r="N297" s="105"/>
      <c r="O297" s="36"/>
      <c r="P297" s="36"/>
      <c r="Q297" s="36"/>
      <c r="R297" s="105"/>
      <c r="S297" s="36"/>
      <c r="T297" s="36"/>
      <c r="U297" s="36"/>
      <c r="V297" s="105"/>
      <c r="W297" s="36"/>
      <c r="X297" s="36"/>
      <c r="Y297" s="36"/>
      <c r="Z297" s="105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42"/>
      <c r="AO297" s="42"/>
      <c r="AP297" s="36"/>
      <c r="AQ297" s="36"/>
      <c r="AR297" s="42"/>
      <c r="AS297" s="42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</row>
    <row r="298" spans="1:56" ht="15.75" x14ac:dyDescent="0.25">
      <c r="A298" s="44"/>
      <c r="B298" s="36"/>
      <c r="C298" s="36"/>
      <c r="D298" s="36"/>
      <c r="E298" s="36"/>
      <c r="F298" s="36"/>
      <c r="G298" s="36"/>
      <c r="H298" s="36"/>
      <c r="I298" s="36"/>
      <c r="J298" s="105"/>
      <c r="K298" s="36"/>
      <c r="L298" s="36"/>
      <c r="M298" s="36"/>
      <c r="N298" s="105"/>
      <c r="O298" s="36"/>
      <c r="P298" s="36"/>
      <c r="Q298" s="36"/>
      <c r="R298" s="105"/>
      <c r="S298" s="36"/>
      <c r="T298" s="36"/>
      <c r="U298" s="36"/>
      <c r="V298" s="105"/>
      <c r="W298" s="36"/>
      <c r="X298" s="36"/>
      <c r="Y298" s="36"/>
      <c r="Z298" s="105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42"/>
      <c r="AO298" s="42"/>
      <c r="AP298" s="36"/>
      <c r="AQ298" s="36"/>
      <c r="AR298" s="42"/>
      <c r="AS298" s="42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</row>
    <row r="299" spans="1:56" ht="15.75" x14ac:dyDescent="0.25">
      <c r="A299" s="44"/>
      <c r="B299" s="36"/>
      <c r="C299" s="36"/>
      <c r="D299" s="36"/>
      <c r="E299" s="36"/>
      <c r="F299" s="36"/>
      <c r="G299" s="36"/>
      <c r="H299" s="36"/>
      <c r="I299" s="36"/>
      <c r="J299" s="105"/>
      <c r="K299" s="36"/>
      <c r="L299" s="36"/>
      <c r="M299" s="36"/>
      <c r="N299" s="105"/>
      <c r="O299" s="36"/>
      <c r="P299" s="36"/>
      <c r="Q299" s="36"/>
      <c r="R299" s="105"/>
      <c r="S299" s="36"/>
      <c r="T299" s="36"/>
      <c r="U299" s="36"/>
      <c r="V299" s="105"/>
      <c r="W299" s="36"/>
      <c r="X299" s="36"/>
      <c r="Y299" s="36"/>
      <c r="Z299" s="105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42"/>
      <c r="AO299" s="42"/>
      <c r="AP299" s="36"/>
      <c r="AQ299" s="36"/>
      <c r="AR299" s="42"/>
      <c r="AS299" s="42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</row>
    <row r="300" spans="1:56" ht="15.75" x14ac:dyDescent="0.25">
      <c r="A300" s="44"/>
      <c r="B300" s="36"/>
      <c r="C300" s="36"/>
      <c r="D300" s="36"/>
      <c r="E300" s="36"/>
      <c r="F300" s="36"/>
      <c r="G300" s="36"/>
      <c r="H300" s="36"/>
      <c r="I300" s="36"/>
      <c r="J300" s="105"/>
      <c r="K300" s="36"/>
      <c r="L300" s="36"/>
      <c r="M300" s="36"/>
      <c r="N300" s="105"/>
      <c r="O300" s="36"/>
      <c r="P300" s="36"/>
      <c r="Q300" s="36"/>
      <c r="R300" s="105"/>
      <c r="S300" s="36"/>
      <c r="T300" s="36"/>
      <c r="U300" s="36"/>
      <c r="V300" s="105"/>
      <c r="W300" s="36"/>
      <c r="X300" s="36"/>
      <c r="Y300" s="36"/>
      <c r="Z300" s="105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42"/>
      <c r="AO300" s="42"/>
      <c r="AP300" s="36"/>
      <c r="AQ300" s="36"/>
      <c r="AR300" s="42"/>
      <c r="AS300" s="42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</row>
    <row r="301" spans="1:56" ht="15.75" x14ac:dyDescent="0.25">
      <c r="A301" s="44"/>
      <c r="B301" s="36"/>
      <c r="C301" s="36"/>
      <c r="D301" s="36"/>
      <c r="E301" s="36"/>
      <c r="F301" s="36"/>
      <c r="G301" s="36"/>
      <c r="H301" s="36"/>
      <c r="I301" s="36"/>
      <c r="J301" s="105"/>
      <c r="K301" s="36"/>
      <c r="L301" s="36"/>
      <c r="M301" s="36"/>
      <c r="N301" s="105"/>
      <c r="O301" s="36"/>
      <c r="P301" s="36"/>
      <c r="Q301" s="36"/>
      <c r="R301" s="105"/>
      <c r="S301" s="36"/>
      <c r="T301" s="36"/>
      <c r="U301" s="36"/>
      <c r="V301" s="105"/>
      <c r="W301" s="36"/>
      <c r="X301" s="36"/>
      <c r="Y301" s="36"/>
      <c r="Z301" s="105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42"/>
      <c r="AO301" s="42"/>
      <c r="AP301" s="36"/>
      <c r="AQ301" s="36"/>
      <c r="AR301" s="42"/>
      <c r="AS301" s="42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</row>
    <row r="302" spans="1:56" ht="15.75" x14ac:dyDescent="0.25">
      <c r="A302" s="44"/>
      <c r="B302" s="36"/>
      <c r="C302" s="36"/>
      <c r="D302" s="36"/>
      <c r="E302" s="36"/>
      <c r="F302" s="36"/>
      <c r="G302" s="36"/>
      <c r="H302" s="36"/>
      <c r="I302" s="36"/>
      <c r="J302" s="105"/>
      <c r="K302" s="36"/>
      <c r="L302" s="36"/>
      <c r="M302" s="36"/>
      <c r="N302" s="105"/>
      <c r="O302" s="36"/>
      <c r="P302" s="36"/>
      <c r="Q302" s="36"/>
      <c r="R302" s="105"/>
      <c r="S302" s="36"/>
      <c r="T302" s="36"/>
      <c r="U302" s="36"/>
      <c r="V302" s="105"/>
      <c r="W302" s="36"/>
      <c r="X302" s="36"/>
      <c r="Y302" s="36"/>
      <c r="Z302" s="105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42"/>
      <c r="AO302" s="42"/>
      <c r="AP302" s="36"/>
      <c r="AQ302" s="36"/>
      <c r="AR302" s="42"/>
      <c r="AS302" s="42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</row>
    <row r="303" spans="1:56" ht="15.75" x14ac:dyDescent="0.25">
      <c r="A303" s="44"/>
      <c r="B303" s="36"/>
      <c r="C303" s="36"/>
      <c r="D303" s="36"/>
      <c r="E303" s="36"/>
      <c r="F303" s="36"/>
      <c r="G303" s="36"/>
      <c r="H303" s="36"/>
      <c r="I303" s="36"/>
      <c r="J303" s="105"/>
      <c r="K303" s="36"/>
      <c r="L303" s="36"/>
      <c r="M303" s="36"/>
      <c r="N303" s="105"/>
      <c r="O303" s="36"/>
      <c r="P303" s="36"/>
      <c r="Q303" s="36"/>
      <c r="R303" s="105"/>
      <c r="S303" s="36"/>
      <c r="T303" s="36"/>
      <c r="U303" s="36"/>
      <c r="V303" s="105"/>
      <c r="W303" s="36"/>
      <c r="X303" s="36"/>
      <c r="Y303" s="36"/>
      <c r="Z303" s="105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42"/>
      <c r="AO303" s="42"/>
      <c r="AP303" s="36"/>
      <c r="AQ303" s="36"/>
      <c r="AR303" s="42"/>
      <c r="AS303" s="42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</row>
    <row r="304" spans="1:56" ht="15.75" x14ac:dyDescent="0.25">
      <c r="A304" s="44"/>
      <c r="B304" s="36"/>
      <c r="C304" s="36"/>
      <c r="D304" s="36"/>
      <c r="E304" s="36"/>
      <c r="F304" s="36"/>
      <c r="G304" s="36"/>
      <c r="H304" s="36"/>
      <c r="I304" s="36"/>
      <c r="J304" s="105"/>
      <c r="K304" s="36"/>
      <c r="L304" s="36"/>
      <c r="M304" s="36"/>
      <c r="N304" s="105"/>
      <c r="O304" s="36"/>
      <c r="P304" s="36"/>
      <c r="Q304" s="36"/>
      <c r="R304" s="105"/>
      <c r="S304" s="36"/>
      <c r="T304" s="36"/>
      <c r="U304" s="36"/>
      <c r="V304" s="105"/>
      <c r="W304" s="36"/>
      <c r="X304" s="36"/>
      <c r="Y304" s="36"/>
      <c r="Z304" s="105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42"/>
      <c r="AO304" s="42"/>
      <c r="AP304" s="36"/>
      <c r="AQ304" s="36"/>
      <c r="AR304" s="42"/>
      <c r="AS304" s="42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</row>
    <row r="305" spans="1:56" ht="15.75" x14ac:dyDescent="0.25">
      <c r="A305" s="44"/>
      <c r="B305" s="36"/>
      <c r="C305" s="36"/>
      <c r="D305" s="36"/>
      <c r="E305" s="36"/>
      <c r="F305" s="36"/>
      <c r="G305" s="36"/>
      <c r="H305" s="36"/>
      <c r="I305" s="36"/>
      <c r="J305" s="105"/>
      <c r="K305" s="36"/>
      <c r="L305" s="36"/>
      <c r="M305" s="36"/>
      <c r="N305" s="105"/>
      <c r="O305" s="36"/>
      <c r="P305" s="36"/>
      <c r="Q305" s="36"/>
      <c r="R305" s="105"/>
      <c r="S305" s="36"/>
      <c r="T305" s="36"/>
      <c r="U305" s="36"/>
      <c r="V305" s="105"/>
      <c r="W305" s="36"/>
      <c r="X305" s="36"/>
      <c r="Y305" s="36"/>
      <c r="Z305" s="105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42"/>
      <c r="AO305" s="42"/>
      <c r="AP305" s="36"/>
      <c r="AQ305" s="36"/>
      <c r="AR305" s="42"/>
      <c r="AS305" s="42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</row>
    <row r="306" spans="1:56" ht="15.75" x14ac:dyDescent="0.25">
      <c r="A306" s="44"/>
      <c r="B306" s="36"/>
      <c r="C306" s="36"/>
      <c r="D306" s="36"/>
      <c r="E306" s="36"/>
      <c r="F306" s="36"/>
      <c r="G306" s="36"/>
      <c r="H306" s="36"/>
      <c r="I306" s="36"/>
      <c r="J306" s="105"/>
      <c r="K306" s="36"/>
      <c r="L306" s="36"/>
      <c r="M306" s="36"/>
      <c r="N306" s="105"/>
      <c r="O306" s="36"/>
      <c r="P306" s="36"/>
      <c r="Q306" s="36"/>
      <c r="R306" s="105"/>
      <c r="S306" s="36"/>
      <c r="T306" s="36"/>
      <c r="U306" s="36"/>
      <c r="V306" s="105"/>
      <c r="W306" s="36"/>
      <c r="X306" s="36"/>
      <c r="Y306" s="36"/>
      <c r="Z306" s="105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42"/>
      <c r="AO306" s="42"/>
      <c r="AP306" s="36"/>
      <c r="AQ306" s="36"/>
      <c r="AR306" s="42"/>
      <c r="AS306" s="42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</row>
    <row r="307" spans="1:56" ht="15.75" x14ac:dyDescent="0.25">
      <c r="A307" s="44"/>
      <c r="B307" s="36"/>
      <c r="C307" s="36"/>
      <c r="D307" s="36"/>
      <c r="E307" s="36"/>
      <c r="F307" s="36"/>
      <c r="G307" s="36"/>
      <c r="H307" s="36"/>
      <c r="I307" s="36"/>
      <c r="J307" s="105"/>
      <c r="K307" s="36"/>
      <c r="L307" s="36"/>
      <c r="M307" s="36"/>
      <c r="N307" s="105"/>
      <c r="O307" s="36"/>
      <c r="P307" s="36"/>
      <c r="Q307" s="36"/>
      <c r="R307" s="105"/>
      <c r="S307" s="36"/>
      <c r="T307" s="36"/>
      <c r="U307" s="36"/>
      <c r="V307" s="105"/>
      <c r="W307" s="36"/>
      <c r="X307" s="36"/>
      <c r="Y307" s="36"/>
      <c r="Z307" s="105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42"/>
      <c r="AO307" s="42"/>
      <c r="AP307" s="36"/>
      <c r="AQ307" s="36"/>
      <c r="AR307" s="42"/>
      <c r="AS307" s="42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</row>
    <row r="308" spans="1:56" ht="15.75" x14ac:dyDescent="0.25">
      <c r="A308" s="44"/>
      <c r="B308" s="36"/>
      <c r="C308" s="36"/>
      <c r="D308" s="36"/>
      <c r="E308" s="36"/>
      <c r="F308" s="36"/>
      <c r="G308" s="36"/>
      <c r="H308" s="36"/>
      <c r="I308" s="36"/>
      <c r="J308" s="105"/>
      <c r="K308" s="36"/>
      <c r="L308" s="36"/>
      <c r="M308" s="36"/>
      <c r="N308" s="105"/>
      <c r="O308" s="36"/>
      <c r="P308" s="36"/>
      <c r="Q308" s="36"/>
      <c r="R308" s="105"/>
      <c r="S308" s="36"/>
      <c r="T308" s="36"/>
      <c r="U308" s="36"/>
      <c r="V308" s="105"/>
      <c r="W308" s="36"/>
      <c r="X308" s="36"/>
      <c r="Y308" s="36"/>
      <c r="Z308" s="105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42"/>
      <c r="AO308" s="42"/>
      <c r="AP308" s="36"/>
      <c r="AQ308" s="36"/>
      <c r="AR308" s="42"/>
      <c r="AS308" s="42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</row>
    <row r="309" spans="1:56" ht="15.75" x14ac:dyDescent="0.25">
      <c r="A309" s="44"/>
      <c r="B309" s="36"/>
      <c r="C309" s="36"/>
      <c r="D309" s="36"/>
      <c r="E309" s="36"/>
      <c r="F309" s="36"/>
      <c r="G309" s="36"/>
      <c r="H309" s="36"/>
      <c r="I309" s="36"/>
      <c r="J309" s="105"/>
      <c r="K309" s="36"/>
      <c r="L309" s="36"/>
      <c r="M309" s="36"/>
      <c r="N309" s="105"/>
      <c r="O309" s="36"/>
      <c r="P309" s="36"/>
      <c r="Q309" s="36"/>
      <c r="R309" s="105"/>
      <c r="S309" s="36"/>
      <c r="T309" s="36"/>
      <c r="U309" s="36"/>
      <c r="V309" s="105"/>
      <c r="W309" s="36"/>
      <c r="X309" s="36"/>
      <c r="Y309" s="36"/>
      <c r="Z309" s="105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42"/>
      <c r="AO309" s="42"/>
      <c r="AP309" s="36"/>
      <c r="AQ309" s="36"/>
      <c r="AR309" s="42"/>
      <c r="AS309" s="42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</row>
    <row r="310" spans="1:56" ht="15.75" x14ac:dyDescent="0.25">
      <c r="A310" s="44"/>
      <c r="B310" s="36"/>
      <c r="C310" s="36"/>
      <c r="D310" s="36"/>
      <c r="E310" s="36"/>
      <c r="F310" s="36"/>
      <c r="G310" s="36"/>
      <c r="H310" s="36"/>
      <c r="I310" s="36"/>
      <c r="J310" s="105"/>
      <c r="K310" s="36"/>
      <c r="L310" s="36"/>
      <c r="M310" s="36"/>
      <c r="N310" s="105"/>
      <c r="O310" s="36"/>
      <c r="P310" s="36"/>
      <c r="Q310" s="36"/>
      <c r="R310" s="105"/>
      <c r="S310" s="36"/>
      <c r="T310" s="36"/>
      <c r="U310" s="36"/>
      <c r="V310" s="105"/>
      <c r="W310" s="36"/>
      <c r="X310" s="36"/>
      <c r="Y310" s="36"/>
      <c r="Z310" s="105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42"/>
      <c r="AO310" s="42"/>
      <c r="AP310" s="36"/>
      <c r="AQ310" s="36"/>
      <c r="AR310" s="42"/>
      <c r="AS310" s="42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</row>
    <row r="311" spans="1:56" ht="15.75" x14ac:dyDescent="0.25">
      <c r="A311" s="44"/>
      <c r="B311" s="36"/>
      <c r="C311" s="36"/>
      <c r="D311" s="36"/>
      <c r="E311" s="36"/>
      <c r="F311" s="36"/>
      <c r="G311" s="36"/>
      <c r="H311" s="36"/>
      <c r="I311" s="36"/>
      <c r="J311" s="105"/>
      <c r="K311" s="36"/>
      <c r="L311" s="36"/>
      <c r="M311" s="36"/>
      <c r="N311" s="105"/>
      <c r="O311" s="36"/>
      <c r="P311" s="36"/>
      <c r="Q311" s="36"/>
      <c r="R311" s="105"/>
      <c r="S311" s="36"/>
      <c r="T311" s="36"/>
      <c r="U311" s="36"/>
      <c r="V311" s="105"/>
      <c r="W311" s="36"/>
      <c r="X311" s="36"/>
      <c r="Y311" s="36"/>
      <c r="Z311" s="105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42"/>
      <c r="AO311" s="42"/>
      <c r="AP311" s="36"/>
      <c r="AQ311" s="36"/>
      <c r="AR311" s="42"/>
      <c r="AS311" s="42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</row>
    <row r="312" spans="1:56" ht="15.75" x14ac:dyDescent="0.25">
      <c r="A312" s="44"/>
      <c r="B312" s="36"/>
      <c r="C312" s="36"/>
      <c r="D312" s="36"/>
      <c r="E312" s="36"/>
      <c r="F312" s="36"/>
      <c r="G312" s="36"/>
      <c r="H312" s="36"/>
      <c r="I312" s="36"/>
      <c r="J312" s="105"/>
      <c r="K312" s="36"/>
      <c r="L312" s="36"/>
      <c r="M312" s="36"/>
      <c r="N312" s="105"/>
      <c r="O312" s="36"/>
      <c r="P312" s="36"/>
      <c r="Q312" s="36"/>
      <c r="R312" s="105"/>
      <c r="S312" s="36"/>
      <c r="T312" s="36"/>
      <c r="U312" s="36"/>
      <c r="V312" s="105"/>
      <c r="W312" s="36"/>
      <c r="X312" s="36"/>
      <c r="Y312" s="36"/>
      <c r="Z312" s="105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42"/>
      <c r="AO312" s="42"/>
      <c r="AP312" s="36"/>
      <c r="AQ312" s="36"/>
      <c r="AR312" s="42"/>
      <c r="AS312" s="42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</row>
    <row r="313" spans="1:56" ht="15.75" x14ac:dyDescent="0.25">
      <c r="A313" s="44"/>
      <c r="B313" s="36"/>
      <c r="C313" s="36"/>
      <c r="D313" s="36"/>
      <c r="E313" s="36"/>
      <c r="F313" s="36"/>
      <c r="G313" s="36"/>
      <c r="H313" s="36"/>
      <c r="I313" s="36"/>
      <c r="J313" s="105"/>
      <c r="K313" s="36"/>
      <c r="L313" s="36"/>
      <c r="M313" s="36"/>
      <c r="N313" s="105"/>
      <c r="O313" s="36"/>
      <c r="P313" s="36"/>
      <c r="Q313" s="36"/>
      <c r="R313" s="105"/>
      <c r="S313" s="36"/>
      <c r="T313" s="36"/>
      <c r="U313" s="36"/>
      <c r="V313" s="105"/>
      <c r="W313" s="36"/>
      <c r="X313" s="36"/>
      <c r="Y313" s="36"/>
      <c r="Z313" s="105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42"/>
      <c r="AO313" s="42"/>
      <c r="AP313" s="36"/>
      <c r="AQ313" s="36"/>
      <c r="AR313" s="42"/>
      <c r="AS313" s="42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</row>
    <row r="314" spans="1:56" ht="15.75" x14ac:dyDescent="0.25">
      <c r="A314" s="44"/>
      <c r="B314" s="36"/>
      <c r="C314" s="36"/>
      <c r="D314" s="36"/>
      <c r="E314" s="36"/>
      <c r="F314" s="36"/>
      <c r="G314" s="36"/>
      <c r="H314" s="36"/>
      <c r="I314" s="36"/>
      <c r="J314" s="105"/>
      <c r="K314" s="36"/>
      <c r="L314" s="36"/>
      <c r="M314" s="36"/>
      <c r="N314" s="105"/>
      <c r="O314" s="36"/>
      <c r="P314" s="36"/>
      <c r="Q314" s="36"/>
      <c r="R314" s="105"/>
      <c r="S314" s="36"/>
      <c r="T314" s="36"/>
      <c r="U314" s="36"/>
      <c r="V314" s="105"/>
      <c r="W314" s="36"/>
      <c r="X314" s="36"/>
      <c r="Y314" s="36"/>
      <c r="Z314" s="105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42"/>
      <c r="AO314" s="42"/>
      <c r="AP314" s="36"/>
      <c r="AQ314" s="36"/>
      <c r="AR314" s="42"/>
      <c r="AS314" s="42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</row>
    <row r="315" spans="1:56" ht="15.75" x14ac:dyDescent="0.25">
      <c r="A315" s="44"/>
      <c r="B315" s="36"/>
      <c r="C315" s="36"/>
      <c r="D315" s="36"/>
      <c r="E315" s="36"/>
      <c r="F315" s="36"/>
      <c r="G315" s="36"/>
      <c r="H315" s="36"/>
      <c r="I315" s="36"/>
      <c r="J315" s="105"/>
      <c r="K315" s="36"/>
      <c r="L315" s="36"/>
      <c r="M315" s="36"/>
      <c r="N315" s="105"/>
      <c r="O315" s="36"/>
      <c r="P315" s="36"/>
      <c r="Q315" s="36"/>
      <c r="R315" s="105"/>
      <c r="S315" s="36"/>
      <c r="T315" s="36"/>
      <c r="U315" s="36"/>
      <c r="V315" s="105"/>
      <c r="W315" s="36"/>
      <c r="X315" s="36"/>
      <c r="Y315" s="36"/>
      <c r="Z315" s="105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42"/>
      <c r="AO315" s="42"/>
      <c r="AP315" s="36"/>
      <c r="AQ315" s="36"/>
      <c r="AR315" s="42"/>
      <c r="AS315" s="42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</row>
    <row r="316" spans="1:56" ht="15.75" x14ac:dyDescent="0.25">
      <c r="A316" s="44"/>
      <c r="B316" s="36"/>
      <c r="C316" s="36"/>
      <c r="D316" s="36"/>
      <c r="E316" s="36"/>
      <c r="F316" s="36"/>
      <c r="G316" s="36"/>
      <c r="H316" s="36"/>
      <c r="I316" s="36"/>
      <c r="J316" s="105"/>
      <c r="K316" s="36"/>
      <c r="L316" s="36"/>
      <c r="M316" s="36"/>
      <c r="N316" s="105"/>
      <c r="O316" s="36"/>
      <c r="P316" s="36"/>
      <c r="Q316" s="36"/>
      <c r="R316" s="105"/>
      <c r="S316" s="36"/>
      <c r="T316" s="36"/>
      <c r="U316" s="36"/>
      <c r="V316" s="105"/>
      <c r="W316" s="36"/>
      <c r="X316" s="36"/>
      <c r="Y316" s="36"/>
      <c r="Z316" s="105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42"/>
      <c r="AO316" s="42"/>
      <c r="AP316" s="36"/>
      <c r="AQ316" s="36"/>
      <c r="AR316" s="42"/>
      <c r="AS316" s="42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</row>
    <row r="317" spans="1:56" ht="15.75" x14ac:dyDescent="0.25">
      <c r="A317" s="44"/>
      <c r="B317" s="36"/>
      <c r="C317" s="36"/>
      <c r="D317" s="36"/>
      <c r="E317" s="36"/>
      <c r="F317" s="36"/>
      <c r="G317" s="36"/>
      <c r="H317" s="36"/>
      <c r="I317" s="36"/>
      <c r="J317" s="105"/>
      <c r="K317" s="36"/>
      <c r="L317" s="36"/>
      <c r="M317" s="36"/>
      <c r="N317" s="105"/>
      <c r="O317" s="36"/>
      <c r="P317" s="36"/>
      <c r="Q317" s="36"/>
      <c r="R317" s="105"/>
      <c r="S317" s="36"/>
      <c r="T317" s="36"/>
      <c r="U317" s="36"/>
      <c r="V317" s="105"/>
      <c r="W317" s="36"/>
      <c r="X317" s="36"/>
      <c r="Y317" s="36"/>
      <c r="Z317" s="105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42"/>
      <c r="AO317" s="42"/>
      <c r="AP317" s="36"/>
      <c r="AQ317" s="36"/>
      <c r="AR317" s="42"/>
      <c r="AS317" s="42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</row>
    <row r="318" spans="1:56" ht="15.75" x14ac:dyDescent="0.25">
      <c r="A318" s="44"/>
      <c r="B318" s="36"/>
      <c r="C318" s="36"/>
      <c r="D318" s="36"/>
      <c r="E318" s="36"/>
      <c r="F318" s="36"/>
      <c r="G318" s="36"/>
      <c r="H318" s="36"/>
      <c r="I318" s="36"/>
      <c r="J318" s="105"/>
      <c r="K318" s="36"/>
      <c r="L318" s="36"/>
      <c r="M318" s="36"/>
      <c r="N318" s="105"/>
      <c r="O318" s="36"/>
      <c r="P318" s="36"/>
      <c r="Q318" s="36"/>
      <c r="R318" s="105"/>
      <c r="S318" s="36"/>
      <c r="T318" s="36"/>
      <c r="U318" s="36"/>
      <c r="V318" s="105"/>
      <c r="W318" s="36"/>
      <c r="X318" s="36"/>
      <c r="Y318" s="36"/>
      <c r="Z318" s="105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42"/>
      <c r="AO318" s="42"/>
      <c r="AP318" s="36"/>
      <c r="AQ318" s="36"/>
      <c r="AR318" s="42"/>
      <c r="AS318" s="42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</row>
    <row r="319" spans="1:56" ht="15.75" x14ac:dyDescent="0.25">
      <c r="A319" s="44"/>
      <c r="B319" s="36"/>
      <c r="C319" s="36"/>
      <c r="D319" s="36"/>
      <c r="E319" s="36"/>
      <c r="F319" s="36"/>
      <c r="G319" s="36"/>
      <c r="H319" s="36"/>
      <c r="I319" s="36"/>
      <c r="J319" s="105"/>
      <c r="K319" s="36"/>
      <c r="L319" s="36"/>
      <c r="M319" s="36"/>
      <c r="N319" s="105"/>
      <c r="O319" s="36"/>
      <c r="P319" s="36"/>
      <c r="Q319" s="36"/>
      <c r="R319" s="105"/>
      <c r="S319" s="36"/>
      <c r="T319" s="36"/>
      <c r="U319" s="36"/>
      <c r="V319" s="105"/>
      <c r="W319" s="36"/>
      <c r="X319" s="36"/>
      <c r="Y319" s="36"/>
      <c r="Z319" s="105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42"/>
      <c r="AO319" s="42"/>
      <c r="AP319" s="36"/>
      <c r="AQ319" s="36"/>
      <c r="AR319" s="42"/>
      <c r="AS319" s="42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</row>
    <row r="320" spans="1:56" ht="15.75" x14ac:dyDescent="0.25">
      <c r="A320" s="44"/>
      <c r="B320" s="36"/>
      <c r="C320" s="36"/>
      <c r="D320" s="36"/>
      <c r="E320" s="36"/>
      <c r="F320" s="36"/>
      <c r="G320" s="36"/>
      <c r="H320" s="36"/>
      <c r="I320" s="36"/>
      <c r="J320" s="105"/>
      <c r="K320" s="36"/>
      <c r="L320" s="36"/>
      <c r="M320" s="36"/>
      <c r="N320" s="105"/>
      <c r="O320" s="36"/>
      <c r="P320" s="36"/>
      <c r="Q320" s="36"/>
      <c r="R320" s="105"/>
      <c r="S320" s="36"/>
      <c r="T320" s="36"/>
      <c r="U320" s="36"/>
      <c r="V320" s="105"/>
      <c r="W320" s="36"/>
      <c r="X320" s="36"/>
      <c r="Y320" s="36"/>
      <c r="Z320" s="105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42"/>
      <c r="AO320" s="42"/>
      <c r="AP320" s="36"/>
      <c r="AQ320" s="36"/>
      <c r="AR320" s="42"/>
      <c r="AS320" s="42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</row>
    <row r="321" spans="1:56" ht="15.75" x14ac:dyDescent="0.25">
      <c r="A321" s="44"/>
      <c r="B321" s="36"/>
      <c r="C321" s="36"/>
      <c r="D321" s="36"/>
      <c r="E321" s="36"/>
      <c r="F321" s="36"/>
      <c r="G321" s="36"/>
      <c r="H321" s="36"/>
      <c r="I321" s="36"/>
      <c r="J321" s="105"/>
      <c r="K321" s="36"/>
      <c r="L321" s="36"/>
      <c r="M321" s="36"/>
      <c r="N321" s="105"/>
      <c r="O321" s="36"/>
      <c r="P321" s="36"/>
      <c r="Q321" s="36"/>
      <c r="R321" s="105"/>
      <c r="S321" s="36"/>
      <c r="T321" s="36"/>
      <c r="U321" s="36"/>
      <c r="V321" s="105"/>
      <c r="W321" s="36"/>
      <c r="X321" s="36"/>
      <c r="Y321" s="36"/>
      <c r="Z321" s="105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42"/>
      <c r="AO321" s="42"/>
      <c r="AP321" s="36"/>
      <c r="AQ321" s="36"/>
      <c r="AR321" s="42"/>
      <c r="AS321" s="42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</row>
    <row r="322" spans="1:56" ht="15.75" x14ac:dyDescent="0.25">
      <c r="A322" s="44"/>
      <c r="B322" s="36"/>
      <c r="C322" s="36"/>
      <c r="D322" s="36"/>
      <c r="E322" s="36"/>
      <c r="F322" s="36"/>
      <c r="G322" s="36"/>
      <c r="H322" s="36"/>
      <c r="I322" s="36"/>
      <c r="J322" s="105"/>
      <c r="K322" s="36"/>
      <c r="L322" s="36"/>
      <c r="M322" s="36"/>
      <c r="N322" s="105"/>
      <c r="O322" s="36"/>
      <c r="P322" s="36"/>
      <c r="Q322" s="36"/>
      <c r="R322" s="105"/>
      <c r="S322" s="36"/>
      <c r="T322" s="36"/>
      <c r="U322" s="36"/>
      <c r="V322" s="105"/>
      <c r="W322" s="36"/>
      <c r="X322" s="36"/>
      <c r="Y322" s="36"/>
      <c r="Z322" s="105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42"/>
      <c r="AO322" s="42"/>
      <c r="AP322" s="36"/>
      <c r="AQ322" s="36"/>
      <c r="AR322" s="42"/>
      <c r="AS322" s="42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</row>
    <row r="323" spans="1:56" ht="15.75" x14ac:dyDescent="0.25">
      <c r="A323" s="44"/>
      <c r="B323" s="36"/>
      <c r="C323" s="36"/>
      <c r="D323" s="36"/>
      <c r="E323" s="36"/>
      <c r="F323" s="36"/>
      <c r="G323" s="36"/>
      <c r="H323" s="36"/>
      <c r="I323" s="36"/>
      <c r="J323" s="105"/>
      <c r="K323" s="36"/>
      <c r="L323" s="36"/>
      <c r="M323" s="36"/>
      <c r="N323" s="105"/>
      <c r="O323" s="36"/>
      <c r="P323" s="36"/>
      <c r="Q323" s="36"/>
      <c r="R323" s="105"/>
      <c r="S323" s="36"/>
      <c r="T323" s="36"/>
      <c r="U323" s="36"/>
      <c r="V323" s="105"/>
      <c r="W323" s="36"/>
      <c r="X323" s="36"/>
      <c r="Y323" s="36"/>
      <c r="Z323" s="105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42"/>
      <c r="AO323" s="42"/>
      <c r="AP323" s="36"/>
      <c r="AQ323" s="36"/>
      <c r="AR323" s="42"/>
      <c r="AS323" s="42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</row>
    <row r="324" spans="1:56" ht="15.75" x14ac:dyDescent="0.25">
      <c r="A324" s="44"/>
      <c r="B324" s="36"/>
      <c r="C324" s="36"/>
      <c r="D324" s="36"/>
      <c r="E324" s="36"/>
      <c r="F324" s="36"/>
      <c r="G324" s="36"/>
      <c r="H324" s="36"/>
      <c r="I324" s="36"/>
      <c r="J324" s="105"/>
      <c r="K324" s="36"/>
      <c r="L324" s="36"/>
      <c r="M324" s="36"/>
      <c r="N324" s="105"/>
      <c r="O324" s="36"/>
      <c r="P324" s="36"/>
      <c r="Q324" s="36"/>
      <c r="R324" s="105"/>
      <c r="S324" s="36"/>
      <c r="T324" s="36"/>
      <c r="U324" s="36"/>
      <c r="V324" s="105"/>
      <c r="W324" s="36"/>
      <c r="X324" s="36"/>
      <c r="Y324" s="36"/>
      <c r="Z324" s="105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42"/>
      <c r="AO324" s="42"/>
      <c r="AP324" s="36"/>
      <c r="AQ324" s="36"/>
      <c r="AR324" s="42"/>
      <c r="AS324" s="42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</row>
    <row r="325" spans="1:56" ht="15.75" x14ac:dyDescent="0.25">
      <c r="A325" s="44"/>
      <c r="B325" s="36"/>
      <c r="C325" s="36"/>
      <c r="D325" s="36"/>
      <c r="E325" s="36"/>
      <c r="F325" s="36"/>
      <c r="G325" s="36"/>
      <c r="H325" s="36"/>
      <c r="I325" s="36"/>
      <c r="J325" s="105"/>
      <c r="K325" s="36"/>
      <c r="L325" s="36"/>
      <c r="M325" s="36"/>
      <c r="N325" s="105"/>
      <c r="O325" s="36"/>
      <c r="P325" s="36"/>
      <c r="Q325" s="36"/>
      <c r="R325" s="105"/>
      <c r="S325" s="36"/>
      <c r="T325" s="36"/>
      <c r="U325" s="36"/>
      <c r="V325" s="105"/>
      <c r="W325" s="36"/>
      <c r="X325" s="36"/>
      <c r="Y325" s="36"/>
      <c r="Z325" s="105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42"/>
      <c r="AO325" s="42"/>
      <c r="AP325" s="36"/>
      <c r="AQ325" s="36"/>
      <c r="AR325" s="42"/>
      <c r="AS325" s="42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</row>
    <row r="326" spans="1:56" ht="15.75" x14ac:dyDescent="0.25">
      <c r="A326" s="44"/>
      <c r="B326" s="36"/>
      <c r="C326" s="36"/>
      <c r="D326" s="36"/>
      <c r="E326" s="36"/>
      <c r="F326" s="36"/>
      <c r="G326" s="36"/>
      <c r="H326" s="36"/>
      <c r="I326" s="36"/>
      <c r="J326" s="105"/>
      <c r="K326" s="36"/>
      <c r="L326" s="36"/>
      <c r="M326" s="36"/>
      <c r="N326" s="105"/>
      <c r="O326" s="36"/>
      <c r="P326" s="36"/>
      <c r="Q326" s="36"/>
      <c r="R326" s="105"/>
      <c r="S326" s="36"/>
      <c r="T326" s="36"/>
      <c r="U326" s="36"/>
      <c r="V326" s="105"/>
      <c r="W326" s="36"/>
      <c r="X326" s="36"/>
      <c r="Y326" s="36"/>
      <c r="Z326" s="105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42"/>
      <c r="AO326" s="42"/>
      <c r="AP326" s="36"/>
      <c r="AQ326" s="36"/>
      <c r="AR326" s="42"/>
      <c r="AS326" s="42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</row>
    <row r="327" spans="1:56" ht="15.75" x14ac:dyDescent="0.25">
      <c r="A327" s="44"/>
      <c r="B327" s="36"/>
      <c r="C327" s="36"/>
      <c r="D327" s="36"/>
      <c r="E327" s="36"/>
      <c r="F327" s="36"/>
      <c r="G327" s="36"/>
      <c r="H327" s="36"/>
      <c r="I327" s="36"/>
      <c r="J327" s="105"/>
      <c r="K327" s="36"/>
      <c r="L327" s="36"/>
      <c r="M327" s="36"/>
      <c r="N327" s="105"/>
      <c r="O327" s="36"/>
      <c r="P327" s="36"/>
      <c r="Q327" s="36"/>
      <c r="R327" s="105"/>
      <c r="S327" s="36"/>
      <c r="T327" s="36"/>
      <c r="U327" s="36"/>
      <c r="V327" s="105"/>
      <c r="W327" s="36"/>
      <c r="X327" s="36"/>
      <c r="Y327" s="36"/>
      <c r="Z327" s="105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42"/>
      <c r="AO327" s="42"/>
      <c r="AP327" s="36"/>
      <c r="AQ327" s="36"/>
      <c r="AR327" s="42"/>
      <c r="AS327" s="42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</row>
    <row r="328" spans="1:56" ht="15.75" x14ac:dyDescent="0.25">
      <c r="A328" s="44"/>
      <c r="B328" s="36"/>
      <c r="C328" s="36"/>
      <c r="D328" s="36"/>
      <c r="E328" s="36"/>
      <c r="F328" s="36"/>
      <c r="G328" s="36"/>
      <c r="H328" s="36"/>
      <c r="I328" s="36"/>
      <c r="J328" s="105"/>
      <c r="K328" s="36"/>
      <c r="L328" s="36"/>
      <c r="M328" s="36"/>
      <c r="N328" s="105"/>
      <c r="O328" s="36"/>
      <c r="P328" s="36"/>
      <c r="Q328" s="36"/>
      <c r="R328" s="105"/>
      <c r="S328" s="36"/>
      <c r="T328" s="36"/>
      <c r="U328" s="36"/>
      <c r="V328" s="105"/>
      <c r="W328" s="36"/>
      <c r="X328" s="36"/>
      <c r="Y328" s="36"/>
      <c r="Z328" s="105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42"/>
      <c r="AO328" s="42"/>
      <c r="AP328" s="36"/>
      <c r="AQ328" s="36"/>
      <c r="AR328" s="42"/>
      <c r="AS328" s="42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</row>
    <row r="329" spans="1:56" ht="15.75" x14ac:dyDescent="0.25">
      <c r="A329" s="44"/>
      <c r="B329" s="36"/>
      <c r="C329" s="36"/>
      <c r="D329" s="36"/>
      <c r="E329" s="36"/>
      <c r="F329" s="36"/>
      <c r="G329" s="36"/>
      <c r="H329" s="36"/>
      <c r="I329" s="36"/>
      <c r="J329" s="105"/>
      <c r="K329" s="36"/>
      <c r="L329" s="36"/>
      <c r="M329" s="36"/>
      <c r="N329" s="105"/>
      <c r="O329" s="36"/>
      <c r="P329" s="36"/>
      <c r="Q329" s="36"/>
      <c r="R329" s="105"/>
      <c r="S329" s="36"/>
      <c r="T329" s="36"/>
      <c r="U329" s="36"/>
      <c r="V329" s="105"/>
      <c r="W329" s="36"/>
      <c r="X329" s="36"/>
      <c r="Y329" s="36"/>
      <c r="Z329" s="105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42"/>
      <c r="AO329" s="42"/>
      <c r="AP329" s="36"/>
      <c r="AQ329" s="36"/>
      <c r="AR329" s="42"/>
      <c r="AS329" s="42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</row>
    <row r="330" spans="1:56" ht="15.75" x14ac:dyDescent="0.25">
      <c r="A330" s="44"/>
      <c r="B330" s="36"/>
      <c r="C330" s="36"/>
      <c r="D330" s="36"/>
      <c r="E330" s="36"/>
      <c r="F330" s="36"/>
      <c r="G330" s="36"/>
      <c r="H330" s="36"/>
      <c r="I330" s="36"/>
      <c r="J330" s="105"/>
      <c r="K330" s="36"/>
      <c r="L330" s="36"/>
      <c r="M330" s="36"/>
      <c r="N330" s="105"/>
      <c r="O330" s="36"/>
      <c r="P330" s="36"/>
      <c r="Q330" s="36"/>
      <c r="R330" s="105"/>
      <c r="S330" s="36"/>
      <c r="T330" s="36"/>
      <c r="U330" s="36"/>
      <c r="V330" s="105"/>
      <c r="W330" s="36"/>
      <c r="X330" s="36"/>
      <c r="Y330" s="36"/>
      <c r="Z330" s="105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42"/>
      <c r="AO330" s="42"/>
      <c r="AP330" s="36"/>
      <c r="AQ330" s="36"/>
      <c r="AR330" s="42"/>
      <c r="AS330" s="42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</row>
    <row r="331" spans="1:56" ht="15.75" x14ac:dyDescent="0.25">
      <c r="A331" s="44"/>
      <c r="B331" s="36"/>
      <c r="C331" s="36"/>
      <c r="D331" s="36"/>
      <c r="E331" s="36"/>
      <c r="F331" s="36"/>
      <c r="G331" s="36"/>
      <c r="H331" s="36"/>
      <c r="I331" s="36"/>
      <c r="J331" s="105"/>
      <c r="K331" s="36"/>
      <c r="L331" s="36"/>
      <c r="M331" s="36"/>
      <c r="N331" s="105"/>
      <c r="O331" s="36"/>
      <c r="P331" s="36"/>
      <c r="Q331" s="36"/>
      <c r="R331" s="105"/>
      <c r="S331" s="36"/>
      <c r="T331" s="36"/>
      <c r="U331" s="36"/>
      <c r="V331" s="105"/>
      <c r="W331" s="36"/>
      <c r="X331" s="36"/>
      <c r="Y331" s="36"/>
      <c r="Z331" s="105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42"/>
      <c r="AO331" s="42"/>
      <c r="AP331" s="36"/>
      <c r="AQ331" s="36"/>
      <c r="AR331" s="42"/>
      <c r="AS331" s="42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</row>
    <row r="332" spans="1:56" ht="15.75" x14ac:dyDescent="0.25">
      <c r="A332" s="44"/>
      <c r="B332" s="36"/>
      <c r="C332" s="36"/>
      <c r="D332" s="36"/>
      <c r="E332" s="36"/>
      <c r="F332" s="36"/>
      <c r="G332" s="36"/>
      <c r="H332" s="36"/>
      <c r="I332" s="36"/>
      <c r="J332" s="105"/>
      <c r="K332" s="36"/>
      <c r="L332" s="36"/>
      <c r="M332" s="36"/>
      <c r="N332" s="105"/>
      <c r="O332" s="36"/>
      <c r="P332" s="36"/>
      <c r="Q332" s="36"/>
      <c r="R332" s="105"/>
      <c r="S332" s="36"/>
      <c r="T332" s="36"/>
      <c r="U332" s="36"/>
      <c r="V332" s="105"/>
      <c r="W332" s="36"/>
      <c r="X332" s="36"/>
      <c r="Y332" s="36"/>
      <c r="Z332" s="105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42"/>
      <c r="AO332" s="42"/>
      <c r="AP332" s="36"/>
      <c r="AQ332" s="36"/>
      <c r="AR332" s="42"/>
      <c r="AS332" s="42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</row>
    <row r="333" spans="1:56" ht="15.75" x14ac:dyDescent="0.25">
      <c r="A333" s="44"/>
      <c r="B333" s="36"/>
      <c r="C333" s="36"/>
      <c r="D333" s="36"/>
      <c r="E333" s="36"/>
      <c r="F333" s="36"/>
      <c r="G333" s="36"/>
      <c r="H333" s="36"/>
      <c r="I333" s="36"/>
      <c r="J333" s="105"/>
      <c r="K333" s="36"/>
      <c r="L333" s="36"/>
      <c r="M333" s="36"/>
      <c r="N333" s="105"/>
      <c r="O333" s="36"/>
      <c r="P333" s="36"/>
      <c r="Q333" s="36"/>
      <c r="R333" s="105"/>
      <c r="S333" s="36"/>
      <c r="T333" s="36"/>
      <c r="U333" s="36"/>
      <c r="V333" s="105"/>
      <c r="W333" s="36"/>
      <c r="X333" s="36"/>
      <c r="Y333" s="36"/>
      <c r="Z333" s="105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42"/>
      <c r="AO333" s="42"/>
      <c r="AP333" s="36"/>
      <c r="AQ333" s="36"/>
      <c r="AR333" s="42"/>
      <c r="AS333" s="42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</row>
    <row r="334" spans="1:56" ht="15.75" x14ac:dyDescent="0.25">
      <c r="A334" s="44"/>
      <c r="B334" s="36"/>
      <c r="C334" s="36"/>
      <c r="D334" s="36"/>
      <c r="E334" s="36"/>
      <c r="F334" s="36"/>
      <c r="G334" s="36"/>
      <c r="H334" s="36"/>
      <c r="I334" s="36"/>
      <c r="J334" s="105"/>
      <c r="K334" s="36"/>
      <c r="L334" s="36"/>
      <c r="M334" s="36"/>
      <c r="N334" s="105"/>
      <c r="O334" s="36"/>
      <c r="P334" s="36"/>
      <c r="Q334" s="36"/>
      <c r="R334" s="105"/>
      <c r="S334" s="36"/>
      <c r="T334" s="36"/>
      <c r="U334" s="36"/>
      <c r="V334" s="105"/>
      <c r="W334" s="36"/>
      <c r="X334" s="36"/>
      <c r="Y334" s="36"/>
      <c r="Z334" s="105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42"/>
      <c r="AO334" s="42"/>
      <c r="AP334" s="36"/>
      <c r="AQ334" s="36"/>
      <c r="AR334" s="42"/>
      <c r="AS334" s="42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</row>
    <row r="335" spans="1:56" ht="15.75" x14ac:dyDescent="0.25">
      <c r="A335" s="44"/>
      <c r="B335" s="36"/>
      <c r="C335" s="36"/>
      <c r="D335" s="36"/>
      <c r="E335" s="36"/>
      <c r="F335" s="36"/>
      <c r="G335" s="36"/>
      <c r="H335" s="36"/>
      <c r="I335" s="36"/>
      <c r="J335" s="105"/>
      <c r="K335" s="36"/>
      <c r="L335" s="36"/>
      <c r="M335" s="36"/>
      <c r="N335" s="105"/>
      <c r="O335" s="36"/>
      <c r="P335" s="36"/>
      <c r="Q335" s="36"/>
      <c r="R335" s="105"/>
      <c r="S335" s="36"/>
      <c r="T335" s="36"/>
      <c r="U335" s="36"/>
      <c r="V335" s="105"/>
      <c r="W335" s="36"/>
      <c r="X335" s="36"/>
      <c r="Y335" s="36"/>
      <c r="Z335" s="105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42"/>
      <c r="AO335" s="42"/>
      <c r="AP335" s="36"/>
      <c r="AQ335" s="36"/>
      <c r="AR335" s="42"/>
      <c r="AS335" s="42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</row>
    <row r="336" spans="1:56" ht="15.75" x14ac:dyDescent="0.25">
      <c r="A336" s="44"/>
      <c r="B336" s="36"/>
      <c r="C336" s="36"/>
      <c r="D336" s="36"/>
      <c r="E336" s="36"/>
      <c r="F336" s="36"/>
      <c r="G336" s="36"/>
      <c r="H336" s="36"/>
      <c r="I336" s="36"/>
      <c r="J336" s="105"/>
      <c r="K336" s="36"/>
      <c r="L336" s="36"/>
      <c r="M336" s="36"/>
      <c r="N336" s="105"/>
      <c r="O336" s="36"/>
      <c r="P336" s="36"/>
      <c r="Q336" s="36"/>
      <c r="R336" s="105"/>
      <c r="S336" s="36"/>
      <c r="T336" s="36"/>
      <c r="U336" s="36"/>
      <c r="V336" s="105"/>
      <c r="W336" s="36"/>
      <c r="X336" s="36"/>
      <c r="Y336" s="36"/>
      <c r="Z336" s="105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42"/>
      <c r="AO336" s="42"/>
      <c r="AP336" s="36"/>
      <c r="AQ336" s="36"/>
      <c r="AR336" s="42"/>
      <c r="AS336" s="42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</row>
    <row r="337" spans="1:56" ht="15.75" x14ac:dyDescent="0.25">
      <c r="A337" s="44"/>
      <c r="B337" s="36"/>
      <c r="C337" s="36"/>
      <c r="D337" s="36"/>
      <c r="E337" s="36"/>
      <c r="F337" s="36"/>
      <c r="G337" s="36"/>
      <c r="H337" s="36"/>
      <c r="I337" s="36"/>
      <c r="J337" s="105"/>
      <c r="K337" s="36"/>
      <c r="L337" s="36"/>
      <c r="M337" s="36"/>
      <c r="N337" s="105"/>
      <c r="O337" s="36"/>
      <c r="P337" s="36"/>
      <c r="Q337" s="36"/>
      <c r="R337" s="105"/>
      <c r="S337" s="36"/>
      <c r="T337" s="36"/>
      <c r="U337" s="36"/>
      <c r="V337" s="105"/>
      <c r="W337" s="36"/>
      <c r="X337" s="36"/>
      <c r="Y337" s="36"/>
      <c r="Z337" s="105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42"/>
      <c r="AO337" s="42"/>
      <c r="AP337" s="36"/>
      <c r="AQ337" s="36"/>
      <c r="AR337" s="42"/>
      <c r="AS337" s="42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</row>
    <row r="338" spans="1:56" ht="15.75" x14ac:dyDescent="0.25">
      <c r="A338" s="44"/>
      <c r="B338" s="36"/>
      <c r="C338" s="36"/>
      <c r="D338" s="36"/>
      <c r="E338" s="36"/>
      <c r="F338" s="36"/>
      <c r="G338" s="36"/>
      <c r="H338" s="36"/>
      <c r="I338" s="36"/>
      <c r="J338" s="105"/>
      <c r="K338" s="36"/>
      <c r="L338" s="36"/>
      <c r="M338" s="36"/>
      <c r="N338" s="105"/>
      <c r="O338" s="36"/>
      <c r="P338" s="36"/>
      <c r="Q338" s="36"/>
      <c r="R338" s="105"/>
      <c r="S338" s="36"/>
      <c r="T338" s="36"/>
      <c r="U338" s="36"/>
      <c r="V338" s="105"/>
      <c r="W338" s="36"/>
      <c r="X338" s="36"/>
      <c r="Y338" s="36"/>
      <c r="Z338" s="105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42"/>
      <c r="AO338" s="42"/>
      <c r="AP338" s="36"/>
      <c r="AQ338" s="36"/>
      <c r="AR338" s="42"/>
      <c r="AS338" s="42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</row>
    <row r="339" spans="1:56" ht="15.75" x14ac:dyDescent="0.25">
      <c r="A339" s="44"/>
      <c r="B339" s="36"/>
      <c r="C339" s="36"/>
      <c r="D339" s="36"/>
      <c r="E339" s="36"/>
      <c r="F339" s="36"/>
      <c r="G339" s="36"/>
      <c r="H339" s="36"/>
      <c r="I339" s="36"/>
      <c r="J339" s="105"/>
      <c r="K339" s="36"/>
      <c r="L339" s="36"/>
      <c r="M339" s="36"/>
      <c r="N339" s="105"/>
      <c r="O339" s="36"/>
      <c r="P339" s="36"/>
      <c r="Q339" s="36"/>
      <c r="R339" s="105"/>
      <c r="S339" s="36"/>
      <c r="T339" s="36"/>
      <c r="U339" s="36"/>
      <c r="V339" s="105"/>
      <c r="W339" s="36"/>
      <c r="X339" s="36"/>
      <c r="Y339" s="36"/>
      <c r="Z339" s="105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42"/>
      <c r="AO339" s="42"/>
      <c r="AP339" s="36"/>
      <c r="AQ339" s="36"/>
      <c r="AR339" s="42"/>
      <c r="AS339" s="42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</row>
    <row r="340" spans="1:56" ht="15.75" x14ac:dyDescent="0.25">
      <c r="A340" s="44"/>
      <c r="B340" s="36"/>
      <c r="C340" s="36"/>
      <c r="D340" s="36"/>
      <c r="E340" s="36"/>
      <c r="F340" s="36"/>
      <c r="G340" s="36"/>
      <c r="H340" s="36"/>
      <c r="I340" s="36"/>
      <c r="J340" s="105"/>
      <c r="K340" s="36"/>
      <c r="L340" s="36"/>
      <c r="M340" s="36"/>
      <c r="N340" s="105"/>
      <c r="O340" s="36"/>
      <c r="P340" s="36"/>
      <c r="Q340" s="36"/>
      <c r="R340" s="105"/>
      <c r="S340" s="36"/>
      <c r="T340" s="36"/>
      <c r="U340" s="36"/>
      <c r="V340" s="105"/>
      <c r="W340" s="36"/>
      <c r="X340" s="36"/>
      <c r="Y340" s="36"/>
      <c r="Z340" s="105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42"/>
      <c r="AO340" s="42"/>
      <c r="AP340" s="36"/>
      <c r="AQ340" s="36"/>
      <c r="AR340" s="42"/>
      <c r="AS340" s="42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</row>
    <row r="341" spans="1:56" ht="15.75" x14ac:dyDescent="0.25">
      <c r="A341" s="44"/>
      <c r="B341" s="36"/>
      <c r="C341" s="36"/>
      <c r="D341" s="36"/>
      <c r="E341" s="36"/>
      <c r="F341" s="36"/>
      <c r="G341" s="36"/>
      <c r="H341" s="36"/>
      <c r="I341" s="36"/>
      <c r="J341" s="105"/>
      <c r="K341" s="36"/>
      <c r="L341" s="36"/>
      <c r="M341" s="36"/>
      <c r="N341" s="105"/>
      <c r="O341" s="36"/>
      <c r="P341" s="36"/>
      <c r="Q341" s="36"/>
      <c r="R341" s="105"/>
      <c r="S341" s="36"/>
      <c r="T341" s="36"/>
      <c r="U341" s="36"/>
      <c r="V341" s="105"/>
      <c r="W341" s="36"/>
      <c r="X341" s="36"/>
      <c r="Y341" s="36"/>
      <c r="Z341" s="105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42"/>
      <c r="AO341" s="42"/>
      <c r="AP341" s="36"/>
      <c r="AQ341" s="36"/>
      <c r="AR341" s="42"/>
      <c r="AS341" s="42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</row>
    <row r="342" spans="1:56" ht="15.75" x14ac:dyDescent="0.25">
      <c r="A342" s="44"/>
      <c r="B342" s="36"/>
      <c r="C342" s="36"/>
      <c r="D342" s="36"/>
      <c r="E342" s="36"/>
      <c r="F342" s="36"/>
      <c r="G342" s="36"/>
      <c r="H342" s="36"/>
      <c r="I342" s="36"/>
      <c r="J342" s="105"/>
      <c r="K342" s="36"/>
      <c r="L342" s="36"/>
      <c r="M342" s="36"/>
      <c r="N342" s="105"/>
      <c r="O342" s="36"/>
      <c r="P342" s="36"/>
      <c r="Q342" s="36"/>
      <c r="R342" s="105"/>
      <c r="S342" s="36"/>
      <c r="T342" s="36"/>
      <c r="U342" s="36"/>
      <c r="V342" s="105"/>
      <c r="W342" s="36"/>
      <c r="X342" s="36"/>
      <c r="Y342" s="36"/>
      <c r="Z342" s="105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42"/>
      <c r="AO342" s="42"/>
      <c r="AP342" s="36"/>
      <c r="AQ342" s="36"/>
      <c r="AR342" s="42"/>
      <c r="AS342" s="42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</row>
    <row r="343" spans="1:56" ht="15.75" x14ac:dyDescent="0.25">
      <c r="A343" s="44"/>
      <c r="B343" s="36"/>
      <c r="C343" s="36"/>
      <c r="D343" s="36"/>
      <c r="E343" s="36"/>
      <c r="F343" s="36"/>
      <c r="G343" s="36"/>
      <c r="H343" s="36"/>
      <c r="I343" s="36"/>
      <c r="J343" s="105"/>
      <c r="K343" s="36"/>
      <c r="L343" s="36"/>
      <c r="M343" s="36"/>
      <c r="N343" s="105"/>
      <c r="O343" s="36"/>
      <c r="P343" s="36"/>
      <c r="Q343" s="36"/>
      <c r="R343" s="105"/>
      <c r="S343" s="36"/>
      <c r="T343" s="36"/>
      <c r="U343" s="36"/>
      <c r="V343" s="105"/>
      <c r="W343" s="36"/>
      <c r="X343" s="36"/>
      <c r="Y343" s="36"/>
      <c r="Z343" s="105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42"/>
      <c r="AO343" s="42"/>
      <c r="AP343" s="36"/>
      <c r="AQ343" s="36"/>
      <c r="AR343" s="42"/>
      <c r="AS343" s="42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</row>
    <row r="344" spans="1:56" ht="15.75" x14ac:dyDescent="0.25">
      <c r="A344" s="44"/>
      <c r="B344" s="36"/>
      <c r="C344" s="36"/>
      <c r="D344" s="36"/>
      <c r="E344" s="36"/>
      <c r="F344" s="36"/>
      <c r="G344" s="36"/>
      <c r="H344" s="36"/>
      <c r="I344" s="36"/>
      <c r="J344" s="105"/>
      <c r="K344" s="36"/>
      <c r="L344" s="36"/>
      <c r="M344" s="36"/>
      <c r="N344" s="105"/>
      <c r="O344" s="36"/>
      <c r="P344" s="36"/>
      <c r="Q344" s="36"/>
      <c r="R344" s="105"/>
      <c r="S344" s="36"/>
      <c r="T344" s="36"/>
      <c r="U344" s="36"/>
      <c r="V344" s="105"/>
      <c r="W344" s="36"/>
      <c r="X344" s="36"/>
      <c r="Y344" s="36"/>
      <c r="Z344" s="105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42"/>
      <c r="AO344" s="42"/>
      <c r="AP344" s="36"/>
      <c r="AQ344" s="36"/>
      <c r="AR344" s="42"/>
      <c r="AS344" s="42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</row>
    <row r="345" spans="1:56" ht="15.75" x14ac:dyDescent="0.25">
      <c r="A345" s="44"/>
      <c r="B345" s="36"/>
      <c r="C345" s="36"/>
      <c r="D345" s="36"/>
      <c r="E345" s="36"/>
      <c r="F345" s="36"/>
      <c r="G345" s="36"/>
      <c r="H345" s="36"/>
      <c r="I345" s="36"/>
      <c r="J345" s="105"/>
      <c r="K345" s="36"/>
      <c r="L345" s="36"/>
      <c r="M345" s="36"/>
      <c r="N345" s="105"/>
      <c r="O345" s="36"/>
      <c r="P345" s="36"/>
      <c r="Q345" s="36"/>
      <c r="R345" s="105"/>
      <c r="S345" s="36"/>
      <c r="T345" s="36"/>
      <c r="U345" s="36"/>
      <c r="V345" s="105"/>
      <c r="W345" s="36"/>
      <c r="X345" s="36"/>
      <c r="Y345" s="36"/>
      <c r="Z345" s="105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42"/>
      <c r="AO345" s="42"/>
      <c r="AP345" s="36"/>
      <c r="AQ345" s="36"/>
      <c r="AR345" s="42"/>
      <c r="AS345" s="42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</row>
    <row r="346" spans="1:56" ht="15.75" x14ac:dyDescent="0.25">
      <c r="A346" s="44"/>
      <c r="B346" s="36"/>
      <c r="C346" s="36"/>
      <c r="D346" s="36"/>
      <c r="E346" s="36"/>
      <c r="F346" s="36"/>
      <c r="G346" s="36"/>
      <c r="H346" s="36"/>
      <c r="I346" s="36"/>
      <c r="J346" s="105"/>
      <c r="K346" s="36"/>
      <c r="L346" s="36"/>
      <c r="M346" s="36"/>
      <c r="N346" s="105"/>
      <c r="O346" s="36"/>
      <c r="P346" s="36"/>
      <c r="Q346" s="36"/>
      <c r="R346" s="105"/>
      <c r="S346" s="36"/>
      <c r="T346" s="36"/>
      <c r="U346" s="36"/>
      <c r="V346" s="105"/>
      <c r="W346" s="36"/>
      <c r="X346" s="36"/>
      <c r="Y346" s="36"/>
      <c r="Z346" s="105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42"/>
      <c r="AO346" s="42"/>
      <c r="AP346" s="36"/>
      <c r="AQ346" s="36"/>
      <c r="AR346" s="42"/>
      <c r="AS346" s="42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</row>
    <row r="347" spans="1:56" ht="15.75" x14ac:dyDescent="0.25">
      <c r="A347" s="44"/>
      <c r="B347" s="36"/>
      <c r="C347" s="36"/>
      <c r="D347" s="36"/>
      <c r="E347" s="36"/>
      <c r="F347" s="36"/>
      <c r="G347" s="36"/>
      <c r="H347" s="36"/>
      <c r="I347" s="36"/>
      <c r="J347" s="105"/>
      <c r="K347" s="36"/>
      <c r="L347" s="36"/>
      <c r="M347" s="36"/>
      <c r="N347" s="105"/>
      <c r="O347" s="36"/>
      <c r="P347" s="36"/>
      <c r="Q347" s="36"/>
      <c r="R347" s="105"/>
      <c r="S347" s="36"/>
      <c r="T347" s="36"/>
      <c r="U347" s="36"/>
      <c r="V347" s="105"/>
      <c r="W347" s="36"/>
      <c r="X347" s="36"/>
      <c r="Y347" s="36"/>
      <c r="Z347" s="105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42"/>
      <c r="AO347" s="42"/>
      <c r="AP347" s="36"/>
      <c r="AQ347" s="36"/>
      <c r="AR347" s="42"/>
      <c r="AS347" s="42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</row>
    <row r="348" spans="1:56" ht="15.75" x14ac:dyDescent="0.25">
      <c r="A348" s="44"/>
      <c r="B348" s="36"/>
      <c r="C348" s="36"/>
      <c r="D348" s="36"/>
      <c r="E348" s="36"/>
      <c r="F348" s="36"/>
      <c r="G348" s="36"/>
      <c r="H348" s="36"/>
      <c r="I348" s="36"/>
      <c r="J348" s="105"/>
      <c r="K348" s="36"/>
      <c r="L348" s="36"/>
      <c r="M348" s="36"/>
      <c r="N348" s="105"/>
      <c r="O348" s="36"/>
      <c r="P348" s="36"/>
      <c r="Q348" s="36"/>
      <c r="R348" s="105"/>
      <c r="S348" s="36"/>
      <c r="T348" s="36"/>
      <c r="U348" s="36"/>
      <c r="V348" s="105"/>
      <c r="W348" s="36"/>
      <c r="X348" s="36"/>
      <c r="Y348" s="36"/>
      <c r="Z348" s="105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42"/>
      <c r="AO348" s="42"/>
      <c r="AP348" s="36"/>
      <c r="AQ348" s="36"/>
      <c r="AR348" s="42"/>
      <c r="AS348" s="42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</row>
    <row r="349" spans="1:56" ht="15.75" x14ac:dyDescent="0.25">
      <c r="A349" s="44"/>
      <c r="B349" s="36"/>
      <c r="C349" s="36"/>
      <c r="D349" s="36"/>
      <c r="E349" s="36"/>
      <c r="F349" s="36"/>
      <c r="G349" s="36"/>
      <c r="H349" s="36"/>
      <c r="I349" s="36"/>
      <c r="J349" s="105"/>
      <c r="K349" s="36"/>
      <c r="L349" s="36"/>
      <c r="M349" s="36"/>
      <c r="N349" s="105"/>
      <c r="O349" s="36"/>
      <c r="P349" s="36"/>
      <c r="Q349" s="36"/>
      <c r="R349" s="105"/>
      <c r="S349" s="36"/>
      <c r="T349" s="36"/>
      <c r="U349" s="36"/>
      <c r="V349" s="105"/>
      <c r="W349" s="36"/>
      <c r="X349" s="36"/>
      <c r="Y349" s="36"/>
      <c r="Z349" s="105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42"/>
      <c r="AO349" s="42"/>
      <c r="AP349" s="36"/>
      <c r="AQ349" s="36"/>
      <c r="AR349" s="42"/>
      <c r="AS349" s="42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</row>
    <row r="350" spans="1:56" ht="15.75" x14ac:dyDescent="0.25">
      <c r="A350" s="44"/>
      <c r="B350" s="36"/>
      <c r="C350" s="36"/>
      <c r="D350" s="36"/>
      <c r="E350" s="36"/>
      <c r="F350" s="36"/>
      <c r="G350" s="36"/>
      <c r="H350" s="36"/>
      <c r="I350" s="36"/>
      <c r="J350" s="105"/>
      <c r="K350" s="36"/>
      <c r="L350" s="36"/>
      <c r="M350" s="36"/>
      <c r="N350" s="105"/>
      <c r="O350" s="36"/>
      <c r="P350" s="36"/>
      <c r="Q350" s="36"/>
      <c r="R350" s="105"/>
      <c r="S350" s="36"/>
      <c r="T350" s="36"/>
      <c r="U350" s="36"/>
      <c r="V350" s="105"/>
      <c r="W350" s="36"/>
      <c r="X350" s="36"/>
      <c r="Y350" s="36"/>
      <c r="Z350" s="105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42"/>
      <c r="AO350" s="42"/>
      <c r="AP350" s="36"/>
      <c r="AQ350" s="36"/>
      <c r="AR350" s="42"/>
      <c r="AS350" s="42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</row>
    <row r="351" spans="1:56" ht="15.75" x14ac:dyDescent="0.25">
      <c r="A351" s="44"/>
      <c r="B351" s="36"/>
      <c r="C351" s="36"/>
      <c r="D351" s="36"/>
      <c r="E351" s="36"/>
      <c r="F351" s="36"/>
      <c r="G351" s="36"/>
      <c r="H351" s="36"/>
      <c r="I351" s="36"/>
      <c r="J351" s="105"/>
      <c r="K351" s="36"/>
      <c r="L351" s="36"/>
      <c r="M351" s="36"/>
      <c r="N351" s="105"/>
      <c r="O351" s="36"/>
      <c r="P351" s="36"/>
      <c r="Q351" s="36"/>
      <c r="R351" s="105"/>
      <c r="S351" s="36"/>
      <c r="T351" s="36"/>
      <c r="U351" s="36"/>
      <c r="V351" s="105"/>
      <c r="W351" s="36"/>
      <c r="X351" s="36"/>
      <c r="Y351" s="36"/>
      <c r="Z351" s="105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42"/>
      <c r="AO351" s="42"/>
      <c r="AP351" s="36"/>
      <c r="AQ351" s="36"/>
      <c r="AR351" s="42"/>
      <c r="AS351" s="42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</row>
    <row r="352" spans="1:56" ht="15.75" x14ac:dyDescent="0.25">
      <c r="A352" s="44"/>
      <c r="B352" s="36"/>
      <c r="C352" s="36"/>
      <c r="D352" s="36"/>
      <c r="E352" s="36"/>
      <c r="F352" s="36"/>
      <c r="G352" s="36"/>
      <c r="H352" s="36"/>
      <c r="I352" s="36"/>
      <c r="J352" s="105"/>
      <c r="K352" s="36"/>
      <c r="L352" s="36"/>
      <c r="M352" s="36"/>
      <c r="N352" s="105"/>
      <c r="O352" s="36"/>
      <c r="P352" s="36"/>
      <c r="Q352" s="36"/>
      <c r="R352" s="105"/>
      <c r="S352" s="36"/>
      <c r="T352" s="36"/>
      <c r="U352" s="36"/>
      <c r="V352" s="105"/>
      <c r="W352" s="36"/>
      <c r="X352" s="36"/>
      <c r="Y352" s="36"/>
      <c r="Z352" s="105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42"/>
      <c r="AO352" s="42"/>
      <c r="AP352" s="36"/>
      <c r="AQ352" s="36"/>
      <c r="AR352" s="42"/>
      <c r="AS352" s="42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</row>
    <row r="353" spans="1:56" ht="15.75" x14ac:dyDescent="0.25">
      <c r="A353" s="44"/>
      <c r="B353" s="36"/>
      <c r="C353" s="36"/>
      <c r="D353" s="36"/>
      <c r="E353" s="36"/>
      <c r="F353" s="36"/>
      <c r="G353" s="36"/>
      <c r="H353" s="36"/>
      <c r="I353" s="36"/>
      <c r="J353" s="105"/>
      <c r="K353" s="36"/>
      <c r="L353" s="36"/>
      <c r="M353" s="36"/>
      <c r="N353" s="105"/>
      <c r="O353" s="36"/>
      <c r="P353" s="36"/>
      <c r="Q353" s="36"/>
      <c r="R353" s="105"/>
      <c r="S353" s="36"/>
      <c r="T353" s="36"/>
      <c r="U353" s="36"/>
      <c r="V353" s="105"/>
      <c r="W353" s="36"/>
      <c r="X353" s="36"/>
      <c r="Y353" s="36"/>
      <c r="Z353" s="105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42"/>
      <c r="AO353" s="42"/>
      <c r="AP353" s="36"/>
      <c r="AQ353" s="36"/>
      <c r="AR353" s="42"/>
      <c r="AS353" s="42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</row>
    <row r="354" spans="1:56" ht="15.75" x14ac:dyDescent="0.25">
      <c r="A354" s="44"/>
      <c r="B354" s="36"/>
      <c r="C354" s="36"/>
      <c r="D354" s="36"/>
      <c r="E354" s="36"/>
      <c r="F354" s="36"/>
      <c r="G354" s="36"/>
      <c r="H354" s="36"/>
      <c r="I354" s="36"/>
      <c r="J354" s="105"/>
      <c r="K354" s="36"/>
      <c r="L354" s="36"/>
      <c r="M354" s="36"/>
      <c r="N354" s="105"/>
      <c r="O354" s="36"/>
      <c r="P354" s="36"/>
      <c r="Q354" s="36"/>
      <c r="R354" s="105"/>
      <c r="S354" s="36"/>
      <c r="T354" s="36"/>
      <c r="U354" s="36"/>
      <c r="V354" s="105"/>
      <c r="W354" s="36"/>
      <c r="X354" s="36"/>
      <c r="Y354" s="36"/>
      <c r="Z354" s="105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42"/>
      <c r="AO354" s="42"/>
      <c r="AP354" s="36"/>
      <c r="AQ354" s="36"/>
      <c r="AR354" s="42"/>
      <c r="AS354" s="42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</row>
    <row r="355" spans="1:56" ht="15.75" x14ac:dyDescent="0.25">
      <c r="A355" s="44"/>
      <c r="B355" s="36"/>
      <c r="C355" s="36"/>
      <c r="D355" s="36"/>
      <c r="E355" s="36"/>
      <c r="F355" s="36"/>
      <c r="G355" s="36"/>
      <c r="H355" s="36"/>
      <c r="I355" s="36"/>
      <c r="J355" s="105"/>
      <c r="K355" s="36"/>
      <c r="L355" s="36"/>
      <c r="M355" s="36"/>
      <c r="N355" s="105"/>
      <c r="O355" s="36"/>
      <c r="P355" s="36"/>
      <c r="Q355" s="36"/>
      <c r="R355" s="105"/>
      <c r="S355" s="36"/>
      <c r="T355" s="36"/>
      <c r="U355" s="36"/>
      <c r="V355" s="105"/>
      <c r="W355" s="36"/>
      <c r="X355" s="36"/>
      <c r="Y355" s="36"/>
      <c r="Z355" s="105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42"/>
      <c r="AO355" s="42"/>
      <c r="AP355" s="36"/>
      <c r="AQ355" s="36"/>
      <c r="AR355" s="42"/>
      <c r="AS355" s="42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</row>
    <row r="356" spans="1:56" ht="15.75" x14ac:dyDescent="0.25">
      <c r="A356" s="44"/>
      <c r="B356" s="36"/>
      <c r="C356" s="36"/>
      <c r="D356" s="36"/>
      <c r="E356" s="36"/>
      <c r="F356" s="36"/>
      <c r="G356" s="36"/>
      <c r="H356" s="36"/>
      <c r="I356" s="36"/>
      <c r="J356" s="105"/>
      <c r="K356" s="36"/>
      <c r="L356" s="36"/>
      <c r="M356" s="36"/>
      <c r="N356" s="105"/>
      <c r="O356" s="36"/>
      <c r="P356" s="36"/>
      <c r="Q356" s="36"/>
      <c r="R356" s="105"/>
      <c r="S356" s="36"/>
      <c r="T356" s="36"/>
      <c r="U356" s="36"/>
      <c r="V356" s="105"/>
      <c r="W356" s="36"/>
      <c r="X356" s="36"/>
      <c r="Y356" s="36"/>
      <c r="Z356" s="105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42"/>
      <c r="AO356" s="42"/>
      <c r="AP356" s="36"/>
      <c r="AQ356" s="36"/>
      <c r="AR356" s="42"/>
      <c r="AS356" s="42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</row>
    <row r="357" spans="1:56" ht="15.75" x14ac:dyDescent="0.25">
      <c r="A357" s="44"/>
      <c r="B357" s="36"/>
      <c r="C357" s="36"/>
      <c r="D357" s="36"/>
      <c r="E357" s="36"/>
      <c r="F357" s="36"/>
      <c r="G357" s="36"/>
      <c r="H357" s="36"/>
      <c r="I357" s="36"/>
      <c r="J357" s="105"/>
      <c r="K357" s="36"/>
      <c r="L357" s="36"/>
      <c r="M357" s="36"/>
      <c r="N357" s="105"/>
      <c r="O357" s="36"/>
      <c r="P357" s="36"/>
      <c r="Q357" s="36"/>
      <c r="R357" s="105"/>
      <c r="S357" s="36"/>
      <c r="T357" s="36"/>
      <c r="U357" s="36"/>
      <c r="V357" s="105"/>
      <c r="W357" s="36"/>
      <c r="X357" s="36"/>
      <c r="Y357" s="36"/>
      <c r="Z357" s="105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42"/>
      <c r="AO357" s="42"/>
      <c r="AP357" s="36"/>
      <c r="AQ357" s="36"/>
      <c r="AR357" s="42"/>
      <c r="AS357" s="42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</row>
    <row r="358" spans="1:56" ht="15.75" x14ac:dyDescent="0.25">
      <c r="A358" s="44"/>
      <c r="B358" s="36"/>
      <c r="C358" s="36"/>
      <c r="D358" s="36"/>
      <c r="E358" s="36"/>
      <c r="F358" s="36"/>
      <c r="G358" s="36"/>
      <c r="H358" s="36"/>
      <c r="I358" s="36"/>
      <c r="J358" s="105"/>
      <c r="K358" s="36"/>
      <c r="L358" s="36"/>
      <c r="M358" s="36"/>
      <c r="N358" s="105"/>
      <c r="O358" s="36"/>
      <c r="P358" s="36"/>
      <c r="Q358" s="36"/>
      <c r="R358" s="105"/>
      <c r="S358" s="36"/>
      <c r="T358" s="36"/>
      <c r="U358" s="36"/>
      <c r="V358" s="105"/>
      <c r="W358" s="36"/>
      <c r="X358" s="36"/>
      <c r="Y358" s="36"/>
      <c r="Z358" s="105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42"/>
      <c r="AO358" s="42"/>
      <c r="AP358" s="36"/>
      <c r="AQ358" s="36"/>
      <c r="AR358" s="42"/>
      <c r="AS358" s="42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</row>
    <row r="359" spans="1:56" ht="15.75" x14ac:dyDescent="0.25">
      <c r="A359" s="44"/>
      <c r="B359" s="36"/>
      <c r="C359" s="36"/>
      <c r="D359" s="36"/>
      <c r="E359" s="36"/>
      <c r="F359" s="36"/>
      <c r="G359" s="36"/>
      <c r="H359" s="36"/>
      <c r="I359" s="36"/>
      <c r="J359" s="105"/>
      <c r="K359" s="36"/>
      <c r="L359" s="36"/>
      <c r="M359" s="36"/>
      <c r="N359" s="105"/>
      <c r="O359" s="36"/>
      <c r="P359" s="36"/>
      <c r="Q359" s="36"/>
      <c r="R359" s="105"/>
      <c r="S359" s="36"/>
      <c r="T359" s="36"/>
      <c r="U359" s="36"/>
      <c r="V359" s="105"/>
      <c r="W359" s="36"/>
      <c r="X359" s="36"/>
      <c r="Y359" s="36"/>
      <c r="Z359" s="105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42"/>
      <c r="AO359" s="42"/>
      <c r="AP359" s="36"/>
      <c r="AQ359" s="36"/>
      <c r="AR359" s="42"/>
      <c r="AS359" s="42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</row>
    <row r="360" spans="1:56" ht="15.75" x14ac:dyDescent="0.25">
      <c r="A360" s="44"/>
      <c r="B360" s="36"/>
      <c r="C360" s="36"/>
      <c r="D360" s="36"/>
      <c r="E360" s="36"/>
      <c r="F360" s="36"/>
      <c r="G360" s="36"/>
      <c r="H360" s="36"/>
      <c r="I360" s="36"/>
      <c r="J360" s="105"/>
      <c r="K360" s="36"/>
      <c r="L360" s="36"/>
      <c r="M360" s="36"/>
      <c r="N360" s="105"/>
      <c r="O360" s="36"/>
      <c r="P360" s="36"/>
      <c r="Q360" s="36"/>
      <c r="R360" s="105"/>
      <c r="S360" s="36"/>
      <c r="T360" s="36"/>
      <c r="U360" s="36"/>
      <c r="V360" s="105"/>
      <c r="W360" s="36"/>
      <c r="X360" s="36"/>
      <c r="Y360" s="36"/>
      <c r="Z360" s="105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42"/>
      <c r="AO360" s="42"/>
      <c r="AP360" s="36"/>
      <c r="AQ360" s="36"/>
      <c r="AR360" s="42"/>
      <c r="AS360" s="42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</row>
    <row r="361" spans="1:56" ht="15.75" x14ac:dyDescent="0.25">
      <c r="A361" s="44"/>
      <c r="B361" s="36"/>
      <c r="C361" s="36"/>
      <c r="D361" s="36"/>
      <c r="E361" s="36"/>
      <c r="F361" s="36"/>
      <c r="G361" s="36"/>
      <c r="H361" s="36"/>
      <c r="I361" s="36"/>
      <c r="J361" s="105"/>
      <c r="K361" s="36"/>
      <c r="L361" s="36"/>
      <c r="M361" s="36"/>
      <c r="N361" s="105"/>
      <c r="O361" s="36"/>
      <c r="P361" s="36"/>
      <c r="Q361" s="36"/>
      <c r="R361" s="105"/>
      <c r="S361" s="36"/>
      <c r="T361" s="36"/>
      <c r="U361" s="36"/>
      <c r="V361" s="105"/>
      <c r="W361" s="36"/>
      <c r="X361" s="36"/>
      <c r="Y361" s="36"/>
      <c r="Z361" s="105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42"/>
      <c r="AO361" s="42"/>
      <c r="AP361" s="36"/>
      <c r="AQ361" s="36"/>
      <c r="AR361" s="42"/>
      <c r="AS361" s="42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</row>
    <row r="362" spans="1:56" ht="15.75" x14ac:dyDescent="0.25">
      <c r="A362" s="44"/>
      <c r="B362" s="36"/>
      <c r="C362" s="36"/>
      <c r="D362" s="36"/>
      <c r="E362" s="36"/>
      <c r="F362" s="36"/>
      <c r="G362" s="36"/>
      <c r="H362" s="36"/>
      <c r="I362" s="36"/>
      <c r="J362" s="105"/>
      <c r="K362" s="36"/>
      <c r="L362" s="36"/>
      <c r="M362" s="36"/>
      <c r="N362" s="105"/>
      <c r="O362" s="36"/>
      <c r="P362" s="36"/>
      <c r="Q362" s="36"/>
      <c r="R362" s="105"/>
      <c r="S362" s="36"/>
      <c r="T362" s="36"/>
      <c r="U362" s="36"/>
      <c r="V362" s="105"/>
      <c r="W362" s="36"/>
      <c r="X362" s="36"/>
      <c r="Y362" s="36"/>
      <c r="Z362" s="105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42"/>
      <c r="AO362" s="42"/>
      <c r="AP362" s="36"/>
      <c r="AQ362" s="36"/>
      <c r="AR362" s="42"/>
      <c r="AS362" s="42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</row>
    <row r="363" spans="1:56" ht="15.75" x14ac:dyDescent="0.25">
      <c r="A363" s="44"/>
      <c r="B363" s="36"/>
      <c r="C363" s="36"/>
      <c r="D363" s="36"/>
      <c r="E363" s="36"/>
      <c r="F363" s="36"/>
      <c r="G363" s="36"/>
      <c r="H363" s="36"/>
      <c r="I363" s="36"/>
      <c r="J363" s="105"/>
      <c r="K363" s="36"/>
      <c r="L363" s="36"/>
      <c r="M363" s="36"/>
      <c r="N363" s="105"/>
      <c r="O363" s="36"/>
      <c r="P363" s="36"/>
      <c r="Q363" s="36"/>
      <c r="R363" s="105"/>
      <c r="S363" s="36"/>
      <c r="T363" s="36"/>
      <c r="U363" s="36"/>
      <c r="V363" s="105"/>
      <c r="W363" s="36"/>
      <c r="X363" s="36"/>
      <c r="Y363" s="36"/>
      <c r="Z363" s="105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42"/>
      <c r="AO363" s="42"/>
      <c r="AP363" s="36"/>
      <c r="AQ363" s="36"/>
      <c r="AR363" s="42"/>
      <c r="AS363" s="42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</row>
    <row r="364" spans="1:56" ht="15.75" x14ac:dyDescent="0.25">
      <c r="A364" s="44"/>
      <c r="B364" s="36"/>
      <c r="C364" s="36"/>
      <c r="D364" s="36"/>
      <c r="E364" s="36"/>
      <c r="F364" s="36"/>
      <c r="G364" s="36"/>
      <c r="H364" s="36"/>
      <c r="I364" s="36"/>
      <c r="J364" s="105"/>
      <c r="K364" s="36"/>
      <c r="L364" s="36"/>
      <c r="M364" s="36"/>
      <c r="N364" s="105"/>
      <c r="O364" s="36"/>
      <c r="P364" s="36"/>
      <c r="Q364" s="36"/>
      <c r="R364" s="105"/>
      <c r="S364" s="36"/>
      <c r="T364" s="36"/>
      <c r="U364" s="36"/>
      <c r="V364" s="105"/>
      <c r="W364" s="36"/>
      <c r="X364" s="36"/>
      <c r="Y364" s="36"/>
      <c r="Z364" s="105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42"/>
      <c r="AO364" s="42"/>
      <c r="AP364" s="36"/>
      <c r="AQ364" s="36"/>
      <c r="AR364" s="42"/>
      <c r="AS364" s="42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</row>
    <row r="365" spans="1:56" ht="15.75" x14ac:dyDescent="0.25">
      <c r="A365" s="44"/>
      <c r="B365" s="36"/>
      <c r="C365" s="36"/>
      <c r="D365" s="36"/>
      <c r="E365" s="36"/>
      <c r="F365" s="36"/>
      <c r="G365" s="36"/>
      <c r="H365" s="36"/>
      <c r="I365" s="36"/>
      <c r="J365" s="105"/>
      <c r="K365" s="36"/>
      <c r="L365" s="36"/>
      <c r="M365" s="36"/>
      <c r="N365" s="105"/>
      <c r="O365" s="36"/>
      <c r="P365" s="36"/>
      <c r="Q365" s="36"/>
      <c r="R365" s="105"/>
      <c r="S365" s="36"/>
      <c r="T365" s="36"/>
      <c r="U365" s="36"/>
      <c r="V365" s="105"/>
      <c r="W365" s="36"/>
      <c r="X365" s="36"/>
      <c r="Y365" s="36"/>
      <c r="Z365" s="105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42"/>
      <c r="AO365" s="42"/>
      <c r="AP365" s="36"/>
      <c r="AQ365" s="36"/>
      <c r="AR365" s="42"/>
      <c r="AS365" s="42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</row>
    <row r="366" spans="1:56" ht="15.75" x14ac:dyDescent="0.25">
      <c r="A366" s="44"/>
      <c r="B366" s="36"/>
      <c r="C366" s="36"/>
      <c r="D366" s="36"/>
      <c r="E366" s="36"/>
      <c r="F366" s="36"/>
      <c r="G366" s="36"/>
      <c r="H366" s="36"/>
      <c r="I366" s="36"/>
      <c r="J366" s="105"/>
      <c r="K366" s="36"/>
      <c r="L366" s="36"/>
      <c r="M366" s="36"/>
      <c r="N366" s="105"/>
      <c r="O366" s="36"/>
      <c r="P366" s="36"/>
      <c r="Q366" s="36"/>
      <c r="R366" s="105"/>
      <c r="S366" s="36"/>
      <c r="T366" s="36"/>
      <c r="U366" s="36"/>
      <c r="V366" s="105"/>
      <c r="W366" s="36"/>
      <c r="X366" s="36"/>
      <c r="Y366" s="36"/>
      <c r="Z366" s="105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42"/>
      <c r="AO366" s="42"/>
      <c r="AP366" s="36"/>
      <c r="AQ366" s="36"/>
      <c r="AR366" s="42"/>
      <c r="AS366" s="42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</row>
    <row r="367" spans="1:56" ht="15.75" x14ac:dyDescent="0.25">
      <c r="A367" s="44"/>
      <c r="B367" s="36"/>
      <c r="C367" s="36"/>
      <c r="D367" s="36"/>
      <c r="E367" s="36"/>
      <c r="F367" s="36"/>
      <c r="G367" s="36"/>
      <c r="H367" s="36"/>
      <c r="I367" s="36"/>
      <c r="J367" s="105"/>
      <c r="K367" s="36"/>
      <c r="L367" s="36"/>
      <c r="M367" s="36"/>
      <c r="N367" s="105"/>
      <c r="O367" s="36"/>
      <c r="P367" s="36"/>
      <c r="Q367" s="36"/>
      <c r="R367" s="105"/>
      <c r="S367" s="36"/>
      <c r="T367" s="36"/>
      <c r="U367" s="36"/>
      <c r="V367" s="105"/>
      <c r="W367" s="36"/>
      <c r="X367" s="36"/>
      <c r="Y367" s="36"/>
      <c r="Z367" s="105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42"/>
      <c r="AO367" s="42"/>
      <c r="AP367" s="36"/>
      <c r="AQ367" s="36"/>
      <c r="AR367" s="42"/>
      <c r="AS367" s="42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</row>
    <row r="368" spans="1:56" ht="15.75" x14ac:dyDescent="0.25">
      <c r="A368" s="44"/>
      <c r="B368" s="36"/>
      <c r="C368" s="36"/>
      <c r="D368" s="36"/>
      <c r="E368" s="36"/>
      <c r="F368" s="36"/>
      <c r="G368" s="36"/>
      <c r="H368" s="36"/>
      <c r="I368" s="36"/>
      <c r="J368" s="105"/>
      <c r="K368" s="36"/>
      <c r="L368" s="36"/>
      <c r="M368" s="36"/>
      <c r="N368" s="105"/>
      <c r="O368" s="36"/>
      <c r="P368" s="36"/>
      <c r="Q368" s="36"/>
      <c r="R368" s="105"/>
      <c r="S368" s="36"/>
      <c r="T368" s="36"/>
      <c r="U368" s="36"/>
      <c r="V368" s="105"/>
      <c r="W368" s="36"/>
      <c r="X368" s="36"/>
      <c r="Y368" s="36"/>
      <c r="Z368" s="105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42"/>
      <c r="AO368" s="42"/>
      <c r="AP368" s="36"/>
      <c r="AQ368" s="36"/>
      <c r="AR368" s="42"/>
      <c r="AS368" s="42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</row>
    <row r="369" spans="1:56" ht="15.75" x14ac:dyDescent="0.25">
      <c r="A369" s="44"/>
      <c r="B369" s="36"/>
      <c r="C369" s="36"/>
      <c r="D369" s="36"/>
      <c r="E369" s="36"/>
      <c r="F369" s="36"/>
      <c r="G369" s="36"/>
      <c r="H369" s="36"/>
      <c r="I369" s="36"/>
      <c r="J369" s="105"/>
      <c r="K369" s="36"/>
      <c r="L369" s="36"/>
      <c r="M369" s="36"/>
      <c r="N369" s="105"/>
      <c r="O369" s="36"/>
      <c r="P369" s="36"/>
      <c r="Q369" s="36"/>
      <c r="R369" s="105"/>
      <c r="S369" s="36"/>
      <c r="T369" s="36"/>
      <c r="U369" s="36"/>
      <c r="V369" s="105"/>
      <c r="W369" s="36"/>
      <c r="X369" s="36"/>
      <c r="Y369" s="36"/>
      <c r="Z369" s="105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42"/>
      <c r="AO369" s="42"/>
      <c r="AP369" s="36"/>
      <c r="AQ369" s="36"/>
      <c r="AR369" s="42"/>
      <c r="AS369" s="42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</row>
    <row r="370" spans="1:56" ht="15.75" x14ac:dyDescent="0.25">
      <c r="A370" s="44"/>
      <c r="B370" s="36"/>
      <c r="C370" s="36"/>
      <c r="D370" s="36"/>
      <c r="E370" s="36"/>
      <c r="F370" s="36"/>
      <c r="G370" s="36"/>
      <c r="H370" s="36"/>
      <c r="I370" s="36"/>
      <c r="J370" s="105"/>
      <c r="K370" s="36"/>
      <c r="L370" s="36"/>
      <c r="M370" s="36"/>
      <c r="N370" s="105"/>
      <c r="O370" s="36"/>
      <c r="P370" s="36"/>
      <c r="Q370" s="36"/>
      <c r="R370" s="105"/>
      <c r="S370" s="36"/>
      <c r="T370" s="36"/>
      <c r="U370" s="36"/>
      <c r="V370" s="105"/>
      <c r="W370" s="36"/>
      <c r="X370" s="36"/>
      <c r="Y370" s="36"/>
      <c r="Z370" s="105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42"/>
      <c r="AO370" s="42"/>
      <c r="AP370" s="36"/>
      <c r="AQ370" s="36"/>
      <c r="AR370" s="42"/>
      <c r="AS370" s="42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</row>
    <row r="371" spans="1:56" ht="15.75" x14ac:dyDescent="0.25">
      <c r="A371" s="44"/>
      <c r="B371" s="36"/>
      <c r="C371" s="36"/>
      <c r="D371" s="36"/>
      <c r="E371" s="36"/>
      <c r="F371" s="36"/>
      <c r="G371" s="36"/>
      <c r="H371" s="36"/>
      <c r="I371" s="36"/>
      <c r="J371" s="105"/>
      <c r="K371" s="36"/>
      <c r="L371" s="36"/>
      <c r="M371" s="36"/>
      <c r="N371" s="105"/>
      <c r="O371" s="36"/>
      <c r="P371" s="36"/>
      <c r="Q371" s="36"/>
      <c r="R371" s="105"/>
      <c r="S371" s="36"/>
      <c r="T371" s="36"/>
      <c r="U371" s="36"/>
      <c r="V371" s="105"/>
      <c r="W371" s="36"/>
      <c r="X371" s="36"/>
      <c r="Y371" s="36"/>
      <c r="Z371" s="105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42"/>
      <c r="AO371" s="42"/>
      <c r="AP371" s="36"/>
      <c r="AQ371" s="36"/>
      <c r="AR371" s="42"/>
      <c r="AS371" s="42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</row>
    <row r="372" spans="1:56" ht="15.75" x14ac:dyDescent="0.25">
      <c r="A372" s="44"/>
      <c r="B372" s="36"/>
      <c r="C372" s="36"/>
      <c r="D372" s="36"/>
      <c r="E372" s="36"/>
      <c r="F372" s="36"/>
      <c r="G372" s="36"/>
      <c r="H372" s="36"/>
      <c r="I372" s="36"/>
      <c r="J372" s="105"/>
      <c r="K372" s="36"/>
      <c r="L372" s="36"/>
      <c r="M372" s="36"/>
      <c r="N372" s="105"/>
      <c r="O372" s="36"/>
      <c r="P372" s="36"/>
      <c r="Q372" s="36"/>
      <c r="R372" s="105"/>
      <c r="S372" s="36"/>
      <c r="T372" s="36"/>
      <c r="U372" s="36"/>
      <c r="V372" s="105"/>
      <c r="W372" s="36"/>
      <c r="X372" s="36"/>
      <c r="Y372" s="36"/>
      <c r="Z372" s="105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42"/>
      <c r="AO372" s="42"/>
      <c r="AP372" s="36"/>
      <c r="AQ372" s="36"/>
      <c r="AR372" s="42"/>
      <c r="AS372" s="42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</row>
    <row r="373" spans="1:56" ht="15.75" x14ac:dyDescent="0.25">
      <c r="A373" s="44"/>
      <c r="B373" s="36"/>
      <c r="C373" s="36"/>
      <c r="D373" s="36"/>
      <c r="E373" s="36"/>
      <c r="F373" s="36"/>
      <c r="G373" s="36"/>
      <c r="H373" s="36"/>
      <c r="I373" s="36"/>
      <c r="J373" s="105"/>
      <c r="K373" s="36"/>
      <c r="L373" s="36"/>
      <c r="M373" s="36"/>
      <c r="N373" s="105"/>
      <c r="O373" s="36"/>
      <c r="P373" s="36"/>
      <c r="Q373" s="36"/>
      <c r="R373" s="105"/>
      <c r="S373" s="36"/>
      <c r="T373" s="36"/>
      <c r="U373" s="36"/>
      <c r="V373" s="105"/>
      <c r="W373" s="36"/>
      <c r="X373" s="36"/>
      <c r="Y373" s="36"/>
      <c r="Z373" s="105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42"/>
      <c r="AO373" s="42"/>
      <c r="AP373" s="36"/>
      <c r="AQ373" s="36"/>
      <c r="AR373" s="42"/>
      <c r="AS373" s="42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</row>
    <row r="374" spans="1:56" ht="15.75" x14ac:dyDescent="0.25">
      <c r="A374" s="44"/>
      <c r="B374" s="36"/>
      <c r="C374" s="36"/>
      <c r="D374" s="36"/>
      <c r="E374" s="36"/>
      <c r="F374" s="36"/>
      <c r="G374" s="36"/>
      <c r="H374" s="36"/>
      <c r="I374" s="36"/>
      <c r="J374" s="105"/>
      <c r="K374" s="36"/>
      <c r="L374" s="36"/>
      <c r="M374" s="36"/>
      <c r="N374" s="105"/>
      <c r="O374" s="36"/>
      <c r="P374" s="36"/>
      <c r="Q374" s="36"/>
      <c r="R374" s="105"/>
      <c r="S374" s="36"/>
      <c r="T374" s="36"/>
      <c r="U374" s="36"/>
      <c r="V374" s="105"/>
      <c r="W374" s="36"/>
      <c r="X374" s="36"/>
      <c r="Y374" s="36"/>
      <c r="Z374" s="105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42"/>
      <c r="AO374" s="42"/>
      <c r="AP374" s="36"/>
      <c r="AQ374" s="36"/>
      <c r="AR374" s="42"/>
      <c r="AS374" s="42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</row>
    <row r="375" spans="1:56" ht="15.75" x14ac:dyDescent="0.25">
      <c r="A375" s="44"/>
      <c r="B375" s="36"/>
      <c r="C375" s="36"/>
      <c r="D375" s="36"/>
      <c r="E375" s="36"/>
      <c r="F375" s="36"/>
      <c r="G375" s="36"/>
      <c r="H375" s="36"/>
      <c r="I375" s="36"/>
      <c r="J375" s="105"/>
      <c r="K375" s="36"/>
      <c r="L375" s="36"/>
      <c r="M375" s="36"/>
      <c r="N375" s="105"/>
      <c r="O375" s="36"/>
      <c r="P375" s="36"/>
      <c r="Q375" s="36"/>
      <c r="R375" s="105"/>
      <c r="S375" s="36"/>
      <c r="T375" s="36"/>
      <c r="U375" s="36"/>
      <c r="V375" s="105"/>
      <c r="W375" s="36"/>
      <c r="X375" s="36"/>
      <c r="Y375" s="36"/>
      <c r="Z375" s="105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42"/>
      <c r="AO375" s="42"/>
      <c r="AP375" s="36"/>
      <c r="AQ375" s="36"/>
      <c r="AR375" s="42"/>
      <c r="AS375" s="42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</row>
    <row r="376" spans="1:56" ht="15.75" x14ac:dyDescent="0.25">
      <c r="A376" s="44"/>
      <c r="B376" s="36"/>
      <c r="C376" s="36"/>
      <c r="D376" s="36"/>
      <c r="E376" s="36"/>
      <c r="F376" s="36"/>
      <c r="G376" s="36"/>
      <c r="H376" s="36"/>
      <c r="I376" s="36"/>
      <c r="J376" s="105"/>
      <c r="K376" s="36"/>
      <c r="L376" s="36"/>
      <c r="M376" s="36"/>
      <c r="N376" s="105"/>
      <c r="O376" s="36"/>
      <c r="P376" s="36"/>
      <c r="Q376" s="36"/>
      <c r="R376" s="105"/>
      <c r="S376" s="36"/>
      <c r="T376" s="36"/>
      <c r="U376" s="36"/>
      <c r="V376" s="105"/>
      <c r="W376" s="36"/>
      <c r="X376" s="36"/>
      <c r="Y376" s="36"/>
      <c r="Z376" s="105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42"/>
      <c r="AO376" s="42"/>
      <c r="AP376" s="36"/>
      <c r="AQ376" s="36"/>
      <c r="AR376" s="42"/>
      <c r="AS376" s="42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</row>
    <row r="377" spans="1:56" ht="15.75" x14ac:dyDescent="0.25">
      <c r="A377" s="44"/>
      <c r="B377" s="36"/>
      <c r="C377" s="36"/>
      <c r="D377" s="36"/>
      <c r="E377" s="36"/>
      <c r="F377" s="36"/>
      <c r="G377" s="36"/>
      <c r="H377" s="36"/>
      <c r="I377" s="36"/>
      <c r="J377" s="105"/>
      <c r="K377" s="36"/>
      <c r="L377" s="36"/>
      <c r="M377" s="36"/>
      <c r="N377" s="105"/>
      <c r="O377" s="36"/>
      <c r="P377" s="36"/>
      <c r="Q377" s="36"/>
      <c r="R377" s="105"/>
      <c r="S377" s="36"/>
      <c r="T377" s="36"/>
      <c r="U377" s="36"/>
      <c r="V377" s="105"/>
      <c r="W377" s="36"/>
      <c r="X377" s="36"/>
      <c r="Y377" s="36"/>
      <c r="Z377" s="105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42"/>
      <c r="AO377" s="42"/>
      <c r="AP377" s="36"/>
      <c r="AQ377" s="36"/>
      <c r="AR377" s="42"/>
      <c r="AS377" s="42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</row>
    <row r="378" spans="1:56" ht="15.75" x14ac:dyDescent="0.25">
      <c r="A378" s="44"/>
      <c r="B378" s="36"/>
      <c r="C378" s="36"/>
      <c r="D378" s="36"/>
      <c r="E378" s="36"/>
      <c r="F378" s="36"/>
      <c r="G378" s="36"/>
      <c r="H378" s="36"/>
      <c r="I378" s="36"/>
      <c r="J378" s="105"/>
      <c r="K378" s="36"/>
      <c r="L378" s="36"/>
      <c r="M378" s="36"/>
      <c r="N378" s="105"/>
      <c r="O378" s="36"/>
      <c r="P378" s="36"/>
      <c r="Q378" s="36"/>
      <c r="R378" s="105"/>
      <c r="S378" s="36"/>
      <c r="T378" s="36"/>
      <c r="U378" s="36"/>
      <c r="V378" s="105"/>
      <c r="W378" s="36"/>
      <c r="X378" s="36"/>
      <c r="Y378" s="36"/>
      <c r="Z378" s="105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42"/>
      <c r="AO378" s="42"/>
      <c r="AP378" s="36"/>
      <c r="AQ378" s="36"/>
      <c r="AR378" s="42"/>
      <c r="AS378" s="42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</row>
    <row r="379" spans="1:56" ht="15.75" x14ac:dyDescent="0.25">
      <c r="A379" s="44"/>
      <c r="B379" s="36"/>
      <c r="C379" s="36"/>
      <c r="D379" s="36"/>
      <c r="E379" s="36"/>
      <c r="F379" s="36"/>
      <c r="G379" s="36"/>
      <c r="H379" s="36"/>
      <c r="I379" s="36"/>
      <c r="J379" s="105"/>
      <c r="K379" s="36"/>
      <c r="L379" s="36"/>
      <c r="M379" s="36"/>
      <c r="N379" s="105"/>
      <c r="O379" s="36"/>
      <c r="P379" s="36"/>
      <c r="Q379" s="36"/>
      <c r="R379" s="105"/>
      <c r="S379" s="36"/>
      <c r="T379" s="36"/>
      <c r="U379" s="36"/>
      <c r="V379" s="105"/>
      <c r="W379" s="36"/>
      <c r="X379" s="36"/>
      <c r="Y379" s="36"/>
      <c r="Z379" s="105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42"/>
      <c r="AO379" s="42"/>
      <c r="AP379" s="36"/>
      <c r="AQ379" s="36"/>
      <c r="AR379" s="42"/>
      <c r="AS379" s="42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</row>
    <row r="380" spans="1:56" ht="15.75" x14ac:dyDescent="0.25">
      <c r="A380" s="44"/>
      <c r="B380" s="36"/>
      <c r="C380" s="36"/>
      <c r="D380" s="36"/>
      <c r="E380" s="36"/>
      <c r="F380" s="36"/>
      <c r="G380" s="36"/>
      <c r="H380" s="36"/>
      <c r="I380" s="36"/>
      <c r="J380" s="105"/>
      <c r="K380" s="36"/>
      <c r="L380" s="36"/>
      <c r="M380" s="36"/>
      <c r="N380" s="105"/>
      <c r="O380" s="36"/>
      <c r="P380" s="36"/>
      <c r="Q380" s="36"/>
      <c r="R380" s="105"/>
      <c r="S380" s="36"/>
      <c r="T380" s="36"/>
      <c r="U380" s="36"/>
      <c r="V380" s="105"/>
      <c r="W380" s="36"/>
      <c r="X380" s="36"/>
      <c r="Y380" s="36"/>
      <c r="Z380" s="105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42"/>
      <c r="AO380" s="42"/>
      <c r="AP380" s="36"/>
      <c r="AQ380" s="36"/>
      <c r="AR380" s="42"/>
      <c r="AS380" s="42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</row>
    <row r="381" spans="1:56" ht="15.75" x14ac:dyDescent="0.25">
      <c r="A381" s="44"/>
      <c r="B381" s="36"/>
      <c r="C381" s="36"/>
      <c r="D381" s="36"/>
      <c r="E381" s="36"/>
      <c r="F381" s="36"/>
      <c r="G381" s="36"/>
      <c r="H381" s="36"/>
      <c r="I381" s="36"/>
      <c r="J381" s="105"/>
      <c r="K381" s="36"/>
      <c r="L381" s="36"/>
      <c r="M381" s="36"/>
      <c r="N381" s="105"/>
      <c r="O381" s="36"/>
      <c r="P381" s="36"/>
      <c r="Q381" s="36"/>
      <c r="R381" s="105"/>
      <c r="S381" s="36"/>
      <c r="T381" s="36"/>
      <c r="U381" s="36"/>
      <c r="V381" s="105"/>
      <c r="W381" s="36"/>
      <c r="X381" s="36"/>
      <c r="Y381" s="36"/>
      <c r="Z381" s="105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42"/>
      <c r="AO381" s="42"/>
      <c r="AP381" s="36"/>
      <c r="AQ381" s="36"/>
      <c r="AR381" s="42"/>
      <c r="AS381" s="42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</row>
    <row r="382" spans="1:56" ht="15.75" x14ac:dyDescent="0.25">
      <c r="A382" s="44"/>
      <c r="B382" s="36"/>
      <c r="C382" s="36"/>
      <c r="D382" s="36"/>
      <c r="E382" s="36"/>
      <c r="F382" s="36"/>
      <c r="G382" s="36"/>
      <c r="H382" s="36"/>
      <c r="I382" s="36"/>
      <c r="J382" s="105"/>
      <c r="K382" s="36"/>
      <c r="L382" s="36"/>
      <c r="M382" s="36"/>
      <c r="N382" s="105"/>
      <c r="O382" s="36"/>
      <c r="P382" s="36"/>
      <c r="Q382" s="36"/>
      <c r="R382" s="105"/>
      <c r="S382" s="36"/>
      <c r="T382" s="36"/>
      <c r="U382" s="36"/>
      <c r="V382" s="105"/>
      <c r="W382" s="36"/>
      <c r="X382" s="36"/>
      <c r="Y382" s="36"/>
      <c r="Z382" s="105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42"/>
      <c r="AO382" s="42"/>
      <c r="AP382" s="36"/>
      <c r="AQ382" s="36"/>
      <c r="AR382" s="42"/>
      <c r="AS382" s="42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</row>
    <row r="383" spans="1:56" ht="15.75" x14ac:dyDescent="0.25">
      <c r="A383" s="44"/>
      <c r="B383" s="36"/>
      <c r="C383" s="36"/>
      <c r="D383" s="36"/>
      <c r="E383" s="36"/>
      <c r="F383" s="36"/>
      <c r="G383" s="36"/>
      <c r="H383" s="36"/>
      <c r="I383" s="36"/>
      <c r="J383" s="105"/>
      <c r="K383" s="36"/>
      <c r="L383" s="36"/>
      <c r="M383" s="36"/>
      <c r="N383" s="105"/>
      <c r="O383" s="36"/>
      <c r="P383" s="36"/>
      <c r="Q383" s="36"/>
      <c r="R383" s="105"/>
      <c r="S383" s="36"/>
      <c r="T383" s="36"/>
      <c r="U383" s="36"/>
      <c r="V383" s="105"/>
      <c r="W383" s="36"/>
      <c r="X383" s="36"/>
      <c r="Y383" s="36"/>
      <c r="Z383" s="105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42"/>
      <c r="AO383" s="42"/>
      <c r="AP383" s="36"/>
      <c r="AQ383" s="36"/>
      <c r="AR383" s="42"/>
      <c r="AS383" s="42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</row>
    <row r="384" spans="1:56" ht="15.75" x14ac:dyDescent="0.25">
      <c r="A384" s="44"/>
      <c r="B384" s="36"/>
      <c r="C384" s="36"/>
      <c r="D384" s="36"/>
      <c r="E384" s="36"/>
      <c r="F384" s="36"/>
      <c r="G384" s="36"/>
      <c r="H384" s="36"/>
      <c r="I384" s="36"/>
      <c r="J384" s="105"/>
      <c r="K384" s="36"/>
      <c r="L384" s="36"/>
      <c r="M384" s="36"/>
      <c r="N384" s="105"/>
      <c r="O384" s="36"/>
      <c r="P384" s="36"/>
      <c r="Q384" s="36"/>
      <c r="R384" s="105"/>
      <c r="S384" s="36"/>
      <c r="T384" s="36"/>
      <c r="U384" s="36"/>
      <c r="V384" s="105"/>
      <c r="W384" s="36"/>
      <c r="X384" s="36"/>
      <c r="Y384" s="36"/>
      <c r="Z384" s="105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42"/>
      <c r="AO384" s="42"/>
      <c r="AP384" s="36"/>
      <c r="AQ384" s="36"/>
      <c r="AR384" s="42"/>
      <c r="AS384" s="42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</row>
    <row r="385" spans="1:56" ht="15.75" x14ac:dyDescent="0.25">
      <c r="A385" s="44"/>
      <c r="B385" s="36"/>
      <c r="C385" s="36"/>
      <c r="D385" s="36"/>
      <c r="E385" s="36"/>
      <c r="F385" s="36"/>
      <c r="G385" s="36"/>
      <c r="H385" s="36"/>
      <c r="I385" s="36"/>
      <c r="J385" s="105"/>
      <c r="K385" s="36"/>
      <c r="L385" s="36"/>
      <c r="M385" s="36"/>
      <c r="N385" s="105"/>
      <c r="O385" s="36"/>
      <c r="P385" s="36"/>
      <c r="Q385" s="36"/>
      <c r="R385" s="105"/>
      <c r="S385" s="36"/>
      <c r="T385" s="36"/>
      <c r="U385" s="36"/>
      <c r="V385" s="105"/>
      <c r="W385" s="36"/>
      <c r="X385" s="36"/>
      <c r="Y385" s="36"/>
      <c r="Z385" s="105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42"/>
      <c r="AO385" s="42"/>
      <c r="AP385" s="36"/>
      <c r="AQ385" s="36"/>
      <c r="AR385" s="42"/>
      <c r="AS385" s="42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</row>
    <row r="386" spans="1:56" ht="15.75" x14ac:dyDescent="0.25">
      <c r="A386" s="44"/>
      <c r="B386" s="36"/>
      <c r="C386" s="36"/>
      <c r="D386" s="36"/>
      <c r="E386" s="36"/>
      <c r="F386" s="36"/>
      <c r="G386" s="36"/>
      <c r="H386" s="36"/>
      <c r="I386" s="36"/>
      <c r="J386" s="105"/>
      <c r="K386" s="36"/>
      <c r="L386" s="36"/>
      <c r="M386" s="36"/>
      <c r="N386" s="105"/>
      <c r="O386" s="36"/>
      <c r="P386" s="36"/>
      <c r="Q386" s="36"/>
      <c r="R386" s="105"/>
      <c r="S386" s="36"/>
      <c r="T386" s="36"/>
      <c r="U386" s="36"/>
      <c r="V386" s="105"/>
      <c r="W386" s="36"/>
      <c r="X386" s="36"/>
      <c r="Y386" s="36"/>
      <c r="Z386" s="105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42"/>
      <c r="AO386" s="42"/>
      <c r="AP386" s="36"/>
      <c r="AQ386" s="36"/>
      <c r="AR386" s="42"/>
      <c r="AS386" s="42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</row>
    <row r="387" spans="1:56" ht="15.75" x14ac:dyDescent="0.25">
      <c r="A387" s="44"/>
      <c r="B387" s="36"/>
      <c r="C387" s="36"/>
      <c r="D387" s="36"/>
      <c r="E387" s="36"/>
      <c r="F387" s="36"/>
      <c r="G387" s="36"/>
      <c r="H387" s="36"/>
      <c r="I387" s="36"/>
      <c r="J387" s="105"/>
      <c r="K387" s="36"/>
      <c r="L387" s="36"/>
      <c r="M387" s="36"/>
      <c r="N387" s="105"/>
      <c r="O387" s="36"/>
      <c r="P387" s="36"/>
      <c r="Q387" s="36"/>
      <c r="R387" s="105"/>
      <c r="S387" s="36"/>
      <c r="T387" s="36"/>
      <c r="U387" s="36"/>
      <c r="V387" s="105"/>
      <c r="W387" s="36"/>
      <c r="X387" s="36"/>
      <c r="Y387" s="36"/>
      <c r="Z387" s="105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42"/>
      <c r="AO387" s="42"/>
      <c r="AP387" s="36"/>
      <c r="AQ387" s="36"/>
      <c r="AR387" s="42"/>
      <c r="AS387" s="42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</row>
    <row r="388" spans="1:56" ht="15.75" x14ac:dyDescent="0.25">
      <c r="A388" s="44"/>
      <c r="B388" s="36"/>
      <c r="C388" s="36"/>
      <c r="D388" s="36"/>
      <c r="E388" s="36"/>
      <c r="F388" s="36"/>
      <c r="G388" s="36"/>
      <c r="H388" s="36"/>
      <c r="I388" s="36"/>
      <c r="J388" s="105"/>
      <c r="K388" s="36"/>
      <c r="L388" s="36"/>
      <c r="M388" s="36"/>
      <c r="N388" s="105"/>
      <c r="O388" s="36"/>
      <c r="P388" s="36"/>
      <c r="Q388" s="36"/>
      <c r="R388" s="105"/>
      <c r="S388" s="36"/>
      <c r="T388" s="36"/>
      <c r="U388" s="36"/>
      <c r="V388" s="105"/>
      <c r="W388" s="36"/>
      <c r="X388" s="36"/>
      <c r="Y388" s="36"/>
      <c r="Z388" s="105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42"/>
      <c r="AO388" s="42"/>
      <c r="AP388" s="36"/>
      <c r="AQ388" s="36"/>
      <c r="AR388" s="42"/>
      <c r="AS388" s="42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</row>
    <row r="389" spans="1:56" ht="15.75" x14ac:dyDescent="0.25">
      <c r="A389" s="44"/>
      <c r="B389" s="36"/>
      <c r="C389" s="36"/>
      <c r="D389" s="36"/>
      <c r="E389" s="36"/>
      <c r="F389" s="36"/>
      <c r="G389" s="36"/>
      <c r="H389" s="36"/>
      <c r="I389" s="36"/>
      <c r="J389" s="105"/>
      <c r="K389" s="36"/>
      <c r="L389" s="36"/>
      <c r="M389" s="36"/>
      <c r="N389" s="105"/>
      <c r="O389" s="36"/>
      <c r="P389" s="36"/>
      <c r="Q389" s="36"/>
      <c r="R389" s="105"/>
      <c r="S389" s="36"/>
      <c r="T389" s="36"/>
      <c r="U389" s="36"/>
      <c r="V389" s="105"/>
      <c r="W389" s="36"/>
      <c r="X389" s="36"/>
      <c r="Y389" s="36"/>
      <c r="Z389" s="105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42"/>
      <c r="AO389" s="42"/>
      <c r="AP389" s="36"/>
      <c r="AQ389" s="36"/>
      <c r="AR389" s="42"/>
      <c r="AS389" s="42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</row>
    <row r="390" spans="1:56" ht="15.75" x14ac:dyDescent="0.25">
      <c r="A390" s="44"/>
      <c r="B390" s="36"/>
      <c r="C390" s="36"/>
      <c r="D390" s="36"/>
      <c r="E390" s="36"/>
      <c r="F390" s="36"/>
      <c r="G390" s="36"/>
      <c r="H390" s="36"/>
      <c r="I390" s="36"/>
      <c r="J390" s="105"/>
      <c r="K390" s="36"/>
      <c r="L390" s="36"/>
      <c r="M390" s="36"/>
      <c r="N390" s="105"/>
      <c r="O390" s="36"/>
      <c r="P390" s="36"/>
      <c r="Q390" s="36"/>
      <c r="R390" s="105"/>
      <c r="S390" s="36"/>
      <c r="T390" s="36"/>
      <c r="U390" s="36"/>
      <c r="V390" s="105"/>
      <c r="W390" s="36"/>
      <c r="X390" s="36"/>
      <c r="Y390" s="36"/>
      <c r="Z390" s="105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42"/>
      <c r="AO390" s="42"/>
      <c r="AP390" s="36"/>
      <c r="AQ390" s="36"/>
      <c r="AR390" s="42"/>
      <c r="AS390" s="42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</row>
    <row r="391" spans="1:56" ht="15.75" x14ac:dyDescent="0.25">
      <c r="A391" s="44"/>
      <c r="B391" s="36"/>
      <c r="C391" s="36"/>
      <c r="D391" s="36"/>
      <c r="E391" s="36"/>
      <c r="F391" s="36"/>
      <c r="G391" s="36"/>
      <c r="H391" s="36"/>
      <c r="I391" s="36"/>
      <c r="J391" s="105"/>
      <c r="K391" s="36"/>
      <c r="L391" s="36"/>
      <c r="M391" s="36"/>
      <c r="N391" s="105"/>
      <c r="O391" s="36"/>
      <c r="P391" s="36"/>
      <c r="Q391" s="36"/>
      <c r="R391" s="105"/>
      <c r="S391" s="36"/>
      <c r="T391" s="36"/>
      <c r="U391" s="36"/>
      <c r="V391" s="105"/>
      <c r="W391" s="36"/>
      <c r="X391" s="36"/>
      <c r="Y391" s="36"/>
      <c r="Z391" s="105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42"/>
      <c r="AO391" s="42"/>
      <c r="AP391" s="36"/>
      <c r="AQ391" s="36"/>
      <c r="AR391" s="42"/>
      <c r="AS391" s="42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</row>
    <row r="392" spans="1:56" ht="15.75" x14ac:dyDescent="0.25">
      <c r="A392" s="44"/>
      <c r="B392" s="36"/>
      <c r="C392" s="36"/>
      <c r="D392" s="36"/>
      <c r="E392" s="36"/>
      <c r="F392" s="36"/>
      <c r="G392" s="36"/>
      <c r="H392" s="36"/>
      <c r="I392" s="36"/>
      <c r="J392" s="105"/>
      <c r="K392" s="36"/>
      <c r="L392" s="36"/>
      <c r="M392" s="36"/>
      <c r="N392" s="105"/>
      <c r="O392" s="36"/>
      <c r="P392" s="36"/>
      <c r="Q392" s="36"/>
      <c r="R392" s="105"/>
      <c r="S392" s="36"/>
      <c r="T392" s="36"/>
      <c r="U392" s="36"/>
      <c r="V392" s="105"/>
      <c r="W392" s="36"/>
      <c r="X392" s="36"/>
      <c r="Y392" s="36"/>
      <c r="Z392" s="105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42"/>
      <c r="AO392" s="42"/>
      <c r="AP392" s="36"/>
      <c r="AQ392" s="36"/>
      <c r="AR392" s="42"/>
      <c r="AS392" s="42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</row>
    <row r="393" spans="1:56" ht="15.75" x14ac:dyDescent="0.25">
      <c r="A393" s="44"/>
      <c r="B393" s="36"/>
      <c r="C393" s="36"/>
      <c r="D393" s="36"/>
      <c r="E393" s="36"/>
      <c r="F393" s="36"/>
      <c r="G393" s="36"/>
      <c r="H393" s="36"/>
      <c r="I393" s="36"/>
      <c r="J393" s="105"/>
      <c r="K393" s="36"/>
      <c r="L393" s="36"/>
      <c r="M393" s="36"/>
      <c r="N393" s="105"/>
      <c r="O393" s="36"/>
      <c r="P393" s="36"/>
      <c r="Q393" s="36"/>
      <c r="R393" s="105"/>
      <c r="S393" s="36"/>
      <c r="T393" s="36"/>
      <c r="U393" s="36"/>
      <c r="V393" s="105"/>
      <c r="W393" s="36"/>
      <c r="X393" s="36"/>
      <c r="Y393" s="36"/>
      <c r="Z393" s="105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42"/>
      <c r="AO393" s="42"/>
      <c r="AP393" s="36"/>
      <c r="AQ393" s="36"/>
      <c r="AR393" s="42"/>
      <c r="AS393" s="42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</row>
    <row r="394" spans="1:56" ht="15.75" x14ac:dyDescent="0.25">
      <c r="A394" s="44"/>
      <c r="B394" s="36"/>
      <c r="C394" s="36"/>
      <c r="D394" s="36"/>
      <c r="E394" s="36"/>
      <c r="F394" s="36"/>
      <c r="G394" s="36"/>
      <c r="H394" s="36"/>
      <c r="I394" s="36"/>
      <c r="J394" s="105"/>
      <c r="K394" s="36"/>
      <c r="L394" s="36"/>
      <c r="M394" s="36"/>
      <c r="N394" s="105"/>
      <c r="O394" s="36"/>
      <c r="P394" s="36"/>
      <c r="Q394" s="36"/>
      <c r="R394" s="105"/>
      <c r="S394" s="36"/>
      <c r="T394" s="36"/>
      <c r="U394" s="36"/>
      <c r="V394" s="105"/>
      <c r="W394" s="36"/>
      <c r="X394" s="36"/>
      <c r="Y394" s="36"/>
      <c r="Z394" s="105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42"/>
      <c r="AO394" s="42"/>
      <c r="AP394" s="36"/>
      <c r="AQ394" s="36"/>
      <c r="AR394" s="42"/>
      <c r="AS394" s="42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</row>
    <row r="395" spans="1:56" ht="15.75" x14ac:dyDescent="0.25">
      <c r="A395" s="44"/>
      <c r="B395" s="36"/>
      <c r="C395" s="36"/>
      <c r="D395" s="36"/>
      <c r="E395" s="36"/>
      <c r="F395" s="36"/>
      <c r="G395" s="36"/>
      <c r="H395" s="36"/>
      <c r="I395" s="36"/>
      <c r="J395" s="105"/>
      <c r="K395" s="36"/>
      <c r="L395" s="36"/>
      <c r="M395" s="36"/>
      <c r="N395" s="105"/>
      <c r="O395" s="36"/>
      <c r="P395" s="36"/>
      <c r="Q395" s="36"/>
      <c r="R395" s="105"/>
      <c r="S395" s="36"/>
      <c r="T395" s="36"/>
      <c r="U395" s="36"/>
      <c r="V395" s="105"/>
      <c r="W395" s="36"/>
      <c r="X395" s="36"/>
      <c r="Y395" s="36"/>
      <c r="Z395" s="105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42"/>
      <c r="AO395" s="42"/>
      <c r="AP395" s="36"/>
      <c r="AQ395" s="36"/>
      <c r="AR395" s="42"/>
      <c r="AS395" s="42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</row>
    <row r="396" spans="1:56" ht="15.75" x14ac:dyDescent="0.25">
      <c r="A396" s="44"/>
      <c r="B396" s="36"/>
      <c r="C396" s="36"/>
      <c r="D396" s="36"/>
      <c r="E396" s="36"/>
      <c r="F396" s="36"/>
      <c r="G396" s="36"/>
      <c r="H396" s="36"/>
      <c r="I396" s="36"/>
      <c r="J396" s="105"/>
      <c r="K396" s="36"/>
      <c r="L396" s="36"/>
      <c r="M396" s="36"/>
      <c r="N396" s="105"/>
      <c r="O396" s="36"/>
      <c r="P396" s="36"/>
      <c r="Q396" s="36"/>
      <c r="R396" s="105"/>
      <c r="S396" s="36"/>
      <c r="T396" s="36"/>
      <c r="U396" s="36"/>
      <c r="V396" s="105"/>
      <c r="W396" s="36"/>
      <c r="X396" s="36"/>
      <c r="Y396" s="36"/>
      <c r="Z396" s="105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42"/>
      <c r="AO396" s="42"/>
      <c r="AP396" s="36"/>
      <c r="AQ396" s="36"/>
      <c r="AR396" s="42"/>
      <c r="AS396" s="42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</row>
    <row r="397" spans="1:56" ht="15.75" x14ac:dyDescent="0.25">
      <c r="A397" s="44"/>
      <c r="B397" s="36"/>
      <c r="C397" s="36"/>
      <c r="D397" s="36"/>
      <c r="E397" s="36"/>
      <c r="F397" s="36"/>
      <c r="G397" s="36"/>
      <c r="H397" s="36"/>
      <c r="I397" s="36"/>
      <c r="J397" s="105"/>
      <c r="K397" s="36"/>
      <c r="L397" s="36"/>
      <c r="M397" s="36"/>
      <c r="N397" s="105"/>
      <c r="O397" s="36"/>
      <c r="P397" s="36"/>
      <c r="Q397" s="36"/>
      <c r="R397" s="105"/>
      <c r="S397" s="36"/>
      <c r="T397" s="36"/>
      <c r="U397" s="36"/>
      <c r="V397" s="105"/>
      <c r="W397" s="36"/>
      <c r="X397" s="36"/>
      <c r="Y397" s="36"/>
      <c r="Z397" s="105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42"/>
      <c r="AO397" s="42"/>
      <c r="AP397" s="36"/>
      <c r="AQ397" s="36"/>
      <c r="AR397" s="42"/>
      <c r="AS397" s="42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</row>
    <row r="398" spans="1:56" ht="15.75" x14ac:dyDescent="0.25">
      <c r="A398" s="44"/>
      <c r="B398" s="36"/>
      <c r="C398" s="36"/>
      <c r="D398" s="36"/>
      <c r="E398" s="36"/>
      <c r="F398" s="36"/>
      <c r="G398" s="36"/>
      <c r="H398" s="36"/>
      <c r="I398" s="36"/>
      <c r="J398" s="105"/>
      <c r="K398" s="36"/>
      <c r="L398" s="36"/>
      <c r="M398" s="36"/>
      <c r="N398" s="105"/>
      <c r="O398" s="36"/>
      <c r="P398" s="36"/>
      <c r="Q398" s="36"/>
      <c r="R398" s="105"/>
      <c r="S398" s="36"/>
      <c r="T398" s="36"/>
      <c r="U398" s="36"/>
      <c r="V398" s="105"/>
      <c r="W398" s="36"/>
      <c r="X398" s="36"/>
      <c r="Y398" s="36"/>
      <c r="Z398" s="105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42"/>
      <c r="AO398" s="42"/>
      <c r="AP398" s="36"/>
      <c r="AQ398" s="36"/>
      <c r="AR398" s="42"/>
      <c r="AS398" s="42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</row>
    <row r="399" spans="1:56" ht="15.75" x14ac:dyDescent="0.25">
      <c r="A399" s="44"/>
      <c r="B399" s="36"/>
      <c r="C399" s="36"/>
      <c r="D399" s="36"/>
      <c r="E399" s="36"/>
      <c r="F399" s="36"/>
      <c r="G399" s="36"/>
      <c r="H399" s="36"/>
      <c r="I399" s="36"/>
      <c r="J399" s="105"/>
      <c r="K399" s="36"/>
      <c r="L399" s="36"/>
      <c r="M399" s="36"/>
      <c r="N399" s="105"/>
      <c r="O399" s="36"/>
      <c r="P399" s="36"/>
      <c r="Q399" s="36"/>
      <c r="R399" s="105"/>
      <c r="S399" s="36"/>
      <c r="T399" s="36"/>
      <c r="U399" s="36"/>
      <c r="V399" s="105"/>
      <c r="W399" s="36"/>
      <c r="X399" s="36"/>
      <c r="Y399" s="36"/>
      <c r="Z399" s="105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42"/>
      <c r="AO399" s="42"/>
      <c r="AP399" s="36"/>
      <c r="AQ399" s="36"/>
      <c r="AR399" s="42"/>
      <c r="AS399" s="42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</row>
    <row r="400" spans="1:56" ht="15.75" x14ac:dyDescent="0.25">
      <c r="A400" s="44"/>
      <c r="B400" s="36"/>
      <c r="C400" s="36"/>
      <c r="D400" s="36"/>
      <c r="E400" s="36"/>
      <c r="F400" s="36"/>
      <c r="G400" s="36"/>
      <c r="H400" s="36"/>
      <c r="I400" s="36"/>
      <c r="J400" s="105"/>
      <c r="K400" s="36"/>
      <c r="L400" s="36"/>
      <c r="M400" s="36"/>
      <c r="N400" s="105"/>
      <c r="O400" s="36"/>
      <c r="P400" s="36"/>
      <c r="Q400" s="36"/>
      <c r="R400" s="105"/>
      <c r="S400" s="36"/>
      <c r="T400" s="36"/>
      <c r="U400" s="36"/>
      <c r="V400" s="105"/>
      <c r="W400" s="36"/>
      <c r="X400" s="36"/>
      <c r="Y400" s="36"/>
      <c r="Z400" s="105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42"/>
      <c r="AO400" s="42"/>
      <c r="AP400" s="36"/>
      <c r="AQ400" s="36"/>
      <c r="AR400" s="42"/>
      <c r="AS400" s="42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</row>
    <row r="401" spans="1:56" ht="15.75" x14ac:dyDescent="0.25">
      <c r="A401" s="44"/>
      <c r="B401" s="36"/>
      <c r="C401" s="36"/>
      <c r="D401" s="36"/>
      <c r="E401" s="36"/>
      <c r="F401" s="36"/>
      <c r="G401" s="36"/>
      <c r="H401" s="36"/>
      <c r="I401" s="36"/>
      <c r="J401" s="105"/>
      <c r="K401" s="36"/>
      <c r="L401" s="36"/>
      <c r="M401" s="36"/>
      <c r="N401" s="105"/>
      <c r="O401" s="36"/>
      <c r="P401" s="36"/>
      <c r="Q401" s="36"/>
      <c r="R401" s="105"/>
      <c r="S401" s="36"/>
      <c r="T401" s="36"/>
      <c r="U401" s="36"/>
      <c r="V401" s="105"/>
      <c r="W401" s="36"/>
      <c r="X401" s="36"/>
      <c r="Y401" s="36"/>
      <c r="Z401" s="105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42"/>
      <c r="AO401" s="42"/>
      <c r="AP401" s="36"/>
      <c r="AQ401" s="36"/>
      <c r="AR401" s="42"/>
      <c r="AS401" s="42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</row>
    <row r="402" spans="1:56" ht="15.75" x14ac:dyDescent="0.25">
      <c r="A402" s="44"/>
      <c r="B402" s="36"/>
      <c r="C402" s="36"/>
      <c r="D402" s="36"/>
      <c r="E402" s="36"/>
      <c r="F402" s="36"/>
      <c r="G402" s="36"/>
      <c r="H402" s="36"/>
      <c r="I402" s="36"/>
      <c r="J402" s="105"/>
      <c r="K402" s="36"/>
      <c r="L402" s="36"/>
      <c r="M402" s="36"/>
      <c r="N402" s="105"/>
      <c r="O402" s="36"/>
      <c r="P402" s="36"/>
      <c r="Q402" s="36"/>
      <c r="R402" s="105"/>
      <c r="S402" s="36"/>
      <c r="T402" s="36"/>
      <c r="U402" s="36"/>
      <c r="V402" s="105"/>
      <c r="W402" s="36"/>
      <c r="X402" s="36"/>
      <c r="Y402" s="36"/>
      <c r="Z402" s="105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42"/>
      <c r="AO402" s="42"/>
      <c r="AP402" s="36"/>
      <c r="AQ402" s="36"/>
      <c r="AR402" s="42"/>
      <c r="AS402" s="42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</row>
    <row r="403" spans="1:56" ht="15.75" x14ac:dyDescent="0.25">
      <c r="A403" s="44"/>
      <c r="B403" s="36"/>
      <c r="C403" s="36"/>
      <c r="D403" s="36"/>
      <c r="E403" s="36"/>
      <c r="F403" s="36"/>
      <c r="G403" s="36"/>
      <c r="H403" s="36"/>
      <c r="I403" s="36"/>
      <c r="J403" s="105"/>
      <c r="K403" s="36"/>
      <c r="L403" s="36"/>
      <c r="M403" s="36"/>
      <c r="N403" s="105"/>
      <c r="O403" s="36"/>
      <c r="P403" s="36"/>
      <c r="Q403" s="36"/>
      <c r="R403" s="105"/>
      <c r="S403" s="36"/>
      <c r="T403" s="36"/>
      <c r="U403" s="36"/>
      <c r="V403" s="105"/>
      <c r="W403" s="36"/>
      <c r="X403" s="36"/>
      <c r="Y403" s="36"/>
      <c r="Z403" s="105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42"/>
      <c r="AO403" s="42"/>
      <c r="AP403" s="36"/>
      <c r="AQ403" s="36"/>
      <c r="AR403" s="42"/>
      <c r="AS403" s="42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</row>
    <row r="404" spans="1:56" ht="15.75" x14ac:dyDescent="0.25">
      <c r="A404" s="44"/>
      <c r="B404" s="36"/>
      <c r="C404" s="36"/>
      <c r="D404" s="36"/>
      <c r="E404" s="36"/>
      <c r="F404" s="36"/>
      <c r="G404" s="36"/>
      <c r="H404" s="36"/>
      <c r="I404" s="36"/>
      <c r="J404" s="105"/>
      <c r="K404" s="36"/>
      <c r="L404" s="36"/>
      <c r="M404" s="36"/>
      <c r="N404" s="105"/>
      <c r="O404" s="36"/>
      <c r="P404" s="36"/>
      <c r="Q404" s="36"/>
      <c r="R404" s="105"/>
      <c r="S404" s="36"/>
      <c r="T404" s="36"/>
      <c r="U404" s="36"/>
      <c r="V404" s="105"/>
      <c r="W404" s="36"/>
      <c r="X404" s="36"/>
      <c r="Y404" s="36"/>
      <c r="Z404" s="105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42"/>
      <c r="AO404" s="42"/>
      <c r="AP404" s="36"/>
      <c r="AQ404" s="36"/>
      <c r="AR404" s="42"/>
      <c r="AS404" s="42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</row>
    <row r="405" spans="1:56" ht="15.75" x14ac:dyDescent="0.25">
      <c r="A405" s="44"/>
      <c r="B405" s="36"/>
      <c r="C405" s="36"/>
      <c r="D405" s="36"/>
      <c r="E405" s="36"/>
      <c r="F405" s="36"/>
      <c r="G405" s="36"/>
      <c r="H405" s="36"/>
      <c r="I405" s="36"/>
      <c r="J405" s="105"/>
      <c r="K405" s="36"/>
      <c r="L405" s="36"/>
      <c r="M405" s="36"/>
      <c r="N405" s="105"/>
      <c r="O405" s="36"/>
      <c r="P405" s="36"/>
      <c r="Q405" s="36"/>
      <c r="R405" s="105"/>
      <c r="S405" s="36"/>
      <c r="T405" s="36"/>
      <c r="U405" s="36"/>
      <c r="V405" s="105"/>
      <c r="W405" s="36"/>
      <c r="X405" s="36"/>
      <c r="Y405" s="36"/>
      <c r="Z405" s="105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42"/>
      <c r="AO405" s="42"/>
      <c r="AP405" s="36"/>
      <c r="AQ405" s="36"/>
      <c r="AR405" s="42"/>
      <c r="AS405" s="42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</row>
    <row r="406" spans="1:56" ht="15.75" x14ac:dyDescent="0.25">
      <c r="A406" s="44"/>
      <c r="B406" s="36"/>
      <c r="C406" s="36"/>
      <c r="D406" s="36"/>
      <c r="E406" s="36"/>
      <c r="F406" s="36"/>
      <c r="G406" s="36"/>
      <c r="H406" s="36"/>
      <c r="I406" s="36"/>
      <c r="J406" s="105"/>
      <c r="K406" s="36"/>
      <c r="L406" s="36"/>
      <c r="M406" s="36"/>
      <c r="N406" s="105"/>
      <c r="O406" s="36"/>
      <c r="P406" s="36"/>
      <c r="Q406" s="36"/>
      <c r="R406" s="105"/>
      <c r="S406" s="36"/>
      <c r="T406" s="36"/>
      <c r="U406" s="36"/>
      <c r="V406" s="105"/>
      <c r="W406" s="36"/>
      <c r="X406" s="36"/>
      <c r="Y406" s="36"/>
      <c r="Z406" s="105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42"/>
      <c r="AO406" s="42"/>
      <c r="AP406" s="36"/>
      <c r="AQ406" s="36"/>
      <c r="AR406" s="42"/>
      <c r="AS406" s="42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</row>
    <row r="407" spans="1:56" ht="15.75" x14ac:dyDescent="0.25">
      <c r="A407" s="44"/>
      <c r="B407" s="36"/>
      <c r="C407" s="36"/>
      <c r="D407" s="36"/>
      <c r="E407" s="36"/>
      <c r="F407" s="36"/>
      <c r="G407" s="36"/>
      <c r="H407" s="36"/>
      <c r="I407" s="36"/>
      <c r="J407" s="105"/>
      <c r="K407" s="36"/>
      <c r="L407" s="36"/>
      <c r="M407" s="36"/>
      <c r="N407" s="105"/>
      <c r="O407" s="36"/>
      <c r="P407" s="36"/>
      <c r="Q407" s="36"/>
      <c r="R407" s="105"/>
      <c r="S407" s="36"/>
      <c r="T407" s="36"/>
      <c r="U407" s="36"/>
      <c r="V407" s="105"/>
      <c r="W407" s="36"/>
      <c r="X407" s="36"/>
      <c r="Y407" s="36"/>
      <c r="Z407" s="105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42"/>
      <c r="AO407" s="42"/>
      <c r="AP407" s="36"/>
      <c r="AQ407" s="36"/>
      <c r="AR407" s="42"/>
      <c r="AS407" s="42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</row>
    <row r="408" spans="1:56" ht="15.75" x14ac:dyDescent="0.25">
      <c r="A408" s="44"/>
      <c r="B408" s="36"/>
      <c r="C408" s="36"/>
      <c r="D408" s="36"/>
      <c r="E408" s="36"/>
      <c r="F408" s="36"/>
      <c r="G408" s="36"/>
      <c r="H408" s="36"/>
      <c r="I408" s="36"/>
      <c r="J408" s="105"/>
      <c r="K408" s="36"/>
      <c r="L408" s="36"/>
      <c r="M408" s="36"/>
      <c r="N408" s="105"/>
      <c r="O408" s="36"/>
      <c r="P408" s="36"/>
      <c r="Q408" s="36"/>
      <c r="R408" s="105"/>
      <c r="S408" s="36"/>
      <c r="T408" s="36"/>
      <c r="U408" s="36"/>
      <c r="V408" s="105"/>
      <c r="W408" s="36"/>
      <c r="X408" s="36"/>
      <c r="Y408" s="36"/>
      <c r="Z408" s="105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42"/>
      <c r="AO408" s="42"/>
      <c r="AP408" s="36"/>
      <c r="AQ408" s="36"/>
      <c r="AR408" s="42"/>
      <c r="AS408" s="42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</row>
    <row r="409" spans="1:56" ht="15.75" x14ac:dyDescent="0.25">
      <c r="A409" s="44"/>
      <c r="B409" s="36"/>
      <c r="C409" s="36"/>
      <c r="D409" s="36"/>
      <c r="E409" s="36"/>
      <c r="F409" s="36"/>
      <c r="G409" s="36"/>
      <c r="H409" s="36"/>
      <c r="I409" s="36"/>
      <c r="J409" s="105"/>
      <c r="K409" s="36"/>
      <c r="L409" s="36"/>
      <c r="M409" s="36"/>
      <c r="N409" s="105"/>
      <c r="O409" s="36"/>
      <c r="P409" s="36"/>
      <c r="Q409" s="36"/>
      <c r="R409" s="105"/>
      <c r="S409" s="36"/>
      <c r="T409" s="36"/>
      <c r="U409" s="36"/>
      <c r="V409" s="105"/>
      <c r="W409" s="36"/>
      <c r="X409" s="36"/>
      <c r="Y409" s="36"/>
      <c r="Z409" s="105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42"/>
      <c r="AO409" s="42"/>
      <c r="AP409" s="36"/>
      <c r="AQ409" s="36"/>
      <c r="AR409" s="42"/>
      <c r="AS409" s="42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</row>
    <row r="410" spans="1:56" ht="15.75" x14ac:dyDescent="0.25">
      <c r="A410" s="44"/>
      <c r="B410" s="36"/>
      <c r="C410" s="36"/>
      <c r="D410" s="36"/>
      <c r="E410" s="36"/>
      <c r="F410" s="36"/>
      <c r="G410" s="36"/>
      <c r="H410" s="36"/>
      <c r="I410" s="36"/>
      <c r="J410" s="105"/>
      <c r="K410" s="36"/>
      <c r="L410" s="36"/>
      <c r="M410" s="36"/>
      <c r="N410" s="105"/>
      <c r="O410" s="36"/>
      <c r="P410" s="36"/>
      <c r="Q410" s="36"/>
      <c r="R410" s="105"/>
      <c r="S410" s="36"/>
      <c r="T410" s="36"/>
      <c r="U410" s="36"/>
      <c r="V410" s="105"/>
      <c r="W410" s="36"/>
      <c r="X410" s="36"/>
      <c r="Y410" s="36"/>
      <c r="Z410" s="105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42"/>
      <c r="AO410" s="42"/>
      <c r="AP410" s="36"/>
      <c r="AQ410" s="36"/>
      <c r="AR410" s="42"/>
      <c r="AS410" s="42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</row>
    <row r="411" spans="1:56" ht="15.75" x14ac:dyDescent="0.25">
      <c r="A411" s="44"/>
      <c r="B411" s="36"/>
      <c r="C411" s="36"/>
      <c r="D411" s="36"/>
      <c r="E411" s="36"/>
      <c r="F411" s="36"/>
      <c r="G411" s="36"/>
      <c r="H411" s="36"/>
      <c r="I411" s="36"/>
      <c r="J411" s="105"/>
      <c r="K411" s="36"/>
      <c r="L411" s="36"/>
      <c r="M411" s="36"/>
      <c r="N411" s="105"/>
      <c r="O411" s="36"/>
      <c r="P411" s="36"/>
      <c r="Q411" s="36"/>
      <c r="R411" s="105"/>
      <c r="S411" s="36"/>
      <c r="T411" s="36"/>
      <c r="U411" s="36"/>
      <c r="V411" s="105"/>
      <c r="W411" s="36"/>
      <c r="X411" s="36"/>
      <c r="Y411" s="36"/>
      <c r="Z411" s="105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42"/>
      <c r="AO411" s="42"/>
      <c r="AP411" s="36"/>
      <c r="AQ411" s="36"/>
      <c r="AR411" s="42"/>
      <c r="AS411" s="42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</row>
    <row r="412" spans="1:56" ht="15.75" x14ac:dyDescent="0.25">
      <c r="A412" s="44"/>
      <c r="B412" s="36"/>
      <c r="C412" s="36"/>
      <c r="D412" s="36"/>
      <c r="E412" s="36"/>
      <c r="F412" s="36"/>
      <c r="G412" s="36"/>
      <c r="H412" s="36"/>
      <c r="I412" s="36"/>
      <c r="J412" s="105"/>
      <c r="K412" s="36"/>
      <c r="L412" s="36"/>
      <c r="M412" s="36"/>
      <c r="N412" s="105"/>
      <c r="O412" s="36"/>
      <c r="P412" s="36"/>
      <c r="Q412" s="36"/>
      <c r="R412" s="105"/>
      <c r="S412" s="36"/>
      <c r="T412" s="36"/>
      <c r="U412" s="36"/>
      <c r="V412" s="105"/>
      <c r="W412" s="36"/>
      <c r="X412" s="36"/>
      <c r="Y412" s="36"/>
      <c r="Z412" s="105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42"/>
      <c r="AO412" s="42"/>
      <c r="AP412" s="36"/>
      <c r="AQ412" s="36"/>
      <c r="AR412" s="42"/>
      <c r="AS412" s="42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</row>
    <row r="413" spans="1:56" ht="15.75" x14ac:dyDescent="0.25">
      <c r="A413" s="44"/>
      <c r="B413" s="36"/>
      <c r="C413" s="36"/>
      <c r="D413" s="36"/>
      <c r="E413" s="36"/>
      <c r="F413" s="36"/>
      <c r="G413" s="36"/>
      <c r="H413" s="36"/>
      <c r="I413" s="36"/>
      <c r="J413" s="105"/>
      <c r="K413" s="36"/>
      <c r="L413" s="36"/>
      <c r="M413" s="36"/>
      <c r="N413" s="105"/>
      <c r="O413" s="36"/>
      <c r="P413" s="36"/>
      <c r="Q413" s="36"/>
      <c r="R413" s="105"/>
      <c r="S413" s="36"/>
      <c r="T413" s="36"/>
      <c r="U413" s="36"/>
      <c r="V413" s="105"/>
      <c r="W413" s="36"/>
      <c r="X413" s="36"/>
      <c r="Y413" s="36"/>
      <c r="Z413" s="105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42"/>
      <c r="AO413" s="42"/>
      <c r="AP413" s="36"/>
      <c r="AQ413" s="36"/>
      <c r="AR413" s="42"/>
      <c r="AS413" s="42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</row>
    <row r="414" spans="1:56" ht="15.75" x14ac:dyDescent="0.25">
      <c r="A414" s="44"/>
      <c r="B414" s="36"/>
      <c r="C414" s="36"/>
      <c r="D414" s="36"/>
      <c r="E414" s="36"/>
      <c r="F414" s="36"/>
      <c r="G414" s="36"/>
      <c r="H414" s="36"/>
      <c r="I414" s="36"/>
      <c r="J414" s="105"/>
      <c r="K414" s="36"/>
      <c r="L414" s="36"/>
      <c r="M414" s="36"/>
      <c r="N414" s="105"/>
      <c r="O414" s="36"/>
      <c r="P414" s="36"/>
      <c r="Q414" s="36"/>
      <c r="R414" s="105"/>
      <c r="S414" s="36"/>
      <c r="T414" s="36"/>
      <c r="U414" s="36"/>
      <c r="V414" s="105"/>
      <c r="W414" s="36"/>
      <c r="X414" s="36"/>
      <c r="Y414" s="36"/>
      <c r="Z414" s="105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42"/>
      <c r="AO414" s="42"/>
      <c r="AP414" s="36"/>
      <c r="AQ414" s="36"/>
      <c r="AR414" s="42"/>
      <c r="AS414" s="42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</row>
    <row r="415" spans="1:56" ht="15.75" x14ac:dyDescent="0.25">
      <c r="A415" s="44"/>
      <c r="B415" s="36"/>
      <c r="C415" s="36"/>
      <c r="D415" s="36"/>
      <c r="E415" s="36"/>
      <c r="F415" s="36"/>
      <c r="G415" s="36"/>
      <c r="H415" s="36"/>
      <c r="I415" s="36"/>
      <c r="J415" s="105"/>
      <c r="K415" s="36"/>
      <c r="L415" s="36"/>
      <c r="M415" s="36"/>
      <c r="N415" s="105"/>
      <c r="O415" s="36"/>
      <c r="P415" s="36"/>
      <c r="Q415" s="36"/>
      <c r="R415" s="105"/>
      <c r="S415" s="36"/>
      <c r="T415" s="36"/>
      <c r="U415" s="36"/>
      <c r="V415" s="105"/>
      <c r="W415" s="36"/>
      <c r="X415" s="36"/>
      <c r="Y415" s="36"/>
      <c r="Z415" s="105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42"/>
      <c r="AO415" s="42"/>
      <c r="AP415" s="36"/>
      <c r="AQ415" s="36"/>
      <c r="AR415" s="42"/>
      <c r="AS415" s="42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</row>
    <row r="416" spans="1:56" ht="15.75" x14ac:dyDescent="0.25">
      <c r="A416" s="44"/>
      <c r="B416" s="36"/>
      <c r="C416" s="36"/>
      <c r="D416" s="36"/>
      <c r="E416" s="36"/>
      <c r="F416" s="36"/>
      <c r="G416" s="36"/>
      <c r="H416" s="36"/>
      <c r="I416" s="36"/>
      <c r="J416" s="105"/>
      <c r="K416" s="36"/>
      <c r="L416" s="36"/>
      <c r="M416" s="36"/>
      <c r="N416" s="105"/>
      <c r="O416" s="36"/>
      <c r="P416" s="36"/>
      <c r="Q416" s="36"/>
      <c r="R416" s="105"/>
      <c r="S416" s="36"/>
      <c r="T416" s="36"/>
      <c r="U416" s="36"/>
      <c r="V416" s="105"/>
      <c r="W416" s="36"/>
      <c r="X416" s="36"/>
      <c r="Y416" s="36"/>
      <c r="Z416" s="105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42"/>
      <c r="AO416" s="42"/>
      <c r="AP416" s="36"/>
      <c r="AQ416" s="36"/>
      <c r="AR416" s="42"/>
      <c r="AS416" s="42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</row>
    <row r="417" spans="1:56" ht="15.75" x14ac:dyDescent="0.25">
      <c r="A417" s="44"/>
      <c r="B417" s="36"/>
      <c r="C417" s="36"/>
      <c r="D417" s="36"/>
      <c r="E417" s="36"/>
      <c r="F417" s="36"/>
      <c r="G417" s="36"/>
      <c r="H417" s="36"/>
      <c r="I417" s="36"/>
      <c r="J417" s="105"/>
      <c r="K417" s="36"/>
      <c r="L417" s="36"/>
      <c r="M417" s="36"/>
      <c r="N417" s="105"/>
      <c r="O417" s="36"/>
      <c r="P417" s="36"/>
      <c r="Q417" s="36"/>
      <c r="R417" s="105"/>
      <c r="S417" s="36"/>
      <c r="T417" s="36"/>
      <c r="U417" s="36"/>
      <c r="V417" s="105"/>
      <c r="W417" s="36"/>
      <c r="X417" s="36"/>
      <c r="Y417" s="36"/>
      <c r="Z417" s="105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42"/>
      <c r="AO417" s="42"/>
      <c r="AP417" s="36"/>
      <c r="AQ417" s="36"/>
      <c r="AR417" s="42"/>
      <c r="AS417" s="42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</row>
    <row r="418" spans="1:56" ht="15.75" x14ac:dyDescent="0.25">
      <c r="A418" s="44"/>
      <c r="B418" s="36"/>
      <c r="C418" s="36"/>
      <c r="D418" s="36"/>
      <c r="E418" s="36"/>
      <c r="F418" s="36"/>
      <c r="G418" s="36"/>
      <c r="H418" s="36"/>
      <c r="I418" s="36"/>
      <c r="J418" s="105"/>
      <c r="K418" s="36"/>
      <c r="L418" s="36"/>
      <c r="M418" s="36"/>
      <c r="N418" s="105"/>
      <c r="O418" s="36"/>
      <c r="P418" s="36"/>
      <c r="Q418" s="36"/>
      <c r="R418" s="105"/>
      <c r="S418" s="36"/>
      <c r="T418" s="36"/>
      <c r="U418" s="36"/>
      <c r="V418" s="105"/>
      <c r="W418" s="36"/>
      <c r="X418" s="36"/>
      <c r="Y418" s="36"/>
      <c r="Z418" s="105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42"/>
      <c r="AO418" s="42"/>
      <c r="AP418" s="36"/>
      <c r="AQ418" s="36"/>
      <c r="AR418" s="42"/>
      <c r="AS418" s="42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</row>
    <row r="419" spans="1:56" ht="15.75" x14ac:dyDescent="0.25">
      <c r="A419" s="44"/>
      <c r="B419" s="36"/>
      <c r="C419" s="36"/>
      <c r="D419" s="36"/>
      <c r="E419" s="36"/>
      <c r="F419" s="36"/>
      <c r="G419" s="36"/>
      <c r="H419" s="36"/>
      <c r="I419" s="36"/>
      <c r="J419" s="105"/>
      <c r="K419" s="36"/>
      <c r="L419" s="36"/>
      <c r="M419" s="36"/>
      <c r="N419" s="105"/>
      <c r="O419" s="36"/>
      <c r="P419" s="36"/>
      <c r="Q419" s="36"/>
      <c r="R419" s="105"/>
      <c r="S419" s="36"/>
      <c r="T419" s="36"/>
      <c r="U419" s="36"/>
      <c r="V419" s="105"/>
      <c r="W419" s="36"/>
      <c r="X419" s="36"/>
      <c r="Y419" s="36"/>
      <c r="Z419" s="105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42"/>
      <c r="AO419" s="42"/>
      <c r="AP419" s="36"/>
      <c r="AQ419" s="36"/>
      <c r="AR419" s="42"/>
      <c r="AS419" s="42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</row>
    <row r="420" spans="1:56" ht="15.75" x14ac:dyDescent="0.25">
      <c r="A420" s="44"/>
      <c r="B420" s="36"/>
      <c r="C420" s="36"/>
      <c r="D420" s="36"/>
      <c r="E420" s="36"/>
      <c r="F420" s="36"/>
      <c r="G420" s="36"/>
      <c r="H420" s="36"/>
      <c r="I420" s="36"/>
      <c r="J420" s="105"/>
      <c r="K420" s="36"/>
      <c r="L420" s="36"/>
      <c r="M420" s="36"/>
      <c r="N420" s="105"/>
      <c r="O420" s="36"/>
      <c r="P420" s="36"/>
      <c r="Q420" s="36"/>
      <c r="R420" s="105"/>
      <c r="S420" s="36"/>
      <c r="T420" s="36"/>
      <c r="U420" s="36"/>
      <c r="V420" s="105"/>
      <c r="W420" s="36"/>
      <c r="X420" s="36"/>
      <c r="Y420" s="36"/>
      <c r="Z420" s="105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42"/>
      <c r="AO420" s="42"/>
      <c r="AP420" s="36"/>
      <c r="AQ420" s="36"/>
      <c r="AR420" s="42"/>
      <c r="AS420" s="42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</row>
    <row r="421" spans="1:56" ht="15.75" x14ac:dyDescent="0.25">
      <c r="A421" s="44"/>
      <c r="B421" s="36"/>
      <c r="C421" s="36"/>
      <c r="D421" s="36"/>
      <c r="E421" s="36"/>
      <c r="F421" s="36"/>
      <c r="G421" s="36"/>
      <c r="H421" s="36"/>
      <c r="I421" s="36"/>
      <c r="J421" s="105"/>
      <c r="K421" s="36"/>
      <c r="L421" s="36"/>
      <c r="M421" s="36"/>
      <c r="N421" s="105"/>
      <c r="O421" s="36"/>
      <c r="P421" s="36"/>
      <c r="Q421" s="36"/>
      <c r="R421" s="105"/>
      <c r="S421" s="36"/>
      <c r="T421" s="36"/>
      <c r="U421" s="36"/>
      <c r="V421" s="105"/>
      <c r="W421" s="36"/>
      <c r="X421" s="36"/>
      <c r="Y421" s="36"/>
      <c r="Z421" s="105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42"/>
      <c r="AO421" s="42"/>
      <c r="AP421" s="36"/>
      <c r="AQ421" s="36"/>
      <c r="AR421" s="42"/>
      <c r="AS421" s="42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</row>
    <row r="422" spans="1:56" ht="15.75" x14ac:dyDescent="0.25">
      <c r="A422" s="44"/>
      <c r="B422" s="36"/>
      <c r="C422" s="36"/>
      <c r="D422" s="36"/>
      <c r="E422" s="36"/>
      <c r="F422" s="36"/>
      <c r="G422" s="36"/>
      <c r="H422" s="36"/>
      <c r="I422" s="36"/>
      <c r="J422" s="105"/>
      <c r="K422" s="36"/>
      <c r="L422" s="36"/>
      <c r="M422" s="36"/>
      <c r="N422" s="105"/>
      <c r="O422" s="36"/>
      <c r="P422" s="36"/>
      <c r="Q422" s="36"/>
      <c r="R422" s="105"/>
      <c r="S422" s="36"/>
      <c r="T422" s="36"/>
      <c r="U422" s="36"/>
      <c r="V422" s="105"/>
      <c r="W422" s="36"/>
      <c r="X422" s="36"/>
      <c r="Y422" s="36"/>
      <c r="Z422" s="105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42"/>
      <c r="AO422" s="42"/>
      <c r="AP422" s="36"/>
      <c r="AQ422" s="36"/>
      <c r="AR422" s="42"/>
      <c r="AS422" s="42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</row>
    <row r="423" spans="1:56" ht="15.75" x14ac:dyDescent="0.25">
      <c r="A423" s="44"/>
      <c r="B423" s="36"/>
      <c r="C423" s="36"/>
      <c r="D423" s="36"/>
      <c r="E423" s="36"/>
      <c r="F423" s="36"/>
      <c r="G423" s="36"/>
      <c r="H423" s="36"/>
      <c r="I423" s="36"/>
      <c r="J423" s="105"/>
      <c r="K423" s="36"/>
      <c r="L423" s="36"/>
      <c r="M423" s="36"/>
      <c r="N423" s="105"/>
      <c r="O423" s="36"/>
      <c r="P423" s="36"/>
      <c r="Q423" s="36"/>
      <c r="R423" s="105"/>
      <c r="S423" s="36"/>
      <c r="T423" s="36"/>
      <c r="U423" s="36"/>
      <c r="V423" s="105"/>
      <c r="W423" s="36"/>
      <c r="X423" s="36"/>
      <c r="Y423" s="36"/>
      <c r="Z423" s="105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42"/>
      <c r="AO423" s="42"/>
      <c r="AP423" s="36"/>
      <c r="AQ423" s="36"/>
      <c r="AR423" s="42"/>
      <c r="AS423" s="42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</row>
    <row r="424" spans="1:56" ht="15.75" x14ac:dyDescent="0.25">
      <c r="A424" s="44"/>
      <c r="B424" s="36"/>
      <c r="C424" s="36"/>
      <c r="D424" s="36"/>
      <c r="E424" s="36"/>
      <c r="F424" s="36"/>
      <c r="G424" s="36"/>
      <c r="H424" s="36"/>
      <c r="I424" s="36"/>
      <c r="J424" s="105"/>
      <c r="K424" s="36"/>
      <c r="L424" s="36"/>
      <c r="M424" s="36"/>
      <c r="N424" s="105"/>
      <c r="O424" s="36"/>
      <c r="P424" s="36"/>
      <c r="Q424" s="36"/>
      <c r="R424" s="105"/>
      <c r="S424" s="36"/>
      <c r="T424" s="36"/>
      <c r="U424" s="36"/>
      <c r="V424" s="105"/>
      <c r="W424" s="36"/>
      <c r="X424" s="36"/>
      <c r="Y424" s="36"/>
      <c r="Z424" s="105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42"/>
      <c r="AO424" s="42"/>
      <c r="AP424" s="36"/>
      <c r="AQ424" s="36"/>
      <c r="AR424" s="42"/>
      <c r="AS424" s="42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</row>
    <row r="425" spans="1:56" ht="15.75" x14ac:dyDescent="0.25">
      <c r="A425" s="44"/>
      <c r="B425" s="36"/>
      <c r="C425" s="36"/>
      <c r="D425" s="36"/>
      <c r="E425" s="36"/>
      <c r="F425" s="36"/>
      <c r="G425" s="36"/>
      <c r="H425" s="36"/>
      <c r="I425" s="36"/>
      <c r="J425" s="105"/>
      <c r="K425" s="36"/>
      <c r="L425" s="36"/>
      <c r="M425" s="36"/>
      <c r="N425" s="105"/>
      <c r="O425" s="36"/>
      <c r="P425" s="36"/>
      <c r="Q425" s="36"/>
      <c r="R425" s="105"/>
      <c r="S425" s="36"/>
      <c r="T425" s="36"/>
      <c r="U425" s="36"/>
      <c r="V425" s="105"/>
      <c r="W425" s="36"/>
      <c r="X425" s="36"/>
      <c r="Y425" s="36"/>
      <c r="Z425" s="105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42"/>
      <c r="AO425" s="42"/>
      <c r="AP425" s="36"/>
      <c r="AQ425" s="36"/>
      <c r="AR425" s="42"/>
      <c r="AS425" s="42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</row>
    <row r="426" spans="1:56" ht="15.75" x14ac:dyDescent="0.25">
      <c r="A426" s="44"/>
      <c r="B426" s="36"/>
      <c r="C426" s="36"/>
      <c r="D426" s="36"/>
      <c r="E426" s="36"/>
      <c r="F426" s="36"/>
      <c r="G426" s="36"/>
      <c r="H426" s="36"/>
      <c r="I426" s="36"/>
      <c r="J426" s="105"/>
      <c r="K426" s="36"/>
      <c r="L426" s="36"/>
      <c r="M426" s="36"/>
      <c r="N426" s="105"/>
      <c r="O426" s="36"/>
      <c r="P426" s="36"/>
      <c r="Q426" s="36"/>
      <c r="R426" s="105"/>
      <c r="S426" s="36"/>
      <c r="T426" s="36"/>
      <c r="U426" s="36"/>
      <c r="V426" s="105"/>
      <c r="W426" s="36"/>
      <c r="X426" s="36"/>
      <c r="Y426" s="36"/>
      <c r="Z426" s="105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42"/>
      <c r="AO426" s="42"/>
      <c r="AP426" s="36"/>
      <c r="AQ426" s="36"/>
      <c r="AR426" s="42"/>
      <c r="AS426" s="42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</row>
    <row r="427" spans="1:56" ht="15.75" x14ac:dyDescent="0.25">
      <c r="A427" s="44"/>
      <c r="B427" s="36"/>
      <c r="C427" s="36"/>
      <c r="D427" s="36"/>
      <c r="E427" s="36"/>
      <c r="F427" s="36"/>
      <c r="G427" s="36"/>
      <c r="H427" s="36"/>
      <c r="I427" s="36"/>
      <c r="J427" s="105"/>
      <c r="K427" s="36"/>
      <c r="L427" s="36"/>
      <c r="M427" s="36"/>
      <c r="N427" s="105"/>
      <c r="O427" s="36"/>
      <c r="P427" s="36"/>
      <c r="Q427" s="36"/>
      <c r="R427" s="105"/>
      <c r="S427" s="36"/>
      <c r="T427" s="36"/>
      <c r="U427" s="36"/>
      <c r="V427" s="105"/>
      <c r="W427" s="36"/>
      <c r="X427" s="36"/>
      <c r="Y427" s="36"/>
      <c r="Z427" s="105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42"/>
      <c r="AO427" s="42"/>
      <c r="AP427" s="36"/>
      <c r="AQ427" s="36"/>
      <c r="AR427" s="42"/>
      <c r="AS427" s="42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</row>
    <row r="428" spans="1:56" ht="15.75" x14ac:dyDescent="0.25">
      <c r="A428" s="44"/>
      <c r="B428" s="36"/>
      <c r="C428" s="36"/>
      <c r="D428" s="36"/>
      <c r="E428" s="36"/>
      <c r="F428" s="36"/>
      <c r="G428" s="36"/>
      <c r="H428" s="36"/>
      <c r="I428" s="36"/>
      <c r="J428" s="105"/>
      <c r="K428" s="36"/>
      <c r="L428" s="36"/>
      <c r="M428" s="36"/>
      <c r="N428" s="105"/>
      <c r="O428" s="36"/>
      <c r="P428" s="36"/>
      <c r="Q428" s="36"/>
      <c r="R428" s="105"/>
      <c r="S428" s="36"/>
      <c r="T428" s="36"/>
      <c r="U428" s="36"/>
      <c r="V428" s="105"/>
      <c r="W428" s="36"/>
      <c r="X428" s="36"/>
      <c r="Y428" s="36"/>
      <c r="Z428" s="105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42"/>
      <c r="AO428" s="42"/>
      <c r="AP428" s="36"/>
      <c r="AQ428" s="36"/>
      <c r="AR428" s="42"/>
      <c r="AS428" s="42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</row>
    <row r="429" spans="1:56" ht="15.75" x14ac:dyDescent="0.25">
      <c r="A429" s="44"/>
      <c r="B429" s="36"/>
      <c r="C429" s="36"/>
      <c r="D429" s="36"/>
      <c r="E429" s="36"/>
      <c r="F429" s="36"/>
      <c r="G429" s="36"/>
      <c r="H429" s="36"/>
      <c r="I429" s="36"/>
      <c r="J429" s="105"/>
      <c r="K429" s="36"/>
      <c r="L429" s="36"/>
      <c r="M429" s="36"/>
      <c r="N429" s="105"/>
      <c r="O429" s="36"/>
      <c r="P429" s="36"/>
      <c r="Q429" s="36"/>
      <c r="R429" s="105"/>
      <c r="S429" s="36"/>
      <c r="T429" s="36"/>
      <c r="U429" s="36"/>
      <c r="V429" s="105"/>
      <c r="W429" s="36"/>
      <c r="X429" s="36"/>
      <c r="Y429" s="36"/>
      <c r="Z429" s="105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42"/>
      <c r="AO429" s="42"/>
      <c r="AP429" s="36"/>
      <c r="AQ429" s="36"/>
      <c r="AR429" s="42"/>
      <c r="AS429" s="42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</row>
    <row r="430" spans="1:56" ht="15.75" x14ac:dyDescent="0.25">
      <c r="A430" s="44"/>
      <c r="B430" s="36"/>
      <c r="C430" s="36"/>
      <c r="D430" s="36"/>
      <c r="E430" s="36"/>
      <c r="F430" s="36"/>
      <c r="G430" s="36"/>
      <c r="H430" s="36"/>
      <c r="I430" s="36"/>
      <c r="J430" s="105"/>
      <c r="K430" s="36"/>
      <c r="L430" s="36"/>
      <c r="M430" s="36"/>
      <c r="N430" s="105"/>
      <c r="O430" s="36"/>
      <c r="P430" s="36"/>
      <c r="Q430" s="36"/>
      <c r="R430" s="105"/>
      <c r="S430" s="36"/>
      <c r="T430" s="36"/>
      <c r="U430" s="36"/>
      <c r="V430" s="105"/>
      <c r="W430" s="36"/>
      <c r="X430" s="36"/>
      <c r="Y430" s="36"/>
      <c r="Z430" s="105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42"/>
      <c r="AO430" s="42"/>
      <c r="AP430" s="36"/>
      <c r="AQ430" s="36"/>
      <c r="AR430" s="42"/>
      <c r="AS430" s="42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</row>
    <row r="431" spans="1:56" ht="15.75" x14ac:dyDescent="0.25">
      <c r="A431" s="44"/>
      <c r="B431" s="36"/>
      <c r="C431" s="36"/>
      <c r="D431" s="36"/>
      <c r="E431" s="36"/>
      <c r="F431" s="36"/>
      <c r="G431" s="36"/>
      <c r="H431" s="36"/>
      <c r="I431" s="36"/>
      <c r="J431" s="105"/>
      <c r="K431" s="36"/>
      <c r="L431" s="36"/>
      <c r="M431" s="36"/>
      <c r="N431" s="105"/>
      <c r="O431" s="36"/>
      <c r="P431" s="36"/>
      <c r="Q431" s="36"/>
      <c r="R431" s="105"/>
      <c r="S431" s="36"/>
      <c r="T431" s="36"/>
      <c r="U431" s="36"/>
      <c r="V431" s="105"/>
      <c r="W431" s="36"/>
      <c r="X431" s="36"/>
      <c r="Y431" s="36"/>
      <c r="Z431" s="105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42"/>
      <c r="AO431" s="42"/>
      <c r="AP431" s="36"/>
      <c r="AQ431" s="36"/>
      <c r="AR431" s="42"/>
      <c r="AS431" s="42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</row>
    <row r="432" spans="1:56" ht="15.75" x14ac:dyDescent="0.25">
      <c r="A432" s="44"/>
      <c r="B432" s="36"/>
      <c r="C432" s="36"/>
      <c r="D432" s="36"/>
      <c r="E432" s="36"/>
      <c r="F432" s="36"/>
      <c r="G432" s="36"/>
      <c r="H432" s="36"/>
      <c r="I432" s="36"/>
      <c r="J432" s="105"/>
      <c r="K432" s="36"/>
      <c r="L432" s="36"/>
      <c r="M432" s="36"/>
      <c r="N432" s="105"/>
      <c r="O432" s="36"/>
      <c r="P432" s="36"/>
      <c r="Q432" s="36"/>
      <c r="R432" s="105"/>
      <c r="S432" s="36"/>
      <c r="T432" s="36"/>
      <c r="U432" s="36"/>
      <c r="V432" s="105"/>
      <c r="W432" s="36"/>
      <c r="X432" s="36"/>
      <c r="Y432" s="36"/>
      <c r="Z432" s="105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42"/>
      <c r="AO432" s="42"/>
      <c r="AP432" s="36"/>
      <c r="AQ432" s="36"/>
      <c r="AR432" s="42"/>
      <c r="AS432" s="42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</row>
    <row r="433" spans="1:56" ht="15.75" x14ac:dyDescent="0.25">
      <c r="A433" s="44"/>
      <c r="B433" s="36"/>
      <c r="C433" s="36"/>
      <c r="D433" s="36"/>
      <c r="E433" s="36"/>
      <c r="F433" s="36"/>
      <c r="G433" s="36"/>
      <c r="H433" s="36"/>
      <c r="I433" s="36"/>
      <c r="J433" s="105"/>
      <c r="K433" s="36"/>
      <c r="L433" s="36"/>
      <c r="M433" s="36"/>
      <c r="N433" s="105"/>
      <c r="O433" s="36"/>
      <c r="P433" s="36"/>
      <c r="Q433" s="36"/>
      <c r="R433" s="105"/>
      <c r="S433" s="36"/>
      <c r="T433" s="36"/>
      <c r="U433" s="36"/>
      <c r="V433" s="105"/>
      <c r="W433" s="36"/>
      <c r="X433" s="36"/>
      <c r="Y433" s="36"/>
      <c r="Z433" s="105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42"/>
      <c r="AO433" s="42"/>
      <c r="AP433" s="36"/>
      <c r="AQ433" s="36"/>
      <c r="AR433" s="42"/>
      <c r="AS433" s="42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</row>
    <row r="434" spans="1:56" ht="15.75" x14ac:dyDescent="0.25">
      <c r="A434" s="44"/>
      <c r="B434" s="36"/>
      <c r="C434" s="36"/>
      <c r="D434" s="36"/>
      <c r="E434" s="36"/>
      <c r="F434" s="36"/>
      <c r="G434" s="36"/>
      <c r="H434" s="36"/>
      <c r="I434" s="36"/>
      <c r="J434" s="105"/>
      <c r="K434" s="36"/>
      <c r="L434" s="36"/>
      <c r="M434" s="36"/>
      <c r="N434" s="105"/>
      <c r="O434" s="36"/>
      <c r="P434" s="36"/>
      <c r="Q434" s="36"/>
      <c r="R434" s="105"/>
      <c r="S434" s="36"/>
      <c r="T434" s="36"/>
      <c r="U434" s="36"/>
      <c r="V434" s="105"/>
      <c r="W434" s="36"/>
      <c r="X434" s="36"/>
      <c r="Y434" s="36"/>
      <c r="Z434" s="105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42"/>
      <c r="AO434" s="42"/>
      <c r="AP434" s="36"/>
      <c r="AQ434" s="36"/>
      <c r="AR434" s="42"/>
      <c r="AS434" s="42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</row>
    <row r="435" spans="1:56" ht="15.75" x14ac:dyDescent="0.25">
      <c r="A435" s="44"/>
      <c r="B435" s="36"/>
      <c r="C435" s="36"/>
      <c r="D435" s="36"/>
      <c r="E435" s="36"/>
      <c r="F435" s="36"/>
      <c r="G435" s="36"/>
      <c r="H435" s="36"/>
      <c r="I435" s="36"/>
      <c r="J435" s="105"/>
      <c r="K435" s="36"/>
      <c r="L435" s="36"/>
      <c r="M435" s="36"/>
      <c r="N435" s="105"/>
      <c r="O435" s="36"/>
      <c r="P435" s="36"/>
      <c r="Q435" s="36"/>
      <c r="R435" s="105"/>
      <c r="S435" s="36"/>
      <c r="T435" s="36"/>
      <c r="U435" s="36"/>
      <c r="V435" s="105"/>
      <c r="W435" s="36"/>
      <c r="X435" s="36"/>
      <c r="Y435" s="36"/>
      <c r="Z435" s="105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42"/>
      <c r="AO435" s="42"/>
      <c r="AP435" s="36"/>
      <c r="AQ435" s="36"/>
      <c r="AR435" s="42"/>
      <c r="AS435" s="42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</row>
    <row r="436" spans="1:56" ht="15.75" x14ac:dyDescent="0.25">
      <c r="A436" s="44"/>
      <c r="B436" s="36"/>
      <c r="C436" s="36"/>
      <c r="D436" s="36"/>
      <c r="E436" s="36"/>
      <c r="F436" s="36"/>
      <c r="G436" s="36"/>
      <c r="H436" s="36"/>
      <c r="I436" s="36"/>
      <c r="J436" s="105"/>
      <c r="K436" s="36"/>
      <c r="L436" s="36"/>
      <c r="M436" s="36"/>
      <c r="N436" s="105"/>
      <c r="O436" s="36"/>
      <c r="P436" s="36"/>
      <c r="Q436" s="36"/>
      <c r="R436" s="105"/>
      <c r="S436" s="36"/>
      <c r="T436" s="36"/>
      <c r="U436" s="36"/>
      <c r="V436" s="105"/>
      <c r="W436" s="36"/>
      <c r="X436" s="36"/>
      <c r="Y436" s="36"/>
      <c r="Z436" s="105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42"/>
      <c r="AO436" s="42"/>
      <c r="AP436" s="36"/>
      <c r="AQ436" s="36"/>
      <c r="AR436" s="42"/>
      <c r="AS436" s="42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</row>
    <row r="437" spans="1:56" ht="15.75" x14ac:dyDescent="0.25">
      <c r="A437" s="44"/>
      <c r="B437" s="36"/>
      <c r="C437" s="36"/>
      <c r="D437" s="36"/>
      <c r="E437" s="36"/>
      <c r="F437" s="36"/>
      <c r="G437" s="36"/>
      <c r="H437" s="36"/>
      <c r="I437" s="36"/>
      <c r="J437" s="105"/>
      <c r="K437" s="36"/>
      <c r="L437" s="36"/>
      <c r="M437" s="36"/>
      <c r="N437" s="105"/>
      <c r="O437" s="36"/>
      <c r="P437" s="36"/>
      <c r="Q437" s="36"/>
      <c r="R437" s="105"/>
      <c r="S437" s="36"/>
      <c r="T437" s="36"/>
      <c r="U437" s="36"/>
      <c r="V437" s="105"/>
      <c r="W437" s="36"/>
      <c r="X437" s="36"/>
      <c r="Y437" s="36"/>
      <c r="Z437" s="105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42"/>
      <c r="AO437" s="42"/>
      <c r="AP437" s="36"/>
      <c r="AQ437" s="36"/>
      <c r="AR437" s="42"/>
      <c r="AS437" s="42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</row>
    <row r="438" spans="1:56" ht="15.75" x14ac:dyDescent="0.25">
      <c r="A438" s="44"/>
      <c r="B438" s="36"/>
      <c r="C438" s="36"/>
      <c r="D438" s="36"/>
      <c r="E438" s="36"/>
      <c r="F438" s="36"/>
      <c r="G438" s="36"/>
      <c r="H438" s="36"/>
      <c r="I438" s="36"/>
      <c r="J438" s="105"/>
      <c r="K438" s="36"/>
      <c r="L438" s="36"/>
      <c r="M438" s="36"/>
      <c r="N438" s="105"/>
      <c r="O438" s="36"/>
      <c r="P438" s="36"/>
      <c r="Q438" s="36"/>
      <c r="R438" s="105"/>
      <c r="S438" s="36"/>
      <c r="T438" s="36"/>
      <c r="U438" s="36"/>
      <c r="V438" s="105"/>
      <c r="W438" s="36"/>
      <c r="X438" s="36"/>
      <c r="Y438" s="36"/>
      <c r="Z438" s="105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42"/>
      <c r="AO438" s="42"/>
      <c r="AP438" s="36"/>
      <c r="AQ438" s="36"/>
      <c r="AR438" s="42"/>
      <c r="AS438" s="42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</row>
    <row r="439" spans="1:56" ht="15.75" x14ac:dyDescent="0.25">
      <c r="A439" s="44"/>
      <c r="B439" s="36"/>
      <c r="C439" s="36"/>
      <c r="D439" s="36"/>
      <c r="E439" s="36"/>
      <c r="F439" s="36"/>
      <c r="G439" s="36"/>
      <c r="H439" s="36"/>
      <c r="I439" s="36"/>
      <c r="J439" s="105"/>
      <c r="K439" s="36"/>
      <c r="L439" s="36"/>
      <c r="M439" s="36"/>
      <c r="N439" s="105"/>
      <c r="O439" s="36"/>
      <c r="P439" s="36"/>
      <c r="Q439" s="36"/>
      <c r="R439" s="105"/>
      <c r="S439" s="36"/>
      <c r="T439" s="36"/>
      <c r="U439" s="36"/>
      <c r="V439" s="105"/>
      <c r="W439" s="36"/>
      <c r="X439" s="36"/>
      <c r="Y439" s="36"/>
      <c r="Z439" s="105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42"/>
      <c r="AO439" s="42"/>
      <c r="AP439" s="36"/>
      <c r="AQ439" s="36"/>
      <c r="AR439" s="42"/>
      <c r="AS439" s="42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</row>
    <row r="440" spans="1:56" ht="15.75" x14ac:dyDescent="0.25">
      <c r="A440" s="44"/>
      <c r="B440" s="36"/>
      <c r="C440" s="36"/>
      <c r="D440" s="36"/>
      <c r="E440" s="36"/>
      <c r="F440" s="36"/>
      <c r="G440" s="36"/>
      <c r="H440" s="36"/>
      <c r="I440" s="36"/>
      <c r="J440" s="105"/>
      <c r="K440" s="36"/>
      <c r="L440" s="36"/>
      <c r="M440" s="36"/>
      <c r="N440" s="105"/>
      <c r="O440" s="36"/>
      <c r="P440" s="36"/>
      <c r="Q440" s="36"/>
      <c r="R440" s="105"/>
      <c r="S440" s="36"/>
      <c r="T440" s="36"/>
      <c r="U440" s="36"/>
      <c r="V440" s="105"/>
      <c r="W440" s="36"/>
      <c r="X440" s="36"/>
      <c r="Y440" s="36"/>
      <c r="Z440" s="105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42"/>
      <c r="AO440" s="42"/>
      <c r="AP440" s="36"/>
      <c r="AQ440" s="36"/>
      <c r="AR440" s="42"/>
      <c r="AS440" s="42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</row>
    <row r="441" spans="1:56" ht="15.75" x14ac:dyDescent="0.25">
      <c r="A441" s="44"/>
      <c r="B441" s="36"/>
      <c r="C441" s="36"/>
      <c r="D441" s="36"/>
      <c r="E441" s="36"/>
      <c r="F441" s="36"/>
      <c r="G441" s="36"/>
      <c r="H441" s="36"/>
      <c r="I441" s="36"/>
      <c r="J441" s="105"/>
      <c r="K441" s="36"/>
      <c r="L441" s="36"/>
      <c r="M441" s="36"/>
      <c r="N441" s="105"/>
      <c r="O441" s="36"/>
      <c r="P441" s="36"/>
      <c r="Q441" s="36"/>
      <c r="R441" s="105"/>
      <c r="S441" s="36"/>
      <c r="T441" s="36"/>
      <c r="U441" s="36"/>
      <c r="V441" s="105"/>
      <c r="W441" s="36"/>
      <c r="X441" s="36"/>
      <c r="Y441" s="36"/>
      <c r="Z441" s="105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42"/>
      <c r="AO441" s="42"/>
      <c r="AP441" s="36"/>
      <c r="AQ441" s="36"/>
      <c r="AR441" s="42"/>
      <c r="AS441" s="42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</row>
    <row r="442" spans="1:56" ht="15.75" x14ac:dyDescent="0.25">
      <c r="A442" s="44"/>
      <c r="B442" s="36"/>
      <c r="C442" s="36"/>
      <c r="D442" s="36"/>
      <c r="E442" s="36"/>
      <c r="F442" s="36"/>
      <c r="G442" s="36"/>
      <c r="H442" s="36"/>
      <c r="I442" s="36"/>
      <c r="J442" s="105"/>
      <c r="K442" s="36"/>
      <c r="L442" s="36"/>
      <c r="M442" s="36"/>
      <c r="N442" s="105"/>
      <c r="O442" s="36"/>
      <c r="P442" s="36"/>
      <c r="Q442" s="36"/>
      <c r="R442" s="105"/>
      <c r="S442" s="36"/>
      <c r="T442" s="36"/>
      <c r="U442" s="36"/>
      <c r="V442" s="105"/>
      <c r="W442" s="36"/>
      <c r="X442" s="36"/>
      <c r="Y442" s="36"/>
      <c r="Z442" s="105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42"/>
      <c r="AO442" s="42"/>
      <c r="AP442" s="36"/>
      <c r="AQ442" s="36"/>
      <c r="AR442" s="42"/>
      <c r="AS442" s="42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</row>
    <row r="443" spans="1:56" ht="15.75" x14ac:dyDescent="0.25">
      <c r="A443" s="44"/>
      <c r="B443" s="36"/>
      <c r="C443" s="36"/>
      <c r="D443" s="36"/>
      <c r="E443" s="36"/>
      <c r="F443" s="36"/>
      <c r="G443" s="36"/>
      <c r="H443" s="36"/>
      <c r="I443" s="36"/>
      <c r="J443" s="105"/>
      <c r="K443" s="36"/>
      <c r="L443" s="36"/>
      <c r="M443" s="36"/>
      <c r="N443" s="105"/>
      <c r="O443" s="36"/>
      <c r="P443" s="36"/>
      <c r="Q443" s="36"/>
      <c r="R443" s="105"/>
      <c r="S443" s="36"/>
      <c r="T443" s="36"/>
      <c r="U443" s="36"/>
      <c r="V443" s="105"/>
      <c r="W443" s="36"/>
      <c r="X443" s="36"/>
      <c r="Y443" s="36"/>
      <c r="Z443" s="105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42"/>
      <c r="AO443" s="42"/>
      <c r="AP443" s="36"/>
      <c r="AQ443" s="36"/>
      <c r="AR443" s="42"/>
      <c r="AS443" s="42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</row>
    <row r="444" spans="1:56" ht="15.75" x14ac:dyDescent="0.25">
      <c r="A444" s="44"/>
      <c r="B444" s="36"/>
      <c r="C444" s="36"/>
      <c r="D444" s="36"/>
      <c r="E444" s="36"/>
      <c r="F444" s="36"/>
      <c r="G444" s="36"/>
      <c r="H444" s="36"/>
      <c r="I444" s="36"/>
      <c r="J444" s="105"/>
      <c r="K444" s="36"/>
      <c r="L444" s="36"/>
      <c r="M444" s="36"/>
      <c r="N444" s="105"/>
      <c r="O444" s="36"/>
      <c r="P444" s="36"/>
      <c r="Q444" s="36"/>
      <c r="R444" s="105"/>
      <c r="S444" s="36"/>
      <c r="T444" s="36"/>
      <c r="U444" s="36"/>
      <c r="V444" s="105"/>
      <c r="W444" s="36"/>
      <c r="X444" s="36"/>
      <c r="Y444" s="36"/>
      <c r="Z444" s="105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42"/>
      <c r="AO444" s="42"/>
      <c r="AP444" s="36"/>
      <c r="AQ444" s="36"/>
      <c r="AR444" s="42"/>
      <c r="AS444" s="42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</row>
    <row r="445" spans="1:56" ht="15.75" x14ac:dyDescent="0.25">
      <c r="A445" s="44"/>
      <c r="B445" s="36"/>
      <c r="C445" s="36"/>
      <c r="D445" s="36"/>
      <c r="E445" s="36"/>
      <c r="F445" s="36"/>
      <c r="G445" s="36"/>
      <c r="H445" s="36"/>
      <c r="I445" s="36"/>
      <c r="J445" s="105"/>
      <c r="K445" s="36"/>
      <c r="L445" s="36"/>
      <c r="M445" s="36"/>
      <c r="N445" s="105"/>
      <c r="O445" s="36"/>
      <c r="P445" s="36"/>
      <c r="Q445" s="36"/>
      <c r="R445" s="105"/>
      <c r="S445" s="36"/>
      <c r="T445" s="36"/>
      <c r="U445" s="36"/>
      <c r="V445" s="105"/>
      <c r="W445" s="36"/>
      <c r="X445" s="36"/>
      <c r="Y445" s="36"/>
      <c r="Z445" s="105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42"/>
      <c r="AO445" s="42"/>
      <c r="AP445" s="36"/>
      <c r="AQ445" s="36"/>
      <c r="AR445" s="42"/>
      <c r="AS445" s="42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</row>
    <row r="446" spans="1:56" ht="15.75" x14ac:dyDescent="0.25">
      <c r="A446" s="44"/>
      <c r="B446" s="36"/>
      <c r="C446" s="36"/>
      <c r="D446" s="36"/>
      <c r="E446" s="36"/>
      <c r="F446" s="36"/>
      <c r="G446" s="36"/>
      <c r="H446" s="36"/>
      <c r="I446" s="36"/>
      <c r="J446" s="105"/>
      <c r="K446" s="36"/>
      <c r="L446" s="36"/>
      <c r="M446" s="36"/>
      <c r="N446" s="105"/>
      <c r="O446" s="36"/>
      <c r="P446" s="36"/>
      <c r="Q446" s="36"/>
      <c r="R446" s="105"/>
      <c r="S446" s="36"/>
      <c r="T446" s="36"/>
      <c r="U446" s="36"/>
      <c r="V446" s="105"/>
      <c r="W446" s="36"/>
      <c r="X446" s="36"/>
      <c r="Y446" s="36"/>
      <c r="Z446" s="105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42"/>
      <c r="AO446" s="42"/>
      <c r="AP446" s="36"/>
      <c r="AQ446" s="36"/>
      <c r="AR446" s="42"/>
      <c r="AS446" s="42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</row>
    <row r="447" spans="1:56" ht="15.75" x14ac:dyDescent="0.25">
      <c r="A447" s="44"/>
      <c r="B447" s="36"/>
      <c r="C447" s="36"/>
      <c r="D447" s="36"/>
      <c r="E447" s="36"/>
      <c r="F447" s="36"/>
      <c r="G447" s="36"/>
      <c r="H447" s="36"/>
      <c r="I447" s="36"/>
      <c r="J447" s="105"/>
      <c r="K447" s="36"/>
      <c r="L447" s="36"/>
      <c r="M447" s="36"/>
      <c r="N447" s="105"/>
      <c r="O447" s="36"/>
      <c r="P447" s="36"/>
      <c r="Q447" s="36"/>
      <c r="R447" s="105"/>
      <c r="S447" s="36"/>
      <c r="T447" s="36"/>
      <c r="U447" s="36"/>
      <c r="V447" s="105"/>
      <c r="W447" s="36"/>
      <c r="X447" s="36"/>
      <c r="Y447" s="36"/>
      <c r="Z447" s="105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42"/>
      <c r="AO447" s="42"/>
      <c r="AP447" s="36"/>
      <c r="AQ447" s="36"/>
      <c r="AR447" s="42"/>
      <c r="AS447" s="42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</row>
    <row r="448" spans="1:56" ht="15.75" x14ac:dyDescent="0.25">
      <c r="A448" s="44"/>
      <c r="B448" s="36"/>
      <c r="C448" s="36"/>
      <c r="D448" s="36"/>
      <c r="E448" s="36"/>
      <c r="F448" s="36"/>
      <c r="G448" s="36"/>
      <c r="H448" s="36"/>
      <c r="I448" s="36"/>
      <c r="J448" s="105"/>
      <c r="K448" s="36"/>
      <c r="L448" s="36"/>
      <c r="M448" s="36"/>
      <c r="N448" s="105"/>
      <c r="O448" s="36"/>
      <c r="P448" s="36"/>
      <c r="Q448" s="36"/>
      <c r="R448" s="105"/>
      <c r="S448" s="36"/>
      <c r="T448" s="36"/>
      <c r="U448" s="36"/>
      <c r="V448" s="105"/>
      <c r="W448" s="36"/>
      <c r="X448" s="36"/>
      <c r="Y448" s="36"/>
      <c r="Z448" s="105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42"/>
      <c r="AO448" s="42"/>
      <c r="AP448" s="36"/>
      <c r="AQ448" s="36"/>
      <c r="AR448" s="42"/>
      <c r="AS448" s="42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</row>
    <row r="449" spans="1:56" ht="15.75" x14ac:dyDescent="0.25">
      <c r="A449" s="44"/>
      <c r="B449" s="36"/>
      <c r="C449" s="36"/>
      <c r="D449" s="36"/>
      <c r="E449" s="36"/>
      <c r="F449" s="36"/>
      <c r="G449" s="36"/>
      <c r="H449" s="36"/>
      <c r="I449" s="36"/>
      <c r="J449" s="105"/>
      <c r="K449" s="36"/>
      <c r="L449" s="36"/>
      <c r="M449" s="36"/>
      <c r="N449" s="105"/>
      <c r="O449" s="36"/>
      <c r="P449" s="36"/>
      <c r="Q449" s="36"/>
      <c r="R449" s="105"/>
      <c r="S449" s="36"/>
      <c r="T449" s="36"/>
      <c r="U449" s="36"/>
      <c r="V449" s="105"/>
      <c r="W449" s="36"/>
      <c r="X449" s="36"/>
      <c r="Y449" s="36"/>
      <c r="Z449" s="105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42"/>
      <c r="AO449" s="42"/>
      <c r="AP449" s="36"/>
      <c r="AQ449" s="36"/>
      <c r="AR449" s="42"/>
      <c r="AS449" s="42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</row>
    <row r="450" spans="1:56" ht="15.75" x14ac:dyDescent="0.25">
      <c r="A450" s="44"/>
      <c r="B450" s="36"/>
      <c r="C450" s="36"/>
      <c r="D450" s="36"/>
      <c r="E450" s="36"/>
      <c r="F450" s="36"/>
      <c r="G450" s="36"/>
      <c r="H450" s="36"/>
      <c r="I450" s="36"/>
      <c r="J450" s="105"/>
      <c r="K450" s="36"/>
      <c r="L450" s="36"/>
      <c r="M450" s="36"/>
      <c r="N450" s="105"/>
      <c r="O450" s="36"/>
      <c r="P450" s="36"/>
      <c r="Q450" s="36"/>
      <c r="R450" s="105"/>
      <c r="S450" s="36"/>
      <c r="T450" s="36"/>
      <c r="U450" s="36"/>
      <c r="V450" s="105"/>
      <c r="W450" s="36"/>
      <c r="X450" s="36"/>
      <c r="Y450" s="36"/>
      <c r="Z450" s="105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42"/>
      <c r="AO450" s="42"/>
      <c r="AP450" s="36"/>
      <c r="AQ450" s="36"/>
      <c r="AR450" s="42"/>
      <c r="AS450" s="42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</row>
    <row r="451" spans="1:56" ht="15.75" x14ac:dyDescent="0.25">
      <c r="A451" s="44"/>
      <c r="B451" s="36"/>
      <c r="C451" s="36"/>
      <c r="D451" s="36"/>
      <c r="E451" s="36"/>
      <c r="F451" s="36"/>
      <c r="G451" s="36"/>
      <c r="H451" s="36"/>
      <c r="I451" s="36"/>
      <c r="J451" s="105"/>
      <c r="K451" s="36"/>
      <c r="L451" s="36"/>
      <c r="M451" s="36"/>
      <c r="N451" s="105"/>
      <c r="O451" s="36"/>
      <c r="P451" s="36"/>
      <c r="Q451" s="36"/>
      <c r="R451" s="105"/>
      <c r="S451" s="36"/>
      <c r="T451" s="36"/>
      <c r="U451" s="36"/>
      <c r="V451" s="105"/>
      <c r="W451" s="36"/>
      <c r="X451" s="36"/>
      <c r="Y451" s="36"/>
      <c r="Z451" s="105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42"/>
      <c r="AO451" s="42"/>
      <c r="AP451" s="36"/>
      <c r="AQ451" s="36"/>
      <c r="AR451" s="42"/>
      <c r="AS451" s="42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</row>
    <row r="452" spans="1:56" ht="15.75" x14ac:dyDescent="0.25">
      <c r="A452" s="44"/>
      <c r="B452" s="36"/>
      <c r="C452" s="36"/>
      <c r="D452" s="36"/>
      <c r="E452" s="36"/>
      <c r="F452" s="36"/>
      <c r="G452" s="36"/>
      <c r="H452" s="36"/>
      <c r="I452" s="36"/>
      <c r="J452" s="105"/>
      <c r="K452" s="36"/>
      <c r="L452" s="36"/>
      <c r="M452" s="36"/>
      <c r="N452" s="105"/>
      <c r="O452" s="36"/>
      <c r="P452" s="36"/>
      <c r="Q452" s="36"/>
      <c r="R452" s="105"/>
      <c r="S452" s="36"/>
      <c r="T452" s="36"/>
      <c r="U452" s="36"/>
      <c r="V452" s="105"/>
      <c r="W452" s="36"/>
      <c r="X452" s="36"/>
      <c r="Y452" s="36"/>
      <c r="Z452" s="105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42"/>
      <c r="AO452" s="42"/>
      <c r="AP452" s="36"/>
      <c r="AQ452" s="36"/>
      <c r="AR452" s="42"/>
      <c r="AS452" s="42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</row>
    <row r="453" spans="1:56" ht="15.75" x14ac:dyDescent="0.25">
      <c r="A453" s="44"/>
      <c r="B453" s="36"/>
      <c r="C453" s="36"/>
      <c r="D453" s="36"/>
      <c r="E453" s="36"/>
      <c r="F453" s="36"/>
      <c r="G453" s="36"/>
      <c r="H453" s="36"/>
      <c r="I453" s="36"/>
      <c r="J453" s="105"/>
      <c r="K453" s="36"/>
      <c r="L453" s="36"/>
      <c r="M453" s="36"/>
      <c r="N453" s="105"/>
      <c r="O453" s="36"/>
      <c r="P453" s="36"/>
      <c r="Q453" s="36"/>
      <c r="R453" s="105"/>
      <c r="S453" s="36"/>
      <c r="T453" s="36"/>
      <c r="U453" s="36"/>
      <c r="V453" s="105"/>
      <c r="W453" s="36"/>
      <c r="X453" s="36"/>
      <c r="Y453" s="36"/>
      <c r="Z453" s="105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42"/>
      <c r="AO453" s="42"/>
      <c r="AP453" s="36"/>
      <c r="AQ453" s="36"/>
      <c r="AR453" s="42"/>
      <c r="AS453" s="42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</row>
    <row r="454" spans="1:56" ht="15.75" x14ac:dyDescent="0.25">
      <c r="A454" s="44"/>
      <c r="B454" s="36"/>
      <c r="C454" s="36"/>
      <c r="D454" s="36"/>
      <c r="E454" s="36"/>
      <c r="F454" s="36"/>
      <c r="G454" s="36"/>
      <c r="H454" s="36"/>
      <c r="I454" s="36"/>
      <c r="J454" s="105"/>
      <c r="K454" s="36"/>
      <c r="L454" s="36"/>
      <c r="M454" s="36"/>
      <c r="N454" s="105"/>
      <c r="O454" s="36"/>
      <c r="P454" s="36"/>
      <c r="Q454" s="36"/>
      <c r="R454" s="105"/>
      <c r="S454" s="36"/>
      <c r="T454" s="36"/>
      <c r="U454" s="36"/>
      <c r="V454" s="105"/>
      <c r="W454" s="36"/>
      <c r="X454" s="36"/>
      <c r="Y454" s="36"/>
      <c r="Z454" s="105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42"/>
      <c r="AO454" s="42"/>
      <c r="AP454" s="36"/>
      <c r="AQ454" s="36"/>
      <c r="AR454" s="42"/>
      <c r="AS454" s="42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</row>
    <row r="455" spans="1:56" ht="15.75" x14ac:dyDescent="0.25">
      <c r="A455" s="44"/>
      <c r="B455" s="36"/>
      <c r="C455" s="36"/>
      <c r="D455" s="36"/>
      <c r="E455" s="36"/>
      <c r="F455" s="36"/>
      <c r="G455" s="36"/>
      <c r="H455" s="36"/>
      <c r="I455" s="36"/>
      <c r="J455" s="105"/>
      <c r="K455" s="36"/>
      <c r="L455" s="36"/>
      <c r="M455" s="36"/>
      <c r="N455" s="105"/>
      <c r="O455" s="36"/>
      <c r="P455" s="36"/>
      <c r="Q455" s="36"/>
      <c r="R455" s="105"/>
      <c r="S455" s="36"/>
      <c r="T455" s="36"/>
      <c r="U455" s="36"/>
      <c r="V455" s="105"/>
      <c r="W455" s="36"/>
      <c r="X455" s="36"/>
      <c r="Y455" s="36"/>
      <c r="Z455" s="105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42"/>
      <c r="AO455" s="42"/>
      <c r="AP455" s="36"/>
      <c r="AQ455" s="36"/>
      <c r="AR455" s="42"/>
      <c r="AS455" s="42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</row>
    <row r="456" spans="1:56" ht="15.75" x14ac:dyDescent="0.25">
      <c r="A456" s="44"/>
      <c r="B456" s="36"/>
      <c r="C456" s="36"/>
      <c r="D456" s="36"/>
      <c r="E456" s="36"/>
      <c r="F456" s="36"/>
      <c r="G456" s="36"/>
      <c r="H456" s="36"/>
      <c r="I456" s="36"/>
      <c r="J456" s="105"/>
      <c r="K456" s="36"/>
      <c r="L456" s="36"/>
      <c r="M456" s="36"/>
      <c r="N456" s="105"/>
      <c r="O456" s="36"/>
      <c r="P456" s="36"/>
      <c r="Q456" s="36"/>
      <c r="R456" s="105"/>
      <c r="S456" s="36"/>
      <c r="T456" s="36"/>
      <c r="U456" s="36"/>
      <c r="V456" s="105"/>
      <c r="W456" s="36"/>
      <c r="X456" s="36"/>
      <c r="Y456" s="36"/>
      <c r="Z456" s="105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42"/>
      <c r="AO456" s="42"/>
      <c r="AP456" s="36"/>
      <c r="AQ456" s="36"/>
      <c r="AR456" s="42"/>
      <c r="AS456" s="42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</row>
    <row r="457" spans="1:56" ht="15.75" x14ac:dyDescent="0.25">
      <c r="A457" s="44"/>
      <c r="B457" s="36"/>
      <c r="C457" s="36"/>
      <c r="D457" s="36"/>
      <c r="E457" s="36"/>
      <c r="F457" s="36"/>
      <c r="G457" s="36"/>
      <c r="H457" s="36"/>
      <c r="I457" s="36"/>
      <c r="J457" s="105"/>
      <c r="K457" s="36"/>
      <c r="L457" s="36"/>
      <c r="M457" s="36"/>
      <c r="N457" s="105"/>
      <c r="O457" s="36"/>
      <c r="P457" s="36"/>
      <c r="Q457" s="36"/>
      <c r="R457" s="105"/>
      <c r="S457" s="36"/>
      <c r="T457" s="36"/>
      <c r="U457" s="36"/>
      <c r="V457" s="105"/>
      <c r="W457" s="36"/>
      <c r="X457" s="36"/>
      <c r="Y457" s="36"/>
      <c r="Z457" s="105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42"/>
      <c r="AO457" s="42"/>
      <c r="AP457" s="36"/>
      <c r="AQ457" s="36"/>
      <c r="AR457" s="42"/>
      <c r="AS457" s="42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</row>
    <row r="458" spans="1:56" ht="15.75" x14ac:dyDescent="0.25">
      <c r="A458" s="44"/>
      <c r="B458" s="36"/>
      <c r="C458" s="36"/>
      <c r="D458" s="36"/>
      <c r="E458" s="36"/>
      <c r="F458" s="36"/>
      <c r="G458" s="36"/>
      <c r="H458" s="36"/>
      <c r="I458" s="36"/>
      <c r="J458" s="105"/>
      <c r="K458" s="36"/>
      <c r="L458" s="36"/>
      <c r="M458" s="36"/>
      <c r="N458" s="105"/>
      <c r="O458" s="36"/>
      <c r="P458" s="36"/>
      <c r="Q458" s="36"/>
      <c r="R458" s="105"/>
      <c r="S458" s="36"/>
      <c r="T458" s="36"/>
      <c r="U458" s="36"/>
      <c r="V458" s="105"/>
      <c r="W458" s="36"/>
      <c r="X458" s="36"/>
      <c r="Y458" s="36"/>
      <c r="Z458" s="105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42"/>
      <c r="AO458" s="42"/>
      <c r="AP458" s="36"/>
      <c r="AQ458" s="36"/>
      <c r="AR458" s="42"/>
      <c r="AS458" s="42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</row>
    <row r="459" spans="1:56" ht="15.75" x14ac:dyDescent="0.25">
      <c r="A459" s="44"/>
      <c r="B459" s="36"/>
      <c r="C459" s="36"/>
      <c r="D459" s="36"/>
      <c r="E459" s="36"/>
      <c r="F459" s="36"/>
      <c r="G459" s="36"/>
      <c r="H459" s="36"/>
      <c r="I459" s="36"/>
      <c r="J459" s="105"/>
      <c r="K459" s="36"/>
      <c r="L459" s="36"/>
      <c r="M459" s="36"/>
      <c r="N459" s="105"/>
      <c r="O459" s="36"/>
      <c r="P459" s="36"/>
      <c r="Q459" s="36"/>
      <c r="R459" s="105"/>
      <c r="S459" s="36"/>
      <c r="T459" s="36"/>
      <c r="U459" s="36"/>
      <c r="V459" s="105"/>
      <c r="W459" s="36"/>
      <c r="X459" s="36"/>
      <c r="Y459" s="36"/>
      <c r="Z459" s="105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42"/>
      <c r="AO459" s="42"/>
      <c r="AP459" s="36"/>
      <c r="AQ459" s="36"/>
      <c r="AR459" s="42"/>
      <c r="AS459" s="42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</row>
    <row r="460" spans="1:56" ht="15.75" x14ac:dyDescent="0.25">
      <c r="A460" s="44"/>
      <c r="B460" s="36"/>
      <c r="C460" s="36"/>
      <c r="D460" s="36"/>
      <c r="E460" s="36"/>
      <c r="F460" s="36"/>
      <c r="G460" s="36"/>
      <c r="H460" s="36"/>
      <c r="I460" s="36"/>
      <c r="J460" s="105"/>
      <c r="K460" s="36"/>
      <c r="L460" s="36"/>
      <c r="M460" s="36"/>
      <c r="N460" s="105"/>
      <c r="O460" s="36"/>
      <c r="P460" s="36"/>
      <c r="Q460" s="36"/>
      <c r="R460" s="105"/>
      <c r="S460" s="36"/>
      <c r="T460" s="36"/>
      <c r="U460" s="36"/>
      <c r="V460" s="105"/>
      <c r="W460" s="36"/>
      <c r="X460" s="36"/>
      <c r="Y460" s="36"/>
      <c r="Z460" s="105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42"/>
      <c r="AO460" s="42"/>
      <c r="AP460" s="36"/>
      <c r="AQ460" s="36"/>
      <c r="AR460" s="42"/>
      <c r="AS460" s="42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</row>
    <row r="461" spans="1:56" ht="15.75" x14ac:dyDescent="0.25">
      <c r="A461" s="44"/>
      <c r="B461" s="36"/>
      <c r="C461" s="36"/>
      <c r="D461" s="36"/>
      <c r="E461" s="36"/>
      <c r="F461" s="36"/>
      <c r="G461" s="36"/>
      <c r="H461" s="36"/>
      <c r="I461" s="36"/>
      <c r="J461" s="105"/>
      <c r="K461" s="36"/>
      <c r="L461" s="36"/>
      <c r="M461" s="36"/>
      <c r="N461" s="105"/>
      <c r="O461" s="36"/>
      <c r="P461" s="36"/>
      <c r="Q461" s="36"/>
      <c r="R461" s="105"/>
      <c r="S461" s="36"/>
      <c r="T461" s="36"/>
      <c r="U461" s="36"/>
      <c r="V461" s="105"/>
      <c r="W461" s="36"/>
      <c r="X461" s="36"/>
      <c r="Y461" s="36"/>
      <c r="Z461" s="105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42"/>
      <c r="AO461" s="42"/>
      <c r="AP461" s="36"/>
      <c r="AQ461" s="36"/>
      <c r="AR461" s="42"/>
      <c r="AS461" s="42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</row>
    <row r="462" spans="1:56" ht="15.75" x14ac:dyDescent="0.25">
      <c r="A462" s="44"/>
      <c r="B462" s="36"/>
      <c r="C462" s="36"/>
      <c r="D462" s="36"/>
      <c r="E462" s="36"/>
      <c r="F462" s="36"/>
      <c r="G462" s="36"/>
      <c r="H462" s="36"/>
      <c r="I462" s="36"/>
      <c r="J462" s="105"/>
      <c r="K462" s="36"/>
      <c r="L462" s="36"/>
      <c r="M462" s="36"/>
      <c r="N462" s="105"/>
      <c r="O462" s="36"/>
      <c r="P462" s="36"/>
      <c r="Q462" s="36"/>
      <c r="R462" s="105"/>
      <c r="S462" s="36"/>
      <c r="T462" s="36"/>
      <c r="U462" s="36"/>
      <c r="V462" s="105"/>
      <c r="W462" s="36"/>
      <c r="X462" s="36"/>
      <c r="Y462" s="36"/>
      <c r="Z462" s="105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42"/>
      <c r="AO462" s="42"/>
      <c r="AP462" s="36"/>
      <c r="AQ462" s="36"/>
      <c r="AR462" s="42"/>
      <c r="AS462" s="42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</row>
    <row r="463" spans="1:56" ht="15.75" x14ac:dyDescent="0.25">
      <c r="A463" s="44"/>
      <c r="B463" s="36"/>
      <c r="C463" s="36"/>
      <c r="D463" s="36"/>
      <c r="E463" s="36"/>
      <c r="F463" s="36"/>
      <c r="G463" s="36"/>
      <c r="H463" s="36"/>
      <c r="I463" s="36"/>
      <c r="J463" s="105"/>
      <c r="K463" s="36"/>
      <c r="L463" s="36"/>
      <c r="M463" s="36"/>
      <c r="N463" s="105"/>
      <c r="O463" s="36"/>
      <c r="P463" s="36"/>
      <c r="Q463" s="36"/>
      <c r="R463" s="105"/>
      <c r="S463" s="36"/>
      <c r="T463" s="36"/>
      <c r="U463" s="36"/>
      <c r="V463" s="105"/>
      <c r="W463" s="36"/>
      <c r="X463" s="36"/>
      <c r="Y463" s="36"/>
      <c r="Z463" s="105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42"/>
      <c r="AO463" s="42"/>
      <c r="AP463" s="36"/>
      <c r="AQ463" s="36"/>
      <c r="AR463" s="42"/>
      <c r="AS463" s="42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</row>
    <row r="464" spans="1:56" ht="15.75" x14ac:dyDescent="0.25">
      <c r="A464" s="44"/>
      <c r="B464" s="36"/>
      <c r="C464" s="36"/>
      <c r="D464" s="36"/>
      <c r="E464" s="36"/>
      <c r="F464" s="36"/>
      <c r="G464" s="36"/>
      <c r="H464" s="36"/>
      <c r="I464" s="36"/>
      <c r="J464" s="105"/>
      <c r="K464" s="36"/>
      <c r="L464" s="36"/>
      <c r="M464" s="36"/>
      <c r="N464" s="105"/>
      <c r="O464" s="36"/>
      <c r="P464" s="36"/>
      <c r="Q464" s="36"/>
      <c r="R464" s="105"/>
      <c r="S464" s="36"/>
      <c r="T464" s="36"/>
      <c r="U464" s="36"/>
      <c r="V464" s="105"/>
      <c r="W464" s="36"/>
      <c r="X464" s="36"/>
      <c r="Y464" s="36"/>
      <c r="Z464" s="105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42"/>
      <c r="AO464" s="42"/>
      <c r="AP464" s="36"/>
      <c r="AQ464" s="36"/>
      <c r="AR464" s="42"/>
      <c r="AS464" s="42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</row>
    <row r="465" spans="1:56" ht="15.75" x14ac:dyDescent="0.25">
      <c r="A465" s="44"/>
      <c r="B465" s="36"/>
      <c r="C465" s="36"/>
      <c r="D465" s="36"/>
      <c r="E465" s="36"/>
      <c r="F465" s="36"/>
      <c r="G465" s="36"/>
      <c r="H465" s="36"/>
      <c r="I465" s="36"/>
      <c r="J465" s="105"/>
      <c r="K465" s="36"/>
      <c r="L465" s="36"/>
      <c r="M465" s="36"/>
      <c r="N465" s="105"/>
      <c r="O465" s="36"/>
      <c r="P465" s="36"/>
      <c r="Q465" s="36"/>
      <c r="R465" s="105"/>
      <c r="S465" s="36"/>
      <c r="T465" s="36"/>
      <c r="U465" s="36"/>
      <c r="V465" s="105"/>
      <c r="W465" s="36"/>
      <c r="X465" s="36"/>
      <c r="Y465" s="36"/>
      <c r="Z465" s="105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42"/>
      <c r="AO465" s="42"/>
      <c r="AP465" s="36"/>
      <c r="AQ465" s="36"/>
      <c r="AR465" s="42"/>
      <c r="AS465" s="42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</row>
    <row r="466" spans="1:56" ht="15.75" x14ac:dyDescent="0.25">
      <c r="A466" s="44"/>
      <c r="B466" s="36"/>
      <c r="C466" s="36"/>
      <c r="D466" s="36"/>
      <c r="E466" s="36"/>
      <c r="F466" s="36"/>
      <c r="G466" s="36"/>
      <c r="H466" s="36"/>
      <c r="I466" s="36"/>
      <c r="J466" s="105"/>
      <c r="K466" s="36"/>
      <c r="L466" s="36"/>
      <c r="M466" s="36"/>
      <c r="N466" s="105"/>
      <c r="O466" s="36"/>
      <c r="P466" s="36"/>
      <c r="Q466" s="36"/>
      <c r="R466" s="105"/>
      <c r="S466" s="36"/>
      <c r="T466" s="36"/>
      <c r="U466" s="36"/>
      <c r="V466" s="105"/>
      <c r="W466" s="36"/>
      <c r="X466" s="36"/>
      <c r="Y466" s="36"/>
      <c r="Z466" s="105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42"/>
      <c r="AO466" s="42"/>
      <c r="AP466" s="36"/>
      <c r="AQ466" s="36"/>
      <c r="AR466" s="42"/>
      <c r="AS466" s="42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</row>
    <row r="467" spans="1:56" ht="15.75" x14ac:dyDescent="0.25">
      <c r="A467" s="44"/>
      <c r="B467" s="36"/>
      <c r="C467" s="36"/>
      <c r="D467" s="36"/>
      <c r="E467" s="36"/>
      <c r="F467" s="36"/>
      <c r="G467" s="36"/>
      <c r="H467" s="36"/>
      <c r="I467" s="36"/>
      <c r="J467" s="105"/>
      <c r="K467" s="36"/>
      <c r="L467" s="36"/>
      <c r="M467" s="36"/>
      <c r="N467" s="105"/>
      <c r="O467" s="36"/>
      <c r="P467" s="36"/>
      <c r="Q467" s="36"/>
      <c r="R467" s="105"/>
      <c r="S467" s="36"/>
      <c r="T467" s="36"/>
      <c r="U467" s="36"/>
      <c r="V467" s="105"/>
      <c r="W467" s="36"/>
      <c r="X467" s="36"/>
      <c r="Y467" s="36"/>
      <c r="Z467" s="105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42"/>
      <c r="AO467" s="42"/>
      <c r="AP467" s="36"/>
      <c r="AQ467" s="36"/>
      <c r="AR467" s="42"/>
      <c r="AS467" s="42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</row>
    <row r="468" spans="1:56" ht="15.75" x14ac:dyDescent="0.25">
      <c r="A468" s="44"/>
      <c r="B468" s="36"/>
      <c r="C468" s="36"/>
      <c r="D468" s="36"/>
      <c r="E468" s="36"/>
      <c r="F468" s="36"/>
      <c r="G468" s="36"/>
      <c r="H468" s="36"/>
      <c r="I468" s="36"/>
      <c r="J468" s="105"/>
      <c r="K468" s="36"/>
      <c r="L468" s="36"/>
      <c r="M468" s="36"/>
      <c r="N468" s="105"/>
      <c r="O468" s="36"/>
      <c r="P468" s="36"/>
      <c r="Q468" s="36"/>
      <c r="R468" s="105"/>
      <c r="S468" s="36"/>
      <c r="T468" s="36"/>
      <c r="U468" s="36"/>
      <c r="V468" s="105"/>
      <c r="W468" s="36"/>
      <c r="X468" s="36"/>
      <c r="Y468" s="36"/>
      <c r="Z468" s="105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42"/>
      <c r="AO468" s="42"/>
      <c r="AP468" s="36"/>
      <c r="AQ468" s="36"/>
      <c r="AR468" s="42"/>
      <c r="AS468" s="42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</row>
    <row r="469" spans="1:56" ht="15.75" x14ac:dyDescent="0.25">
      <c r="A469" s="44"/>
      <c r="B469" s="36"/>
      <c r="C469" s="36"/>
      <c r="D469" s="36"/>
      <c r="E469" s="36"/>
      <c r="F469" s="36"/>
      <c r="G469" s="36"/>
      <c r="H469" s="36"/>
      <c r="I469" s="36"/>
      <c r="J469" s="105"/>
      <c r="K469" s="36"/>
      <c r="L469" s="36"/>
      <c r="M469" s="36"/>
      <c r="N469" s="105"/>
      <c r="O469" s="36"/>
      <c r="P469" s="36"/>
      <c r="Q469" s="36"/>
      <c r="R469" s="105"/>
      <c r="S469" s="36"/>
      <c r="T469" s="36"/>
      <c r="U469" s="36"/>
      <c r="V469" s="105"/>
      <c r="W469" s="36"/>
      <c r="X469" s="36"/>
      <c r="Y469" s="36"/>
      <c r="Z469" s="105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42"/>
      <c r="AO469" s="42"/>
      <c r="AP469" s="36"/>
      <c r="AQ469" s="36"/>
      <c r="AR469" s="42"/>
      <c r="AS469" s="42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</row>
    <row r="470" spans="1:56" ht="15.75" x14ac:dyDescent="0.25">
      <c r="A470" s="44"/>
      <c r="B470" s="36"/>
      <c r="C470" s="36"/>
      <c r="D470" s="36"/>
      <c r="E470" s="36"/>
      <c r="F470" s="36"/>
      <c r="G470" s="36"/>
      <c r="H470" s="36"/>
      <c r="I470" s="36"/>
      <c r="J470" s="105"/>
      <c r="K470" s="36"/>
      <c r="L470" s="36"/>
      <c r="M470" s="36"/>
      <c r="N470" s="105"/>
      <c r="O470" s="36"/>
      <c r="P470" s="36"/>
      <c r="Q470" s="36"/>
      <c r="R470" s="105"/>
      <c r="S470" s="36"/>
      <c r="T470" s="36"/>
      <c r="U470" s="36"/>
      <c r="V470" s="105"/>
      <c r="W470" s="36"/>
      <c r="X470" s="36"/>
      <c r="Y470" s="36"/>
      <c r="Z470" s="105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42"/>
      <c r="AO470" s="42"/>
      <c r="AP470" s="36"/>
      <c r="AQ470" s="36"/>
      <c r="AR470" s="42"/>
      <c r="AS470" s="42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</row>
    <row r="471" spans="1:56" ht="15.75" x14ac:dyDescent="0.25">
      <c r="A471" s="44"/>
      <c r="B471" s="36"/>
      <c r="C471" s="36"/>
      <c r="D471" s="36"/>
      <c r="E471" s="36"/>
      <c r="F471" s="36"/>
      <c r="G471" s="36"/>
      <c r="H471" s="36"/>
      <c r="I471" s="36"/>
      <c r="J471" s="105"/>
      <c r="K471" s="36"/>
      <c r="L471" s="36"/>
      <c r="M471" s="36"/>
      <c r="N471" s="105"/>
      <c r="O471" s="36"/>
      <c r="P471" s="36"/>
      <c r="Q471" s="36"/>
      <c r="R471" s="105"/>
      <c r="S471" s="36"/>
      <c r="T471" s="36"/>
      <c r="U471" s="36"/>
      <c r="V471" s="105"/>
      <c r="W471" s="36"/>
      <c r="X471" s="36"/>
      <c r="Y471" s="36"/>
      <c r="Z471" s="105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42"/>
      <c r="AO471" s="42"/>
      <c r="AP471" s="36"/>
      <c r="AQ471" s="36"/>
      <c r="AR471" s="42"/>
      <c r="AS471" s="42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</row>
    <row r="472" spans="1:56" ht="15.75" x14ac:dyDescent="0.25">
      <c r="A472" s="44"/>
      <c r="B472" s="36"/>
      <c r="C472" s="36"/>
      <c r="D472" s="36"/>
      <c r="E472" s="36"/>
      <c r="F472" s="36"/>
      <c r="G472" s="36"/>
      <c r="H472" s="36"/>
      <c r="I472" s="36"/>
      <c r="J472" s="105"/>
      <c r="K472" s="36"/>
      <c r="L472" s="36"/>
      <c r="M472" s="36"/>
      <c r="N472" s="105"/>
      <c r="O472" s="36"/>
      <c r="P472" s="36"/>
      <c r="Q472" s="36"/>
      <c r="R472" s="105"/>
      <c r="S472" s="36"/>
      <c r="T472" s="36"/>
      <c r="U472" s="36"/>
      <c r="V472" s="105"/>
      <c r="W472" s="36"/>
      <c r="X472" s="36"/>
      <c r="Y472" s="36"/>
      <c r="Z472" s="105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42"/>
      <c r="AO472" s="42"/>
      <c r="AP472" s="36"/>
      <c r="AQ472" s="36"/>
      <c r="AR472" s="42"/>
      <c r="AS472" s="42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</row>
    <row r="473" spans="1:56" ht="15.75" x14ac:dyDescent="0.25">
      <c r="A473" s="44"/>
      <c r="B473" s="36"/>
      <c r="C473" s="36"/>
      <c r="D473" s="36"/>
      <c r="E473" s="36"/>
      <c r="F473" s="36"/>
      <c r="G473" s="36"/>
      <c r="H473" s="36"/>
      <c r="I473" s="36"/>
      <c r="J473" s="105"/>
      <c r="K473" s="36"/>
      <c r="L473" s="36"/>
      <c r="M473" s="36"/>
      <c r="N473" s="105"/>
      <c r="O473" s="36"/>
      <c r="P473" s="36"/>
      <c r="Q473" s="36"/>
      <c r="R473" s="105"/>
      <c r="S473" s="36"/>
      <c r="T473" s="36"/>
      <c r="U473" s="36"/>
      <c r="V473" s="105"/>
      <c r="W473" s="36"/>
      <c r="X473" s="36"/>
      <c r="Y473" s="36"/>
      <c r="Z473" s="105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42"/>
      <c r="AO473" s="42"/>
      <c r="AP473" s="36"/>
      <c r="AQ473" s="36"/>
      <c r="AR473" s="42"/>
      <c r="AS473" s="42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</row>
    <row r="474" spans="1:56" ht="15.75" x14ac:dyDescent="0.25">
      <c r="A474" s="44"/>
      <c r="B474" s="36"/>
      <c r="C474" s="36"/>
      <c r="D474" s="36"/>
      <c r="E474" s="36"/>
      <c r="F474" s="36"/>
      <c r="G474" s="36"/>
      <c r="H474" s="36"/>
      <c r="I474" s="36"/>
      <c r="J474" s="105"/>
      <c r="K474" s="36"/>
      <c r="L474" s="36"/>
      <c r="M474" s="36"/>
      <c r="N474" s="105"/>
      <c r="O474" s="36"/>
      <c r="P474" s="36"/>
      <c r="Q474" s="36"/>
      <c r="R474" s="105"/>
      <c r="S474" s="36"/>
      <c r="T474" s="36"/>
      <c r="U474" s="36"/>
      <c r="V474" s="105"/>
      <c r="W474" s="36"/>
      <c r="X474" s="36"/>
      <c r="Y474" s="36"/>
      <c r="Z474" s="105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42"/>
      <c r="AO474" s="42"/>
      <c r="AP474" s="36"/>
      <c r="AQ474" s="36"/>
      <c r="AR474" s="42"/>
      <c r="AS474" s="42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</row>
    <row r="475" spans="1:56" ht="15.75" x14ac:dyDescent="0.25">
      <c r="A475" s="44"/>
      <c r="B475" s="36"/>
      <c r="C475" s="36"/>
      <c r="D475" s="36"/>
      <c r="E475" s="36"/>
      <c r="F475" s="36"/>
      <c r="G475" s="36"/>
      <c r="H475" s="36"/>
      <c r="I475" s="36"/>
      <c r="J475" s="105"/>
      <c r="K475" s="36"/>
      <c r="L475" s="36"/>
      <c r="M475" s="36"/>
      <c r="N475" s="105"/>
      <c r="O475" s="36"/>
      <c r="P475" s="36"/>
      <c r="Q475" s="36"/>
      <c r="R475" s="105"/>
      <c r="S475" s="36"/>
      <c r="T475" s="36"/>
      <c r="U475" s="36"/>
      <c r="V475" s="105"/>
      <c r="W475" s="36"/>
      <c r="X475" s="36"/>
      <c r="Y475" s="36"/>
      <c r="Z475" s="105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42"/>
      <c r="AO475" s="42"/>
      <c r="AP475" s="36"/>
      <c r="AQ475" s="36"/>
      <c r="AR475" s="42"/>
      <c r="AS475" s="42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</row>
    <row r="476" spans="1:56" ht="15.75" x14ac:dyDescent="0.25">
      <c r="A476" s="44"/>
      <c r="B476" s="36"/>
      <c r="C476" s="36"/>
      <c r="D476" s="36"/>
      <c r="E476" s="36"/>
      <c r="F476" s="36"/>
      <c r="G476" s="36"/>
      <c r="H476" s="36"/>
      <c r="I476" s="36"/>
      <c r="J476" s="105"/>
      <c r="K476" s="36"/>
      <c r="L476" s="36"/>
      <c r="M476" s="36"/>
      <c r="N476" s="105"/>
      <c r="O476" s="36"/>
      <c r="P476" s="36"/>
      <c r="Q476" s="36"/>
      <c r="R476" s="105"/>
      <c r="S476" s="36"/>
      <c r="T476" s="36"/>
      <c r="U476" s="36"/>
      <c r="V476" s="105"/>
      <c r="W476" s="36"/>
      <c r="X476" s="36"/>
      <c r="Y476" s="36"/>
      <c r="Z476" s="105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42"/>
      <c r="AO476" s="42"/>
      <c r="AP476" s="36"/>
      <c r="AQ476" s="36"/>
      <c r="AR476" s="42"/>
      <c r="AS476" s="42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</row>
    <row r="477" spans="1:56" ht="15.75" x14ac:dyDescent="0.25">
      <c r="A477" s="44"/>
      <c r="B477" s="36"/>
      <c r="C477" s="36"/>
      <c r="D477" s="36"/>
      <c r="E477" s="36"/>
      <c r="F477" s="36"/>
      <c r="G477" s="36"/>
      <c r="H477" s="36"/>
      <c r="I477" s="36"/>
      <c r="J477" s="105"/>
      <c r="K477" s="36"/>
      <c r="L477" s="36"/>
      <c r="M477" s="36"/>
      <c r="N477" s="105"/>
      <c r="O477" s="36"/>
      <c r="P477" s="36"/>
      <c r="Q477" s="36"/>
      <c r="R477" s="105"/>
      <c r="S477" s="36"/>
      <c r="T477" s="36"/>
      <c r="U477" s="36"/>
      <c r="V477" s="105"/>
      <c r="W477" s="36"/>
      <c r="X477" s="36"/>
      <c r="Y477" s="36"/>
      <c r="Z477" s="105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42"/>
      <c r="AO477" s="42"/>
      <c r="AP477" s="36"/>
      <c r="AQ477" s="36"/>
      <c r="AR477" s="42"/>
      <c r="AS477" s="42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</row>
    <row r="478" spans="1:56" ht="15.75" x14ac:dyDescent="0.25">
      <c r="A478" s="44"/>
      <c r="B478" s="36"/>
      <c r="C478" s="36"/>
      <c r="D478" s="36"/>
      <c r="E478" s="36"/>
      <c r="F478" s="36"/>
      <c r="G478" s="36"/>
      <c r="H478" s="36"/>
      <c r="I478" s="36"/>
      <c r="J478" s="105"/>
      <c r="K478" s="36"/>
      <c r="L478" s="36"/>
      <c r="M478" s="36"/>
      <c r="N478" s="105"/>
      <c r="O478" s="36"/>
      <c r="P478" s="36"/>
      <c r="Q478" s="36"/>
      <c r="R478" s="105"/>
      <c r="S478" s="36"/>
      <c r="T478" s="36"/>
      <c r="U478" s="36"/>
      <c r="V478" s="105"/>
      <c r="W478" s="36"/>
      <c r="X478" s="36"/>
      <c r="Y478" s="36"/>
      <c r="Z478" s="105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42"/>
      <c r="AO478" s="42"/>
      <c r="AP478" s="36"/>
      <c r="AQ478" s="36"/>
      <c r="AR478" s="42"/>
      <c r="AS478" s="42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</row>
    <row r="479" spans="1:56" ht="15.75" x14ac:dyDescent="0.25">
      <c r="A479" s="44"/>
      <c r="B479" s="36"/>
      <c r="C479" s="36"/>
      <c r="D479" s="36"/>
      <c r="E479" s="36"/>
      <c r="F479" s="36"/>
      <c r="G479" s="36"/>
      <c r="H479" s="36"/>
      <c r="I479" s="36"/>
      <c r="J479" s="105"/>
      <c r="K479" s="36"/>
      <c r="L479" s="36"/>
      <c r="M479" s="36"/>
      <c r="N479" s="105"/>
      <c r="O479" s="36"/>
      <c r="P479" s="36"/>
      <c r="Q479" s="36"/>
      <c r="R479" s="105"/>
      <c r="S479" s="36"/>
      <c r="T479" s="36"/>
      <c r="U479" s="36"/>
      <c r="V479" s="105"/>
      <c r="W479" s="36"/>
      <c r="X479" s="36"/>
      <c r="Y479" s="36"/>
      <c r="Z479" s="105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42"/>
      <c r="AO479" s="42"/>
      <c r="AP479" s="36"/>
      <c r="AQ479" s="36"/>
      <c r="AR479" s="42"/>
      <c r="AS479" s="42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</row>
    <row r="480" spans="1:56" ht="15.75" x14ac:dyDescent="0.25">
      <c r="A480" s="44"/>
      <c r="B480" s="36"/>
      <c r="C480" s="36"/>
      <c r="D480" s="36"/>
      <c r="E480" s="36"/>
      <c r="F480" s="36"/>
      <c r="G480" s="36"/>
      <c r="H480" s="36"/>
      <c r="I480" s="36"/>
      <c r="J480" s="105"/>
      <c r="K480" s="36"/>
      <c r="L480" s="36"/>
      <c r="M480" s="36"/>
      <c r="N480" s="105"/>
      <c r="O480" s="36"/>
      <c r="P480" s="36"/>
      <c r="Q480" s="36"/>
      <c r="R480" s="105"/>
      <c r="S480" s="36"/>
      <c r="T480" s="36"/>
      <c r="U480" s="36"/>
      <c r="V480" s="105"/>
      <c r="W480" s="36"/>
      <c r="X480" s="36"/>
      <c r="Y480" s="36"/>
      <c r="Z480" s="105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42"/>
      <c r="AO480" s="42"/>
      <c r="AP480" s="36"/>
      <c r="AQ480" s="36"/>
      <c r="AR480" s="42"/>
      <c r="AS480" s="42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</row>
    <row r="481" spans="1:56" ht="15.75" x14ac:dyDescent="0.25">
      <c r="A481" s="44"/>
      <c r="B481" s="36"/>
      <c r="C481" s="36"/>
      <c r="D481" s="36"/>
      <c r="E481" s="36"/>
      <c r="F481" s="36"/>
      <c r="G481" s="36"/>
      <c r="H481" s="36"/>
      <c r="I481" s="36"/>
      <c r="J481" s="105"/>
      <c r="K481" s="36"/>
      <c r="L481" s="36"/>
      <c r="M481" s="36"/>
      <c r="N481" s="105"/>
      <c r="O481" s="36"/>
      <c r="P481" s="36"/>
      <c r="Q481" s="36"/>
      <c r="R481" s="105"/>
      <c r="S481" s="36"/>
      <c r="T481" s="36"/>
      <c r="U481" s="36"/>
      <c r="V481" s="105"/>
      <c r="W481" s="36"/>
      <c r="X481" s="36"/>
      <c r="Y481" s="36"/>
      <c r="Z481" s="105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42"/>
      <c r="AO481" s="42"/>
      <c r="AP481" s="36"/>
      <c r="AQ481" s="36"/>
      <c r="AR481" s="42"/>
      <c r="AS481" s="42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</row>
    <row r="482" spans="1:56" ht="15.75" x14ac:dyDescent="0.25">
      <c r="A482" s="44"/>
      <c r="B482" s="36"/>
      <c r="C482" s="36"/>
      <c r="D482" s="36"/>
      <c r="E482" s="36"/>
      <c r="F482" s="36"/>
      <c r="G482" s="36"/>
      <c r="H482" s="36"/>
      <c r="I482" s="36"/>
      <c r="J482" s="105"/>
      <c r="K482" s="36"/>
      <c r="L482" s="36"/>
      <c r="M482" s="36"/>
      <c r="N482" s="105"/>
      <c r="O482" s="36"/>
      <c r="P482" s="36"/>
      <c r="Q482" s="36"/>
      <c r="R482" s="105"/>
      <c r="S482" s="36"/>
      <c r="T482" s="36"/>
      <c r="U482" s="36"/>
      <c r="V482" s="105"/>
      <c r="W482" s="36"/>
      <c r="X482" s="36"/>
      <c r="Y482" s="36"/>
      <c r="Z482" s="105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42"/>
      <c r="AO482" s="42"/>
      <c r="AP482" s="36"/>
      <c r="AQ482" s="36"/>
      <c r="AR482" s="42"/>
      <c r="AS482" s="42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</row>
    <row r="483" spans="1:56" ht="15.75" x14ac:dyDescent="0.25">
      <c r="A483" s="44"/>
      <c r="B483" s="36"/>
      <c r="C483" s="36"/>
      <c r="D483" s="36"/>
      <c r="E483" s="36"/>
      <c r="F483" s="36"/>
      <c r="G483" s="36"/>
      <c r="H483" s="36"/>
      <c r="I483" s="36"/>
      <c r="J483" s="105"/>
      <c r="K483" s="36"/>
      <c r="L483" s="36"/>
      <c r="M483" s="36"/>
      <c r="N483" s="105"/>
      <c r="O483" s="36"/>
      <c r="P483" s="36"/>
      <c r="Q483" s="36"/>
      <c r="R483" s="105"/>
      <c r="S483" s="36"/>
      <c r="T483" s="36"/>
      <c r="U483" s="36"/>
      <c r="V483" s="105"/>
      <c r="W483" s="36"/>
      <c r="X483" s="36"/>
      <c r="Y483" s="36"/>
      <c r="Z483" s="105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42"/>
      <c r="AO483" s="42"/>
      <c r="AP483" s="36"/>
      <c r="AQ483" s="36"/>
      <c r="AR483" s="42"/>
      <c r="AS483" s="42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</row>
    <row r="484" spans="1:56" ht="15.75" x14ac:dyDescent="0.25">
      <c r="A484" s="44"/>
      <c r="B484" s="36"/>
      <c r="C484" s="36"/>
      <c r="D484" s="36"/>
      <c r="E484" s="36"/>
      <c r="F484" s="36"/>
      <c r="G484" s="36"/>
      <c r="H484" s="36"/>
      <c r="I484" s="36"/>
      <c r="J484" s="105"/>
      <c r="K484" s="36"/>
      <c r="L484" s="36"/>
      <c r="M484" s="36"/>
      <c r="N484" s="105"/>
      <c r="O484" s="36"/>
      <c r="P484" s="36"/>
      <c r="Q484" s="36"/>
      <c r="R484" s="105"/>
      <c r="S484" s="36"/>
      <c r="T484" s="36"/>
      <c r="U484" s="36"/>
      <c r="V484" s="105"/>
      <c r="W484" s="36"/>
      <c r="X484" s="36"/>
      <c r="Y484" s="36"/>
      <c r="Z484" s="105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42"/>
      <c r="AO484" s="42"/>
      <c r="AP484" s="36"/>
      <c r="AQ484" s="36"/>
      <c r="AR484" s="42"/>
      <c r="AS484" s="42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</row>
    <row r="485" spans="1:56" ht="15.75" x14ac:dyDescent="0.25">
      <c r="A485" s="44"/>
      <c r="B485" s="36"/>
      <c r="C485" s="36"/>
      <c r="D485" s="36"/>
      <c r="E485" s="36"/>
      <c r="F485" s="36"/>
      <c r="G485" s="36"/>
      <c r="H485" s="36"/>
      <c r="I485" s="36"/>
      <c r="J485" s="105"/>
      <c r="K485" s="36"/>
      <c r="L485" s="36"/>
      <c r="M485" s="36"/>
      <c r="N485" s="105"/>
      <c r="O485" s="36"/>
      <c r="P485" s="36"/>
      <c r="Q485" s="36"/>
      <c r="R485" s="105"/>
      <c r="S485" s="36"/>
      <c r="T485" s="36"/>
      <c r="U485" s="36"/>
      <c r="V485" s="105"/>
      <c r="W485" s="36"/>
      <c r="X485" s="36"/>
      <c r="Y485" s="36"/>
      <c r="Z485" s="105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42"/>
      <c r="AO485" s="42"/>
      <c r="AP485" s="36"/>
      <c r="AQ485" s="36"/>
      <c r="AR485" s="42"/>
      <c r="AS485" s="42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</row>
    <row r="486" spans="1:56" ht="15.75" x14ac:dyDescent="0.25">
      <c r="A486" s="44"/>
      <c r="B486" s="36"/>
      <c r="C486" s="36"/>
      <c r="D486" s="36"/>
      <c r="E486" s="36"/>
      <c r="F486" s="36"/>
      <c r="G486" s="36"/>
      <c r="H486" s="36"/>
      <c r="I486" s="36"/>
      <c r="J486" s="105"/>
      <c r="K486" s="36"/>
      <c r="L486" s="36"/>
      <c r="M486" s="36"/>
      <c r="N486" s="105"/>
      <c r="O486" s="36"/>
      <c r="P486" s="36"/>
      <c r="Q486" s="36"/>
      <c r="R486" s="105"/>
      <c r="S486" s="36"/>
      <c r="T486" s="36"/>
      <c r="U486" s="36"/>
      <c r="V486" s="105"/>
      <c r="W486" s="36"/>
      <c r="X486" s="36"/>
      <c r="Y486" s="36"/>
      <c r="Z486" s="105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42"/>
      <c r="AO486" s="42"/>
      <c r="AP486" s="36"/>
      <c r="AQ486" s="36"/>
      <c r="AR486" s="42"/>
      <c r="AS486" s="42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</row>
    <row r="487" spans="1:56" ht="15.75" x14ac:dyDescent="0.25">
      <c r="A487" s="44"/>
      <c r="B487" s="36"/>
      <c r="C487" s="36"/>
      <c r="D487" s="36"/>
      <c r="E487" s="36"/>
      <c r="F487" s="36"/>
      <c r="G487" s="36"/>
      <c r="H487" s="36"/>
      <c r="I487" s="36"/>
      <c r="J487" s="105"/>
      <c r="K487" s="36"/>
      <c r="L487" s="36"/>
      <c r="M487" s="36"/>
      <c r="N487" s="105"/>
      <c r="O487" s="36"/>
      <c r="P487" s="36"/>
      <c r="Q487" s="36"/>
      <c r="R487" s="105"/>
      <c r="S487" s="36"/>
      <c r="T487" s="36"/>
      <c r="U487" s="36"/>
      <c r="V487" s="105"/>
      <c r="W487" s="36"/>
      <c r="X487" s="36"/>
      <c r="Y487" s="36"/>
      <c r="Z487" s="105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42"/>
      <c r="AO487" s="42"/>
      <c r="AP487" s="36"/>
      <c r="AQ487" s="36"/>
      <c r="AR487" s="42"/>
      <c r="AS487" s="42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</row>
    <row r="488" spans="1:56" ht="15.75" x14ac:dyDescent="0.25">
      <c r="A488" s="44"/>
      <c r="B488" s="36"/>
      <c r="C488" s="36"/>
      <c r="D488" s="36"/>
      <c r="E488" s="36"/>
      <c r="F488" s="36"/>
      <c r="G488" s="36"/>
      <c r="H488" s="36"/>
      <c r="I488" s="36"/>
      <c r="J488" s="105"/>
      <c r="K488" s="36"/>
      <c r="L488" s="36"/>
      <c r="M488" s="36"/>
      <c r="N488" s="105"/>
      <c r="O488" s="36"/>
      <c r="P488" s="36"/>
      <c r="Q488" s="36"/>
      <c r="R488" s="105"/>
      <c r="S488" s="36"/>
      <c r="T488" s="36"/>
      <c r="U488" s="36"/>
      <c r="V488" s="105"/>
      <c r="W488" s="36"/>
      <c r="X488" s="36"/>
      <c r="Y488" s="36"/>
      <c r="Z488" s="105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42"/>
      <c r="AO488" s="42"/>
      <c r="AP488" s="36"/>
      <c r="AQ488" s="36"/>
      <c r="AR488" s="42"/>
      <c r="AS488" s="42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</row>
    <row r="489" spans="1:56" ht="15.75" x14ac:dyDescent="0.25">
      <c r="A489" s="44"/>
      <c r="B489" s="36"/>
      <c r="C489" s="36"/>
      <c r="D489" s="36"/>
      <c r="E489" s="36"/>
      <c r="F489" s="36"/>
      <c r="G489" s="36"/>
      <c r="H489" s="36"/>
      <c r="I489" s="36"/>
      <c r="J489" s="105"/>
      <c r="K489" s="36"/>
      <c r="L489" s="36"/>
      <c r="M489" s="36"/>
      <c r="N489" s="105"/>
      <c r="O489" s="36"/>
      <c r="P489" s="36"/>
      <c r="Q489" s="36"/>
      <c r="R489" s="105"/>
      <c r="S489" s="36"/>
      <c r="T489" s="36"/>
      <c r="U489" s="36"/>
      <c r="V489" s="105"/>
      <c r="W489" s="36"/>
      <c r="X489" s="36"/>
      <c r="Y489" s="36"/>
      <c r="Z489" s="105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42"/>
      <c r="AO489" s="42"/>
      <c r="AP489" s="36"/>
      <c r="AQ489" s="36"/>
      <c r="AR489" s="42"/>
      <c r="AS489" s="42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</row>
    <row r="490" spans="1:56" ht="15.75" x14ac:dyDescent="0.25">
      <c r="A490" s="44"/>
      <c r="B490" s="36"/>
      <c r="C490" s="36"/>
      <c r="D490" s="36"/>
      <c r="E490" s="36"/>
      <c r="F490" s="36"/>
      <c r="G490" s="36"/>
      <c r="H490" s="36"/>
      <c r="I490" s="36"/>
      <c r="J490" s="105"/>
      <c r="K490" s="36"/>
      <c r="L490" s="36"/>
      <c r="M490" s="36"/>
      <c r="N490" s="105"/>
      <c r="O490" s="36"/>
      <c r="P490" s="36"/>
      <c r="Q490" s="36"/>
      <c r="R490" s="105"/>
      <c r="S490" s="36"/>
      <c r="T490" s="36"/>
      <c r="U490" s="36"/>
      <c r="V490" s="105"/>
      <c r="W490" s="36"/>
      <c r="X490" s="36"/>
      <c r="Y490" s="36"/>
      <c r="Z490" s="105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42"/>
      <c r="AO490" s="42"/>
      <c r="AP490" s="36"/>
      <c r="AQ490" s="36"/>
      <c r="AR490" s="42"/>
      <c r="AS490" s="42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</row>
    <row r="491" spans="1:56" ht="15.75" x14ac:dyDescent="0.25">
      <c r="A491" s="44"/>
      <c r="B491" s="36"/>
      <c r="C491" s="36"/>
      <c r="D491" s="36"/>
      <c r="E491" s="36"/>
      <c r="F491" s="36"/>
      <c r="G491" s="36"/>
      <c r="H491" s="36"/>
      <c r="I491" s="36"/>
      <c r="J491" s="105"/>
      <c r="K491" s="36"/>
      <c r="L491" s="36"/>
      <c r="M491" s="36"/>
      <c r="N491" s="105"/>
      <c r="O491" s="36"/>
      <c r="P491" s="36"/>
      <c r="Q491" s="36"/>
      <c r="R491" s="105"/>
      <c r="S491" s="36"/>
      <c r="T491" s="36"/>
      <c r="U491" s="36"/>
      <c r="V491" s="105"/>
      <c r="W491" s="36"/>
      <c r="X491" s="36"/>
      <c r="Y491" s="36"/>
      <c r="Z491" s="105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42"/>
      <c r="AO491" s="42"/>
      <c r="AP491" s="36"/>
      <c r="AQ491" s="36"/>
      <c r="AR491" s="42"/>
      <c r="AS491" s="42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</row>
    <row r="492" spans="1:56" ht="15.75" x14ac:dyDescent="0.25">
      <c r="A492" s="44"/>
      <c r="B492" s="36"/>
      <c r="C492" s="36"/>
      <c r="D492" s="36"/>
      <c r="E492" s="36"/>
      <c r="F492" s="36"/>
      <c r="G492" s="36"/>
      <c r="H492" s="36"/>
      <c r="I492" s="36"/>
      <c r="J492" s="105"/>
      <c r="K492" s="36"/>
      <c r="L492" s="36"/>
      <c r="M492" s="36"/>
      <c r="N492" s="105"/>
      <c r="O492" s="36"/>
      <c r="P492" s="36"/>
      <c r="Q492" s="36"/>
      <c r="R492" s="105"/>
      <c r="S492" s="36"/>
      <c r="T492" s="36"/>
      <c r="U492" s="36"/>
      <c r="V492" s="105"/>
      <c r="W492" s="36"/>
      <c r="X492" s="36"/>
      <c r="Y492" s="36"/>
      <c r="Z492" s="105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42"/>
      <c r="AO492" s="42"/>
      <c r="AP492" s="36"/>
      <c r="AQ492" s="36"/>
      <c r="AR492" s="42"/>
      <c r="AS492" s="42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</row>
    <row r="493" spans="1:56" ht="15.75" x14ac:dyDescent="0.25">
      <c r="A493" s="44"/>
      <c r="B493" s="36"/>
      <c r="C493" s="36"/>
      <c r="D493" s="36"/>
      <c r="E493" s="36"/>
      <c r="F493" s="36"/>
      <c r="G493" s="36"/>
      <c r="H493" s="36"/>
      <c r="I493" s="36"/>
      <c r="J493" s="105"/>
      <c r="K493" s="36"/>
      <c r="L493" s="36"/>
      <c r="M493" s="36"/>
      <c r="N493" s="105"/>
      <c r="O493" s="36"/>
      <c r="P493" s="36"/>
      <c r="Q493" s="36"/>
      <c r="R493" s="105"/>
      <c r="S493" s="36"/>
      <c r="T493" s="36"/>
      <c r="U493" s="36"/>
      <c r="V493" s="105"/>
      <c r="W493" s="36"/>
      <c r="X493" s="36"/>
      <c r="Y493" s="36"/>
      <c r="Z493" s="105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42"/>
      <c r="AO493" s="42"/>
      <c r="AP493" s="36"/>
      <c r="AQ493" s="36"/>
      <c r="AR493" s="42"/>
      <c r="AS493" s="42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</row>
    <row r="494" spans="1:56" ht="15.75" x14ac:dyDescent="0.25">
      <c r="A494" s="44"/>
      <c r="B494" s="36"/>
      <c r="C494" s="36"/>
      <c r="D494" s="36"/>
      <c r="E494" s="36"/>
      <c r="F494" s="36"/>
      <c r="G494" s="36"/>
      <c r="H494" s="36"/>
      <c r="I494" s="36"/>
      <c r="J494" s="105"/>
      <c r="K494" s="36"/>
      <c r="L494" s="36"/>
      <c r="M494" s="36"/>
      <c r="N494" s="105"/>
      <c r="O494" s="36"/>
      <c r="P494" s="36"/>
      <c r="Q494" s="36"/>
      <c r="R494" s="105"/>
      <c r="S494" s="36"/>
      <c r="T494" s="36"/>
      <c r="U494" s="36"/>
      <c r="V494" s="105"/>
      <c r="W494" s="36"/>
      <c r="X494" s="36"/>
      <c r="Y494" s="36"/>
      <c r="Z494" s="105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42"/>
      <c r="AO494" s="42"/>
      <c r="AP494" s="36"/>
      <c r="AQ494" s="36"/>
      <c r="AR494" s="42"/>
      <c r="AS494" s="42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</row>
    <row r="495" spans="1:56" ht="15.75" x14ac:dyDescent="0.25">
      <c r="A495" s="44"/>
      <c r="B495" s="36"/>
      <c r="C495" s="36"/>
      <c r="D495" s="36"/>
      <c r="E495" s="36"/>
      <c r="F495" s="36"/>
      <c r="G495" s="36"/>
      <c r="H495" s="36"/>
      <c r="I495" s="36"/>
      <c r="J495" s="105"/>
      <c r="K495" s="36"/>
      <c r="L495" s="36"/>
      <c r="M495" s="36"/>
      <c r="N495" s="105"/>
      <c r="O495" s="36"/>
      <c r="P495" s="36"/>
      <c r="Q495" s="36"/>
      <c r="R495" s="105"/>
      <c r="S495" s="36"/>
      <c r="T495" s="36"/>
      <c r="U495" s="36"/>
      <c r="V495" s="105"/>
      <c r="W495" s="36"/>
      <c r="X495" s="36"/>
      <c r="Y495" s="36"/>
      <c r="Z495" s="105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42"/>
      <c r="AO495" s="42"/>
      <c r="AP495" s="36"/>
      <c r="AQ495" s="36"/>
      <c r="AR495" s="42"/>
      <c r="AS495" s="42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</row>
    <row r="496" spans="1:56" ht="15.75" x14ac:dyDescent="0.25">
      <c r="A496" s="44"/>
      <c r="B496" s="36"/>
      <c r="C496" s="36"/>
      <c r="D496" s="36"/>
      <c r="E496" s="36"/>
      <c r="F496" s="36"/>
      <c r="G496" s="36"/>
      <c r="H496" s="36"/>
      <c r="I496" s="36"/>
      <c r="J496" s="105"/>
      <c r="K496" s="36"/>
      <c r="L496" s="36"/>
      <c r="M496" s="36"/>
      <c r="N496" s="105"/>
      <c r="O496" s="36"/>
      <c r="P496" s="36"/>
      <c r="Q496" s="36"/>
      <c r="R496" s="105"/>
      <c r="S496" s="36"/>
      <c r="T496" s="36"/>
      <c r="U496" s="36"/>
      <c r="V496" s="105"/>
      <c r="W496" s="36"/>
      <c r="X496" s="36"/>
      <c r="Y496" s="36"/>
      <c r="Z496" s="105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42"/>
      <c r="AO496" s="42"/>
      <c r="AP496" s="36"/>
      <c r="AQ496" s="36"/>
      <c r="AR496" s="42"/>
      <c r="AS496" s="42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</row>
    <row r="497" spans="1:56" ht="15.75" x14ac:dyDescent="0.25">
      <c r="A497" s="44"/>
      <c r="B497" s="36"/>
      <c r="C497" s="36"/>
      <c r="D497" s="36"/>
      <c r="E497" s="36"/>
      <c r="F497" s="36"/>
      <c r="G497" s="36"/>
      <c r="H497" s="36"/>
      <c r="I497" s="36"/>
      <c r="J497" s="105"/>
      <c r="K497" s="36"/>
      <c r="L497" s="36"/>
      <c r="M497" s="36"/>
      <c r="N497" s="105"/>
      <c r="O497" s="36"/>
      <c r="P497" s="36"/>
      <c r="Q497" s="36"/>
      <c r="R497" s="105"/>
      <c r="S497" s="36"/>
      <c r="T497" s="36"/>
      <c r="U497" s="36"/>
      <c r="V497" s="105"/>
      <c r="W497" s="36"/>
      <c r="X497" s="36"/>
      <c r="Y497" s="36"/>
      <c r="Z497" s="105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42"/>
      <c r="AO497" s="42"/>
      <c r="AP497" s="36"/>
      <c r="AQ497" s="36"/>
      <c r="AR497" s="42"/>
      <c r="AS497" s="42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</row>
    <row r="498" spans="1:56" ht="15.75" x14ac:dyDescent="0.25">
      <c r="A498" s="44"/>
      <c r="B498" s="36"/>
      <c r="C498" s="36"/>
      <c r="D498" s="36"/>
      <c r="E498" s="36"/>
      <c r="F498" s="36"/>
      <c r="G498" s="36"/>
      <c r="H498" s="36"/>
      <c r="I498" s="36"/>
      <c r="J498" s="105"/>
      <c r="K498" s="36"/>
      <c r="L498" s="36"/>
      <c r="M498" s="36"/>
      <c r="N498" s="105"/>
      <c r="O498" s="36"/>
      <c r="P498" s="36"/>
      <c r="Q498" s="36"/>
      <c r="R498" s="105"/>
      <c r="S498" s="36"/>
      <c r="T498" s="36"/>
      <c r="U498" s="36"/>
      <c r="V498" s="105"/>
      <c r="W498" s="36"/>
      <c r="X498" s="36"/>
      <c r="Y498" s="36"/>
      <c r="Z498" s="105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42"/>
      <c r="AO498" s="42"/>
      <c r="AP498" s="36"/>
      <c r="AQ498" s="36"/>
      <c r="AR498" s="42"/>
      <c r="AS498" s="42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</row>
    <row r="499" spans="1:56" ht="15.75" x14ac:dyDescent="0.25">
      <c r="A499" s="44"/>
      <c r="B499" s="36"/>
      <c r="C499" s="36"/>
      <c r="D499" s="36"/>
      <c r="E499" s="36"/>
      <c r="F499" s="36"/>
      <c r="G499" s="36"/>
      <c r="H499" s="36"/>
      <c r="I499" s="36"/>
      <c r="J499" s="105"/>
      <c r="K499" s="36"/>
      <c r="L499" s="36"/>
      <c r="M499" s="36"/>
      <c r="N499" s="105"/>
      <c r="O499" s="36"/>
      <c r="P499" s="36"/>
      <c r="Q499" s="36"/>
      <c r="R499" s="105"/>
      <c r="S499" s="36"/>
      <c r="T499" s="36"/>
      <c r="U499" s="36"/>
      <c r="V499" s="105"/>
      <c r="W499" s="36"/>
      <c r="X499" s="36"/>
      <c r="Y499" s="36"/>
      <c r="Z499" s="105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42"/>
      <c r="AO499" s="42"/>
      <c r="AP499" s="36"/>
      <c r="AQ499" s="36"/>
      <c r="AR499" s="42"/>
      <c r="AS499" s="42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</row>
    <row r="500" spans="1:56" ht="15.75" x14ac:dyDescent="0.25">
      <c r="A500" s="44"/>
      <c r="B500" s="36"/>
      <c r="C500" s="36"/>
      <c r="D500" s="36"/>
      <c r="E500" s="36"/>
      <c r="F500" s="36"/>
      <c r="G500" s="36"/>
      <c r="H500" s="36"/>
      <c r="I500" s="36"/>
      <c r="J500" s="105"/>
      <c r="K500" s="36"/>
      <c r="L500" s="36"/>
      <c r="M500" s="36"/>
      <c r="N500" s="105"/>
      <c r="O500" s="36"/>
      <c r="P500" s="36"/>
      <c r="Q500" s="36"/>
      <c r="R500" s="105"/>
      <c r="S500" s="36"/>
      <c r="T500" s="36"/>
      <c r="U500" s="36"/>
      <c r="V500" s="105"/>
      <c r="W500" s="36"/>
      <c r="X500" s="36"/>
      <c r="Y500" s="36"/>
      <c r="Z500" s="105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42"/>
      <c r="AO500" s="42"/>
      <c r="AP500" s="36"/>
      <c r="AQ500" s="36"/>
      <c r="AR500" s="42"/>
      <c r="AS500" s="42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</row>
    <row r="501" spans="1:56" ht="15.75" x14ac:dyDescent="0.25">
      <c r="A501" s="44"/>
      <c r="B501" s="36"/>
      <c r="C501" s="36"/>
      <c r="D501" s="36"/>
      <c r="E501" s="36"/>
      <c r="F501" s="36"/>
      <c r="G501" s="36"/>
      <c r="H501" s="36"/>
      <c r="I501" s="36"/>
      <c r="J501" s="105"/>
      <c r="K501" s="36"/>
      <c r="L501" s="36"/>
      <c r="M501" s="36"/>
      <c r="N501" s="105"/>
      <c r="O501" s="36"/>
      <c r="P501" s="36"/>
      <c r="Q501" s="36"/>
      <c r="R501" s="105"/>
      <c r="S501" s="36"/>
      <c r="T501" s="36"/>
      <c r="U501" s="36"/>
      <c r="V501" s="105"/>
      <c r="W501" s="36"/>
      <c r="X501" s="36"/>
      <c r="Y501" s="36"/>
      <c r="Z501" s="105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42"/>
      <c r="AO501" s="42"/>
      <c r="AP501" s="36"/>
      <c r="AQ501" s="36"/>
      <c r="AR501" s="42"/>
      <c r="AS501" s="42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</row>
    <row r="502" spans="1:56" ht="15.75" x14ac:dyDescent="0.25">
      <c r="A502" s="44"/>
      <c r="B502" s="36"/>
      <c r="C502" s="36"/>
      <c r="D502" s="36"/>
      <c r="E502" s="36"/>
      <c r="F502" s="36"/>
      <c r="G502" s="36"/>
      <c r="H502" s="36"/>
      <c r="I502" s="36"/>
      <c r="J502" s="105"/>
      <c r="K502" s="36"/>
      <c r="L502" s="36"/>
      <c r="M502" s="36"/>
      <c r="N502" s="105"/>
      <c r="O502" s="36"/>
      <c r="P502" s="36"/>
      <c r="Q502" s="36"/>
      <c r="R502" s="105"/>
      <c r="S502" s="36"/>
      <c r="T502" s="36"/>
      <c r="U502" s="36"/>
      <c r="V502" s="105"/>
      <c r="W502" s="36"/>
      <c r="X502" s="36"/>
      <c r="Y502" s="36"/>
      <c r="Z502" s="105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42"/>
      <c r="AO502" s="42"/>
      <c r="AP502" s="36"/>
      <c r="AQ502" s="36"/>
      <c r="AR502" s="42"/>
      <c r="AS502" s="42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</row>
    <row r="503" spans="1:56" ht="15.75" x14ac:dyDescent="0.25">
      <c r="A503" s="44"/>
      <c r="B503" s="36"/>
      <c r="C503" s="36"/>
      <c r="D503" s="36"/>
      <c r="E503" s="36"/>
      <c r="F503" s="36"/>
      <c r="G503" s="36"/>
      <c r="H503" s="36"/>
      <c r="I503" s="36"/>
      <c r="J503" s="105"/>
      <c r="K503" s="36"/>
      <c r="L503" s="36"/>
      <c r="M503" s="36"/>
      <c r="N503" s="105"/>
      <c r="O503" s="36"/>
      <c r="P503" s="36"/>
      <c r="Q503" s="36"/>
      <c r="R503" s="105"/>
      <c r="S503" s="36"/>
      <c r="T503" s="36"/>
      <c r="U503" s="36"/>
      <c r="V503" s="105"/>
      <c r="W503" s="36"/>
      <c r="X503" s="36"/>
      <c r="Y503" s="36"/>
      <c r="Z503" s="105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42"/>
      <c r="AO503" s="42"/>
      <c r="AP503" s="36"/>
      <c r="AQ503" s="36"/>
      <c r="AR503" s="42"/>
      <c r="AS503" s="42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</row>
    <row r="504" spans="1:56" ht="15.75" x14ac:dyDescent="0.25">
      <c r="A504" s="44"/>
      <c r="B504" s="36"/>
      <c r="C504" s="36"/>
      <c r="D504" s="36"/>
      <c r="E504" s="36"/>
      <c r="F504" s="36"/>
      <c r="G504" s="36"/>
      <c r="H504" s="36"/>
      <c r="I504" s="36"/>
      <c r="J504" s="105"/>
      <c r="K504" s="36"/>
      <c r="L504" s="36"/>
      <c r="M504" s="36"/>
      <c r="N504" s="105"/>
      <c r="O504" s="36"/>
      <c r="P504" s="36"/>
      <c r="Q504" s="36"/>
      <c r="R504" s="105"/>
      <c r="S504" s="36"/>
      <c r="T504" s="36"/>
      <c r="U504" s="36"/>
      <c r="V504" s="105"/>
      <c r="W504" s="36"/>
      <c r="X504" s="36"/>
      <c r="Y504" s="36"/>
      <c r="Z504" s="105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42"/>
      <c r="AO504" s="42"/>
      <c r="AP504" s="36"/>
      <c r="AQ504" s="36"/>
      <c r="AR504" s="42"/>
      <c r="AS504" s="42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</row>
    <row r="505" spans="1:56" ht="15.75" x14ac:dyDescent="0.25">
      <c r="A505" s="44"/>
      <c r="B505" s="36"/>
      <c r="C505" s="36"/>
      <c r="D505" s="36"/>
      <c r="E505" s="36"/>
      <c r="F505" s="36"/>
      <c r="G505" s="36"/>
      <c r="H505" s="36"/>
      <c r="I505" s="36"/>
      <c r="J505" s="105"/>
      <c r="K505" s="36"/>
      <c r="L505" s="36"/>
      <c r="M505" s="36"/>
      <c r="N505" s="105"/>
      <c r="O505" s="36"/>
      <c r="P505" s="36"/>
      <c r="Q505" s="36"/>
      <c r="R505" s="105"/>
      <c r="S505" s="36"/>
      <c r="T505" s="36"/>
      <c r="U505" s="36"/>
      <c r="V505" s="105"/>
      <c r="W505" s="36"/>
      <c r="X505" s="36"/>
      <c r="Y505" s="36"/>
      <c r="Z505" s="105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42"/>
      <c r="AO505" s="42"/>
      <c r="AP505" s="36"/>
      <c r="AQ505" s="36"/>
      <c r="AR505" s="42"/>
      <c r="AS505" s="42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</row>
    <row r="506" spans="1:56" ht="15.75" x14ac:dyDescent="0.25">
      <c r="A506" s="44"/>
      <c r="B506" s="36"/>
      <c r="C506" s="36"/>
      <c r="D506" s="36"/>
      <c r="E506" s="36"/>
      <c r="F506" s="36"/>
      <c r="G506" s="36"/>
      <c r="H506" s="36"/>
      <c r="I506" s="36"/>
      <c r="J506" s="105"/>
      <c r="K506" s="36"/>
      <c r="L506" s="36"/>
      <c r="M506" s="36"/>
      <c r="N506" s="105"/>
      <c r="O506" s="36"/>
      <c r="P506" s="36"/>
      <c r="Q506" s="36"/>
      <c r="R506" s="105"/>
      <c r="S506" s="36"/>
      <c r="T506" s="36"/>
      <c r="U506" s="36"/>
      <c r="V506" s="105"/>
      <c r="W506" s="36"/>
      <c r="X506" s="36"/>
      <c r="Y506" s="36"/>
      <c r="Z506" s="105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42"/>
      <c r="AO506" s="42"/>
      <c r="AP506" s="36"/>
      <c r="AQ506" s="36"/>
      <c r="AR506" s="42"/>
      <c r="AS506" s="42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</row>
    <row r="507" spans="1:56" ht="15.75" x14ac:dyDescent="0.25">
      <c r="A507" s="44"/>
      <c r="B507" s="36"/>
      <c r="C507" s="36"/>
      <c r="D507" s="36"/>
      <c r="E507" s="36"/>
      <c r="F507" s="36"/>
      <c r="G507" s="36"/>
      <c r="H507" s="36"/>
      <c r="I507" s="36"/>
      <c r="J507" s="105"/>
      <c r="K507" s="36"/>
      <c r="L507" s="36"/>
      <c r="M507" s="36"/>
      <c r="N507" s="105"/>
      <c r="O507" s="36"/>
      <c r="P507" s="36"/>
      <c r="Q507" s="36"/>
      <c r="R507" s="105"/>
      <c r="S507" s="36"/>
      <c r="T507" s="36"/>
      <c r="U507" s="36"/>
      <c r="V507" s="105"/>
      <c r="W507" s="36"/>
      <c r="X507" s="36"/>
      <c r="Y507" s="36"/>
      <c r="Z507" s="105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42"/>
      <c r="AO507" s="42"/>
      <c r="AP507" s="36"/>
      <c r="AQ507" s="36"/>
      <c r="AR507" s="42"/>
      <c r="AS507" s="42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</row>
    <row r="508" spans="1:56" ht="15.75" x14ac:dyDescent="0.25">
      <c r="A508" s="44"/>
      <c r="B508" s="36"/>
      <c r="C508" s="36"/>
      <c r="D508" s="36"/>
      <c r="E508" s="36"/>
      <c r="F508" s="36"/>
      <c r="G508" s="36"/>
      <c r="H508" s="36"/>
      <c r="I508" s="36"/>
      <c r="J508" s="105"/>
      <c r="K508" s="36"/>
      <c r="L508" s="36"/>
      <c r="M508" s="36"/>
      <c r="N508" s="105"/>
      <c r="O508" s="36"/>
      <c r="P508" s="36"/>
      <c r="Q508" s="36"/>
      <c r="R508" s="105"/>
      <c r="S508" s="36"/>
      <c r="T508" s="36"/>
      <c r="U508" s="36"/>
      <c r="V508" s="105"/>
      <c r="W508" s="36"/>
      <c r="X508" s="36"/>
      <c r="Y508" s="36"/>
      <c r="Z508" s="105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42"/>
      <c r="AO508" s="42"/>
      <c r="AP508" s="36"/>
      <c r="AQ508" s="36"/>
      <c r="AR508" s="42"/>
      <c r="AS508" s="42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</row>
    <row r="509" spans="1:56" ht="15.75" x14ac:dyDescent="0.25">
      <c r="A509" s="44"/>
      <c r="B509" s="36"/>
      <c r="C509" s="36"/>
      <c r="D509" s="36"/>
      <c r="E509" s="36"/>
      <c r="F509" s="36"/>
      <c r="G509" s="36"/>
      <c r="H509" s="36"/>
      <c r="I509" s="36"/>
      <c r="J509" s="105"/>
      <c r="K509" s="36"/>
      <c r="L509" s="36"/>
      <c r="M509" s="36"/>
      <c r="N509" s="105"/>
      <c r="O509" s="36"/>
      <c r="P509" s="36"/>
      <c r="Q509" s="36"/>
      <c r="R509" s="105"/>
      <c r="S509" s="36"/>
      <c r="T509" s="36"/>
      <c r="U509" s="36"/>
      <c r="V509" s="105"/>
      <c r="W509" s="36"/>
      <c r="X509" s="36"/>
      <c r="Y509" s="36"/>
      <c r="Z509" s="105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42"/>
      <c r="AO509" s="42"/>
      <c r="AP509" s="36"/>
      <c r="AQ509" s="36"/>
      <c r="AR509" s="42"/>
      <c r="AS509" s="42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</row>
    <row r="510" spans="1:56" ht="15.75" x14ac:dyDescent="0.25">
      <c r="A510" s="44"/>
      <c r="B510" s="36"/>
      <c r="C510" s="36"/>
      <c r="D510" s="36"/>
      <c r="E510" s="36"/>
      <c r="F510" s="36"/>
      <c r="G510" s="36"/>
      <c r="H510" s="36"/>
      <c r="I510" s="36"/>
      <c r="J510" s="105"/>
      <c r="K510" s="36"/>
      <c r="L510" s="36"/>
      <c r="M510" s="36"/>
      <c r="N510" s="105"/>
      <c r="O510" s="36"/>
      <c r="P510" s="36"/>
      <c r="Q510" s="36"/>
      <c r="R510" s="105"/>
      <c r="S510" s="36"/>
      <c r="T510" s="36"/>
      <c r="U510" s="36"/>
      <c r="V510" s="105"/>
      <c r="W510" s="36"/>
      <c r="X510" s="36"/>
      <c r="Y510" s="36"/>
      <c r="Z510" s="105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42"/>
      <c r="AO510" s="42"/>
      <c r="AP510" s="36"/>
      <c r="AQ510" s="36"/>
      <c r="AR510" s="42"/>
      <c r="AS510" s="42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</row>
    <row r="511" spans="1:56" ht="15.75" x14ac:dyDescent="0.25">
      <c r="A511" s="44"/>
      <c r="B511" s="36"/>
      <c r="C511" s="36"/>
      <c r="D511" s="36"/>
      <c r="E511" s="36"/>
      <c r="F511" s="36"/>
      <c r="G511" s="36"/>
      <c r="H511" s="36"/>
      <c r="I511" s="36"/>
      <c r="J511" s="105"/>
      <c r="K511" s="36"/>
      <c r="L511" s="36"/>
      <c r="M511" s="36"/>
      <c r="N511" s="105"/>
      <c r="O511" s="36"/>
      <c r="P511" s="36"/>
      <c r="Q511" s="36"/>
      <c r="R511" s="105"/>
      <c r="S511" s="36"/>
      <c r="T511" s="36"/>
      <c r="U511" s="36"/>
      <c r="V511" s="105"/>
      <c r="W511" s="36"/>
      <c r="X511" s="36"/>
      <c r="Y511" s="36"/>
      <c r="Z511" s="105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42"/>
      <c r="AO511" s="42"/>
      <c r="AP511" s="36"/>
      <c r="AQ511" s="36"/>
      <c r="AR511" s="42"/>
      <c r="AS511" s="42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</row>
    <row r="512" spans="1:56" ht="15.75" x14ac:dyDescent="0.25">
      <c r="A512" s="44"/>
      <c r="B512" s="36"/>
      <c r="C512" s="36"/>
      <c r="D512" s="36"/>
      <c r="E512" s="36"/>
      <c r="F512" s="36"/>
      <c r="G512" s="36"/>
      <c r="H512" s="36"/>
      <c r="I512" s="36"/>
      <c r="J512" s="105"/>
      <c r="K512" s="36"/>
      <c r="L512" s="36"/>
      <c r="M512" s="36"/>
      <c r="N512" s="105"/>
      <c r="O512" s="36"/>
      <c r="P512" s="36"/>
      <c r="Q512" s="36"/>
      <c r="R512" s="105"/>
      <c r="S512" s="36"/>
      <c r="T512" s="36"/>
      <c r="U512" s="36"/>
      <c r="V512" s="105"/>
      <c r="W512" s="36"/>
      <c r="X512" s="36"/>
      <c r="Y512" s="36"/>
      <c r="Z512" s="105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42"/>
      <c r="AO512" s="42"/>
      <c r="AP512" s="36"/>
      <c r="AQ512" s="36"/>
      <c r="AR512" s="42"/>
      <c r="AS512" s="42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</row>
    <row r="513" spans="1:56" ht="15.75" x14ac:dyDescent="0.25">
      <c r="A513" s="44"/>
      <c r="B513" s="36"/>
      <c r="C513" s="36"/>
      <c r="D513" s="36"/>
      <c r="E513" s="36"/>
      <c r="F513" s="36"/>
      <c r="G513" s="36"/>
      <c r="H513" s="36"/>
      <c r="I513" s="36"/>
      <c r="J513" s="105"/>
      <c r="K513" s="36"/>
      <c r="L513" s="36"/>
      <c r="M513" s="36"/>
      <c r="N513" s="105"/>
      <c r="O513" s="36"/>
      <c r="P513" s="36"/>
      <c r="Q513" s="36"/>
      <c r="R513" s="105"/>
      <c r="S513" s="36"/>
      <c r="T513" s="36"/>
      <c r="U513" s="36"/>
      <c r="V513" s="105"/>
      <c r="W513" s="36"/>
      <c r="X513" s="36"/>
      <c r="Y513" s="36"/>
      <c r="Z513" s="105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42"/>
      <c r="AO513" s="42"/>
      <c r="AP513" s="36"/>
      <c r="AQ513" s="36"/>
      <c r="AR513" s="42"/>
      <c r="AS513" s="42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</row>
    <row r="514" spans="1:56" ht="15.75" x14ac:dyDescent="0.25">
      <c r="A514" s="44"/>
      <c r="B514" s="36"/>
      <c r="C514" s="36"/>
      <c r="D514" s="36"/>
      <c r="E514" s="36"/>
      <c r="F514" s="36"/>
      <c r="G514" s="36"/>
      <c r="H514" s="36"/>
      <c r="I514" s="36"/>
      <c r="J514" s="105"/>
      <c r="K514" s="36"/>
      <c r="L514" s="36"/>
      <c r="M514" s="36"/>
      <c r="N514" s="105"/>
      <c r="O514" s="36"/>
      <c r="P514" s="36"/>
      <c r="Q514" s="36"/>
      <c r="R514" s="105"/>
      <c r="S514" s="36"/>
      <c r="T514" s="36"/>
      <c r="U514" s="36"/>
      <c r="V514" s="105"/>
      <c r="W514" s="36"/>
      <c r="X514" s="36"/>
      <c r="Y514" s="36"/>
      <c r="Z514" s="105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42"/>
      <c r="AO514" s="42"/>
      <c r="AP514" s="36"/>
      <c r="AQ514" s="36"/>
      <c r="AR514" s="42"/>
      <c r="AS514" s="42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</row>
    <row r="515" spans="1:56" ht="15.75" x14ac:dyDescent="0.25">
      <c r="A515" s="44"/>
      <c r="B515" s="36"/>
      <c r="C515" s="36"/>
      <c r="D515" s="36"/>
      <c r="E515" s="36"/>
      <c r="F515" s="36"/>
      <c r="G515" s="36"/>
      <c r="H515" s="36"/>
      <c r="I515" s="36"/>
      <c r="J515" s="105"/>
      <c r="K515" s="36"/>
      <c r="L515" s="36"/>
      <c r="M515" s="36"/>
      <c r="N515" s="105"/>
      <c r="O515" s="36"/>
      <c r="P515" s="36"/>
      <c r="Q515" s="36"/>
      <c r="R515" s="105"/>
      <c r="S515" s="36"/>
      <c r="T515" s="36"/>
      <c r="U515" s="36"/>
      <c r="V515" s="105"/>
      <c r="W515" s="36"/>
      <c r="X515" s="36"/>
      <c r="Y515" s="36"/>
      <c r="Z515" s="105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42"/>
      <c r="AO515" s="42"/>
      <c r="AP515" s="36"/>
      <c r="AQ515" s="36"/>
      <c r="AR515" s="42"/>
      <c r="AS515" s="42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</row>
    <row r="516" spans="1:56" ht="15.75" x14ac:dyDescent="0.25">
      <c r="A516" s="44"/>
      <c r="B516" s="36"/>
      <c r="C516" s="36"/>
      <c r="D516" s="36"/>
      <c r="E516" s="36"/>
      <c r="F516" s="36"/>
      <c r="G516" s="36"/>
      <c r="H516" s="36"/>
      <c r="I516" s="36"/>
      <c r="J516" s="105"/>
      <c r="K516" s="36"/>
      <c r="L516" s="36"/>
      <c r="M516" s="36"/>
      <c r="N516" s="105"/>
      <c r="O516" s="36"/>
      <c r="P516" s="36"/>
      <c r="Q516" s="36"/>
      <c r="R516" s="105"/>
      <c r="S516" s="36"/>
      <c r="T516" s="36"/>
      <c r="U516" s="36"/>
      <c r="V516" s="105"/>
      <c r="W516" s="36"/>
      <c r="X516" s="36"/>
      <c r="Y516" s="36"/>
      <c r="Z516" s="105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42"/>
      <c r="AO516" s="42"/>
      <c r="AP516" s="36"/>
      <c r="AQ516" s="36"/>
      <c r="AR516" s="42"/>
      <c r="AS516" s="42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</row>
    <row r="517" spans="1:56" ht="15.75" x14ac:dyDescent="0.25">
      <c r="A517" s="44"/>
      <c r="B517" s="36"/>
      <c r="C517" s="36"/>
      <c r="D517" s="36"/>
      <c r="E517" s="36"/>
      <c r="F517" s="36"/>
      <c r="G517" s="36"/>
      <c r="H517" s="36"/>
      <c r="I517" s="36"/>
      <c r="J517" s="105"/>
      <c r="K517" s="36"/>
      <c r="L517" s="36"/>
      <c r="M517" s="36"/>
      <c r="N517" s="105"/>
      <c r="O517" s="36"/>
      <c r="P517" s="36"/>
      <c r="Q517" s="36"/>
      <c r="R517" s="105"/>
      <c r="S517" s="36"/>
      <c r="T517" s="36"/>
      <c r="U517" s="36"/>
      <c r="V517" s="105"/>
      <c r="W517" s="36"/>
      <c r="X517" s="36"/>
      <c r="Y517" s="36"/>
      <c r="Z517" s="105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42"/>
      <c r="AO517" s="42"/>
      <c r="AP517" s="36"/>
      <c r="AQ517" s="36"/>
      <c r="AR517" s="42"/>
      <c r="AS517" s="42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</row>
    <row r="518" spans="1:56" ht="15.75" x14ac:dyDescent="0.25">
      <c r="A518" s="44"/>
      <c r="B518" s="36"/>
      <c r="C518" s="36"/>
      <c r="D518" s="36"/>
      <c r="E518" s="36"/>
      <c r="F518" s="36"/>
      <c r="G518" s="36"/>
      <c r="H518" s="36"/>
      <c r="I518" s="36"/>
      <c r="J518" s="105"/>
      <c r="K518" s="36"/>
      <c r="L518" s="36"/>
      <c r="M518" s="36"/>
      <c r="N518" s="105"/>
      <c r="O518" s="36"/>
      <c r="P518" s="36"/>
      <c r="Q518" s="36"/>
      <c r="R518" s="105"/>
      <c r="S518" s="36"/>
      <c r="T518" s="36"/>
      <c r="U518" s="36"/>
      <c r="V518" s="105"/>
      <c r="W518" s="36"/>
      <c r="X518" s="36"/>
      <c r="Y518" s="36"/>
      <c r="Z518" s="105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42"/>
      <c r="AO518" s="42"/>
      <c r="AP518" s="36"/>
      <c r="AQ518" s="36"/>
      <c r="AR518" s="42"/>
      <c r="AS518" s="42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</row>
    <row r="519" spans="1:56" ht="15.75" x14ac:dyDescent="0.25">
      <c r="A519" s="44"/>
      <c r="B519" s="36"/>
      <c r="C519" s="36"/>
      <c r="D519" s="36"/>
      <c r="E519" s="36"/>
      <c r="F519" s="36"/>
      <c r="G519" s="36"/>
      <c r="H519" s="36"/>
      <c r="I519" s="36"/>
      <c r="J519" s="105"/>
      <c r="K519" s="36"/>
      <c r="L519" s="36"/>
      <c r="M519" s="36"/>
      <c r="N519" s="105"/>
      <c r="O519" s="36"/>
      <c r="P519" s="36"/>
      <c r="Q519" s="36"/>
      <c r="R519" s="105"/>
      <c r="S519" s="36"/>
      <c r="T519" s="36"/>
      <c r="U519" s="36"/>
      <c r="V519" s="105"/>
      <c r="W519" s="36"/>
      <c r="X519" s="36"/>
      <c r="Y519" s="36"/>
      <c r="Z519" s="105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42"/>
      <c r="AO519" s="42"/>
      <c r="AP519" s="36"/>
      <c r="AQ519" s="36"/>
      <c r="AR519" s="42"/>
      <c r="AS519" s="42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</row>
    <row r="520" spans="1:56" ht="15.75" x14ac:dyDescent="0.25">
      <c r="A520" s="44"/>
      <c r="B520" s="36"/>
      <c r="C520" s="36"/>
      <c r="D520" s="36"/>
      <c r="E520" s="36"/>
      <c r="F520" s="36"/>
      <c r="G520" s="36"/>
      <c r="H520" s="36"/>
      <c r="I520" s="36"/>
      <c r="J520" s="105"/>
      <c r="K520" s="36"/>
      <c r="L520" s="36"/>
      <c r="M520" s="36"/>
      <c r="N520" s="105"/>
      <c r="O520" s="36"/>
      <c r="P520" s="36"/>
      <c r="Q520" s="36"/>
      <c r="R520" s="105"/>
      <c r="S520" s="36"/>
      <c r="T520" s="36"/>
      <c r="U520" s="36"/>
      <c r="V520" s="105"/>
      <c r="W520" s="36"/>
      <c r="X520" s="36"/>
      <c r="Y520" s="36"/>
      <c r="Z520" s="105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42"/>
      <c r="AO520" s="42"/>
      <c r="AP520" s="36"/>
      <c r="AQ520" s="36"/>
      <c r="AR520" s="42"/>
      <c r="AS520" s="42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</row>
    <row r="521" spans="1:56" ht="15.75" x14ac:dyDescent="0.25">
      <c r="A521" s="44"/>
      <c r="B521" s="36"/>
      <c r="C521" s="36"/>
      <c r="D521" s="36"/>
      <c r="E521" s="36"/>
      <c r="F521" s="36"/>
      <c r="G521" s="36"/>
      <c r="H521" s="36"/>
      <c r="I521" s="36"/>
      <c r="J521" s="105"/>
      <c r="K521" s="36"/>
      <c r="L521" s="36"/>
      <c r="M521" s="36"/>
      <c r="N521" s="105"/>
      <c r="O521" s="36"/>
      <c r="P521" s="36"/>
      <c r="Q521" s="36"/>
      <c r="R521" s="105"/>
      <c r="S521" s="36"/>
      <c r="T521" s="36"/>
      <c r="U521" s="36"/>
      <c r="V521" s="105"/>
      <c r="W521" s="36"/>
      <c r="X521" s="36"/>
      <c r="Y521" s="36"/>
      <c r="Z521" s="105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42"/>
      <c r="AO521" s="42"/>
      <c r="AP521" s="36"/>
      <c r="AQ521" s="36"/>
      <c r="AR521" s="42"/>
      <c r="AS521" s="42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</row>
    <row r="522" spans="1:56" ht="15.75" x14ac:dyDescent="0.25">
      <c r="A522" s="44"/>
      <c r="B522" s="36"/>
      <c r="C522" s="36"/>
      <c r="D522" s="36"/>
      <c r="E522" s="36"/>
      <c r="F522" s="36"/>
      <c r="G522" s="36"/>
      <c r="H522" s="36"/>
      <c r="I522" s="36"/>
      <c r="J522" s="105"/>
      <c r="K522" s="36"/>
      <c r="L522" s="36"/>
      <c r="M522" s="36"/>
      <c r="N522" s="105"/>
      <c r="O522" s="36"/>
      <c r="P522" s="36"/>
      <c r="Q522" s="36"/>
      <c r="R522" s="105"/>
      <c r="S522" s="36"/>
      <c r="T522" s="36"/>
      <c r="U522" s="36"/>
      <c r="V522" s="105"/>
      <c r="W522" s="36"/>
      <c r="X522" s="36"/>
      <c r="Y522" s="36"/>
      <c r="Z522" s="105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42"/>
      <c r="AO522" s="42"/>
      <c r="AP522" s="36"/>
      <c r="AQ522" s="36"/>
      <c r="AR522" s="42"/>
      <c r="AS522" s="42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</row>
    <row r="523" spans="1:56" ht="15.75" x14ac:dyDescent="0.25">
      <c r="A523" s="44"/>
      <c r="B523" s="36"/>
      <c r="C523" s="36"/>
      <c r="D523" s="36"/>
      <c r="E523" s="36"/>
      <c r="F523" s="36"/>
      <c r="G523" s="36"/>
      <c r="H523" s="36"/>
      <c r="I523" s="36"/>
      <c r="J523" s="105"/>
      <c r="K523" s="36"/>
      <c r="L523" s="36"/>
      <c r="M523" s="36"/>
      <c r="N523" s="105"/>
      <c r="O523" s="36"/>
      <c r="P523" s="36"/>
      <c r="Q523" s="36"/>
      <c r="R523" s="105"/>
      <c r="S523" s="36"/>
      <c r="T523" s="36"/>
      <c r="U523" s="36"/>
      <c r="V523" s="105"/>
      <c r="W523" s="36"/>
      <c r="X523" s="36"/>
      <c r="Y523" s="36"/>
      <c r="Z523" s="105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42"/>
      <c r="AO523" s="42"/>
      <c r="AP523" s="36"/>
      <c r="AQ523" s="36"/>
      <c r="AR523" s="42"/>
      <c r="AS523" s="42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</row>
    <row r="524" spans="1:56" ht="15.75" x14ac:dyDescent="0.25">
      <c r="A524" s="44"/>
      <c r="B524" s="36"/>
      <c r="C524" s="36"/>
      <c r="D524" s="36"/>
      <c r="E524" s="36"/>
      <c r="F524" s="36"/>
      <c r="G524" s="36"/>
      <c r="H524" s="36"/>
      <c r="I524" s="36"/>
      <c r="J524" s="105"/>
      <c r="K524" s="36"/>
      <c r="L524" s="36"/>
      <c r="M524" s="36"/>
      <c r="N524" s="105"/>
      <c r="O524" s="36"/>
      <c r="P524" s="36"/>
      <c r="Q524" s="36"/>
      <c r="R524" s="105"/>
      <c r="S524" s="36"/>
      <c r="T524" s="36"/>
      <c r="U524" s="36"/>
      <c r="V524" s="105"/>
      <c r="W524" s="36"/>
      <c r="X524" s="36"/>
      <c r="Y524" s="36"/>
      <c r="Z524" s="105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42"/>
      <c r="AO524" s="42"/>
      <c r="AP524" s="36"/>
      <c r="AQ524" s="36"/>
      <c r="AR524" s="42"/>
      <c r="AS524" s="42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</row>
    <row r="525" spans="1:56" ht="15.75" x14ac:dyDescent="0.25">
      <c r="A525" s="44"/>
      <c r="B525" s="36"/>
      <c r="C525" s="36"/>
      <c r="D525" s="36"/>
      <c r="E525" s="36"/>
      <c r="F525" s="36"/>
      <c r="G525" s="36"/>
      <c r="H525" s="36"/>
      <c r="I525" s="36"/>
      <c r="J525" s="105"/>
      <c r="K525" s="36"/>
      <c r="L525" s="36"/>
      <c r="M525" s="36"/>
      <c r="N525" s="105"/>
      <c r="O525" s="36"/>
      <c r="P525" s="36"/>
      <c r="Q525" s="36"/>
      <c r="R525" s="105"/>
      <c r="S525" s="36"/>
      <c r="T525" s="36"/>
      <c r="U525" s="36"/>
      <c r="V525" s="105"/>
      <c r="W525" s="36"/>
      <c r="X525" s="36"/>
      <c r="Y525" s="36"/>
      <c r="Z525" s="105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42"/>
      <c r="AO525" s="42"/>
      <c r="AP525" s="36"/>
      <c r="AQ525" s="36"/>
      <c r="AR525" s="42"/>
      <c r="AS525" s="42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</row>
    <row r="526" spans="1:56" ht="15.75" x14ac:dyDescent="0.25">
      <c r="A526" s="44"/>
      <c r="B526" s="36"/>
      <c r="C526" s="36"/>
      <c r="D526" s="36"/>
      <c r="E526" s="36"/>
      <c r="F526" s="36"/>
      <c r="G526" s="36"/>
      <c r="H526" s="36"/>
      <c r="I526" s="36"/>
      <c r="J526" s="105"/>
      <c r="K526" s="36"/>
      <c r="L526" s="36"/>
      <c r="M526" s="36"/>
      <c r="N526" s="105"/>
      <c r="O526" s="36"/>
      <c r="P526" s="36"/>
      <c r="Q526" s="36"/>
      <c r="R526" s="105"/>
      <c r="S526" s="36"/>
      <c r="T526" s="36"/>
      <c r="U526" s="36"/>
      <c r="V526" s="105"/>
      <c r="W526" s="36"/>
      <c r="X526" s="36"/>
      <c r="Y526" s="36"/>
      <c r="Z526" s="105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42"/>
      <c r="AO526" s="42"/>
      <c r="AP526" s="36"/>
      <c r="AQ526" s="36"/>
      <c r="AR526" s="42"/>
      <c r="AS526" s="42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</row>
    <row r="527" spans="1:56" ht="15.75" x14ac:dyDescent="0.25">
      <c r="A527" s="44"/>
      <c r="B527" s="36"/>
      <c r="C527" s="36"/>
      <c r="D527" s="36"/>
      <c r="E527" s="36"/>
      <c r="F527" s="36"/>
      <c r="G527" s="36"/>
      <c r="H527" s="36"/>
      <c r="I527" s="36"/>
      <c r="J527" s="105"/>
      <c r="K527" s="36"/>
      <c r="L527" s="36"/>
      <c r="M527" s="36"/>
      <c r="N527" s="105"/>
      <c r="O527" s="36"/>
      <c r="P527" s="36"/>
      <c r="Q527" s="36"/>
      <c r="R527" s="105"/>
      <c r="S527" s="36"/>
      <c r="T527" s="36"/>
      <c r="U527" s="36"/>
      <c r="V527" s="105"/>
      <c r="W527" s="36"/>
      <c r="X527" s="36"/>
      <c r="Y527" s="36"/>
      <c r="Z527" s="105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42"/>
      <c r="AO527" s="42"/>
      <c r="AP527" s="36"/>
      <c r="AQ527" s="36"/>
      <c r="AR527" s="42"/>
      <c r="AS527" s="42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</row>
    <row r="528" spans="1:56" ht="15.75" x14ac:dyDescent="0.25">
      <c r="A528" s="44"/>
      <c r="B528" s="36"/>
      <c r="C528" s="36"/>
      <c r="D528" s="36"/>
      <c r="E528" s="36"/>
      <c r="F528" s="36"/>
      <c r="G528" s="36"/>
      <c r="H528" s="36"/>
      <c r="I528" s="36"/>
      <c r="J528" s="105"/>
      <c r="K528" s="36"/>
      <c r="L528" s="36"/>
      <c r="M528" s="36"/>
      <c r="N528" s="105"/>
      <c r="O528" s="36"/>
      <c r="P528" s="36"/>
      <c r="Q528" s="36"/>
      <c r="R528" s="105"/>
      <c r="S528" s="36"/>
      <c r="T528" s="36"/>
      <c r="U528" s="36"/>
      <c r="V528" s="105"/>
      <c r="W528" s="36"/>
      <c r="X528" s="36"/>
      <c r="Y528" s="36"/>
      <c r="Z528" s="105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42"/>
      <c r="AO528" s="42"/>
      <c r="AP528" s="36"/>
      <c r="AQ528" s="36"/>
      <c r="AR528" s="42"/>
      <c r="AS528" s="42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</row>
    <row r="529" spans="1:56" ht="15.75" x14ac:dyDescent="0.25">
      <c r="A529" s="44"/>
      <c r="B529" s="36"/>
      <c r="C529" s="36"/>
      <c r="D529" s="36"/>
      <c r="E529" s="36"/>
      <c r="F529" s="36"/>
      <c r="G529" s="36"/>
      <c r="H529" s="36"/>
      <c r="I529" s="36"/>
      <c r="J529" s="105"/>
      <c r="K529" s="36"/>
      <c r="L529" s="36"/>
      <c r="M529" s="36"/>
      <c r="N529" s="105"/>
      <c r="O529" s="36"/>
      <c r="P529" s="36"/>
      <c r="Q529" s="36"/>
      <c r="R529" s="105"/>
      <c r="S529" s="36"/>
      <c r="T529" s="36"/>
      <c r="U529" s="36"/>
      <c r="V529" s="105"/>
      <c r="W529" s="36"/>
      <c r="X529" s="36"/>
      <c r="Y529" s="36"/>
      <c r="Z529" s="105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42"/>
      <c r="AO529" s="42"/>
      <c r="AP529" s="36"/>
      <c r="AQ529" s="36"/>
      <c r="AR529" s="42"/>
      <c r="AS529" s="42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</row>
    <row r="530" spans="1:56" ht="15.75" x14ac:dyDescent="0.25">
      <c r="A530" s="44"/>
      <c r="B530" s="36"/>
      <c r="C530" s="36"/>
      <c r="D530" s="36"/>
      <c r="E530" s="36"/>
      <c r="F530" s="36"/>
      <c r="G530" s="36"/>
      <c r="H530" s="36"/>
      <c r="I530" s="36"/>
      <c r="J530" s="105"/>
      <c r="K530" s="36"/>
      <c r="L530" s="36"/>
      <c r="M530" s="36"/>
      <c r="N530" s="105"/>
      <c r="O530" s="36"/>
      <c r="P530" s="36"/>
      <c r="Q530" s="36"/>
      <c r="R530" s="105"/>
      <c r="S530" s="36"/>
      <c r="T530" s="36"/>
      <c r="U530" s="36"/>
      <c r="V530" s="105"/>
      <c r="W530" s="36"/>
      <c r="X530" s="36"/>
      <c r="Y530" s="36"/>
      <c r="Z530" s="105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42"/>
      <c r="AO530" s="42"/>
      <c r="AP530" s="36"/>
      <c r="AQ530" s="36"/>
      <c r="AR530" s="42"/>
      <c r="AS530" s="42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</row>
    <row r="531" spans="1:56" ht="15.75" x14ac:dyDescent="0.25">
      <c r="A531" s="44"/>
      <c r="B531" s="36"/>
      <c r="C531" s="36"/>
      <c r="D531" s="36"/>
      <c r="E531" s="36"/>
      <c r="F531" s="36"/>
      <c r="G531" s="36"/>
      <c r="H531" s="36"/>
      <c r="I531" s="36"/>
      <c r="J531" s="105"/>
      <c r="K531" s="36"/>
      <c r="L531" s="36"/>
      <c r="M531" s="36"/>
      <c r="N531" s="105"/>
      <c r="O531" s="36"/>
      <c r="P531" s="36"/>
      <c r="Q531" s="36"/>
      <c r="R531" s="105"/>
      <c r="S531" s="36"/>
      <c r="T531" s="36"/>
      <c r="U531" s="36"/>
      <c r="V531" s="105"/>
      <c r="W531" s="36"/>
      <c r="X531" s="36"/>
      <c r="Y531" s="36"/>
      <c r="Z531" s="105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42"/>
      <c r="AO531" s="42"/>
      <c r="AP531" s="36"/>
      <c r="AQ531" s="36"/>
      <c r="AR531" s="42"/>
      <c r="AS531" s="42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</row>
    <row r="532" spans="1:56" ht="15.75" x14ac:dyDescent="0.25">
      <c r="A532" s="44"/>
      <c r="B532" s="36"/>
      <c r="C532" s="36"/>
      <c r="D532" s="36"/>
      <c r="E532" s="36"/>
      <c r="F532" s="36"/>
      <c r="G532" s="36"/>
      <c r="H532" s="36"/>
      <c r="I532" s="36"/>
      <c r="J532" s="105"/>
      <c r="K532" s="36"/>
      <c r="L532" s="36"/>
      <c r="M532" s="36"/>
      <c r="N532" s="105"/>
      <c r="O532" s="36"/>
      <c r="P532" s="36"/>
      <c r="Q532" s="36"/>
      <c r="R532" s="105"/>
      <c r="S532" s="36"/>
      <c r="T532" s="36"/>
      <c r="U532" s="36"/>
      <c r="V532" s="105"/>
      <c r="W532" s="36"/>
      <c r="X532" s="36"/>
      <c r="Y532" s="36"/>
      <c r="Z532" s="105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42"/>
      <c r="AO532" s="42"/>
      <c r="AP532" s="36"/>
      <c r="AQ532" s="36"/>
      <c r="AR532" s="42"/>
      <c r="AS532" s="42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</row>
    <row r="533" spans="1:56" ht="15.75" x14ac:dyDescent="0.25">
      <c r="A533" s="44"/>
      <c r="B533" s="36"/>
      <c r="C533" s="36"/>
      <c r="D533" s="36"/>
      <c r="E533" s="36"/>
      <c r="F533" s="36"/>
      <c r="G533" s="36"/>
      <c r="H533" s="36"/>
      <c r="I533" s="36"/>
      <c r="J533" s="105"/>
      <c r="K533" s="36"/>
      <c r="L533" s="36"/>
      <c r="M533" s="36"/>
      <c r="N533" s="105"/>
      <c r="O533" s="36"/>
      <c r="P533" s="36"/>
      <c r="Q533" s="36"/>
      <c r="R533" s="105"/>
      <c r="S533" s="36"/>
      <c r="T533" s="36"/>
      <c r="U533" s="36"/>
      <c r="V533" s="105"/>
      <c r="W533" s="36"/>
      <c r="X533" s="36"/>
      <c r="Y533" s="36"/>
      <c r="Z533" s="105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42"/>
      <c r="AO533" s="42"/>
      <c r="AP533" s="36"/>
      <c r="AQ533" s="36"/>
      <c r="AR533" s="42"/>
      <c r="AS533" s="42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</row>
    <row r="534" spans="1:56" ht="15.75" x14ac:dyDescent="0.25">
      <c r="A534" s="44"/>
      <c r="B534" s="36"/>
      <c r="C534" s="36"/>
      <c r="D534" s="36"/>
      <c r="E534" s="36"/>
      <c r="F534" s="36"/>
      <c r="G534" s="36"/>
      <c r="H534" s="36"/>
      <c r="I534" s="36"/>
      <c r="J534" s="105"/>
      <c r="K534" s="36"/>
      <c r="L534" s="36"/>
      <c r="M534" s="36"/>
      <c r="N534" s="105"/>
      <c r="O534" s="36"/>
      <c r="P534" s="36"/>
      <c r="Q534" s="36"/>
      <c r="R534" s="105"/>
      <c r="S534" s="36"/>
      <c r="T534" s="36"/>
      <c r="U534" s="36"/>
      <c r="V534" s="105"/>
      <c r="W534" s="36"/>
      <c r="X534" s="36"/>
      <c r="Y534" s="36"/>
      <c r="Z534" s="105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42"/>
      <c r="AO534" s="42"/>
      <c r="AP534" s="36"/>
      <c r="AQ534" s="36"/>
      <c r="AR534" s="42"/>
      <c r="AS534" s="42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</row>
    <row r="535" spans="1:56" ht="15.75" x14ac:dyDescent="0.25">
      <c r="A535" s="44"/>
      <c r="B535" s="36"/>
      <c r="C535" s="36"/>
      <c r="D535" s="36"/>
      <c r="E535" s="36"/>
      <c r="F535" s="36"/>
      <c r="G535" s="36"/>
      <c r="H535" s="36"/>
      <c r="I535" s="36"/>
      <c r="J535" s="105"/>
      <c r="K535" s="36"/>
      <c r="L535" s="36"/>
      <c r="M535" s="36"/>
      <c r="N535" s="105"/>
      <c r="O535" s="36"/>
      <c r="P535" s="36"/>
      <c r="Q535" s="36"/>
      <c r="R535" s="105"/>
      <c r="S535" s="36"/>
      <c r="T535" s="36"/>
      <c r="U535" s="36"/>
      <c r="V535" s="105"/>
      <c r="W535" s="36"/>
      <c r="X535" s="36"/>
      <c r="Y535" s="36"/>
      <c r="Z535" s="105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42"/>
      <c r="AO535" s="42"/>
      <c r="AP535" s="36"/>
      <c r="AQ535" s="36"/>
      <c r="AR535" s="42"/>
      <c r="AS535" s="42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</row>
    <row r="536" spans="1:56" ht="15.75" x14ac:dyDescent="0.25">
      <c r="A536" s="44"/>
      <c r="B536" s="36"/>
      <c r="C536" s="36"/>
      <c r="D536" s="36"/>
      <c r="E536" s="36"/>
      <c r="F536" s="36"/>
      <c r="G536" s="36"/>
      <c r="H536" s="36"/>
      <c r="I536" s="36"/>
      <c r="J536" s="105"/>
      <c r="K536" s="36"/>
      <c r="L536" s="36"/>
      <c r="M536" s="36"/>
      <c r="N536" s="105"/>
      <c r="O536" s="36"/>
      <c r="P536" s="36"/>
      <c r="Q536" s="36"/>
      <c r="R536" s="105"/>
      <c r="S536" s="36"/>
      <c r="T536" s="36"/>
      <c r="U536" s="36"/>
      <c r="V536" s="105"/>
      <c r="W536" s="36"/>
      <c r="X536" s="36"/>
      <c r="Y536" s="36"/>
      <c r="Z536" s="105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42"/>
      <c r="AO536" s="42"/>
      <c r="AP536" s="36"/>
      <c r="AQ536" s="36"/>
      <c r="AR536" s="42"/>
      <c r="AS536" s="42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</row>
    <row r="537" spans="1:56" ht="15.75" x14ac:dyDescent="0.25">
      <c r="A537" s="44"/>
      <c r="B537" s="36"/>
      <c r="C537" s="36"/>
      <c r="D537" s="36"/>
      <c r="E537" s="36"/>
      <c r="F537" s="36"/>
      <c r="G537" s="36"/>
      <c r="H537" s="36"/>
      <c r="I537" s="36"/>
      <c r="J537" s="105"/>
      <c r="K537" s="36"/>
      <c r="L537" s="36"/>
      <c r="M537" s="36"/>
      <c r="N537" s="105"/>
      <c r="O537" s="36"/>
      <c r="P537" s="36"/>
      <c r="Q537" s="36"/>
      <c r="R537" s="105"/>
      <c r="S537" s="36"/>
      <c r="T537" s="36"/>
      <c r="U537" s="36"/>
      <c r="V537" s="105"/>
      <c r="W537" s="36"/>
      <c r="X537" s="36"/>
      <c r="Y537" s="36"/>
      <c r="Z537" s="105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42"/>
      <c r="AO537" s="42"/>
      <c r="AP537" s="36"/>
      <c r="AQ537" s="36"/>
      <c r="AR537" s="42"/>
      <c r="AS537" s="42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</row>
    <row r="538" spans="1:56" ht="15.75" x14ac:dyDescent="0.25">
      <c r="A538" s="44"/>
      <c r="B538" s="36"/>
      <c r="C538" s="36"/>
      <c r="D538" s="36"/>
      <c r="E538" s="36"/>
      <c r="F538" s="36"/>
      <c r="G538" s="36"/>
      <c r="H538" s="36"/>
      <c r="I538" s="36"/>
      <c r="J538" s="105"/>
      <c r="K538" s="36"/>
      <c r="L538" s="36"/>
      <c r="M538" s="36"/>
      <c r="N538" s="105"/>
      <c r="O538" s="36"/>
      <c r="P538" s="36"/>
      <c r="Q538" s="36"/>
      <c r="R538" s="105"/>
      <c r="S538" s="36"/>
      <c r="T538" s="36"/>
      <c r="U538" s="36"/>
      <c r="V538" s="105"/>
      <c r="W538" s="36"/>
      <c r="X538" s="36"/>
      <c r="Y538" s="36"/>
      <c r="Z538" s="105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42"/>
      <c r="AO538" s="42"/>
      <c r="AP538" s="36"/>
      <c r="AQ538" s="36"/>
      <c r="AR538" s="42"/>
      <c r="AS538" s="42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</row>
    <row r="539" spans="1:56" ht="15.75" x14ac:dyDescent="0.25">
      <c r="A539" s="44"/>
      <c r="B539" s="36"/>
      <c r="C539" s="36"/>
      <c r="D539" s="36"/>
      <c r="E539" s="36"/>
      <c r="F539" s="36"/>
      <c r="G539" s="36"/>
      <c r="H539" s="36"/>
      <c r="I539" s="36"/>
      <c r="J539" s="105"/>
      <c r="K539" s="36"/>
      <c r="L539" s="36"/>
      <c r="M539" s="36"/>
      <c r="N539" s="105"/>
      <c r="O539" s="36"/>
      <c r="P539" s="36"/>
      <c r="Q539" s="36"/>
      <c r="R539" s="105"/>
      <c r="S539" s="36"/>
      <c r="T539" s="36"/>
      <c r="U539" s="36"/>
      <c r="V539" s="105"/>
      <c r="W539" s="36"/>
      <c r="X539" s="36"/>
      <c r="Y539" s="36"/>
      <c r="Z539" s="105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42"/>
      <c r="AO539" s="42"/>
      <c r="AP539" s="36"/>
      <c r="AQ539" s="36"/>
      <c r="AR539" s="42"/>
      <c r="AS539" s="42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</row>
    <row r="540" spans="1:56" ht="15.75" x14ac:dyDescent="0.25">
      <c r="A540" s="44"/>
      <c r="B540" s="36"/>
      <c r="C540" s="36"/>
      <c r="D540" s="36"/>
      <c r="E540" s="36"/>
      <c r="F540" s="36"/>
      <c r="G540" s="36"/>
      <c r="H540" s="36"/>
      <c r="I540" s="36"/>
      <c r="J540" s="105"/>
      <c r="K540" s="36"/>
      <c r="L540" s="36"/>
      <c r="M540" s="36"/>
      <c r="N540" s="105"/>
      <c r="O540" s="36"/>
      <c r="P540" s="36"/>
      <c r="Q540" s="36"/>
      <c r="R540" s="105"/>
      <c r="S540" s="36"/>
      <c r="T540" s="36"/>
      <c r="U540" s="36"/>
      <c r="V540" s="105"/>
      <c r="W540" s="36"/>
      <c r="X540" s="36"/>
      <c r="Y540" s="36"/>
      <c r="Z540" s="105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42"/>
      <c r="AO540" s="42"/>
      <c r="AP540" s="36"/>
      <c r="AQ540" s="36"/>
      <c r="AR540" s="42"/>
      <c r="AS540" s="42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</row>
    <row r="541" spans="1:56" ht="15.75" x14ac:dyDescent="0.25">
      <c r="A541" s="44"/>
      <c r="B541" s="36"/>
      <c r="C541" s="36"/>
      <c r="D541" s="36"/>
      <c r="E541" s="36"/>
      <c r="F541" s="36"/>
      <c r="G541" s="36"/>
      <c r="H541" s="36"/>
      <c r="I541" s="36"/>
      <c r="J541" s="105"/>
      <c r="K541" s="36"/>
      <c r="L541" s="36"/>
      <c r="M541" s="36"/>
      <c r="N541" s="105"/>
      <c r="O541" s="36"/>
      <c r="P541" s="36"/>
      <c r="Q541" s="36"/>
      <c r="R541" s="105"/>
      <c r="S541" s="36"/>
      <c r="T541" s="36"/>
      <c r="U541" s="36"/>
      <c r="V541" s="105"/>
      <c r="W541" s="36"/>
      <c r="X541" s="36"/>
      <c r="Y541" s="36"/>
      <c r="Z541" s="105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42"/>
      <c r="AO541" s="42"/>
      <c r="AP541" s="36"/>
      <c r="AQ541" s="36"/>
      <c r="AR541" s="42"/>
      <c r="AS541" s="42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</row>
    <row r="542" spans="1:56" ht="15.75" x14ac:dyDescent="0.25">
      <c r="A542" s="44"/>
      <c r="B542" s="36"/>
      <c r="C542" s="36"/>
      <c r="D542" s="36"/>
      <c r="E542" s="36"/>
      <c r="F542" s="36"/>
      <c r="G542" s="36"/>
      <c r="H542" s="36"/>
      <c r="I542" s="36"/>
      <c r="J542" s="105"/>
      <c r="K542" s="36"/>
      <c r="L542" s="36"/>
      <c r="M542" s="36"/>
      <c r="N542" s="105"/>
      <c r="O542" s="36"/>
      <c r="P542" s="36"/>
      <c r="Q542" s="36"/>
      <c r="R542" s="105"/>
      <c r="S542" s="36"/>
      <c r="T542" s="36"/>
      <c r="U542" s="36"/>
      <c r="V542" s="105"/>
      <c r="W542" s="36"/>
      <c r="X542" s="36"/>
      <c r="Y542" s="36"/>
      <c r="Z542" s="105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42"/>
      <c r="AO542" s="42"/>
      <c r="AP542" s="36"/>
      <c r="AQ542" s="36"/>
      <c r="AR542" s="42"/>
      <c r="AS542" s="42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</row>
    <row r="543" spans="1:56" ht="15.75" x14ac:dyDescent="0.25">
      <c r="A543" s="44"/>
      <c r="B543" s="36"/>
      <c r="C543" s="36"/>
      <c r="D543" s="36"/>
      <c r="E543" s="36"/>
      <c r="F543" s="36"/>
      <c r="G543" s="36"/>
      <c r="H543" s="36"/>
      <c r="I543" s="36"/>
      <c r="J543" s="105"/>
      <c r="K543" s="36"/>
      <c r="L543" s="36"/>
      <c r="M543" s="36"/>
      <c r="N543" s="105"/>
      <c r="O543" s="36"/>
      <c r="P543" s="36"/>
      <c r="Q543" s="36"/>
      <c r="R543" s="105"/>
      <c r="S543" s="36"/>
      <c r="T543" s="36"/>
      <c r="U543" s="36"/>
      <c r="V543" s="105"/>
      <c r="W543" s="36"/>
      <c r="X543" s="36"/>
      <c r="Y543" s="36"/>
      <c r="Z543" s="105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42"/>
      <c r="AO543" s="42"/>
      <c r="AP543" s="36"/>
      <c r="AQ543" s="36"/>
      <c r="AR543" s="42"/>
      <c r="AS543" s="42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</row>
    <row r="544" spans="1:56" ht="15.75" x14ac:dyDescent="0.25">
      <c r="A544" s="44"/>
      <c r="B544" s="36"/>
      <c r="C544" s="36"/>
      <c r="D544" s="36"/>
      <c r="E544" s="36"/>
      <c r="F544" s="36"/>
      <c r="G544" s="36"/>
      <c r="H544" s="36"/>
      <c r="I544" s="36"/>
      <c r="J544" s="105"/>
      <c r="K544" s="36"/>
      <c r="L544" s="36"/>
      <c r="M544" s="36"/>
      <c r="N544" s="105"/>
      <c r="O544" s="36"/>
      <c r="P544" s="36"/>
      <c r="Q544" s="36"/>
      <c r="R544" s="105"/>
      <c r="S544" s="36"/>
      <c r="T544" s="36"/>
      <c r="U544" s="36"/>
      <c r="V544" s="105"/>
      <c r="W544" s="36"/>
      <c r="X544" s="36"/>
      <c r="Y544" s="36"/>
      <c r="Z544" s="105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42"/>
      <c r="AO544" s="42"/>
      <c r="AP544" s="36"/>
      <c r="AQ544" s="36"/>
      <c r="AR544" s="42"/>
      <c r="AS544" s="42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</row>
    <row r="545" spans="1:56" ht="15.75" x14ac:dyDescent="0.25">
      <c r="A545" s="44"/>
      <c r="B545" s="36"/>
      <c r="C545" s="36"/>
      <c r="D545" s="36"/>
      <c r="E545" s="36"/>
      <c r="F545" s="36"/>
      <c r="G545" s="36"/>
      <c r="H545" s="36"/>
      <c r="I545" s="36"/>
      <c r="J545" s="105"/>
      <c r="K545" s="36"/>
      <c r="L545" s="36"/>
      <c r="M545" s="36"/>
      <c r="N545" s="105"/>
      <c r="O545" s="36"/>
      <c r="P545" s="36"/>
      <c r="Q545" s="36"/>
      <c r="R545" s="105"/>
      <c r="S545" s="36"/>
      <c r="T545" s="36"/>
      <c r="U545" s="36"/>
      <c r="V545" s="105"/>
      <c r="W545" s="36"/>
      <c r="X545" s="36"/>
      <c r="Y545" s="36"/>
      <c r="Z545" s="105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42"/>
      <c r="AO545" s="42"/>
      <c r="AP545" s="36"/>
      <c r="AQ545" s="36"/>
      <c r="AR545" s="42"/>
      <c r="AS545" s="42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</row>
    <row r="546" spans="1:56" ht="15.75" x14ac:dyDescent="0.25">
      <c r="A546" s="44"/>
      <c r="B546" s="36"/>
      <c r="C546" s="36"/>
      <c r="D546" s="36"/>
      <c r="E546" s="36"/>
      <c r="F546" s="36"/>
      <c r="G546" s="36"/>
      <c r="H546" s="36"/>
      <c r="I546" s="36"/>
      <c r="J546" s="105"/>
      <c r="K546" s="36"/>
      <c r="L546" s="36"/>
      <c r="M546" s="36"/>
      <c r="N546" s="105"/>
      <c r="O546" s="36"/>
      <c r="P546" s="36"/>
      <c r="Q546" s="36"/>
      <c r="R546" s="105"/>
      <c r="S546" s="36"/>
      <c r="T546" s="36"/>
      <c r="U546" s="36"/>
      <c r="V546" s="105"/>
      <c r="W546" s="36"/>
      <c r="X546" s="36"/>
      <c r="Y546" s="36"/>
      <c r="Z546" s="105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42"/>
      <c r="AO546" s="42"/>
      <c r="AP546" s="36"/>
      <c r="AQ546" s="36"/>
      <c r="AR546" s="42"/>
      <c r="AS546" s="42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</row>
    <row r="547" spans="1:56" ht="15.75" x14ac:dyDescent="0.25">
      <c r="A547" s="44"/>
      <c r="B547" s="36"/>
      <c r="C547" s="36"/>
      <c r="D547" s="36"/>
      <c r="E547" s="36"/>
      <c r="F547" s="36"/>
      <c r="G547" s="36"/>
      <c r="H547" s="36"/>
      <c r="I547" s="36"/>
      <c r="J547" s="105"/>
      <c r="K547" s="36"/>
      <c r="L547" s="36"/>
      <c r="M547" s="36"/>
      <c r="N547" s="105"/>
      <c r="O547" s="36"/>
      <c r="P547" s="36"/>
      <c r="Q547" s="36"/>
      <c r="R547" s="105"/>
      <c r="S547" s="36"/>
      <c r="T547" s="36"/>
      <c r="U547" s="36"/>
      <c r="V547" s="105"/>
      <c r="W547" s="36"/>
      <c r="X547" s="36"/>
      <c r="Y547" s="36"/>
      <c r="Z547" s="105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42"/>
      <c r="AO547" s="42"/>
      <c r="AP547" s="36"/>
      <c r="AQ547" s="36"/>
      <c r="AR547" s="42"/>
      <c r="AS547" s="42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</row>
    <row r="548" spans="1:56" ht="15.75" x14ac:dyDescent="0.25">
      <c r="A548" s="44"/>
      <c r="B548" s="36"/>
      <c r="C548" s="36"/>
      <c r="D548" s="36"/>
      <c r="E548" s="36"/>
      <c r="F548" s="36"/>
      <c r="G548" s="36"/>
      <c r="H548" s="36"/>
      <c r="I548" s="36"/>
      <c r="J548" s="105"/>
      <c r="K548" s="36"/>
      <c r="L548" s="36"/>
      <c r="M548" s="36"/>
      <c r="N548" s="105"/>
      <c r="O548" s="36"/>
      <c r="P548" s="36"/>
      <c r="Q548" s="36"/>
      <c r="R548" s="105"/>
      <c r="S548" s="36"/>
      <c r="T548" s="36"/>
      <c r="U548" s="36"/>
      <c r="V548" s="105"/>
      <c r="W548" s="36"/>
      <c r="X548" s="36"/>
      <c r="Y548" s="36"/>
      <c r="Z548" s="105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42"/>
      <c r="AO548" s="42"/>
      <c r="AP548" s="36"/>
      <c r="AQ548" s="36"/>
      <c r="AR548" s="42"/>
      <c r="AS548" s="42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</row>
    <row r="549" spans="1:56" ht="15.75" x14ac:dyDescent="0.25">
      <c r="A549" s="44"/>
      <c r="B549" s="36"/>
      <c r="C549" s="36"/>
      <c r="D549" s="36"/>
      <c r="E549" s="36"/>
      <c r="F549" s="36"/>
      <c r="G549" s="36"/>
      <c r="H549" s="36"/>
      <c r="I549" s="36"/>
      <c r="J549" s="105"/>
      <c r="K549" s="36"/>
      <c r="L549" s="36"/>
      <c r="M549" s="36"/>
      <c r="N549" s="105"/>
      <c r="O549" s="36"/>
      <c r="P549" s="36"/>
      <c r="Q549" s="36"/>
      <c r="R549" s="105"/>
      <c r="S549" s="36"/>
      <c r="T549" s="36"/>
      <c r="U549" s="36"/>
      <c r="V549" s="105"/>
      <c r="W549" s="36"/>
      <c r="X549" s="36"/>
      <c r="Y549" s="36"/>
      <c r="Z549" s="105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42"/>
      <c r="AO549" s="42"/>
      <c r="AP549" s="36"/>
      <c r="AQ549" s="36"/>
      <c r="AR549" s="42"/>
      <c r="AS549" s="42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</row>
    <row r="550" spans="1:56" ht="15.75" x14ac:dyDescent="0.25">
      <c r="A550" s="44"/>
      <c r="B550" s="36"/>
      <c r="C550" s="36"/>
      <c r="D550" s="36"/>
      <c r="E550" s="36"/>
      <c r="F550" s="36"/>
      <c r="G550" s="36"/>
      <c r="H550" s="36"/>
      <c r="I550" s="36"/>
      <c r="J550" s="105"/>
      <c r="K550" s="36"/>
      <c r="L550" s="36"/>
      <c r="M550" s="36"/>
      <c r="N550" s="105"/>
      <c r="O550" s="36"/>
      <c r="P550" s="36"/>
      <c r="Q550" s="36"/>
      <c r="R550" s="105"/>
      <c r="S550" s="36"/>
      <c r="T550" s="36"/>
      <c r="U550" s="36"/>
      <c r="V550" s="105"/>
      <c r="W550" s="36"/>
      <c r="X550" s="36"/>
      <c r="Y550" s="36"/>
      <c r="Z550" s="105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42"/>
      <c r="AO550" s="42"/>
      <c r="AP550" s="36"/>
      <c r="AQ550" s="36"/>
      <c r="AR550" s="42"/>
      <c r="AS550" s="42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</row>
    <row r="551" spans="1:56" ht="15.75" x14ac:dyDescent="0.25">
      <c r="A551" s="44"/>
      <c r="B551" s="36"/>
      <c r="C551" s="36"/>
      <c r="D551" s="36"/>
      <c r="E551" s="36"/>
      <c r="F551" s="36"/>
      <c r="G551" s="36"/>
      <c r="H551" s="36"/>
      <c r="I551" s="36"/>
      <c r="J551" s="105"/>
      <c r="K551" s="36"/>
      <c r="L551" s="36"/>
      <c r="M551" s="36"/>
      <c r="N551" s="105"/>
      <c r="O551" s="36"/>
      <c r="P551" s="36"/>
      <c r="Q551" s="36"/>
      <c r="R551" s="105"/>
      <c r="S551" s="36"/>
      <c r="T551" s="36"/>
      <c r="U551" s="36"/>
      <c r="V551" s="105"/>
      <c r="W551" s="36"/>
      <c r="X551" s="36"/>
      <c r="Y551" s="36"/>
      <c r="Z551" s="105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42"/>
      <c r="AO551" s="42"/>
      <c r="AP551" s="36"/>
      <c r="AQ551" s="36"/>
      <c r="AR551" s="42"/>
      <c r="AS551" s="42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</row>
    <row r="552" spans="1:56" ht="15.75" x14ac:dyDescent="0.25">
      <c r="A552" s="44"/>
      <c r="B552" s="36"/>
      <c r="C552" s="36"/>
      <c r="D552" s="36"/>
      <c r="E552" s="36"/>
      <c r="F552" s="36"/>
      <c r="G552" s="36"/>
      <c r="H552" s="36"/>
      <c r="I552" s="36"/>
      <c r="J552" s="105"/>
      <c r="K552" s="36"/>
      <c r="L552" s="36"/>
      <c r="M552" s="36"/>
      <c r="N552" s="105"/>
      <c r="O552" s="36"/>
      <c r="P552" s="36"/>
      <c r="Q552" s="36"/>
      <c r="R552" s="105"/>
      <c r="S552" s="36"/>
      <c r="T552" s="36"/>
      <c r="U552" s="36"/>
      <c r="V552" s="105"/>
      <c r="W552" s="36"/>
      <c r="X552" s="36"/>
      <c r="Y552" s="36"/>
      <c r="Z552" s="105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42"/>
      <c r="AO552" s="42"/>
      <c r="AP552" s="36"/>
      <c r="AQ552" s="36"/>
      <c r="AR552" s="42"/>
      <c r="AS552" s="42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</row>
    <row r="553" spans="1:56" ht="15.75" x14ac:dyDescent="0.25">
      <c r="A553" s="44"/>
      <c r="B553" s="36"/>
      <c r="C553" s="36"/>
      <c r="D553" s="36"/>
      <c r="E553" s="36"/>
      <c r="F553" s="36"/>
      <c r="G553" s="36"/>
      <c r="H553" s="36"/>
      <c r="I553" s="36"/>
      <c r="J553" s="105"/>
      <c r="K553" s="36"/>
      <c r="L553" s="36"/>
      <c r="M553" s="36"/>
      <c r="N553" s="105"/>
      <c r="O553" s="36"/>
      <c r="P553" s="36"/>
      <c r="Q553" s="36"/>
      <c r="R553" s="105"/>
      <c r="S553" s="36"/>
      <c r="T553" s="36"/>
      <c r="U553" s="36"/>
      <c r="V553" s="105"/>
      <c r="W553" s="36"/>
      <c r="X553" s="36"/>
      <c r="Y553" s="36"/>
      <c r="Z553" s="105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42"/>
      <c r="AO553" s="42"/>
      <c r="AP553" s="36"/>
      <c r="AQ553" s="36"/>
      <c r="AR553" s="42"/>
      <c r="AS553" s="42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</row>
    <row r="554" spans="1:56" ht="15.75" x14ac:dyDescent="0.25">
      <c r="A554" s="44"/>
      <c r="B554" s="36"/>
      <c r="C554" s="36"/>
      <c r="D554" s="36"/>
      <c r="E554" s="36"/>
      <c r="F554" s="36"/>
      <c r="G554" s="36"/>
      <c r="H554" s="36"/>
      <c r="I554" s="36"/>
      <c r="J554" s="105"/>
      <c r="K554" s="36"/>
      <c r="L554" s="36"/>
      <c r="M554" s="36"/>
      <c r="N554" s="105"/>
      <c r="O554" s="36"/>
      <c r="P554" s="36"/>
      <c r="Q554" s="36"/>
      <c r="R554" s="105"/>
      <c r="S554" s="36"/>
      <c r="T554" s="36"/>
      <c r="U554" s="36"/>
      <c r="V554" s="105"/>
      <c r="W554" s="36"/>
      <c r="X554" s="36"/>
      <c r="Y554" s="36"/>
      <c r="Z554" s="105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42"/>
      <c r="AO554" s="42"/>
      <c r="AP554" s="36"/>
      <c r="AQ554" s="36"/>
      <c r="AR554" s="42"/>
      <c r="AS554" s="42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</row>
    <row r="555" spans="1:56" ht="15.75" x14ac:dyDescent="0.25">
      <c r="A555" s="44"/>
      <c r="B555" s="36"/>
      <c r="C555" s="36"/>
      <c r="D555" s="36"/>
      <c r="E555" s="36"/>
      <c r="F555" s="36"/>
      <c r="G555" s="36"/>
      <c r="H555" s="36"/>
      <c r="I555" s="36"/>
      <c r="J555" s="105"/>
      <c r="K555" s="36"/>
      <c r="L555" s="36"/>
      <c r="M555" s="36"/>
      <c r="N555" s="105"/>
      <c r="O555" s="36"/>
      <c r="P555" s="36"/>
      <c r="Q555" s="36"/>
      <c r="R555" s="105"/>
      <c r="S555" s="36"/>
      <c r="T555" s="36"/>
      <c r="U555" s="36"/>
      <c r="V555" s="105"/>
      <c r="W555" s="36"/>
      <c r="X555" s="36"/>
      <c r="Y555" s="36"/>
      <c r="Z555" s="105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42"/>
      <c r="AO555" s="42"/>
      <c r="AP555" s="36"/>
      <c r="AQ555" s="36"/>
      <c r="AR555" s="42"/>
      <c r="AS555" s="42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</row>
    <row r="556" spans="1:56" ht="15.75" x14ac:dyDescent="0.25">
      <c r="A556" s="44"/>
      <c r="B556" s="36"/>
      <c r="C556" s="36"/>
      <c r="D556" s="36"/>
      <c r="E556" s="36"/>
      <c r="F556" s="36"/>
      <c r="G556" s="36"/>
      <c r="H556" s="36"/>
      <c r="I556" s="36"/>
      <c r="J556" s="105"/>
      <c r="K556" s="36"/>
      <c r="L556" s="36"/>
      <c r="M556" s="36"/>
      <c r="N556" s="105"/>
      <c r="O556" s="36"/>
      <c r="P556" s="36"/>
      <c r="Q556" s="36"/>
      <c r="R556" s="105"/>
      <c r="S556" s="36"/>
      <c r="T556" s="36"/>
      <c r="U556" s="36"/>
      <c r="V556" s="105"/>
      <c r="W556" s="36"/>
      <c r="X556" s="36"/>
      <c r="Y556" s="36"/>
      <c r="Z556" s="105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42"/>
      <c r="AO556" s="42"/>
      <c r="AP556" s="36"/>
      <c r="AQ556" s="36"/>
      <c r="AR556" s="42"/>
      <c r="AS556" s="42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</row>
    <row r="557" spans="1:56" ht="15.75" x14ac:dyDescent="0.25">
      <c r="A557" s="44"/>
      <c r="B557" s="36"/>
      <c r="C557" s="36"/>
      <c r="D557" s="36"/>
      <c r="E557" s="36"/>
      <c r="F557" s="36"/>
      <c r="G557" s="36"/>
      <c r="H557" s="36"/>
      <c r="I557" s="36"/>
      <c r="J557" s="105"/>
      <c r="K557" s="36"/>
      <c r="L557" s="36"/>
      <c r="M557" s="36"/>
      <c r="N557" s="105"/>
      <c r="O557" s="36"/>
      <c r="P557" s="36"/>
      <c r="Q557" s="36"/>
      <c r="R557" s="105"/>
      <c r="S557" s="36"/>
      <c r="T557" s="36"/>
      <c r="U557" s="36"/>
      <c r="V557" s="105"/>
      <c r="W557" s="36"/>
      <c r="X557" s="36"/>
      <c r="Y557" s="36"/>
      <c r="Z557" s="105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42"/>
      <c r="AO557" s="42"/>
      <c r="AP557" s="36"/>
      <c r="AQ557" s="36"/>
      <c r="AR557" s="42"/>
      <c r="AS557" s="42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</row>
    <row r="558" spans="1:56" ht="15.75" x14ac:dyDescent="0.25">
      <c r="A558" s="44"/>
      <c r="B558" s="36"/>
      <c r="C558" s="36"/>
      <c r="D558" s="36"/>
      <c r="E558" s="36"/>
      <c r="F558" s="36"/>
      <c r="G558" s="36"/>
      <c r="H558" s="36"/>
      <c r="I558" s="36"/>
      <c r="J558" s="105"/>
      <c r="K558" s="36"/>
      <c r="L558" s="36"/>
      <c r="M558" s="36"/>
      <c r="N558" s="105"/>
      <c r="O558" s="36"/>
      <c r="P558" s="36"/>
      <c r="Q558" s="36"/>
      <c r="R558" s="105"/>
      <c r="S558" s="36"/>
      <c r="T558" s="36"/>
      <c r="U558" s="36"/>
      <c r="V558" s="105"/>
      <c r="W558" s="36"/>
      <c r="X558" s="36"/>
      <c r="Y558" s="36"/>
      <c r="Z558" s="105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42"/>
      <c r="AO558" s="42"/>
      <c r="AP558" s="36"/>
      <c r="AQ558" s="36"/>
      <c r="AR558" s="42"/>
      <c r="AS558" s="42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</row>
    <row r="559" spans="1:56" ht="15.75" x14ac:dyDescent="0.25">
      <c r="A559" s="44"/>
      <c r="B559" s="36"/>
      <c r="C559" s="36"/>
      <c r="D559" s="36"/>
      <c r="E559" s="36"/>
      <c r="F559" s="36"/>
      <c r="G559" s="36"/>
      <c r="H559" s="36"/>
      <c r="I559" s="36"/>
      <c r="J559" s="105"/>
      <c r="K559" s="36"/>
      <c r="L559" s="36"/>
      <c r="M559" s="36"/>
      <c r="N559" s="105"/>
      <c r="O559" s="36"/>
      <c r="P559" s="36"/>
      <c r="Q559" s="36"/>
      <c r="R559" s="105"/>
      <c r="S559" s="36"/>
      <c r="T559" s="36"/>
      <c r="U559" s="36"/>
      <c r="V559" s="105"/>
      <c r="W559" s="36"/>
      <c r="X559" s="36"/>
      <c r="Y559" s="36"/>
      <c r="Z559" s="105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42"/>
      <c r="AO559" s="42"/>
      <c r="AP559" s="36"/>
      <c r="AQ559" s="36"/>
      <c r="AR559" s="42"/>
      <c r="AS559" s="42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</row>
    <row r="560" spans="1:56" ht="15.75" x14ac:dyDescent="0.25">
      <c r="A560" s="44"/>
      <c r="B560" s="36"/>
      <c r="C560" s="36"/>
      <c r="D560" s="36"/>
      <c r="E560" s="36"/>
      <c r="F560" s="36"/>
      <c r="G560" s="36"/>
      <c r="H560" s="36"/>
      <c r="I560" s="36"/>
      <c r="J560" s="105"/>
      <c r="K560" s="36"/>
      <c r="L560" s="36"/>
      <c r="M560" s="36"/>
      <c r="N560" s="105"/>
      <c r="O560" s="36"/>
      <c r="P560" s="36"/>
      <c r="Q560" s="36"/>
      <c r="R560" s="105"/>
      <c r="S560" s="36"/>
      <c r="T560" s="36"/>
      <c r="U560" s="36"/>
      <c r="V560" s="105"/>
      <c r="W560" s="36"/>
      <c r="X560" s="36"/>
      <c r="Y560" s="36"/>
      <c r="Z560" s="105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42"/>
      <c r="AO560" s="42"/>
      <c r="AP560" s="36"/>
      <c r="AQ560" s="36"/>
      <c r="AR560" s="42"/>
      <c r="AS560" s="42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</row>
    <row r="561" spans="1:56" ht="15.75" x14ac:dyDescent="0.25">
      <c r="A561" s="44"/>
      <c r="B561" s="36"/>
      <c r="C561" s="36"/>
      <c r="D561" s="36"/>
      <c r="E561" s="36"/>
      <c r="F561" s="36"/>
      <c r="G561" s="36"/>
      <c r="H561" s="36"/>
      <c r="I561" s="36"/>
      <c r="J561" s="105"/>
      <c r="K561" s="36"/>
      <c r="L561" s="36"/>
      <c r="M561" s="36"/>
      <c r="N561" s="105"/>
      <c r="O561" s="36"/>
      <c r="P561" s="36"/>
      <c r="Q561" s="36"/>
      <c r="R561" s="105"/>
      <c r="S561" s="36"/>
      <c r="T561" s="36"/>
      <c r="U561" s="36"/>
      <c r="V561" s="105"/>
      <c r="W561" s="36"/>
      <c r="X561" s="36"/>
      <c r="Y561" s="36"/>
      <c r="Z561" s="105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42"/>
      <c r="AO561" s="42"/>
      <c r="AP561" s="36"/>
      <c r="AQ561" s="36"/>
      <c r="AR561" s="42"/>
      <c r="AS561" s="42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</row>
    <row r="562" spans="1:56" ht="15.75" x14ac:dyDescent="0.25">
      <c r="A562" s="44"/>
      <c r="B562" s="36"/>
      <c r="C562" s="36"/>
      <c r="D562" s="36"/>
      <c r="E562" s="36"/>
      <c r="F562" s="36"/>
      <c r="G562" s="36"/>
      <c r="H562" s="36"/>
      <c r="I562" s="36"/>
      <c r="J562" s="105"/>
      <c r="K562" s="36"/>
      <c r="L562" s="36"/>
      <c r="M562" s="36"/>
      <c r="N562" s="105"/>
      <c r="O562" s="36"/>
      <c r="P562" s="36"/>
      <c r="Q562" s="36"/>
      <c r="R562" s="105"/>
      <c r="S562" s="36"/>
      <c r="T562" s="36"/>
      <c r="U562" s="36"/>
      <c r="V562" s="105"/>
      <c r="W562" s="36"/>
      <c r="X562" s="36"/>
      <c r="Y562" s="36"/>
      <c r="Z562" s="105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42"/>
      <c r="AO562" s="42"/>
      <c r="AP562" s="36"/>
      <c r="AQ562" s="36"/>
      <c r="AR562" s="42"/>
      <c r="AS562" s="42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</row>
    <row r="563" spans="1:56" ht="15.75" x14ac:dyDescent="0.25">
      <c r="A563" s="44"/>
      <c r="B563" s="36"/>
      <c r="C563" s="36"/>
      <c r="D563" s="36"/>
      <c r="E563" s="36"/>
      <c r="F563" s="36"/>
      <c r="G563" s="36"/>
      <c r="H563" s="36"/>
      <c r="I563" s="36"/>
      <c r="J563" s="105"/>
      <c r="K563" s="36"/>
      <c r="L563" s="36"/>
      <c r="M563" s="36"/>
      <c r="N563" s="105"/>
      <c r="O563" s="36"/>
      <c r="P563" s="36"/>
      <c r="Q563" s="36"/>
      <c r="R563" s="105"/>
      <c r="S563" s="36"/>
      <c r="T563" s="36"/>
      <c r="U563" s="36"/>
      <c r="V563" s="105"/>
      <c r="W563" s="36"/>
      <c r="X563" s="36"/>
      <c r="Y563" s="36"/>
      <c r="Z563" s="105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42"/>
      <c r="AO563" s="42"/>
      <c r="AP563" s="36"/>
      <c r="AQ563" s="36"/>
      <c r="AR563" s="42"/>
      <c r="AS563" s="42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</row>
    <row r="564" spans="1:56" ht="15.75" x14ac:dyDescent="0.25">
      <c r="A564" s="44"/>
      <c r="B564" s="36"/>
      <c r="C564" s="36"/>
      <c r="D564" s="36"/>
      <c r="E564" s="36"/>
      <c r="F564" s="36"/>
      <c r="G564" s="36"/>
      <c r="H564" s="36"/>
      <c r="I564" s="36"/>
      <c r="J564" s="105"/>
      <c r="K564" s="36"/>
      <c r="L564" s="36"/>
      <c r="M564" s="36"/>
      <c r="N564" s="105"/>
      <c r="O564" s="36"/>
      <c r="P564" s="36"/>
      <c r="Q564" s="36"/>
      <c r="R564" s="105"/>
      <c r="S564" s="36"/>
      <c r="T564" s="36"/>
      <c r="U564" s="36"/>
      <c r="V564" s="105"/>
      <c r="W564" s="36"/>
      <c r="X564" s="36"/>
      <c r="Y564" s="36"/>
      <c r="Z564" s="105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42"/>
      <c r="AO564" s="42"/>
      <c r="AP564" s="36"/>
      <c r="AQ564" s="36"/>
      <c r="AR564" s="42"/>
      <c r="AS564" s="42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</row>
    <row r="565" spans="1:56" ht="15.75" x14ac:dyDescent="0.25">
      <c r="A565" s="44"/>
      <c r="B565" s="36"/>
      <c r="C565" s="36"/>
      <c r="D565" s="36"/>
      <c r="E565" s="36"/>
      <c r="F565" s="36"/>
      <c r="G565" s="36"/>
      <c r="H565" s="36"/>
      <c r="I565" s="36"/>
      <c r="J565" s="105"/>
      <c r="K565" s="36"/>
      <c r="L565" s="36"/>
      <c r="M565" s="36"/>
      <c r="N565" s="105"/>
      <c r="O565" s="36"/>
      <c r="P565" s="36"/>
      <c r="Q565" s="36"/>
      <c r="R565" s="105"/>
      <c r="S565" s="36"/>
      <c r="T565" s="36"/>
      <c r="U565" s="36"/>
      <c r="V565" s="105"/>
      <c r="W565" s="36"/>
      <c r="X565" s="36"/>
      <c r="Y565" s="36"/>
      <c r="Z565" s="105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42"/>
      <c r="AO565" s="42"/>
      <c r="AP565" s="36"/>
      <c r="AQ565" s="36"/>
      <c r="AR565" s="42"/>
      <c r="AS565" s="42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</row>
    <row r="566" spans="1:56" ht="15.75" x14ac:dyDescent="0.25">
      <c r="A566" s="44"/>
      <c r="B566" s="36"/>
      <c r="C566" s="36"/>
      <c r="D566" s="36"/>
      <c r="E566" s="36"/>
      <c r="F566" s="36"/>
      <c r="G566" s="36"/>
      <c r="H566" s="36"/>
      <c r="I566" s="36"/>
      <c r="J566" s="105"/>
      <c r="K566" s="36"/>
      <c r="L566" s="36"/>
      <c r="M566" s="36"/>
      <c r="N566" s="105"/>
      <c r="O566" s="36"/>
      <c r="P566" s="36"/>
      <c r="Q566" s="36"/>
      <c r="R566" s="105"/>
      <c r="S566" s="36"/>
      <c r="T566" s="36"/>
      <c r="U566" s="36"/>
      <c r="V566" s="105"/>
      <c r="W566" s="36"/>
      <c r="X566" s="36"/>
      <c r="Y566" s="36"/>
      <c r="Z566" s="105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42"/>
      <c r="AO566" s="42"/>
      <c r="AP566" s="36"/>
      <c r="AQ566" s="36"/>
      <c r="AR566" s="42"/>
      <c r="AS566" s="42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</row>
    <row r="567" spans="1:56" ht="15.75" x14ac:dyDescent="0.25">
      <c r="A567" s="44"/>
      <c r="B567" s="36"/>
      <c r="C567" s="36"/>
      <c r="D567" s="36"/>
      <c r="E567" s="36"/>
      <c r="F567" s="36"/>
      <c r="G567" s="36"/>
      <c r="H567" s="36"/>
      <c r="I567" s="36"/>
      <c r="J567" s="105"/>
      <c r="K567" s="36"/>
      <c r="L567" s="36"/>
      <c r="M567" s="36"/>
      <c r="N567" s="105"/>
      <c r="O567" s="36"/>
      <c r="P567" s="36"/>
      <c r="Q567" s="36"/>
      <c r="R567" s="105"/>
      <c r="S567" s="36"/>
      <c r="T567" s="36"/>
      <c r="U567" s="36"/>
      <c r="V567" s="105"/>
      <c r="W567" s="36"/>
      <c r="X567" s="36"/>
      <c r="Y567" s="36"/>
      <c r="Z567" s="105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42"/>
      <c r="AO567" s="42"/>
      <c r="AP567" s="36"/>
      <c r="AQ567" s="36"/>
      <c r="AR567" s="42"/>
      <c r="AS567" s="42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</row>
    <row r="568" spans="1:56" ht="15.75" x14ac:dyDescent="0.25">
      <c r="A568" s="44"/>
      <c r="B568" s="36"/>
      <c r="C568" s="36"/>
      <c r="D568" s="36"/>
      <c r="E568" s="36"/>
      <c r="F568" s="36"/>
      <c r="G568" s="36"/>
      <c r="H568" s="36"/>
      <c r="I568" s="36"/>
      <c r="J568" s="105"/>
      <c r="K568" s="36"/>
      <c r="L568" s="36"/>
      <c r="M568" s="36"/>
      <c r="N568" s="105"/>
      <c r="O568" s="36"/>
      <c r="P568" s="36"/>
      <c r="Q568" s="36"/>
      <c r="R568" s="105"/>
      <c r="S568" s="36"/>
      <c r="T568" s="36"/>
      <c r="U568" s="36"/>
      <c r="V568" s="105"/>
      <c r="W568" s="36"/>
      <c r="X568" s="36"/>
      <c r="Y568" s="36"/>
      <c r="Z568" s="105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42"/>
      <c r="AO568" s="42"/>
      <c r="AP568" s="36"/>
      <c r="AQ568" s="36"/>
      <c r="AR568" s="42"/>
      <c r="AS568" s="42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</row>
    <row r="569" spans="1:56" ht="15.75" x14ac:dyDescent="0.25">
      <c r="A569" s="44"/>
      <c r="B569" s="36"/>
      <c r="C569" s="36"/>
      <c r="D569" s="36"/>
      <c r="E569" s="36"/>
      <c r="F569" s="36"/>
      <c r="G569" s="36"/>
      <c r="H569" s="36"/>
      <c r="I569" s="36"/>
      <c r="J569" s="105"/>
      <c r="K569" s="36"/>
      <c r="L569" s="36"/>
      <c r="M569" s="36"/>
      <c r="N569" s="105"/>
      <c r="O569" s="36"/>
      <c r="P569" s="36"/>
      <c r="Q569" s="36"/>
      <c r="R569" s="105"/>
      <c r="S569" s="36"/>
      <c r="T569" s="36"/>
      <c r="U569" s="36"/>
      <c r="V569" s="105"/>
      <c r="W569" s="36"/>
      <c r="X569" s="36"/>
      <c r="Y569" s="36"/>
      <c r="Z569" s="105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42"/>
      <c r="AO569" s="42"/>
      <c r="AP569" s="36"/>
      <c r="AQ569" s="36"/>
      <c r="AR569" s="42"/>
      <c r="AS569" s="42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</row>
    <row r="570" spans="1:56" ht="15.75" x14ac:dyDescent="0.25">
      <c r="A570" s="44"/>
      <c r="B570" s="36"/>
      <c r="C570" s="36"/>
      <c r="D570" s="36"/>
      <c r="E570" s="36"/>
      <c r="F570" s="36"/>
      <c r="G570" s="36"/>
      <c r="H570" s="36"/>
      <c r="I570" s="36"/>
      <c r="J570" s="105"/>
      <c r="K570" s="36"/>
      <c r="L570" s="36"/>
      <c r="M570" s="36"/>
      <c r="N570" s="105"/>
      <c r="O570" s="36"/>
      <c r="P570" s="36"/>
      <c r="Q570" s="36"/>
      <c r="R570" s="105"/>
      <c r="S570" s="36"/>
      <c r="T570" s="36"/>
      <c r="U570" s="36"/>
      <c r="V570" s="105"/>
      <c r="W570" s="36"/>
      <c r="X570" s="36"/>
      <c r="Y570" s="36"/>
      <c r="Z570" s="105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42"/>
      <c r="AO570" s="42"/>
      <c r="AP570" s="36"/>
      <c r="AQ570" s="36"/>
      <c r="AR570" s="42"/>
      <c r="AS570" s="42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</row>
    <row r="571" spans="1:56" ht="15.75" x14ac:dyDescent="0.25">
      <c r="A571" s="44"/>
      <c r="B571" s="36"/>
      <c r="C571" s="36"/>
      <c r="D571" s="36"/>
      <c r="E571" s="36"/>
      <c r="F571" s="36"/>
      <c r="G571" s="36"/>
      <c r="H571" s="36"/>
      <c r="I571" s="36"/>
      <c r="J571" s="105"/>
      <c r="K571" s="36"/>
      <c r="L571" s="36"/>
      <c r="M571" s="36"/>
      <c r="N571" s="105"/>
      <c r="O571" s="36"/>
      <c r="P571" s="36"/>
      <c r="Q571" s="36"/>
      <c r="R571" s="105"/>
      <c r="S571" s="36"/>
      <c r="T571" s="36"/>
      <c r="U571" s="36"/>
      <c r="V571" s="105"/>
      <c r="W571" s="36"/>
      <c r="X571" s="36"/>
      <c r="Y571" s="36"/>
      <c r="Z571" s="105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42"/>
      <c r="AO571" s="42"/>
      <c r="AP571" s="36"/>
      <c r="AQ571" s="36"/>
      <c r="AR571" s="42"/>
      <c r="AS571" s="42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</row>
    <row r="572" spans="1:56" ht="15.75" x14ac:dyDescent="0.25">
      <c r="A572" s="44"/>
      <c r="B572" s="36"/>
      <c r="C572" s="36"/>
      <c r="D572" s="36"/>
      <c r="E572" s="36"/>
      <c r="F572" s="36"/>
      <c r="G572" s="36"/>
      <c r="H572" s="36"/>
      <c r="I572" s="36"/>
      <c r="J572" s="105"/>
      <c r="K572" s="36"/>
      <c r="L572" s="36"/>
      <c r="M572" s="36"/>
      <c r="N572" s="105"/>
      <c r="O572" s="36"/>
      <c r="P572" s="36"/>
      <c r="Q572" s="36"/>
      <c r="R572" s="105"/>
      <c r="S572" s="36"/>
      <c r="T572" s="36"/>
      <c r="U572" s="36"/>
      <c r="V572" s="105"/>
      <c r="W572" s="36"/>
      <c r="X572" s="36"/>
      <c r="Y572" s="36"/>
      <c r="Z572" s="105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42"/>
      <c r="AO572" s="42"/>
      <c r="AP572" s="36"/>
      <c r="AQ572" s="36"/>
      <c r="AR572" s="42"/>
      <c r="AS572" s="42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</row>
    <row r="573" spans="1:56" ht="15.75" x14ac:dyDescent="0.25">
      <c r="A573" s="44"/>
      <c r="B573" s="36"/>
      <c r="C573" s="36"/>
      <c r="D573" s="36"/>
      <c r="E573" s="36"/>
      <c r="F573" s="36"/>
      <c r="G573" s="36"/>
      <c r="H573" s="36"/>
      <c r="I573" s="36"/>
      <c r="J573" s="105"/>
      <c r="K573" s="36"/>
      <c r="L573" s="36"/>
      <c r="M573" s="36"/>
      <c r="N573" s="105"/>
      <c r="O573" s="36"/>
      <c r="P573" s="36"/>
      <c r="Q573" s="36"/>
      <c r="R573" s="105"/>
      <c r="S573" s="36"/>
      <c r="T573" s="36"/>
      <c r="U573" s="36"/>
      <c r="V573" s="105"/>
      <c r="W573" s="36"/>
      <c r="X573" s="36"/>
      <c r="Y573" s="36"/>
      <c r="Z573" s="105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42"/>
      <c r="AO573" s="42"/>
      <c r="AP573" s="36"/>
      <c r="AQ573" s="36"/>
      <c r="AR573" s="42"/>
      <c r="AS573" s="42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</row>
    <row r="574" spans="1:56" ht="15.75" x14ac:dyDescent="0.25">
      <c r="A574" s="44"/>
      <c r="B574" s="36"/>
      <c r="C574" s="36"/>
      <c r="D574" s="36"/>
      <c r="E574" s="36"/>
      <c r="F574" s="36"/>
      <c r="G574" s="36"/>
      <c r="H574" s="36"/>
      <c r="I574" s="36"/>
      <c r="J574" s="105"/>
      <c r="K574" s="36"/>
      <c r="L574" s="36"/>
      <c r="M574" s="36"/>
      <c r="N574" s="105"/>
      <c r="O574" s="36"/>
      <c r="P574" s="36"/>
      <c r="Q574" s="36"/>
      <c r="R574" s="105"/>
      <c r="S574" s="36"/>
      <c r="T574" s="36"/>
      <c r="U574" s="36"/>
      <c r="V574" s="105"/>
      <c r="W574" s="36"/>
      <c r="X574" s="36"/>
      <c r="Y574" s="36"/>
      <c r="Z574" s="105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42"/>
      <c r="AO574" s="42"/>
      <c r="AP574" s="36"/>
      <c r="AQ574" s="36"/>
      <c r="AR574" s="42"/>
      <c r="AS574" s="42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</row>
    <row r="575" spans="1:56" ht="15.75" x14ac:dyDescent="0.25">
      <c r="A575" s="44"/>
      <c r="B575" s="36"/>
      <c r="C575" s="36"/>
      <c r="D575" s="36"/>
      <c r="E575" s="36"/>
      <c r="F575" s="36"/>
      <c r="G575" s="36"/>
      <c r="H575" s="36"/>
      <c r="I575" s="36"/>
      <c r="J575" s="105"/>
      <c r="K575" s="36"/>
      <c r="L575" s="36"/>
      <c r="M575" s="36"/>
      <c r="N575" s="105"/>
      <c r="O575" s="36"/>
      <c r="P575" s="36"/>
      <c r="Q575" s="36"/>
      <c r="R575" s="105"/>
      <c r="S575" s="36"/>
      <c r="T575" s="36"/>
      <c r="U575" s="36"/>
      <c r="V575" s="105"/>
      <c r="W575" s="36"/>
      <c r="X575" s="36"/>
      <c r="Y575" s="36"/>
      <c r="Z575" s="105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42"/>
      <c r="AO575" s="42"/>
      <c r="AP575" s="36"/>
      <c r="AQ575" s="36"/>
      <c r="AR575" s="42"/>
      <c r="AS575" s="42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</row>
    <row r="576" spans="1:56" ht="15.75" x14ac:dyDescent="0.25">
      <c r="A576" s="44"/>
      <c r="B576" s="36"/>
      <c r="C576" s="36"/>
      <c r="D576" s="36"/>
      <c r="E576" s="36"/>
      <c r="F576" s="36"/>
      <c r="G576" s="36"/>
      <c r="H576" s="36"/>
      <c r="I576" s="36"/>
      <c r="J576" s="105"/>
      <c r="K576" s="36"/>
      <c r="L576" s="36"/>
      <c r="M576" s="36"/>
      <c r="N576" s="105"/>
      <c r="O576" s="36"/>
      <c r="P576" s="36"/>
      <c r="Q576" s="36"/>
      <c r="R576" s="105"/>
      <c r="S576" s="36"/>
      <c r="T576" s="36"/>
      <c r="U576" s="36"/>
      <c r="V576" s="105"/>
      <c r="W576" s="36"/>
      <c r="X576" s="36"/>
      <c r="Y576" s="36"/>
      <c r="Z576" s="105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42"/>
      <c r="AO576" s="42"/>
      <c r="AP576" s="36"/>
      <c r="AQ576" s="36"/>
      <c r="AR576" s="42"/>
      <c r="AS576" s="42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</row>
    <row r="577" spans="1:56" ht="15.75" x14ac:dyDescent="0.25">
      <c r="A577" s="44"/>
      <c r="B577" s="36"/>
      <c r="C577" s="36"/>
      <c r="D577" s="36"/>
      <c r="E577" s="36"/>
      <c r="F577" s="36"/>
      <c r="G577" s="36"/>
      <c r="H577" s="36"/>
      <c r="I577" s="36"/>
      <c r="J577" s="105"/>
      <c r="K577" s="36"/>
      <c r="L577" s="36"/>
      <c r="M577" s="36"/>
      <c r="N577" s="105"/>
      <c r="O577" s="36"/>
      <c r="P577" s="36"/>
      <c r="Q577" s="36"/>
      <c r="R577" s="105"/>
      <c r="S577" s="36"/>
      <c r="T577" s="36"/>
      <c r="U577" s="36"/>
      <c r="V577" s="105"/>
      <c r="W577" s="36"/>
      <c r="X577" s="36"/>
      <c r="Y577" s="36"/>
      <c r="Z577" s="105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42"/>
      <c r="AO577" s="42"/>
      <c r="AP577" s="36"/>
      <c r="AQ577" s="36"/>
      <c r="AR577" s="42"/>
      <c r="AS577" s="42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</row>
    <row r="578" spans="1:56" ht="15.75" x14ac:dyDescent="0.25">
      <c r="A578" s="44"/>
      <c r="B578" s="36"/>
      <c r="C578" s="36"/>
      <c r="D578" s="36"/>
      <c r="E578" s="36"/>
      <c r="F578" s="36"/>
      <c r="G578" s="36"/>
      <c r="H578" s="36"/>
      <c r="I578" s="36"/>
      <c r="J578" s="105"/>
      <c r="K578" s="36"/>
      <c r="L578" s="36"/>
      <c r="M578" s="36"/>
      <c r="N578" s="105"/>
      <c r="O578" s="36"/>
      <c r="P578" s="36"/>
      <c r="Q578" s="36"/>
      <c r="R578" s="105"/>
      <c r="S578" s="36"/>
      <c r="T578" s="36"/>
      <c r="U578" s="36"/>
      <c r="V578" s="105"/>
      <c r="W578" s="36"/>
      <c r="X578" s="36"/>
      <c r="Y578" s="36"/>
      <c r="Z578" s="105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42"/>
      <c r="AO578" s="42"/>
      <c r="AP578" s="36"/>
      <c r="AQ578" s="36"/>
      <c r="AR578" s="42"/>
      <c r="AS578" s="42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</row>
    <row r="579" spans="1:56" ht="15.75" x14ac:dyDescent="0.25">
      <c r="A579" s="44"/>
      <c r="B579" s="36"/>
      <c r="C579" s="36"/>
      <c r="D579" s="36"/>
      <c r="E579" s="36"/>
      <c r="F579" s="36"/>
      <c r="G579" s="36"/>
      <c r="H579" s="36"/>
      <c r="I579" s="36"/>
      <c r="J579" s="105"/>
      <c r="K579" s="36"/>
      <c r="L579" s="36"/>
      <c r="M579" s="36"/>
      <c r="N579" s="105"/>
      <c r="O579" s="36"/>
      <c r="P579" s="36"/>
      <c r="Q579" s="36"/>
      <c r="R579" s="105"/>
      <c r="S579" s="36"/>
      <c r="T579" s="36"/>
      <c r="U579" s="36"/>
      <c r="V579" s="105"/>
      <c r="W579" s="36"/>
      <c r="X579" s="36"/>
      <c r="Y579" s="36"/>
      <c r="Z579" s="105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42"/>
      <c r="AO579" s="42"/>
      <c r="AP579" s="36"/>
      <c r="AQ579" s="36"/>
      <c r="AR579" s="42"/>
      <c r="AS579" s="42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</row>
    <row r="580" spans="1:56" ht="15.75" x14ac:dyDescent="0.25">
      <c r="A580" s="44"/>
      <c r="B580" s="36"/>
      <c r="C580" s="36"/>
      <c r="D580" s="36"/>
      <c r="E580" s="36"/>
      <c r="F580" s="36"/>
      <c r="G580" s="36"/>
      <c r="H580" s="36"/>
      <c r="I580" s="36"/>
      <c r="J580" s="105"/>
      <c r="K580" s="36"/>
      <c r="L580" s="36"/>
      <c r="M580" s="36"/>
      <c r="N580" s="105"/>
      <c r="O580" s="36"/>
      <c r="P580" s="36"/>
      <c r="Q580" s="36"/>
      <c r="R580" s="105"/>
      <c r="S580" s="36"/>
      <c r="T580" s="36"/>
      <c r="U580" s="36"/>
      <c r="V580" s="105"/>
      <c r="W580" s="36"/>
      <c r="X580" s="36"/>
      <c r="Y580" s="36"/>
      <c r="Z580" s="105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42"/>
      <c r="AO580" s="42"/>
      <c r="AP580" s="36"/>
      <c r="AQ580" s="36"/>
      <c r="AR580" s="42"/>
      <c r="AS580" s="42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</row>
    <row r="581" spans="1:56" ht="15.75" x14ac:dyDescent="0.25">
      <c r="A581" s="44"/>
      <c r="B581" s="36"/>
      <c r="C581" s="36"/>
      <c r="D581" s="36"/>
      <c r="E581" s="36"/>
      <c r="F581" s="36"/>
      <c r="G581" s="36"/>
      <c r="H581" s="36"/>
      <c r="I581" s="36"/>
      <c r="J581" s="105"/>
      <c r="K581" s="36"/>
      <c r="L581" s="36"/>
      <c r="M581" s="36"/>
      <c r="N581" s="105"/>
      <c r="O581" s="36"/>
      <c r="P581" s="36"/>
      <c r="Q581" s="36"/>
      <c r="R581" s="105"/>
      <c r="S581" s="36"/>
      <c r="T581" s="36"/>
      <c r="U581" s="36"/>
      <c r="V581" s="105"/>
      <c r="W581" s="36"/>
      <c r="X581" s="36"/>
      <c r="Y581" s="36"/>
      <c r="Z581" s="105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42"/>
      <c r="AO581" s="42"/>
      <c r="AP581" s="36"/>
      <c r="AQ581" s="36"/>
      <c r="AR581" s="42"/>
      <c r="AS581" s="42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</row>
    <row r="582" spans="1:56" ht="15.75" x14ac:dyDescent="0.25">
      <c r="A582" s="44"/>
      <c r="B582" s="36"/>
      <c r="C582" s="36"/>
      <c r="D582" s="36"/>
      <c r="E582" s="36"/>
      <c r="F582" s="36"/>
      <c r="G582" s="36"/>
      <c r="H582" s="36"/>
      <c r="I582" s="36"/>
      <c r="J582" s="105"/>
      <c r="K582" s="36"/>
      <c r="L582" s="36"/>
      <c r="M582" s="36"/>
      <c r="N582" s="105"/>
      <c r="O582" s="36"/>
      <c r="P582" s="36"/>
      <c r="Q582" s="36"/>
      <c r="R582" s="105"/>
      <c r="S582" s="36"/>
      <c r="T582" s="36"/>
      <c r="U582" s="36"/>
      <c r="V582" s="105"/>
      <c r="W582" s="36"/>
      <c r="X582" s="36"/>
      <c r="Y582" s="36"/>
      <c r="Z582" s="105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42"/>
      <c r="AO582" s="42"/>
      <c r="AP582" s="36"/>
      <c r="AQ582" s="36"/>
      <c r="AR582" s="42"/>
      <c r="AS582" s="42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</row>
    <row r="583" spans="1:56" ht="15.75" x14ac:dyDescent="0.25">
      <c r="A583" s="44"/>
      <c r="B583" s="36"/>
      <c r="C583" s="36"/>
      <c r="D583" s="36"/>
      <c r="E583" s="36"/>
      <c r="F583" s="36"/>
      <c r="G583" s="36"/>
      <c r="H583" s="36"/>
      <c r="I583" s="36"/>
      <c r="J583" s="105"/>
      <c r="K583" s="36"/>
      <c r="L583" s="36"/>
      <c r="M583" s="36"/>
      <c r="N583" s="105"/>
      <c r="O583" s="36"/>
      <c r="P583" s="36"/>
      <c r="Q583" s="36"/>
      <c r="R583" s="105"/>
      <c r="S583" s="36"/>
      <c r="T583" s="36"/>
      <c r="U583" s="36"/>
      <c r="V583" s="105"/>
      <c r="W583" s="36"/>
      <c r="X583" s="36"/>
      <c r="Y583" s="36"/>
      <c r="Z583" s="105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42"/>
      <c r="AO583" s="42"/>
      <c r="AP583" s="36"/>
      <c r="AQ583" s="36"/>
      <c r="AR583" s="42"/>
      <c r="AS583" s="42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</row>
    <row r="584" spans="1:56" ht="15.75" x14ac:dyDescent="0.25">
      <c r="A584" s="44"/>
      <c r="B584" s="36"/>
      <c r="C584" s="36"/>
      <c r="D584" s="36"/>
      <c r="E584" s="36"/>
      <c r="F584" s="36"/>
      <c r="G584" s="36"/>
      <c r="H584" s="36"/>
      <c r="I584" s="36"/>
      <c r="J584" s="105"/>
      <c r="K584" s="36"/>
      <c r="L584" s="36"/>
      <c r="M584" s="36"/>
      <c r="N584" s="105"/>
      <c r="O584" s="36"/>
      <c r="P584" s="36"/>
      <c r="Q584" s="36"/>
      <c r="R584" s="105"/>
      <c r="S584" s="36"/>
      <c r="T584" s="36"/>
      <c r="U584" s="36"/>
      <c r="V584" s="105"/>
      <c r="W584" s="36"/>
      <c r="X584" s="36"/>
      <c r="Y584" s="36"/>
      <c r="Z584" s="105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42"/>
      <c r="AO584" s="42"/>
      <c r="AP584" s="36"/>
      <c r="AQ584" s="36"/>
      <c r="AR584" s="42"/>
      <c r="AS584" s="42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</row>
    <row r="585" spans="1:56" ht="15.75" x14ac:dyDescent="0.25">
      <c r="A585" s="44"/>
      <c r="B585" s="36"/>
      <c r="C585" s="36"/>
      <c r="D585" s="36"/>
      <c r="E585" s="36"/>
      <c r="F585" s="36"/>
      <c r="G585" s="36"/>
      <c r="H585" s="36"/>
      <c r="I585" s="36"/>
      <c r="J585" s="105"/>
      <c r="K585" s="36"/>
      <c r="L585" s="36"/>
      <c r="M585" s="36"/>
      <c r="N585" s="105"/>
      <c r="O585" s="36"/>
      <c r="P585" s="36"/>
      <c r="Q585" s="36"/>
      <c r="R585" s="105"/>
      <c r="S585" s="36"/>
      <c r="T585" s="36"/>
      <c r="U585" s="36"/>
      <c r="V585" s="105"/>
      <c r="W585" s="36"/>
      <c r="X585" s="36"/>
      <c r="Y585" s="36"/>
      <c r="Z585" s="105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42"/>
      <c r="AO585" s="42"/>
      <c r="AP585" s="36"/>
      <c r="AQ585" s="36"/>
      <c r="AR585" s="42"/>
      <c r="AS585" s="42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</row>
    <row r="586" spans="1:56" ht="15.75" x14ac:dyDescent="0.25">
      <c r="A586" s="44"/>
      <c r="B586" s="36"/>
      <c r="C586" s="36"/>
      <c r="D586" s="36"/>
      <c r="E586" s="36"/>
      <c r="F586" s="36"/>
      <c r="G586" s="36"/>
      <c r="H586" s="36"/>
      <c r="I586" s="36"/>
      <c r="J586" s="105"/>
      <c r="K586" s="36"/>
      <c r="L586" s="36"/>
      <c r="M586" s="36"/>
      <c r="N586" s="105"/>
      <c r="O586" s="36"/>
      <c r="P586" s="36"/>
      <c r="Q586" s="36"/>
      <c r="R586" s="105"/>
      <c r="S586" s="36"/>
      <c r="T586" s="36"/>
      <c r="U586" s="36"/>
      <c r="V586" s="105"/>
      <c r="W586" s="36"/>
      <c r="X586" s="36"/>
      <c r="Y586" s="36"/>
      <c r="Z586" s="105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42"/>
      <c r="AO586" s="42"/>
      <c r="AP586" s="36"/>
      <c r="AQ586" s="36"/>
      <c r="AR586" s="42"/>
      <c r="AS586" s="42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</row>
    <row r="587" spans="1:56" ht="15.75" x14ac:dyDescent="0.25">
      <c r="A587" s="44"/>
      <c r="B587" s="36"/>
      <c r="C587" s="36"/>
      <c r="D587" s="36"/>
      <c r="E587" s="36"/>
      <c r="F587" s="36"/>
      <c r="G587" s="36"/>
      <c r="H587" s="36"/>
      <c r="I587" s="36"/>
      <c r="J587" s="105"/>
      <c r="K587" s="36"/>
      <c r="L587" s="36"/>
      <c r="M587" s="36"/>
      <c r="N587" s="105"/>
      <c r="O587" s="36"/>
      <c r="P587" s="36"/>
      <c r="Q587" s="36"/>
      <c r="R587" s="105"/>
      <c r="S587" s="36"/>
      <c r="T587" s="36"/>
      <c r="U587" s="36"/>
      <c r="V587" s="105"/>
      <c r="W587" s="36"/>
      <c r="X587" s="36"/>
      <c r="Y587" s="36"/>
      <c r="Z587" s="105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42"/>
      <c r="AO587" s="42"/>
      <c r="AP587" s="36"/>
      <c r="AQ587" s="36"/>
      <c r="AR587" s="42"/>
      <c r="AS587" s="42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</row>
    <row r="588" spans="1:56" ht="15.75" x14ac:dyDescent="0.25">
      <c r="A588" s="44"/>
      <c r="B588" s="36"/>
      <c r="C588" s="36"/>
      <c r="D588" s="36"/>
      <c r="E588" s="36"/>
      <c r="F588" s="36"/>
      <c r="G588" s="36"/>
      <c r="H588" s="36"/>
      <c r="I588" s="36"/>
      <c r="J588" s="105"/>
      <c r="K588" s="36"/>
      <c r="L588" s="36"/>
      <c r="M588" s="36"/>
      <c r="N588" s="105"/>
      <c r="O588" s="36"/>
      <c r="P588" s="36"/>
      <c r="Q588" s="36"/>
      <c r="R588" s="105"/>
      <c r="S588" s="36"/>
      <c r="T588" s="36"/>
      <c r="U588" s="36"/>
      <c r="V588" s="105"/>
      <c r="W588" s="36"/>
      <c r="X588" s="36"/>
      <c r="Y588" s="36"/>
      <c r="Z588" s="105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42"/>
      <c r="AO588" s="42"/>
      <c r="AP588" s="36"/>
      <c r="AQ588" s="36"/>
      <c r="AR588" s="42"/>
      <c r="AS588" s="42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</row>
    <row r="589" spans="1:56" ht="15.75" x14ac:dyDescent="0.25">
      <c r="A589" s="44"/>
      <c r="B589" s="36"/>
      <c r="C589" s="36"/>
      <c r="D589" s="36"/>
      <c r="E589" s="36"/>
      <c r="F589" s="36"/>
      <c r="G589" s="36"/>
      <c r="H589" s="36"/>
      <c r="I589" s="36"/>
      <c r="J589" s="105"/>
      <c r="K589" s="36"/>
      <c r="L589" s="36"/>
      <c r="M589" s="36"/>
      <c r="N589" s="105"/>
      <c r="O589" s="36"/>
      <c r="P589" s="36"/>
      <c r="Q589" s="36"/>
      <c r="R589" s="105"/>
      <c r="S589" s="36"/>
      <c r="T589" s="36"/>
      <c r="U589" s="36"/>
      <c r="V589" s="105"/>
      <c r="W589" s="36"/>
      <c r="X589" s="36"/>
      <c r="Y589" s="36"/>
      <c r="Z589" s="105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42"/>
      <c r="AO589" s="42"/>
      <c r="AP589" s="36"/>
      <c r="AQ589" s="36"/>
      <c r="AR589" s="42"/>
      <c r="AS589" s="42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</row>
    <row r="590" spans="1:56" ht="15.75" x14ac:dyDescent="0.25">
      <c r="A590" s="44"/>
      <c r="B590" s="36"/>
      <c r="C590" s="36"/>
      <c r="D590" s="36"/>
      <c r="E590" s="36"/>
      <c r="F590" s="36"/>
      <c r="G590" s="36"/>
      <c r="H590" s="36"/>
      <c r="I590" s="36"/>
      <c r="J590" s="105"/>
      <c r="K590" s="36"/>
      <c r="L590" s="36"/>
      <c r="M590" s="36"/>
      <c r="N590" s="105"/>
      <c r="O590" s="36"/>
      <c r="P590" s="36"/>
      <c r="Q590" s="36"/>
      <c r="R590" s="105"/>
      <c r="S590" s="36"/>
      <c r="T590" s="36"/>
      <c r="U590" s="36"/>
      <c r="V590" s="105"/>
      <c r="W590" s="36"/>
      <c r="X590" s="36"/>
      <c r="Y590" s="36"/>
      <c r="Z590" s="105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42"/>
      <c r="AO590" s="42"/>
      <c r="AP590" s="36"/>
      <c r="AQ590" s="36"/>
      <c r="AR590" s="42"/>
      <c r="AS590" s="42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</row>
    <row r="591" spans="1:56" ht="15.75" x14ac:dyDescent="0.25">
      <c r="A591" s="44"/>
      <c r="B591" s="36"/>
      <c r="C591" s="36"/>
      <c r="D591" s="36"/>
      <c r="E591" s="36"/>
      <c r="F591" s="36"/>
      <c r="G591" s="36"/>
      <c r="H591" s="36"/>
      <c r="I591" s="36"/>
      <c r="J591" s="105"/>
      <c r="K591" s="36"/>
      <c r="L591" s="36"/>
      <c r="M591" s="36"/>
      <c r="N591" s="105"/>
      <c r="O591" s="36"/>
      <c r="P591" s="36"/>
      <c r="Q591" s="36"/>
      <c r="R591" s="105"/>
      <c r="S591" s="36"/>
      <c r="T591" s="36"/>
      <c r="U591" s="36"/>
      <c r="V591" s="105"/>
      <c r="W591" s="36"/>
      <c r="X591" s="36"/>
      <c r="Y591" s="36"/>
      <c r="Z591" s="105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42"/>
      <c r="AO591" s="42"/>
      <c r="AP591" s="36"/>
      <c r="AQ591" s="36"/>
      <c r="AR591" s="42"/>
      <c r="AS591" s="42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</row>
    <row r="592" spans="1:56" ht="15.75" x14ac:dyDescent="0.25">
      <c r="A592" s="44"/>
      <c r="B592" s="36"/>
      <c r="C592" s="36"/>
      <c r="D592" s="36"/>
      <c r="E592" s="36"/>
      <c r="F592" s="36"/>
      <c r="G592" s="36"/>
      <c r="H592" s="36"/>
      <c r="I592" s="36"/>
      <c r="J592" s="105"/>
      <c r="K592" s="36"/>
      <c r="L592" s="36"/>
      <c r="M592" s="36"/>
      <c r="N592" s="105"/>
      <c r="O592" s="36"/>
      <c r="P592" s="36"/>
      <c r="Q592" s="36"/>
      <c r="R592" s="105"/>
      <c r="S592" s="36"/>
      <c r="T592" s="36"/>
      <c r="U592" s="36"/>
      <c r="V592" s="105"/>
      <c r="W592" s="36"/>
      <c r="X592" s="36"/>
      <c r="Y592" s="36"/>
      <c r="Z592" s="105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42"/>
      <c r="AO592" s="42"/>
      <c r="AP592" s="36"/>
      <c r="AQ592" s="36"/>
      <c r="AR592" s="42"/>
      <c r="AS592" s="42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</row>
    <row r="593" spans="1:56" ht="15.75" x14ac:dyDescent="0.25">
      <c r="A593" s="44"/>
      <c r="B593" s="36"/>
      <c r="C593" s="36"/>
      <c r="D593" s="36"/>
      <c r="E593" s="36"/>
      <c r="F593" s="36"/>
      <c r="G593" s="36"/>
      <c r="H593" s="36"/>
      <c r="I593" s="36"/>
      <c r="J593" s="105"/>
      <c r="K593" s="36"/>
      <c r="L593" s="36"/>
      <c r="M593" s="36"/>
      <c r="N593" s="105"/>
      <c r="O593" s="36"/>
      <c r="P593" s="36"/>
      <c r="Q593" s="36"/>
      <c r="R593" s="105"/>
      <c r="S593" s="36"/>
      <c r="T593" s="36"/>
      <c r="U593" s="36"/>
      <c r="V593" s="105"/>
      <c r="W593" s="36"/>
      <c r="X593" s="36"/>
      <c r="Y593" s="36"/>
      <c r="Z593" s="105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42"/>
      <c r="AO593" s="42"/>
      <c r="AP593" s="36"/>
      <c r="AQ593" s="36"/>
      <c r="AR593" s="42"/>
      <c r="AS593" s="42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</row>
    <row r="594" spans="1:56" ht="15.75" x14ac:dyDescent="0.25">
      <c r="A594" s="44"/>
      <c r="B594" s="36"/>
      <c r="C594" s="36"/>
      <c r="D594" s="36"/>
      <c r="E594" s="36"/>
      <c r="F594" s="36"/>
      <c r="G594" s="36"/>
      <c r="H594" s="36"/>
      <c r="I594" s="36"/>
      <c r="J594" s="105"/>
      <c r="K594" s="36"/>
      <c r="L594" s="36"/>
      <c r="M594" s="36"/>
      <c r="N594" s="105"/>
      <c r="O594" s="36"/>
      <c r="P594" s="36"/>
      <c r="Q594" s="36"/>
      <c r="R594" s="105"/>
      <c r="S594" s="36"/>
      <c r="T594" s="36"/>
      <c r="U594" s="36"/>
      <c r="V594" s="105"/>
      <c r="W594" s="36"/>
      <c r="X594" s="36"/>
      <c r="Y594" s="36"/>
      <c r="Z594" s="105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42"/>
      <c r="AO594" s="42"/>
      <c r="AP594" s="36"/>
      <c r="AQ594" s="36"/>
      <c r="AR594" s="42"/>
      <c r="AS594" s="42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</row>
    <row r="595" spans="1:56" ht="15.75" x14ac:dyDescent="0.25">
      <c r="A595" s="44"/>
      <c r="B595" s="36"/>
      <c r="C595" s="36"/>
      <c r="D595" s="36"/>
      <c r="E595" s="36"/>
      <c r="F595" s="36"/>
      <c r="G595" s="36"/>
      <c r="H595" s="36"/>
      <c r="I595" s="36"/>
      <c r="J595" s="105"/>
      <c r="K595" s="36"/>
      <c r="L595" s="36"/>
      <c r="M595" s="36"/>
      <c r="N595" s="105"/>
      <c r="O595" s="36"/>
      <c r="P595" s="36"/>
      <c r="Q595" s="36"/>
      <c r="R595" s="105"/>
      <c r="S595" s="36"/>
      <c r="T595" s="36"/>
      <c r="U595" s="36"/>
      <c r="V595" s="105"/>
      <c r="W595" s="36"/>
      <c r="X595" s="36"/>
      <c r="Y595" s="36"/>
      <c r="Z595" s="105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42"/>
      <c r="AO595" s="42"/>
      <c r="AP595" s="36"/>
      <c r="AQ595" s="36"/>
      <c r="AR595" s="42"/>
      <c r="AS595" s="42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</row>
    <row r="596" spans="1:56" ht="15.75" x14ac:dyDescent="0.25">
      <c r="A596" s="44"/>
      <c r="B596" s="36"/>
      <c r="C596" s="36"/>
      <c r="D596" s="36"/>
      <c r="E596" s="36"/>
      <c r="F596" s="36"/>
      <c r="G596" s="36"/>
      <c r="H596" s="36"/>
      <c r="I596" s="36"/>
      <c r="J596" s="105"/>
      <c r="K596" s="36"/>
      <c r="L596" s="36"/>
      <c r="M596" s="36"/>
      <c r="N596" s="105"/>
      <c r="O596" s="36"/>
      <c r="P596" s="36"/>
      <c r="Q596" s="36"/>
      <c r="R596" s="105"/>
      <c r="S596" s="36"/>
      <c r="T596" s="36"/>
      <c r="U596" s="36"/>
      <c r="V596" s="105"/>
      <c r="W596" s="36"/>
      <c r="X596" s="36"/>
      <c r="Y596" s="36"/>
      <c r="Z596" s="105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42"/>
      <c r="AO596" s="42"/>
      <c r="AP596" s="36"/>
      <c r="AQ596" s="36"/>
      <c r="AR596" s="42"/>
      <c r="AS596" s="42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</row>
    <row r="597" spans="1:56" ht="15.75" x14ac:dyDescent="0.25">
      <c r="A597" s="44"/>
      <c r="B597" s="36"/>
      <c r="C597" s="36"/>
      <c r="D597" s="36"/>
      <c r="E597" s="36"/>
      <c r="F597" s="36"/>
      <c r="G597" s="36"/>
      <c r="H597" s="36"/>
      <c r="I597" s="36"/>
      <c r="J597" s="105"/>
      <c r="K597" s="36"/>
      <c r="L597" s="36"/>
      <c r="M597" s="36"/>
      <c r="N597" s="105"/>
      <c r="O597" s="36"/>
      <c r="P597" s="36"/>
      <c r="Q597" s="36"/>
      <c r="R597" s="105"/>
      <c r="S597" s="36"/>
      <c r="T597" s="36"/>
      <c r="U597" s="36"/>
      <c r="V597" s="105"/>
      <c r="W597" s="36"/>
      <c r="X597" s="36"/>
      <c r="Y597" s="36"/>
      <c r="Z597" s="105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42"/>
      <c r="AO597" s="42"/>
      <c r="AP597" s="36"/>
      <c r="AQ597" s="36"/>
      <c r="AR597" s="42"/>
      <c r="AS597" s="42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</row>
    <row r="598" spans="1:56" ht="15.75" x14ac:dyDescent="0.25">
      <c r="A598" s="44"/>
      <c r="B598" s="36"/>
      <c r="C598" s="36"/>
      <c r="D598" s="36"/>
      <c r="E598" s="36"/>
      <c r="F598" s="36"/>
      <c r="G598" s="36"/>
      <c r="H598" s="36"/>
      <c r="I598" s="36"/>
      <c r="J598" s="105"/>
      <c r="K598" s="36"/>
      <c r="L598" s="36"/>
      <c r="M598" s="36"/>
      <c r="N598" s="105"/>
      <c r="O598" s="36"/>
      <c r="P598" s="36"/>
      <c r="Q598" s="36"/>
      <c r="R598" s="105"/>
      <c r="S598" s="36"/>
      <c r="T598" s="36"/>
      <c r="U598" s="36"/>
      <c r="V598" s="105"/>
      <c r="W598" s="36"/>
      <c r="X598" s="36"/>
      <c r="Y598" s="36"/>
      <c r="Z598" s="105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42"/>
      <c r="AO598" s="42"/>
      <c r="AP598" s="36"/>
      <c r="AQ598" s="36"/>
      <c r="AR598" s="42"/>
      <c r="AS598" s="42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</row>
    <row r="599" spans="1:56" ht="15.75" x14ac:dyDescent="0.25">
      <c r="A599" s="44"/>
      <c r="B599" s="36"/>
      <c r="C599" s="36"/>
      <c r="D599" s="36"/>
      <c r="E599" s="36"/>
      <c r="F599" s="36"/>
      <c r="G599" s="36"/>
      <c r="H599" s="36"/>
      <c r="I599" s="36"/>
      <c r="J599" s="105"/>
      <c r="K599" s="36"/>
      <c r="L599" s="36"/>
      <c r="M599" s="36"/>
      <c r="N599" s="105"/>
      <c r="O599" s="36"/>
      <c r="P599" s="36"/>
      <c r="Q599" s="36"/>
      <c r="R599" s="105"/>
      <c r="S599" s="36"/>
      <c r="T599" s="36"/>
      <c r="U599" s="36"/>
      <c r="V599" s="105"/>
      <c r="W599" s="36"/>
      <c r="X599" s="36"/>
      <c r="Y599" s="36"/>
      <c r="Z599" s="105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42"/>
      <c r="AO599" s="42"/>
      <c r="AP599" s="36"/>
      <c r="AQ599" s="36"/>
      <c r="AR599" s="42"/>
      <c r="AS599" s="42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</row>
    <row r="600" spans="1:56" ht="15.75" x14ac:dyDescent="0.25">
      <c r="A600" s="44"/>
      <c r="B600" s="36"/>
      <c r="C600" s="36"/>
      <c r="D600" s="36"/>
      <c r="E600" s="36"/>
      <c r="F600" s="36"/>
      <c r="G600" s="36"/>
      <c r="H600" s="36"/>
      <c r="I600" s="36"/>
      <c r="J600" s="105"/>
      <c r="K600" s="36"/>
      <c r="L600" s="36"/>
      <c r="M600" s="36"/>
      <c r="N600" s="105"/>
      <c r="O600" s="36"/>
      <c r="P600" s="36"/>
      <c r="Q600" s="36"/>
      <c r="R600" s="105"/>
      <c r="S600" s="36"/>
      <c r="T600" s="36"/>
      <c r="U600" s="36"/>
      <c r="V600" s="105"/>
      <c r="W600" s="36"/>
      <c r="X600" s="36"/>
      <c r="Y600" s="36"/>
      <c r="Z600" s="105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42"/>
      <c r="AO600" s="42"/>
      <c r="AP600" s="36"/>
      <c r="AQ600" s="36"/>
      <c r="AR600" s="42"/>
      <c r="AS600" s="42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</row>
    <row r="601" spans="1:56" ht="15.75" x14ac:dyDescent="0.25">
      <c r="A601" s="44"/>
      <c r="B601" s="36"/>
      <c r="C601" s="36"/>
      <c r="D601" s="36"/>
      <c r="E601" s="36"/>
      <c r="F601" s="36"/>
      <c r="G601" s="36"/>
      <c r="H601" s="36"/>
      <c r="I601" s="36"/>
      <c r="J601" s="105"/>
      <c r="K601" s="36"/>
      <c r="L601" s="36"/>
      <c r="M601" s="36"/>
      <c r="N601" s="105"/>
      <c r="O601" s="36"/>
      <c r="P601" s="36"/>
      <c r="Q601" s="36"/>
      <c r="R601" s="105"/>
      <c r="S601" s="36"/>
      <c r="T601" s="36"/>
      <c r="U601" s="36"/>
      <c r="V601" s="105"/>
      <c r="W601" s="36"/>
      <c r="X601" s="36"/>
      <c r="Y601" s="36"/>
      <c r="Z601" s="105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42"/>
      <c r="AO601" s="42"/>
      <c r="AP601" s="36"/>
      <c r="AQ601" s="36"/>
      <c r="AR601" s="42"/>
      <c r="AS601" s="42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</row>
    <row r="602" spans="1:56" ht="15.75" x14ac:dyDescent="0.25">
      <c r="A602" s="44"/>
      <c r="B602" s="36"/>
      <c r="C602" s="36"/>
      <c r="D602" s="36"/>
      <c r="E602" s="36"/>
      <c r="F602" s="36"/>
      <c r="G602" s="36"/>
      <c r="H602" s="36"/>
      <c r="I602" s="36"/>
      <c r="J602" s="105"/>
      <c r="K602" s="36"/>
      <c r="L602" s="36"/>
      <c r="M602" s="36"/>
      <c r="N602" s="105"/>
      <c r="O602" s="36"/>
      <c r="P602" s="36"/>
      <c r="Q602" s="36"/>
      <c r="R602" s="105"/>
      <c r="S602" s="36"/>
      <c r="T602" s="36"/>
      <c r="U602" s="36"/>
      <c r="V602" s="105"/>
      <c r="W602" s="36"/>
      <c r="X602" s="36"/>
      <c r="Y602" s="36"/>
      <c r="Z602" s="105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42"/>
      <c r="AO602" s="42"/>
      <c r="AP602" s="36"/>
      <c r="AQ602" s="36"/>
      <c r="AR602" s="42"/>
      <c r="AS602" s="42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</row>
    <row r="603" spans="1:56" ht="15.75" x14ac:dyDescent="0.25">
      <c r="A603" s="44"/>
      <c r="B603" s="36"/>
      <c r="C603" s="36"/>
      <c r="D603" s="36"/>
      <c r="E603" s="36"/>
      <c r="F603" s="36"/>
      <c r="G603" s="36"/>
      <c r="H603" s="36"/>
      <c r="I603" s="36"/>
      <c r="J603" s="105"/>
      <c r="K603" s="36"/>
      <c r="L603" s="36"/>
      <c r="M603" s="36"/>
      <c r="N603" s="105"/>
      <c r="O603" s="36"/>
      <c r="P603" s="36"/>
      <c r="Q603" s="36"/>
      <c r="R603" s="105"/>
      <c r="S603" s="36"/>
      <c r="T603" s="36"/>
      <c r="U603" s="36"/>
      <c r="V603" s="105"/>
      <c r="W603" s="36"/>
      <c r="X603" s="36"/>
      <c r="Y603" s="36"/>
      <c r="Z603" s="105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42"/>
      <c r="AO603" s="42"/>
      <c r="AP603" s="36"/>
      <c r="AQ603" s="36"/>
      <c r="AR603" s="42"/>
      <c r="AS603" s="42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</row>
    <row r="604" spans="1:56" ht="15.75" x14ac:dyDescent="0.25">
      <c r="A604" s="44"/>
      <c r="B604" s="36"/>
      <c r="C604" s="36"/>
      <c r="D604" s="36"/>
      <c r="E604" s="36"/>
      <c r="F604" s="36"/>
      <c r="G604" s="36"/>
      <c r="H604" s="36"/>
      <c r="I604" s="36"/>
      <c r="J604" s="105"/>
      <c r="K604" s="36"/>
      <c r="L604" s="36"/>
      <c r="M604" s="36"/>
      <c r="N604" s="105"/>
      <c r="O604" s="36"/>
      <c r="P604" s="36"/>
      <c r="Q604" s="36"/>
      <c r="R604" s="105"/>
      <c r="S604" s="36"/>
      <c r="T604" s="36"/>
      <c r="U604" s="36"/>
      <c r="V604" s="105"/>
      <c r="W604" s="36"/>
      <c r="X604" s="36"/>
      <c r="Y604" s="36"/>
      <c r="Z604" s="105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42"/>
      <c r="AO604" s="42"/>
      <c r="AP604" s="36"/>
      <c r="AQ604" s="36"/>
      <c r="AR604" s="42"/>
      <c r="AS604" s="42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</row>
    <row r="605" spans="1:56" ht="15.75" x14ac:dyDescent="0.25">
      <c r="A605" s="44"/>
      <c r="B605" s="36"/>
      <c r="C605" s="36"/>
      <c r="D605" s="36"/>
      <c r="E605" s="36"/>
      <c r="F605" s="36"/>
      <c r="G605" s="36"/>
      <c r="H605" s="36"/>
      <c r="I605" s="36"/>
      <c r="J605" s="105"/>
      <c r="K605" s="36"/>
      <c r="L605" s="36"/>
      <c r="M605" s="36"/>
      <c r="N605" s="105"/>
      <c r="O605" s="36"/>
      <c r="P605" s="36"/>
      <c r="Q605" s="36"/>
      <c r="R605" s="105"/>
      <c r="S605" s="36"/>
      <c r="T605" s="36"/>
      <c r="U605" s="36"/>
      <c r="V605" s="105"/>
      <c r="W605" s="36"/>
      <c r="X605" s="36"/>
      <c r="Y605" s="36"/>
      <c r="Z605" s="105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42"/>
      <c r="AO605" s="42"/>
      <c r="AP605" s="36"/>
      <c r="AQ605" s="36"/>
      <c r="AR605" s="42"/>
      <c r="AS605" s="42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</row>
    <row r="606" spans="1:56" ht="15.75" x14ac:dyDescent="0.25">
      <c r="A606" s="44"/>
      <c r="B606" s="36"/>
      <c r="C606" s="36"/>
      <c r="D606" s="36"/>
      <c r="E606" s="36"/>
      <c r="F606" s="36"/>
      <c r="G606" s="36"/>
      <c r="H606" s="36"/>
      <c r="I606" s="36"/>
      <c r="J606" s="105"/>
      <c r="K606" s="36"/>
      <c r="L606" s="36"/>
      <c r="M606" s="36"/>
      <c r="N606" s="105"/>
      <c r="O606" s="36"/>
      <c r="P606" s="36"/>
      <c r="Q606" s="36"/>
      <c r="R606" s="105"/>
      <c r="S606" s="36"/>
      <c r="T606" s="36"/>
      <c r="U606" s="36"/>
      <c r="V606" s="105"/>
      <c r="W606" s="36"/>
      <c r="X606" s="36"/>
      <c r="Y606" s="36"/>
      <c r="Z606" s="105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42"/>
      <c r="AO606" s="42"/>
      <c r="AP606" s="36"/>
      <c r="AQ606" s="36"/>
      <c r="AR606" s="42"/>
      <c r="AS606" s="42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</row>
    <row r="607" spans="1:56" ht="15.75" x14ac:dyDescent="0.25">
      <c r="A607" s="44"/>
      <c r="B607" s="36"/>
      <c r="C607" s="36"/>
      <c r="D607" s="36"/>
      <c r="E607" s="36"/>
      <c r="F607" s="36"/>
      <c r="G607" s="36"/>
      <c r="H607" s="36"/>
      <c r="I607" s="36"/>
      <c r="J607" s="105"/>
      <c r="K607" s="36"/>
      <c r="L607" s="36"/>
      <c r="M607" s="36"/>
      <c r="N607" s="105"/>
      <c r="O607" s="36"/>
      <c r="P607" s="36"/>
      <c r="Q607" s="36"/>
      <c r="R607" s="105"/>
      <c r="S607" s="36"/>
      <c r="T607" s="36"/>
      <c r="U607" s="36"/>
      <c r="V607" s="105"/>
      <c r="W607" s="36"/>
      <c r="X607" s="36"/>
      <c r="Y607" s="36"/>
      <c r="Z607" s="105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42"/>
      <c r="AO607" s="42"/>
      <c r="AP607" s="36"/>
      <c r="AQ607" s="36"/>
      <c r="AR607" s="42"/>
      <c r="AS607" s="42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</row>
    <row r="608" spans="1:56" ht="15.75" x14ac:dyDescent="0.25">
      <c r="A608" s="44"/>
      <c r="B608" s="36"/>
      <c r="C608" s="36"/>
      <c r="D608" s="36"/>
      <c r="E608" s="36"/>
      <c r="F608" s="36"/>
      <c r="G608" s="36"/>
      <c r="H608" s="36"/>
      <c r="I608" s="36"/>
      <c r="J608" s="105"/>
      <c r="K608" s="36"/>
      <c r="L608" s="36"/>
      <c r="M608" s="36"/>
      <c r="N608" s="105"/>
      <c r="O608" s="36"/>
      <c r="P608" s="36"/>
      <c r="Q608" s="36"/>
      <c r="R608" s="105"/>
      <c r="S608" s="36"/>
      <c r="T608" s="36"/>
      <c r="U608" s="36"/>
      <c r="V608" s="105"/>
      <c r="W608" s="36"/>
      <c r="X608" s="36"/>
      <c r="Y608" s="36"/>
      <c r="Z608" s="105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42"/>
      <c r="AO608" s="42"/>
      <c r="AP608" s="36"/>
      <c r="AQ608" s="36"/>
      <c r="AR608" s="42"/>
      <c r="AS608" s="42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</row>
    <row r="609" spans="1:56" ht="15.75" x14ac:dyDescent="0.25">
      <c r="A609" s="44"/>
      <c r="B609" s="36"/>
      <c r="C609" s="36"/>
      <c r="D609" s="36"/>
      <c r="E609" s="36"/>
      <c r="F609" s="36"/>
      <c r="G609" s="36"/>
      <c r="H609" s="36"/>
      <c r="I609" s="36"/>
      <c r="J609" s="105"/>
      <c r="K609" s="36"/>
      <c r="L609" s="36"/>
      <c r="M609" s="36"/>
      <c r="N609" s="105"/>
      <c r="O609" s="36"/>
      <c r="P609" s="36"/>
      <c r="Q609" s="36"/>
      <c r="R609" s="105"/>
      <c r="S609" s="36"/>
      <c r="T609" s="36"/>
      <c r="U609" s="36"/>
      <c r="V609" s="105"/>
      <c r="W609" s="36"/>
      <c r="X609" s="36"/>
      <c r="Y609" s="36"/>
      <c r="Z609" s="105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42"/>
      <c r="AO609" s="42"/>
      <c r="AP609" s="36"/>
      <c r="AQ609" s="36"/>
      <c r="AR609" s="42"/>
      <c r="AS609" s="42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</row>
    <row r="610" spans="1:56" ht="15.75" x14ac:dyDescent="0.25">
      <c r="A610" s="44"/>
      <c r="B610" s="36"/>
      <c r="C610" s="36"/>
      <c r="D610" s="36"/>
      <c r="E610" s="36"/>
      <c r="F610" s="36"/>
      <c r="G610" s="36"/>
      <c r="H610" s="36"/>
      <c r="I610" s="36"/>
      <c r="J610" s="105"/>
      <c r="K610" s="36"/>
      <c r="L610" s="36"/>
      <c r="M610" s="36"/>
      <c r="N610" s="105"/>
      <c r="O610" s="36"/>
      <c r="P610" s="36"/>
      <c r="Q610" s="36"/>
      <c r="R610" s="105"/>
      <c r="S610" s="36"/>
      <c r="T610" s="36"/>
      <c r="U610" s="36"/>
      <c r="V610" s="105"/>
      <c r="W610" s="36"/>
      <c r="X610" s="36"/>
      <c r="Y610" s="36"/>
      <c r="Z610" s="105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42"/>
      <c r="AO610" s="42"/>
      <c r="AP610" s="36"/>
      <c r="AQ610" s="36"/>
      <c r="AR610" s="42"/>
      <c r="AS610" s="42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</row>
    <row r="611" spans="1:56" ht="15.75" x14ac:dyDescent="0.25">
      <c r="A611" s="44"/>
      <c r="B611" s="36"/>
      <c r="C611" s="36"/>
      <c r="D611" s="36"/>
      <c r="E611" s="36"/>
      <c r="F611" s="36"/>
      <c r="G611" s="36"/>
      <c r="H611" s="36"/>
      <c r="I611" s="36"/>
      <c r="J611" s="105"/>
      <c r="K611" s="36"/>
      <c r="L611" s="36"/>
      <c r="M611" s="36"/>
      <c r="N611" s="105"/>
      <c r="O611" s="36"/>
      <c r="P611" s="36"/>
      <c r="Q611" s="36"/>
      <c r="R611" s="105"/>
      <c r="S611" s="36"/>
      <c r="T611" s="36"/>
      <c r="U611" s="36"/>
      <c r="V611" s="105"/>
      <c r="W611" s="36"/>
      <c r="X611" s="36"/>
      <c r="Y611" s="36"/>
      <c r="Z611" s="105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42"/>
      <c r="AO611" s="42"/>
      <c r="AP611" s="36"/>
      <c r="AQ611" s="36"/>
      <c r="AR611" s="42"/>
      <c r="AS611" s="42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</row>
    <row r="612" spans="1:56" ht="15.75" x14ac:dyDescent="0.25">
      <c r="A612" s="44"/>
      <c r="B612" s="36"/>
      <c r="C612" s="36"/>
      <c r="D612" s="36"/>
      <c r="E612" s="36"/>
      <c r="F612" s="36"/>
      <c r="G612" s="36"/>
      <c r="H612" s="36"/>
      <c r="I612" s="36"/>
      <c r="J612" s="105"/>
      <c r="K612" s="36"/>
      <c r="L612" s="36"/>
      <c r="M612" s="36"/>
      <c r="N612" s="105"/>
      <c r="O612" s="36"/>
      <c r="P612" s="36"/>
      <c r="Q612" s="36"/>
      <c r="R612" s="105"/>
      <c r="S612" s="36"/>
      <c r="T612" s="36"/>
      <c r="U612" s="36"/>
      <c r="V612" s="105"/>
      <c r="W612" s="36"/>
      <c r="X612" s="36"/>
      <c r="Y612" s="36"/>
      <c r="Z612" s="105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42"/>
      <c r="AO612" s="42"/>
      <c r="AP612" s="36"/>
      <c r="AQ612" s="36"/>
      <c r="AR612" s="42"/>
      <c r="AS612" s="42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</row>
    <row r="613" spans="1:56" ht="15.75" x14ac:dyDescent="0.25">
      <c r="A613" s="44"/>
      <c r="B613" s="36"/>
      <c r="C613" s="36"/>
      <c r="D613" s="36"/>
      <c r="E613" s="36"/>
      <c r="F613" s="36"/>
      <c r="G613" s="36"/>
      <c r="H613" s="36"/>
      <c r="I613" s="36"/>
      <c r="J613" s="105"/>
      <c r="K613" s="36"/>
      <c r="L613" s="36"/>
      <c r="M613" s="36"/>
      <c r="N613" s="105"/>
      <c r="O613" s="36"/>
      <c r="P613" s="36"/>
      <c r="Q613" s="36"/>
      <c r="R613" s="105"/>
      <c r="S613" s="36"/>
      <c r="T613" s="36"/>
      <c r="U613" s="36"/>
      <c r="V613" s="105"/>
      <c r="W613" s="36"/>
      <c r="X613" s="36"/>
      <c r="Y613" s="36"/>
      <c r="Z613" s="105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42"/>
      <c r="AO613" s="42"/>
      <c r="AP613" s="36"/>
      <c r="AQ613" s="36"/>
      <c r="AR613" s="42"/>
      <c r="AS613" s="42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</row>
    <row r="614" spans="1:56" ht="15.75" x14ac:dyDescent="0.25">
      <c r="A614" s="44"/>
      <c r="B614" s="36"/>
      <c r="C614" s="36"/>
      <c r="D614" s="36"/>
      <c r="E614" s="36"/>
      <c r="F614" s="36"/>
      <c r="G614" s="36"/>
      <c r="H614" s="36"/>
      <c r="I614" s="36"/>
      <c r="J614" s="105"/>
      <c r="K614" s="36"/>
      <c r="L614" s="36"/>
      <c r="M614" s="36"/>
      <c r="N614" s="105"/>
      <c r="O614" s="36"/>
      <c r="P614" s="36"/>
      <c r="Q614" s="36"/>
      <c r="R614" s="105"/>
      <c r="S614" s="36"/>
      <c r="T614" s="36"/>
      <c r="U614" s="36"/>
      <c r="V614" s="105"/>
      <c r="W614" s="36"/>
      <c r="X614" s="36"/>
      <c r="Y614" s="36"/>
      <c r="Z614" s="105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42"/>
      <c r="AO614" s="42"/>
      <c r="AP614" s="36"/>
      <c r="AQ614" s="36"/>
      <c r="AR614" s="42"/>
      <c r="AS614" s="42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</row>
    <row r="615" spans="1:56" ht="15.75" x14ac:dyDescent="0.25">
      <c r="A615" s="44"/>
      <c r="B615" s="36"/>
      <c r="C615" s="36"/>
      <c r="D615" s="36"/>
      <c r="E615" s="36"/>
      <c r="F615" s="36"/>
      <c r="G615" s="36"/>
      <c r="H615" s="36"/>
      <c r="I615" s="36"/>
      <c r="J615" s="105"/>
      <c r="K615" s="36"/>
      <c r="L615" s="36"/>
      <c r="M615" s="36"/>
      <c r="N615" s="105"/>
      <c r="O615" s="36"/>
      <c r="P615" s="36"/>
      <c r="Q615" s="36"/>
      <c r="R615" s="105"/>
      <c r="S615" s="36"/>
      <c r="T615" s="36"/>
      <c r="U615" s="36"/>
      <c r="V615" s="105"/>
      <c r="W615" s="36"/>
      <c r="X615" s="36"/>
      <c r="Y615" s="36"/>
      <c r="Z615" s="105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42"/>
      <c r="AO615" s="42"/>
      <c r="AP615" s="36"/>
      <c r="AQ615" s="36"/>
      <c r="AR615" s="42"/>
      <c r="AS615" s="42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</row>
    <row r="616" spans="1:56" ht="15.75" x14ac:dyDescent="0.25">
      <c r="A616" s="44"/>
      <c r="B616" s="36"/>
      <c r="C616" s="36"/>
      <c r="D616" s="36"/>
      <c r="E616" s="36"/>
      <c r="F616" s="36"/>
      <c r="G616" s="36"/>
      <c r="H616" s="36"/>
      <c r="I616" s="36"/>
      <c r="J616" s="105"/>
      <c r="K616" s="36"/>
      <c r="L616" s="36"/>
      <c r="M616" s="36"/>
      <c r="N616" s="105"/>
      <c r="O616" s="36"/>
      <c r="P616" s="36"/>
      <c r="Q616" s="36"/>
      <c r="R616" s="105"/>
      <c r="S616" s="36"/>
      <c r="T616" s="36"/>
      <c r="U616" s="36"/>
      <c r="V616" s="105"/>
      <c r="W616" s="36"/>
      <c r="X616" s="36"/>
      <c r="Y616" s="36"/>
      <c r="Z616" s="105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42"/>
      <c r="AO616" s="42"/>
      <c r="AP616" s="36"/>
      <c r="AQ616" s="36"/>
      <c r="AR616" s="42"/>
      <c r="AS616" s="42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</row>
    <row r="617" spans="1:56" ht="15.75" x14ac:dyDescent="0.25">
      <c r="A617" s="44"/>
      <c r="B617" s="36"/>
      <c r="C617" s="36"/>
      <c r="D617" s="36"/>
      <c r="E617" s="36"/>
      <c r="F617" s="36"/>
      <c r="G617" s="36"/>
      <c r="H617" s="36"/>
      <c r="I617" s="36"/>
      <c r="J617" s="105"/>
      <c r="K617" s="36"/>
      <c r="L617" s="36"/>
      <c r="M617" s="36"/>
      <c r="N617" s="105"/>
      <c r="O617" s="36"/>
      <c r="P617" s="36"/>
      <c r="Q617" s="36"/>
      <c r="R617" s="105"/>
      <c r="S617" s="36"/>
      <c r="T617" s="36"/>
      <c r="U617" s="36"/>
      <c r="V617" s="105"/>
      <c r="W617" s="36"/>
      <c r="X617" s="36"/>
      <c r="Y617" s="36"/>
      <c r="Z617" s="105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42"/>
      <c r="AO617" s="42"/>
      <c r="AP617" s="36"/>
      <c r="AQ617" s="36"/>
      <c r="AR617" s="42"/>
      <c r="AS617" s="42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</row>
    <row r="618" spans="1:56" ht="15.75" x14ac:dyDescent="0.25">
      <c r="A618" s="44"/>
      <c r="B618" s="36"/>
      <c r="C618" s="36"/>
      <c r="D618" s="36"/>
      <c r="E618" s="36"/>
      <c r="F618" s="36"/>
      <c r="G618" s="36"/>
      <c r="H618" s="36"/>
      <c r="I618" s="36"/>
      <c r="J618" s="105"/>
      <c r="K618" s="36"/>
      <c r="L618" s="36"/>
      <c r="M618" s="36"/>
      <c r="N618" s="105"/>
      <c r="O618" s="36"/>
      <c r="P618" s="36"/>
      <c r="Q618" s="36"/>
      <c r="R618" s="105"/>
      <c r="S618" s="36"/>
      <c r="T618" s="36"/>
      <c r="U618" s="36"/>
      <c r="V618" s="105"/>
      <c r="W618" s="36"/>
      <c r="X618" s="36"/>
      <c r="Y618" s="36"/>
      <c r="Z618" s="105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42"/>
      <c r="AO618" s="42"/>
      <c r="AP618" s="36"/>
      <c r="AQ618" s="36"/>
      <c r="AR618" s="42"/>
      <c r="AS618" s="42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</row>
    <row r="619" spans="1:56" ht="15.75" x14ac:dyDescent="0.25">
      <c r="A619" s="44"/>
      <c r="B619" s="36"/>
      <c r="C619" s="36"/>
      <c r="D619" s="36"/>
      <c r="E619" s="36"/>
      <c r="F619" s="36"/>
      <c r="G619" s="36"/>
      <c r="H619" s="36"/>
      <c r="I619" s="36"/>
      <c r="J619" s="105"/>
      <c r="K619" s="36"/>
      <c r="L619" s="36"/>
      <c r="M619" s="36"/>
      <c r="N619" s="105"/>
      <c r="O619" s="36"/>
      <c r="P619" s="36"/>
      <c r="Q619" s="36"/>
      <c r="R619" s="105"/>
      <c r="S619" s="36"/>
      <c r="T619" s="36"/>
      <c r="U619" s="36"/>
      <c r="V619" s="105"/>
      <c r="W619" s="36"/>
      <c r="X619" s="36"/>
      <c r="Y619" s="36"/>
      <c r="Z619" s="105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42"/>
      <c r="AO619" s="42"/>
      <c r="AP619" s="36"/>
      <c r="AQ619" s="36"/>
      <c r="AR619" s="42"/>
      <c r="AS619" s="42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</row>
    <row r="620" spans="1:56" ht="15.75" x14ac:dyDescent="0.25">
      <c r="A620" s="44"/>
      <c r="B620" s="36"/>
      <c r="C620" s="36"/>
      <c r="D620" s="36"/>
      <c r="E620" s="36"/>
      <c r="F620" s="36"/>
      <c r="G620" s="36"/>
      <c r="H620" s="36"/>
      <c r="I620" s="36"/>
      <c r="J620" s="105"/>
      <c r="K620" s="36"/>
      <c r="L620" s="36"/>
      <c r="M620" s="36"/>
      <c r="N620" s="105"/>
      <c r="O620" s="36"/>
      <c r="P620" s="36"/>
      <c r="Q620" s="36"/>
      <c r="R620" s="105"/>
      <c r="S620" s="36"/>
      <c r="T620" s="36"/>
      <c r="U620" s="36"/>
      <c r="V620" s="105"/>
      <c r="W620" s="36"/>
      <c r="X620" s="36"/>
      <c r="Y620" s="36"/>
      <c r="Z620" s="105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42"/>
      <c r="AO620" s="42"/>
      <c r="AP620" s="36"/>
      <c r="AQ620" s="36"/>
      <c r="AR620" s="42"/>
      <c r="AS620" s="42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</row>
    <row r="621" spans="1:56" ht="15.75" x14ac:dyDescent="0.25">
      <c r="A621" s="44"/>
      <c r="B621" s="36"/>
      <c r="C621" s="36"/>
      <c r="D621" s="36"/>
      <c r="E621" s="36"/>
      <c r="F621" s="36"/>
      <c r="G621" s="36"/>
      <c r="H621" s="36"/>
      <c r="I621" s="36"/>
      <c r="J621" s="105"/>
      <c r="K621" s="36"/>
      <c r="L621" s="36"/>
      <c r="M621" s="36"/>
      <c r="N621" s="105"/>
      <c r="O621" s="36"/>
      <c r="P621" s="36"/>
      <c r="Q621" s="36"/>
      <c r="R621" s="105"/>
      <c r="S621" s="36"/>
      <c r="T621" s="36"/>
      <c r="U621" s="36"/>
      <c r="V621" s="105"/>
      <c r="W621" s="36"/>
      <c r="X621" s="36"/>
      <c r="Y621" s="36"/>
      <c r="Z621" s="105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42"/>
      <c r="AO621" s="42"/>
      <c r="AP621" s="36"/>
      <c r="AQ621" s="36"/>
      <c r="AR621" s="42"/>
      <c r="AS621" s="42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</row>
    <row r="622" spans="1:56" ht="15.75" x14ac:dyDescent="0.25">
      <c r="A622" s="44"/>
      <c r="B622" s="36"/>
      <c r="C622" s="36"/>
      <c r="D622" s="36"/>
      <c r="E622" s="36"/>
      <c r="F622" s="36"/>
      <c r="G622" s="36"/>
      <c r="H622" s="36"/>
      <c r="I622" s="36"/>
      <c r="J622" s="105"/>
      <c r="K622" s="36"/>
      <c r="L622" s="36"/>
      <c r="M622" s="36"/>
      <c r="N622" s="105"/>
      <c r="O622" s="36"/>
      <c r="P622" s="36"/>
      <c r="Q622" s="36"/>
      <c r="R622" s="105"/>
      <c r="S622" s="36"/>
      <c r="T622" s="36"/>
      <c r="U622" s="36"/>
      <c r="V622" s="105"/>
      <c r="W622" s="36"/>
      <c r="X622" s="36"/>
      <c r="Y622" s="36"/>
      <c r="Z622" s="105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42"/>
      <c r="AO622" s="42"/>
      <c r="AP622" s="36"/>
      <c r="AQ622" s="36"/>
      <c r="AR622" s="42"/>
      <c r="AS622" s="42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</row>
    <row r="623" spans="1:56" ht="15.75" x14ac:dyDescent="0.25">
      <c r="A623" s="44"/>
      <c r="B623" s="36"/>
      <c r="C623" s="36"/>
      <c r="D623" s="36"/>
      <c r="E623" s="36"/>
      <c r="F623" s="36"/>
      <c r="G623" s="36"/>
      <c r="H623" s="36"/>
      <c r="I623" s="36"/>
      <c r="J623" s="105"/>
      <c r="K623" s="36"/>
      <c r="L623" s="36"/>
      <c r="M623" s="36"/>
      <c r="N623" s="105"/>
      <c r="O623" s="36"/>
      <c r="P623" s="36"/>
      <c r="Q623" s="36"/>
      <c r="R623" s="105"/>
      <c r="S623" s="36"/>
      <c r="T623" s="36"/>
      <c r="U623" s="36"/>
      <c r="V623" s="105"/>
      <c r="W623" s="36"/>
      <c r="X623" s="36"/>
      <c r="Y623" s="36"/>
      <c r="Z623" s="105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42"/>
      <c r="AO623" s="42"/>
      <c r="AP623" s="36"/>
      <c r="AQ623" s="36"/>
      <c r="AR623" s="42"/>
      <c r="AS623" s="42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</row>
    <row r="624" spans="1:56" ht="15.75" x14ac:dyDescent="0.25">
      <c r="A624" s="44"/>
      <c r="B624" s="36"/>
      <c r="C624" s="36"/>
      <c r="D624" s="36"/>
      <c r="E624" s="36"/>
      <c r="F624" s="36"/>
      <c r="G624" s="36"/>
      <c r="H624" s="36"/>
      <c r="I624" s="36"/>
      <c r="J624" s="105"/>
      <c r="K624" s="36"/>
      <c r="L624" s="36"/>
      <c r="M624" s="36"/>
      <c r="N624" s="105"/>
      <c r="O624" s="36"/>
      <c r="P624" s="36"/>
      <c r="Q624" s="36"/>
      <c r="R624" s="105"/>
      <c r="S624" s="36"/>
      <c r="T624" s="36"/>
      <c r="U624" s="36"/>
      <c r="V624" s="105"/>
      <c r="W624" s="36"/>
      <c r="X624" s="36"/>
      <c r="Y624" s="36"/>
      <c r="Z624" s="105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42"/>
      <c r="AO624" s="42"/>
      <c r="AP624" s="36"/>
      <c r="AQ624" s="36"/>
      <c r="AR624" s="42"/>
      <c r="AS624" s="42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</row>
    <row r="625" spans="1:56" ht="15.75" x14ac:dyDescent="0.25">
      <c r="A625" s="44"/>
      <c r="B625" s="36"/>
      <c r="C625" s="36"/>
      <c r="D625" s="36"/>
      <c r="E625" s="36"/>
      <c r="F625" s="36"/>
      <c r="G625" s="36"/>
      <c r="H625" s="36"/>
      <c r="I625" s="36"/>
      <c r="J625" s="105"/>
      <c r="K625" s="36"/>
      <c r="L625" s="36"/>
      <c r="M625" s="36"/>
      <c r="N625" s="105"/>
      <c r="O625" s="36"/>
      <c r="P625" s="36"/>
      <c r="Q625" s="36"/>
      <c r="R625" s="105"/>
      <c r="S625" s="36"/>
      <c r="T625" s="36"/>
      <c r="U625" s="36"/>
      <c r="V625" s="105"/>
      <c r="W625" s="36"/>
      <c r="X625" s="36"/>
      <c r="Y625" s="36"/>
      <c r="Z625" s="105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42"/>
      <c r="AO625" s="42"/>
      <c r="AP625" s="36"/>
      <c r="AQ625" s="36"/>
      <c r="AR625" s="42"/>
      <c r="AS625" s="42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</row>
    <row r="626" spans="1:56" ht="15.75" x14ac:dyDescent="0.25">
      <c r="A626" s="44"/>
      <c r="B626" s="36"/>
      <c r="C626" s="36"/>
      <c r="D626" s="36"/>
      <c r="E626" s="36"/>
      <c r="F626" s="36"/>
      <c r="G626" s="36"/>
      <c r="H626" s="36"/>
      <c r="I626" s="36"/>
      <c r="J626" s="105"/>
      <c r="K626" s="36"/>
      <c r="L626" s="36"/>
      <c r="M626" s="36"/>
      <c r="N626" s="105"/>
      <c r="O626" s="36"/>
      <c r="P626" s="36"/>
      <c r="Q626" s="36"/>
      <c r="R626" s="105"/>
      <c r="S626" s="36"/>
      <c r="T626" s="36"/>
      <c r="U626" s="36"/>
      <c r="V626" s="105"/>
      <c r="W626" s="36"/>
      <c r="X626" s="36"/>
      <c r="Y626" s="36"/>
      <c r="Z626" s="105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42"/>
      <c r="AO626" s="42"/>
      <c r="AP626" s="36"/>
      <c r="AQ626" s="36"/>
      <c r="AR626" s="42"/>
      <c r="AS626" s="42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</row>
    <row r="627" spans="1:56" ht="15.75" x14ac:dyDescent="0.25">
      <c r="A627" s="44"/>
      <c r="B627" s="36"/>
      <c r="C627" s="36"/>
      <c r="D627" s="36"/>
      <c r="E627" s="36"/>
      <c r="F627" s="36"/>
      <c r="G627" s="36"/>
      <c r="H627" s="36"/>
      <c r="I627" s="36"/>
      <c r="J627" s="105"/>
      <c r="K627" s="36"/>
      <c r="L627" s="36"/>
      <c r="M627" s="36"/>
      <c r="N627" s="105"/>
      <c r="O627" s="36"/>
      <c r="P627" s="36"/>
      <c r="Q627" s="36"/>
      <c r="R627" s="105"/>
      <c r="S627" s="36"/>
      <c r="T627" s="36"/>
      <c r="U627" s="36"/>
      <c r="V627" s="105"/>
      <c r="W627" s="36"/>
      <c r="X627" s="36"/>
      <c r="Y627" s="36"/>
      <c r="Z627" s="105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42"/>
      <c r="AO627" s="42"/>
      <c r="AP627" s="36"/>
      <c r="AQ627" s="36"/>
      <c r="AR627" s="42"/>
      <c r="AS627" s="42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</row>
    <row r="628" spans="1:56" ht="15.75" x14ac:dyDescent="0.25">
      <c r="A628" s="44"/>
      <c r="B628" s="36"/>
      <c r="C628" s="36"/>
      <c r="D628" s="36"/>
      <c r="E628" s="36"/>
      <c r="F628" s="36"/>
      <c r="G628" s="36"/>
      <c r="H628" s="36"/>
      <c r="I628" s="36"/>
      <c r="J628" s="105"/>
      <c r="K628" s="36"/>
      <c r="L628" s="36"/>
      <c r="M628" s="36"/>
      <c r="N628" s="105"/>
      <c r="O628" s="36"/>
      <c r="P628" s="36"/>
      <c r="Q628" s="36"/>
      <c r="R628" s="105"/>
      <c r="S628" s="36"/>
      <c r="T628" s="36"/>
      <c r="U628" s="36"/>
      <c r="V628" s="105"/>
      <c r="W628" s="36"/>
      <c r="X628" s="36"/>
      <c r="Y628" s="36"/>
      <c r="Z628" s="105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42"/>
      <c r="AO628" s="42"/>
      <c r="AP628" s="36"/>
      <c r="AQ628" s="36"/>
      <c r="AR628" s="42"/>
      <c r="AS628" s="42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</row>
    <row r="629" spans="1:56" ht="15.75" x14ac:dyDescent="0.25">
      <c r="A629" s="44"/>
      <c r="B629" s="36"/>
      <c r="C629" s="36"/>
      <c r="D629" s="36"/>
      <c r="E629" s="36"/>
      <c r="F629" s="36"/>
      <c r="G629" s="36"/>
      <c r="H629" s="36"/>
      <c r="I629" s="36"/>
      <c r="J629" s="105"/>
      <c r="K629" s="36"/>
      <c r="L629" s="36"/>
      <c r="M629" s="36"/>
      <c r="N629" s="105"/>
      <c r="O629" s="36"/>
      <c r="P629" s="36"/>
      <c r="Q629" s="36"/>
      <c r="R629" s="105"/>
      <c r="S629" s="36"/>
      <c r="T629" s="36"/>
      <c r="U629" s="36"/>
      <c r="V629" s="105"/>
      <c r="W629" s="36"/>
      <c r="X629" s="36"/>
      <c r="Y629" s="36"/>
      <c r="Z629" s="105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42"/>
      <c r="AO629" s="42"/>
      <c r="AP629" s="36"/>
      <c r="AQ629" s="36"/>
      <c r="AR629" s="42"/>
      <c r="AS629" s="42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</row>
    <row r="630" spans="1:56" ht="15.75" x14ac:dyDescent="0.25">
      <c r="A630" s="44"/>
      <c r="B630" s="36"/>
      <c r="C630" s="36"/>
      <c r="D630" s="36"/>
      <c r="E630" s="36"/>
      <c r="F630" s="36"/>
      <c r="G630" s="36"/>
      <c r="H630" s="36"/>
      <c r="I630" s="36"/>
      <c r="J630" s="105"/>
      <c r="K630" s="36"/>
      <c r="L630" s="36"/>
      <c r="M630" s="36"/>
      <c r="N630" s="105"/>
      <c r="O630" s="36"/>
      <c r="P630" s="36"/>
      <c r="Q630" s="36"/>
      <c r="R630" s="105"/>
      <c r="S630" s="36"/>
      <c r="T630" s="36"/>
      <c r="U630" s="36"/>
      <c r="V630" s="105"/>
      <c r="W630" s="36"/>
      <c r="X630" s="36"/>
      <c r="Y630" s="36"/>
      <c r="Z630" s="105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42"/>
      <c r="AO630" s="42"/>
      <c r="AP630" s="36"/>
      <c r="AQ630" s="36"/>
      <c r="AR630" s="42"/>
      <c r="AS630" s="42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</row>
    <row r="631" spans="1:56" ht="15.75" x14ac:dyDescent="0.25">
      <c r="A631" s="44"/>
      <c r="B631" s="36"/>
      <c r="C631" s="36"/>
      <c r="D631" s="36"/>
      <c r="E631" s="36"/>
      <c r="F631" s="36"/>
      <c r="G631" s="36"/>
      <c r="H631" s="36"/>
      <c r="I631" s="36"/>
      <c r="J631" s="105"/>
      <c r="K631" s="36"/>
      <c r="L631" s="36"/>
      <c r="M631" s="36"/>
      <c r="N631" s="105"/>
      <c r="O631" s="36"/>
      <c r="P631" s="36"/>
      <c r="Q631" s="36"/>
      <c r="R631" s="105"/>
      <c r="S631" s="36"/>
      <c r="T631" s="36"/>
      <c r="U631" s="36"/>
      <c r="V631" s="105"/>
      <c r="W631" s="36"/>
      <c r="X631" s="36"/>
      <c r="Y631" s="36"/>
      <c r="Z631" s="105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42"/>
      <c r="AO631" s="42"/>
      <c r="AP631" s="36"/>
      <c r="AQ631" s="36"/>
      <c r="AR631" s="42"/>
      <c r="AS631" s="42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</row>
    <row r="632" spans="1:56" ht="15.75" x14ac:dyDescent="0.25">
      <c r="A632" s="44"/>
      <c r="B632" s="36"/>
      <c r="C632" s="36"/>
      <c r="D632" s="36"/>
      <c r="E632" s="36"/>
      <c r="F632" s="36"/>
      <c r="G632" s="36"/>
      <c r="H632" s="36"/>
      <c r="I632" s="36"/>
      <c r="J632" s="105"/>
      <c r="K632" s="36"/>
      <c r="L632" s="36"/>
      <c r="M632" s="36"/>
      <c r="N632" s="105"/>
      <c r="O632" s="36"/>
      <c r="P632" s="36"/>
      <c r="Q632" s="36"/>
      <c r="R632" s="105"/>
      <c r="S632" s="36"/>
      <c r="T632" s="36"/>
      <c r="U632" s="36"/>
      <c r="V632" s="105"/>
      <c r="W632" s="36"/>
      <c r="X632" s="36"/>
      <c r="Y632" s="36"/>
      <c r="Z632" s="105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42"/>
      <c r="AO632" s="42"/>
      <c r="AP632" s="36"/>
      <c r="AQ632" s="36"/>
      <c r="AR632" s="42"/>
      <c r="AS632" s="42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</row>
    <row r="633" spans="1:56" ht="15.75" x14ac:dyDescent="0.25">
      <c r="A633" s="44"/>
      <c r="B633" s="36"/>
      <c r="C633" s="36"/>
      <c r="D633" s="36"/>
      <c r="E633" s="36"/>
      <c r="F633" s="36"/>
      <c r="G633" s="36"/>
      <c r="H633" s="36"/>
      <c r="I633" s="36"/>
      <c r="J633" s="105"/>
      <c r="K633" s="36"/>
      <c r="L633" s="36"/>
      <c r="M633" s="36"/>
      <c r="N633" s="105"/>
      <c r="O633" s="36"/>
      <c r="P633" s="36"/>
      <c r="Q633" s="36"/>
      <c r="R633" s="105"/>
      <c r="S633" s="36"/>
      <c r="T633" s="36"/>
      <c r="U633" s="36"/>
      <c r="V633" s="105"/>
      <c r="W633" s="36"/>
      <c r="X633" s="36"/>
      <c r="Y633" s="36"/>
      <c r="Z633" s="105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42"/>
      <c r="AO633" s="42"/>
      <c r="AP633" s="36"/>
      <c r="AQ633" s="36"/>
      <c r="AR633" s="42"/>
      <c r="AS633" s="42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</row>
    <row r="634" spans="1:56" ht="15.75" x14ac:dyDescent="0.25">
      <c r="A634" s="44"/>
      <c r="B634" s="36"/>
      <c r="C634" s="36"/>
      <c r="D634" s="36"/>
      <c r="E634" s="36"/>
      <c r="F634" s="36"/>
      <c r="G634" s="36"/>
      <c r="H634" s="36"/>
      <c r="I634" s="36"/>
      <c r="J634" s="105"/>
      <c r="K634" s="36"/>
      <c r="L634" s="36"/>
      <c r="M634" s="36"/>
      <c r="N634" s="105"/>
      <c r="O634" s="36"/>
      <c r="P634" s="36"/>
      <c r="Q634" s="36"/>
      <c r="R634" s="105"/>
      <c r="S634" s="36"/>
      <c r="T634" s="36"/>
      <c r="U634" s="36"/>
      <c r="V634" s="105"/>
      <c r="W634" s="36"/>
      <c r="X634" s="36"/>
      <c r="Y634" s="36"/>
      <c r="Z634" s="105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42"/>
      <c r="AO634" s="42"/>
      <c r="AP634" s="36"/>
      <c r="AQ634" s="36"/>
      <c r="AR634" s="42"/>
      <c r="AS634" s="42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</row>
    <row r="635" spans="1:56" ht="15.75" x14ac:dyDescent="0.25">
      <c r="A635" s="44"/>
      <c r="B635" s="36"/>
      <c r="C635" s="36"/>
      <c r="D635" s="36"/>
      <c r="E635" s="36"/>
      <c r="F635" s="36"/>
      <c r="G635" s="36"/>
      <c r="H635" s="36"/>
      <c r="I635" s="36"/>
      <c r="J635" s="105"/>
      <c r="K635" s="36"/>
      <c r="L635" s="36"/>
      <c r="M635" s="36"/>
      <c r="N635" s="105"/>
      <c r="O635" s="36"/>
      <c r="P635" s="36"/>
      <c r="Q635" s="36"/>
      <c r="R635" s="105"/>
      <c r="S635" s="36"/>
      <c r="T635" s="36"/>
      <c r="U635" s="36"/>
      <c r="V635" s="105"/>
      <c r="W635" s="36"/>
      <c r="X635" s="36"/>
      <c r="Y635" s="36"/>
      <c r="Z635" s="105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42"/>
      <c r="AO635" s="42"/>
      <c r="AP635" s="36"/>
      <c r="AQ635" s="36"/>
      <c r="AR635" s="42"/>
      <c r="AS635" s="42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</row>
    <row r="636" spans="1:56" ht="15.75" x14ac:dyDescent="0.25">
      <c r="A636" s="44"/>
      <c r="B636" s="36"/>
      <c r="C636" s="36"/>
      <c r="D636" s="36"/>
      <c r="E636" s="36"/>
      <c r="F636" s="36"/>
      <c r="G636" s="36"/>
      <c r="H636" s="36"/>
      <c r="I636" s="36"/>
      <c r="J636" s="105"/>
      <c r="K636" s="36"/>
      <c r="L636" s="36"/>
      <c r="M636" s="36"/>
      <c r="N636" s="105"/>
      <c r="O636" s="36"/>
      <c r="P636" s="36"/>
      <c r="Q636" s="36"/>
      <c r="R636" s="105"/>
      <c r="S636" s="36"/>
      <c r="T636" s="36"/>
      <c r="U636" s="36"/>
      <c r="V636" s="105"/>
      <c r="W636" s="36"/>
      <c r="X636" s="36"/>
      <c r="Y636" s="36"/>
      <c r="Z636" s="105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42"/>
      <c r="AO636" s="42"/>
      <c r="AP636" s="36"/>
      <c r="AQ636" s="36"/>
      <c r="AR636" s="42"/>
      <c r="AS636" s="42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</row>
    <row r="637" spans="1:56" ht="15.75" x14ac:dyDescent="0.25">
      <c r="A637" s="44"/>
      <c r="B637" s="36"/>
      <c r="C637" s="36"/>
      <c r="D637" s="36"/>
      <c r="E637" s="36"/>
      <c r="F637" s="36"/>
      <c r="G637" s="36"/>
      <c r="H637" s="36"/>
      <c r="I637" s="36"/>
      <c r="J637" s="105"/>
      <c r="K637" s="36"/>
      <c r="L637" s="36"/>
      <c r="M637" s="36"/>
      <c r="N637" s="105"/>
      <c r="O637" s="36"/>
      <c r="P637" s="36"/>
      <c r="Q637" s="36"/>
      <c r="R637" s="105"/>
      <c r="S637" s="36"/>
      <c r="T637" s="36"/>
      <c r="U637" s="36"/>
      <c r="V637" s="105"/>
      <c r="W637" s="36"/>
      <c r="X637" s="36"/>
      <c r="Y637" s="36"/>
      <c r="Z637" s="105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42"/>
      <c r="AO637" s="42"/>
      <c r="AP637" s="36"/>
      <c r="AQ637" s="36"/>
      <c r="AR637" s="42"/>
      <c r="AS637" s="42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</row>
    <row r="638" spans="1:56" ht="15.75" x14ac:dyDescent="0.25">
      <c r="A638" s="44"/>
      <c r="B638" s="36"/>
      <c r="C638" s="36"/>
      <c r="D638" s="36"/>
      <c r="E638" s="36"/>
      <c r="F638" s="36"/>
      <c r="G638" s="36"/>
      <c r="H638" s="36"/>
      <c r="I638" s="36"/>
      <c r="J638" s="105"/>
      <c r="K638" s="36"/>
      <c r="L638" s="36"/>
      <c r="M638" s="36"/>
      <c r="N638" s="105"/>
      <c r="O638" s="36"/>
      <c r="P638" s="36"/>
      <c r="Q638" s="36"/>
      <c r="R638" s="105"/>
      <c r="S638" s="36"/>
      <c r="T638" s="36"/>
      <c r="U638" s="36"/>
      <c r="V638" s="105"/>
      <c r="W638" s="36"/>
      <c r="X638" s="36"/>
      <c r="Y638" s="36"/>
      <c r="Z638" s="105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42"/>
      <c r="AO638" s="42"/>
      <c r="AP638" s="36"/>
      <c r="AQ638" s="36"/>
      <c r="AR638" s="42"/>
      <c r="AS638" s="42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</row>
    <row r="639" spans="1:56" ht="15.75" x14ac:dyDescent="0.25">
      <c r="A639" s="44"/>
      <c r="B639" s="36"/>
      <c r="C639" s="36"/>
      <c r="D639" s="36"/>
      <c r="E639" s="36"/>
      <c r="F639" s="36"/>
      <c r="G639" s="36"/>
      <c r="H639" s="36"/>
      <c r="I639" s="36"/>
      <c r="J639" s="105"/>
      <c r="K639" s="36"/>
      <c r="L639" s="36"/>
      <c r="M639" s="36"/>
      <c r="N639" s="105"/>
      <c r="O639" s="36"/>
      <c r="P639" s="36"/>
      <c r="Q639" s="36"/>
      <c r="R639" s="105"/>
      <c r="S639" s="36"/>
      <c r="T639" s="36"/>
      <c r="U639" s="36"/>
      <c r="V639" s="105"/>
      <c r="W639" s="36"/>
      <c r="X639" s="36"/>
      <c r="Y639" s="36"/>
      <c r="Z639" s="105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42"/>
      <c r="AO639" s="42"/>
      <c r="AP639" s="36"/>
      <c r="AQ639" s="36"/>
      <c r="AR639" s="42"/>
      <c r="AS639" s="42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</row>
    <row r="640" spans="1:56" ht="15.75" x14ac:dyDescent="0.25">
      <c r="A640" s="44"/>
      <c r="B640" s="36"/>
      <c r="C640" s="36"/>
      <c r="D640" s="36"/>
      <c r="E640" s="36"/>
      <c r="F640" s="36"/>
      <c r="G640" s="36"/>
      <c r="H640" s="36"/>
      <c r="I640" s="36"/>
      <c r="J640" s="105"/>
      <c r="K640" s="36"/>
      <c r="L640" s="36"/>
      <c r="M640" s="36"/>
      <c r="N640" s="105"/>
      <c r="O640" s="36"/>
      <c r="P640" s="36"/>
      <c r="Q640" s="36"/>
      <c r="R640" s="105"/>
      <c r="S640" s="36"/>
      <c r="T640" s="36"/>
      <c r="U640" s="36"/>
      <c r="V640" s="105"/>
      <c r="W640" s="36"/>
      <c r="X640" s="36"/>
      <c r="Y640" s="36"/>
      <c r="Z640" s="105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42"/>
      <c r="AO640" s="42"/>
      <c r="AP640" s="36"/>
      <c r="AQ640" s="36"/>
      <c r="AR640" s="42"/>
      <c r="AS640" s="42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</row>
    <row r="641" spans="1:56" ht="15.75" x14ac:dyDescent="0.25">
      <c r="A641" s="44"/>
      <c r="B641" s="36"/>
      <c r="C641" s="36"/>
      <c r="D641" s="36"/>
      <c r="E641" s="36"/>
      <c r="F641" s="36"/>
      <c r="G641" s="36"/>
      <c r="H641" s="36"/>
      <c r="I641" s="36"/>
      <c r="J641" s="105"/>
      <c r="K641" s="36"/>
      <c r="L641" s="36"/>
      <c r="M641" s="36"/>
      <c r="N641" s="105"/>
      <c r="O641" s="36"/>
      <c r="P641" s="36"/>
      <c r="Q641" s="36"/>
      <c r="R641" s="105"/>
      <c r="S641" s="36"/>
      <c r="T641" s="36"/>
      <c r="U641" s="36"/>
      <c r="V641" s="105"/>
      <c r="W641" s="36"/>
      <c r="X641" s="36"/>
      <c r="Y641" s="36"/>
      <c r="Z641" s="105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42"/>
      <c r="AO641" s="42"/>
      <c r="AP641" s="36"/>
      <c r="AQ641" s="36"/>
      <c r="AR641" s="42"/>
      <c r="AS641" s="42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</row>
    <row r="642" spans="1:56" ht="15.75" x14ac:dyDescent="0.25">
      <c r="A642" s="44"/>
      <c r="B642" s="36"/>
      <c r="C642" s="36"/>
      <c r="D642" s="36"/>
      <c r="E642" s="36"/>
      <c r="F642" s="36"/>
      <c r="G642" s="36"/>
      <c r="H642" s="36"/>
      <c r="I642" s="36"/>
      <c r="J642" s="105"/>
      <c r="K642" s="36"/>
      <c r="L642" s="36"/>
      <c r="M642" s="36"/>
      <c r="N642" s="105"/>
      <c r="O642" s="36"/>
      <c r="P642" s="36"/>
      <c r="Q642" s="36"/>
      <c r="R642" s="105"/>
      <c r="S642" s="36"/>
      <c r="T642" s="36"/>
      <c r="U642" s="36"/>
      <c r="V642" s="105"/>
      <c r="W642" s="36"/>
      <c r="X642" s="36"/>
      <c r="Y642" s="36"/>
      <c r="Z642" s="105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42"/>
      <c r="AO642" s="42"/>
      <c r="AP642" s="36"/>
      <c r="AQ642" s="36"/>
      <c r="AR642" s="42"/>
      <c r="AS642" s="42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</row>
    <row r="643" spans="1:56" ht="15.75" x14ac:dyDescent="0.25">
      <c r="A643" s="44"/>
      <c r="B643" s="36"/>
      <c r="C643" s="36"/>
      <c r="D643" s="36"/>
      <c r="E643" s="36"/>
      <c r="F643" s="36"/>
      <c r="G643" s="36"/>
      <c r="H643" s="36"/>
      <c r="I643" s="36"/>
      <c r="J643" s="105"/>
      <c r="K643" s="36"/>
      <c r="L643" s="36"/>
      <c r="M643" s="36"/>
      <c r="N643" s="105"/>
      <c r="O643" s="36"/>
      <c r="P643" s="36"/>
      <c r="Q643" s="36"/>
      <c r="R643" s="105"/>
      <c r="S643" s="36"/>
      <c r="T643" s="36"/>
      <c r="U643" s="36"/>
      <c r="V643" s="105"/>
      <c r="W643" s="36"/>
      <c r="X643" s="36"/>
      <c r="Y643" s="36"/>
      <c r="Z643" s="105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42"/>
      <c r="AO643" s="42"/>
      <c r="AP643" s="36"/>
      <c r="AQ643" s="36"/>
      <c r="AR643" s="42"/>
      <c r="AS643" s="42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</row>
    <row r="644" spans="1:56" ht="15.75" x14ac:dyDescent="0.25">
      <c r="A644" s="44"/>
      <c r="B644" s="36"/>
      <c r="C644" s="36"/>
      <c r="D644" s="36"/>
      <c r="E644" s="36"/>
      <c r="F644" s="36"/>
      <c r="G644" s="36"/>
      <c r="H644" s="36"/>
      <c r="I644" s="36"/>
      <c r="J644" s="105"/>
      <c r="K644" s="36"/>
      <c r="L644" s="36"/>
      <c r="M644" s="36"/>
      <c r="N644" s="105"/>
      <c r="O644" s="36"/>
      <c r="P644" s="36"/>
      <c r="Q644" s="36"/>
      <c r="R644" s="105"/>
      <c r="S644" s="36"/>
      <c r="T644" s="36"/>
      <c r="U644" s="36"/>
      <c r="V644" s="105"/>
      <c r="W644" s="36"/>
      <c r="X644" s="36"/>
      <c r="Y644" s="36"/>
      <c r="Z644" s="105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42"/>
      <c r="AO644" s="42"/>
      <c r="AP644" s="36"/>
      <c r="AQ644" s="36"/>
      <c r="AR644" s="42"/>
      <c r="AS644" s="42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</row>
    <row r="645" spans="1:56" ht="15.75" x14ac:dyDescent="0.25">
      <c r="A645" s="44"/>
      <c r="B645" s="36"/>
      <c r="C645" s="36"/>
      <c r="D645" s="36"/>
      <c r="E645" s="36"/>
      <c r="F645" s="36"/>
      <c r="G645" s="36"/>
      <c r="H645" s="36"/>
      <c r="I645" s="36"/>
      <c r="J645" s="105"/>
      <c r="K645" s="36"/>
      <c r="L645" s="36"/>
      <c r="M645" s="36"/>
      <c r="N645" s="105"/>
      <c r="O645" s="36"/>
      <c r="P645" s="36"/>
      <c r="Q645" s="36"/>
      <c r="R645" s="105"/>
      <c r="S645" s="36"/>
      <c r="T645" s="36"/>
      <c r="U645" s="36"/>
      <c r="V645" s="105"/>
      <c r="W645" s="36"/>
      <c r="X645" s="36"/>
      <c r="Y645" s="36"/>
      <c r="Z645" s="105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42"/>
      <c r="AO645" s="42"/>
      <c r="AP645" s="36"/>
      <c r="AQ645" s="36"/>
      <c r="AR645" s="42"/>
      <c r="AS645" s="42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</row>
    <row r="646" spans="1:56" ht="15.75" x14ac:dyDescent="0.25">
      <c r="A646" s="44"/>
      <c r="B646" s="36"/>
      <c r="C646" s="36"/>
      <c r="D646" s="36"/>
      <c r="E646" s="36"/>
      <c r="F646" s="36"/>
      <c r="G646" s="36"/>
      <c r="H646" s="36"/>
      <c r="I646" s="36"/>
      <c r="J646" s="105"/>
      <c r="K646" s="36"/>
      <c r="L646" s="36"/>
      <c r="M646" s="36"/>
      <c r="N646" s="105"/>
      <c r="O646" s="36"/>
      <c r="P646" s="36"/>
      <c r="Q646" s="36"/>
      <c r="R646" s="105"/>
      <c r="S646" s="36"/>
      <c r="T646" s="36"/>
      <c r="U646" s="36"/>
      <c r="V646" s="105"/>
      <c r="W646" s="36"/>
      <c r="X646" s="36"/>
      <c r="Y646" s="36"/>
      <c r="Z646" s="105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42"/>
      <c r="AO646" s="42"/>
      <c r="AP646" s="36"/>
      <c r="AQ646" s="36"/>
      <c r="AR646" s="42"/>
      <c r="AS646" s="42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</row>
    <row r="647" spans="1:56" ht="15.75" x14ac:dyDescent="0.25">
      <c r="A647" s="44"/>
      <c r="B647" s="36"/>
      <c r="C647" s="36"/>
      <c r="D647" s="36"/>
      <c r="E647" s="36"/>
      <c r="F647" s="36"/>
      <c r="G647" s="36"/>
      <c r="H647" s="36"/>
      <c r="I647" s="36"/>
      <c r="J647" s="105"/>
      <c r="K647" s="36"/>
      <c r="L647" s="36"/>
      <c r="M647" s="36"/>
      <c r="N647" s="105"/>
      <c r="O647" s="36"/>
      <c r="P647" s="36"/>
      <c r="Q647" s="36"/>
      <c r="R647" s="105"/>
      <c r="S647" s="36"/>
      <c r="T647" s="36"/>
      <c r="U647" s="36"/>
      <c r="V647" s="105"/>
      <c r="W647" s="36"/>
      <c r="X647" s="36"/>
      <c r="Y647" s="36"/>
      <c r="Z647" s="105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42"/>
      <c r="AO647" s="42"/>
      <c r="AP647" s="36"/>
      <c r="AQ647" s="36"/>
      <c r="AR647" s="42"/>
      <c r="AS647" s="42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</row>
    <row r="648" spans="1:56" ht="15.75" x14ac:dyDescent="0.25">
      <c r="A648" s="44"/>
      <c r="B648" s="36"/>
      <c r="C648" s="36"/>
      <c r="D648" s="36"/>
      <c r="E648" s="36"/>
      <c r="F648" s="36"/>
      <c r="G648" s="36"/>
      <c r="H648" s="36"/>
      <c r="I648" s="36"/>
      <c r="J648" s="105"/>
      <c r="K648" s="36"/>
      <c r="L648" s="36"/>
      <c r="M648" s="36"/>
      <c r="N648" s="105"/>
      <c r="O648" s="36"/>
      <c r="P648" s="36"/>
      <c r="Q648" s="36"/>
      <c r="R648" s="105"/>
      <c r="S648" s="36"/>
      <c r="T648" s="36"/>
      <c r="U648" s="36"/>
      <c r="V648" s="105"/>
      <c r="W648" s="36"/>
      <c r="X648" s="36"/>
      <c r="Y648" s="36"/>
      <c r="Z648" s="105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42"/>
      <c r="AO648" s="42"/>
      <c r="AP648" s="36"/>
      <c r="AQ648" s="36"/>
      <c r="AR648" s="42"/>
      <c r="AS648" s="42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</row>
    <row r="649" spans="1:56" ht="15.75" x14ac:dyDescent="0.25">
      <c r="A649" s="44"/>
      <c r="B649" s="36"/>
      <c r="C649" s="36"/>
      <c r="D649" s="36"/>
      <c r="E649" s="36"/>
      <c r="F649" s="36"/>
      <c r="G649" s="36"/>
      <c r="H649" s="36"/>
      <c r="I649" s="36"/>
      <c r="J649" s="105"/>
      <c r="K649" s="36"/>
      <c r="L649" s="36"/>
      <c r="M649" s="36"/>
      <c r="N649" s="105"/>
      <c r="O649" s="36"/>
      <c r="P649" s="36"/>
      <c r="Q649" s="36"/>
      <c r="R649" s="105"/>
      <c r="S649" s="36"/>
      <c r="T649" s="36"/>
      <c r="U649" s="36"/>
      <c r="V649" s="105"/>
      <c r="W649" s="36"/>
      <c r="X649" s="36"/>
      <c r="Y649" s="36"/>
      <c r="Z649" s="105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42"/>
      <c r="AO649" s="42"/>
      <c r="AP649" s="36"/>
      <c r="AQ649" s="36"/>
      <c r="AR649" s="42"/>
      <c r="AS649" s="42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</row>
    <row r="650" spans="1:56" ht="15.75" x14ac:dyDescent="0.25">
      <c r="A650" s="44"/>
      <c r="B650" s="36"/>
      <c r="C650" s="36"/>
      <c r="D650" s="36"/>
      <c r="E650" s="36"/>
      <c r="F650" s="36"/>
      <c r="G650" s="36"/>
      <c r="H650" s="36"/>
      <c r="I650" s="36"/>
      <c r="J650" s="105"/>
      <c r="K650" s="36"/>
      <c r="L650" s="36"/>
      <c r="M650" s="36"/>
      <c r="N650" s="105"/>
      <c r="O650" s="36"/>
      <c r="P650" s="36"/>
      <c r="Q650" s="36"/>
      <c r="R650" s="105"/>
      <c r="S650" s="36"/>
      <c r="T650" s="36"/>
      <c r="U650" s="36"/>
      <c r="V650" s="105"/>
      <c r="W650" s="36"/>
      <c r="X650" s="36"/>
      <c r="Y650" s="36"/>
      <c r="Z650" s="105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42"/>
      <c r="AO650" s="42"/>
      <c r="AP650" s="36"/>
      <c r="AQ650" s="36"/>
      <c r="AR650" s="42"/>
      <c r="AS650" s="42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</row>
    <row r="651" spans="1:56" ht="15.75" x14ac:dyDescent="0.25">
      <c r="A651" s="44"/>
      <c r="B651" s="36"/>
      <c r="C651" s="36"/>
      <c r="D651" s="36"/>
      <c r="E651" s="36"/>
      <c r="F651" s="36"/>
      <c r="G651" s="36"/>
      <c r="H651" s="36"/>
      <c r="I651" s="36"/>
      <c r="J651" s="105"/>
      <c r="K651" s="36"/>
      <c r="L651" s="36"/>
      <c r="M651" s="36"/>
      <c r="N651" s="105"/>
      <c r="O651" s="36"/>
      <c r="P651" s="36"/>
      <c r="Q651" s="36"/>
      <c r="R651" s="105"/>
      <c r="S651" s="36"/>
      <c r="T651" s="36"/>
      <c r="U651" s="36"/>
      <c r="V651" s="105"/>
      <c r="W651" s="36"/>
      <c r="X651" s="36"/>
      <c r="Y651" s="36"/>
      <c r="Z651" s="105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42"/>
      <c r="AO651" s="42"/>
      <c r="AP651" s="36"/>
      <c r="AQ651" s="36"/>
      <c r="AR651" s="42"/>
      <c r="AS651" s="42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</row>
    <row r="652" spans="1:56" ht="15.75" x14ac:dyDescent="0.25">
      <c r="A652" s="44"/>
      <c r="B652" s="36"/>
      <c r="C652" s="36"/>
      <c r="D652" s="36"/>
      <c r="E652" s="36"/>
      <c r="F652" s="36"/>
      <c r="G652" s="36"/>
      <c r="H652" s="36"/>
      <c r="I652" s="36"/>
      <c r="J652" s="105"/>
      <c r="K652" s="36"/>
      <c r="L652" s="36"/>
      <c r="M652" s="36"/>
      <c r="N652" s="105"/>
      <c r="O652" s="36"/>
      <c r="P652" s="36"/>
      <c r="Q652" s="36"/>
      <c r="R652" s="105"/>
      <c r="S652" s="36"/>
      <c r="T652" s="36"/>
      <c r="U652" s="36"/>
      <c r="V652" s="105"/>
      <c r="W652" s="36"/>
      <c r="X652" s="36"/>
      <c r="Y652" s="36"/>
      <c r="Z652" s="105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42"/>
      <c r="AO652" s="42"/>
      <c r="AP652" s="36"/>
      <c r="AQ652" s="36"/>
      <c r="AR652" s="42"/>
      <c r="AS652" s="42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</row>
    <row r="653" spans="1:56" ht="15.75" x14ac:dyDescent="0.25">
      <c r="A653" s="44"/>
      <c r="B653" s="36"/>
      <c r="C653" s="36"/>
      <c r="D653" s="36"/>
      <c r="E653" s="36"/>
      <c r="F653" s="36"/>
      <c r="G653" s="36"/>
      <c r="H653" s="36"/>
      <c r="I653" s="36"/>
      <c r="J653" s="105"/>
      <c r="K653" s="36"/>
      <c r="L653" s="36"/>
      <c r="M653" s="36"/>
      <c r="N653" s="105"/>
      <c r="O653" s="36"/>
      <c r="P653" s="36"/>
      <c r="Q653" s="36"/>
      <c r="R653" s="105"/>
      <c r="S653" s="36"/>
      <c r="T653" s="36"/>
      <c r="U653" s="36"/>
      <c r="V653" s="105"/>
      <c r="W653" s="36"/>
      <c r="X653" s="36"/>
      <c r="Y653" s="36"/>
      <c r="Z653" s="105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42"/>
      <c r="AO653" s="42"/>
      <c r="AP653" s="36"/>
      <c r="AQ653" s="36"/>
      <c r="AR653" s="42"/>
      <c r="AS653" s="42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</row>
    <row r="654" spans="1:56" ht="15.75" x14ac:dyDescent="0.25">
      <c r="A654" s="44"/>
      <c r="B654" s="36"/>
      <c r="C654" s="36"/>
      <c r="D654" s="36"/>
      <c r="E654" s="36"/>
      <c r="F654" s="36"/>
      <c r="G654" s="36"/>
      <c r="H654" s="36"/>
      <c r="I654" s="36"/>
      <c r="J654" s="105"/>
      <c r="K654" s="36"/>
      <c r="L654" s="36"/>
      <c r="M654" s="36"/>
      <c r="N654" s="105"/>
      <c r="O654" s="36"/>
      <c r="P654" s="36"/>
      <c r="Q654" s="36"/>
      <c r="R654" s="105"/>
      <c r="S654" s="36"/>
      <c r="T654" s="36"/>
      <c r="U654" s="36"/>
      <c r="V654" s="105"/>
      <c r="W654" s="36"/>
      <c r="X654" s="36"/>
      <c r="Y654" s="36"/>
      <c r="Z654" s="105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42"/>
      <c r="AO654" s="42"/>
      <c r="AP654" s="36"/>
      <c r="AQ654" s="36"/>
      <c r="AR654" s="42"/>
      <c r="AS654" s="42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</row>
    <row r="655" spans="1:56" ht="15.75" x14ac:dyDescent="0.25">
      <c r="A655" s="44"/>
      <c r="B655" s="36"/>
      <c r="C655" s="36"/>
      <c r="D655" s="36"/>
      <c r="E655" s="36"/>
      <c r="F655" s="36"/>
      <c r="G655" s="36"/>
      <c r="H655" s="36"/>
      <c r="I655" s="36"/>
      <c r="J655" s="105"/>
      <c r="K655" s="36"/>
      <c r="L655" s="36"/>
      <c r="M655" s="36"/>
      <c r="N655" s="105"/>
      <c r="O655" s="36"/>
      <c r="P655" s="36"/>
      <c r="Q655" s="36"/>
      <c r="R655" s="105"/>
      <c r="S655" s="36"/>
      <c r="T655" s="36"/>
      <c r="U655" s="36"/>
      <c r="V655" s="105"/>
      <c r="W655" s="36"/>
      <c r="X655" s="36"/>
      <c r="Y655" s="36"/>
      <c r="Z655" s="105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42"/>
      <c r="AO655" s="42"/>
      <c r="AP655" s="36"/>
      <c r="AQ655" s="36"/>
      <c r="AR655" s="42"/>
      <c r="AS655" s="42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</row>
    <row r="656" spans="1:56" ht="15.75" x14ac:dyDescent="0.25">
      <c r="A656" s="44"/>
      <c r="B656" s="36"/>
      <c r="C656" s="36"/>
      <c r="D656" s="36"/>
      <c r="E656" s="36"/>
      <c r="F656" s="36"/>
      <c r="G656" s="36"/>
      <c r="H656" s="36"/>
      <c r="I656" s="36"/>
      <c r="J656" s="105"/>
      <c r="K656" s="36"/>
      <c r="L656" s="36"/>
      <c r="M656" s="36"/>
      <c r="N656" s="105"/>
      <c r="O656" s="36"/>
      <c r="P656" s="36"/>
      <c r="Q656" s="36"/>
      <c r="R656" s="105"/>
      <c r="S656" s="36"/>
      <c r="T656" s="36"/>
      <c r="U656" s="36"/>
      <c r="V656" s="105"/>
      <c r="W656" s="36"/>
      <c r="X656" s="36"/>
      <c r="Y656" s="36"/>
      <c r="Z656" s="105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42"/>
      <c r="AO656" s="42"/>
      <c r="AP656" s="36"/>
      <c r="AQ656" s="36"/>
      <c r="AR656" s="42"/>
      <c r="AS656" s="42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</row>
    <row r="657" spans="1:56" ht="15.75" x14ac:dyDescent="0.25">
      <c r="A657" s="44"/>
      <c r="B657" s="36"/>
      <c r="C657" s="36"/>
      <c r="D657" s="36"/>
      <c r="E657" s="36"/>
      <c r="F657" s="36"/>
      <c r="G657" s="36"/>
      <c r="H657" s="36"/>
      <c r="I657" s="36"/>
      <c r="J657" s="105"/>
      <c r="K657" s="36"/>
      <c r="L657" s="36"/>
      <c r="M657" s="36"/>
      <c r="N657" s="105"/>
      <c r="O657" s="36"/>
      <c r="P657" s="36"/>
      <c r="Q657" s="36"/>
      <c r="R657" s="105"/>
      <c r="S657" s="36"/>
      <c r="T657" s="36"/>
      <c r="U657" s="36"/>
      <c r="V657" s="105"/>
      <c r="W657" s="36"/>
      <c r="X657" s="36"/>
      <c r="Y657" s="36"/>
      <c r="Z657" s="105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42"/>
      <c r="AO657" s="42"/>
      <c r="AP657" s="36"/>
      <c r="AQ657" s="36"/>
      <c r="AR657" s="42"/>
      <c r="AS657" s="42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</row>
    <row r="658" spans="1:56" ht="15.75" x14ac:dyDescent="0.25">
      <c r="A658" s="44"/>
      <c r="B658" s="36"/>
      <c r="C658" s="36"/>
      <c r="D658" s="36"/>
      <c r="E658" s="36"/>
      <c r="F658" s="36"/>
      <c r="G658" s="36"/>
      <c r="H658" s="36"/>
      <c r="I658" s="36"/>
      <c r="J658" s="105"/>
      <c r="K658" s="36"/>
      <c r="L658" s="36"/>
      <c r="M658" s="36"/>
      <c r="N658" s="105"/>
      <c r="O658" s="36"/>
      <c r="P658" s="36"/>
      <c r="Q658" s="36"/>
      <c r="R658" s="105"/>
      <c r="S658" s="36"/>
      <c r="T658" s="36"/>
      <c r="U658" s="36"/>
      <c r="V658" s="105"/>
      <c r="W658" s="36"/>
      <c r="X658" s="36"/>
      <c r="Y658" s="36"/>
      <c r="Z658" s="105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42"/>
      <c r="AO658" s="42"/>
      <c r="AP658" s="36"/>
      <c r="AQ658" s="36"/>
      <c r="AR658" s="42"/>
      <c r="AS658" s="42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</row>
    <row r="659" spans="1:56" ht="15.75" x14ac:dyDescent="0.25">
      <c r="A659" s="44"/>
      <c r="B659" s="36"/>
      <c r="C659" s="36"/>
      <c r="D659" s="36"/>
      <c r="E659" s="36"/>
      <c r="F659" s="36"/>
      <c r="G659" s="36"/>
      <c r="H659" s="36"/>
      <c r="I659" s="36"/>
      <c r="J659" s="105"/>
      <c r="K659" s="36"/>
      <c r="L659" s="36"/>
      <c r="M659" s="36"/>
      <c r="N659" s="105"/>
      <c r="O659" s="36"/>
      <c r="P659" s="36"/>
      <c r="Q659" s="36"/>
      <c r="R659" s="105"/>
      <c r="S659" s="36"/>
      <c r="T659" s="36"/>
      <c r="U659" s="36"/>
      <c r="V659" s="105"/>
      <c r="W659" s="36"/>
      <c r="X659" s="36"/>
      <c r="Y659" s="36"/>
      <c r="Z659" s="105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42"/>
      <c r="AO659" s="42"/>
      <c r="AP659" s="36"/>
      <c r="AQ659" s="36"/>
      <c r="AR659" s="42"/>
      <c r="AS659" s="42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</row>
    <row r="660" spans="1:56" ht="15.75" x14ac:dyDescent="0.25">
      <c r="A660" s="44"/>
      <c r="B660" s="36"/>
      <c r="C660" s="36"/>
      <c r="D660" s="36"/>
      <c r="E660" s="36"/>
      <c r="F660" s="36"/>
      <c r="G660" s="36"/>
      <c r="H660" s="36"/>
      <c r="I660" s="36"/>
      <c r="J660" s="105"/>
      <c r="K660" s="36"/>
      <c r="L660" s="36"/>
      <c r="M660" s="36"/>
      <c r="N660" s="105"/>
      <c r="O660" s="36"/>
      <c r="P660" s="36"/>
      <c r="Q660" s="36"/>
      <c r="R660" s="105"/>
      <c r="S660" s="36"/>
      <c r="T660" s="36"/>
      <c r="U660" s="36"/>
      <c r="V660" s="105"/>
      <c r="W660" s="36"/>
      <c r="X660" s="36"/>
      <c r="Y660" s="36"/>
      <c r="Z660" s="105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42"/>
      <c r="AO660" s="42"/>
      <c r="AP660" s="36"/>
      <c r="AQ660" s="36"/>
      <c r="AR660" s="42"/>
      <c r="AS660" s="42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</row>
    <row r="661" spans="1:56" ht="15.75" x14ac:dyDescent="0.25">
      <c r="A661" s="44"/>
      <c r="B661" s="36"/>
      <c r="C661" s="36"/>
      <c r="D661" s="36"/>
      <c r="E661" s="36"/>
      <c r="F661" s="36"/>
      <c r="G661" s="36"/>
      <c r="H661" s="36"/>
      <c r="I661" s="36"/>
      <c r="J661" s="105"/>
      <c r="K661" s="36"/>
      <c r="L661" s="36"/>
      <c r="M661" s="36"/>
      <c r="N661" s="105"/>
      <c r="O661" s="36"/>
      <c r="P661" s="36"/>
      <c r="Q661" s="36"/>
      <c r="R661" s="105"/>
      <c r="S661" s="36"/>
      <c r="T661" s="36"/>
      <c r="U661" s="36"/>
      <c r="V661" s="105"/>
      <c r="W661" s="36"/>
      <c r="X661" s="36"/>
      <c r="Y661" s="36"/>
      <c r="Z661" s="105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42"/>
      <c r="AO661" s="42"/>
      <c r="AP661" s="36"/>
      <c r="AQ661" s="36"/>
      <c r="AR661" s="42"/>
      <c r="AS661" s="42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</row>
    <row r="662" spans="1:56" ht="15.75" x14ac:dyDescent="0.25">
      <c r="A662" s="44"/>
      <c r="B662" s="36"/>
      <c r="C662" s="36"/>
      <c r="D662" s="36"/>
      <c r="E662" s="36"/>
      <c r="F662" s="36"/>
      <c r="G662" s="36"/>
      <c r="H662" s="36"/>
      <c r="I662" s="36"/>
      <c r="J662" s="105"/>
      <c r="K662" s="36"/>
      <c r="L662" s="36"/>
      <c r="M662" s="36"/>
      <c r="N662" s="105"/>
      <c r="O662" s="36"/>
      <c r="P662" s="36"/>
      <c r="Q662" s="36"/>
      <c r="R662" s="105"/>
      <c r="S662" s="36"/>
      <c r="T662" s="36"/>
      <c r="U662" s="36"/>
      <c r="V662" s="105"/>
      <c r="W662" s="36"/>
      <c r="X662" s="36"/>
      <c r="Y662" s="36"/>
      <c r="Z662" s="105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42"/>
      <c r="AO662" s="42"/>
      <c r="AP662" s="36"/>
      <c r="AQ662" s="36"/>
      <c r="AR662" s="42"/>
      <c r="AS662" s="42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</row>
    <row r="663" spans="1:56" ht="15.75" x14ac:dyDescent="0.25">
      <c r="A663" s="44"/>
      <c r="B663" s="36"/>
      <c r="C663" s="36"/>
      <c r="D663" s="36"/>
      <c r="E663" s="36"/>
      <c r="F663" s="36"/>
      <c r="G663" s="36"/>
      <c r="H663" s="36"/>
      <c r="I663" s="36"/>
      <c r="J663" s="105"/>
      <c r="K663" s="36"/>
      <c r="L663" s="36"/>
      <c r="M663" s="36"/>
      <c r="N663" s="105"/>
      <c r="O663" s="36"/>
      <c r="P663" s="36"/>
      <c r="Q663" s="36"/>
      <c r="R663" s="105"/>
      <c r="S663" s="36"/>
      <c r="T663" s="36"/>
      <c r="U663" s="36"/>
      <c r="V663" s="105"/>
      <c r="W663" s="36"/>
      <c r="X663" s="36"/>
      <c r="Y663" s="36"/>
      <c r="Z663" s="105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42"/>
      <c r="AO663" s="42"/>
      <c r="AP663" s="36"/>
      <c r="AQ663" s="36"/>
      <c r="AR663" s="42"/>
      <c r="AS663" s="42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</row>
    <row r="664" spans="1:56" ht="15.75" x14ac:dyDescent="0.25">
      <c r="A664" s="44"/>
      <c r="B664" s="36"/>
      <c r="C664" s="36"/>
      <c r="D664" s="36"/>
      <c r="E664" s="36"/>
      <c r="F664" s="36"/>
      <c r="G664" s="36"/>
      <c r="H664" s="36"/>
      <c r="I664" s="36"/>
      <c r="J664" s="105"/>
      <c r="K664" s="36"/>
      <c r="L664" s="36"/>
      <c r="M664" s="36"/>
      <c r="N664" s="105"/>
      <c r="O664" s="36"/>
      <c r="P664" s="36"/>
      <c r="Q664" s="36"/>
      <c r="R664" s="105"/>
      <c r="S664" s="36"/>
      <c r="T664" s="36"/>
      <c r="U664" s="36"/>
      <c r="V664" s="105"/>
      <c r="W664" s="36"/>
      <c r="X664" s="36"/>
      <c r="Y664" s="36"/>
      <c r="Z664" s="105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42"/>
      <c r="AO664" s="42"/>
      <c r="AP664" s="36"/>
      <c r="AQ664" s="36"/>
      <c r="AR664" s="42"/>
      <c r="AS664" s="42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</row>
    <row r="665" spans="1:56" ht="15.75" x14ac:dyDescent="0.25">
      <c r="A665" s="44"/>
      <c r="B665" s="36"/>
      <c r="C665" s="36"/>
      <c r="D665" s="36"/>
      <c r="E665" s="36"/>
      <c r="F665" s="36"/>
      <c r="G665" s="36"/>
      <c r="H665" s="36"/>
      <c r="I665" s="36"/>
      <c r="J665" s="105"/>
      <c r="K665" s="36"/>
      <c r="L665" s="36"/>
      <c r="M665" s="36"/>
      <c r="N665" s="105"/>
      <c r="O665" s="36"/>
      <c r="P665" s="36"/>
      <c r="Q665" s="36"/>
      <c r="R665" s="105"/>
      <c r="S665" s="36"/>
      <c r="T665" s="36"/>
      <c r="U665" s="36"/>
      <c r="V665" s="105"/>
      <c r="W665" s="36"/>
      <c r="X665" s="36"/>
      <c r="Y665" s="36"/>
      <c r="Z665" s="105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42"/>
      <c r="AO665" s="42"/>
      <c r="AP665" s="36"/>
      <c r="AQ665" s="36"/>
      <c r="AR665" s="42"/>
      <c r="AS665" s="42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</row>
    <row r="666" spans="1:56" ht="15.75" x14ac:dyDescent="0.25">
      <c r="A666" s="44"/>
      <c r="B666" s="36"/>
      <c r="C666" s="36"/>
      <c r="D666" s="36"/>
      <c r="E666" s="36"/>
      <c r="F666" s="36"/>
      <c r="G666" s="36"/>
      <c r="H666" s="36"/>
      <c r="I666" s="36"/>
      <c r="J666" s="105"/>
      <c r="K666" s="36"/>
      <c r="L666" s="36"/>
      <c r="M666" s="36"/>
      <c r="N666" s="105"/>
      <c r="O666" s="36"/>
      <c r="P666" s="36"/>
      <c r="Q666" s="36"/>
      <c r="R666" s="105"/>
      <c r="S666" s="36"/>
      <c r="T666" s="36"/>
      <c r="U666" s="36"/>
      <c r="V666" s="105"/>
      <c r="W666" s="36"/>
      <c r="X666" s="36"/>
      <c r="Y666" s="36"/>
      <c r="Z666" s="105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42"/>
      <c r="AO666" s="42"/>
      <c r="AP666" s="36"/>
      <c r="AQ666" s="36"/>
      <c r="AR666" s="42"/>
      <c r="AS666" s="42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</row>
    <row r="667" spans="1:56" ht="15.75" x14ac:dyDescent="0.25">
      <c r="A667" s="44"/>
      <c r="B667" s="36"/>
      <c r="C667" s="36"/>
      <c r="D667" s="36"/>
      <c r="E667" s="36"/>
      <c r="F667" s="36"/>
      <c r="G667" s="36"/>
      <c r="H667" s="36"/>
      <c r="I667" s="36"/>
      <c r="J667" s="105"/>
      <c r="K667" s="36"/>
      <c r="L667" s="36"/>
      <c r="M667" s="36"/>
      <c r="N667" s="105"/>
      <c r="O667" s="36"/>
      <c r="P667" s="36"/>
      <c r="Q667" s="36"/>
      <c r="R667" s="105"/>
      <c r="S667" s="36"/>
      <c r="T667" s="36"/>
      <c r="U667" s="36"/>
      <c r="V667" s="105"/>
      <c r="W667" s="36"/>
      <c r="X667" s="36"/>
      <c r="Y667" s="36"/>
      <c r="Z667" s="105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42"/>
      <c r="AO667" s="42"/>
      <c r="AP667" s="36"/>
      <c r="AQ667" s="36"/>
      <c r="AR667" s="42"/>
      <c r="AS667" s="42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</row>
    <row r="668" spans="1:56" ht="15.75" x14ac:dyDescent="0.25">
      <c r="A668" s="44"/>
      <c r="B668" s="36"/>
      <c r="C668" s="36"/>
      <c r="D668" s="36"/>
      <c r="E668" s="36"/>
      <c r="F668" s="36"/>
      <c r="G668" s="36"/>
      <c r="H668" s="36"/>
      <c r="I668" s="36"/>
      <c r="J668" s="105"/>
      <c r="K668" s="36"/>
      <c r="L668" s="36"/>
      <c r="M668" s="36"/>
      <c r="N668" s="105"/>
      <c r="O668" s="36"/>
      <c r="P668" s="36"/>
      <c r="Q668" s="36"/>
      <c r="R668" s="105"/>
      <c r="S668" s="36"/>
      <c r="T668" s="36"/>
      <c r="U668" s="36"/>
      <c r="V668" s="105"/>
      <c r="W668" s="36"/>
      <c r="X668" s="36"/>
      <c r="Y668" s="36"/>
      <c r="Z668" s="105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42"/>
      <c r="AO668" s="42"/>
      <c r="AP668" s="36"/>
      <c r="AQ668" s="36"/>
      <c r="AR668" s="42"/>
      <c r="AS668" s="42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</row>
    <row r="669" spans="1:56" ht="15.75" x14ac:dyDescent="0.25">
      <c r="A669" s="44"/>
      <c r="B669" s="36"/>
      <c r="C669" s="36"/>
      <c r="D669" s="36"/>
      <c r="E669" s="36"/>
      <c r="F669" s="36"/>
      <c r="G669" s="36"/>
      <c r="H669" s="36"/>
      <c r="I669" s="36"/>
      <c r="J669" s="105"/>
      <c r="K669" s="36"/>
      <c r="L669" s="36"/>
      <c r="M669" s="36"/>
      <c r="N669" s="105"/>
      <c r="O669" s="36"/>
      <c r="P669" s="36"/>
      <c r="Q669" s="36"/>
      <c r="R669" s="105"/>
      <c r="S669" s="36"/>
      <c r="T669" s="36"/>
      <c r="U669" s="36"/>
      <c r="V669" s="105"/>
      <c r="W669" s="36"/>
      <c r="X669" s="36"/>
      <c r="Y669" s="36"/>
      <c r="Z669" s="105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42"/>
      <c r="AO669" s="42"/>
      <c r="AP669" s="36"/>
      <c r="AQ669" s="36"/>
      <c r="AR669" s="42"/>
      <c r="AS669" s="42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</row>
    <row r="670" spans="1:56" ht="15.75" x14ac:dyDescent="0.25">
      <c r="A670" s="44"/>
      <c r="B670" s="36"/>
      <c r="C670" s="36"/>
      <c r="D670" s="36"/>
      <c r="E670" s="36"/>
      <c r="F670" s="36"/>
      <c r="G670" s="36"/>
      <c r="H670" s="36"/>
      <c r="I670" s="36"/>
      <c r="J670" s="105"/>
      <c r="K670" s="36"/>
      <c r="L670" s="36"/>
      <c r="M670" s="36"/>
      <c r="N670" s="105"/>
      <c r="O670" s="36"/>
      <c r="P670" s="36"/>
      <c r="Q670" s="36"/>
      <c r="R670" s="105"/>
      <c r="S670" s="36"/>
      <c r="T670" s="36"/>
      <c r="U670" s="36"/>
      <c r="V670" s="105"/>
      <c r="W670" s="36"/>
      <c r="X670" s="36"/>
      <c r="Y670" s="36"/>
      <c r="Z670" s="105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42"/>
      <c r="AO670" s="42"/>
      <c r="AP670" s="36"/>
      <c r="AQ670" s="36"/>
      <c r="AR670" s="42"/>
      <c r="AS670" s="42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</row>
    <row r="671" spans="1:56" ht="15.75" x14ac:dyDescent="0.25">
      <c r="A671" s="44"/>
      <c r="B671" s="36"/>
      <c r="C671" s="36"/>
      <c r="D671" s="36"/>
      <c r="E671" s="36"/>
      <c r="F671" s="36"/>
      <c r="G671" s="36"/>
      <c r="H671" s="36"/>
      <c r="I671" s="36"/>
      <c r="J671" s="105"/>
      <c r="K671" s="36"/>
      <c r="L671" s="36"/>
      <c r="M671" s="36"/>
      <c r="N671" s="105"/>
      <c r="O671" s="36"/>
      <c r="P671" s="36"/>
      <c r="Q671" s="36"/>
      <c r="R671" s="105"/>
      <c r="S671" s="36"/>
      <c r="T671" s="36"/>
      <c r="U671" s="36"/>
      <c r="V671" s="105"/>
      <c r="W671" s="36"/>
      <c r="X671" s="36"/>
      <c r="Y671" s="36"/>
      <c r="Z671" s="105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42"/>
      <c r="AO671" s="42"/>
      <c r="AP671" s="36"/>
      <c r="AQ671" s="36"/>
      <c r="AR671" s="42"/>
      <c r="AS671" s="42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</row>
    <row r="672" spans="1:56" ht="15.75" x14ac:dyDescent="0.25">
      <c r="A672" s="44"/>
      <c r="B672" s="36"/>
      <c r="C672" s="36"/>
      <c r="D672" s="36"/>
      <c r="E672" s="36"/>
      <c r="F672" s="36"/>
      <c r="G672" s="36"/>
      <c r="H672" s="36"/>
      <c r="I672" s="36"/>
      <c r="J672" s="105"/>
      <c r="K672" s="36"/>
      <c r="L672" s="36"/>
      <c r="M672" s="36"/>
      <c r="N672" s="105"/>
      <c r="O672" s="36"/>
      <c r="P672" s="36"/>
      <c r="Q672" s="36"/>
      <c r="R672" s="105"/>
      <c r="S672" s="36"/>
      <c r="T672" s="36"/>
      <c r="U672" s="36"/>
      <c r="V672" s="105"/>
      <c r="W672" s="36"/>
      <c r="X672" s="36"/>
      <c r="Y672" s="36"/>
      <c r="Z672" s="105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42"/>
      <c r="AO672" s="42"/>
      <c r="AP672" s="36"/>
      <c r="AQ672" s="36"/>
      <c r="AR672" s="42"/>
      <c r="AS672" s="42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</row>
    <row r="673" spans="1:56" ht="15.75" x14ac:dyDescent="0.25">
      <c r="A673" s="44"/>
      <c r="B673" s="36"/>
      <c r="C673" s="36"/>
      <c r="D673" s="36"/>
      <c r="E673" s="36"/>
      <c r="F673" s="36"/>
      <c r="G673" s="36"/>
      <c r="H673" s="36"/>
      <c r="I673" s="36"/>
      <c r="J673" s="105"/>
      <c r="K673" s="36"/>
      <c r="L673" s="36"/>
      <c r="M673" s="36"/>
      <c r="N673" s="105"/>
      <c r="O673" s="36"/>
      <c r="P673" s="36"/>
      <c r="Q673" s="36"/>
      <c r="R673" s="105"/>
      <c r="S673" s="36"/>
      <c r="T673" s="36"/>
      <c r="U673" s="36"/>
      <c r="V673" s="105"/>
      <c r="W673" s="36"/>
      <c r="X673" s="36"/>
      <c r="Y673" s="36"/>
      <c r="Z673" s="105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42"/>
      <c r="AO673" s="42"/>
      <c r="AP673" s="36"/>
      <c r="AQ673" s="36"/>
      <c r="AR673" s="42"/>
      <c r="AS673" s="42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</row>
    <row r="674" spans="1:56" ht="15.75" x14ac:dyDescent="0.25">
      <c r="A674" s="44"/>
      <c r="B674" s="36"/>
      <c r="C674" s="36"/>
      <c r="D674" s="36"/>
      <c r="E674" s="36"/>
      <c r="F674" s="36"/>
      <c r="G674" s="36"/>
      <c r="H674" s="36"/>
      <c r="I674" s="36"/>
      <c r="J674" s="105"/>
      <c r="K674" s="36"/>
      <c r="L674" s="36"/>
      <c r="M674" s="36"/>
      <c r="N674" s="105"/>
      <c r="O674" s="36"/>
      <c r="P674" s="36"/>
      <c r="Q674" s="36"/>
      <c r="R674" s="105"/>
      <c r="S674" s="36"/>
      <c r="T674" s="36"/>
      <c r="U674" s="36"/>
      <c r="V674" s="105"/>
      <c r="W674" s="36"/>
      <c r="X674" s="36"/>
      <c r="Y674" s="36"/>
      <c r="Z674" s="105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42"/>
      <c r="AO674" s="42"/>
      <c r="AP674" s="36"/>
      <c r="AQ674" s="36"/>
      <c r="AR674" s="42"/>
      <c r="AS674" s="42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</row>
    <row r="675" spans="1:56" ht="15.75" x14ac:dyDescent="0.25">
      <c r="A675" s="44"/>
      <c r="B675" s="36"/>
      <c r="C675" s="36"/>
      <c r="D675" s="36"/>
      <c r="E675" s="36"/>
      <c r="F675" s="36"/>
      <c r="G675" s="36"/>
      <c r="H675" s="36"/>
      <c r="I675" s="36"/>
      <c r="J675" s="105"/>
      <c r="K675" s="36"/>
      <c r="L675" s="36"/>
      <c r="M675" s="36"/>
      <c r="N675" s="105"/>
      <c r="O675" s="36"/>
      <c r="P675" s="36"/>
      <c r="Q675" s="36"/>
      <c r="R675" s="105"/>
      <c r="S675" s="36"/>
      <c r="T675" s="36"/>
      <c r="U675" s="36"/>
      <c r="V675" s="105"/>
      <c r="W675" s="36"/>
      <c r="X675" s="36"/>
      <c r="Y675" s="36"/>
      <c r="Z675" s="105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42"/>
      <c r="AO675" s="42"/>
      <c r="AP675" s="36"/>
      <c r="AQ675" s="36"/>
      <c r="AR675" s="42"/>
      <c r="AS675" s="42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</row>
    <row r="676" spans="1:56" ht="15.75" x14ac:dyDescent="0.25">
      <c r="A676" s="44"/>
      <c r="B676" s="36"/>
      <c r="C676" s="36"/>
      <c r="D676" s="36"/>
      <c r="E676" s="36"/>
      <c r="F676" s="36"/>
      <c r="G676" s="36"/>
      <c r="H676" s="36"/>
      <c r="I676" s="36"/>
      <c r="J676" s="105"/>
      <c r="K676" s="36"/>
      <c r="L676" s="36"/>
      <c r="M676" s="36"/>
      <c r="N676" s="105"/>
      <c r="O676" s="36"/>
      <c r="P676" s="36"/>
      <c r="Q676" s="36"/>
      <c r="R676" s="105"/>
      <c r="S676" s="36"/>
      <c r="T676" s="36"/>
      <c r="U676" s="36"/>
      <c r="V676" s="105"/>
      <c r="W676" s="36"/>
      <c r="X676" s="36"/>
      <c r="Y676" s="36"/>
      <c r="Z676" s="105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42"/>
      <c r="AO676" s="42"/>
      <c r="AP676" s="36"/>
      <c r="AQ676" s="36"/>
      <c r="AR676" s="42"/>
      <c r="AS676" s="42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</row>
    <row r="677" spans="1:56" ht="15.75" x14ac:dyDescent="0.25">
      <c r="A677" s="44"/>
      <c r="B677" s="36"/>
      <c r="C677" s="36"/>
      <c r="D677" s="36"/>
      <c r="E677" s="36"/>
      <c r="F677" s="36"/>
      <c r="G677" s="36"/>
      <c r="H677" s="36"/>
      <c r="I677" s="36"/>
      <c r="J677" s="105"/>
      <c r="K677" s="36"/>
      <c r="L677" s="36"/>
      <c r="M677" s="36"/>
      <c r="N677" s="105"/>
      <c r="O677" s="36"/>
      <c r="P677" s="36"/>
      <c r="Q677" s="36"/>
      <c r="R677" s="105"/>
      <c r="S677" s="36"/>
      <c r="T677" s="36"/>
      <c r="U677" s="36"/>
      <c r="V677" s="105"/>
      <c r="W677" s="36"/>
      <c r="X677" s="36"/>
      <c r="Y677" s="36"/>
      <c r="Z677" s="105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42"/>
      <c r="AO677" s="42"/>
      <c r="AP677" s="36"/>
      <c r="AQ677" s="36"/>
      <c r="AR677" s="42"/>
      <c r="AS677" s="42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</row>
    <row r="678" spans="1:56" ht="15.75" x14ac:dyDescent="0.25">
      <c r="A678" s="44"/>
      <c r="B678" s="36"/>
      <c r="C678" s="36"/>
      <c r="D678" s="36"/>
      <c r="E678" s="36"/>
      <c r="F678" s="36"/>
      <c r="G678" s="36"/>
      <c r="H678" s="36"/>
      <c r="I678" s="36"/>
      <c r="J678" s="105"/>
      <c r="K678" s="36"/>
      <c r="L678" s="36"/>
      <c r="M678" s="36"/>
      <c r="N678" s="105"/>
      <c r="O678" s="36"/>
      <c r="P678" s="36"/>
      <c r="Q678" s="36"/>
      <c r="R678" s="105"/>
      <c r="S678" s="36"/>
      <c r="T678" s="36"/>
      <c r="U678" s="36"/>
      <c r="V678" s="105"/>
      <c r="W678" s="36"/>
      <c r="X678" s="36"/>
      <c r="Y678" s="36"/>
      <c r="Z678" s="105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42"/>
      <c r="AO678" s="42"/>
      <c r="AP678" s="36"/>
      <c r="AQ678" s="36"/>
      <c r="AR678" s="42"/>
      <c r="AS678" s="42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</row>
    <row r="679" spans="1:56" ht="15.75" x14ac:dyDescent="0.25">
      <c r="A679" s="44"/>
      <c r="B679" s="36"/>
      <c r="C679" s="36"/>
      <c r="D679" s="36"/>
      <c r="E679" s="36"/>
      <c r="F679" s="36"/>
      <c r="G679" s="36"/>
      <c r="H679" s="36"/>
      <c r="I679" s="36"/>
      <c r="J679" s="105"/>
      <c r="K679" s="36"/>
      <c r="L679" s="36"/>
      <c r="M679" s="36"/>
      <c r="N679" s="105"/>
      <c r="O679" s="36"/>
      <c r="P679" s="36"/>
      <c r="Q679" s="36"/>
      <c r="R679" s="105"/>
      <c r="S679" s="36"/>
      <c r="T679" s="36"/>
      <c r="U679" s="36"/>
      <c r="V679" s="105"/>
      <c r="W679" s="36"/>
      <c r="X679" s="36"/>
      <c r="Y679" s="36"/>
      <c r="Z679" s="105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42"/>
      <c r="AO679" s="42"/>
      <c r="AP679" s="36"/>
      <c r="AQ679" s="36"/>
      <c r="AR679" s="42"/>
      <c r="AS679" s="42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</row>
    <row r="680" spans="1:56" ht="15.75" x14ac:dyDescent="0.25">
      <c r="A680" s="44"/>
      <c r="B680" s="36"/>
      <c r="C680" s="36"/>
      <c r="D680" s="36"/>
      <c r="E680" s="36"/>
      <c r="F680" s="36"/>
      <c r="G680" s="36"/>
      <c r="H680" s="36"/>
      <c r="I680" s="36"/>
      <c r="J680" s="105"/>
      <c r="K680" s="36"/>
      <c r="L680" s="36"/>
      <c r="M680" s="36"/>
      <c r="N680" s="105"/>
      <c r="O680" s="36"/>
      <c r="P680" s="36"/>
      <c r="Q680" s="36"/>
      <c r="R680" s="105"/>
      <c r="S680" s="36"/>
      <c r="T680" s="36"/>
      <c r="U680" s="36"/>
      <c r="V680" s="105"/>
      <c r="W680" s="36"/>
      <c r="X680" s="36"/>
      <c r="Y680" s="36"/>
      <c r="Z680" s="105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42"/>
      <c r="AO680" s="42"/>
      <c r="AP680" s="36"/>
      <c r="AQ680" s="36"/>
      <c r="AR680" s="42"/>
      <c r="AS680" s="42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</row>
    <row r="681" spans="1:56" ht="15.75" x14ac:dyDescent="0.25">
      <c r="A681" s="44"/>
      <c r="B681" s="36"/>
      <c r="C681" s="36"/>
      <c r="D681" s="36"/>
      <c r="E681" s="36"/>
      <c r="F681" s="36"/>
      <c r="G681" s="36"/>
      <c r="H681" s="36"/>
      <c r="I681" s="36"/>
      <c r="J681" s="105"/>
      <c r="K681" s="36"/>
      <c r="L681" s="36"/>
      <c r="M681" s="36"/>
      <c r="N681" s="105"/>
      <c r="O681" s="36"/>
      <c r="P681" s="36"/>
      <c r="Q681" s="36"/>
      <c r="R681" s="105"/>
      <c r="S681" s="36"/>
      <c r="T681" s="36"/>
      <c r="U681" s="36"/>
      <c r="V681" s="105"/>
      <c r="W681" s="36"/>
      <c r="X681" s="36"/>
      <c r="Y681" s="36"/>
      <c r="Z681" s="105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42"/>
      <c r="AO681" s="42"/>
      <c r="AP681" s="36"/>
      <c r="AQ681" s="36"/>
      <c r="AR681" s="42"/>
      <c r="AS681" s="42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</row>
    <row r="682" spans="1:56" ht="15.75" x14ac:dyDescent="0.25">
      <c r="A682" s="44"/>
      <c r="B682" s="36"/>
      <c r="C682" s="36"/>
      <c r="D682" s="36"/>
      <c r="E682" s="36"/>
      <c r="F682" s="36"/>
      <c r="G682" s="36"/>
      <c r="H682" s="36"/>
      <c r="I682" s="36"/>
      <c r="J682" s="105"/>
      <c r="K682" s="36"/>
      <c r="L682" s="36"/>
      <c r="M682" s="36"/>
      <c r="N682" s="105"/>
      <c r="O682" s="36"/>
      <c r="P682" s="36"/>
      <c r="Q682" s="36"/>
      <c r="R682" s="105"/>
      <c r="S682" s="36"/>
      <c r="T682" s="36"/>
      <c r="U682" s="36"/>
      <c r="V682" s="105"/>
      <c r="W682" s="36"/>
      <c r="X682" s="36"/>
      <c r="Y682" s="36"/>
      <c r="Z682" s="105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42"/>
      <c r="AO682" s="42"/>
      <c r="AP682" s="36"/>
      <c r="AQ682" s="36"/>
      <c r="AR682" s="42"/>
      <c r="AS682" s="42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</row>
    <row r="683" spans="1:56" ht="15.75" x14ac:dyDescent="0.25">
      <c r="A683" s="44"/>
      <c r="B683" s="36"/>
      <c r="C683" s="36"/>
      <c r="D683" s="36"/>
      <c r="E683" s="36"/>
      <c r="F683" s="36"/>
      <c r="G683" s="36"/>
      <c r="H683" s="36"/>
      <c r="I683" s="36"/>
      <c r="J683" s="105"/>
      <c r="K683" s="36"/>
      <c r="L683" s="36"/>
      <c r="M683" s="36"/>
      <c r="N683" s="105"/>
      <c r="O683" s="36"/>
      <c r="P683" s="36"/>
      <c r="Q683" s="36"/>
      <c r="R683" s="105"/>
      <c r="S683" s="36"/>
      <c r="T683" s="36"/>
      <c r="U683" s="36"/>
      <c r="V683" s="105"/>
      <c r="W683" s="36"/>
      <c r="X683" s="36"/>
      <c r="Y683" s="36"/>
      <c r="Z683" s="105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42"/>
      <c r="AO683" s="42"/>
      <c r="AP683" s="36"/>
      <c r="AQ683" s="36"/>
      <c r="AR683" s="42"/>
      <c r="AS683" s="42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</row>
    <row r="684" spans="1:56" ht="15.75" x14ac:dyDescent="0.25">
      <c r="A684" s="44"/>
      <c r="B684" s="36"/>
      <c r="C684" s="36"/>
      <c r="D684" s="36"/>
      <c r="E684" s="36"/>
      <c r="F684" s="36"/>
      <c r="G684" s="36"/>
      <c r="H684" s="36"/>
      <c r="I684" s="36"/>
      <c r="J684" s="105"/>
      <c r="K684" s="36"/>
      <c r="L684" s="36"/>
      <c r="M684" s="36"/>
      <c r="N684" s="105"/>
      <c r="O684" s="36"/>
      <c r="P684" s="36"/>
      <c r="Q684" s="36"/>
      <c r="R684" s="105"/>
      <c r="S684" s="36"/>
      <c r="T684" s="36"/>
      <c r="U684" s="36"/>
      <c r="V684" s="105"/>
      <c r="W684" s="36"/>
      <c r="X684" s="36"/>
      <c r="Y684" s="36"/>
      <c r="Z684" s="105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42"/>
      <c r="AO684" s="42"/>
      <c r="AP684" s="36"/>
      <c r="AQ684" s="36"/>
      <c r="AR684" s="42"/>
      <c r="AS684" s="42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</row>
    <row r="685" spans="1:56" ht="15.75" x14ac:dyDescent="0.25">
      <c r="A685" s="44"/>
      <c r="B685" s="36"/>
      <c r="C685" s="36"/>
      <c r="D685" s="36"/>
      <c r="E685" s="36"/>
      <c r="F685" s="36"/>
      <c r="G685" s="36"/>
      <c r="H685" s="36"/>
      <c r="I685" s="36"/>
      <c r="J685" s="105"/>
      <c r="K685" s="36"/>
      <c r="L685" s="36"/>
      <c r="M685" s="36"/>
      <c r="N685" s="105"/>
      <c r="O685" s="36"/>
      <c r="P685" s="36"/>
      <c r="Q685" s="36"/>
      <c r="R685" s="105"/>
      <c r="S685" s="36"/>
      <c r="T685" s="36"/>
      <c r="U685" s="36"/>
      <c r="V685" s="105"/>
      <c r="W685" s="36"/>
      <c r="X685" s="36"/>
      <c r="Y685" s="36"/>
      <c r="Z685" s="105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42"/>
      <c r="AO685" s="42"/>
      <c r="AP685" s="36"/>
      <c r="AQ685" s="36"/>
      <c r="AR685" s="42"/>
      <c r="AS685" s="42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</row>
    <row r="686" spans="1:56" ht="15.75" x14ac:dyDescent="0.25">
      <c r="A686" s="44"/>
      <c r="B686" s="36"/>
      <c r="C686" s="36"/>
      <c r="D686" s="36"/>
      <c r="E686" s="36"/>
      <c r="F686" s="36"/>
      <c r="G686" s="36"/>
      <c r="H686" s="36"/>
      <c r="I686" s="36"/>
      <c r="J686" s="105"/>
      <c r="K686" s="36"/>
      <c r="L686" s="36"/>
      <c r="M686" s="36"/>
      <c r="N686" s="105"/>
      <c r="O686" s="36"/>
      <c r="P686" s="36"/>
      <c r="Q686" s="36"/>
      <c r="R686" s="105"/>
      <c r="S686" s="36"/>
      <c r="T686" s="36"/>
      <c r="U686" s="36"/>
      <c r="V686" s="105"/>
      <c r="W686" s="36"/>
      <c r="X686" s="36"/>
      <c r="Y686" s="36"/>
      <c r="Z686" s="105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42"/>
      <c r="AO686" s="42"/>
      <c r="AP686" s="36"/>
      <c r="AQ686" s="36"/>
      <c r="AR686" s="42"/>
      <c r="AS686" s="42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</row>
    <row r="687" spans="1:56" ht="15.75" x14ac:dyDescent="0.25">
      <c r="A687" s="44"/>
      <c r="B687" s="36"/>
      <c r="C687" s="36"/>
      <c r="D687" s="36"/>
      <c r="E687" s="36"/>
      <c r="F687" s="36"/>
      <c r="G687" s="36"/>
      <c r="H687" s="36"/>
      <c r="I687" s="36"/>
      <c r="J687" s="105"/>
      <c r="K687" s="36"/>
      <c r="L687" s="36"/>
      <c r="M687" s="36"/>
      <c r="N687" s="105"/>
      <c r="O687" s="36"/>
      <c r="P687" s="36"/>
      <c r="Q687" s="36"/>
      <c r="R687" s="105"/>
      <c r="S687" s="36"/>
      <c r="T687" s="36"/>
      <c r="U687" s="36"/>
      <c r="V687" s="105"/>
      <c r="W687" s="36"/>
      <c r="X687" s="36"/>
      <c r="Y687" s="36"/>
      <c r="Z687" s="105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42"/>
      <c r="AO687" s="42"/>
      <c r="AP687" s="36"/>
      <c r="AQ687" s="36"/>
      <c r="AR687" s="42"/>
      <c r="AS687" s="42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</row>
    <row r="688" spans="1:56" ht="15.75" x14ac:dyDescent="0.25">
      <c r="A688" s="44"/>
      <c r="B688" s="36"/>
      <c r="C688" s="36"/>
      <c r="D688" s="36"/>
      <c r="E688" s="36"/>
      <c r="F688" s="36"/>
      <c r="G688" s="36"/>
      <c r="H688" s="36"/>
      <c r="I688" s="36"/>
      <c r="J688" s="105"/>
      <c r="K688" s="36"/>
      <c r="L688" s="36"/>
      <c r="M688" s="36"/>
      <c r="N688" s="105"/>
      <c r="O688" s="36"/>
      <c r="P688" s="36"/>
      <c r="Q688" s="36"/>
      <c r="R688" s="105"/>
      <c r="S688" s="36"/>
      <c r="T688" s="36"/>
      <c r="U688" s="36"/>
      <c r="V688" s="105"/>
      <c r="W688" s="36"/>
      <c r="X688" s="36"/>
      <c r="Y688" s="36"/>
      <c r="Z688" s="105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42"/>
      <c r="AO688" s="42"/>
      <c r="AP688" s="36"/>
      <c r="AQ688" s="36"/>
      <c r="AR688" s="42"/>
      <c r="AS688" s="42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</row>
    <row r="689" spans="1:56" ht="15.75" x14ac:dyDescent="0.25">
      <c r="A689" s="44"/>
      <c r="B689" s="36"/>
      <c r="C689" s="36"/>
      <c r="D689" s="36"/>
      <c r="E689" s="36"/>
      <c r="F689" s="36"/>
      <c r="G689" s="36"/>
      <c r="H689" s="36"/>
      <c r="I689" s="36"/>
      <c r="J689" s="105"/>
      <c r="K689" s="36"/>
      <c r="L689" s="36"/>
      <c r="M689" s="36"/>
      <c r="N689" s="105"/>
      <c r="O689" s="36"/>
      <c r="P689" s="36"/>
      <c r="Q689" s="36"/>
      <c r="R689" s="105"/>
      <c r="S689" s="36"/>
      <c r="T689" s="36"/>
      <c r="U689" s="36"/>
      <c r="V689" s="105"/>
      <c r="W689" s="36"/>
      <c r="X689" s="36"/>
      <c r="Y689" s="36"/>
      <c r="Z689" s="105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42"/>
      <c r="AO689" s="42"/>
      <c r="AP689" s="36"/>
      <c r="AQ689" s="36"/>
      <c r="AR689" s="42"/>
      <c r="AS689" s="42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</row>
    <row r="690" spans="1:56" ht="15.75" x14ac:dyDescent="0.25">
      <c r="A690" s="44"/>
      <c r="B690" s="36"/>
      <c r="C690" s="36"/>
      <c r="D690" s="36"/>
      <c r="E690" s="36"/>
      <c r="F690" s="36"/>
      <c r="G690" s="36"/>
      <c r="H690" s="36"/>
      <c r="I690" s="36"/>
      <c r="J690" s="105"/>
      <c r="K690" s="36"/>
      <c r="L690" s="36"/>
      <c r="M690" s="36"/>
      <c r="N690" s="105"/>
      <c r="O690" s="36"/>
      <c r="P690" s="36"/>
      <c r="Q690" s="36"/>
      <c r="R690" s="105"/>
      <c r="S690" s="36"/>
      <c r="T690" s="36"/>
      <c r="U690" s="36"/>
      <c r="V690" s="105"/>
      <c r="W690" s="36"/>
      <c r="X690" s="36"/>
      <c r="Y690" s="36"/>
      <c r="Z690" s="105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42"/>
      <c r="AO690" s="42"/>
      <c r="AP690" s="36"/>
      <c r="AQ690" s="36"/>
      <c r="AR690" s="42"/>
      <c r="AS690" s="42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</row>
    <row r="691" spans="1:56" ht="15.75" x14ac:dyDescent="0.25">
      <c r="A691" s="44"/>
      <c r="B691" s="36"/>
      <c r="C691" s="36"/>
      <c r="D691" s="36"/>
      <c r="E691" s="36"/>
      <c r="F691" s="36"/>
      <c r="G691" s="36"/>
      <c r="H691" s="36"/>
      <c r="I691" s="36"/>
      <c r="J691" s="105"/>
      <c r="K691" s="36"/>
      <c r="L691" s="36"/>
      <c r="M691" s="36"/>
      <c r="N691" s="105"/>
      <c r="O691" s="36"/>
      <c r="P691" s="36"/>
      <c r="Q691" s="36"/>
      <c r="R691" s="105"/>
      <c r="S691" s="36"/>
      <c r="T691" s="36"/>
      <c r="U691" s="36"/>
      <c r="V691" s="105"/>
      <c r="W691" s="36"/>
      <c r="X691" s="36"/>
      <c r="Y691" s="36"/>
      <c r="Z691" s="105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42"/>
      <c r="AO691" s="42"/>
      <c r="AP691" s="36"/>
      <c r="AQ691" s="36"/>
      <c r="AR691" s="42"/>
      <c r="AS691" s="42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</row>
    <row r="692" spans="1:56" ht="15.75" x14ac:dyDescent="0.25">
      <c r="A692" s="44"/>
      <c r="B692" s="36"/>
      <c r="C692" s="36"/>
      <c r="D692" s="36"/>
      <c r="E692" s="36"/>
      <c r="F692" s="36"/>
      <c r="G692" s="36"/>
      <c r="H692" s="36"/>
      <c r="I692" s="36"/>
      <c r="J692" s="105"/>
      <c r="K692" s="36"/>
      <c r="L692" s="36"/>
      <c r="M692" s="36"/>
      <c r="N692" s="105"/>
      <c r="O692" s="36"/>
      <c r="P692" s="36"/>
      <c r="Q692" s="36"/>
      <c r="R692" s="105"/>
      <c r="S692" s="36"/>
      <c r="T692" s="36"/>
      <c r="U692" s="36"/>
      <c r="V692" s="105"/>
      <c r="W692" s="36"/>
      <c r="X692" s="36"/>
      <c r="Y692" s="36"/>
      <c r="Z692" s="105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42"/>
      <c r="AO692" s="42"/>
      <c r="AP692" s="36"/>
      <c r="AQ692" s="36"/>
      <c r="AR692" s="42"/>
      <c r="AS692" s="42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</row>
    <row r="693" spans="1:56" ht="15.75" x14ac:dyDescent="0.25">
      <c r="A693" s="44"/>
      <c r="B693" s="36"/>
      <c r="C693" s="36"/>
      <c r="D693" s="36"/>
      <c r="E693" s="36"/>
      <c r="F693" s="36"/>
      <c r="G693" s="36"/>
      <c r="H693" s="36"/>
      <c r="I693" s="36"/>
      <c r="J693" s="105"/>
      <c r="K693" s="36"/>
      <c r="L693" s="36"/>
      <c r="M693" s="36"/>
      <c r="N693" s="105"/>
      <c r="O693" s="36"/>
      <c r="P693" s="36"/>
      <c r="Q693" s="36"/>
      <c r="R693" s="105"/>
      <c r="S693" s="36"/>
      <c r="T693" s="36"/>
      <c r="U693" s="36"/>
      <c r="V693" s="105"/>
      <c r="W693" s="36"/>
      <c r="X693" s="36"/>
      <c r="Y693" s="36"/>
      <c r="Z693" s="105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42"/>
      <c r="AO693" s="42"/>
      <c r="AP693" s="36"/>
      <c r="AQ693" s="36"/>
      <c r="AR693" s="42"/>
      <c r="AS693" s="42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</row>
    <row r="694" spans="1:56" ht="15.75" x14ac:dyDescent="0.25">
      <c r="A694" s="44"/>
      <c r="B694" s="36"/>
      <c r="C694" s="36"/>
      <c r="D694" s="36"/>
      <c r="E694" s="36"/>
      <c r="F694" s="36"/>
      <c r="G694" s="36"/>
      <c r="H694" s="36"/>
      <c r="I694" s="36"/>
      <c r="J694" s="105"/>
      <c r="K694" s="36"/>
      <c r="L694" s="36"/>
      <c r="M694" s="36"/>
      <c r="N694" s="105"/>
      <c r="O694" s="36"/>
      <c r="P694" s="36"/>
      <c r="Q694" s="36"/>
      <c r="R694" s="105"/>
      <c r="S694" s="36"/>
      <c r="T694" s="36"/>
      <c r="U694" s="36"/>
      <c r="V694" s="105"/>
      <c r="W694" s="36"/>
      <c r="X694" s="36"/>
      <c r="Y694" s="36"/>
      <c r="Z694" s="105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42"/>
      <c r="AO694" s="42"/>
      <c r="AP694" s="36"/>
      <c r="AQ694" s="36"/>
      <c r="AR694" s="42"/>
      <c r="AS694" s="42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</row>
    <row r="695" spans="1:56" ht="15.75" x14ac:dyDescent="0.25">
      <c r="A695" s="44"/>
      <c r="B695" s="36"/>
      <c r="C695" s="36"/>
      <c r="D695" s="36"/>
      <c r="E695" s="36"/>
      <c r="F695" s="36"/>
      <c r="G695" s="36"/>
      <c r="H695" s="36"/>
      <c r="I695" s="36"/>
      <c r="J695" s="105"/>
      <c r="K695" s="36"/>
      <c r="L695" s="36"/>
      <c r="M695" s="36"/>
      <c r="N695" s="105"/>
      <c r="O695" s="36"/>
      <c r="P695" s="36"/>
      <c r="Q695" s="36"/>
      <c r="R695" s="105"/>
      <c r="S695" s="36"/>
      <c r="T695" s="36"/>
      <c r="U695" s="36"/>
      <c r="V695" s="105"/>
      <c r="W695" s="36"/>
      <c r="X695" s="36"/>
      <c r="Y695" s="36"/>
      <c r="Z695" s="105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42"/>
      <c r="AO695" s="42"/>
      <c r="AP695" s="36"/>
      <c r="AQ695" s="36"/>
      <c r="AR695" s="42"/>
      <c r="AS695" s="42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</row>
    <row r="696" spans="1:56" ht="15.75" x14ac:dyDescent="0.25">
      <c r="A696" s="44"/>
      <c r="B696" s="36"/>
      <c r="C696" s="36"/>
      <c r="D696" s="36"/>
      <c r="E696" s="36"/>
      <c r="F696" s="36"/>
      <c r="G696" s="36"/>
      <c r="H696" s="36"/>
      <c r="I696" s="36"/>
      <c r="J696" s="105"/>
      <c r="K696" s="36"/>
      <c r="L696" s="36"/>
      <c r="M696" s="36"/>
      <c r="N696" s="105"/>
      <c r="O696" s="36"/>
      <c r="P696" s="36"/>
      <c r="Q696" s="36"/>
      <c r="R696" s="105"/>
      <c r="S696" s="36"/>
      <c r="T696" s="36"/>
      <c r="U696" s="36"/>
      <c r="V696" s="105"/>
      <c r="W696" s="36"/>
      <c r="X696" s="36"/>
      <c r="Y696" s="36"/>
      <c r="Z696" s="105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42"/>
      <c r="AO696" s="42"/>
      <c r="AP696" s="36"/>
      <c r="AQ696" s="36"/>
      <c r="AR696" s="42"/>
      <c r="AS696" s="42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</row>
    <row r="697" spans="1:56" ht="15.75" x14ac:dyDescent="0.25">
      <c r="A697" s="44"/>
      <c r="B697" s="36"/>
      <c r="C697" s="36"/>
      <c r="D697" s="36"/>
      <c r="E697" s="36"/>
      <c r="F697" s="36"/>
      <c r="G697" s="36"/>
      <c r="H697" s="36"/>
      <c r="I697" s="36"/>
      <c r="J697" s="105"/>
      <c r="K697" s="36"/>
      <c r="L697" s="36"/>
      <c r="M697" s="36"/>
      <c r="N697" s="105"/>
      <c r="O697" s="36"/>
      <c r="P697" s="36"/>
      <c r="Q697" s="36"/>
      <c r="R697" s="105"/>
      <c r="S697" s="36"/>
      <c r="T697" s="36"/>
      <c r="U697" s="36"/>
      <c r="V697" s="105"/>
      <c r="W697" s="36"/>
      <c r="X697" s="36"/>
      <c r="Y697" s="36"/>
      <c r="Z697" s="105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42"/>
      <c r="AO697" s="42"/>
      <c r="AP697" s="36"/>
      <c r="AQ697" s="36"/>
      <c r="AR697" s="42"/>
      <c r="AS697" s="42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</row>
    <row r="698" spans="1:56" ht="15.75" x14ac:dyDescent="0.25">
      <c r="A698" s="44"/>
      <c r="B698" s="36"/>
      <c r="C698" s="36"/>
      <c r="D698" s="36"/>
      <c r="E698" s="36"/>
      <c r="F698" s="36"/>
      <c r="G698" s="36"/>
      <c r="H698" s="36"/>
      <c r="I698" s="36"/>
      <c r="J698" s="105"/>
      <c r="K698" s="36"/>
      <c r="L698" s="36"/>
      <c r="M698" s="36"/>
      <c r="N698" s="105"/>
      <c r="O698" s="36"/>
      <c r="P698" s="36"/>
      <c r="Q698" s="36"/>
      <c r="R698" s="105"/>
      <c r="S698" s="36"/>
      <c r="T698" s="36"/>
      <c r="U698" s="36"/>
      <c r="V698" s="105"/>
      <c r="W698" s="36"/>
      <c r="X698" s="36"/>
      <c r="Y698" s="36"/>
      <c r="Z698" s="105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42"/>
      <c r="AO698" s="42"/>
      <c r="AP698" s="36"/>
      <c r="AQ698" s="36"/>
      <c r="AR698" s="42"/>
      <c r="AS698" s="42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</row>
    <row r="699" spans="1:56" ht="15.75" x14ac:dyDescent="0.25">
      <c r="A699" s="44"/>
      <c r="B699" s="36"/>
      <c r="C699" s="36"/>
      <c r="D699" s="36"/>
      <c r="E699" s="36"/>
      <c r="F699" s="36"/>
      <c r="G699" s="36"/>
      <c r="H699" s="36"/>
      <c r="I699" s="36"/>
      <c r="J699" s="105"/>
      <c r="K699" s="36"/>
      <c r="L699" s="36"/>
      <c r="M699" s="36"/>
      <c r="N699" s="105"/>
      <c r="O699" s="36"/>
      <c r="P699" s="36"/>
      <c r="Q699" s="36"/>
      <c r="R699" s="105"/>
      <c r="S699" s="36"/>
      <c r="T699" s="36"/>
      <c r="U699" s="36"/>
      <c r="V699" s="105"/>
      <c r="W699" s="36"/>
      <c r="X699" s="36"/>
      <c r="Y699" s="36"/>
      <c r="Z699" s="105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42"/>
      <c r="AO699" s="42"/>
      <c r="AP699" s="36"/>
      <c r="AQ699" s="36"/>
      <c r="AR699" s="42"/>
      <c r="AS699" s="42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</row>
    <row r="700" spans="1:56" ht="15.75" x14ac:dyDescent="0.25">
      <c r="A700" s="44"/>
      <c r="B700" s="36"/>
      <c r="C700" s="36"/>
      <c r="D700" s="36"/>
      <c r="E700" s="36"/>
      <c r="F700" s="36"/>
      <c r="G700" s="36"/>
      <c r="H700" s="36"/>
      <c r="I700" s="36"/>
      <c r="J700" s="105"/>
      <c r="K700" s="36"/>
      <c r="L700" s="36"/>
      <c r="M700" s="36"/>
      <c r="N700" s="105"/>
      <c r="O700" s="36"/>
      <c r="P700" s="36"/>
      <c r="Q700" s="36"/>
      <c r="R700" s="105"/>
      <c r="S700" s="36"/>
      <c r="T700" s="36"/>
      <c r="U700" s="36"/>
      <c r="V700" s="105"/>
      <c r="W700" s="36"/>
      <c r="X700" s="36"/>
      <c r="Y700" s="36"/>
      <c r="Z700" s="105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42"/>
      <c r="AO700" s="42"/>
      <c r="AP700" s="36"/>
      <c r="AQ700" s="36"/>
      <c r="AR700" s="42"/>
      <c r="AS700" s="42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</row>
    <row r="701" spans="1:56" ht="15.75" x14ac:dyDescent="0.25">
      <c r="A701" s="44"/>
      <c r="B701" s="36"/>
      <c r="C701" s="36"/>
      <c r="D701" s="36"/>
      <c r="E701" s="36"/>
      <c r="F701" s="36"/>
      <c r="G701" s="36"/>
      <c r="H701" s="36"/>
      <c r="I701" s="36"/>
      <c r="J701" s="105"/>
      <c r="K701" s="36"/>
      <c r="L701" s="36"/>
      <c r="M701" s="36"/>
      <c r="N701" s="105"/>
      <c r="O701" s="36"/>
      <c r="P701" s="36"/>
      <c r="Q701" s="36"/>
      <c r="R701" s="105"/>
      <c r="S701" s="36"/>
      <c r="T701" s="36"/>
      <c r="U701" s="36"/>
      <c r="V701" s="105"/>
      <c r="W701" s="36"/>
      <c r="X701" s="36"/>
      <c r="Y701" s="36"/>
      <c r="Z701" s="105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42"/>
      <c r="AO701" s="42"/>
      <c r="AP701" s="36"/>
      <c r="AQ701" s="36"/>
      <c r="AR701" s="42"/>
      <c r="AS701" s="42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</row>
    <row r="702" spans="1:56" ht="15.75" x14ac:dyDescent="0.25">
      <c r="A702" s="44"/>
      <c r="B702" s="36"/>
      <c r="C702" s="36"/>
      <c r="D702" s="36"/>
      <c r="E702" s="36"/>
      <c r="F702" s="36"/>
      <c r="G702" s="36"/>
      <c r="H702" s="36"/>
      <c r="I702" s="36"/>
      <c r="J702" s="105"/>
      <c r="K702" s="36"/>
      <c r="L702" s="36"/>
      <c r="M702" s="36"/>
      <c r="N702" s="105"/>
      <c r="O702" s="36"/>
      <c r="P702" s="36"/>
      <c r="Q702" s="36"/>
      <c r="R702" s="105"/>
      <c r="S702" s="36"/>
      <c r="T702" s="36"/>
      <c r="U702" s="36"/>
      <c r="V702" s="105"/>
      <c r="W702" s="36"/>
      <c r="X702" s="36"/>
      <c r="Y702" s="36"/>
      <c r="Z702" s="105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42"/>
      <c r="AO702" s="42"/>
      <c r="AP702" s="36"/>
      <c r="AQ702" s="36"/>
      <c r="AR702" s="42"/>
      <c r="AS702" s="42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</row>
    <row r="703" spans="1:56" ht="15.75" x14ac:dyDescent="0.25">
      <c r="A703" s="44"/>
      <c r="B703" s="36"/>
      <c r="C703" s="36"/>
      <c r="D703" s="36"/>
      <c r="E703" s="36"/>
      <c r="F703" s="36"/>
      <c r="G703" s="36"/>
      <c r="H703" s="36"/>
      <c r="I703" s="36"/>
      <c r="J703" s="105"/>
      <c r="K703" s="36"/>
      <c r="L703" s="36"/>
      <c r="M703" s="36"/>
      <c r="N703" s="105"/>
      <c r="O703" s="36"/>
      <c r="P703" s="36"/>
      <c r="Q703" s="36"/>
      <c r="R703" s="105"/>
      <c r="S703" s="36"/>
      <c r="T703" s="36"/>
      <c r="U703" s="36"/>
      <c r="V703" s="105"/>
      <c r="W703" s="36"/>
      <c r="X703" s="36"/>
      <c r="Y703" s="36"/>
      <c r="Z703" s="105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42"/>
      <c r="AO703" s="42"/>
      <c r="AP703" s="36"/>
      <c r="AQ703" s="36"/>
      <c r="AR703" s="42"/>
      <c r="AS703" s="42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</row>
    <row r="704" spans="1:56" ht="15.75" x14ac:dyDescent="0.25">
      <c r="A704" s="44"/>
      <c r="B704" s="36"/>
      <c r="C704" s="36"/>
      <c r="D704" s="36"/>
      <c r="E704" s="36"/>
      <c r="F704" s="36"/>
      <c r="G704" s="36"/>
      <c r="H704" s="36"/>
      <c r="I704" s="36"/>
      <c r="J704" s="105"/>
      <c r="K704" s="36"/>
      <c r="L704" s="36"/>
      <c r="M704" s="36"/>
      <c r="N704" s="105"/>
      <c r="O704" s="36"/>
      <c r="P704" s="36"/>
      <c r="Q704" s="36"/>
      <c r="R704" s="105"/>
      <c r="S704" s="36"/>
      <c r="T704" s="36"/>
      <c r="U704" s="36"/>
      <c r="V704" s="105"/>
      <c r="W704" s="36"/>
      <c r="X704" s="36"/>
      <c r="Y704" s="36"/>
      <c r="Z704" s="105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42"/>
      <c r="AO704" s="42"/>
      <c r="AP704" s="36"/>
      <c r="AQ704" s="36"/>
      <c r="AR704" s="42"/>
      <c r="AS704" s="42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</row>
    <row r="705" spans="1:56" ht="15.75" x14ac:dyDescent="0.25">
      <c r="A705" s="44"/>
      <c r="B705" s="36"/>
      <c r="C705" s="36"/>
      <c r="D705" s="36"/>
      <c r="E705" s="36"/>
      <c r="F705" s="36"/>
      <c r="G705" s="36"/>
      <c r="H705" s="36"/>
      <c r="I705" s="36"/>
      <c r="J705" s="105"/>
      <c r="K705" s="36"/>
      <c r="L705" s="36"/>
      <c r="M705" s="36"/>
      <c r="N705" s="105"/>
      <c r="O705" s="36"/>
      <c r="P705" s="36"/>
      <c r="Q705" s="36"/>
      <c r="R705" s="105"/>
      <c r="S705" s="36"/>
      <c r="T705" s="36"/>
      <c r="U705" s="36"/>
      <c r="V705" s="105"/>
      <c r="W705" s="36"/>
      <c r="X705" s="36"/>
      <c r="Y705" s="36"/>
      <c r="Z705" s="105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42"/>
      <c r="AO705" s="42"/>
      <c r="AP705" s="36"/>
      <c r="AQ705" s="36"/>
      <c r="AR705" s="42"/>
      <c r="AS705" s="42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</row>
    <row r="706" spans="1:56" ht="15.75" x14ac:dyDescent="0.25">
      <c r="A706" s="44"/>
      <c r="B706" s="36"/>
      <c r="C706" s="36"/>
      <c r="D706" s="36"/>
      <c r="E706" s="36"/>
      <c r="F706" s="36"/>
      <c r="G706" s="36"/>
      <c r="H706" s="36"/>
      <c r="I706" s="36"/>
      <c r="J706" s="105"/>
      <c r="K706" s="36"/>
      <c r="L706" s="36"/>
      <c r="M706" s="36"/>
      <c r="N706" s="105"/>
      <c r="O706" s="36"/>
      <c r="P706" s="36"/>
      <c r="Q706" s="36"/>
      <c r="R706" s="105"/>
      <c r="S706" s="36"/>
      <c r="T706" s="36"/>
      <c r="U706" s="36"/>
      <c r="V706" s="105"/>
      <c r="W706" s="36"/>
      <c r="X706" s="36"/>
      <c r="Y706" s="36"/>
      <c r="Z706" s="105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42"/>
      <c r="AO706" s="42"/>
      <c r="AP706" s="36"/>
      <c r="AQ706" s="36"/>
      <c r="AR706" s="42"/>
      <c r="AS706" s="42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</row>
    <row r="707" spans="1:56" ht="15.75" x14ac:dyDescent="0.25">
      <c r="A707" s="44"/>
      <c r="B707" s="36"/>
      <c r="C707" s="36"/>
      <c r="D707" s="36"/>
      <c r="E707" s="36"/>
      <c r="F707" s="36"/>
      <c r="G707" s="36"/>
      <c r="H707" s="36"/>
      <c r="I707" s="36"/>
      <c r="J707" s="105"/>
      <c r="K707" s="36"/>
      <c r="L707" s="36"/>
      <c r="M707" s="36"/>
      <c r="N707" s="105"/>
      <c r="O707" s="36"/>
      <c r="P707" s="36"/>
      <c r="Q707" s="36"/>
      <c r="R707" s="105"/>
      <c r="S707" s="36"/>
      <c r="T707" s="36"/>
      <c r="U707" s="36"/>
      <c r="V707" s="105"/>
      <c r="W707" s="36"/>
      <c r="X707" s="36"/>
      <c r="Y707" s="36"/>
      <c r="Z707" s="105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42"/>
      <c r="AO707" s="42"/>
      <c r="AP707" s="36"/>
      <c r="AQ707" s="36"/>
      <c r="AR707" s="42"/>
      <c r="AS707" s="42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</row>
    <row r="708" spans="1:56" ht="15.75" x14ac:dyDescent="0.25">
      <c r="A708" s="44"/>
      <c r="B708" s="36"/>
      <c r="C708" s="36"/>
      <c r="D708" s="36"/>
      <c r="E708" s="36"/>
      <c r="F708" s="36"/>
      <c r="G708" s="36"/>
      <c r="H708" s="36"/>
      <c r="I708" s="36"/>
      <c r="J708" s="105"/>
      <c r="K708" s="36"/>
      <c r="L708" s="36"/>
      <c r="M708" s="36"/>
      <c r="N708" s="105"/>
      <c r="O708" s="36"/>
      <c r="P708" s="36"/>
      <c r="Q708" s="36"/>
      <c r="R708" s="105"/>
      <c r="S708" s="36"/>
      <c r="T708" s="36"/>
      <c r="U708" s="36"/>
      <c r="V708" s="105"/>
      <c r="W708" s="36"/>
      <c r="X708" s="36"/>
      <c r="Y708" s="36"/>
      <c r="Z708" s="105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42"/>
      <c r="AO708" s="42"/>
      <c r="AP708" s="36"/>
      <c r="AQ708" s="36"/>
      <c r="AR708" s="42"/>
      <c r="AS708" s="42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</row>
    <row r="709" spans="1:56" ht="15.75" x14ac:dyDescent="0.25">
      <c r="A709" s="44"/>
      <c r="B709" s="36"/>
      <c r="C709" s="36"/>
      <c r="D709" s="36"/>
      <c r="E709" s="36"/>
      <c r="F709" s="36"/>
      <c r="G709" s="36"/>
      <c r="H709" s="36"/>
      <c r="I709" s="36"/>
      <c r="J709" s="105"/>
      <c r="K709" s="36"/>
      <c r="L709" s="36"/>
      <c r="M709" s="36"/>
      <c r="N709" s="105"/>
      <c r="O709" s="36"/>
      <c r="P709" s="36"/>
      <c r="Q709" s="36"/>
      <c r="R709" s="105"/>
      <c r="S709" s="36"/>
      <c r="T709" s="36"/>
      <c r="U709" s="36"/>
      <c r="V709" s="105"/>
      <c r="W709" s="36"/>
      <c r="X709" s="36"/>
      <c r="Y709" s="36"/>
      <c r="Z709" s="105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42"/>
      <c r="AO709" s="42"/>
      <c r="AP709" s="36"/>
      <c r="AQ709" s="36"/>
      <c r="AR709" s="42"/>
      <c r="AS709" s="42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</row>
    <row r="710" spans="1:56" ht="15.75" x14ac:dyDescent="0.25">
      <c r="A710" s="44"/>
      <c r="B710" s="36"/>
      <c r="C710" s="36"/>
      <c r="D710" s="36"/>
      <c r="E710" s="36"/>
      <c r="F710" s="36"/>
      <c r="G710" s="36"/>
      <c r="H710" s="36"/>
      <c r="I710" s="36"/>
      <c r="J710" s="105"/>
      <c r="K710" s="36"/>
      <c r="L710" s="36"/>
      <c r="M710" s="36"/>
      <c r="N710" s="105"/>
      <c r="O710" s="36"/>
      <c r="P710" s="36"/>
      <c r="Q710" s="36"/>
      <c r="R710" s="105"/>
      <c r="S710" s="36"/>
      <c r="T710" s="36"/>
      <c r="U710" s="36"/>
      <c r="V710" s="105"/>
      <c r="W710" s="36"/>
      <c r="X710" s="36"/>
      <c r="Y710" s="36"/>
      <c r="Z710" s="105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42"/>
      <c r="AO710" s="42"/>
      <c r="AP710" s="36"/>
      <c r="AQ710" s="36"/>
      <c r="AR710" s="42"/>
      <c r="AS710" s="42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</row>
    <row r="711" spans="1:56" ht="15.75" x14ac:dyDescent="0.25">
      <c r="A711" s="44"/>
      <c r="B711" s="36"/>
      <c r="C711" s="36"/>
      <c r="D711" s="36"/>
      <c r="E711" s="36"/>
      <c r="F711" s="36"/>
      <c r="G711" s="36"/>
      <c r="H711" s="36"/>
      <c r="I711" s="36"/>
      <c r="J711" s="105"/>
      <c r="K711" s="36"/>
      <c r="L711" s="36"/>
      <c r="M711" s="36"/>
      <c r="N711" s="105"/>
      <c r="O711" s="36"/>
      <c r="P711" s="36"/>
      <c r="Q711" s="36"/>
      <c r="R711" s="105"/>
      <c r="S711" s="36"/>
      <c r="T711" s="36"/>
      <c r="U711" s="36"/>
      <c r="V711" s="105"/>
      <c r="W711" s="36"/>
      <c r="X711" s="36"/>
      <c r="Y711" s="36"/>
      <c r="Z711" s="105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42"/>
      <c r="AO711" s="42"/>
      <c r="AP711" s="36"/>
      <c r="AQ711" s="36"/>
      <c r="AR711" s="42"/>
      <c r="AS711" s="42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</row>
    <row r="712" spans="1:56" ht="15.75" x14ac:dyDescent="0.25">
      <c r="A712" s="44"/>
      <c r="B712" s="36"/>
      <c r="C712" s="36"/>
      <c r="D712" s="36"/>
      <c r="E712" s="36"/>
      <c r="F712" s="36"/>
      <c r="G712" s="36"/>
      <c r="H712" s="36"/>
      <c r="I712" s="36"/>
      <c r="J712" s="105"/>
      <c r="K712" s="36"/>
      <c r="L712" s="36"/>
      <c r="M712" s="36"/>
      <c r="N712" s="105"/>
      <c r="O712" s="36"/>
      <c r="P712" s="36"/>
      <c r="Q712" s="36"/>
      <c r="R712" s="105"/>
      <c r="S712" s="36"/>
      <c r="T712" s="36"/>
      <c r="U712" s="36"/>
      <c r="V712" s="105"/>
      <c r="W712" s="36"/>
      <c r="X712" s="36"/>
      <c r="Y712" s="36"/>
      <c r="Z712" s="105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42"/>
      <c r="AO712" s="42"/>
      <c r="AP712" s="36"/>
      <c r="AQ712" s="36"/>
      <c r="AR712" s="42"/>
      <c r="AS712" s="42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</row>
    <row r="713" spans="1:56" ht="15.75" x14ac:dyDescent="0.25">
      <c r="A713" s="44"/>
      <c r="B713" s="36"/>
      <c r="C713" s="36"/>
      <c r="D713" s="36"/>
      <c r="E713" s="36"/>
      <c r="F713" s="36"/>
      <c r="G713" s="36"/>
      <c r="H713" s="36"/>
      <c r="I713" s="36"/>
      <c r="J713" s="105"/>
      <c r="K713" s="36"/>
      <c r="L713" s="36"/>
      <c r="M713" s="36"/>
      <c r="N713" s="105"/>
      <c r="O713" s="36"/>
      <c r="P713" s="36"/>
      <c r="Q713" s="36"/>
      <c r="R713" s="105"/>
      <c r="S713" s="36"/>
      <c r="T713" s="36"/>
      <c r="U713" s="36"/>
      <c r="V713" s="105"/>
      <c r="W713" s="36"/>
      <c r="X713" s="36"/>
      <c r="Y713" s="36"/>
      <c r="Z713" s="105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42"/>
      <c r="AO713" s="42"/>
      <c r="AP713" s="36"/>
      <c r="AQ713" s="36"/>
      <c r="AR713" s="42"/>
      <c r="AS713" s="42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</row>
    <row r="714" spans="1:56" ht="15.75" x14ac:dyDescent="0.25">
      <c r="A714" s="44"/>
      <c r="B714" s="36"/>
      <c r="C714" s="36"/>
      <c r="D714" s="36"/>
      <c r="E714" s="36"/>
      <c r="F714" s="36"/>
      <c r="G714" s="36"/>
      <c r="H714" s="36"/>
      <c r="I714" s="36"/>
      <c r="J714" s="105"/>
      <c r="K714" s="36"/>
      <c r="L714" s="36"/>
      <c r="M714" s="36"/>
      <c r="N714" s="105"/>
      <c r="O714" s="36"/>
      <c r="P714" s="36"/>
      <c r="Q714" s="36"/>
      <c r="R714" s="105"/>
      <c r="S714" s="36"/>
      <c r="T714" s="36"/>
      <c r="U714" s="36"/>
      <c r="V714" s="105"/>
      <c r="W714" s="36"/>
      <c r="X714" s="36"/>
      <c r="Y714" s="36"/>
      <c r="Z714" s="105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42"/>
      <c r="AO714" s="42"/>
      <c r="AP714" s="36"/>
      <c r="AQ714" s="36"/>
      <c r="AR714" s="42"/>
      <c r="AS714" s="42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</row>
    <row r="715" spans="1:56" ht="15.75" x14ac:dyDescent="0.25">
      <c r="A715" s="44"/>
      <c r="B715" s="36"/>
      <c r="C715" s="36"/>
      <c r="D715" s="36"/>
      <c r="E715" s="36"/>
      <c r="F715" s="36"/>
      <c r="G715" s="36"/>
      <c r="H715" s="36"/>
      <c r="I715" s="36"/>
      <c r="J715" s="105"/>
      <c r="K715" s="36"/>
      <c r="L715" s="36"/>
      <c r="M715" s="36"/>
      <c r="N715" s="105"/>
      <c r="O715" s="36"/>
      <c r="P715" s="36"/>
      <c r="Q715" s="36"/>
      <c r="R715" s="105"/>
      <c r="S715" s="36"/>
      <c r="T715" s="36"/>
      <c r="U715" s="36"/>
      <c r="V715" s="105"/>
      <c r="W715" s="36"/>
      <c r="X715" s="36"/>
      <c r="Y715" s="36"/>
      <c r="Z715" s="105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42"/>
      <c r="AO715" s="42"/>
      <c r="AP715" s="36"/>
      <c r="AQ715" s="36"/>
      <c r="AR715" s="42"/>
      <c r="AS715" s="42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</row>
    <row r="716" spans="1:56" ht="15.75" x14ac:dyDescent="0.25">
      <c r="A716" s="44"/>
      <c r="B716" s="36"/>
      <c r="C716" s="36"/>
      <c r="D716" s="36"/>
      <c r="E716" s="36"/>
      <c r="F716" s="36"/>
      <c r="G716" s="36"/>
      <c r="H716" s="36"/>
      <c r="I716" s="36"/>
      <c r="J716" s="105"/>
      <c r="K716" s="36"/>
      <c r="L716" s="36"/>
      <c r="M716" s="36"/>
      <c r="N716" s="105"/>
      <c r="O716" s="36"/>
      <c r="P716" s="36"/>
      <c r="Q716" s="36"/>
      <c r="R716" s="105"/>
      <c r="S716" s="36"/>
      <c r="T716" s="36"/>
      <c r="U716" s="36"/>
      <c r="V716" s="105"/>
      <c r="W716" s="36"/>
      <c r="X716" s="36"/>
      <c r="Y716" s="36"/>
      <c r="Z716" s="105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42"/>
      <c r="AO716" s="42"/>
      <c r="AP716" s="36"/>
      <c r="AQ716" s="36"/>
      <c r="AR716" s="42"/>
      <c r="AS716" s="42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</row>
    <row r="717" spans="1:56" ht="15.75" x14ac:dyDescent="0.25">
      <c r="A717" s="44"/>
      <c r="B717" s="36"/>
      <c r="C717" s="36"/>
      <c r="D717" s="36"/>
      <c r="E717" s="36"/>
      <c r="F717" s="36"/>
      <c r="G717" s="36"/>
      <c r="H717" s="36"/>
      <c r="I717" s="36"/>
      <c r="J717" s="105"/>
      <c r="K717" s="36"/>
      <c r="L717" s="36"/>
      <c r="M717" s="36"/>
      <c r="N717" s="105"/>
      <c r="O717" s="36"/>
      <c r="P717" s="36"/>
      <c r="Q717" s="36"/>
      <c r="R717" s="105"/>
      <c r="S717" s="36"/>
      <c r="T717" s="36"/>
      <c r="U717" s="36"/>
      <c r="V717" s="105"/>
      <c r="W717" s="36"/>
      <c r="X717" s="36"/>
      <c r="Y717" s="36"/>
      <c r="Z717" s="105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42"/>
      <c r="AO717" s="42"/>
      <c r="AP717" s="36"/>
      <c r="AQ717" s="36"/>
      <c r="AR717" s="42"/>
      <c r="AS717" s="42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</row>
    <row r="718" spans="1:56" ht="15.75" x14ac:dyDescent="0.25">
      <c r="A718" s="44"/>
      <c r="B718" s="36"/>
      <c r="C718" s="36"/>
      <c r="D718" s="36"/>
      <c r="E718" s="36"/>
      <c r="F718" s="36"/>
      <c r="G718" s="36"/>
      <c r="H718" s="36"/>
      <c r="I718" s="36"/>
      <c r="J718" s="105"/>
      <c r="K718" s="36"/>
      <c r="L718" s="36"/>
      <c r="M718" s="36"/>
      <c r="N718" s="105"/>
      <c r="O718" s="36"/>
      <c r="P718" s="36"/>
      <c r="Q718" s="36"/>
      <c r="R718" s="105"/>
      <c r="S718" s="36"/>
      <c r="T718" s="36"/>
      <c r="U718" s="36"/>
      <c r="V718" s="105"/>
      <c r="W718" s="36"/>
      <c r="X718" s="36"/>
      <c r="Y718" s="36"/>
      <c r="Z718" s="105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42"/>
      <c r="AO718" s="42"/>
      <c r="AP718" s="36"/>
      <c r="AQ718" s="36"/>
      <c r="AR718" s="42"/>
      <c r="AS718" s="42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</row>
    <row r="719" spans="1:56" ht="15.75" x14ac:dyDescent="0.25">
      <c r="A719" s="44"/>
      <c r="B719" s="36"/>
      <c r="C719" s="36"/>
      <c r="D719" s="36"/>
      <c r="E719" s="36"/>
      <c r="F719" s="36"/>
      <c r="G719" s="36"/>
      <c r="H719" s="36"/>
      <c r="I719" s="36"/>
      <c r="J719" s="105"/>
      <c r="K719" s="36"/>
      <c r="L719" s="36"/>
      <c r="M719" s="36"/>
      <c r="N719" s="105"/>
      <c r="O719" s="36"/>
      <c r="P719" s="36"/>
      <c r="Q719" s="36"/>
      <c r="R719" s="105"/>
      <c r="S719" s="36"/>
      <c r="T719" s="36"/>
      <c r="U719" s="36"/>
      <c r="V719" s="105"/>
      <c r="W719" s="36"/>
      <c r="X719" s="36"/>
      <c r="Y719" s="36"/>
      <c r="Z719" s="105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42"/>
      <c r="AO719" s="42"/>
      <c r="AP719" s="36"/>
      <c r="AQ719" s="36"/>
      <c r="AR719" s="42"/>
      <c r="AS719" s="42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</row>
    <row r="720" spans="1:56" ht="15.75" x14ac:dyDescent="0.25">
      <c r="A720" s="44"/>
      <c r="B720" s="36"/>
      <c r="C720" s="36"/>
      <c r="D720" s="36"/>
      <c r="E720" s="36"/>
      <c r="F720" s="36"/>
      <c r="G720" s="36"/>
      <c r="H720" s="36"/>
      <c r="I720" s="36"/>
      <c r="J720" s="105"/>
      <c r="K720" s="36"/>
      <c r="L720" s="36"/>
      <c r="M720" s="36"/>
      <c r="N720" s="105"/>
      <c r="O720" s="36"/>
      <c r="P720" s="36"/>
      <c r="Q720" s="36"/>
      <c r="R720" s="105"/>
      <c r="S720" s="36"/>
      <c r="T720" s="36"/>
      <c r="U720" s="36"/>
      <c r="V720" s="105"/>
      <c r="W720" s="36"/>
      <c r="X720" s="36"/>
      <c r="Y720" s="36"/>
      <c r="Z720" s="105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42"/>
      <c r="AO720" s="42"/>
      <c r="AP720" s="36"/>
      <c r="AQ720" s="36"/>
      <c r="AR720" s="42"/>
      <c r="AS720" s="42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</row>
    <row r="721" spans="1:56" ht="15.75" x14ac:dyDescent="0.25">
      <c r="A721" s="44"/>
      <c r="B721" s="36"/>
      <c r="C721" s="36"/>
      <c r="D721" s="36"/>
      <c r="E721" s="36"/>
      <c r="F721" s="36"/>
      <c r="G721" s="36"/>
      <c r="H721" s="36"/>
      <c r="I721" s="36"/>
      <c r="J721" s="105"/>
      <c r="K721" s="36"/>
      <c r="L721" s="36"/>
      <c r="M721" s="36"/>
      <c r="N721" s="105"/>
      <c r="O721" s="36"/>
      <c r="P721" s="36"/>
      <c r="Q721" s="36"/>
      <c r="R721" s="105"/>
      <c r="S721" s="36"/>
      <c r="T721" s="36"/>
      <c r="U721" s="36"/>
      <c r="V721" s="105"/>
      <c r="W721" s="36"/>
      <c r="X721" s="36"/>
      <c r="Y721" s="36"/>
      <c r="Z721" s="105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42"/>
      <c r="AO721" s="42"/>
      <c r="AP721" s="36"/>
      <c r="AQ721" s="36"/>
      <c r="AR721" s="42"/>
      <c r="AS721" s="42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</row>
    <row r="722" spans="1:56" ht="15.75" x14ac:dyDescent="0.25">
      <c r="A722" s="44"/>
      <c r="B722" s="36"/>
      <c r="C722" s="36"/>
      <c r="D722" s="36"/>
      <c r="E722" s="36"/>
      <c r="F722" s="36"/>
      <c r="G722" s="36"/>
      <c r="H722" s="36"/>
      <c r="I722" s="36"/>
      <c r="J722" s="105"/>
      <c r="K722" s="36"/>
      <c r="L722" s="36"/>
      <c r="M722" s="36"/>
      <c r="N722" s="105"/>
      <c r="O722" s="36"/>
      <c r="P722" s="36"/>
      <c r="Q722" s="36"/>
      <c r="R722" s="105"/>
      <c r="S722" s="36"/>
      <c r="T722" s="36"/>
      <c r="U722" s="36"/>
      <c r="V722" s="105"/>
      <c r="W722" s="36"/>
      <c r="X722" s="36"/>
      <c r="Y722" s="36"/>
      <c r="Z722" s="105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42"/>
      <c r="AO722" s="42"/>
      <c r="AP722" s="36"/>
      <c r="AQ722" s="36"/>
      <c r="AR722" s="42"/>
      <c r="AS722" s="42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</row>
    <row r="723" spans="1:56" ht="15.75" x14ac:dyDescent="0.25">
      <c r="A723" s="44"/>
      <c r="B723" s="36"/>
      <c r="C723" s="36"/>
      <c r="D723" s="36"/>
      <c r="E723" s="36"/>
      <c r="F723" s="36"/>
      <c r="G723" s="36"/>
      <c r="H723" s="36"/>
      <c r="I723" s="36"/>
      <c r="J723" s="105"/>
      <c r="K723" s="36"/>
      <c r="L723" s="36"/>
      <c r="M723" s="36"/>
      <c r="N723" s="105"/>
      <c r="O723" s="36"/>
      <c r="P723" s="36"/>
      <c r="Q723" s="36"/>
      <c r="R723" s="105"/>
      <c r="S723" s="36"/>
      <c r="T723" s="36"/>
      <c r="U723" s="36"/>
      <c r="V723" s="105"/>
      <c r="W723" s="36"/>
      <c r="X723" s="36"/>
      <c r="Y723" s="36"/>
      <c r="Z723" s="105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42"/>
      <c r="AO723" s="42"/>
      <c r="AP723" s="36"/>
      <c r="AQ723" s="36"/>
      <c r="AR723" s="42"/>
      <c r="AS723" s="42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</row>
    <row r="724" spans="1:56" ht="15.75" x14ac:dyDescent="0.25">
      <c r="A724" s="44"/>
      <c r="B724" s="36"/>
      <c r="C724" s="36"/>
      <c r="D724" s="36"/>
      <c r="E724" s="36"/>
      <c r="F724" s="36"/>
      <c r="G724" s="36"/>
      <c r="H724" s="36"/>
      <c r="I724" s="36"/>
      <c r="J724" s="105"/>
      <c r="K724" s="36"/>
      <c r="L724" s="36"/>
      <c r="M724" s="36"/>
      <c r="N724" s="105"/>
      <c r="O724" s="36"/>
      <c r="P724" s="36"/>
      <c r="Q724" s="36"/>
      <c r="R724" s="105"/>
      <c r="S724" s="36"/>
      <c r="T724" s="36"/>
      <c r="U724" s="36"/>
      <c r="V724" s="105"/>
      <c r="W724" s="36"/>
      <c r="X724" s="36"/>
      <c r="Y724" s="36"/>
      <c r="Z724" s="105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42"/>
      <c r="AO724" s="42"/>
      <c r="AP724" s="36"/>
      <c r="AQ724" s="36"/>
      <c r="AR724" s="42"/>
      <c r="AS724" s="42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</row>
    <row r="725" spans="1:56" ht="15.75" x14ac:dyDescent="0.25">
      <c r="A725" s="44"/>
      <c r="B725" s="36"/>
      <c r="C725" s="36"/>
      <c r="D725" s="36"/>
      <c r="E725" s="36"/>
      <c r="F725" s="36"/>
      <c r="G725" s="36"/>
      <c r="H725" s="36"/>
      <c r="I725" s="36"/>
      <c r="J725" s="105"/>
      <c r="K725" s="36"/>
      <c r="L725" s="36"/>
      <c r="M725" s="36"/>
      <c r="N725" s="105"/>
      <c r="O725" s="36"/>
      <c r="P725" s="36"/>
      <c r="Q725" s="36"/>
      <c r="R725" s="105"/>
      <c r="S725" s="36"/>
      <c r="T725" s="36"/>
      <c r="U725" s="36"/>
      <c r="V725" s="105"/>
      <c r="W725" s="36"/>
      <c r="X725" s="36"/>
      <c r="Y725" s="36"/>
      <c r="Z725" s="105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42"/>
      <c r="AO725" s="42"/>
      <c r="AP725" s="36"/>
      <c r="AQ725" s="36"/>
      <c r="AR725" s="42"/>
      <c r="AS725" s="42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</row>
    <row r="726" spans="1:56" ht="15.75" x14ac:dyDescent="0.25">
      <c r="A726" s="44"/>
      <c r="B726" s="36"/>
      <c r="C726" s="36"/>
      <c r="D726" s="36"/>
      <c r="E726" s="36"/>
      <c r="F726" s="36"/>
      <c r="G726" s="36"/>
      <c r="H726" s="36"/>
      <c r="I726" s="36"/>
      <c r="J726" s="105"/>
      <c r="K726" s="36"/>
      <c r="L726" s="36"/>
      <c r="M726" s="36"/>
      <c r="N726" s="105"/>
      <c r="O726" s="36"/>
      <c r="P726" s="36"/>
      <c r="Q726" s="36"/>
      <c r="R726" s="105"/>
      <c r="S726" s="36"/>
      <c r="T726" s="36"/>
      <c r="U726" s="36"/>
      <c r="V726" s="105"/>
      <c r="W726" s="36"/>
      <c r="X726" s="36"/>
      <c r="Y726" s="36"/>
      <c r="Z726" s="105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42"/>
      <c r="AO726" s="42"/>
      <c r="AP726" s="36"/>
      <c r="AQ726" s="36"/>
      <c r="AR726" s="42"/>
      <c r="AS726" s="42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</row>
    <row r="727" spans="1:56" ht="15.75" x14ac:dyDescent="0.25">
      <c r="A727" s="44"/>
      <c r="B727" s="36"/>
      <c r="C727" s="36"/>
      <c r="D727" s="36"/>
      <c r="E727" s="36"/>
      <c r="F727" s="36"/>
      <c r="G727" s="36"/>
      <c r="H727" s="36"/>
      <c r="I727" s="36"/>
      <c r="J727" s="105"/>
      <c r="K727" s="36"/>
      <c r="L727" s="36"/>
      <c r="M727" s="36"/>
      <c r="N727" s="105"/>
      <c r="O727" s="36"/>
      <c r="P727" s="36"/>
      <c r="Q727" s="36"/>
      <c r="R727" s="105"/>
      <c r="S727" s="36"/>
      <c r="T727" s="36"/>
      <c r="U727" s="36"/>
      <c r="V727" s="105"/>
      <c r="W727" s="36"/>
      <c r="X727" s="36"/>
      <c r="Y727" s="36"/>
      <c r="Z727" s="105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42"/>
      <c r="AO727" s="42"/>
      <c r="AP727" s="36"/>
      <c r="AQ727" s="36"/>
      <c r="AR727" s="42"/>
      <c r="AS727" s="42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</row>
    <row r="728" spans="1:56" ht="15.75" x14ac:dyDescent="0.25">
      <c r="A728" s="44"/>
      <c r="B728" s="36"/>
      <c r="C728" s="36"/>
      <c r="D728" s="36"/>
      <c r="E728" s="36"/>
      <c r="F728" s="36"/>
      <c r="G728" s="36"/>
      <c r="H728" s="36"/>
      <c r="I728" s="36"/>
      <c r="J728" s="105"/>
      <c r="K728" s="36"/>
      <c r="L728" s="36"/>
      <c r="M728" s="36"/>
      <c r="N728" s="105"/>
      <c r="O728" s="36"/>
      <c r="P728" s="36"/>
      <c r="Q728" s="36"/>
      <c r="R728" s="105"/>
      <c r="S728" s="36"/>
      <c r="T728" s="36"/>
      <c r="U728" s="36"/>
      <c r="V728" s="105"/>
      <c r="W728" s="36"/>
      <c r="X728" s="36"/>
      <c r="Y728" s="36"/>
      <c r="Z728" s="105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42"/>
      <c r="AO728" s="42"/>
      <c r="AP728" s="36"/>
      <c r="AQ728" s="36"/>
      <c r="AR728" s="42"/>
      <c r="AS728" s="42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</row>
    <row r="729" spans="1:56" ht="15.75" x14ac:dyDescent="0.25">
      <c r="A729" s="44"/>
      <c r="B729" s="36"/>
      <c r="C729" s="36"/>
      <c r="D729" s="36"/>
      <c r="E729" s="36"/>
      <c r="F729" s="36"/>
      <c r="G729" s="36"/>
      <c r="H729" s="36"/>
      <c r="I729" s="36"/>
      <c r="J729" s="105"/>
      <c r="K729" s="36"/>
      <c r="L729" s="36"/>
      <c r="M729" s="36"/>
      <c r="N729" s="105"/>
      <c r="O729" s="36"/>
      <c r="P729" s="36"/>
      <c r="Q729" s="36"/>
      <c r="R729" s="105"/>
      <c r="S729" s="36"/>
      <c r="T729" s="36"/>
      <c r="U729" s="36"/>
      <c r="V729" s="105"/>
      <c r="W729" s="36"/>
      <c r="X729" s="36"/>
      <c r="Y729" s="36"/>
      <c r="Z729" s="105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42"/>
      <c r="AO729" s="42"/>
      <c r="AP729" s="36"/>
      <c r="AQ729" s="36"/>
      <c r="AR729" s="42"/>
      <c r="AS729" s="42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</row>
    <row r="730" spans="1:56" ht="15.75" x14ac:dyDescent="0.25">
      <c r="A730" s="44"/>
      <c r="B730" s="36"/>
      <c r="C730" s="36"/>
      <c r="D730" s="36"/>
      <c r="E730" s="36"/>
      <c r="F730" s="36"/>
      <c r="G730" s="36"/>
      <c r="H730" s="36"/>
      <c r="I730" s="36"/>
      <c r="J730" s="105"/>
      <c r="K730" s="36"/>
      <c r="L730" s="36"/>
      <c r="M730" s="36"/>
      <c r="N730" s="105"/>
      <c r="O730" s="36"/>
      <c r="P730" s="36"/>
      <c r="Q730" s="36"/>
      <c r="R730" s="105"/>
      <c r="S730" s="36"/>
      <c r="T730" s="36"/>
      <c r="U730" s="36"/>
      <c r="V730" s="105"/>
      <c r="W730" s="36"/>
      <c r="X730" s="36"/>
      <c r="Y730" s="36"/>
      <c r="Z730" s="105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42"/>
      <c r="AO730" s="42"/>
      <c r="AP730" s="36"/>
      <c r="AQ730" s="36"/>
      <c r="AR730" s="42"/>
      <c r="AS730" s="42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</row>
    <row r="731" spans="1:56" ht="15.75" x14ac:dyDescent="0.25">
      <c r="A731" s="44"/>
      <c r="B731" s="36"/>
      <c r="C731" s="36"/>
      <c r="D731" s="36"/>
      <c r="E731" s="36"/>
      <c r="F731" s="36"/>
      <c r="G731" s="36"/>
      <c r="H731" s="36"/>
      <c r="I731" s="36"/>
      <c r="J731" s="105"/>
      <c r="K731" s="36"/>
      <c r="L731" s="36"/>
      <c r="M731" s="36"/>
      <c r="N731" s="105"/>
      <c r="O731" s="36"/>
      <c r="P731" s="36"/>
      <c r="Q731" s="36"/>
      <c r="R731" s="105"/>
      <c r="S731" s="36"/>
      <c r="T731" s="36"/>
      <c r="U731" s="36"/>
      <c r="V731" s="105"/>
      <c r="W731" s="36"/>
      <c r="X731" s="36"/>
      <c r="Y731" s="36"/>
      <c r="Z731" s="105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42"/>
      <c r="AO731" s="42"/>
      <c r="AP731" s="36"/>
      <c r="AQ731" s="36"/>
      <c r="AR731" s="42"/>
      <c r="AS731" s="42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</row>
    <row r="732" spans="1:56" ht="15.75" x14ac:dyDescent="0.25">
      <c r="A732" s="44"/>
      <c r="B732" s="36"/>
      <c r="C732" s="36"/>
      <c r="D732" s="36"/>
      <c r="E732" s="36"/>
      <c r="F732" s="36"/>
      <c r="G732" s="36"/>
      <c r="H732" s="36"/>
      <c r="I732" s="36"/>
      <c r="J732" s="105"/>
      <c r="K732" s="36"/>
      <c r="L732" s="36"/>
      <c r="M732" s="36"/>
      <c r="N732" s="105"/>
      <c r="O732" s="36"/>
      <c r="P732" s="36"/>
      <c r="Q732" s="36"/>
      <c r="R732" s="105"/>
      <c r="S732" s="36"/>
      <c r="T732" s="36"/>
      <c r="U732" s="36"/>
      <c r="V732" s="105"/>
      <c r="W732" s="36"/>
      <c r="X732" s="36"/>
      <c r="Y732" s="36"/>
      <c r="Z732" s="105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42"/>
      <c r="AO732" s="42"/>
      <c r="AP732" s="36"/>
      <c r="AQ732" s="36"/>
      <c r="AR732" s="42"/>
      <c r="AS732" s="42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</row>
    <row r="733" spans="1:56" ht="15.75" x14ac:dyDescent="0.25">
      <c r="A733" s="44"/>
      <c r="B733" s="36"/>
      <c r="C733" s="36"/>
      <c r="D733" s="36"/>
      <c r="E733" s="36"/>
      <c r="F733" s="36"/>
      <c r="G733" s="36"/>
      <c r="H733" s="36"/>
      <c r="I733" s="36"/>
      <c r="J733" s="105"/>
      <c r="K733" s="36"/>
      <c r="L733" s="36"/>
      <c r="M733" s="36"/>
      <c r="N733" s="105"/>
      <c r="O733" s="36"/>
      <c r="P733" s="36"/>
      <c r="Q733" s="36"/>
      <c r="R733" s="105"/>
      <c r="S733" s="36"/>
      <c r="T733" s="36"/>
      <c r="U733" s="36"/>
      <c r="V733" s="105"/>
      <c r="W733" s="36"/>
      <c r="X733" s="36"/>
      <c r="Y733" s="36"/>
      <c r="Z733" s="105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42"/>
      <c r="AO733" s="42"/>
      <c r="AP733" s="36"/>
      <c r="AQ733" s="36"/>
      <c r="AR733" s="42"/>
      <c r="AS733" s="42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</row>
    <row r="734" spans="1:56" ht="15.75" x14ac:dyDescent="0.25">
      <c r="A734" s="44"/>
      <c r="B734" s="36"/>
      <c r="C734" s="36"/>
      <c r="D734" s="36"/>
      <c r="E734" s="36"/>
      <c r="F734" s="36"/>
      <c r="G734" s="36"/>
      <c r="H734" s="36"/>
      <c r="I734" s="36"/>
      <c r="J734" s="105"/>
      <c r="K734" s="36"/>
      <c r="L734" s="36"/>
      <c r="M734" s="36"/>
      <c r="N734" s="105"/>
      <c r="O734" s="36"/>
      <c r="P734" s="36"/>
      <c r="Q734" s="36"/>
      <c r="R734" s="105"/>
      <c r="S734" s="36"/>
      <c r="T734" s="36"/>
      <c r="U734" s="36"/>
      <c r="V734" s="105"/>
      <c r="W734" s="36"/>
      <c r="X734" s="36"/>
      <c r="Y734" s="36"/>
      <c r="Z734" s="105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42"/>
      <c r="AO734" s="42"/>
      <c r="AP734" s="36"/>
      <c r="AQ734" s="36"/>
      <c r="AR734" s="42"/>
      <c r="AS734" s="42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</row>
    <row r="735" spans="1:56" ht="15.75" x14ac:dyDescent="0.25">
      <c r="A735" s="44"/>
      <c r="B735" s="36"/>
      <c r="C735" s="36"/>
      <c r="D735" s="36"/>
      <c r="E735" s="36"/>
      <c r="F735" s="36"/>
      <c r="G735" s="36"/>
      <c r="H735" s="36"/>
      <c r="I735" s="36"/>
      <c r="J735" s="105"/>
      <c r="K735" s="36"/>
      <c r="L735" s="36"/>
      <c r="M735" s="36"/>
      <c r="N735" s="105"/>
      <c r="O735" s="36"/>
      <c r="P735" s="36"/>
      <c r="Q735" s="36"/>
      <c r="R735" s="105"/>
      <c r="S735" s="36"/>
      <c r="T735" s="36"/>
      <c r="U735" s="36"/>
      <c r="V735" s="105"/>
      <c r="W735" s="36"/>
      <c r="X735" s="36"/>
      <c r="Y735" s="36"/>
      <c r="Z735" s="105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42"/>
      <c r="AO735" s="42"/>
      <c r="AP735" s="36"/>
      <c r="AQ735" s="36"/>
      <c r="AR735" s="42"/>
      <c r="AS735" s="42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</row>
    <row r="736" spans="1:56" ht="15.75" x14ac:dyDescent="0.25">
      <c r="A736" s="44"/>
      <c r="B736" s="36"/>
      <c r="C736" s="36"/>
      <c r="D736" s="36"/>
      <c r="E736" s="36"/>
      <c r="F736" s="36"/>
      <c r="G736" s="36"/>
      <c r="H736" s="36"/>
      <c r="I736" s="36"/>
      <c r="J736" s="105"/>
      <c r="K736" s="36"/>
      <c r="L736" s="36"/>
      <c r="M736" s="36"/>
      <c r="N736" s="105"/>
      <c r="O736" s="36"/>
      <c r="P736" s="36"/>
      <c r="Q736" s="36"/>
      <c r="R736" s="105"/>
      <c r="S736" s="36"/>
      <c r="T736" s="36"/>
      <c r="U736" s="36"/>
      <c r="V736" s="105"/>
      <c r="W736" s="36"/>
      <c r="X736" s="36"/>
      <c r="Y736" s="36"/>
      <c r="Z736" s="105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42"/>
      <c r="AO736" s="42"/>
      <c r="AP736" s="36"/>
      <c r="AQ736" s="36"/>
      <c r="AR736" s="42"/>
      <c r="AS736" s="42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</row>
    <row r="737" spans="1:56" ht="15.75" x14ac:dyDescent="0.25">
      <c r="A737" s="44"/>
      <c r="B737" s="36"/>
      <c r="C737" s="36"/>
      <c r="D737" s="36"/>
      <c r="E737" s="36"/>
      <c r="F737" s="36"/>
      <c r="G737" s="36"/>
      <c r="H737" s="36"/>
      <c r="I737" s="36"/>
      <c r="J737" s="105"/>
      <c r="K737" s="36"/>
      <c r="L737" s="36"/>
      <c r="M737" s="36"/>
      <c r="N737" s="105"/>
      <c r="O737" s="36"/>
      <c r="P737" s="36"/>
      <c r="Q737" s="36"/>
      <c r="R737" s="105"/>
      <c r="S737" s="36"/>
      <c r="T737" s="36"/>
      <c r="U737" s="36"/>
      <c r="V737" s="105"/>
      <c r="W737" s="36"/>
      <c r="X737" s="36"/>
      <c r="Y737" s="36"/>
      <c r="Z737" s="105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42"/>
      <c r="AO737" s="42"/>
      <c r="AP737" s="36"/>
      <c r="AQ737" s="36"/>
      <c r="AR737" s="42"/>
      <c r="AS737" s="42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</row>
    <row r="738" spans="1:56" ht="15.75" x14ac:dyDescent="0.25">
      <c r="A738" s="44"/>
      <c r="B738" s="36"/>
      <c r="C738" s="36"/>
      <c r="D738" s="36"/>
      <c r="E738" s="36"/>
      <c r="F738" s="36"/>
      <c r="G738" s="36"/>
      <c r="H738" s="36"/>
      <c r="I738" s="36"/>
      <c r="J738" s="105"/>
      <c r="K738" s="36"/>
      <c r="L738" s="36"/>
      <c r="M738" s="36"/>
      <c r="N738" s="105"/>
      <c r="O738" s="36"/>
      <c r="P738" s="36"/>
      <c r="Q738" s="36"/>
      <c r="R738" s="105"/>
      <c r="S738" s="36"/>
      <c r="T738" s="36"/>
      <c r="U738" s="36"/>
      <c r="V738" s="105"/>
      <c r="W738" s="36"/>
      <c r="X738" s="36"/>
      <c r="Y738" s="36"/>
      <c r="Z738" s="105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42"/>
      <c r="AO738" s="42"/>
      <c r="AP738" s="36"/>
      <c r="AQ738" s="36"/>
      <c r="AR738" s="42"/>
      <c r="AS738" s="42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</row>
    <row r="739" spans="1:56" ht="15.75" x14ac:dyDescent="0.25">
      <c r="A739" s="44"/>
      <c r="B739" s="36"/>
      <c r="C739" s="36"/>
      <c r="D739" s="36"/>
      <c r="E739" s="36"/>
      <c r="F739" s="36"/>
      <c r="G739" s="36"/>
      <c r="H739" s="36"/>
      <c r="I739" s="36"/>
      <c r="J739" s="105"/>
      <c r="K739" s="36"/>
      <c r="L739" s="36"/>
      <c r="M739" s="36"/>
      <c r="N739" s="105"/>
      <c r="O739" s="36"/>
      <c r="P739" s="36"/>
      <c r="Q739" s="36"/>
      <c r="R739" s="105"/>
      <c r="S739" s="36"/>
      <c r="T739" s="36"/>
      <c r="U739" s="36"/>
      <c r="V739" s="105"/>
      <c r="W739" s="36"/>
      <c r="X739" s="36"/>
      <c r="Y739" s="36"/>
      <c r="Z739" s="105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42"/>
      <c r="AO739" s="42"/>
      <c r="AP739" s="36"/>
      <c r="AQ739" s="36"/>
      <c r="AR739" s="42"/>
      <c r="AS739" s="42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</row>
    <row r="740" spans="1:56" ht="15.75" x14ac:dyDescent="0.25">
      <c r="A740" s="44"/>
      <c r="B740" s="36"/>
      <c r="C740" s="36"/>
      <c r="D740" s="36"/>
      <c r="E740" s="36"/>
      <c r="F740" s="36"/>
      <c r="G740" s="36"/>
      <c r="H740" s="36"/>
      <c r="I740" s="36"/>
      <c r="J740" s="105"/>
      <c r="K740" s="36"/>
      <c r="L740" s="36"/>
      <c r="M740" s="36"/>
      <c r="N740" s="105"/>
      <c r="O740" s="36"/>
      <c r="P740" s="36"/>
      <c r="Q740" s="36"/>
      <c r="R740" s="105"/>
      <c r="S740" s="36"/>
      <c r="T740" s="36"/>
      <c r="U740" s="36"/>
      <c r="V740" s="105"/>
      <c r="W740" s="36"/>
      <c r="X740" s="36"/>
      <c r="Y740" s="36"/>
      <c r="Z740" s="105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42"/>
      <c r="AO740" s="42"/>
      <c r="AP740" s="36"/>
      <c r="AQ740" s="36"/>
      <c r="AR740" s="42"/>
      <c r="AS740" s="42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</row>
    <row r="741" spans="1:56" ht="15.75" x14ac:dyDescent="0.25">
      <c r="A741" s="44"/>
      <c r="B741" s="36"/>
      <c r="C741" s="36"/>
      <c r="D741" s="36"/>
      <c r="E741" s="36"/>
      <c r="F741" s="36"/>
      <c r="G741" s="36"/>
      <c r="H741" s="36"/>
      <c r="I741" s="36"/>
      <c r="J741" s="105"/>
      <c r="K741" s="36"/>
      <c r="L741" s="36"/>
      <c r="M741" s="36"/>
      <c r="N741" s="105"/>
      <c r="O741" s="36"/>
      <c r="P741" s="36"/>
      <c r="Q741" s="36"/>
      <c r="R741" s="105"/>
      <c r="S741" s="36"/>
      <c r="T741" s="36"/>
      <c r="U741" s="36"/>
      <c r="V741" s="105"/>
      <c r="W741" s="36"/>
      <c r="X741" s="36"/>
      <c r="Y741" s="36"/>
      <c r="Z741" s="105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42"/>
      <c r="AO741" s="42"/>
      <c r="AP741" s="36"/>
      <c r="AQ741" s="36"/>
      <c r="AR741" s="42"/>
      <c r="AS741" s="42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</row>
    <row r="742" spans="1:56" ht="15.75" x14ac:dyDescent="0.25">
      <c r="A742" s="44"/>
      <c r="B742" s="36"/>
      <c r="C742" s="36"/>
      <c r="D742" s="36"/>
      <c r="E742" s="36"/>
      <c r="F742" s="36"/>
      <c r="G742" s="36"/>
      <c r="H742" s="36"/>
      <c r="I742" s="36"/>
      <c r="J742" s="105"/>
      <c r="K742" s="36"/>
      <c r="L742" s="36"/>
      <c r="M742" s="36"/>
      <c r="N742" s="105"/>
      <c r="O742" s="36"/>
      <c r="P742" s="36"/>
      <c r="Q742" s="36"/>
      <c r="R742" s="105"/>
      <c r="S742" s="36"/>
      <c r="T742" s="36"/>
      <c r="U742" s="36"/>
      <c r="V742" s="105"/>
      <c r="W742" s="36"/>
      <c r="X742" s="36"/>
      <c r="Y742" s="36"/>
      <c r="Z742" s="105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42"/>
      <c r="AO742" s="42"/>
      <c r="AP742" s="36"/>
      <c r="AQ742" s="36"/>
      <c r="AR742" s="42"/>
      <c r="AS742" s="42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</row>
    <row r="743" spans="1:56" ht="15.75" x14ac:dyDescent="0.25">
      <c r="A743" s="44"/>
      <c r="B743" s="36"/>
      <c r="C743" s="36"/>
      <c r="D743" s="36"/>
      <c r="E743" s="36"/>
      <c r="F743" s="36"/>
      <c r="G743" s="36"/>
      <c r="H743" s="36"/>
      <c r="I743" s="36"/>
      <c r="J743" s="105"/>
      <c r="K743" s="36"/>
      <c r="L743" s="36"/>
      <c r="M743" s="36"/>
      <c r="N743" s="105"/>
      <c r="O743" s="36"/>
      <c r="P743" s="36"/>
      <c r="Q743" s="36"/>
      <c r="R743" s="105"/>
      <c r="S743" s="36"/>
      <c r="T743" s="36"/>
      <c r="U743" s="36"/>
      <c r="V743" s="105"/>
      <c r="W743" s="36"/>
      <c r="X743" s="36"/>
      <c r="Y743" s="36"/>
      <c r="Z743" s="105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42"/>
      <c r="AO743" s="42"/>
      <c r="AP743" s="36"/>
      <c r="AQ743" s="36"/>
      <c r="AR743" s="42"/>
      <c r="AS743" s="42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</row>
    <row r="744" spans="1:56" ht="15.75" x14ac:dyDescent="0.25">
      <c r="A744" s="44"/>
      <c r="B744" s="36"/>
      <c r="C744" s="36"/>
      <c r="D744" s="36"/>
      <c r="E744" s="36"/>
      <c r="F744" s="36"/>
      <c r="G744" s="36"/>
      <c r="H744" s="36"/>
      <c r="I744" s="36"/>
      <c r="J744" s="105"/>
      <c r="K744" s="36"/>
      <c r="L744" s="36"/>
      <c r="M744" s="36"/>
      <c r="N744" s="105"/>
      <c r="O744" s="36"/>
      <c r="P744" s="36"/>
      <c r="Q744" s="36"/>
      <c r="R744" s="105"/>
      <c r="S744" s="36"/>
      <c r="T744" s="36"/>
      <c r="U744" s="36"/>
      <c r="V744" s="105"/>
      <c r="W744" s="36"/>
      <c r="X744" s="36"/>
      <c r="Y744" s="36"/>
      <c r="Z744" s="105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42"/>
      <c r="AO744" s="42"/>
      <c r="AP744" s="36"/>
      <c r="AQ744" s="36"/>
      <c r="AR744" s="42"/>
      <c r="AS744" s="42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</row>
    <row r="745" spans="1:56" ht="15.75" x14ac:dyDescent="0.25">
      <c r="A745" s="44"/>
      <c r="B745" s="36"/>
      <c r="C745" s="36"/>
      <c r="D745" s="36"/>
      <c r="E745" s="36"/>
      <c r="F745" s="36"/>
      <c r="G745" s="36"/>
      <c r="H745" s="36"/>
      <c r="I745" s="36"/>
      <c r="J745" s="105"/>
      <c r="K745" s="36"/>
      <c r="L745" s="36"/>
      <c r="M745" s="36"/>
      <c r="N745" s="105"/>
      <c r="O745" s="36"/>
      <c r="P745" s="36"/>
      <c r="Q745" s="36"/>
      <c r="R745" s="105"/>
      <c r="S745" s="36"/>
      <c r="T745" s="36"/>
      <c r="U745" s="36"/>
      <c r="V745" s="105"/>
      <c r="W745" s="36"/>
      <c r="X745" s="36"/>
      <c r="Y745" s="36"/>
      <c r="Z745" s="105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42"/>
      <c r="AO745" s="42"/>
      <c r="AP745" s="36"/>
      <c r="AQ745" s="36"/>
      <c r="AR745" s="42"/>
      <c r="AS745" s="42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</row>
    <row r="746" spans="1:56" ht="15.75" x14ac:dyDescent="0.25">
      <c r="A746" s="44"/>
      <c r="B746" s="36"/>
      <c r="C746" s="36"/>
      <c r="D746" s="36"/>
      <c r="E746" s="36"/>
      <c r="F746" s="36"/>
      <c r="G746" s="36"/>
      <c r="H746" s="36"/>
      <c r="I746" s="36"/>
      <c r="J746" s="105"/>
      <c r="K746" s="36"/>
      <c r="L746" s="36"/>
      <c r="M746" s="36"/>
      <c r="N746" s="105"/>
      <c r="O746" s="36"/>
      <c r="P746" s="36"/>
      <c r="Q746" s="36"/>
      <c r="R746" s="105"/>
      <c r="S746" s="36"/>
      <c r="T746" s="36"/>
      <c r="U746" s="36"/>
      <c r="V746" s="105"/>
      <c r="W746" s="36"/>
      <c r="X746" s="36"/>
      <c r="Y746" s="36"/>
      <c r="Z746" s="105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42"/>
      <c r="AO746" s="42"/>
      <c r="AP746" s="36"/>
      <c r="AQ746" s="36"/>
      <c r="AR746" s="42"/>
      <c r="AS746" s="42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</row>
    <row r="747" spans="1:56" ht="15.75" x14ac:dyDescent="0.25">
      <c r="A747" s="44"/>
      <c r="B747" s="36"/>
      <c r="C747" s="36"/>
      <c r="D747" s="36"/>
      <c r="E747" s="36"/>
      <c r="F747" s="36"/>
      <c r="G747" s="36"/>
      <c r="H747" s="36"/>
      <c r="I747" s="36"/>
      <c r="J747" s="105"/>
      <c r="K747" s="36"/>
      <c r="L747" s="36"/>
      <c r="M747" s="36"/>
      <c r="N747" s="105"/>
      <c r="O747" s="36"/>
      <c r="P747" s="36"/>
      <c r="Q747" s="36"/>
      <c r="R747" s="105"/>
      <c r="S747" s="36"/>
      <c r="T747" s="36"/>
      <c r="U747" s="36"/>
      <c r="V747" s="105"/>
      <c r="W747" s="36"/>
      <c r="X747" s="36"/>
      <c r="Y747" s="36"/>
      <c r="Z747" s="105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42"/>
      <c r="AO747" s="42"/>
      <c r="AP747" s="36"/>
      <c r="AQ747" s="36"/>
      <c r="AR747" s="42"/>
      <c r="AS747" s="42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</row>
    <row r="748" spans="1:56" ht="15.75" x14ac:dyDescent="0.25">
      <c r="A748" s="44"/>
      <c r="B748" s="36"/>
      <c r="C748" s="36"/>
      <c r="D748" s="36"/>
      <c r="E748" s="36"/>
      <c r="F748" s="36"/>
      <c r="G748" s="36"/>
      <c r="H748" s="36"/>
      <c r="I748" s="36"/>
      <c r="J748" s="105"/>
      <c r="K748" s="36"/>
      <c r="L748" s="36"/>
      <c r="M748" s="36"/>
      <c r="N748" s="105"/>
      <c r="O748" s="36"/>
      <c r="P748" s="36"/>
      <c r="Q748" s="36"/>
      <c r="R748" s="105"/>
      <c r="S748" s="36"/>
      <c r="T748" s="36"/>
      <c r="U748" s="36"/>
      <c r="V748" s="105"/>
      <c r="W748" s="36"/>
      <c r="X748" s="36"/>
      <c r="Y748" s="36"/>
      <c r="Z748" s="105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42"/>
      <c r="AO748" s="42"/>
      <c r="AP748" s="36"/>
      <c r="AQ748" s="36"/>
      <c r="AR748" s="42"/>
      <c r="AS748" s="42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</row>
    <row r="749" spans="1:56" ht="15.75" x14ac:dyDescent="0.25">
      <c r="A749" s="44"/>
      <c r="B749" s="36"/>
      <c r="C749" s="36"/>
      <c r="D749" s="36"/>
      <c r="E749" s="36"/>
      <c r="F749" s="36"/>
      <c r="G749" s="36"/>
      <c r="H749" s="36"/>
      <c r="I749" s="36"/>
      <c r="J749" s="105"/>
      <c r="K749" s="36"/>
      <c r="L749" s="36"/>
      <c r="M749" s="36"/>
      <c r="N749" s="105"/>
      <c r="O749" s="36"/>
      <c r="P749" s="36"/>
      <c r="Q749" s="36"/>
      <c r="R749" s="105"/>
      <c r="S749" s="36"/>
      <c r="T749" s="36"/>
      <c r="U749" s="36"/>
      <c r="V749" s="105"/>
      <c r="W749" s="36"/>
      <c r="X749" s="36"/>
      <c r="Y749" s="36"/>
      <c r="Z749" s="105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42"/>
      <c r="AO749" s="42"/>
      <c r="AP749" s="36"/>
      <c r="AQ749" s="36"/>
      <c r="AR749" s="42"/>
      <c r="AS749" s="42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</row>
    <row r="750" spans="1:56" ht="15.75" x14ac:dyDescent="0.25">
      <c r="A750" s="44"/>
      <c r="B750" s="36"/>
      <c r="C750" s="36"/>
      <c r="D750" s="36"/>
      <c r="E750" s="36"/>
      <c r="F750" s="36"/>
      <c r="G750" s="36"/>
      <c r="H750" s="36"/>
      <c r="I750" s="36"/>
      <c r="J750" s="105"/>
      <c r="K750" s="36"/>
      <c r="L750" s="36"/>
      <c r="M750" s="36"/>
      <c r="N750" s="105"/>
      <c r="O750" s="36"/>
      <c r="P750" s="36"/>
      <c r="Q750" s="36"/>
      <c r="R750" s="105"/>
      <c r="S750" s="36"/>
      <c r="T750" s="36"/>
      <c r="U750" s="36"/>
      <c r="V750" s="105"/>
      <c r="W750" s="36"/>
      <c r="X750" s="36"/>
      <c r="Y750" s="36"/>
      <c r="Z750" s="105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42"/>
      <c r="AO750" s="42"/>
      <c r="AP750" s="36"/>
      <c r="AQ750" s="36"/>
      <c r="AR750" s="42"/>
      <c r="AS750" s="42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</row>
    <row r="751" spans="1:56" ht="15.75" x14ac:dyDescent="0.25">
      <c r="A751" s="44"/>
      <c r="B751" s="36"/>
      <c r="C751" s="36"/>
      <c r="D751" s="36"/>
      <c r="E751" s="36"/>
      <c r="F751" s="36"/>
      <c r="G751" s="36"/>
      <c r="H751" s="36"/>
      <c r="I751" s="36"/>
      <c r="J751" s="105"/>
      <c r="K751" s="36"/>
      <c r="L751" s="36"/>
      <c r="M751" s="36"/>
      <c r="N751" s="105"/>
      <c r="O751" s="36"/>
      <c r="P751" s="36"/>
      <c r="Q751" s="36"/>
      <c r="R751" s="105"/>
      <c r="S751" s="36"/>
      <c r="T751" s="36"/>
      <c r="U751" s="36"/>
      <c r="V751" s="105"/>
      <c r="W751" s="36"/>
      <c r="X751" s="36"/>
      <c r="Y751" s="36"/>
      <c r="Z751" s="105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42"/>
      <c r="AO751" s="42"/>
      <c r="AP751" s="36"/>
      <c r="AQ751" s="36"/>
      <c r="AR751" s="42"/>
      <c r="AS751" s="42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</row>
    <row r="752" spans="1:56" ht="15.75" x14ac:dyDescent="0.25">
      <c r="A752" s="44"/>
      <c r="B752" s="36"/>
      <c r="C752" s="36"/>
      <c r="D752" s="36"/>
      <c r="E752" s="36"/>
      <c r="F752" s="36"/>
      <c r="G752" s="36"/>
      <c r="H752" s="36"/>
      <c r="I752" s="36"/>
      <c r="J752" s="105"/>
      <c r="K752" s="36"/>
      <c r="L752" s="36"/>
      <c r="M752" s="36"/>
      <c r="N752" s="105"/>
      <c r="O752" s="36"/>
      <c r="P752" s="36"/>
      <c r="Q752" s="36"/>
      <c r="R752" s="105"/>
      <c r="S752" s="36"/>
      <c r="T752" s="36"/>
      <c r="U752" s="36"/>
      <c r="V752" s="105"/>
      <c r="W752" s="36"/>
      <c r="X752" s="36"/>
      <c r="Y752" s="36"/>
      <c r="Z752" s="105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42"/>
      <c r="AO752" s="42"/>
      <c r="AP752" s="36"/>
      <c r="AQ752" s="36"/>
      <c r="AR752" s="42"/>
      <c r="AS752" s="42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</row>
    <row r="753" spans="1:56" ht="15.75" x14ac:dyDescent="0.25">
      <c r="A753" s="44"/>
      <c r="B753" s="36"/>
      <c r="C753" s="36"/>
      <c r="D753" s="36"/>
      <c r="E753" s="36"/>
      <c r="F753" s="36"/>
      <c r="G753" s="36"/>
      <c r="H753" s="36"/>
      <c r="I753" s="36"/>
      <c r="J753" s="105"/>
      <c r="K753" s="36"/>
      <c r="L753" s="36"/>
      <c r="M753" s="36"/>
      <c r="N753" s="105"/>
      <c r="O753" s="36"/>
      <c r="P753" s="36"/>
      <c r="Q753" s="36"/>
      <c r="R753" s="105"/>
      <c r="S753" s="36"/>
      <c r="T753" s="36"/>
      <c r="U753" s="36"/>
      <c r="V753" s="105"/>
      <c r="W753" s="36"/>
      <c r="X753" s="36"/>
      <c r="Y753" s="36"/>
      <c r="Z753" s="105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42"/>
      <c r="AO753" s="42"/>
      <c r="AP753" s="36"/>
      <c r="AQ753" s="36"/>
      <c r="AR753" s="42"/>
      <c r="AS753" s="42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</row>
    <row r="754" spans="1:56" ht="15.75" x14ac:dyDescent="0.25">
      <c r="A754" s="44"/>
      <c r="B754" s="36"/>
      <c r="C754" s="36"/>
      <c r="D754" s="36"/>
      <c r="E754" s="36"/>
      <c r="F754" s="36"/>
      <c r="G754" s="36"/>
      <c r="H754" s="36"/>
      <c r="I754" s="36"/>
      <c r="J754" s="105"/>
      <c r="K754" s="36"/>
      <c r="L754" s="36"/>
      <c r="M754" s="36"/>
      <c r="N754" s="105"/>
      <c r="O754" s="36"/>
      <c r="P754" s="36"/>
      <c r="Q754" s="36"/>
      <c r="R754" s="105"/>
      <c r="S754" s="36"/>
      <c r="T754" s="36"/>
      <c r="U754" s="36"/>
      <c r="V754" s="105"/>
      <c r="W754" s="36"/>
      <c r="X754" s="36"/>
      <c r="Y754" s="36"/>
      <c r="Z754" s="105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42"/>
      <c r="AO754" s="42"/>
      <c r="AP754" s="36"/>
      <c r="AQ754" s="36"/>
      <c r="AR754" s="42"/>
      <c r="AS754" s="42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</row>
    <row r="755" spans="1:56" ht="15.75" x14ac:dyDescent="0.25">
      <c r="A755" s="44"/>
      <c r="B755" s="36"/>
      <c r="C755" s="36"/>
      <c r="D755" s="36"/>
      <c r="E755" s="36"/>
      <c r="F755" s="36"/>
      <c r="G755" s="36"/>
      <c r="H755" s="36"/>
      <c r="I755" s="36"/>
      <c r="J755" s="105"/>
      <c r="K755" s="36"/>
      <c r="L755" s="36"/>
      <c r="M755" s="36"/>
      <c r="N755" s="105"/>
      <c r="O755" s="36"/>
      <c r="P755" s="36"/>
      <c r="Q755" s="36"/>
      <c r="R755" s="105"/>
      <c r="S755" s="36"/>
      <c r="T755" s="36"/>
      <c r="U755" s="36"/>
      <c r="V755" s="105"/>
      <c r="W755" s="36"/>
      <c r="X755" s="36"/>
      <c r="Y755" s="36"/>
      <c r="Z755" s="105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42"/>
      <c r="AO755" s="42"/>
      <c r="AP755" s="36"/>
      <c r="AQ755" s="36"/>
      <c r="AR755" s="42"/>
      <c r="AS755" s="42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</row>
    <row r="756" spans="1:56" ht="15.75" x14ac:dyDescent="0.25">
      <c r="A756" s="44"/>
      <c r="B756" s="36"/>
      <c r="C756" s="36"/>
      <c r="D756" s="36"/>
      <c r="E756" s="36"/>
      <c r="F756" s="36"/>
      <c r="G756" s="36"/>
      <c r="H756" s="36"/>
      <c r="I756" s="36"/>
      <c r="J756" s="105"/>
      <c r="K756" s="36"/>
      <c r="L756" s="36"/>
      <c r="M756" s="36"/>
      <c r="N756" s="105"/>
      <c r="O756" s="36"/>
      <c r="P756" s="36"/>
      <c r="Q756" s="36"/>
      <c r="R756" s="105"/>
      <c r="S756" s="36"/>
      <c r="T756" s="36"/>
      <c r="U756" s="36"/>
      <c r="V756" s="105"/>
      <c r="W756" s="36"/>
      <c r="X756" s="36"/>
      <c r="Y756" s="36"/>
      <c r="Z756" s="105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42"/>
      <c r="AO756" s="42"/>
      <c r="AP756" s="36"/>
      <c r="AQ756" s="36"/>
      <c r="AR756" s="42"/>
      <c r="AS756" s="42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</row>
    <row r="757" spans="1:56" ht="15.75" x14ac:dyDescent="0.25">
      <c r="A757" s="44"/>
      <c r="B757" s="36"/>
      <c r="C757" s="36"/>
      <c r="D757" s="36"/>
      <c r="E757" s="36"/>
      <c r="F757" s="36"/>
      <c r="G757" s="36"/>
      <c r="H757" s="36"/>
      <c r="I757" s="36"/>
      <c r="J757" s="105"/>
      <c r="K757" s="36"/>
      <c r="L757" s="36"/>
      <c r="M757" s="36"/>
      <c r="N757" s="105"/>
      <c r="O757" s="36"/>
      <c r="P757" s="36"/>
      <c r="Q757" s="36"/>
      <c r="R757" s="105"/>
      <c r="S757" s="36"/>
      <c r="T757" s="36"/>
      <c r="U757" s="36"/>
      <c r="V757" s="105"/>
      <c r="W757" s="36"/>
      <c r="X757" s="36"/>
      <c r="Y757" s="36"/>
      <c r="Z757" s="105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42"/>
      <c r="AO757" s="42"/>
      <c r="AP757" s="36"/>
      <c r="AQ757" s="36"/>
      <c r="AR757" s="42"/>
      <c r="AS757" s="42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</row>
    <row r="758" spans="1:56" ht="15.75" x14ac:dyDescent="0.25">
      <c r="A758" s="44"/>
      <c r="B758" s="36"/>
      <c r="C758" s="36"/>
      <c r="D758" s="36"/>
      <c r="E758" s="36"/>
      <c r="F758" s="36"/>
      <c r="G758" s="36"/>
      <c r="H758" s="36"/>
      <c r="I758" s="36"/>
      <c r="J758" s="105"/>
      <c r="K758" s="36"/>
      <c r="L758" s="36"/>
      <c r="M758" s="36"/>
      <c r="N758" s="105"/>
      <c r="O758" s="36"/>
      <c r="P758" s="36"/>
      <c r="Q758" s="36"/>
      <c r="R758" s="105"/>
      <c r="S758" s="36"/>
      <c r="T758" s="36"/>
      <c r="U758" s="36"/>
      <c r="V758" s="105"/>
      <c r="W758" s="36"/>
      <c r="X758" s="36"/>
      <c r="Y758" s="36"/>
      <c r="Z758" s="105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42"/>
      <c r="AO758" s="42"/>
      <c r="AP758" s="36"/>
      <c r="AQ758" s="36"/>
      <c r="AR758" s="42"/>
      <c r="AS758" s="42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</row>
    <row r="759" spans="1:56" ht="15.75" x14ac:dyDescent="0.25">
      <c r="A759" s="44"/>
      <c r="B759" s="36"/>
      <c r="C759" s="36"/>
      <c r="D759" s="36"/>
      <c r="E759" s="36"/>
      <c r="F759" s="36"/>
      <c r="G759" s="36"/>
      <c r="H759" s="36"/>
      <c r="I759" s="36"/>
      <c r="J759" s="105"/>
      <c r="K759" s="36"/>
      <c r="L759" s="36"/>
      <c r="M759" s="36"/>
      <c r="N759" s="105"/>
      <c r="O759" s="36"/>
      <c r="P759" s="36"/>
      <c r="Q759" s="36"/>
      <c r="R759" s="105"/>
      <c r="S759" s="36"/>
      <c r="T759" s="36"/>
      <c r="U759" s="36"/>
      <c r="V759" s="105"/>
      <c r="W759" s="36"/>
      <c r="X759" s="36"/>
      <c r="Y759" s="36"/>
      <c r="Z759" s="105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42"/>
      <c r="AO759" s="42"/>
      <c r="AP759" s="36"/>
      <c r="AQ759" s="36"/>
      <c r="AR759" s="42"/>
      <c r="AS759" s="42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</row>
    <row r="760" spans="1:56" ht="15.75" x14ac:dyDescent="0.25">
      <c r="A760" s="44"/>
      <c r="B760" s="36"/>
      <c r="C760" s="36"/>
      <c r="D760" s="36"/>
      <c r="E760" s="36"/>
      <c r="F760" s="36"/>
      <c r="G760" s="36"/>
      <c r="H760" s="36"/>
      <c r="I760" s="36"/>
      <c r="J760" s="105"/>
      <c r="K760" s="36"/>
      <c r="L760" s="36"/>
      <c r="M760" s="36"/>
      <c r="N760" s="105"/>
      <c r="O760" s="36"/>
      <c r="P760" s="36"/>
      <c r="Q760" s="36"/>
      <c r="R760" s="105"/>
      <c r="S760" s="36"/>
      <c r="T760" s="36"/>
      <c r="U760" s="36"/>
      <c r="V760" s="105"/>
      <c r="W760" s="36"/>
      <c r="X760" s="36"/>
      <c r="Y760" s="36"/>
      <c r="Z760" s="105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42"/>
      <c r="AO760" s="42"/>
      <c r="AP760" s="36"/>
      <c r="AQ760" s="36"/>
      <c r="AR760" s="42"/>
      <c r="AS760" s="42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</row>
    <row r="761" spans="1:56" ht="15.75" x14ac:dyDescent="0.25">
      <c r="A761" s="44"/>
      <c r="B761" s="36"/>
      <c r="C761" s="36"/>
      <c r="D761" s="36"/>
      <c r="E761" s="36"/>
      <c r="F761" s="36"/>
      <c r="G761" s="36"/>
      <c r="H761" s="36"/>
      <c r="I761" s="36"/>
      <c r="J761" s="105"/>
      <c r="K761" s="36"/>
      <c r="L761" s="36"/>
      <c r="M761" s="36"/>
      <c r="N761" s="105"/>
      <c r="O761" s="36"/>
      <c r="P761" s="36"/>
      <c r="Q761" s="36"/>
      <c r="R761" s="105"/>
      <c r="S761" s="36"/>
      <c r="T761" s="36"/>
      <c r="U761" s="36"/>
      <c r="V761" s="105"/>
      <c r="W761" s="36"/>
      <c r="X761" s="36"/>
      <c r="Y761" s="36"/>
      <c r="Z761" s="105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42"/>
      <c r="AO761" s="42"/>
      <c r="AP761" s="36"/>
      <c r="AQ761" s="36"/>
      <c r="AR761" s="42"/>
      <c r="AS761" s="42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</row>
    <row r="762" spans="1:56" ht="15.75" x14ac:dyDescent="0.25">
      <c r="A762" s="44"/>
      <c r="B762" s="36"/>
      <c r="C762" s="36"/>
      <c r="D762" s="36"/>
      <c r="E762" s="36"/>
      <c r="F762" s="36"/>
      <c r="G762" s="36"/>
      <c r="H762" s="36"/>
      <c r="I762" s="36"/>
      <c r="J762" s="105"/>
      <c r="K762" s="36"/>
      <c r="L762" s="36"/>
      <c r="M762" s="36"/>
      <c r="N762" s="105"/>
      <c r="O762" s="36"/>
      <c r="P762" s="36"/>
      <c r="Q762" s="36"/>
      <c r="R762" s="105"/>
      <c r="S762" s="36"/>
      <c r="T762" s="36"/>
      <c r="U762" s="36"/>
      <c r="V762" s="105"/>
      <c r="W762" s="36"/>
      <c r="X762" s="36"/>
      <c r="Y762" s="36"/>
      <c r="Z762" s="105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42"/>
      <c r="AO762" s="42"/>
      <c r="AP762" s="36"/>
      <c r="AQ762" s="36"/>
      <c r="AR762" s="42"/>
      <c r="AS762" s="42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</row>
    <row r="763" spans="1:56" ht="15.75" x14ac:dyDescent="0.25">
      <c r="A763" s="44"/>
      <c r="B763" s="36"/>
      <c r="C763" s="36"/>
      <c r="D763" s="36"/>
      <c r="E763" s="36"/>
      <c r="F763" s="36"/>
      <c r="G763" s="36"/>
      <c r="H763" s="36"/>
      <c r="I763" s="36"/>
      <c r="J763" s="105"/>
      <c r="K763" s="36"/>
      <c r="L763" s="36"/>
      <c r="M763" s="36"/>
      <c r="N763" s="105"/>
      <c r="O763" s="36"/>
      <c r="P763" s="36"/>
      <c r="Q763" s="36"/>
      <c r="R763" s="105"/>
      <c r="S763" s="36"/>
      <c r="T763" s="36"/>
      <c r="U763" s="36"/>
      <c r="V763" s="105"/>
      <c r="W763" s="36"/>
      <c r="X763" s="36"/>
      <c r="Y763" s="36"/>
      <c r="Z763" s="105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42"/>
      <c r="AO763" s="42"/>
      <c r="AP763" s="36"/>
      <c r="AQ763" s="36"/>
      <c r="AR763" s="42"/>
      <c r="AS763" s="42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</row>
    <row r="764" spans="1:56" ht="15.75" x14ac:dyDescent="0.25">
      <c r="A764" s="44"/>
      <c r="B764" s="36"/>
      <c r="C764" s="36"/>
      <c r="D764" s="36"/>
      <c r="E764" s="36"/>
      <c r="F764" s="36"/>
      <c r="G764" s="36"/>
      <c r="H764" s="36"/>
      <c r="I764" s="36"/>
      <c r="J764" s="105"/>
      <c r="K764" s="36"/>
      <c r="L764" s="36"/>
      <c r="M764" s="36"/>
      <c r="N764" s="105"/>
      <c r="O764" s="36"/>
      <c r="P764" s="36"/>
      <c r="Q764" s="36"/>
      <c r="R764" s="105"/>
      <c r="S764" s="36"/>
      <c r="T764" s="36"/>
      <c r="U764" s="36"/>
      <c r="V764" s="105"/>
      <c r="W764" s="36"/>
      <c r="X764" s="36"/>
      <c r="Y764" s="36"/>
      <c r="Z764" s="105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42"/>
      <c r="AO764" s="42"/>
      <c r="AP764" s="36"/>
      <c r="AQ764" s="36"/>
      <c r="AR764" s="42"/>
      <c r="AS764" s="42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</row>
    <row r="765" spans="1:56" ht="15.75" x14ac:dyDescent="0.25">
      <c r="A765" s="44"/>
      <c r="B765" s="36"/>
      <c r="C765" s="36"/>
      <c r="D765" s="36"/>
      <c r="E765" s="36"/>
      <c r="F765" s="36"/>
      <c r="G765" s="36"/>
      <c r="H765" s="36"/>
      <c r="I765" s="36"/>
      <c r="J765" s="105"/>
      <c r="K765" s="36"/>
      <c r="L765" s="36"/>
      <c r="M765" s="36"/>
      <c r="N765" s="105"/>
      <c r="O765" s="36"/>
      <c r="P765" s="36"/>
      <c r="Q765" s="36"/>
      <c r="R765" s="105"/>
      <c r="S765" s="36"/>
      <c r="T765" s="36"/>
      <c r="U765" s="36"/>
      <c r="V765" s="105"/>
      <c r="W765" s="36"/>
      <c r="X765" s="36"/>
      <c r="Y765" s="36"/>
      <c r="Z765" s="105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42"/>
      <c r="AO765" s="42"/>
      <c r="AP765" s="36"/>
      <c r="AQ765" s="36"/>
      <c r="AR765" s="42"/>
      <c r="AS765" s="42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</row>
    <row r="766" spans="1:56" ht="15.75" x14ac:dyDescent="0.25">
      <c r="A766" s="44"/>
      <c r="B766" s="36"/>
      <c r="C766" s="36"/>
      <c r="D766" s="36"/>
      <c r="E766" s="36"/>
      <c r="F766" s="36"/>
      <c r="G766" s="36"/>
      <c r="H766" s="36"/>
      <c r="I766" s="36"/>
      <c r="J766" s="105"/>
      <c r="K766" s="36"/>
      <c r="L766" s="36"/>
      <c r="M766" s="36"/>
      <c r="N766" s="105"/>
      <c r="O766" s="36"/>
      <c r="P766" s="36"/>
      <c r="Q766" s="36"/>
      <c r="R766" s="105"/>
      <c r="S766" s="36"/>
      <c r="T766" s="36"/>
      <c r="U766" s="36"/>
      <c r="V766" s="105"/>
      <c r="W766" s="36"/>
      <c r="X766" s="36"/>
      <c r="Y766" s="36"/>
      <c r="Z766" s="105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42"/>
      <c r="AO766" s="42"/>
      <c r="AP766" s="36"/>
      <c r="AQ766" s="36"/>
      <c r="AR766" s="42"/>
      <c r="AS766" s="42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</row>
    <row r="767" spans="1:56" ht="15.75" x14ac:dyDescent="0.25">
      <c r="A767" s="44"/>
      <c r="B767" s="36"/>
      <c r="C767" s="36"/>
      <c r="D767" s="36"/>
      <c r="E767" s="36"/>
      <c r="F767" s="36"/>
      <c r="G767" s="36"/>
      <c r="H767" s="36"/>
      <c r="I767" s="36"/>
      <c r="J767" s="105"/>
      <c r="K767" s="36"/>
      <c r="L767" s="36"/>
      <c r="M767" s="36"/>
      <c r="N767" s="105"/>
      <c r="O767" s="36"/>
      <c r="P767" s="36"/>
      <c r="Q767" s="36"/>
      <c r="R767" s="105"/>
      <c r="S767" s="36"/>
      <c r="T767" s="36"/>
      <c r="U767" s="36"/>
      <c r="V767" s="105"/>
      <c r="W767" s="36"/>
      <c r="X767" s="36"/>
      <c r="Y767" s="36"/>
      <c r="Z767" s="105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42"/>
      <c r="AO767" s="42"/>
      <c r="AP767" s="36"/>
      <c r="AQ767" s="36"/>
      <c r="AR767" s="42"/>
      <c r="AS767" s="42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</row>
    <row r="768" spans="1:56" ht="15.75" x14ac:dyDescent="0.25">
      <c r="A768" s="44"/>
      <c r="B768" s="36"/>
      <c r="C768" s="36"/>
      <c r="D768" s="36"/>
      <c r="E768" s="36"/>
      <c r="F768" s="36"/>
      <c r="G768" s="36"/>
      <c r="H768" s="36"/>
      <c r="I768" s="36"/>
      <c r="J768" s="105"/>
      <c r="K768" s="36"/>
      <c r="L768" s="36"/>
      <c r="M768" s="36"/>
      <c r="N768" s="105"/>
      <c r="O768" s="36"/>
      <c r="P768" s="36"/>
      <c r="Q768" s="36"/>
      <c r="R768" s="105"/>
      <c r="S768" s="36"/>
      <c r="T768" s="36"/>
      <c r="U768" s="36"/>
      <c r="V768" s="105"/>
      <c r="W768" s="36"/>
      <c r="X768" s="36"/>
      <c r="Y768" s="36"/>
      <c r="Z768" s="105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42"/>
      <c r="AO768" s="42"/>
      <c r="AP768" s="36"/>
      <c r="AQ768" s="36"/>
      <c r="AR768" s="42"/>
      <c r="AS768" s="42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</row>
    <row r="769" spans="1:56" ht="15.75" x14ac:dyDescent="0.25">
      <c r="A769" s="44"/>
      <c r="B769" s="36"/>
      <c r="C769" s="36"/>
      <c r="D769" s="36"/>
      <c r="E769" s="36"/>
      <c r="F769" s="36"/>
      <c r="G769" s="36"/>
      <c r="H769" s="36"/>
      <c r="I769" s="36"/>
      <c r="J769" s="105"/>
      <c r="K769" s="36"/>
      <c r="L769" s="36"/>
      <c r="M769" s="36"/>
      <c r="N769" s="105"/>
      <c r="O769" s="36"/>
      <c r="P769" s="36"/>
      <c r="Q769" s="36"/>
      <c r="R769" s="105"/>
      <c r="S769" s="36"/>
      <c r="T769" s="36"/>
      <c r="U769" s="36"/>
      <c r="V769" s="105"/>
      <c r="W769" s="36"/>
      <c r="X769" s="36"/>
      <c r="Y769" s="36"/>
      <c r="Z769" s="105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42"/>
      <c r="AO769" s="42"/>
      <c r="AP769" s="36"/>
      <c r="AQ769" s="36"/>
      <c r="AR769" s="42"/>
      <c r="AS769" s="42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</row>
    <row r="770" spans="1:56" ht="15.75" x14ac:dyDescent="0.25">
      <c r="A770" s="44"/>
      <c r="B770" s="36"/>
      <c r="C770" s="36"/>
      <c r="D770" s="36"/>
      <c r="E770" s="36"/>
      <c r="F770" s="36"/>
      <c r="G770" s="36"/>
      <c r="H770" s="36"/>
      <c r="I770" s="36"/>
      <c r="J770" s="105"/>
      <c r="K770" s="36"/>
      <c r="L770" s="36"/>
      <c r="M770" s="36"/>
      <c r="N770" s="105"/>
      <c r="O770" s="36"/>
      <c r="P770" s="36"/>
      <c r="Q770" s="36"/>
      <c r="R770" s="105"/>
      <c r="S770" s="36"/>
      <c r="T770" s="36"/>
      <c r="U770" s="36"/>
      <c r="V770" s="105"/>
      <c r="W770" s="36"/>
      <c r="X770" s="36"/>
      <c r="Y770" s="36"/>
      <c r="Z770" s="105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42"/>
      <c r="AO770" s="42"/>
      <c r="AP770" s="36"/>
      <c r="AQ770" s="36"/>
      <c r="AR770" s="42"/>
      <c r="AS770" s="42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</row>
    <row r="771" spans="1:56" ht="15.75" x14ac:dyDescent="0.25">
      <c r="A771" s="44"/>
      <c r="B771" s="36"/>
      <c r="C771" s="36"/>
      <c r="D771" s="36"/>
      <c r="E771" s="36"/>
      <c r="F771" s="36"/>
      <c r="G771" s="36"/>
      <c r="H771" s="36"/>
      <c r="I771" s="36"/>
      <c r="J771" s="105"/>
      <c r="K771" s="36"/>
      <c r="L771" s="36"/>
      <c r="M771" s="36"/>
      <c r="N771" s="105"/>
      <c r="O771" s="36"/>
      <c r="P771" s="36"/>
      <c r="Q771" s="36"/>
      <c r="R771" s="105"/>
      <c r="S771" s="36"/>
      <c r="T771" s="36"/>
      <c r="U771" s="36"/>
      <c r="V771" s="105"/>
      <c r="W771" s="36"/>
      <c r="X771" s="36"/>
      <c r="Y771" s="36"/>
      <c r="Z771" s="105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42"/>
      <c r="AO771" s="42"/>
      <c r="AP771" s="36"/>
      <c r="AQ771" s="36"/>
      <c r="AR771" s="42"/>
      <c r="AS771" s="42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</row>
    <row r="772" spans="1:56" ht="15.75" x14ac:dyDescent="0.25">
      <c r="A772" s="44"/>
      <c r="B772" s="36"/>
      <c r="C772" s="36"/>
      <c r="D772" s="36"/>
      <c r="E772" s="36"/>
      <c r="F772" s="36"/>
      <c r="G772" s="36"/>
      <c r="H772" s="36"/>
      <c r="I772" s="36"/>
      <c r="J772" s="105"/>
      <c r="K772" s="36"/>
      <c r="L772" s="36"/>
      <c r="M772" s="36"/>
      <c r="N772" s="105"/>
      <c r="O772" s="36"/>
      <c r="P772" s="36"/>
      <c r="Q772" s="36"/>
      <c r="R772" s="105"/>
      <c r="S772" s="36"/>
      <c r="T772" s="36"/>
      <c r="U772" s="36"/>
      <c r="V772" s="105"/>
      <c r="W772" s="36"/>
      <c r="X772" s="36"/>
      <c r="Y772" s="36"/>
      <c r="Z772" s="105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42"/>
      <c r="AO772" s="42"/>
      <c r="AP772" s="36"/>
      <c r="AQ772" s="36"/>
      <c r="AR772" s="42"/>
      <c r="AS772" s="42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</row>
    <row r="773" spans="1:56" ht="15.75" x14ac:dyDescent="0.25">
      <c r="A773" s="44"/>
      <c r="B773" s="36"/>
      <c r="C773" s="36"/>
      <c r="D773" s="36"/>
      <c r="E773" s="36"/>
      <c r="F773" s="36"/>
      <c r="G773" s="36"/>
      <c r="H773" s="36"/>
      <c r="I773" s="36"/>
      <c r="J773" s="105"/>
      <c r="K773" s="36"/>
      <c r="L773" s="36"/>
      <c r="M773" s="36"/>
      <c r="N773" s="105"/>
      <c r="O773" s="36"/>
      <c r="P773" s="36"/>
      <c r="Q773" s="36"/>
      <c r="R773" s="105"/>
      <c r="S773" s="36"/>
      <c r="T773" s="36"/>
      <c r="U773" s="36"/>
      <c r="V773" s="105"/>
      <c r="W773" s="36"/>
      <c r="X773" s="36"/>
      <c r="Y773" s="36"/>
      <c r="Z773" s="105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42"/>
      <c r="AO773" s="42"/>
      <c r="AP773" s="36"/>
      <c r="AQ773" s="36"/>
      <c r="AR773" s="42"/>
      <c r="AS773" s="42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</row>
    <row r="774" spans="1:56" ht="15.75" x14ac:dyDescent="0.25">
      <c r="A774" s="44"/>
      <c r="B774" s="36"/>
      <c r="C774" s="36"/>
      <c r="D774" s="36"/>
      <c r="E774" s="36"/>
      <c r="F774" s="36"/>
      <c r="G774" s="36"/>
      <c r="H774" s="36"/>
      <c r="I774" s="36"/>
      <c r="J774" s="105"/>
      <c r="K774" s="36"/>
      <c r="L774" s="36"/>
      <c r="M774" s="36"/>
      <c r="N774" s="105"/>
      <c r="O774" s="36"/>
      <c r="P774" s="36"/>
      <c r="Q774" s="36"/>
      <c r="R774" s="105"/>
      <c r="S774" s="36"/>
      <c r="T774" s="36"/>
      <c r="U774" s="36"/>
      <c r="V774" s="105"/>
      <c r="W774" s="36"/>
      <c r="X774" s="36"/>
      <c r="Y774" s="36"/>
      <c r="Z774" s="105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42"/>
      <c r="AO774" s="42"/>
      <c r="AP774" s="36"/>
      <c r="AQ774" s="36"/>
      <c r="AR774" s="42"/>
      <c r="AS774" s="42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</row>
    <row r="775" spans="1:56" ht="15.75" x14ac:dyDescent="0.25">
      <c r="A775" s="44"/>
      <c r="B775" s="36"/>
      <c r="C775" s="36"/>
      <c r="D775" s="36"/>
      <c r="E775" s="36"/>
      <c r="F775" s="36"/>
      <c r="G775" s="36"/>
      <c r="H775" s="36"/>
      <c r="I775" s="36"/>
      <c r="J775" s="105"/>
      <c r="K775" s="36"/>
      <c r="L775" s="36"/>
      <c r="M775" s="36"/>
      <c r="N775" s="105"/>
      <c r="O775" s="36"/>
      <c r="P775" s="36"/>
      <c r="Q775" s="36"/>
      <c r="R775" s="105"/>
      <c r="S775" s="36"/>
      <c r="T775" s="36"/>
      <c r="U775" s="36"/>
      <c r="V775" s="105"/>
      <c r="W775" s="36"/>
      <c r="X775" s="36"/>
      <c r="Y775" s="36"/>
      <c r="Z775" s="105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42"/>
      <c r="AO775" s="42"/>
      <c r="AP775" s="36"/>
      <c r="AQ775" s="36"/>
      <c r="AR775" s="42"/>
      <c r="AS775" s="42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</row>
    <row r="776" spans="1:56" ht="15.75" x14ac:dyDescent="0.25">
      <c r="A776" s="44"/>
      <c r="B776" s="36"/>
      <c r="C776" s="36"/>
      <c r="D776" s="36"/>
      <c r="E776" s="36"/>
      <c r="F776" s="36"/>
      <c r="G776" s="36"/>
      <c r="H776" s="36"/>
      <c r="I776" s="36"/>
      <c r="J776" s="105"/>
      <c r="K776" s="36"/>
      <c r="L776" s="36"/>
      <c r="M776" s="36"/>
      <c r="N776" s="105"/>
      <c r="O776" s="36"/>
      <c r="P776" s="36"/>
      <c r="Q776" s="36"/>
      <c r="R776" s="105"/>
      <c r="S776" s="36"/>
      <c r="T776" s="36"/>
      <c r="U776" s="36"/>
      <c r="V776" s="105"/>
      <c r="W776" s="36"/>
      <c r="X776" s="36"/>
      <c r="Y776" s="36"/>
      <c r="Z776" s="105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42"/>
      <c r="AO776" s="42"/>
      <c r="AP776" s="36"/>
      <c r="AQ776" s="36"/>
      <c r="AR776" s="42"/>
      <c r="AS776" s="42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</row>
    <row r="777" spans="1:56" ht="15.75" x14ac:dyDescent="0.25">
      <c r="A777" s="44"/>
      <c r="B777" s="36"/>
      <c r="C777" s="36"/>
      <c r="D777" s="36"/>
      <c r="E777" s="36"/>
      <c r="F777" s="36"/>
      <c r="G777" s="36"/>
      <c r="H777" s="36"/>
      <c r="I777" s="36"/>
      <c r="J777" s="105"/>
      <c r="K777" s="36"/>
      <c r="L777" s="36"/>
      <c r="M777" s="36"/>
      <c r="N777" s="105"/>
      <c r="O777" s="36"/>
      <c r="P777" s="36"/>
      <c r="Q777" s="36"/>
      <c r="R777" s="105"/>
      <c r="S777" s="36"/>
      <c r="T777" s="36"/>
      <c r="U777" s="36"/>
      <c r="V777" s="105"/>
      <c r="W777" s="36"/>
      <c r="X777" s="36"/>
      <c r="Y777" s="36"/>
      <c r="Z777" s="105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42"/>
      <c r="AO777" s="42"/>
      <c r="AP777" s="36"/>
      <c r="AQ777" s="36"/>
      <c r="AR777" s="42"/>
      <c r="AS777" s="42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</row>
    <row r="778" spans="1:56" ht="15.75" x14ac:dyDescent="0.25">
      <c r="A778" s="44"/>
      <c r="B778" s="36"/>
      <c r="C778" s="36"/>
      <c r="D778" s="36"/>
      <c r="E778" s="36"/>
      <c r="F778" s="36"/>
      <c r="G778" s="36"/>
      <c r="H778" s="36"/>
      <c r="I778" s="36"/>
      <c r="J778" s="105"/>
      <c r="K778" s="36"/>
      <c r="L778" s="36"/>
      <c r="M778" s="36"/>
      <c r="N778" s="105"/>
      <c r="O778" s="36"/>
      <c r="P778" s="36"/>
      <c r="Q778" s="36"/>
      <c r="R778" s="105"/>
      <c r="S778" s="36"/>
      <c r="T778" s="36"/>
      <c r="U778" s="36"/>
      <c r="V778" s="105"/>
      <c r="W778" s="36"/>
      <c r="X778" s="36"/>
      <c r="Y778" s="36"/>
      <c r="Z778" s="105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42"/>
      <c r="AO778" s="42"/>
      <c r="AP778" s="36"/>
      <c r="AQ778" s="36"/>
      <c r="AR778" s="42"/>
      <c r="AS778" s="42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</row>
    <row r="779" spans="1:56" ht="15.75" x14ac:dyDescent="0.25">
      <c r="A779" s="44"/>
      <c r="B779" s="36"/>
      <c r="C779" s="36"/>
      <c r="D779" s="36"/>
      <c r="E779" s="36"/>
      <c r="F779" s="36"/>
      <c r="G779" s="36"/>
      <c r="H779" s="36"/>
      <c r="I779" s="36"/>
      <c r="J779" s="105"/>
      <c r="K779" s="36"/>
      <c r="L779" s="36"/>
      <c r="M779" s="36"/>
      <c r="N779" s="105"/>
      <c r="O779" s="36"/>
      <c r="P779" s="36"/>
      <c r="Q779" s="36"/>
      <c r="R779" s="105"/>
      <c r="S779" s="36"/>
      <c r="T779" s="36"/>
      <c r="U779" s="36"/>
      <c r="V779" s="105"/>
      <c r="W779" s="36"/>
      <c r="X779" s="36"/>
      <c r="Y779" s="36"/>
      <c r="Z779" s="105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42"/>
      <c r="AO779" s="42"/>
      <c r="AP779" s="36"/>
      <c r="AQ779" s="36"/>
      <c r="AR779" s="42"/>
      <c r="AS779" s="42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</row>
    <row r="780" spans="1:56" ht="15.75" x14ac:dyDescent="0.25">
      <c r="A780" s="44"/>
      <c r="B780" s="36"/>
      <c r="C780" s="36"/>
      <c r="D780" s="36"/>
      <c r="E780" s="36"/>
      <c r="F780" s="36"/>
      <c r="G780" s="36"/>
      <c r="H780" s="36"/>
      <c r="I780" s="36"/>
      <c r="J780" s="105"/>
      <c r="K780" s="36"/>
      <c r="L780" s="36"/>
      <c r="M780" s="36"/>
      <c r="N780" s="105"/>
      <c r="O780" s="36"/>
      <c r="P780" s="36"/>
      <c r="Q780" s="36"/>
      <c r="R780" s="105"/>
      <c r="S780" s="36"/>
      <c r="T780" s="36"/>
      <c r="U780" s="36"/>
      <c r="V780" s="105"/>
      <c r="W780" s="36"/>
      <c r="X780" s="36"/>
      <c r="Y780" s="36"/>
      <c r="Z780" s="105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42"/>
      <c r="AO780" s="42"/>
      <c r="AP780" s="36"/>
      <c r="AQ780" s="36"/>
      <c r="AR780" s="42"/>
      <c r="AS780" s="42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</row>
    <row r="781" spans="1:56" ht="15.75" x14ac:dyDescent="0.25">
      <c r="A781" s="44"/>
      <c r="B781" s="36"/>
      <c r="C781" s="36"/>
      <c r="D781" s="36"/>
      <c r="E781" s="36"/>
      <c r="F781" s="36"/>
      <c r="G781" s="36"/>
      <c r="H781" s="36"/>
      <c r="I781" s="36"/>
      <c r="J781" s="105"/>
      <c r="K781" s="36"/>
      <c r="L781" s="36"/>
      <c r="M781" s="36"/>
      <c r="N781" s="105"/>
      <c r="O781" s="36"/>
      <c r="P781" s="36"/>
      <c r="Q781" s="36"/>
      <c r="R781" s="105"/>
      <c r="S781" s="36"/>
      <c r="T781" s="36"/>
      <c r="U781" s="36"/>
      <c r="V781" s="105"/>
      <c r="W781" s="36"/>
      <c r="X781" s="36"/>
      <c r="Y781" s="36"/>
      <c r="Z781" s="105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42"/>
      <c r="AO781" s="42"/>
      <c r="AP781" s="36"/>
      <c r="AQ781" s="36"/>
      <c r="AR781" s="42"/>
      <c r="AS781" s="42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</row>
    <row r="782" spans="1:56" ht="15.75" x14ac:dyDescent="0.25">
      <c r="A782" s="44"/>
      <c r="B782" s="36"/>
      <c r="C782" s="36"/>
      <c r="D782" s="36"/>
      <c r="E782" s="36"/>
      <c r="F782" s="36"/>
      <c r="G782" s="36"/>
      <c r="H782" s="36"/>
      <c r="I782" s="36"/>
      <c r="J782" s="105"/>
      <c r="K782" s="36"/>
      <c r="L782" s="36"/>
      <c r="M782" s="36"/>
      <c r="N782" s="105"/>
      <c r="O782" s="36"/>
      <c r="P782" s="36"/>
      <c r="Q782" s="36"/>
      <c r="R782" s="105"/>
      <c r="S782" s="36"/>
      <c r="T782" s="36"/>
      <c r="U782" s="36"/>
      <c r="V782" s="105"/>
      <c r="W782" s="36"/>
      <c r="X782" s="36"/>
      <c r="Y782" s="36"/>
      <c r="Z782" s="105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42"/>
      <c r="AO782" s="42"/>
      <c r="AP782" s="36"/>
      <c r="AQ782" s="36"/>
      <c r="AR782" s="42"/>
      <c r="AS782" s="42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</row>
    <row r="783" spans="1:56" ht="15.75" x14ac:dyDescent="0.25">
      <c r="A783" s="44"/>
      <c r="B783" s="36"/>
      <c r="C783" s="36"/>
      <c r="D783" s="36"/>
      <c r="E783" s="36"/>
      <c r="F783" s="36"/>
      <c r="G783" s="36"/>
      <c r="H783" s="36"/>
      <c r="I783" s="36"/>
      <c r="J783" s="105"/>
      <c r="K783" s="36"/>
      <c r="L783" s="36"/>
      <c r="M783" s="36"/>
      <c r="N783" s="105"/>
      <c r="O783" s="36"/>
      <c r="P783" s="36"/>
      <c r="Q783" s="36"/>
      <c r="R783" s="105"/>
      <c r="S783" s="36"/>
      <c r="T783" s="36"/>
      <c r="U783" s="36"/>
      <c r="V783" s="105"/>
      <c r="W783" s="36"/>
      <c r="X783" s="36"/>
      <c r="Y783" s="36"/>
      <c r="Z783" s="105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42"/>
      <c r="AO783" s="42"/>
      <c r="AP783" s="36"/>
      <c r="AQ783" s="36"/>
      <c r="AR783" s="42"/>
      <c r="AS783" s="42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</row>
    <row r="784" spans="1:56" ht="15.75" x14ac:dyDescent="0.25">
      <c r="A784" s="44"/>
      <c r="B784" s="36"/>
      <c r="C784" s="36"/>
      <c r="D784" s="36"/>
      <c r="E784" s="36"/>
      <c r="F784" s="36"/>
      <c r="G784" s="36"/>
      <c r="H784" s="36"/>
      <c r="I784" s="36"/>
      <c r="J784" s="105"/>
      <c r="K784" s="36"/>
      <c r="L784" s="36"/>
      <c r="M784" s="36"/>
      <c r="N784" s="105"/>
      <c r="O784" s="36"/>
      <c r="P784" s="36"/>
      <c r="Q784" s="36"/>
      <c r="R784" s="105"/>
      <c r="S784" s="36"/>
      <c r="T784" s="36"/>
      <c r="U784" s="36"/>
      <c r="V784" s="105"/>
      <c r="W784" s="36"/>
      <c r="X784" s="36"/>
      <c r="Y784" s="36"/>
      <c r="Z784" s="105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42"/>
      <c r="AO784" s="42"/>
      <c r="AP784" s="36"/>
      <c r="AQ784" s="36"/>
      <c r="AR784" s="42"/>
      <c r="AS784" s="42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</row>
    <row r="785" spans="1:56" ht="15.75" x14ac:dyDescent="0.25">
      <c r="A785" s="44"/>
      <c r="B785" s="36"/>
      <c r="C785" s="36"/>
      <c r="D785" s="36"/>
      <c r="E785" s="36"/>
      <c r="F785" s="36"/>
      <c r="G785" s="36"/>
      <c r="H785" s="36"/>
      <c r="I785" s="36"/>
      <c r="J785" s="105"/>
      <c r="K785" s="36"/>
      <c r="L785" s="36"/>
      <c r="M785" s="36"/>
      <c r="N785" s="105"/>
      <c r="O785" s="36"/>
      <c r="P785" s="36"/>
      <c r="Q785" s="36"/>
      <c r="R785" s="105"/>
      <c r="S785" s="36"/>
      <c r="T785" s="36"/>
      <c r="U785" s="36"/>
      <c r="V785" s="105"/>
      <c r="W785" s="36"/>
      <c r="X785" s="36"/>
      <c r="Y785" s="36"/>
      <c r="Z785" s="105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42"/>
      <c r="AO785" s="42"/>
      <c r="AP785" s="36"/>
      <c r="AQ785" s="36"/>
      <c r="AR785" s="42"/>
      <c r="AS785" s="42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</row>
    <row r="786" spans="1:56" ht="15.75" x14ac:dyDescent="0.25">
      <c r="A786" s="44"/>
      <c r="B786" s="36"/>
      <c r="C786" s="36"/>
      <c r="D786" s="36"/>
      <c r="E786" s="36"/>
      <c r="F786" s="36"/>
      <c r="G786" s="36"/>
      <c r="H786" s="36"/>
      <c r="I786" s="36"/>
      <c r="J786" s="105"/>
      <c r="K786" s="36"/>
      <c r="L786" s="36"/>
      <c r="M786" s="36"/>
      <c r="N786" s="105"/>
      <c r="O786" s="36"/>
      <c r="P786" s="36"/>
      <c r="Q786" s="36"/>
      <c r="R786" s="105"/>
      <c r="S786" s="36"/>
      <c r="T786" s="36"/>
      <c r="U786" s="36"/>
      <c r="V786" s="105"/>
      <c r="W786" s="36"/>
      <c r="X786" s="36"/>
      <c r="Y786" s="36"/>
      <c r="Z786" s="105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42"/>
      <c r="AO786" s="42"/>
      <c r="AP786" s="36"/>
      <c r="AQ786" s="36"/>
      <c r="AR786" s="42"/>
      <c r="AS786" s="42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</row>
    <row r="787" spans="1:56" ht="15.75" x14ac:dyDescent="0.25">
      <c r="A787" s="44"/>
      <c r="B787" s="36"/>
      <c r="C787" s="36"/>
      <c r="D787" s="36"/>
      <c r="E787" s="36"/>
      <c r="F787" s="36"/>
      <c r="G787" s="36"/>
      <c r="H787" s="36"/>
      <c r="I787" s="36"/>
      <c r="J787" s="105"/>
      <c r="K787" s="36"/>
      <c r="L787" s="36"/>
      <c r="M787" s="36"/>
      <c r="N787" s="105"/>
      <c r="O787" s="36"/>
      <c r="P787" s="36"/>
      <c r="Q787" s="36"/>
      <c r="R787" s="105"/>
      <c r="S787" s="36"/>
      <c r="T787" s="36"/>
      <c r="U787" s="36"/>
      <c r="V787" s="105"/>
      <c r="W787" s="36"/>
      <c r="X787" s="36"/>
      <c r="Y787" s="36"/>
      <c r="Z787" s="105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42"/>
      <c r="AO787" s="42"/>
      <c r="AP787" s="36"/>
      <c r="AQ787" s="36"/>
      <c r="AR787" s="42"/>
      <c r="AS787" s="42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</row>
    <row r="788" spans="1:56" ht="15.75" x14ac:dyDescent="0.25">
      <c r="A788" s="44"/>
      <c r="B788" s="36"/>
      <c r="C788" s="36"/>
      <c r="D788" s="36"/>
      <c r="E788" s="36"/>
      <c r="F788" s="36"/>
      <c r="G788" s="36"/>
      <c r="H788" s="36"/>
      <c r="I788" s="36"/>
      <c r="J788" s="105"/>
      <c r="K788" s="36"/>
      <c r="L788" s="36"/>
      <c r="M788" s="36"/>
      <c r="N788" s="105"/>
      <c r="O788" s="36"/>
      <c r="P788" s="36"/>
      <c r="Q788" s="36"/>
      <c r="R788" s="105"/>
      <c r="S788" s="36"/>
      <c r="T788" s="36"/>
      <c r="U788" s="36"/>
      <c r="V788" s="105"/>
      <c r="W788" s="36"/>
      <c r="X788" s="36"/>
      <c r="Y788" s="36"/>
      <c r="Z788" s="105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42"/>
      <c r="AO788" s="42"/>
      <c r="AP788" s="36"/>
      <c r="AQ788" s="36"/>
      <c r="AR788" s="42"/>
      <c r="AS788" s="42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</row>
    <row r="789" spans="1:56" ht="15.75" x14ac:dyDescent="0.25">
      <c r="A789" s="44"/>
      <c r="B789" s="36"/>
      <c r="C789" s="36"/>
      <c r="D789" s="36"/>
      <c r="E789" s="36"/>
      <c r="F789" s="36"/>
      <c r="G789" s="36"/>
      <c r="H789" s="36"/>
      <c r="I789" s="36"/>
      <c r="J789" s="105"/>
      <c r="K789" s="36"/>
      <c r="L789" s="36"/>
      <c r="M789" s="36"/>
      <c r="N789" s="105"/>
      <c r="O789" s="36"/>
      <c r="P789" s="36"/>
      <c r="Q789" s="36"/>
      <c r="R789" s="105"/>
      <c r="S789" s="36"/>
      <c r="T789" s="36"/>
      <c r="U789" s="36"/>
      <c r="V789" s="105"/>
      <c r="W789" s="36"/>
      <c r="X789" s="36"/>
      <c r="Y789" s="36"/>
      <c r="Z789" s="105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42"/>
      <c r="AO789" s="42"/>
      <c r="AP789" s="36"/>
      <c r="AQ789" s="36"/>
      <c r="AR789" s="42"/>
      <c r="AS789" s="42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</row>
    <row r="790" spans="1:56" ht="15.75" x14ac:dyDescent="0.25">
      <c r="A790" s="44"/>
      <c r="B790" s="36"/>
      <c r="C790" s="36"/>
      <c r="D790" s="36"/>
      <c r="E790" s="36"/>
      <c r="F790" s="36"/>
      <c r="G790" s="36"/>
      <c r="H790" s="36"/>
      <c r="I790" s="36"/>
      <c r="J790" s="105"/>
      <c r="K790" s="36"/>
      <c r="L790" s="36"/>
      <c r="M790" s="36"/>
      <c r="N790" s="105"/>
      <c r="O790" s="36"/>
      <c r="P790" s="36"/>
      <c r="Q790" s="36"/>
      <c r="R790" s="105"/>
      <c r="S790" s="36"/>
      <c r="T790" s="36"/>
      <c r="U790" s="36"/>
      <c r="V790" s="105"/>
      <c r="W790" s="36"/>
      <c r="X790" s="36"/>
      <c r="Y790" s="36"/>
      <c r="Z790" s="105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42"/>
      <c r="AO790" s="42"/>
      <c r="AP790" s="36"/>
      <c r="AQ790" s="36"/>
      <c r="AR790" s="42"/>
      <c r="AS790" s="42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</row>
    <row r="791" spans="1:56" ht="15.75" x14ac:dyDescent="0.25">
      <c r="A791" s="44"/>
      <c r="B791" s="36"/>
      <c r="C791" s="36"/>
      <c r="D791" s="36"/>
      <c r="E791" s="36"/>
      <c r="F791" s="36"/>
      <c r="G791" s="36"/>
      <c r="H791" s="36"/>
      <c r="I791" s="36"/>
      <c r="J791" s="105"/>
      <c r="K791" s="36"/>
      <c r="L791" s="36"/>
      <c r="M791" s="36"/>
      <c r="N791" s="105"/>
      <c r="O791" s="36"/>
      <c r="P791" s="36"/>
      <c r="Q791" s="36"/>
      <c r="R791" s="105"/>
      <c r="S791" s="36"/>
      <c r="T791" s="36"/>
      <c r="U791" s="36"/>
      <c r="V791" s="105"/>
      <c r="W791" s="36"/>
      <c r="X791" s="36"/>
      <c r="Y791" s="36"/>
      <c r="Z791" s="105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42"/>
      <c r="AO791" s="42"/>
      <c r="AP791" s="36"/>
      <c r="AQ791" s="36"/>
      <c r="AR791" s="42"/>
      <c r="AS791" s="42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</row>
    <row r="792" spans="1:56" ht="15.75" x14ac:dyDescent="0.25">
      <c r="A792" s="44"/>
      <c r="B792" s="36"/>
      <c r="C792" s="36"/>
      <c r="D792" s="36"/>
      <c r="E792" s="36"/>
      <c r="F792" s="36"/>
      <c r="G792" s="36"/>
      <c r="H792" s="36"/>
      <c r="I792" s="36"/>
      <c r="J792" s="105"/>
      <c r="K792" s="36"/>
      <c r="L792" s="36"/>
      <c r="M792" s="36"/>
      <c r="N792" s="105"/>
      <c r="O792" s="36"/>
      <c r="P792" s="36"/>
      <c r="Q792" s="36"/>
      <c r="R792" s="105"/>
      <c r="S792" s="36"/>
      <c r="T792" s="36"/>
      <c r="U792" s="36"/>
      <c r="V792" s="105"/>
      <c r="W792" s="36"/>
      <c r="X792" s="36"/>
      <c r="Y792" s="36"/>
      <c r="Z792" s="105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42"/>
      <c r="AO792" s="42"/>
      <c r="AP792" s="36"/>
      <c r="AQ792" s="36"/>
      <c r="AR792" s="42"/>
      <c r="AS792" s="42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</row>
    <row r="793" spans="1:56" ht="15.75" x14ac:dyDescent="0.25">
      <c r="A793" s="44"/>
      <c r="B793" s="36"/>
      <c r="C793" s="36"/>
      <c r="D793" s="36"/>
      <c r="E793" s="36"/>
      <c r="F793" s="36"/>
      <c r="G793" s="36"/>
      <c r="H793" s="36"/>
      <c r="I793" s="36"/>
      <c r="J793" s="105"/>
      <c r="K793" s="36"/>
      <c r="L793" s="36"/>
      <c r="M793" s="36"/>
      <c r="N793" s="105"/>
      <c r="O793" s="36"/>
      <c r="P793" s="36"/>
      <c r="Q793" s="36"/>
      <c r="R793" s="105"/>
      <c r="S793" s="36"/>
      <c r="T793" s="36"/>
      <c r="U793" s="36"/>
      <c r="V793" s="105"/>
      <c r="W793" s="36"/>
      <c r="X793" s="36"/>
      <c r="Y793" s="36"/>
      <c r="Z793" s="105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42"/>
      <c r="AO793" s="42"/>
      <c r="AP793" s="36"/>
      <c r="AQ793" s="36"/>
      <c r="AR793" s="42"/>
      <c r="AS793" s="42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</row>
    <row r="794" spans="1:56" ht="15.75" x14ac:dyDescent="0.25">
      <c r="A794" s="44"/>
      <c r="B794" s="36"/>
      <c r="C794" s="36"/>
      <c r="D794" s="36"/>
      <c r="E794" s="36"/>
      <c r="F794" s="36"/>
      <c r="G794" s="36"/>
      <c r="H794" s="36"/>
      <c r="I794" s="36"/>
      <c r="J794" s="105"/>
      <c r="K794" s="36"/>
      <c r="L794" s="36"/>
      <c r="M794" s="36"/>
      <c r="N794" s="105"/>
      <c r="O794" s="36"/>
      <c r="P794" s="36"/>
      <c r="Q794" s="36"/>
      <c r="R794" s="105"/>
      <c r="S794" s="36"/>
      <c r="T794" s="36"/>
      <c r="U794" s="36"/>
      <c r="V794" s="105"/>
      <c r="W794" s="36"/>
      <c r="X794" s="36"/>
      <c r="Y794" s="36"/>
      <c r="Z794" s="105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42"/>
      <c r="AO794" s="42"/>
      <c r="AP794" s="36"/>
      <c r="AQ794" s="36"/>
      <c r="AR794" s="42"/>
      <c r="AS794" s="42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</row>
    <row r="795" spans="1:56" ht="15.75" x14ac:dyDescent="0.25">
      <c r="A795" s="44"/>
      <c r="B795" s="36"/>
      <c r="C795" s="36"/>
      <c r="D795" s="36"/>
      <c r="E795" s="36"/>
      <c r="F795" s="36"/>
      <c r="G795" s="36"/>
      <c r="H795" s="36"/>
      <c r="I795" s="36"/>
      <c r="J795" s="105"/>
      <c r="K795" s="36"/>
      <c r="L795" s="36"/>
      <c r="M795" s="36"/>
      <c r="N795" s="105"/>
      <c r="O795" s="36"/>
      <c r="P795" s="36"/>
      <c r="Q795" s="36"/>
      <c r="R795" s="105"/>
      <c r="S795" s="36"/>
      <c r="T795" s="36"/>
      <c r="U795" s="36"/>
      <c r="V795" s="105"/>
      <c r="W795" s="36"/>
      <c r="X795" s="36"/>
      <c r="Y795" s="36"/>
      <c r="Z795" s="105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42"/>
      <c r="AO795" s="42"/>
      <c r="AP795" s="36"/>
      <c r="AQ795" s="36"/>
      <c r="AR795" s="42"/>
      <c r="AS795" s="42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</row>
    <row r="796" spans="1:56" ht="15.75" x14ac:dyDescent="0.25">
      <c r="A796" s="44"/>
      <c r="B796" s="36"/>
      <c r="C796" s="36"/>
      <c r="D796" s="36"/>
      <c r="E796" s="36"/>
      <c r="F796" s="36"/>
      <c r="G796" s="36"/>
      <c r="H796" s="36"/>
      <c r="I796" s="36"/>
      <c r="J796" s="105"/>
      <c r="K796" s="36"/>
      <c r="L796" s="36"/>
      <c r="M796" s="36"/>
      <c r="N796" s="105"/>
      <c r="O796" s="36"/>
      <c r="P796" s="36"/>
      <c r="Q796" s="36"/>
      <c r="R796" s="105"/>
      <c r="S796" s="36"/>
      <c r="T796" s="36"/>
      <c r="U796" s="36"/>
      <c r="V796" s="105"/>
      <c r="W796" s="36"/>
      <c r="X796" s="36"/>
      <c r="Y796" s="36"/>
      <c r="Z796" s="105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42"/>
      <c r="AO796" s="42"/>
      <c r="AP796" s="36"/>
      <c r="AQ796" s="36"/>
      <c r="AR796" s="42"/>
      <c r="AS796" s="42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</row>
    <row r="797" spans="1:56" ht="15.75" x14ac:dyDescent="0.25">
      <c r="A797" s="44"/>
      <c r="B797" s="36"/>
      <c r="C797" s="36"/>
      <c r="D797" s="36"/>
      <c r="E797" s="36"/>
      <c r="F797" s="36"/>
      <c r="G797" s="36"/>
      <c r="H797" s="36"/>
      <c r="I797" s="36"/>
      <c r="J797" s="105"/>
      <c r="K797" s="36"/>
      <c r="L797" s="36"/>
      <c r="M797" s="36"/>
      <c r="N797" s="105"/>
      <c r="O797" s="36"/>
      <c r="P797" s="36"/>
      <c r="Q797" s="36"/>
      <c r="R797" s="105"/>
      <c r="S797" s="36"/>
      <c r="T797" s="36"/>
      <c r="U797" s="36"/>
      <c r="V797" s="105"/>
      <c r="W797" s="36"/>
      <c r="X797" s="36"/>
      <c r="Y797" s="36"/>
      <c r="Z797" s="105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42"/>
      <c r="AO797" s="42"/>
      <c r="AP797" s="36"/>
      <c r="AQ797" s="36"/>
      <c r="AR797" s="42"/>
      <c r="AS797" s="42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</row>
    <row r="798" spans="1:56" ht="15.75" x14ac:dyDescent="0.25">
      <c r="A798" s="44"/>
      <c r="B798" s="36"/>
      <c r="C798" s="36"/>
      <c r="D798" s="36"/>
      <c r="E798" s="36"/>
      <c r="F798" s="36"/>
      <c r="G798" s="36"/>
      <c r="H798" s="36"/>
      <c r="I798" s="36"/>
      <c r="J798" s="105"/>
      <c r="K798" s="36"/>
      <c r="L798" s="36"/>
      <c r="M798" s="36"/>
      <c r="N798" s="105"/>
      <c r="O798" s="36"/>
      <c r="P798" s="36"/>
      <c r="Q798" s="36"/>
      <c r="R798" s="105"/>
      <c r="S798" s="36"/>
      <c r="T798" s="36"/>
      <c r="U798" s="36"/>
      <c r="V798" s="105"/>
      <c r="W798" s="36"/>
      <c r="X798" s="36"/>
      <c r="Y798" s="36"/>
      <c r="Z798" s="105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42"/>
      <c r="AO798" s="42"/>
      <c r="AP798" s="36"/>
      <c r="AQ798" s="36"/>
      <c r="AR798" s="42"/>
      <c r="AS798" s="42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</row>
    <row r="799" spans="1:56" ht="15.75" x14ac:dyDescent="0.25">
      <c r="A799" s="44"/>
      <c r="B799" s="36"/>
      <c r="C799" s="36"/>
      <c r="D799" s="36"/>
      <c r="E799" s="36"/>
      <c r="F799" s="36"/>
      <c r="G799" s="36"/>
      <c r="H799" s="36"/>
      <c r="I799" s="36"/>
      <c r="J799" s="105"/>
      <c r="K799" s="36"/>
      <c r="L799" s="36"/>
      <c r="M799" s="36"/>
      <c r="N799" s="105"/>
      <c r="O799" s="36"/>
      <c r="P799" s="36"/>
      <c r="Q799" s="36"/>
      <c r="R799" s="105"/>
      <c r="S799" s="36"/>
      <c r="T799" s="36"/>
      <c r="U799" s="36"/>
      <c r="V799" s="105"/>
      <c r="W799" s="36"/>
      <c r="X799" s="36"/>
      <c r="Y799" s="36"/>
      <c r="Z799" s="105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42"/>
      <c r="AO799" s="42"/>
      <c r="AP799" s="36"/>
      <c r="AQ799" s="36"/>
      <c r="AR799" s="42"/>
      <c r="AS799" s="42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</row>
    <row r="800" spans="1:56" ht="15.75" x14ac:dyDescent="0.25">
      <c r="A800" s="44"/>
      <c r="B800" s="36"/>
      <c r="C800" s="36"/>
      <c r="D800" s="36"/>
      <c r="E800" s="36"/>
      <c r="F800" s="36"/>
      <c r="G800" s="36"/>
      <c r="H800" s="36"/>
      <c r="I800" s="36"/>
      <c r="J800" s="105"/>
      <c r="K800" s="36"/>
      <c r="L800" s="36"/>
      <c r="M800" s="36"/>
      <c r="N800" s="105"/>
      <c r="O800" s="36"/>
      <c r="P800" s="36"/>
      <c r="Q800" s="36"/>
      <c r="R800" s="105"/>
      <c r="S800" s="36"/>
      <c r="T800" s="36"/>
      <c r="U800" s="36"/>
      <c r="V800" s="105"/>
      <c r="W800" s="36"/>
      <c r="X800" s="36"/>
      <c r="Y800" s="36"/>
      <c r="Z800" s="105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42"/>
      <c r="AO800" s="42"/>
      <c r="AP800" s="36"/>
      <c r="AQ800" s="36"/>
      <c r="AR800" s="42"/>
      <c r="AS800" s="42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</row>
    <row r="801" spans="1:56" ht="15.75" x14ac:dyDescent="0.25">
      <c r="A801" s="44"/>
      <c r="B801" s="36"/>
      <c r="C801" s="36"/>
      <c r="D801" s="36"/>
      <c r="E801" s="36"/>
      <c r="F801" s="36"/>
      <c r="G801" s="36"/>
      <c r="H801" s="36"/>
      <c r="I801" s="36"/>
      <c r="J801" s="105"/>
      <c r="K801" s="36"/>
      <c r="L801" s="36"/>
      <c r="M801" s="36"/>
      <c r="N801" s="105"/>
      <c r="O801" s="36"/>
      <c r="P801" s="36"/>
      <c r="Q801" s="36"/>
      <c r="R801" s="105"/>
      <c r="S801" s="36"/>
      <c r="T801" s="36"/>
      <c r="U801" s="36"/>
      <c r="V801" s="105"/>
      <c r="W801" s="36"/>
      <c r="X801" s="36"/>
      <c r="Y801" s="36"/>
      <c r="Z801" s="105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42"/>
      <c r="AO801" s="42"/>
      <c r="AP801" s="36"/>
      <c r="AQ801" s="36"/>
      <c r="AR801" s="42"/>
      <c r="AS801" s="42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</row>
    <row r="802" spans="1:56" ht="15.75" x14ac:dyDescent="0.25">
      <c r="A802" s="44"/>
      <c r="B802" s="36"/>
      <c r="C802" s="36"/>
      <c r="D802" s="36"/>
      <c r="E802" s="36"/>
      <c r="F802" s="36"/>
      <c r="G802" s="36"/>
      <c r="H802" s="36"/>
      <c r="I802" s="36"/>
      <c r="J802" s="105"/>
      <c r="K802" s="36"/>
      <c r="L802" s="36"/>
      <c r="M802" s="36"/>
      <c r="N802" s="105"/>
      <c r="O802" s="36"/>
      <c r="P802" s="36"/>
      <c r="Q802" s="36"/>
      <c r="R802" s="105"/>
      <c r="S802" s="36"/>
      <c r="T802" s="36"/>
      <c r="U802" s="36"/>
      <c r="V802" s="105"/>
      <c r="W802" s="36"/>
      <c r="X802" s="36"/>
      <c r="Y802" s="36"/>
      <c r="Z802" s="105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42"/>
      <c r="AO802" s="42"/>
      <c r="AP802" s="36"/>
      <c r="AQ802" s="36"/>
      <c r="AR802" s="42"/>
      <c r="AS802" s="42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</row>
    <row r="803" spans="1:56" ht="15.75" x14ac:dyDescent="0.25">
      <c r="A803" s="44"/>
      <c r="B803" s="36"/>
      <c r="C803" s="36"/>
      <c r="D803" s="36"/>
      <c r="E803" s="36"/>
      <c r="F803" s="36"/>
      <c r="G803" s="36"/>
      <c r="H803" s="36"/>
      <c r="I803" s="36"/>
      <c r="J803" s="105"/>
      <c r="K803" s="36"/>
      <c r="L803" s="36"/>
      <c r="M803" s="36"/>
      <c r="N803" s="105"/>
      <c r="O803" s="36"/>
      <c r="P803" s="36"/>
      <c r="Q803" s="36"/>
      <c r="R803" s="105"/>
      <c r="S803" s="36"/>
      <c r="T803" s="36"/>
      <c r="U803" s="36"/>
      <c r="V803" s="105"/>
      <c r="W803" s="36"/>
      <c r="X803" s="36"/>
      <c r="Y803" s="36"/>
      <c r="Z803" s="105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42"/>
      <c r="AO803" s="42"/>
      <c r="AP803" s="36"/>
      <c r="AQ803" s="36"/>
      <c r="AR803" s="42"/>
      <c r="AS803" s="42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</row>
    <row r="804" spans="1:56" ht="15.75" x14ac:dyDescent="0.25">
      <c r="A804" s="44"/>
      <c r="B804" s="36"/>
      <c r="C804" s="36"/>
      <c r="D804" s="36"/>
      <c r="E804" s="36"/>
      <c r="F804" s="36"/>
      <c r="G804" s="36"/>
      <c r="H804" s="36"/>
      <c r="I804" s="36"/>
      <c r="J804" s="105"/>
      <c r="K804" s="36"/>
      <c r="L804" s="36"/>
      <c r="M804" s="36"/>
      <c r="N804" s="105"/>
      <c r="O804" s="36"/>
      <c r="P804" s="36"/>
      <c r="Q804" s="36"/>
      <c r="R804" s="105"/>
      <c r="S804" s="36"/>
      <c r="T804" s="36"/>
      <c r="U804" s="36"/>
      <c r="V804" s="105"/>
      <c r="W804" s="36"/>
      <c r="X804" s="36"/>
      <c r="Y804" s="36"/>
      <c r="Z804" s="105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42"/>
      <c r="AO804" s="42"/>
      <c r="AP804" s="36"/>
      <c r="AQ804" s="36"/>
      <c r="AR804" s="42"/>
      <c r="AS804" s="42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</row>
    <row r="805" spans="1:56" ht="15.75" x14ac:dyDescent="0.25">
      <c r="A805" s="44"/>
      <c r="B805" s="36"/>
      <c r="C805" s="36"/>
      <c r="D805" s="36"/>
      <c r="E805" s="36"/>
      <c r="F805" s="36"/>
      <c r="G805" s="36"/>
      <c r="H805" s="36"/>
      <c r="I805" s="36"/>
      <c r="J805" s="105"/>
      <c r="K805" s="36"/>
      <c r="L805" s="36"/>
      <c r="M805" s="36"/>
      <c r="N805" s="105"/>
      <c r="O805" s="36"/>
      <c r="P805" s="36"/>
      <c r="Q805" s="36"/>
      <c r="R805" s="105"/>
      <c r="S805" s="36"/>
      <c r="T805" s="36"/>
      <c r="U805" s="36"/>
      <c r="V805" s="105"/>
      <c r="W805" s="36"/>
      <c r="X805" s="36"/>
      <c r="Y805" s="36"/>
      <c r="Z805" s="105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42"/>
      <c r="AO805" s="42"/>
      <c r="AP805" s="36"/>
      <c r="AQ805" s="36"/>
      <c r="AR805" s="42"/>
      <c r="AS805" s="42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</row>
    <row r="806" spans="1:56" ht="15.75" x14ac:dyDescent="0.25">
      <c r="A806" s="44"/>
      <c r="B806" s="36"/>
      <c r="C806" s="36"/>
      <c r="D806" s="36"/>
      <c r="E806" s="36"/>
      <c r="F806" s="36"/>
      <c r="G806" s="36"/>
      <c r="H806" s="36"/>
      <c r="I806" s="36"/>
      <c r="J806" s="105"/>
      <c r="K806" s="36"/>
      <c r="L806" s="36"/>
      <c r="M806" s="36"/>
      <c r="N806" s="105"/>
      <c r="O806" s="36"/>
      <c r="P806" s="36"/>
      <c r="Q806" s="36"/>
      <c r="R806" s="105"/>
      <c r="S806" s="36"/>
      <c r="T806" s="36"/>
      <c r="U806" s="36"/>
      <c r="V806" s="105"/>
      <c r="W806" s="36"/>
      <c r="X806" s="36"/>
      <c r="Y806" s="36"/>
      <c r="Z806" s="105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42"/>
      <c r="AO806" s="42"/>
      <c r="AP806" s="36"/>
      <c r="AQ806" s="36"/>
      <c r="AR806" s="42"/>
      <c r="AS806" s="42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</row>
    <row r="807" spans="1:56" ht="15.75" x14ac:dyDescent="0.25">
      <c r="A807" s="44"/>
      <c r="B807" s="36"/>
      <c r="C807" s="36"/>
      <c r="D807" s="36"/>
      <c r="E807" s="36"/>
      <c r="F807" s="36"/>
      <c r="G807" s="36"/>
      <c r="H807" s="36"/>
      <c r="I807" s="36"/>
      <c r="J807" s="105"/>
      <c r="K807" s="36"/>
      <c r="L807" s="36"/>
      <c r="M807" s="36"/>
      <c r="N807" s="105"/>
      <c r="O807" s="36"/>
      <c r="P807" s="36"/>
      <c r="Q807" s="36"/>
      <c r="R807" s="105"/>
      <c r="S807" s="36"/>
      <c r="T807" s="36"/>
      <c r="U807" s="36"/>
      <c r="V807" s="105"/>
      <c r="W807" s="36"/>
      <c r="X807" s="36"/>
      <c r="Y807" s="36"/>
      <c r="Z807" s="105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42"/>
      <c r="AO807" s="42"/>
      <c r="AP807" s="36"/>
      <c r="AQ807" s="36"/>
      <c r="AR807" s="42"/>
      <c r="AS807" s="42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</row>
    <row r="808" spans="1:56" ht="15.75" x14ac:dyDescent="0.25">
      <c r="A808" s="44"/>
      <c r="B808" s="36"/>
      <c r="C808" s="36"/>
      <c r="D808" s="36"/>
      <c r="E808" s="36"/>
      <c r="F808" s="36"/>
      <c r="G808" s="36"/>
      <c r="H808" s="36"/>
      <c r="I808" s="36"/>
      <c r="J808" s="105"/>
      <c r="K808" s="36"/>
      <c r="L808" s="36"/>
      <c r="M808" s="36"/>
      <c r="N808" s="105"/>
      <c r="O808" s="36"/>
      <c r="P808" s="36"/>
      <c r="Q808" s="36"/>
      <c r="R808" s="105"/>
      <c r="S808" s="36"/>
      <c r="T808" s="36"/>
      <c r="U808" s="36"/>
      <c r="V808" s="105"/>
      <c r="W808" s="36"/>
      <c r="X808" s="36"/>
      <c r="Y808" s="36"/>
      <c r="Z808" s="105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42"/>
      <c r="AO808" s="42"/>
      <c r="AP808" s="36"/>
      <c r="AQ808" s="36"/>
      <c r="AR808" s="42"/>
      <c r="AS808" s="42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</row>
    <row r="809" spans="1:56" ht="15.75" x14ac:dyDescent="0.25">
      <c r="A809" s="44"/>
      <c r="B809" s="36"/>
      <c r="C809" s="36"/>
      <c r="D809" s="36"/>
      <c r="E809" s="36"/>
      <c r="F809" s="36"/>
      <c r="G809" s="36"/>
      <c r="H809" s="36"/>
      <c r="I809" s="36"/>
      <c r="J809" s="105"/>
      <c r="K809" s="36"/>
      <c r="L809" s="36"/>
      <c r="M809" s="36"/>
      <c r="N809" s="105"/>
      <c r="O809" s="36"/>
      <c r="P809" s="36"/>
      <c r="Q809" s="36"/>
      <c r="R809" s="105"/>
      <c r="S809" s="36"/>
      <c r="T809" s="36"/>
      <c r="U809" s="36"/>
      <c r="V809" s="105"/>
      <c r="W809" s="36"/>
      <c r="X809" s="36"/>
      <c r="Y809" s="36"/>
      <c r="Z809" s="105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42"/>
      <c r="AO809" s="42"/>
      <c r="AP809" s="36"/>
      <c r="AQ809" s="36"/>
      <c r="AR809" s="42"/>
      <c r="AS809" s="42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</row>
    <row r="810" spans="1:56" ht="15.75" x14ac:dyDescent="0.25">
      <c r="A810" s="44"/>
      <c r="B810" s="36"/>
      <c r="C810" s="36"/>
      <c r="D810" s="36"/>
      <c r="E810" s="36"/>
      <c r="F810" s="36"/>
      <c r="G810" s="36"/>
      <c r="H810" s="36"/>
      <c r="I810" s="36"/>
      <c r="J810" s="105"/>
      <c r="K810" s="36"/>
      <c r="L810" s="36"/>
      <c r="M810" s="36"/>
      <c r="N810" s="105"/>
      <c r="O810" s="36"/>
      <c r="P810" s="36"/>
      <c r="Q810" s="36"/>
      <c r="R810" s="105"/>
      <c r="S810" s="36"/>
      <c r="T810" s="36"/>
      <c r="U810" s="36"/>
      <c r="V810" s="105"/>
      <c r="W810" s="36"/>
      <c r="X810" s="36"/>
      <c r="Y810" s="36"/>
      <c r="Z810" s="105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42"/>
      <c r="AO810" s="42"/>
      <c r="AP810" s="36"/>
      <c r="AQ810" s="36"/>
      <c r="AR810" s="42"/>
      <c r="AS810" s="42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</row>
    <row r="811" spans="1:56" ht="15.75" x14ac:dyDescent="0.25">
      <c r="A811" s="44"/>
      <c r="B811" s="36"/>
      <c r="C811" s="36"/>
      <c r="D811" s="36"/>
      <c r="E811" s="36"/>
      <c r="F811" s="36"/>
      <c r="G811" s="36"/>
      <c r="H811" s="36"/>
      <c r="I811" s="36"/>
      <c r="J811" s="105"/>
      <c r="K811" s="36"/>
      <c r="L811" s="36"/>
      <c r="M811" s="36"/>
      <c r="N811" s="105"/>
      <c r="O811" s="36"/>
      <c r="P811" s="36"/>
      <c r="Q811" s="36"/>
      <c r="R811" s="105"/>
      <c r="S811" s="36"/>
      <c r="T811" s="36"/>
      <c r="U811" s="36"/>
      <c r="V811" s="105"/>
      <c r="W811" s="36"/>
      <c r="X811" s="36"/>
      <c r="Y811" s="36"/>
      <c r="Z811" s="105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42"/>
      <c r="AO811" s="42"/>
      <c r="AP811" s="36"/>
      <c r="AQ811" s="36"/>
      <c r="AR811" s="42"/>
      <c r="AS811" s="42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</row>
    <row r="812" spans="1:56" ht="15.75" x14ac:dyDescent="0.25">
      <c r="A812" s="44"/>
      <c r="B812" s="36"/>
      <c r="C812" s="36"/>
      <c r="D812" s="36"/>
      <c r="E812" s="36"/>
      <c r="F812" s="36"/>
      <c r="G812" s="36"/>
      <c r="H812" s="36"/>
      <c r="I812" s="36"/>
      <c r="J812" s="105"/>
      <c r="K812" s="36"/>
      <c r="L812" s="36"/>
      <c r="M812" s="36"/>
      <c r="N812" s="105"/>
      <c r="O812" s="36"/>
      <c r="P812" s="36"/>
      <c r="Q812" s="36"/>
      <c r="R812" s="105"/>
      <c r="S812" s="36"/>
      <c r="T812" s="36"/>
      <c r="U812" s="36"/>
      <c r="V812" s="105"/>
      <c r="W812" s="36"/>
      <c r="X812" s="36"/>
      <c r="Y812" s="36"/>
      <c r="Z812" s="105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42"/>
      <c r="AO812" s="42"/>
      <c r="AP812" s="36"/>
      <c r="AQ812" s="36"/>
      <c r="AR812" s="42"/>
      <c r="AS812" s="42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</row>
    <row r="813" spans="1:56" ht="15.75" x14ac:dyDescent="0.25">
      <c r="A813" s="44"/>
      <c r="B813" s="36"/>
      <c r="C813" s="36"/>
      <c r="D813" s="36"/>
      <c r="E813" s="36"/>
      <c r="F813" s="36"/>
      <c r="G813" s="36"/>
      <c r="H813" s="36"/>
      <c r="I813" s="36"/>
      <c r="J813" s="105"/>
      <c r="K813" s="36"/>
      <c r="L813" s="36"/>
      <c r="M813" s="36"/>
      <c r="N813" s="105"/>
      <c r="O813" s="36"/>
      <c r="P813" s="36"/>
      <c r="Q813" s="36"/>
      <c r="R813" s="105"/>
      <c r="S813" s="36"/>
      <c r="T813" s="36"/>
      <c r="U813" s="36"/>
      <c r="V813" s="105"/>
      <c r="W813" s="36"/>
      <c r="X813" s="36"/>
      <c r="Y813" s="36"/>
      <c r="Z813" s="105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42"/>
      <c r="AO813" s="42"/>
      <c r="AP813" s="36"/>
      <c r="AQ813" s="36"/>
      <c r="AR813" s="42"/>
      <c r="AS813" s="42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</row>
    <row r="814" spans="1:56" ht="15.75" x14ac:dyDescent="0.25">
      <c r="A814" s="44"/>
      <c r="B814" s="36"/>
      <c r="C814" s="36"/>
      <c r="D814" s="36"/>
      <c r="E814" s="36"/>
      <c r="F814" s="36"/>
      <c r="G814" s="36"/>
      <c r="H814" s="36"/>
      <c r="I814" s="36"/>
      <c r="J814" s="105"/>
      <c r="K814" s="36"/>
      <c r="L814" s="36"/>
      <c r="M814" s="36"/>
      <c r="N814" s="105"/>
      <c r="O814" s="36"/>
      <c r="P814" s="36"/>
      <c r="Q814" s="36"/>
      <c r="R814" s="105"/>
      <c r="S814" s="36"/>
      <c r="T814" s="36"/>
      <c r="U814" s="36"/>
      <c r="V814" s="105"/>
      <c r="W814" s="36"/>
      <c r="X814" s="36"/>
      <c r="Y814" s="36"/>
      <c r="Z814" s="105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42"/>
      <c r="AO814" s="42"/>
      <c r="AP814" s="36"/>
      <c r="AQ814" s="36"/>
      <c r="AR814" s="42"/>
      <c r="AS814" s="42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</row>
    <row r="815" spans="1:56" ht="15.75" x14ac:dyDescent="0.25">
      <c r="A815" s="44"/>
      <c r="B815" s="36"/>
      <c r="C815" s="36"/>
      <c r="D815" s="36"/>
      <c r="E815" s="36"/>
      <c r="F815" s="36"/>
      <c r="G815" s="36"/>
      <c r="H815" s="36"/>
      <c r="I815" s="36"/>
      <c r="J815" s="105"/>
      <c r="K815" s="36"/>
      <c r="L815" s="36"/>
      <c r="M815" s="36"/>
      <c r="N815" s="105"/>
      <c r="O815" s="36"/>
      <c r="P815" s="36"/>
      <c r="Q815" s="36"/>
      <c r="R815" s="105"/>
      <c r="S815" s="36"/>
      <c r="T815" s="36"/>
      <c r="U815" s="36"/>
      <c r="V815" s="105"/>
      <c r="W815" s="36"/>
      <c r="X815" s="36"/>
      <c r="Y815" s="36"/>
      <c r="Z815" s="105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42"/>
      <c r="AO815" s="42"/>
      <c r="AP815" s="36"/>
      <c r="AQ815" s="36"/>
      <c r="AR815" s="42"/>
      <c r="AS815" s="42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</row>
    <row r="816" spans="1:56" ht="15.75" x14ac:dyDescent="0.25">
      <c r="A816" s="44"/>
      <c r="B816" s="36"/>
      <c r="C816" s="36"/>
      <c r="D816" s="36"/>
      <c r="E816" s="36"/>
      <c r="F816" s="36"/>
      <c r="G816" s="36"/>
      <c r="H816" s="36"/>
      <c r="I816" s="36"/>
      <c r="J816" s="105"/>
      <c r="K816" s="36"/>
      <c r="L816" s="36"/>
      <c r="M816" s="36"/>
      <c r="N816" s="105"/>
      <c r="O816" s="36"/>
      <c r="P816" s="36"/>
      <c r="Q816" s="36"/>
      <c r="R816" s="105"/>
      <c r="S816" s="36"/>
      <c r="T816" s="36"/>
      <c r="U816" s="36"/>
      <c r="V816" s="105"/>
      <c r="W816" s="36"/>
      <c r="X816" s="36"/>
      <c r="Y816" s="36"/>
      <c r="Z816" s="105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42"/>
      <c r="AO816" s="42"/>
      <c r="AP816" s="36"/>
      <c r="AQ816" s="36"/>
      <c r="AR816" s="42"/>
      <c r="AS816" s="42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</row>
    <row r="817" spans="1:56" ht="15.75" x14ac:dyDescent="0.25">
      <c r="A817" s="44"/>
      <c r="B817" s="36"/>
      <c r="C817" s="36"/>
      <c r="D817" s="36"/>
      <c r="E817" s="36"/>
      <c r="F817" s="36"/>
      <c r="G817" s="36"/>
      <c r="H817" s="36"/>
      <c r="I817" s="36"/>
      <c r="J817" s="105"/>
      <c r="K817" s="36"/>
      <c r="L817" s="36"/>
      <c r="M817" s="36"/>
      <c r="N817" s="105"/>
      <c r="O817" s="36"/>
      <c r="P817" s="36"/>
      <c r="Q817" s="36"/>
      <c r="R817" s="105"/>
      <c r="S817" s="36"/>
      <c r="T817" s="36"/>
      <c r="U817" s="36"/>
      <c r="V817" s="105"/>
      <c r="W817" s="36"/>
      <c r="X817" s="36"/>
      <c r="Y817" s="36"/>
      <c r="Z817" s="105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42"/>
      <c r="AO817" s="42"/>
      <c r="AP817" s="36"/>
      <c r="AQ817" s="36"/>
      <c r="AR817" s="42"/>
      <c r="AS817" s="42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</row>
    <row r="818" spans="1:56" ht="15.75" x14ac:dyDescent="0.25">
      <c r="A818" s="44"/>
      <c r="B818" s="36"/>
      <c r="C818" s="36"/>
      <c r="D818" s="36"/>
      <c r="E818" s="36"/>
      <c r="F818" s="36"/>
      <c r="G818" s="36"/>
      <c r="H818" s="36"/>
      <c r="I818" s="36"/>
      <c r="J818" s="105"/>
      <c r="K818" s="36"/>
      <c r="L818" s="36"/>
      <c r="M818" s="36"/>
      <c r="N818" s="105"/>
      <c r="O818" s="36"/>
      <c r="P818" s="36"/>
      <c r="Q818" s="36"/>
      <c r="R818" s="105"/>
      <c r="S818" s="36"/>
      <c r="T818" s="36"/>
      <c r="U818" s="36"/>
      <c r="V818" s="105"/>
      <c r="W818" s="36"/>
      <c r="X818" s="36"/>
      <c r="Y818" s="36"/>
      <c r="Z818" s="105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42"/>
      <c r="AO818" s="42"/>
      <c r="AP818" s="36"/>
      <c r="AQ818" s="36"/>
      <c r="AR818" s="42"/>
      <c r="AS818" s="42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</row>
    <row r="819" spans="1:56" ht="15.75" x14ac:dyDescent="0.25">
      <c r="A819" s="44"/>
      <c r="B819" s="36"/>
      <c r="C819" s="36"/>
      <c r="D819" s="36"/>
      <c r="E819" s="36"/>
      <c r="F819" s="36"/>
      <c r="G819" s="36"/>
      <c r="H819" s="36"/>
      <c r="I819" s="36"/>
      <c r="J819" s="105"/>
      <c r="K819" s="36"/>
      <c r="L819" s="36"/>
      <c r="M819" s="36"/>
      <c r="N819" s="105"/>
      <c r="O819" s="36"/>
      <c r="P819" s="36"/>
      <c r="Q819" s="36"/>
      <c r="R819" s="105"/>
      <c r="S819" s="36"/>
      <c r="T819" s="36"/>
      <c r="U819" s="36"/>
      <c r="V819" s="105"/>
      <c r="W819" s="36"/>
      <c r="X819" s="36"/>
      <c r="Y819" s="36"/>
      <c r="Z819" s="105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42"/>
      <c r="AO819" s="42"/>
      <c r="AP819" s="36"/>
      <c r="AQ819" s="36"/>
      <c r="AR819" s="42"/>
      <c r="AS819" s="42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</row>
    <row r="820" spans="1:56" ht="15.75" x14ac:dyDescent="0.25">
      <c r="A820" s="44"/>
      <c r="B820" s="36"/>
      <c r="C820" s="36"/>
      <c r="D820" s="36"/>
      <c r="E820" s="36"/>
      <c r="F820" s="36"/>
      <c r="G820" s="36"/>
      <c r="H820" s="36"/>
      <c r="I820" s="36"/>
      <c r="J820" s="105"/>
      <c r="K820" s="36"/>
      <c r="L820" s="36"/>
      <c r="M820" s="36"/>
      <c r="N820" s="105"/>
      <c r="O820" s="36"/>
      <c r="P820" s="36"/>
      <c r="Q820" s="36"/>
      <c r="R820" s="105"/>
      <c r="S820" s="36"/>
      <c r="T820" s="36"/>
      <c r="U820" s="36"/>
      <c r="V820" s="105"/>
      <c r="W820" s="36"/>
      <c r="X820" s="36"/>
      <c r="Y820" s="36"/>
      <c r="Z820" s="105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42"/>
      <c r="AO820" s="42"/>
      <c r="AP820" s="36"/>
      <c r="AQ820" s="36"/>
      <c r="AR820" s="42"/>
      <c r="AS820" s="42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</row>
    <row r="821" spans="1:56" ht="15.75" x14ac:dyDescent="0.25">
      <c r="A821" s="44"/>
      <c r="B821" s="36"/>
      <c r="C821" s="36"/>
      <c r="D821" s="36"/>
      <c r="E821" s="36"/>
      <c r="F821" s="36"/>
      <c r="G821" s="36"/>
      <c r="H821" s="36"/>
      <c r="I821" s="36"/>
      <c r="J821" s="105"/>
      <c r="K821" s="36"/>
      <c r="L821" s="36"/>
      <c r="M821" s="36"/>
      <c r="N821" s="105"/>
      <c r="O821" s="36"/>
      <c r="P821" s="36"/>
      <c r="Q821" s="36"/>
      <c r="R821" s="105"/>
      <c r="S821" s="36"/>
      <c r="T821" s="36"/>
      <c r="U821" s="36"/>
      <c r="V821" s="105"/>
      <c r="W821" s="36"/>
      <c r="X821" s="36"/>
      <c r="Y821" s="36"/>
      <c r="Z821" s="105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42"/>
      <c r="AO821" s="42"/>
      <c r="AP821" s="36"/>
      <c r="AQ821" s="36"/>
      <c r="AR821" s="42"/>
      <c r="AS821" s="42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</row>
    <row r="822" spans="1:56" ht="15.75" x14ac:dyDescent="0.25">
      <c r="A822" s="44"/>
      <c r="B822" s="36"/>
      <c r="C822" s="36"/>
      <c r="D822" s="36"/>
      <c r="E822" s="36"/>
      <c r="F822" s="36"/>
      <c r="G822" s="36"/>
      <c r="H822" s="36"/>
      <c r="I822" s="36"/>
      <c r="J822" s="105"/>
      <c r="K822" s="36"/>
      <c r="L822" s="36"/>
      <c r="M822" s="36"/>
      <c r="N822" s="105"/>
      <c r="O822" s="36"/>
      <c r="P822" s="36"/>
      <c r="Q822" s="36"/>
      <c r="R822" s="105"/>
      <c r="S822" s="36"/>
      <c r="T822" s="36"/>
      <c r="U822" s="36"/>
      <c r="V822" s="105"/>
      <c r="W822" s="36"/>
      <c r="X822" s="36"/>
      <c r="Y822" s="36"/>
      <c r="Z822" s="105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42"/>
      <c r="AO822" s="42"/>
      <c r="AP822" s="36"/>
      <c r="AQ822" s="36"/>
      <c r="AR822" s="42"/>
      <c r="AS822" s="42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</row>
    <row r="823" spans="1:56" ht="15.75" x14ac:dyDescent="0.25">
      <c r="A823" s="44"/>
      <c r="B823" s="36"/>
      <c r="C823" s="36"/>
      <c r="D823" s="36"/>
      <c r="E823" s="36"/>
      <c r="F823" s="36"/>
      <c r="G823" s="36"/>
      <c r="H823" s="36"/>
      <c r="I823" s="36"/>
      <c r="J823" s="105"/>
      <c r="K823" s="36"/>
      <c r="L823" s="36"/>
      <c r="M823" s="36"/>
      <c r="N823" s="105"/>
      <c r="O823" s="36"/>
      <c r="P823" s="36"/>
      <c r="Q823" s="36"/>
      <c r="R823" s="105"/>
      <c r="S823" s="36"/>
      <c r="T823" s="36"/>
      <c r="U823" s="36"/>
      <c r="V823" s="105"/>
      <c r="W823" s="36"/>
      <c r="X823" s="36"/>
      <c r="Y823" s="36"/>
      <c r="Z823" s="105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42"/>
      <c r="AO823" s="42"/>
      <c r="AP823" s="36"/>
      <c r="AQ823" s="36"/>
      <c r="AR823" s="42"/>
      <c r="AS823" s="42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</row>
    <row r="824" spans="1:56" ht="15.75" x14ac:dyDescent="0.25">
      <c r="A824" s="44"/>
      <c r="B824" s="36"/>
      <c r="C824" s="36"/>
      <c r="D824" s="36"/>
      <c r="E824" s="36"/>
      <c r="F824" s="36"/>
      <c r="G824" s="36"/>
      <c r="H824" s="36"/>
      <c r="I824" s="36"/>
      <c r="J824" s="105"/>
      <c r="K824" s="36"/>
      <c r="L824" s="36"/>
      <c r="M824" s="36"/>
      <c r="N824" s="105"/>
      <c r="O824" s="36"/>
      <c r="P824" s="36"/>
      <c r="Q824" s="36"/>
      <c r="R824" s="105"/>
      <c r="S824" s="36"/>
      <c r="T824" s="36"/>
      <c r="U824" s="36"/>
      <c r="V824" s="105"/>
      <c r="W824" s="36"/>
      <c r="X824" s="36"/>
      <c r="Y824" s="36"/>
      <c r="Z824" s="105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42"/>
      <c r="AO824" s="42"/>
      <c r="AP824" s="36"/>
      <c r="AQ824" s="36"/>
      <c r="AR824" s="42"/>
      <c r="AS824" s="42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</row>
    <row r="825" spans="1:56" ht="15.75" x14ac:dyDescent="0.25">
      <c r="A825" s="44"/>
      <c r="B825" s="36"/>
      <c r="C825" s="36"/>
      <c r="D825" s="36"/>
      <c r="E825" s="36"/>
      <c r="F825" s="36"/>
      <c r="G825" s="36"/>
      <c r="H825" s="36"/>
      <c r="I825" s="36"/>
      <c r="J825" s="105"/>
      <c r="K825" s="36"/>
      <c r="L825" s="36"/>
      <c r="M825" s="36"/>
      <c r="N825" s="105"/>
      <c r="O825" s="36"/>
      <c r="P825" s="36"/>
      <c r="Q825" s="36"/>
      <c r="R825" s="105"/>
      <c r="S825" s="36"/>
      <c r="T825" s="36"/>
      <c r="U825" s="36"/>
      <c r="V825" s="105"/>
      <c r="W825" s="36"/>
      <c r="X825" s="36"/>
      <c r="Y825" s="36"/>
      <c r="Z825" s="105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42"/>
      <c r="AO825" s="42"/>
      <c r="AP825" s="36"/>
      <c r="AQ825" s="36"/>
      <c r="AR825" s="42"/>
      <c r="AS825" s="42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</row>
    <row r="826" spans="1:56" ht="15.75" x14ac:dyDescent="0.25">
      <c r="A826" s="44"/>
      <c r="B826" s="36"/>
      <c r="C826" s="36"/>
      <c r="D826" s="36"/>
      <c r="E826" s="36"/>
      <c r="F826" s="36"/>
      <c r="G826" s="36"/>
      <c r="H826" s="36"/>
      <c r="I826" s="36"/>
      <c r="J826" s="105"/>
      <c r="K826" s="36"/>
      <c r="L826" s="36"/>
      <c r="M826" s="36"/>
      <c r="N826" s="105"/>
      <c r="O826" s="36"/>
      <c r="P826" s="36"/>
      <c r="Q826" s="36"/>
      <c r="R826" s="105"/>
      <c r="S826" s="36"/>
      <c r="T826" s="36"/>
      <c r="U826" s="36"/>
      <c r="V826" s="105"/>
      <c r="W826" s="36"/>
      <c r="X826" s="36"/>
      <c r="Y826" s="36"/>
      <c r="Z826" s="105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42"/>
      <c r="AO826" s="42"/>
      <c r="AP826" s="36"/>
      <c r="AQ826" s="36"/>
      <c r="AR826" s="42"/>
      <c r="AS826" s="42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</row>
    <row r="827" spans="1:56" ht="15.75" x14ac:dyDescent="0.25">
      <c r="A827" s="44"/>
      <c r="B827" s="36"/>
      <c r="C827" s="36"/>
      <c r="D827" s="36"/>
      <c r="E827" s="36"/>
      <c r="F827" s="36"/>
      <c r="G827" s="36"/>
      <c r="H827" s="36"/>
      <c r="I827" s="36"/>
      <c r="J827" s="105"/>
      <c r="K827" s="36"/>
      <c r="L827" s="36"/>
      <c r="M827" s="36"/>
      <c r="N827" s="105"/>
      <c r="O827" s="36"/>
      <c r="P827" s="36"/>
      <c r="Q827" s="36"/>
      <c r="R827" s="105"/>
      <c r="S827" s="36"/>
      <c r="T827" s="36"/>
      <c r="U827" s="36"/>
      <c r="V827" s="105"/>
      <c r="W827" s="36"/>
      <c r="X827" s="36"/>
      <c r="Y827" s="36"/>
      <c r="Z827" s="105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42"/>
      <c r="AO827" s="42"/>
      <c r="AP827" s="36"/>
      <c r="AQ827" s="36"/>
      <c r="AR827" s="42"/>
      <c r="AS827" s="42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</row>
    <row r="828" spans="1:56" ht="15.75" x14ac:dyDescent="0.25">
      <c r="A828" s="44"/>
      <c r="B828" s="36"/>
      <c r="C828" s="36"/>
      <c r="D828" s="36"/>
      <c r="E828" s="36"/>
      <c r="F828" s="36"/>
      <c r="G828" s="36"/>
      <c r="H828" s="36"/>
      <c r="I828" s="36"/>
      <c r="J828" s="105"/>
      <c r="K828" s="36"/>
      <c r="L828" s="36"/>
      <c r="M828" s="36"/>
      <c r="N828" s="105"/>
      <c r="O828" s="36"/>
      <c r="P828" s="36"/>
      <c r="Q828" s="36"/>
      <c r="R828" s="105"/>
      <c r="S828" s="36"/>
      <c r="T828" s="36"/>
      <c r="U828" s="36"/>
      <c r="V828" s="105"/>
      <c r="W828" s="36"/>
      <c r="X828" s="36"/>
      <c r="Y828" s="36"/>
      <c r="Z828" s="105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42"/>
      <c r="AO828" s="42"/>
      <c r="AP828" s="36"/>
      <c r="AQ828" s="36"/>
      <c r="AR828" s="42"/>
      <c r="AS828" s="42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</row>
    <row r="829" spans="1:56" ht="15.75" x14ac:dyDescent="0.25">
      <c r="A829" s="44"/>
      <c r="B829" s="36"/>
      <c r="C829" s="36"/>
      <c r="D829" s="36"/>
      <c r="E829" s="36"/>
      <c r="F829" s="36"/>
      <c r="G829" s="36"/>
      <c r="H829" s="36"/>
      <c r="I829" s="36"/>
      <c r="J829" s="105"/>
      <c r="K829" s="36"/>
      <c r="L829" s="36"/>
      <c r="M829" s="36"/>
      <c r="N829" s="105"/>
      <c r="O829" s="36"/>
      <c r="P829" s="36"/>
      <c r="Q829" s="36"/>
      <c r="R829" s="105"/>
      <c r="S829" s="36"/>
      <c r="T829" s="36"/>
      <c r="U829" s="36"/>
      <c r="V829" s="105"/>
      <c r="W829" s="36"/>
      <c r="X829" s="36"/>
      <c r="Y829" s="36"/>
      <c r="Z829" s="105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42"/>
      <c r="AO829" s="42"/>
      <c r="AP829" s="36"/>
      <c r="AQ829" s="36"/>
      <c r="AR829" s="42"/>
      <c r="AS829" s="42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</row>
    <row r="830" spans="1:56" ht="15.75" x14ac:dyDescent="0.25">
      <c r="A830" s="44"/>
      <c r="B830" s="36"/>
      <c r="C830" s="36"/>
      <c r="D830" s="36"/>
      <c r="E830" s="36"/>
      <c r="F830" s="36"/>
      <c r="G830" s="36"/>
      <c r="H830" s="36"/>
      <c r="I830" s="36"/>
      <c r="J830" s="105"/>
      <c r="K830" s="36"/>
      <c r="L830" s="36"/>
      <c r="M830" s="36"/>
      <c r="N830" s="105"/>
      <c r="O830" s="36"/>
      <c r="P830" s="36"/>
      <c r="Q830" s="36"/>
      <c r="R830" s="105"/>
      <c r="S830" s="36"/>
      <c r="T830" s="36"/>
      <c r="U830" s="36"/>
      <c r="V830" s="105"/>
      <c r="W830" s="36"/>
      <c r="X830" s="36"/>
      <c r="Y830" s="36"/>
      <c r="Z830" s="105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42"/>
      <c r="AO830" s="42"/>
      <c r="AP830" s="36"/>
      <c r="AQ830" s="36"/>
      <c r="AR830" s="42"/>
      <c r="AS830" s="42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</row>
    <row r="831" spans="1:56" ht="15.75" x14ac:dyDescent="0.25">
      <c r="A831" s="44"/>
      <c r="B831" s="36"/>
      <c r="C831" s="36"/>
      <c r="D831" s="36"/>
      <c r="E831" s="36"/>
      <c r="F831" s="36"/>
      <c r="G831" s="36"/>
      <c r="H831" s="36"/>
      <c r="I831" s="36"/>
      <c r="J831" s="105"/>
      <c r="K831" s="36"/>
      <c r="L831" s="36"/>
      <c r="M831" s="36"/>
      <c r="N831" s="105"/>
      <c r="O831" s="36"/>
      <c r="P831" s="36"/>
      <c r="Q831" s="36"/>
      <c r="R831" s="105"/>
      <c r="S831" s="36"/>
      <c r="T831" s="36"/>
      <c r="U831" s="36"/>
      <c r="V831" s="105"/>
      <c r="W831" s="36"/>
      <c r="X831" s="36"/>
      <c r="Y831" s="36"/>
      <c r="Z831" s="105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42"/>
      <c r="AO831" s="42"/>
      <c r="AP831" s="36"/>
      <c r="AQ831" s="36"/>
      <c r="AR831" s="42"/>
      <c r="AS831" s="42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</row>
    <row r="832" spans="1:56" ht="15.75" x14ac:dyDescent="0.25">
      <c r="A832" s="44"/>
      <c r="B832" s="36"/>
      <c r="C832" s="36"/>
      <c r="D832" s="36"/>
      <c r="E832" s="36"/>
      <c r="F832" s="36"/>
      <c r="G832" s="36"/>
      <c r="H832" s="36"/>
      <c r="I832" s="36"/>
      <c r="J832" s="105"/>
      <c r="K832" s="36"/>
      <c r="L832" s="36"/>
      <c r="M832" s="36"/>
      <c r="N832" s="105"/>
      <c r="O832" s="36"/>
      <c r="P832" s="36"/>
      <c r="Q832" s="36"/>
      <c r="R832" s="105"/>
      <c r="S832" s="36"/>
      <c r="T832" s="36"/>
      <c r="U832" s="36"/>
      <c r="V832" s="105"/>
      <c r="W832" s="36"/>
      <c r="X832" s="36"/>
      <c r="Y832" s="36"/>
      <c r="Z832" s="105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42"/>
      <c r="AO832" s="42"/>
      <c r="AP832" s="36"/>
      <c r="AQ832" s="36"/>
      <c r="AR832" s="42"/>
      <c r="AS832" s="42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</row>
    <row r="833" spans="1:56" ht="15.75" x14ac:dyDescent="0.25">
      <c r="A833" s="44"/>
      <c r="B833" s="36"/>
      <c r="C833" s="36"/>
      <c r="D833" s="36"/>
      <c r="E833" s="36"/>
      <c r="F833" s="36"/>
      <c r="G833" s="36"/>
      <c r="H833" s="36"/>
      <c r="I833" s="36"/>
      <c r="J833" s="105"/>
      <c r="K833" s="36"/>
      <c r="L833" s="36"/>
      <c r="M833" s="36"/>
      <c r="N833" s="105"/>
      <c r="O833" s="36"/>
      <c r="P833" s="36"/>
      <c r="Q833" s="36"/>
      <c r="R833" s="105"/>
      <c r="S833" s="36"/>
      <c r="T833" s="36"/>
      <c r="U833" s="36"/>
      <c r="V833" s="105"/>
      <c r="W833" s="36"/>
      <c r="X833" s="36"/>
      <c r="Y833" s="36"/>
      <c r="Z833" s="105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42"/>
      <c r="AO833" s="42"/>
      <c r="AP833" s="36"/>
      <c r="AQ833" s="36"/>
      <c r="AR833" s="42"/>
      <c r="AS833" s="42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</row>
    <row r="834" spans="1:56" ht="15.75" x14ac:dyDescent="0.25">
      <c r="A834" s="44"/>
      <c r="B834" s="36"/>
      <c r="C834" s="36"/>
      <c r="D834" s="36"/>
      <c r="E834" s="36"/>
      <c r="F834" s="36"/>
      <c r="G834" s="36"/>
      <c r="H834" s="36"/>
      <c r="I834" s="36"/>
      <c r="J834" s="105"/>
      <c r="K834" s="36"/>
      <c r="L834" s="36"/>
      <c r="M834" s="36"/>
      <c r="N834" s="105"/>
      <c r="O834" s="36"/>
      <c r="P834" s="36"/>
      <c r="Q834" s="36"/>
      <c r="R834" s="105"/>
      <c r="S834" s="36"/>
      <c r="T834" s="36"/>
      <c r="U834" s="36"/>
      <c r="V834" s="105"/>
      <c r="W834" s="36"/>
      <c r="X834" s="36"/>
      <c r="Y834" s="36"/>
      <c r="Z834" s="105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42"/>
      <c r="AO834" s="42"/>
      <c r="AP834" s="36"/>
      <c r="AQ834" s="36"/>
      <c r="AR834" s="42"/>
      <c r="AS834" s="42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</row>
    <row r="835" spans="1:56" ht="15.75" x14ac:dyDescent="0.25">
      <c r="A835" s="44"/>
      <c r="B835" s="36"/>
      <c r="C835" s="36"/>
      <c r="D835" s="36"/>
      <c r="E835" s="36"/>
      <c r="F835" s="36"/>
      <c r="G835" s="36"/>
      <c r="H835" s="36"/>
      <c r="I835" s="36"/>
      <c r="J835" s="105"/>
      <c r="K835" s="36"/>
      <c r="L835" s="36"/>
      <c r="M835" s="36"/>
      <c r="N835" s="105"/>
      <c r="O835" s="36"/>
      <c r="P835" s="36"/>
      <c r="Q835" s="36"/>
      <c r="R835" s="105"/>
      <c r="S835" s="36"/>
      <c r="T835" s="36"/>
      <c r="U835" s="36"/>
      <c r="V835" s="105"/>
      <c r="W835" s="36"/>
      <c r="X835" s="36"/>
      <c r="Y835" s="36"/>
      <c r="Z835" s="105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42"/>
      <c r="AO835" s="42"/>
      <c r="AP835" s="36"/>
      <c r="AQ835" s="36"/>
      <c r="AR835" s="42"/>
      <c r="AS835" s="42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</row>
    <row r="836" spans="1:56" ht="15.75" x14ac:dyDescent="0.25">
      <c r="A836" s="44"/>
      <c r="B836" s="36"/>
      <c r="C836" s="36"/>
      <c r="D836" s="36"/>
      <c r="E836" s="36"/>
      <c r="F836" s="36"/>
      <c r="G836" s="36"/>
      <c r="H836" s="36"/>
      <c r="I836" s="36"/>
      <c r="J836" s="105"/>
      <c r="K836" s="36"/>
      <c r="L836" s="36"/>
      <c r="M836" s="36"/>
      <c r="N836" s="105"/>
      <c r="O836" s="36"/>
      <c r="P836" s="36"/>
      <c r="Q836" s="36"/>
      <c r="R836" s="105"/>
      <c r="S836" s="36"/>
      <c r="T836" s="36"/>
      <c r="U836" s="36"/>
      <c r="V836" s="105"/>
      <c r="W836" s="36"/>
      <c r="X836" s="36"/>
      <c r="Y836" s="36"/>
      <c r="Z836" s="105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42"/>
      <c r="AO836" s="42"/>
      <c r="AP836" s="36"/>
      <c r="AQ836" s="36"/>
      <c r="AR836" s="42"/>
      <c r="AS836" s="42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</row>
    <row r="837" spans="1:56" ht="15.75" x14ac:dyDescent="0.25">
      <c r="A837" s="44"/>
      <c r="B837" s="36"/>
      <c r="C837" s="36"/>
      <c r="D837" s="36"/>
      <c r="E837" s="36"/>
      <c r="F837" s="36"/>
      <c r="G837" s="36"/>
      <c r="H837" s="36"/>
      <c r="I837" s="36"/>
      <c r="J837" s="105"/>
      <c r="K837" s="36"/>
      <c r="L837" s="36"/>
      <c r="M837" s="36"/>
      <c r="N837" s="105"/>
      <c r="O837" s="36"/>
      <c r="P837" s="36"/>
      <c r="Q837" s="36"/>
      <c r="R837" s="105"/>
      <c r="S837" s="36"/>
      <c r="T837" s="36"/>
      <c r="U837" s="36"/>
      <c r="V837" s="105"/>
      <c r="W837" s="36"/>
      <c r="X837" s="36"/>
      <c r="Y837" s="36"/>
      <c r="Z837" s="105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42"/>
      <c r="AO837" s="42"/>
      <c r="AP837" s="36"/>
      <c r="AQ837" s="36"/>
      <c r="AR837" s="42"/>
      <c r="AS837" s="42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</row>
    <row r="838" spans="1:56" ht="15.75" x14ac:dyDescent="0.25">
      <c r="A838" s="44"/>
      <c r="B838" s="36"/>
      <c r="C838" s="36"/>
      <c r="D838" s="36"/>
      <c r="E838" s="36"/>
      <c r="F838" s="36"/>
      <c r="G838" s="36"/>
      <c r="H838" s="36"/>
      <c r="I838" s="36"/>
      <c r="J838" s="105"/>
      <c r="K838" s="36"/>
      <c r="L838" s="36"/>
      <c r="M838" s="36"/>
      <c r="N838" s="105"/>
      <c r="O838" s="36"/>
      <c r="P838" s="36"/>
      <c r="Q838" s="36"/>
      <c r="R838" s="105"/>
      <c r="S838" s="36"/>
      <c r="T838" s="36"/>
      <c r="U838" s="36"/>
      <c r="V838" s="105"/>
      <c r="W838" s="36"/>
      <c r="X838" s="36"/>
      <c r="Y838" s="36"/>
      <c r="Z838" s="105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42"/>
      <c r="AO838" s="42"/>
      <c r="AP838" s="36"/>
      <c r="AQ838" s="36"/>
      <c r="AR838" s="42"/>
      <c r="AS838" s="42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</row>
    <row r="839" spans="1:56" ht="15.75" x14ac:dyDescent="0.25">
      <c r="A839" s="44"/>
      <c r="B839" s="36"/>
      <c r="C839" s="36"/>
      <c r="D839" s="36"/>
      <c r="E839" s="36"/>
      <c r="F839" s="36"/>
      <c r="G839" s="36"/>
      <c r="H839" s="36"/>
      <c r="I839" s="36"/>
      <c r="J839" s="105"/>
      <c r="K839" s="36"/>
      <c r="L839" s="36"/>
      <c r="M839" s="36"/>
      <c r="N839" s="105"/>
      <c r="O839" s="36"/>
      <c r="P839" s="36"/>
      <c r="Q839" s="36"/>
      <c r="R839" s="105"/>
      <c r="S839" s="36"/>
      <c r="T839" s="36"/>
      <c r="U839" s="36"/>
      <c r="V839" s="105"/>
      <c r="W839" s="36"/>
      <c r="X839" s="36"/>
      <c r="Y839" s="36"/>
      <c r="Z839" s="105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42"/>
      <c r="AO839" s="42"/>
      <c r="AP839" s="36"/>
      <c r="AQ839" s="36"/>
      <c r="AR839" s="42"/>
      <c r="AS839" s="42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</row>
    <row r="840" spans="1:56" ht="15.75" x14ac:dyDescent="0.25">
      <c r="A840" s="44"/>
      <c r="B840" s="36"/>
      <c r="C840" s="36"/>
      <c r="D840" s="36"/>
      <c r="E840" s="36"/>
      <c r="F840" s="36"/>
      <c r="G840" s="36"/>
      <c r="H840" s="36"/>
      <c r="I840" s="36"/>
      <c r="J840" s="105"/>
      <c r="K840" s="36"/>
      <c r="L840" s="36"/>
      <c r="M840" s="36"/>
      <c r="N840" s="105"/>
      <c r="O840" s="36"/>
      <c r="P840" s="36"/>
      <c r="Q840" s="36"/>
      <c r="R840" s="105"/>
      <c r="S840" s="36"/>
      <c r="T840" s="36"/>
      <c r="U840" s="36"/>
      <c r="V840" s="105"/>
      <c r="W840" s="36"/>
      <c r="X840" s="36"/>
      <c r="Y840" s="36"/>
      <c r="Z840" s="105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42"/>
      <c r="AO840" s="42"/>
      <c r="AP840" s="36"/>
      <c r="AQ840" s="36"/>
      <c r="AR840" s="42"/>
      <c r="AS840" s="42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</row>
    <row r="841" spans="1:56" ht="15.75" x14ac:dyDescent="0.25">
      <c r="A841" s="44"/>
      <c r="B841" s="36"/>
      <c r="C841" s="36"/>
      <c r="D841" s="36"/>
      <c r="E841" s="36"/>
      <c r="F841" s="36"/>
      <c r="G841" s="36"/>
      <c r="H841" s="36"/>
      <c r="I841" s="36"/>
      <c r="J841" s="105"/>
      <c r="K841" s="36"/>
      <c r="L841" s="36"/>
      <c r="M841" s="36"/>
      <c r="N841" s="105"/>
      <c r="O841" s="36"/>
      <c r="P841" s="36"/>
      <c r="Q841" s="36"/>
      <c r="R841" s="105"/>
      <c r="S841" s="36"/>
      <c r="T841" s="36"/>
      <c r="U841" s="36"/>
      <c r="V841" s="105"/>
      <c r="W841" s="36"/>
      <c r="X841" s="36"/>
      <c r="Y841" s="36"/>
      <c r="Z841" s="105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42"/>
      <c r="AO841" s="42"/>
      <c r="AP841" s="36"/>
      <c r="AQ841" s="36"/>
      <c r="AR841" s="42"/>
      <c r="AS841" s="42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</row>
    <row r="842" spans="1:56" ht="15.75" x14ac:dyDescent="0.25">
      <c r="A842" s="44"/>
      <c r="B842" s="36"/>
      <c r="C842" s="36"/>
      <c r="D842" s="36"/>
      <c r="E842" s="36"/>
      <c r="F842" s="36"/>
      <c r="G842" s="36"/>
      <c r="H842" s="36"/>
      <c r="I842" s="36"/>
      <c r="J842" s="105"/>
      <c r="K842" s="36"/>
      <c r="L842" s="36"/>
      <c r="M842" s="36"/>
      <c r="N842" s="105"/>
      <c r="O842" s="36"/>
      <c r="P842" s="36"/>
      <c r="Q842" s="36"/>
      <c r="R842" s="105"/>
      <c r="S842" s="36"/>
      <c r="T842" s="36"/>
      <c r="U842" s="36"/>
      <c r="V842" s="105"/>
      <c r="W842" s="36"/>
      <c r="X842" s="36"/>
      <c r="Y842" s="36"/>
      <c r="Z842" s="105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42"/>
      <c r="AO842" s="42"/>
      <c r="AP842" s="36"/>
      <c r="AQ842" s="36"/>
      <c r="AR842" s="42"/>
      <c r="AS842" s="42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</row>
    <row r="843" spans="1:56" ht="15.75" x14ac:dyDescent="0.25">
      <c r="A843" s="44"/>
      <c r="B843" s="36"/>
      <c r="C843" s="36"/>
      <c r="D843" s="36"/>
      <c r="E843" s="36"/>
      <c r="F843" s="36"/>
      <c r="G843" s="36"/>
      <c r="H843" s="36"/>
      <c r="I843" s="36"/>
      <c r="J843" s="105"/>
      <c r="K843" s="36"/>
      <c r="L843" s="36"/>
      <c r="M843" s="36"/>
      <c r="N843" s="105"/>
      <c r="O843" s="36"/>
      <c r="P843" s="36"/>
      <c r="Q843" s="36"/>
      <c r="R843" s="105"/>
      <c r="S843" s="36"/>
      <c r="T843" s="36"/>
      <c r="U843" s="36"/>
      <c r="V843" s="105"/>
      <c r="W843" s="36"/>
      <c r="X843" s="36"/>
      <c r="Y843" s="36"/>
      <c r="Z843" s="105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42"/>
      <c r="AO843" s="42"/>
      <c r="AP843" s="36"/>
      <c r="AQ843" s="36"/>
      <c r="AR843" s="42"/>
      <c r="AS843" s="42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</row>
    <row r="844" spans="1:56" ht="15.75" x14ac:dyDescent="0.25">
      <c r="A844" s="44"/>
      <c r="B844" s="36"/>
      <c r="C844" s="36"/>
      <c r="D844" s="36"/>
      <c r="E844" s="36"/>
      <c r="F844" s="36"/>
      <c r="G844" s="36"/>
      <c r="H844" s="36"/>
      <c r="I844" s="36"/>
      <c r="J844" s="105"/>
      <c r="K844" s="36"/>
      <c r="L844" s="36"/>
      <c r="M844" s="36"/>
      <c r="N844" s="105"/>
      <c r="O844" s="36"/>
      <c r="P844" s="36"/>
      <c r="Q844" s="36"/>
      <c r="R844" s="105"/>
      <c r="S844" s="36"/>
      <c r="T844" s="36"/>
      <c r="U844" s="36"/>
      <c r="V844" s="105"/>
      <c r="W844" s="36"/>
      <c r="X844" s="36"/>
      <c r="Y844" s="36"/>
      <c r="Z844" s="105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42"/>
      <c r="AO844" s="42"/>
      <c r="AP844" s="36"/>
      <c r="AQ844" s="36"/>
      <c r="AR844" s="42"/>
      <c r="AS844" s="42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</row>
    <row r="845" spans="1:56" ht="15.75" x14ac:dyDescent="0.25">
      <c r="A845" s="44"/>
      <c r="B845" s="36"/>
      <c r="C845" s="36"/>
      <c r="D845" s="36"/>
      <c r="E845" s="36"/>
      <c r="F845" s="36"/>
      <c r="G845" s="36"/>
      <c r="H845" s="36"/>
      <c r="I845" s="36"/>
      <c r="J845" s="105"/>
      <c r="K845" s="36"/>
      <c r="L845" s="36"/>
      <c r="M845" s="36"/>
      <c r="N845" s="105"/>
      <c r="O845" s="36"/>
      <c r="P845" s="36"/>
      <c r="Q845" s="36"/>
      <c r="R845" s="105"/>
      <c r="S845" s="36"/>
      <c r="T845" s="36"/>
      <c r="U845" s="36"/>
      <c r="V845" s="105"/>
      <c r="W845" s="36"/>
      <c r="X845" s="36"/>
      <c r="Y845" s="36"/>
      <c r="Z845" s="105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42"/>
      <c r="AO845" s="42"/>
      <c r="AP845" s="36"/>
      <c r="AQ845" s="36"/>
      <c r="AR845" s="42"/>
      <c r="AS845" s="42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</row>
    <row r="846" spans="1:56" ht="15.75" x14ac:dyDescent="0.25">
      <c r="A846" s="44"/>
      <c r="B846" s="36"/>
      <c r="C846" s="36"/>
      <c r="D846" s="36"/>
      <c r="E846" s="36"/>
      <c r="F846" s="36"/>
      <c r="G846" s="36"/>
      <c r="H846" s="36"/>
      <c r="I846" s="36"/>
      <c r="J846" s="105"/>
      <c r="K846" s="36"/>
      <c r="L846" s="36"/>
      <c r="M846" s="36"/>
      <c r="N846" s="105"/>
      <c r="O846" s="36"/>
      <c r="P846" s="36"/>
      <c r="Q846" s="36"/>
      <c r="R846" s="105"/>
      <c r="S846" s="36"/>
      <c r="T846" s="36"/>
      <c r="U846" s="36"/>
      <c r="V846" s="105"/>
      <c r="W846" s="36"/>
      <c r="X846" s="36"/>
      <c r="Y846" s="36"/>
      <c r="Z846" s="105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42"/>
      <c r="AO846" s="42"/>
      <c r="AP846" s="36"/>
      <c r="AQ846" s="36"/>
      <c r="AR846" s="42"/>
      <c r="AS846" s="42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</row>
    <row r="847" spans="1:56" ht="15.75" x14ac:dyDescent="0.25">
      <c r="A847" s="44"/>
      <c r="B847" s="36"/>
      <c r="C847" s="36"/>
      <c r="D847" s="36"/>
      <c r="E847" s="36"/>
      <c r="F847" s="36"/>
      <c r="G847" s="36"/>
      <c r="H847" s="36"/>
      <c r="I847" s="36"/>
      <c r="J847" s="105"/>
      <c r="K847" s="36"/>
      <c r="L847" s="36"/>
      <c r="M847" s="36"/>
      <c r="N847" s="105"/>
      <c r="O847" s="36"/>
      <c r="P847" s="36"/>
      <c r="Q847" s="36"/>
      <c r="R847" s="105"/>
      <c r="S847" s="36"/>
      <c r="T847" s="36"/>
      <c r="U847" s="36"/>
      <c r="V847" s="105"/>
      <c r="W847" s="36"/>
      <c r="X847" s="36"/>
      <c r="Y847" s="36"/>
      <c r="Z847" s="105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42"/>
      <c r="AO847" s="42"/>
      <c r="AP847" s="36"/>
      <c r="AQ847" s="36"/>
      <c r="AR847" s="42"/>
      <c r="AS847" s="42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</row>
    <row r="848" spans="1:56" ht="15.75" x14ac:dyDescent="0.25">
      <c r="A848" s="44"/>
      <c r="B848" s="36"/>
      <c r="C848" s="36"/>
      <c r="D848" s="36"/>
      <c r="E848" s="36"/>
      <c r="F848" s="36"/>
      <c r="G848" s="36"/>
      <c r="H848" s="36"/>
      <c r="I848" s="36"/>
      <c r="J848" s="105"/>
      <c r="K848" s="36"/>
      <c r="L848" s="36"/>
      <c r="M848" s="36"/>
      <c r="N848" s="105"/>
      <c r="O848" s="36"/>
      <c r="P848" s="36"/>
      <c r="Q848" s="36"/>
      <c r="R848" s="105"/>
      <c r="S848" s="36"/>
      <c r="T848" s="36"/>
      <c r="U848" s="36"/>
      <c r="V848" s="105"/>
      <c r="W848" s="36"/>
      <c r="X848" s="36"/>
      <c r="Y848" s="36"/>
      <c r="Z848" s="105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42"/>
      <c r="AO848" s="42"/>
      <c r="AP848" s="36"/>
      <c r="AQ848" s="36"/>
      <c r="AR848" s="42"/>
      <c r="AS848" s="42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</row>
    <row r="849" spans="1:56" ht="15.75" x14ac:dyDescent="0.25">
      <c r="A849" s="44"/>
      <c r="B849" s="36"/>
      <c r="C849" s="36"/>
      <c r="D849" s="36"/>
      <c r="E849" s="36"/>
      <c r="F849" s="36"/>
      <c r="G849" s="36"/>
      <c r="H849" s="36"/>
      <c r="I849" s="36"/>
      <c r="J849" s="105"/>
      <c r="K849" s="36"/>
      <c r="L849" s="36"/>
      <c r="M849" s="36"/>
      <c r="N849" s="105"/>
      <c r="O849" s="36"/>
      <c r="P849" s="36"/>
      <c r="Q849" s="36"/>
      <c r="R849" s="105"/>
      <c r="S849" s="36"/>
      <c r="T849" s="36"/>
      <c r="U849" s="36"/>
      <c r="V849" s="105"/>
      <c r="W849" s="36"/>
      <c r="X849" s="36"/>
      <c r="Y849" s="36"/>
      <c r="Z849" s="105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42"/>
      <c r="AO849" s="42"/>
      <c r="AP849" s="36"/>
      <c r="AQ849" s="36"/>
      <c r="AR849" s="42"/>
      <c r="AS849" s="42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</row>
    <row r="850" spans="1:56" ht="15.75" x14ac:dyDescent="0.25">
      <c r="A850" s="44"/>
      <c r="B850" s="36"/>
      <c r="C850" s="36"/>
      <c r="D850" s="36"/>
      <c r="E850" s="36"/>
      <c r="F850" s="36"/>
      <c r="G850" s="36"/>
      <c r="H850" s="36"/>
      <c r="I850" s="36"/>
      <c r="J850" s="105"/>
      <c r="K850" s="36"/>
      <c r="L850" s="36"/>
      <c r="M850" s="36"/>
      <c r="N850" s="105"/>
      <c r="O850" s="36"/>
      <c r="P850" s="36"/>
      <c r="Q850" s="36"/>
      <c r="R850" s="105"/>
      <c r="S850" s="36"/>
      <c r="T850" s="36"/>
      <c r="U850" s="36"/>
      <c r="V850" s="105"/>
      <c r="W850" s="36"/>
      <c r="X850" s="36"/>
      <c r="Y850" s="36"/>
      <c r="Z850" s="105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42"/>
      <c r="AO850" s="42"/>
      <c r="AP850" s="36"/>
      <c r="AQ850" s="36"/>
      <c r="AR850" s="42"/>
      <c r="AS850" s="42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</row>
    <row r="851" spans="1:56" ht="15.75" x14ac:dyDescent="0.25">
      <c r="A851" s="44"/>
      <c r="B851" s="36"/>
      <c r="C851" s="36"/>
      <c r="D851" s="36"/>
      <c r="E851" s="36"/>
      <c r="F851" s="36"/>
      <c r="G851" s="36"/>
      <c r="H851" s="36"/>
      <c r="I851" s="36"/>
      <c r="J851" s="105"/>
      <c r="K851" s="36"/>
      <c r="L851" s="36"/>
      <c r="M851" s="36"/>
      <c r="N851" s="105"/>
      <c r="O851" s="36"/>
      <c r="P851" s="36"/>
      <c r="Q851" s="36"/>
      <c r="R851" s="105"/>
      <c r="S851" s="36"/>
      <c r="T851" s="36"/>
      <c r="U851" s="36"/>
      <c r="V851" s="105"/>
      <c r="W851" s="36"/>
      <c r="X851" s="36"/>
      <c r="Y851" s="36"/>
      <c r="Z851" s="105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42"/>
      <c r="AO851" s="42"/>
      <c r="AP851" s="36"/>
      <c r="AQ851" s="36"/>
      <c r="AR851" s="42"/>
      <c r="AS851" s="42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</row>
    <row r="852" spans="1:56" ht="15.75" x14ac:dyDescent="0.25">
      <c r="A852" s="44"/>
      <c r="B852" s="36"/>
      <c r="C852" s="36"/>
      <c r="D852" s="36"/>
      <c r="E852" s="36"/>
      <c r="F852" s="36"/>
      <c r="G852" s="36"/>
      <c r="H852" s="36"/>
      <c r="I852" s="36"/>
      <c r="J852" s="105"/>
      <c r="K852" s="36"/>
      <c r="L852" s="36"/>
      <c r="M852" s="36"/>
      <c r="N852" s="105"/>
      <c r="O852" s="36"/>
      <c r="P852" s="36"/>
      <c r="Q852" s="36"/>
      <c r="R852" s="105"/>
      <c r="S852" s="36"/>
      <c r="T852" s="36"/>
      <c r="U852" s="36"/>
      <c r="V852" s="105"/>
      <c r="W852" s="36"/>
      <c r="X852" s="36"/>
      <c r="Y852" s="36"/>
      <c r="Z852" s="105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42"/>
      <c r="AO852" s="42"/>
      <c r="AP852" s="36"/>
      <c r="AQ852" s="36"/>
      <c r="AR852" s="42"/>
      <c r="AS852" s="42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</row>
    <row r="853" spans="1:56" ht="15.75" x14ac:dyDescent="0.25">
      <c r="A853" s="44"/>
      <c r="B853" s="36"/>
      <c r="C853" s="36"/>
      <c r="D853" s="36"/>
      <c r="E853" s="36"/>
      <c r="F853" s="36"/>
      <c r="G853" s="36"/>
      <c r="H853" s="36"/>
      <c r="I853" s="36"/>
      <c r="J853" s="105"/>
      <c r="K853" s="36"/>
      <c r="L853" s="36"/>
      <c r="M853" s="36"/>
      <c r="N853" s="105"/>
      <c r="O853" s="36"/>
      <c r="P853" s="36"/>
      <c r="Q853" s="36"/>
      <c r="R853" s="105"/>
      <c r="S853" s="36"/>
      <c r="T853" s="36"/>
      <c r="U853" s="36"/>
      <c r="V853" s="105"/>
      <c r="W853" s="36"/>
      <c r="X853" s="36"/>
      <c r="Y853" s="36"/>
      <c r="Z853" s="105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42"/>
      <c r="AO853" s="42"/>
      <c r="AP853" s="36"/>
      <c r="AQ853" s="36"/>
      <c r="AR853" s="42"/>
      <c r="AS853" s="42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</row>
    <row r="854" spans="1:56" ht="15.75" x14ac:dyDescent="0.25">
      <c r="A854" s="44"/>
      <c r="B854" s="36"/>
      <c r="C854" s="36"/>
      <c r="D854" s="36"/>
      <c r="E854" s="36"/>
      <c r="F854" s="36"/>
      <c r="G854" s="36"/>
      <c r="H854" s="36"/>
      <c r="I854" s="36"/>
      <c r="J854" s="105"/>
      <c r="K854" s="36"/>
      <c r="L854" s="36"/>
      <c r="M854" s="36"/>
      <c r="N854" s="105"/>
      <c r="O854" s="36"/>
      <c r="P854" s="36"/>
      <c r="Q854" s="36"/>
      <c r="R854" s="105"/>
      <c r="S854" s="36"/>
      <c r="T854" s="36"/>
      <c r="U854" s="36"/>
      <c r="V854" s="105"/>
      <c r="W854" s="36"/>
      <c r="X854" s="36"/>
      <c r="Y854" s="36"/>
      <c r="Z854" s="105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42"/>
      <c r="AO854" s="42"/>
      <c r="AP854" s="36"/>
      <c r="AQ854" s="36"/>
      <c r="AR854" s="42"/>
      <c r="AS854" s="42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</row>
    <row r="855" spans="1:56" ht="15.75" x14ac:dyDescent="0.25">
      <c r="A855" s="44"/>
      <c r="B855" s="36"/>
      <c r="C855" s="36"/>
      <c r="D855" s="36"/>
      <c r="E855" s="36"/>
      <c r="F855" s="36"/>
      <c r="G855" s="36"/>
      <c r="H855" s="36"/>
      <c r="I855" s="36"/>
      <c r="J855" s="105"/>
      <c r="K855" s="36"/>
      <c r="L855" s="36"/>
      <c r="M855" s="36"/>
      <c r="N855" s="105"/>
      <c r="O855" s="36"/>
      <c r="P855" s="36"/>
      <c r="Q855" s="36"/>
      <c r="R855" s="105"/>
      <c r="S855" s="36"/>
      <c r="T855" s="36"/>
      <c r="U855" s="36"/>
      <c r="V855" s="105"/>
      <c r="W855" s="36"/>
      <c r="X855" s="36"/>
      <c r="Y855" s="36"/>
      <c r="Z855" s="105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42"/>
      <c r="AO855" s="42"/>
      <c r="AP855" s="36"/>
      <c r="AQ855" s="36"/>
      <c r="AR855" s="42"/>
      <c r="AS855" s="42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</row>
    <row r="856" spans="1:56" ht="15.75" x14ac:dyDescent="0.25">
      <c r="A856" s="44"/>
      <c r="B856" s="36"/>
      <c r="C856" s="36"/>
      <c r="D856" s="36"/>
      <c r="E856" s="36"/>
      <c r="F856" s="36"/>
      <c r="G856" s="36"/>
      <c r="H856" s="36"/>
      <c r="I856" s="36"/>
      <c r="J856" s="105"/>
      <c r="K856" s="36"/>
      <c r="L856" s="36"/>
      <c r="M856" s="36"/>
      <c r="N856" s="105"/>
      <c r="O856" s="36"/>
      <c r="P856" s="36"/>
      <c r="Q856" s="36"/>
      <c r="R856" s="105"/>
      <c r="S856" s="36"/>
      <c r="T856" s="36"/>
      <c r="U856" s="36"/>
      <c r="V856" s="105"/>
      <c r="W856" s="36"/>
      <c r="X856" s="36"/>
      <c r="Y856" s="36"/>
      <c r="Z856" s="105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42"/>
      <c r="AO856" s="42"/>
      <c r="AP856" s="36"/>
      <c r="AQ856" s="36"/>
      <c r="AR856" s="42"/>
      <c r="AS856" s="42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</row>
    <row r="857" spans="1:56" ht="15.75" x14ac:dyDescent="0.25">
      <c r="A857" s="44"/>
      <c r="B857" s="36"/>
      <c r="C857" s="36"/>
      <c r="D857" s="36"/>
      <c r="E857" s="36"/>
      <c r="F857" s="36"/>
      <c r="G857" s="36"/>
      <c r="H857" s="36"/>
      <c r="I857" s="36"/>
      <c r="J857" s="105"/>
      <c r="K857" s="36"/>
      <c r="L857" s="36"/>
      <c r="M857" s="36"/>
      <c r="N857" s="105"/>
      <c r="O857" s="36"/>
      <c r="P857" s="36"/>
      <c r="Q857" s="36"/>
      <c r="R857" s="105"/>
      <c r="S857" s="36"/>
      <c r="T857" s="36"/>
      <c r="U857" s="36"/>
      <c r="V857" s="105"/>
      <c r="W857" s="36"/>
      <c r="X857" s="36"/>
      <c r="Y857" s="36"/>
      <c r="Z857" s="105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42"/>
      <c r="AO857" s="42"/>
      <c r="AP857" s="36"/>
      <c r="AQ857" s="36"/>
      <c r="AR857" s="42"/>
      <c r="AS857" s="42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</row>
    <row r="858" spans="1:56" ht="15.75" x14ac:dyDescent="0.25">
      <c r="A858" s="44"/>
      <c r="B858" s="36"/>
      <c r="C858" s="36"/>
      <c r="D858" s="36"/>
      <c r="E858" s="36"/>
      <c r="F858" s="36"/>
      <c r="G858" s="36"/>
      <c r="H858" s="36"/>
      <c r="I858" s="36"/>
      <c r="J858" s="105"/>
      <c r="K858" s="36"/>
      <c r="L858" s="36"/>
      <c r="M858" s="36"/>
      <c r="N858" s="105"/>
      <c r="O858" s="36"/>
      <c r="P858" s="36"/>
      <c r="Q858" s="36"/>
      <c r="R858" s="105"/>
      <c r="S858" s="36"/>
      <c r="T858" s="36"/>
      <c r="U858" s="36"/>
      <c r="V858" s="105"/>
      <c r="W858" s="36"/>
      <c r="X858" s="36"/>
      <c r="Y858" s="36"/>
      <c r="Z858" s="105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42"/>
      <c r="AO858" s="42"/>
      <c r="AP858" s="36"/>
      <c r="AQ858" s="36"/>
      <c r="AR858" s="42"/>
      <c r="AS858" s="42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</row>
    <row r="859" spans="1:56" ht="15.75" x14ac:dyDescent="0.25">
      <c r="A859" s="44"/>
      <c r="B859" s="36"/>
      <c r="C859" s="36"/>
      <c r="D859" s="36"/>
      <c r="E859" s="36"/>
      <c r="F859" s="36"/>
      <c r="G859" s="36"/>
      <c r="H859" s="36"/>
      <c r="I859" s="36"/>
      <c r="J859" s="105"/>
      <c r="K859" s="36"/>
      <c r="L859" s="36"/>
      <c r="M859" s="36"/>
      <c r="N859" s="105"/>
      <c r="O859" s="36"/>
      <c r="P859" s="36"/>
      <c r="Q859" s="36"/>
      <c r="R859" s="105"/>
      <c r="S859" s="36"/>
      <c r="T859" s="36"/>
      <c r="U859" s="36"/>
      <c r="V859" s="105"/>
      <c r="W859" s="36"/>
      <c r="X859" s="36"/>
      <c r="Y859" s="36"/>
      <c r="Z859" s="105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42"/>
      <c r="AO859" s="42"/>
      <c r="AP859" s="36"/>
      <c r="AQ859" s="36"/>
      <c r="AR859" s="42"/>
      <c r="AS859" s="42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</row>
    <row r="860" spans="1:56" ht="15.75" x14ac:dyDescent="0.25">
      <c r="A860" s="44"/>
      <c r="B860" s="36"/>
      <c r="C860" s="36"/>
      <c r="D860" s="36"/>
      <c r="E860" s="36"/>
      <c r="F860" s="36"/>
      <c r="G860" s="36"/>
      <c r="H860" s="36"/>
      <c r="I860" s="36"/>
      <c r="J860" s="105"/>
      <c r="K860" s="36"/>
      <c r="L860" s="36"/>
      <c r="M860" s="36"/>
      <c r="N860" s="105"/>
      <c r="O860" s="36"/>
      <c r="P860" s="36"/>
      <c r="Q860" s="36"/>
      <c r="R860" s="105"/>
      <c r="S860" s="36"/>
      <c r="T860" s="36"/>
      <c r="U860" s="36"/>
      <c r="V860" s="105"/>
      <c r="W860" s="36"/>
      <c r="X860" s="36"/>
      <c r="Y860" s="36"/>
      <c r="Z860" s="105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42"/>
      <c r="AO860" s="42"/>
      <c r="AP860" s="36"/>
      <c r="AQ860" s="36"/>
      <c r="AR860" s="42"/>
      <c r="AS860" s="42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</row>
    <row r="861" spans="1:56" ht="15.75" x14ac:dyDescent="0.25">
      <c r="A861" s="44"/>
      <c r="B861" s="36"/>
      <c r="C861" s="36"/>
      <c r="D861" s="36"/>
      <c r="E861" s="36"/>
      <c r="F861" s="36"/>
      <c r="G861" s="36"/>
      <c r="H861" s="36"/>
      <c r="I861" s="36"/>
      <c r="J861" s="105"/>
      <c r="K861" s="36"/>
      <c r="L861" s="36"/>
      <c r="M861" s="36"/>
      <c r="N861" s="105"/>
      <c r="O861" s="36"/>
      <c r="P861" s="36"/>
      <c r="Q861" s="36"/>
      <c r="R861" s="105"/>
      <c r="S861" s="36"/>
      <c r="T861" s="36"/>
      <c r="U861" s="36"/>
      <c r="V861" s="105"/>
      <c r="W861" s="36"/>
      <c r="X861" s="36"/>
      <c r="Y861" s="36"/>
      <c r="Z861" s="105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42"/>
      <c r="AO861" s="42"/>
      <c r="AP861" s="36"/>
      <c r="AQ861" s="36"/>
      <c r="AR861" s="42"/>
      <c r="AS861" s="42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</row>
    <row r="862" spans="1:56" ht="15.75" x14ac:dyDescent="0.25">
      <c r="A862" s="44"/>
      <c r="B862" s="36"/>
      <c r="C862" s="36"/>
      <c r="D862" s="36"/>
      <c r="E862" s="36"/>
      <c r="F862" s="36"/>
      <c r="G862" s="36"/>
      <c r="H862" s="36"/>
      <c r="I862" s="36"/>
      <c r="J862" s="105"/>
      <c r="K862" s="36"/>
      <c r="L862" s="36"/>
      <c r="M862" s="36"/>
      <c r="N862" s="105"/>
      <c r="O862" s="36"/>
      <c r="P862" s="36"/>
      <c r="Q862" s="36"/>
      <c r="R862" s="105"/>
      <c r="S862" s="36"/>
      <c r="T862" s="36"/>
      <c r="U862" s="36"/>
      <c r="V862" s="105"/>
      <c r="W862" s="36"/>
      <c r="X862" s="36"/>
      <c r="Y862" s="36"/>
      <c r="Z862" s="105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42"/>
      <c r="AO862" s="42"/>
      <c r="AP862" s="36"/>
      <c r="AQ862" s="36"/>
      <c r="AR862" s="42"/>
      <c r="AS862" s="42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</row>
    <row r="863" spans="1:56" ht="15.75" x14ac:dyDescent="0.25">
      <c r="A863" s="44"/>
      <c r="B863" s="36"/>
      <c r="C863" s="36"/>
      <c r="D863" s="36"/>
      <c r="E863" s="36"/>
      <c r="F863" s="36"/>
      <c r="G863" s="36"/>
      <c r="H863" s="36"/>
      <c r="I863" s="36"/>
      <c r="J863" s="105"/>
      <c r="K863" s="36"/>
      <c r="L863" s="36"/>
      <c r="M863" s="36"/>
      <c r="N863" s="105"/>
      <c r="O863" s="36"/>
      <c r="P863" s="36"/>
      <c r="Q863" s="36"/>
      <c r="R863" s="105"/>
      <c r="S863" s="36"/>
      <c r="T863" s="36"/>
      <c r="U863" s="36"/>
      <c r="V863" s="105"/>
      <c r="W863" s="36"/>
      <c r="X863" s="36"/>
      <c r="Y863" s="36"/>
      <c r="Z863" s="105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42"/>
      <c r="AO863" s="42"/>
      <c r="AP863" s="36"/>
      <c r="AQ863" s="36"/>
      <c r="AR863" s="42"/>
      <c r="AS863" s="42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</row>
    <row r="864" spans="1:56" ht="15.75" x14ac:dyDescent="0.25">
      <c r="A864" s="44"/>
      <c r="B864" s="36"/>
      <c r="C864" s="36"/>
      <c r="D864" s="36"/>
      <c r="E864" s="36"/>
      <c r="F864" s="36"/>
      <c r="G864" s="36"/>
      <c r="H864" s="36"/>
      <c r="I864" s="36"/>
      <c r="J864" s="105"/>
      <c r="K864" s="36"/>
      <c r="L864" s="36"/>
      <c r="M864" s="36"/>
      <c r="N864" s="105"/>
      <c r="O864" s="36"/>
      <c r="P864" s="36"/>
      <c r="Q864" s="36"/>
      <c r="R864" s="105"/>
      <c r="S864" s="36"/>
      <c r="T864" s="36"/>
      <c r="U864" s="36"/>
      <c r="V864" s="105"/>
      <c r="W864" s="36"/>
      <c r="X864" s="36"/>
      <c r="Y864" s="36"/>
      <c r="Z864" s="105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42"/>
      <c r="AO864" s="42"/>
      <c r="AP864" s="36"/>
      <c r="AQ864" s="36"/>
      <c r="AR864" s="42"/>
      <c r="AS864" s="42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</row>
    <row r="865" spans="1:56" ht="15.75" x14ac:dyDescent="0.25">
      <c r="A865" s="44"/>
      <c r="B865" s="36"/>
      <c r="C865" s="36"/>
      <c r="D865" s="36"/>
      <c r="E865" s="36"/>
      <c r="F865" s="36"/>
      <c r="G865" s="36"/>
      <c r="H865" s="36"/>
      <c r="I865" s="36"/>
      <c r="J865" s="105"/>
      <c r="K865" s="36"/>
      <c r="L865" s="36"/>
      <c r="M865" s="36"/>
      <c r="N865" s="105"/>
      <c r="O865" s="36"/>
      <c r="P865" s="36"/>
      <c r="Q865" s="36"/>
      <c r="R865" s="105"/>
      <c r="S865" s="36"/>
      <c r="T865" s="36"/>
      <c r="U865" s="36"/>
      <c r="V865" s="105"/>
      <c r="W865" s="36"/>
      <c r="X865" s="36"/>
      <c r="Y865" s="36"/>
      <c r="Z865" s="105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42"/>
      <c r="AO865" s="42"/>
      <c r="AP865" s="36"/>
      <c r="AQ865" s="36"/>
      <c r="AR865" s="42"/>
      <c r="AS865" s="42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</row>
    <row r="866" spans="1:56" ht="15.75" x14ac:dyDescent="0.25">
      <c r="A866" s="44"/>
      <c r="B866" s="36"/>
      <c r="C866" s="36"/>
      <c r="D866" s="36"/>
      <c r="E866" s="36"/>
      <c r="F866" s="36"/>
      <c r="G866" s="36"/>
      <c r="H866" s="36"/>
      <c r="I866" s="36"/>
      <c r="J866" s="105"/>
      <c r="K866" s="36"/>
      <c r="L866" s="36"/>
      <c r="M866" s="36"/>
      <c r="N866" s="105"/>
      <c r="O866" s="36"/>
      <c r="P866" s="36"/>
      <c r="Q866" s="36"/>
      <c r="R866" s="105"/>
      <c r="S866" s="36"/>
      <c r="T866" s="36"/>
      <c r="U866" s="36"/>
      <c r="V866" s="105"/>
      <c r="W866" s="36"/>
      <c r="X866" s="36"/>
      <c r="Y866" s="36"/>
      <c r="Z866" s="105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42"/>
      <c r="AO866" s="42"/>
      <c r="AP866" s="36"/>
      <c r="AQ866" s="36"/>
      <c r="AR866" s="42"/>
      <c r="AS866" s="42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</row>
    <row r="867" spans="1:56" ht="15.75" x14ac:dyDescent="0.25">
      <c r="A867" s="44"/>
      <c r="B867" s="36"/>
      <c r="C867" s="36"/>
      <c r="D867" s="36"/>
      <c r="E867" s="36"/>
      <c r="F867" s="36"/>
      <c r="G867" s="36"/>
      <c r="H867" s="36"/>
      <c r="I867" s="36"/>
      <c r="J867" s="105"/>
      <c r="K867" s="36"/>
      <c r="L867" s="36"/>
      <c r="M867" s="36"/>
      <c r="N867" s="105"/>
      <c r="O867" s="36"/>
      <c r="P867" s="36"/>
      <c r="Q867" s="36"/>
      <c r="R867" s="105"/>
      <c r="S867" s="36"/>
      <c r="T867" s="36"/>
      <c r="U867" s="36"/>
      <c r="V867" s="105"/>
      <c r="W867" s="36"/>
      <c r="X867" s="36"/>
      <c r="Y867" s="36"/>
      <c r="Z867" s="105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42"/>
      <c r="AO867" s="42"/>
      <c r="AP867" s="36"/>
      <c r="AQ867" s="36"/>
      <c r="AR867" s="42"/>
      <c r="AS867" s="42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</row>
    <row r="868" spans="1:56" ht="15.75" x14ac:dyDescent="0.25">
      <c r="A868" s="44"/>
      <c r="B868" s="36"/>
      <c r="C868" s="36"/>
      <c r="D868" s="36"/>
      <c r="E868" s="36"/>
      <c r="F868" s="36"/>
      <c r="G868" s="36"/>
      <c r="H868" s="36"/>
      <c r="I868" s="36"/>
      <c r="J868" s="105"/>
      <c r="K868" s="36"/>
      <c r="L868" s="36"/>
      <c r="M868" s="36"/>
      <c r="N868" s="105"/>
      <c r="O868" s="36"/>
      <c r="P868" s="36"/>
      <c r="Q868" s="36"/>
      <c r="R868" s="105"/>
      <c r="S868" s="36"/>
      <c r="T868" s="36"/>
      <c r="U868" s="36"/>
      <c r="V868" s="105"/>
      <c r="W868" s="36"/>
      <c r="X868" s="36"/>
      <c r="Y868" s="36"/>
      <c r="Z868" s="105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42"/>
      <c r="AO868" s="42"/>
      <c r="AP868" s="36"/>
      <c r="AQ868" s="36"/>
      <c r="AR868" s="42"/>
      <c r="AS868" s="42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</row>
    <row r="869" spans="1:56" ht="15.75" x14ac:dyDescent="0.25">
      <c r="A869" s="44"/>
      <c r="B869" s="36"/>
      <c r="C869" s="36"/>
      <c r="D869" s="36"/>
      <c r="E869" s="36"/>
      <c r="F869" s="36"/>
      <c r="G869" s="36"/>
      <c r="H869" s="36"/>
      <c r="I869" s="36"/>
      <c r="J869" s="105"/>
      <c r="K869" s="36"/>
      <c r="L869" s="36"/>
      <c r="M869" s="36"/>
      <c r="N869" s="105"/>
      <c r="O869" s="36"/>
      <c r="P869" s="36"/>
      <c r="Q869" s="36"/>
      <c r="R869" s="105"/>
      <c r="S869" s="36"/>
      <c r="T869" s="36"/>
      <c r="U869" s="36"/>
      <c r="V869" s="105"/>
      <c r="W869" s="36"/>
      <c r="X869" s="36"/>
      <c r="Y869" s="36"/>
      <c r="Z869" s="105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42"/>
      <c r="AO869" s="42"/>
      <c r="AP869" s="36"/>
      <c r="AQ869" s="36"/>
      <c r="AR869" s="42"/>
      <c r="AS869" s="42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</row>
    <row r="870" spans="1:56" ht="15.75" x14ac:dyDescent="0.25">
      <c r="A870" s="44"/>
      <c r="B870" s="36"/>
      <c r="C870" s="36"/>
      <c r="D870" s="36"/>
      <c r="E870" s="36"/>
      <c r="F870" s="36"/>
      <c r="G870" s="36"/>
      <c r="H870" s="36"/>
      <c r="I870" s="36"/>
      <c r="J870" s="105"/>
      <c r="K870" s="36"/>
      <c r="L870" s="36"/>
      <c r="M870" s="36"/>
      <c r="N870" s="105"/>
      <c r="O870" s="36"/>
      <c r="P870" s="36"/>
      <c r="Q870" s="36"/>
      <c r="R870" s="105"/>
      <c r="S870" s="36"/>
      <c r="T870" s="36"/>
      <c r="U870" s="36"/>
      <c r="V870" s="105"/>
      <c r="W870" s="36"/>
      <c r="X870" s="36"/>
      <c r="Y870" s="36"/>
      <c r="Z870" s="105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42"/>
      <c r="AO870" s="42"/>
      <c r="AP870" s="36"/>
      <c r="AQ870" s="36"/>
      <c r="AR870" s="42"/>
      <c r="AS870" s="42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</row>
    <row r="871" spans="1:56" ht="15.75" x14ac:dyDescent="0.25">
      <c r="A871" s="44"/>
      <c r="B871" s="36"/>
      <c r="C871" s="36"/>
      <c r="D871" s="36"/>
      <c r="E871" s="36"/>
      <c r="F871" s="36"/>
      <c r="G871" s="36"/>
      <c r="H871" s="36"/>
      <c r="I871" s="36"/>
      <c r="J871" s="105"/>
      <c r="K871" s="36"/>
      <c r="L871" s="36"/>
      <c r="M871" s="36"/>
      <c r="N871" s="105"/>
      <c r="O871" s="36"/>
      <c r="P871" s="36"/>
      <c r="Q871" s="36"/>
      <c r="R871" s="105"/>
      <c r="S871" s="36"/>
      <c r="T871" s="36"/>
      <c r="U871" s="36"/>
      <c r="V871" s="105"/>
      <c r="W871" s="36"/>
      <c r="X871" s="36"/>
      <c r="Y871" s="36"/>
      <c r="Z871" s="105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42"/>
      <c r="AO871" s="42"/>
      <c r="AP871" s="36"/>
      <c r="AQ871" s="36"/>
      <c r="AR871" s="42"/>
      <c r="AS871" s="42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</row>
    <row r="872" spans="1:56" ht="15.75" x14ac:dyDescent="0.25">
      <c r="A872" s="44"/>
      <c r="B872" s="36"/>
      <c r="C872" s="36"/>
      <c r="D872" s="36"/>
      <c r="E872" s="36"/>
      <c r="F872" s="36"/>
      <c r="G872" s="36"/>
      <c r="H872" s="36"/>
      <c r="I872" s="36"/>
      <c r="J872" s="105"/>
      <c r="K872" s="36"/>
      <c r="L872" s="36"/>
      <c r="M872" s="36"/>
      <c r="N872" s="105"/>
      <c r="O872" s="36"/>
      <c r="P872" s="36"/>
      <c r="Q872" s="36"/>
      <c r="R872" s="105"/>
      <c r="S872" s="36"/>
      <c r="T872" s="36"/>
      <c r="U872" s="36"/>
      <c r="V872" s="105"/>
      <c r="W872" s="36"/>
      <c r="X872" s="36"/>
      <c r="Y872" s="36"/>
      <c r="Z872" s="105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42"/>
      <c r="AO872" s="42"/>
      <c r="AP872" s="36"/>
      <c r="AQ872" s="36"/>
      <c r="AR872" s="42"/>
      <c r="AS872" s="42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</row>
    <row r="873" spans="1:56" ht="15.75" x14ac:dyDescent="0.25">
      <c r="A873" s="44"/>
      <c r="B873" s="36"/>
      <c r="C873" s="36"/>
      <c r="D873" s="36"/>
      <c r="E873" s="36"/>
      <c r="F873" s="36"/>
      <c r="G873" s="36"/>
      <c r="H873" s="36"/>
      <c r="I873" s="36"/>
      <c r="J873" s="105"/>
      <c r="K873" s="36"/>
      <c r="L873" s="36"/>
      <c r="M873" s="36"/>
      <c r="N873" s="105"/>
      <c r="O873" s="36"/>
      <c r="P873" s="36"/>
      <c r="Q873" s="36"/>
      <c r="R873" s="105"/>
      <c r="S873" s="36"/>
      <c r="T873" s="36"/>
      <c r="U873" s="36"/>
      <c r="V873" s="105"/>
      <c r="W873" s="36"/>
      <c r="X873" s="36"/>
      <c r="Y873" s="36"/>
      <c r="Z873" s="105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42"/>
      <c r="AO873" s="42"/>
      <c r="AP873" s="36"/>
      <c r="AQ873" s="36"/>
      <c r="AR873" s="42"/>
      <c r="AS873" s="42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</row>
    <row r="874" spans="1:56" ht="15.75" x14ac:dyDescent="0.25">
      <c r="A874" s="44"/>
      <c r="B874" s="36"/>
      <c r="C874" s="36"/>
      <c r="D874" s="36"/>
      <c r="E874" s="36"/>
      <c r="F874" s="36"/>
      <c r="G874" s="36"/>
      <c r="H874" s="36"/>
      <c r="I874" s="36"/>
      <c r="J874" s="105"/>
      <c r="K874" s="36"/>
      <c r="L874" s="36"/>
      <c r="M874" s="36"/>
      <c r="N874" s="105"/>
      <c r="O874" s="36"/>
      <c r="P874" s="36"/>
      <c r="Q874" s="36"/>
      <c r="R874" s="105"/>
      <c r="S874" s="36"/>
      <c r="T874" s="36"/>
      <c r="U874" s="36"/>
      <c r="V874" s="105"/>
      <c r="W874" s="36"/>
      <c r="X874" s="36"/>
      <c r="Y874" s="36"/>
      <c r="Z874" s="105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42"/>
      <c r="AO874" s="42"/>
      <c r="AP874" s="36"/>
      <c r="AQ874" s="36"/>
      <c r="AR874" s="42"/>
      <c r="AS874" s="42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</row>
    <row r="875" spans="1:56" ht="15.75" x14ac:dyDescent="0.25">
      <c r="A875" s="44"/>
      <c r="B875" s="36"/>
      <c r="C875" s="36"/>
      <c r="D875" s="36"/>
      <c r="E875" s="36"/>
      <c r="F875" s="36"/>
      <c r="G875" s="36"/>
      <c r="H875" s="36"/>
      <c r="I875" s="36"/>
      <c r="J875" s="105"/>
      <c r="K875" s="36"/>
      <c r="L875" s="36"/>
      <c r="M875" s="36"/>
      <c r="N875" s="105"/>
      <c r="O875" s="36"/>
      <c r="P875" s="36"/>
      <c r="Q875" s="36"/>
      <c r="R875" s="105"/>
      <c r="S875" s="36"/>
      <c r="T875" s="36"/>
      <c r="U875" s="36"/>
      <c r="V875" s="105"/>
      <c r="W875" s="36"/>
      <c r="X875" s="36"/>
      <c r="Y875" s="36"/>
      <c r="Z875" s="105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42"/>
      <c r="AO875" s="42"/>
      <c r="AP875" s="36"/>
      <c r="AQ875" s="36"/>
      <c r="AR875" s="42"/>
      <c r="AS875" s="42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</row>
    <row r="876" spans="1:56" ht="15.75" x14ac:dyDescent="0.25">
      <c r="A876" s="44"/>
      <c r="B876" s="36"/>
      <c r="C876" s="36"/>
      <c r="D876" s="36"/>
      <c r="E876" s="36"/>
      <c r="F876" s="36"/>
      <c r="G876" s="36"/>
      <c r="H876" s="36"/>
      <c r="I876" s="36"/>
      <c r="J876" s="105"/>
      <c r="K876" s="36"/>
      <c r="L876" s="36"/>
      <c r="M876" s="36"/>
      <c r="N876" s="105"/>
      <c r="O876" s="36"/>
      <c r="P876" s="36"/>
      <c r="Q876" s="36"/>
      <c r="R876" s="105"/>
      <c r="S876" s="36"/>
      <c r="T876" s="36"/>
      <c r="U876" s="36"/>
      <c r="V876" s="105"/>
      <c r="W876" s="36"/>
      <c r="X876" s="36"/>
      <c r="Y876" s="36"/>
      <c r="Z876" s="105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42"/>
      <c r="AO876" s="42"/>
      <c r="AP876" s="36"/>
      <c r="AQ876" s="36"/>
      <c r="AR876" s="42"/>
      <c r="AS876" s="42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</row>
    <row r="877" spans="1:56" ht="15.75" x14ac:dyDescent="0.25">
      <c r="A877" s="44"/>
      <c r="B877" s="36"/>
      <c r="C877" s="36"/>
      <c r="D877" s="36"/>
      <c r="E877" s="36"/>
      <c r="F877" s="36"/>
      <c r="G877" s="36"/>
      <c r="H877" s="36"/>
      <c r="I877" s="36"/>
      <c r="J877" s="105"/>
      <c r="K877" s="36"/>
      <c r="L877" s="36"/>
      <c r="M877" s="36"/>
      <c r="N877" s="105"/>
      <c r="O877" s="36"/>
      <c r="P877" s="36"/>
      <c r="Q877" s="36"/>
      <c r="R877" s="105"/>
      <c r="S877" s="36"/>
      <c r="T877" s="36"/>
      <c r="U877" s="36"/>
      <c r="V877" s="105"/>
      <c r="W877" s="36"/>
      <c r="X877" s="36"/>
      <c r="Y877" s="36"/>
      <c r="Z877" s="105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42"/>
      <c r="AO877" s="42"/>
      <c r="AP877" s="36"/>
      <c r="AQ877" s="36"/>
      <c r="AR877" s="42"/>
      <c r="AS877" s="42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</row>
    <row r="878" spans="1:56" ht="15.75" x14ac:dyDescent="0.25">
      <c r="A878" s="44"/>
      <c r="B878" s="36"/>
      <c r="C878" s="36"/>
      <c r="D878" s="36"/>
      <c r="E878" s="36"/>
      <c r="F878" s="36"/>
      <c r="G878" s="36"/>
      <c r="H878" s="36"/>
      <c r="I878" s="36"/>
      <c r="J878" s="105"/>
      <c r="K878" s="36"/>
      <c r="L878" s="36"/>
      <c r="M878" s="36"/>
      <c r="N878" s="105"/>
      <c r="O878" s="36"/>
      <c r="P878" s="36"/>
      <c r="Q878" s="36"/>
      <c r="R878" s="105"/>
      <c r="S878" s="36"/>
      <c r="T878" s="36"/>
      <c r="U878" s="36"/>
      <c r="V878" s="105"/>
      <c r="W878" s="36"/>
      <c r="X878" s="36"/>
      <c r="Y878" s="36"/>
      <c r="Z878" s="105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42"/>
      <c r="AO878" s="42"/>
      <c r="AP878" s="36"/>
      <c r="AQ878" s="36"/>
      <c r="AR878" s="42"/>
      <c r="AS878" s="42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</row>
    <row r="879" spans="1:56" ht="15.75" x14ac:dyDescent="0.25">
      <c r="A879" s="44"/>
      <c r="B879" s="36"/>
      <c r="C879" s="36"/>
      <c r="D879" s="36"/>
      <c r="E879" s="36"/>
      <c r="F879" s="36"/>
      <c r="G879" s="36"/>
      <c r="H879" s="36"/>
      <c r="I879" s="36"/>
      <c r="J879" s="105"/>
      <c r="K879" s="36"/>
      <c r="L879" s="36"/>
      <c r="M879" s="36"/>
      <c r="N879" s="105"/>
      <c r="O879" s="36"/>
      <c r="P879" s="36"/>
      <c r="Q879" s="36"/>
      <c r="R879" s="105"/>
      <c r="S879" s="36"/>
      <c r="T879" s="36"/>
      <c r="U879" s="36"/>
      <c r="V879" s="105"/>
      <c r="W879" s="36"/>
      <c r="X879" s="36"/>
      <c r="Y879" s="36"/>
      <c r="Z879" s="105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42"/>
      <c r="AO879" s="42"/>
      <c r="AP879" s="36"/>
      <c r="AQ879" s="36"/>
      <c r="AR879" s="42"/>
      <c r="AS879" s="42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</row>
    <row r="880" spans="1:56" ht="15.75" x14ac:dyDescent="0.25">
      <c r="A880" s="44"/>
      <c r="B880" s="36"/>
      <c r="C880" s="36"/>
      <c r="D880" s="36"/>
      <c r="E880" s="36"/>
      <c r="F880" s="36"/>
      <c r="G880" s="36"/>
      <c r="H880" s="36"/>
      <c r="I880" s="36"/>
      <c r="J880" s="105"/>
      <c r="K880" s="36"/>
      <c r="L880" s="36"/>
      <c r="M880" s="36"/>
      <c r="N880" s="105"/>
      <c r="O880" s="36"/>
      <c r="P880" s="36"/>
      <c r="Q880" s="36"/>
      <c r="R880" s="105"/>
      <c r="S880" s="36"/>
      <c r="T880" s="36"/>
      <c r="U880" s="36"/>
      <c r="V880" s="105"/>
      <c r="W880" s="36"/>
      <c r="X880" s="36"/>
      <c r="Y880" s="36"/>
      <c r="Z880" s="105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42"/>
      <c r="AO880" s="42"/>
      <c r="AP880" s="36"/>
      <c r="AQ880" s="36"/>
      <c r="AR880" s="42"/>
      <c r="AS880" s="42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</row>
    <row r="881" spans="1:56" ht="15.75" x14ac:dyDescent="0.25">
      <c r="A881" s="44"/>
      <c r="B881" s="36"/>
      <c r="C881" s="36"/>
      <c r="D881" s="36"/>
      <c r="E881" s="36"/>
      <c r="F881" s="36"/>
      <c r="G881" s="36"/>
      <c r="H881" s="36"/>
      <c r="I881" s="36"/>
      <c r="J881" s="105"/>
      <c r="K881" s="36"/>
      <c r="L881" s="36"/>
      <c r="M881" s="36"/>
      <c r="N881" s="105"/>
      <c r="O881" s="36"/>
      <c r="P881" s="36"/>
      <c r="Q881" s="36"/>
      <c r="R881" s="105"/>
      <c r="S881" s="36"/>
      <c r="T881" s="36"/>
      <c r="U881" s="36"/>
      <c r="V881" s="105"/>
      <c r="W881" s="36"/>
      <c r="X881" s="36"/>
      <c r="Y881" s="36"/>
      <c r="Z881" s="105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42"/>
      <c r="AO881" s="42"/>
      <c r="AP881" s="36"/>
      <c r="AQ881" s="36"/>
      <c r="AR881" s="42"/>
      <c r="AS881" s="42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</row>
    <row r="882" spans="1:56" ht="15.75" x14ac:dyDescent="0.25">
      <c r="A882" s="44"/>
      <c r="B882" s="36"/>
      <c r="C882" s="36"/>
      <c r="D882" s="36"/>
      <c r="E882" s="36"/>
      <c r="F882" s="36"/>
      <c r="G882" s="36"/>
      <c r="H882" s="36"/>
      <c r="I882" s="36"/>
      <c r="J882" s="105"/>
      <c r="K882" s="36"/>
      <c r="L882" s="36"/>
      <c r="M882" s="36"/>
      <c r="N882" s="105"/>
      <c r="O882" s="36"/>
      <c r="P882" s="36"/>
      <c r="Q882" s="36"/>
      <c r="R882" s="105"/>
      <c r="S882" s="36"/>
      <c r="T882" s="36"/>
      <c r="U882" s="36"/>
      <c r="V882" s="105"/>
      <c r="W882" s="36"/>
      <c r="X882" s="36"/>
      <c r="Y882" s="36"/>
      <c r="Z882" s="105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42"/>
      <c r="AO882" s="42"/>
      <c r="AP882" s="36"/>
      <c r="AQ882" s="36"/>
      <c r="AR882" s="42"/>
      <c r="AS882" s="42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</row>
    <row r="883" spans="1:56" ht="15.75" x14ac:dyDescent="0.25">
      <c r="A883" s="44"/>
      <c r="B883" s="36"/>
      <c r="C883" s="36"/>
      <c r="D883" s="36"/>
      <c r="E883" s="36"/>
      <c r="F883" s="36"/>
      <c r="G883" s="36"/>
      <c r="H883" s="36"/>
      <c r="I883" s="36"/>
      <c r="J883" s="105"/>
      <c r="K883" s="36"/>
      <c r="L883" s="36"/>
      <c r="M883" s="36"/>
      <c r="N883" s="105"/>
      <c r="O883" s="36"/>
      <c r="P883" s="36"/>
      <c r="Q883" s="36"/>
      <c r="R883" s="105"/>
      <c r="S883" s="36"/>
      <c r="T883" s="36"/>
      <c r="U883" s="36"/>
      <c r="V883" s="105"/>
      <c r="W883" s="36"/>
      <c r="X883" s="36"/>
      <c r="Y883" s="36"/>
      <c r="Z883" s="105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42"/>
      <c r="AO883" s="42"/>
      <c r="AP883" s="36"/>
      <c r="AQ883" s="36"/>
      <c r="AR883" s="42"/>
      <c r="AS883" s="42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</row>
    <row r="884" spans="1:56" ht="15.75" x14ac:dyDescent="0.25">
      <c r="A884" s="44"/>
      <c r="B884" s="36"/>
      <c r="C884" s="36"/>
      <c r="D884" s="36"/>
      <c r="E884" s="36"/>
      <c r="F884" s="36"/>
      <c r="G884" s="36"/>
      <c r="H884" s="36"/>
      <c r="I884" s="36"/>
      <c r="J884" s="105"/>
      <c r="K884" s="36"/>
      <c r="L884" s="36"/>
      <c r="M884" s="36"/>
      <c r="N884" s="105"/>
      <c r="O884" s="36"/>
      <c r="P884" s="36"/>
      <c r="Q884" s="36"/>
      <c r="R884" s="105"/>
      <c r="S884" s="36"/>
      <c r="T884" s="36"/>
      <c r="U884" s="36"/>
      <c r="V884" s="105"/>
      <c r="W884" s="36"/>
      <c r="X884" s="36"/>
      <c r="Y884" s="36"/>
      <c r="Z884" s="105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42"/>
      <c r="AO884" s="42"/>
      <c r="AP884" s="36"/>
      <c r="AQ884" s="36"/>
      <c r="AR884" s="42"/>
      <c r="AS884" s="42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</row>
    <row r="885" spans="1:56" ht="15.75" x14ac:dyDescent="0.25">
      <c r="A885" s="44"/>
      <c r="B885" s="36"/>
      <c r="C885" s="36"/>
      <c r="D885" s="36"/>
      <c r="E885" s="36"/>
      <c r="F885" s="36"/>
      <c r="G885" s="36"/>
      <c r="H885" s="36"/>
      <c r="I885" s="36"/>
      <c r="J885" s="105"/>
      <c r="K885" s="36"/>
      <c r="L885" s="36"/>
      <c r="M885" s="36"/>
      <c r="N885" s="105"/>
      <c r="O885" s="36"/>
      <c r="P885" s="36"/>
      <c r="Q885" s="36"/>
      <c r="R885" s="105"/>
      <c r="S885" s="36"/>
      <c r="T885" s="36"/>
      <c r="U885" s="36"/>
      <c r="V885" s="105"/>
      <c r="W885" s="36"/>
      <c r="X885" s="36"/>
      <c r="Y885" s="36"/>
      <c r="Z885" s="105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42"/>
      <c r="AO885" s="42"/>
      <c r="AP885" s="36"/>
      <c r="AQ885" s="36"/>
      <c r="AR885" s="42"/>
      <c r="AS885" s="42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</row>
    <row r="886" spans="1:56" ht="15.75" x14ac:dyDescent="0.25">
      <c r="A886" s="44"/>
      <c r="B886" s="36"/>
      <c r="C886" s="36"/>
      <c r="D886" s="36"/>
      <c r="E886" s="36"/>
      <c r="F886" s="36"/>
      <c r="G886" s="36"/>
      <c r="H886" s="36"/>
      <c r="I886" s="36"/>
      <c r="J886" s="105"/>
      <c r="K886" s="36"/>
      <c r="L886" s="36"/>
      <c r="M886" s="36"/>
      <c r="N886" s="105"/>
      <c r="O886" s="36"/>
      <c r="P886" s="36"/>
      <c r="Q886" s="36"/>
      <c r="R886" s="105"/>
      <c r="S886" s="36"/>
      <c r="T886" s="36"/>
      <c r="U886" s="36"/>
      <c r="V886" s="105"/>
      <c r="W886" s="36"/>
      <c r="X886" s="36"/>
      <c r="Y886" s="36"/>
      <c r="Z886" s="105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42"/>
      <c r="AO886" s="42"/>
      <c r="AP886" s="36"/>
      <c r="AQ886" s="36"/>
      <c r="AR886" s="42"/>
      <c r="AS886" s="42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</row>
    <row r="887" spans="1:56" ht="15.75" x14ac:dyDescent="0.25">
      <c r="A887" s="44"/>
      <c r="B887" s="36"/>
      <c r="C887" s="36"/>
      <c r="D887" s="36"/>
      <c r="E887" s="36"/>
      <c r="F887" s="36"/>
      <c r="G887" s="36"/>
      <c r="H887" s="36"/>
      <c r="I887" s="36"/>
      <c r="J887" s="105"/>
      <c r="K887" s="36"/>
      <c r="L887" s="36"/>
      <c r="M887" s="36"/>
      <c r="N887" s="105"/>
      <c r="O887" s="36"/>
      <c r="P887" s="36"/>
      <c r="Q887" s="36"/>
      <c r="R887" s="105"/>
      <c r="S887" s="36"/>
      <c r="T887" s="36"/>
      <c r="U887" s="36"/>
      <c r="V887" s="105"/>
      <c r="W887" s="36"/>
      <c r="X887" s="36"/>
      <c r="Y887" s="36"/>
      <c r="Z887" s="105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42"/>
      <c r="AO887" s="42"/>
      <c r="AP887" s="36"/>
      <c r="AQ887" s="36"/>
      <c r="AR887" s="42"/>
      <c r="AS887" s="42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</row>
    <row r="888" spans="1:56" ht="15.75" x14ac:dyDescent="0.25">
      <c r="A888" s="44"/>
      <c r="B888" s="36"/>
      <c r="C888" s="36"/>
      <c r="D888" s="36"/>
      <c r="E888" s="36"/>
      <c r="F888" s="36"/>
      <c r="G888" s="36"/>
      <c r="H888" s="36"/>
      <c r="I888" s="36"/>
      <c r="J888" s="105"/>
      <c r="K888" s="36"/>
      <c r="L888" s="36"/>
      <c r="M888" s="36"/>
      <c r="N888" s="105"/>
      <c r="O888" s="36"/>
      <c r="P888" s="36"/>
      <c r="Q888" s="36"/>
      <c r="R888" s="105"/>
      <c r="S888" s="36"/>
      <c r="T888" s="36"/>
      <c r="U888" s="36"/>
      <c r="V888" s="105"/>
      <c r="W888" s="36"/>
      <c r="X888" s="36"/>
      <c r="Y888" s="36"/>
      <c r="Z888" s="105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42"/>
      <c r="AO888" s="42"/>
      <c r="AP888" s="36"/>
      <c r="AQ888" s="36"/>
      <c r="AR888" s="42"/>
      <c r="AS888" s="42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</row>
    <row r="889" spans="1:56" ht="15.75" x14ac:dyDescent="0.25">
      <c r="A889" s="44"/>
      <c r="B889" s="36"/>
      <c r="C889" s="36"/>
      <c r="D889" s="36"/>
      <c r="E889" s="36"/>
      <c r="F889" s="36"/>
      <c r="G889" s="36"/>
      <c r="H889" s="36"/>
      <c r="I889" s="36"/>
      <c r="J889" s="105"/>
      <c r="K889" s="36"/>
      <c r="L889" s="36"/>
      <c r="M889" s="36"/>
      <c r="N889" s="105"/>
      <c r="O889" s="36"/>
      <c r="P889" s="36"/>
      <c r="Q889" s="36"/>
      <c r="R889" s="105"/>
      <c r="S889" s="36"/>
      <c r="T889" s="36"/>
      <c r="U889" s="36"/>
      <c r="V889" s="105"/>
      <c r="W889" s="36"/>
      <c r="X889" s="36"/>
      <c r="Y889" s="36"/>
      <c r="Z889" s="105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42"/>
      <c r="AO889" s="42"/>
      <c r="AP889" s="36"/>
      <c r="AQ889" s="36"/>
      <c r="AR889" s="42"/>
      <c r="AS889" s="42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</row>
    <row r="890" spans="1:56" ht="15.75" x14ac:dyDescent="0.25">
      <c r="A890" s="44"/>
      <c r="B890" s="36"/>
      <c r="C890" s="36"/>
      <c r="D890" s="36"/>
      <c r="E890" s="36"/>
      <c r="F890" s="36"/>
      <c r="G890" s="36"/>
      <c r="H890" s="36"/>
      <c r="I890" s="36"/>
      <c r="J890" s="105"/>
      <c r="K890" s="36"/>
      <c r="L890" s="36"/>
      <c r="M890" s="36"/>
      <c r="N890" s="105"/>
      <c r="O890" s="36"/>
      <c r="P890" s="36"/>
      <c r="Q890" s="36"/>
      <c r="R890" s="105"/>
      <c r="S890" s="36"/>
      <c r="T890" s="36"/>
      <c r="U890" s="36"/>
      <c r="V890" s="105"/>
      <c r="W890" s="36"/>
      <c r="X890" s="36"/>
      <c r="Y890" s="36"/>
      <c r="Z890" s="105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42"/>
      <c r="AO890" s="42"/>
      <c r="AP890" s="36"/>
      <c r="AQ890" s="36"/>
      <c r="AR890" s="42"/>
      <c r="AS890" s="42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</row>
    <row r="891" spans="1:56" ht="15.75" x14ac:dyDescent="0.25">
      <c r="A891" s="44"/>
      <c r="B891" s="36"/>
      <c r="C891" s="36"/>
      <c r="D891" s="36"/>
      <c r="E891" s="36"/>
      <c r="F891" s="36"/>
      <c r="G891" s="36"/>
      <c r="H891" s="36"/>
      <c r="I891" s="36"/>
      <c r="J891" s="105"/>
      <c r="K891" s="36"/>
      <c r="L891" s="36"/>
      <c r="M891" s="36"/>
      <c r="N891" s="105"/>
      <c r="O891" s="36"/>
      <c r="P891" s="36"/>
      <c r="Q891" s="36"/>
      <c r="R891" s="105"/>
      <c r="S891" s="36"/>
      <c r="T891" s="36"/>
      <c r="U891" s="36"/>
      <c r="V891" s="105"/>
      <c r="W891" s="36"/>
      <c r="X891" s="36"/>
      <c r="Y891" s="36"/>
      <c r="Z891" s="105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42"/>
      <c r="AO891" s="42"/>
      <c r="AP891" s="36"/>
      <c r="AQ891" s="36"/>
      <c r="AR891" s="42"/>
      <c r="AS891" s="42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</row>
    <row r="892" spans="1:56" ht="15.75" x14ac:dyDescent="0.25">
      <c r="A892" s="44"/>
      <c r="B892" s="36"/>
      <c r="C892" s="36"/>
      <c r="D892" s="36"/>
      <c r="E892" s="36"/>
      <c r="F892" s="36"/>
      <c r="G892" s="36"/>
      <c r="H892" s="36"/>
      <c r="I892" s="36"/>
      <c r="J892" s="105"/>
      <c r="K892" s="36"/>
      <c r="L892" s="36"/>
      <c r="M892" s="36"/>
      <c r="N892" s="105"/>
      <c r="O892" s="36"/>
      <c r="P892" s="36"/>
      <c r="Q892" s="36"/>
      <c r="R892" s="105"/>
      <c r="S892" s="36"/>
      <c r="T892" s="36"/>
      <c r="U892" s="36"/>
      <c r="V892" s="105"/>
      <c r="W892" s="36"/>
      <c r="X892" s="36"/>
      <c r="Y892" s="36"/>
      <c r="Z892" s="105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42"/>
      <c r="AO892" s="42"/>
      <c r="AP892" s="36"/>
      <c r="AQ892" s="36"/>
      <c r="AR892" s="42"/>
      <c r="AS892" s="42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</row>
    <row r="893" spans="1:56" ht="15.75" x14ac:dyDescent="0.25">
      <c r="A893" s="44"/>
      <c r="B893" s="36"/>
      <c r="C893" s="36"/>
      <c r="D893" s="36"/>
      <c r="E893" s="36"/>
      <c r="F893" s="36"/>
      <c r="G893" s="36"/>
      <c r="H893" s="36"/>
      <c r="I893" s="36"/>
      <c r="J893" s="105"/>
      <c r="K893" s="36"/>
      <c r="L893" s="36"/>
      <c r="M893" s="36"/>
      <c r="N893" s="105"/>
      <c r="O893" s="36"/>
      <c r="P893" s="36"/>
      <c r="Q893" s="36"/>
      <c r="R893" s="105"/>
      <c r="S893" s="36"/>
      <c r="T893" s="36"/>
      <c r="U893" s="36"/>
      <c r="V893" s="105"/>
      <c r="W893" s="36"/>
      <c r="X893" s="36"/>
      <c r="Y893" s="36"/>
      <c r="Z893" s="105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42"/>
      <c r="AO893" s="42"/>
      <c r="AP893" s="36"/>
      <c r="AQ893" s="36"/>
      <c r="AR893" s="42"/>
      <c r="AS893" s="42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</row>
    <row r="894" spans="1:56" ht="15.75" x14ac:dyDescent="0.25">
      <c r="A894" s="44"/>
      <c r="B894" s="36"/>
      <c r="C894" s="36"/>
      <c r="D894" s="36"/>
      <c r="E894" s="36"/>
      <c r="F894" s="36"/>
      <c r="G894" s="36"/>
      <c r="H894" s="36"/>
      <c r="I894" s="36"/>
      <c r="J894" s="105"/>
      <c r="K894" s="36"/>
      <c r="L894" s="36"/>
      <c r="M894" s="36"/>
      <c r="N894" s="105"/>
      <c r="O894" s="36"/>
      <c r="P894" s="36"/>
      <c r="Q894" s="36"/>
      <c r="R894" s="105"/>
      <c r="S894" s="36"/>
      <c r="T894" s="36"/>
      <c r="U894" s="36"/>
      <c r="V894" s="105"/>
      <c r="W894" s="36"/>
      <c r="X894" s="36"/>
      <c r="Y894" s="36"/>
      <c r="Z894" s="105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42"/>
      <c r="AO894" s="42"/>
      <c r="AP894" s="36"/>
      <c r="AQ894" s="36"/>
      <c r="AR894" s="42"/>
      <c r="AS894" s="42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</row>
    <row r="895" spans="1:56" ht="15.75" x14ac:dyDescent="0.25">
      <c r="A895" s="44"/>
      <c r="B895" s="36"/>
      <c r="C895" s="36"/>
      <c r="D895" s="36"/>
      <c r="E895" s="36"/>
      <c r="F895" s="36"/>
      <c r="G895" s="36"/>
      <c r="H895" s="36"/>
      <c r="I895" s="36"/>
      <c r="J895" s="105"/>
      <c r="K895" s="36"/>
      <c r="L895" s="36"/>
      <c r="M895" s="36"/>
      <c r="N895" s="105"/>
      <c r="O895" s="36"/>
      <c r="P895" s="36"/>
      <c r="Q895" s="36"/>
      <c r="R895" s="105"/>
      <c r="S895" s="36"/>
      <c r="T895" s="36"/>
      <c r="U895" s="36"/>
      <c r="V895" s="105"/>
      <c r="W895" s="36"/>
      <c r="X895" s="36"/>
      <c r="Y895" s="36"/>
      <c r="Z895" s="105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42"/>
      <c r="AO895" s="42"/>
      <c r="AP895" s="36"/>
      <c r="AQ895" s="36"/>
      <c r="AR895" s="42"/>
      <c r="AS895" s="42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</row>
    <row r="896" spans="1:56" ht="15.75" x14ac:dyDescent="0.25">
      <c r="A896" s="44"/>
      <c r="B896" s="36"/>
      <c r="C896" s="36"/>
      <c r="D896" s="36"/>
      <c r="E896" s="36"/>
      <c r="F896" s="36"/>
      <c r="G896" s="36"/>
      <c r="H896" s="36"/>
      <c r="I896" s="36"/>
      <c r="J896" s="105"/>
      <c r="K896" s="36"/>
      <c r="L896" s="36"/>
      <c r="M896" s="36"/>
      <c r="N896" s="105"/>
      <c r="O896" s="36"/>
      <c r="P896" s="36"/>
      <c r="Q896" s="36"/>
      <c r="R896" s="105"/>
      <c r="S896" s="36"/>
      <c r="T896" s="36"/>
      <c r="U896" s="36"/>
      <c r="V896" s="105"/>
      <c r="W896" s="36"/>
      <c r="X896" s="36"/>
      <c r="Y896" s="36"/>
      <c r="Z896" s="105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42"/>
      <c r="AO896" s="42"/>
      <c r="AP896" s="36"/>
      <c r="AQ896" s="36"/>
      <c r="AR896" s="42"/>
      <c r="AS896" s="42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</row>
    <row r="897" spans="1:56" ht="15.75" x14ac:dyDescent="0.25">
      <c r="A897" s="44"/>
      <c r="B897" s="36"/>
      <c r="C897" s="36"/>
      <c r="D897" s="36"/>
      <c r="E897" s="36"/>
      <c r="F897" s="36"/>
      <c r="G897" s="36"/>
      <c r="H897" s="36"/>
      <c r="I897" s="36"/>
      <c r="J897" s="105"/>
      <c r="K897" s="36"/>
      <c r="L897" s="36"/>
      <c r="M897" s="36"/>
      <c r="N897" s="105"/>
      <c r="O897" s="36"/>
      <c r="P897" s="36"/>
      <c r="Q897" s="36"/>
      <c r="R897" s="105"/>
      <c r="S897" s="36"/>
      <c r="T897" s="36"/>
      <c r="U897" s="36"/>
      <c r="V897" s="105"/>
      <c r="W897" s="36"/>
      <c r="X897" s="36"/>
      <c r="Y897" s="36"/>
      <c r="Z897" s="105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42"/>
      <c r="AO897" s="42"/>
      <c r="AP897" s="36"/>
      <c r="AQ897" s="36"/>
      <c r="AR897" s="42"/>
      <c r="AS897" s="42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</row>
    <row r="898" spans="1:56" ht="15.75" x14ac:dyDescent="0.25">
      <c r="A898" s="44"/>
      <c r="B898" s="36"/>
      <c r="C898" s="36"/>
      <c r="D898" s="36"/>
      <c r="E898" s="36"/>
      <c r="F898" s="36"/>
      <c r="G898" s="36"/>
      <c r="H898" s="36"/>
      <c r="I898" s="36"/>
      <c r="J898" s="105"/>
      <c r="K898" s="36"/>
      <c r="L898" s="36"/>
      <c r="M898" s="36"/>
      <c r="N898" s="105"/>
      <c r="O898" s="36"/>
      <c r="P898" s="36"/>
      <c r="Q898" s="36"/>
      <c r="R898" s="105"/>
      <c r="S898" s="36"/>
      <c r="T898" s="36"/>
      <c r="U898" s="36"/>
      <c r="V898" s="105"/>
      <c r="W898" s="36"/>
      <c r="X898" s="36"/>
      <c r="Y898" s="36"/>
      <c r="Z898" s="105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42"/>
      <c r="AO898" s="42"/>
      <c r="AP898" s="36"/>
      <c r="AQ898" s="36"/>
      <c r="AR898" s="42"/>
      <c r="AS898" s="42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</row>
    <row r="899" spans="1:56" ht="15.75" x14ac:dyDescent="0.25">
      <c r="A899" s="44"/>
      <c r="B899" s="36"/>
      <c r="C899" s="36"/>
      <c r="D899" s="36"/>
      <c r="E899" s="36"/>
      <c r="F899" s="36"/>
      <c r="G899" s="36"/>
      <c r="H899" s="36"/>
      <c r="I899" s="36"/>
      <c r="J899" s="105"/>
      <c r="K899" s="36"/>
      <c r="L899" s="36"/>
      <c r="M899" s="36"/>
      <c r="N899" s="105"/>
      <c r="O899" s="36"/>
      <c r="P899" s="36"/>
      <c r="Q899" s="36"/>
      <c r="R899" s="105"/>
      <c r="S899" s="36"/>
      <c r="T899" s="36"/>
      <c r="U899" s="36"/>
      <c r="V899" s="105"/>
      <c r="W899" s="36"/>
      <c r="X899" s="36"/>
      <c r="Y899" s="36"/>
      <c r="Z899" s="105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42"/>
      <c r="AO899" s="42"/>
      <c r="AP899" s="36"/>
      <c r="AQ899" s="36"/>
      <c r="AR899" s="42"/>
      <c r="AS899" s="42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</row>
    <row r="900" spans="1:56" ht="15.75" x14ac:dyDescent="0.25">
      <c r="A900" s="44"/>
      <c r="B900" s="36"/>
      <c r="C900" s="36"/>
      <c r="D900" s="36"/>
      <c r="E900" s="36"/>
      <c r="F900" s="36"/>
      <c r="G900" s="36"/>
      <c r="H900" s="36"/>
      <c r="I900" s="36"/>
      <c r="J900" s="105"/>
      <c r="K900" s="36"/>
      <c r="L900" s="36"/>
      <c r="M900" s="36"/>
      <c r="N900" s="105"/>
      <c r="O900" s="36"/>
      <c r="P900" s="36"/>
      <c r="Q900" s="36"/>
      <c r="R900" s="105"/>
      <c r="S900" s="36"/>
      <c r="T900" s="36"/>
      <c r="U900" s="36"/>
      <c r="V900" s="105"/>
      <c r="W900" s="36"/>
      <c r="X900" s="36"/>
      <c r="Y900" s="36"/>
      <c r="Z900" s="105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42"/>
      <c r="AO900" s="42"/>
      <c r="AP900" s="36"/>
      <c r="AQ900" s="36"/>
      <c r="AR900" s="42"/>
      <c r="AS900" s="42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</row>
    <row r="901" spans="1:56" ht="15.75" x14ac:dyDescent="0.25">
      <c r="A901" s="44"/>
      <c r="B901" s="36"/>
      <c r="C901" s="36"/>
      <c r="D901" s="36"/>
      <c r="E901" s="36"/>
      <c r="F901" s="36"/>
      <c r="G901" s="36"/>
      <c r="H901" s="36"/>
      <c r="I901" s="36"/>
      <c r="J901" s="105"/>
      <c r="K901" s="36"/>
      <c r="L901" s="36"/>
      <c r="M901" s="36"/>
      <c r="N901" s="105"/>
      <c r="O901" s="36"/>
      <c r="P901" s="36"/>
      <c r="Q901" s="36"/>
      <c r="R901" s="105"/>
      <c r="S901" s="36"/>
      <c r="T901" s="36"/>
      <c r="U901" s="36"/>
      <c r="V901" s="105"/>
      <c r="W901" s="36"/>
      <c r="X901" s="36"/>
      <c r="Y901" s="36"/>
      <c r="Z901" s="105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42"/>
      <c r="AO901" s="42"/>
      <c r="AP901" s="36"/>
      <c r="AQ901" s="36"/>
      <c r="AR901" s="42"/>
      <c r="AS901" s="42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</row>
    <row r="902" spans="1:56" ht="15.75" x14ac:dyDescent="0.25">
      <c r="A902" s="44"/>
      <c r="B902" s="36"/>
      <c r="C902" s="36"/>
      <c r="D902" s="36"/>
      <c r="E902" s="36"/>
      <c r="F902" s="36"/>
      <c r="G902" s="36"/>
      <c r="H902" s="36"/>
      <c r="I902" s="36"/>
      <c r="J902" s="105"/>
      <c r="K902" s="36"/>
      <c r="L902" s="36"/>
      <c r="M902" s="36"/>
      <c r="N902" s="105"/>
      <c r="O902" s="36"/>
      <c r="P902" s="36"/>
      <c r="Q902" s="36"/>
      <c r="R902" s="105"/>
      <c r="S902" s="36"/>
      <c r="T902" s="36"/>
      <c r="U902" s="36"/>
      <c r="V902" s="105"/>
      <c r="W902" s="36"/>
      <c r="X902" s="36"/>
      <c r="Y902" s="36"/>
      <c r="Z902" s="105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42"/>
      <c r="AO902" s="42"/>
      <c r="AP902" s="36"/>
      <c r="AQ902" s="36"/>
      <c r="AR902" s="42"/>
      <c r="AS902" s="42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</row>
    <row r="903" spans="1:56" ht="15.75" x14ac:dyDescent="0.25">
      <c r="A903" s="44"/>
      <c r="B903" s="36"/>
      <c r="C903" s="36"/>
      <c r="D903" s="36"/>
      <c r="E903" s="36"/>
      <c r="F903" s="36"/>
      <c r="G903" s="36"/>
      <c r="H903" s="36"/>
      <c r="I903" s="36"/>
      <c r="J903" s="105"/>
      <c r="K903" s="36"/>
      <c r="L903" s="36"/>
      <c r="M903" s="36"/>
      <c r="N903" s="105"/>
      <c r="O903" s="36"/>
      <c r="P903" s="36"/>
      <c r="Q903" s="36"/>
      <c r="R903" s="105"/>
      <c r="S903" s="36"/>
      <c r="T903" s="36"/>
      <c r="U903" s="36"/>
      <c r="V903" s="105"/>
      <c r="W903" s="36"/>
      <c r="X903" s="36"/>
      <c r="Y903" s="36"/>
      <c r="Z903" s="105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42"/>
      <c r="AO903" s="42"/>
      <c r="AP903" s="36"/>
      <c r="AQ903" s="36"/>
      <c r="AR903" s="42"/>
      <c r="AS903" s="42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</row>
    <row r="904" spans="1:56" ht="15.75" x14ac:dyDescent="0.25">
      <c r="A904" s="44"/>
      <c r="B904" s="36"/>
      <c r="C904" s="36"/>
      <c r="D904" s="36"/>
      <c r="E904" s="36"/>
      <c r="F904" s="36"/>
      <c r="G904" s="36"/>
      <c r="H904" s="36"/>
      <c r="I904" s="36"/>
      <c r="J904" s="105"/>
      <c r="K904" s="36"/>
      <c r="L904" s="36"/>
      <c r="M904" s="36"/>
      <c r="N904" s="105"/>
      <c r="O904" s="36"/>
      <c r="P904" s="36"/>
      <c r="Q904" s="36"/>
      <c r="R904" s="105"/>
      <c r="S904" s="36"/>
      <c r="T904" s="36"/>
      <c r="U904" s="36"/>
      <c r="V904" s="105"/>
      <c r="W904" s="36"/>
      <c r="X904" s="36"/>
      <c r="Y904" s="36"/>
      <c r="Z904" s="105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42"/>
      <c r="AO904" s="42"/>
      <c r="AP904" s="36"/>
      <c r="AQ904" s="36"/>
      <c r="AR904" s="42"/>
      <c r="AS904" s="42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</row>
    <row r="905" spans="1:56" ht="15.75" x14ac:dyDescent="0.25">
      <c r="A905" s="44"/>
      <c r="B905" s="36"/>
      <c r="C905" s="36"/>
      <c r="D905" s="36"/>
      <c r="E905" s="36"/>
      <c r="F905" s="36"/>
      <c r="G905" s="36"/>
      <c r="H905" s="36"/>
      <c r="I905" s="36"/>
      <c r="J905" s="105"/>
      <c r="K905" s="36"/>
      <c r="L905" s="36"/>
      <c r="M905" s="36"/>
      <c r="N905" s="105"/>
      <c r="O905" s="36"/>
      <c r="P905" s="36"/>
      <c r="Q905" s="36"/>
      <c r="R905" s="105"/>
      <c r="S905" s="36"/>
      <c r="T905" s="36"/>
      <c r="U905" s="36"/>
      <c r="V905" s="105"/>
      <c r="W905" s="36"/>
      <c r="X905" s="36"/>
      <c r="Y905" s="36"/>
      <c r="Z905" s="105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42"/>
      <c r="AO905" s="42"/>
      <c r="AP905" s="36"/>
      <c r="AQ905" s="36"/>
      <c r="AR905" s="42"/>
      <c r="AS905" s="42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</row>
    <row r="906" spans="1:56" ht="15.75" x14ac:dyDescent="0.25">
      <c r="A906" s="44"/>
      <c r="B906" s="36"/>
      <c r="C906" s="36"/>
      <c r="D906" s="36"/>
      <c r="E906" s="36"/>
      <c r="F906" s="36"/>
      <c r="G906" s="36"/>
      <c r="H906" s="36"/>
      <c r="I906" s="36"/>
      <c r="J906" s="105"/>
      <c r="K906" s="36"/>
      <c r="L906" s="36"/>
      <c r="M906" s="36"/>
      <c r="N906" s="105"/>
      <c r="O906" s="36"/>
      <c r="P906" s="36"/>
      <c r="Q906" s="36"/>
      <c r="R906" s="105"/>
      <c r="S906" s="36"/>
      <c r="T906" s="36"/>
      <c r="U906" s="36"/>
      <c r="V906" s="105"/>
      <c r="W906" s="36"/>
      <c r="X906" s="36"/>
      <c r="Y906" s="36"/>
      <c r="Z906" s="105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42"/>
      <c r="AO906" s="42"/>
      <c r="AP906" s="36"/>
      <c r="AQ906" s="36"/>
      <c r="AR906" s="42"/>
      <c r="AS906" s="42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</row>
    <row r="907" spans="1:56" ht="15.75" x14ac:dyDescent="0.25">
      <c r="A907" s="44"/>
      <c r="B907" s="36"/>
      <c r="C907" s="36"/>
      <c r="D907" s="36"/>
      <c r="E907" s="36"/>
      <c r="F907" s="36"/>
      <c r="G907" s="36"/>
      <c r="H907" s="36"/>
      <c r="I907" s="36"/>
      <c r="J907" s="105"/>
      <c r="K907" s="36"/>
      <c r="L907" s="36"/>
      <c r="M907" s="36"/>
      <c r="N907" s="105"/>
      <c r="O907" s="36"/>
      <c r="P907" s="36"/>
      <c r="Q907" s="36"/>
      <c r="R907" s="105"/>
      <c r="S907" s="36"/>
      <c r="T907" s="36"/>
      <c r="U907" s="36"/>
      <c r="V907" s="105"/>
      <c r="W907" s="36"/>
      <c r="X907" s="36"/>
      <c r="Y907" s="36"/>
      <c r="Z907" s="105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42"/>
      <c r="AO907" s="42"/>
      <c r="AP907" s="36"/>
      <c r="AQ907" s="36"/>
      <c r="AR907" s="42"/>
      <c r="AS907" s="42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</row>
    <row r="908" spans="1:56" ht="15.75" x14ac:dyDescent="0.25">
      <c r="A908" s="44"/>
      <c r="B908" s="36"/>
      <c r="C908" s="36"/>
      <c r="D908" s="36"/>
      <c r="E908" s="36"/>
      <c r="F908" s="36"/>
      <c r="G908" s="36"/>
      <c r="H908" s="36"/>
      <c r="I908" s="36"/>
      <c r="J908" s="105"/>
      <c r="K908" s="36"/>
      <c r="L908" s="36"/>
      <c r="M908" s="36"/>
      <c r="N908" s="105"/>
      <c r="O908" s="36"/>
      <c r="P908" s="36"/>
      <c r="Q908" s="36"/>
      <c r="R908" s="105"/>
      <c r="S908" s="36"/>
      <c r="T908" s="36"/>
      <c r="U908" s="36"/>
      <c r="V908" s="105"/>
      <c r="W908" s="36"/>
      <c r="X908" s="36"/>
      <c r="Y908" s="36"/>
      <c r="Z908" s="105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42"/>
      <c r="AO908" s="42"/>
      <c r="AP908" s="36"/>
      <c r="AQ908" s="36"/>
      <c r="AR908" s="42"/>
      <c r="AS908" s="42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</row>
    <row r="909" spans="1:56" ht="15.75" x14ac:dyDescent="0.25">
      <c r="A909" s="44"/>
      <c r="B909" s="36"/>
      <c r="C909" s="36"/>
      <c r="D909" s="36"/>
      <c r="E909" s="36"/>
      <c r="F909" s="36"/>
      <c r="G909" s="36"/>
      <c r="H909" s="36"/>
      <c r="I909" s="36"/>
      <c r="J909" s="105"/>
      <c r="K909" s="36"/>
      <c r="L909" s="36"/>
      <c r="M909" s="36"/>
      <c r="N909" s="105"/>
      <c r="O909" s="36"/>
      <c r="P909" s="36"/>
      <c r="Q909" s="36"/>
      <c r="R909" s="105"/>
      <c r="S909" s="36"/>
      <c r="T909" s="36"/>
      <c r="U909" s="36"/>
      <c r="V909" s="105"/>
      <c r="W909" s="36"/>
      <c r="X909" s="36"/>
      <c r="Y909" s="36"/>
      <c r="Z909" s="105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42"/>
      <c r="AO909" s="42"/>
      <c r="AP909" s="36"/>
      <c r="AQ909" s="36"/>
      <c r="AR909" s="42"/>
      <c r="AS909" s="42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</row>
    <row r="910" spans="1:56" ht="15.75" x14ac:dyDescent="0.25">
      <c r="A910" s="44"/>
      <c r="B910" s="36"/>
      <c r="C910" s="36"/>
      <c r="D910" s="36"/>
      <c r="E910" s="36"/>
      <c r="F910" s="36"/>
      <c r="G910" s="36"/>
      <c r="H910" s="36"/>
      <c r="I910" s="36"/>
      <c r="J910" s="105"/>
      <c r="K910" s="36"/>
      <c r="L910" s="36"/>
      <c r="M910" s="36"/>
      <c r="N910" s="105"/>
      <c r="O910" s="36"/>
      <c r="P910" s="36"/>
      <c r="Q910" s="36"/>
      <c r="R910" s="105"/>
      <c r="S910" s="36"/>
      <c r="T910" s="36"/>
      <c r="U910" s="36"/>
      <c r="V910" s="105"/>
      <c r="W910" s="36"/>
      <c r="X910" s="36"/>
      <c r="Y910" s="36"/>
      <c r="Z910" s="105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42"/>
      <c r="AO910" s="42"/>
      <c r="AP910" s="36"/>
      <c r="AQ910" s="36"/>
      <c r="AR910" s="42"/>
      <c r="AS910" s="42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</row>
    <row r="911" spans="1:56" ht="15.75" x14ac:dyDescent="0.25">
      <c r="A911" s="44"/>
      <c r="B911" s="36"/>
      <c r="C911" s="36"/>
      <c r="D911" s="36"/>
      <c r="E911" s="36"/>
      <c r="F911" s="36"/>
      <c r="G911" s="36"/>
      <c r="H911" s="36"/>
      <c r="I911" s="36"/>
      <c r="J911" s="105"/>
      <c r="K911" s="36"/>
      <c r="L911" s="36"/>
      <c r="M911" s="36"/>
      <c r="N911" s="105"/>
      <c r="O911" s="36"/>
      <c r="P911" s="36"/>
      <c r="Q911" s="36"/>
      <c r="R911" s="105"/>
      <c r="S911" s="36"/>
      <c r="T911" s="36"/>
      <c r="U911" s="36"/>
      <c r="V911" s="105"/>
      <c r="W911" s="36"/>
      <c r="X911" s="36"/>
      <c r="Y911" s="36"/>
      <c r="Z911" s="105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42"/>
      <c r="AO911" s="42"/>
      <c r="AP911" s="36"/>
      <c r="AQ911" s="36"/>
      <c r="AR911" s="42"/>
      <c r="AS911" s="42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</row>
    <row r="912" spans="1:56" ht="15.75" x14ac:dyDescent="0.25">
      <c r="A912" s="44"/>
      <c r="B912" s="36"/>
      <c r="C912" s="36"/>
      <c r="D912" s="36"/>
      <c r="E912" s="36"/>
      <c r="F912" s="36"/>
      <c r="G912" s="36"/>
      <c r="H912" s="36"/>
      <c r="I912" s="36"/>
      <c r="J912" s="105"/>
      <c r="K912" s="36"/>
      <c r="L912" s="36"/>
      <c r="M912" s="36"/>
      <c r="N912" s="105"/>
      <c r="O912" s="36"/>
      <c r="P912" s="36"/>
      <c r="Q912" s="36"/>
      <c r="R912" s="105"/>
      <c r="S912" s="36"/>
      <c r="T912" s="36"/>
      <c r="U912" s="36"/>
      <c r="V912" s="105"/>
      <c r="W912" s="36"/>
      <c r="X912" s="36"/>
      <c r="Y912" s="36"/>
      <c r="Z912" s="105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42"/>
      <c r="AO912" s="42"/>
      <c r="AP912" s="36"/>
      <c r="AQ912" s="36"/>
      <c r="AR912" s="42"/>
      <c r="AS912" s="42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</row>
    <row r="913" spans="1:56" ht="15.75" x14ac:dyDescent="0.25">
      <c r="A913" s="44"/>
      <c r="B913" s="36"/>
      <c r="C913" s="36"/>
      <c r="D913" s="36"/>
      <c r="E913" s="36"/>
      <c r="F913" s="36"/>
      <c r="G913" s="36"/>
      <c r="H913" s="36"/>
      <c r="I913" s="36"/>
      <c r="J913" s="105"/>
      <c r="K913" s="36"/>
      <c r="L913" s="36"/>
      <c r="M913" s="36"/>
      <c r="N913" s="105"/>
      <c r="O913" s="36"/>
      <c r="P913" s="36"/>
      <c r="Q913" s="36"/>
      <c r="R913" s="105"/>
      <c r="S913" s="36"/>
      <c r="T913" s="36"/>
      <c r="U913" s="36"/>
      <c r="V913" s="105"/>
      <c r="W913" s="36"/>
      <c r="X913" s="36"/>
      <c r="Y913" s="36"/>
      <c r="Z913" s="105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42"/>
      <c r="AO913" s="42"/>
      <c r="AP913" s="36"/>
      <c r="AQ913" s="36"/>
      <c r="AR913" s="42"/>
      <c r="AS913" s="42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</row>
    <row r="914" spans="1:56" ht="15.75" x14ac:dyDescent="0.25">
      <c r="A914" s="44"/>
      <c r="B914" s="36"/>
      <c r="C914" s="36"/>
      <c r="D914" s="36"/>
      <c r="E914" s="36"/>
      <c r="F914" s="36"/>
      <c r="G914" s="36"/>
      <c r="H914" s="36"/>
      <c r="I914" s="36"/>
      <c r="J914" s="105"/>
      <c r="K914" s="36"/>
      <c r="L914" s="36"/>
      <c r="M914" s="36"/>
      <c r="N914" s="105"/>
      <c r="O914" s="36"/>
      <c r="P914" s="36"/>
      <c r="Q914" s="36"/>
      <c r="R914" s="105"/>
      <c r="S914" s="36"/>
      <c r="T914" s="36"/>
      <c r="U914" s="36"/>
      <c r="V914" s="105"/>
      <c r="W914" s="36"/>
      <c r="X914" s="36"/>
      <c r="Y914" s="36"/>
      <c r="Z914" s="105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42"/>
      <c r="AO914" s="42"/>
      <c r="AP914" s="36"/>
      <c r="AQ914" s="36"/>
      <c r="AR914" s="42"/>
      <c r="AS914" s="42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</row>
    <row r="915" spans="1:56" ht="15.75" x14ac:dyDescent="0.25">
      <c r="A915" s="44"/>
      <c r="B915" s="36"/>
      <c r="C915" s="36"/>
      <c r="D915" s="36"/>
      <c r="E915" s="36"/>
      <c r="F915" s="36"/>
      <c r="G915" s="36"/>
      <c r="H915" s="36"/>
      <c r="I915" s="36"/>
      <c r="J915" s="105"/>
      <c r="K915" s="36"/>
      <c r="L915" s="36"/>
      <c r="M915" s="36"/>
      <c r="N915" s="105"/>
      <c r="O915" s="36"/>
      <c r="P915" s="36"/>
      <c r="Q915" s="36"/>
      <c r="R915" s="105"/>
      <c r="S915" s="36"/>
      <c r="T915" s="36"/>
      <c r="U915" s="36"/>
      <c r="V915" s="105"/>
      <c r="W915" s="36"/>
      <c r="X915" s="36"/>
      <c r="Y915" s="36"/>
      <c r="Z915" s="105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42"/>
      <c r="AO915" s="42"/>
      <c r="AP915" s="36"/>
      <c r="AQ915" s="36"/>
      <c r="AR915" s="42"/>
      <c r="AS915" s="42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</row>
    <row r="916" spans="1:56" ht="15.75" x14ac:dyDescent="0.25">
      <c r="A916" s="44"/>
      <c r="B916" s="36"/>
      <c r="C916" s="36"/>
      <c r="D916" s="36"/>
      <c r="E916" s="36"/>
      <c r="F916" s="36"/>
      <c r="G916" s="36"/>
      <c r="H916" s="36"/>
      <c r="I916" s="36"/>
      <c r="J916" s="105"/>
      <c r="K916" s="36"/>
      <c r="L916" s="36"/>
      <c r="M916" s="36"/>
      <c r="N916" s="105"/>
      <c r="O916" s="36"/>
      <c r="P916" s="36"/>
      <c r="Q916" s="36"/>
      <c r="R916" s="105"/>
      <c r="S916" s="36"/>
      <c r="T916" s="36"/>
      <c r="U916" s="36"/>
      <c r="V916" s="105"/>
      <c r="W916" s="36"/>
      <c r="X916" s="36"/>
      <c r="Y916" s="36"/>
      <c r="Z916" s="105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42"/>
      <c r="AO916" s="42"/>
      <c r="AP916" s="36"/>
      <c r="AQ916" s="36"/>
      <c r="AR916" s="42"/>
      <c r="AS916" s="42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</row>
    <row r="917" spans="1:56" ht="15.75" x14ac:dyDescent="0.25">
      <c r="A917" s="44"/>
      <c r="B917" s="36"/>
      <c r="C917" s="36"/>
      <c r="D917" s="36"/>
      <c r="E917" s="36"/>
      <c r="F917" s="36"/>
      <c r="G917" s="36"/>
      <c r="H917" s="36"/>
      <c r="I917" s="36"/>
      <c r="J917" s="105"/>
      <c r="K917" s="36"/>
      <c r="L917" s="36"/>
      <c r="M917" s="36"/>
      <c r="N917" s="105"/>
      <c r="O917" s="36"/>
      <c r="P917" s="36"/>
      <c r="Q917" s="36"/>
      <c r="R917" s="105"/>
      <c r="S917" s="36"/>
      <c r="T917" s="36"/>
      <c r="U917" s="36"/>
      <c r="V917" s="105"/>
      <c r="W917" s="36"/>
      <c r="X917" s="36"/>
      <c r="Y917" s="36"/>
      <c r="Z917" s="105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42"/>
      <c r="AO917" s="42"/>
      <c r="AP917" s="36"/>
      <c r="AQ917" s="36"/>
      <c r="AR917" s="42"/>
      <c r="AS917" s="42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</row>
    <row r="918" spans="1:56" ht="15.75" x14ac:dyDescent="0.25">
      <c r="A918" s="44"/>
      <c r="B918" s="36"/>
      <c r="C918" s="36"/>
      <c r="D918" s="36"/>
      <c r="E918" s="36"/>
      <c r="F918" s="36"/>
      <c r="G918" s="36"/>
      <c r="H918" s="36"/>
      <c r="I918" s="36"/>
      <c r="J918" s="105"/>
      <c r="K918" s="36"/>
      <c r="L918" s="36"/>
      <c r="M918" s="36"/>
      <c r="N918" s="105"/>
      <c r="O918" s="36"/>
      <c r="P918" s="36"/>
      <c r="Q918" s="36"/>
      <c r="R918" s="105"/>
      <c r="S918" s="36"/>
      <c r="T918" s="36"/>
      <c r="U918" s="36"/>
      <c r="V918" s="105"/>
      <c r="W918" s="36"/>
      <c r="X918" s="36"/>
      <c r="Y918" s="36"/>
      <c r="Z918" s="105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42"/>
      <c r="AO918" s="42"/>
      <c r="AP918" s="36"/>
      <c r="AQ918" s="36"/>
      <c r="AR918" s="42"/>
      <c r="AS918" s="42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</row>
    <row r="919" spans="1:56" ht="15.75" x14ac:dyDescent="0.25">
      <c r="A919" s="44"/>
      <c r="B919" s="36"/>
      <c r="C919" s="36"/>
      <c r="D919" s="36"/>
      <c r="E919" s="36"/>
      <c r="F919" s="36"/>
      <c r="G919" s="36"/>
      <c r="H919" s="36"/>
      <c r="I919" s="36"/>
      <c r="J919" s="105"/>
      <c r="K919" s="36"/>
      <c r="L919" s="36"/>
      <c r="M919" s="36"/>
      <c r="N919" s="105"/>
      <c r="O919" s="36"/>
      <c r="P919" s="36"/>
      <c r="Q919" s="36"/>
      <c r="R919" s="105"/>
      <c r="S919" s="36"/>
      <c r="T919" s="36"/>
      <c r="U919" s="36"/>
      <c r="V919" s="105"/>
      <c r="W919" s="36"/>
      <c r="X919" s="36"/>
      <c r="Y919" s="36"/>
      <c r="Z919" s="105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42"/>
      <c r="AO919" s="42"/>
      <c r="AP919" s="36"/>
      <c r="AQ919" s="36"/>
      <c r="AR919" s="42"/>
      <c r="AS919" s="42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</row>
    <row r="920" spans="1:56" ht="15.75" x14ac:dyDescent="0.25">
      <c r="A920" s="44"/>
      <c r="B920" s="36"/>
      <c r="C920" s="36"/>
      <c r="D920" s="36"/>
      <c r="E920" s="36"/>
      <c r="F920" s="36"/>
      <c r="G920" s="36"/>
      <c r="H920" s="36"/>
      <c r="I920" s="36"/>
      <c r="J920" s="105"/>
      <c r="K920" s="36"/>
      <c r="L920" s="36"/>
      <c r="M920" s="36"/>
      <c r="N920" s="105"/>
      <c r="O920" s="36"/>
      <c r="P920" s="36"/>
      <c r="Q920" s="36"/>
      <c r="R920" s="105"/>
      <c r="S920" s="36"/>
      <c r="T920" s="36"/>
      <c r="U920" s="36"/>
      <c r="V920" s="105"/>
      <c r="W920" s="36"/>
      <c r="X920" s="36"/>
      <c r="Y920" s="36"/>
      <c r="Z920" s="105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42"/>
      <c r="AO920" s="42"/>
      <c r="AP920" s="36"/>
      <c r="AQ920" s="36"/>
      <c r="AR920" s="42"/>
      <c r="AS920" s="42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</row>
    <row r="921" spans="1:56" ht="15.75" x14ac:dyDescent="0.25">
      <c r="A921" s="44"/>
      <c r="B921" s="36"/>
      <c r="C921" s="36"/>
      <c r="D921" s="36"/>
      <c r="E921" s="36"/>
      <c r="F921" s="36"/>
      <c r="G921" s="36"/>
      <c r="H921" s="36"/>
      <c r="I921" s="36"/>
      <c r="J921" s="105"/>
      <c r="K921" s="36"/>
      <c r="L921" s="36"/>
      <c r="M921" s="36"/>
      <c r="N921" s="105"/>
      <c r="O921" s="36"/>
      <c r="P921" s="36"/>
      <c r="Q921" s="36"/>
      <c r="R921" s="105"/>
      <c r="S921" s="36"/>
      <c r="T921" s="36"/>
      <c r="U921" s="36"/>
      <c r="V921" s="105"/>
      <c r="W921" s="36"/>
      <c r="X921" s="36"/>
      <c r="Y921" s="36"/>
      <c r="Z921" s="105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42"/>
      <c r="AO921" s="42"/>
      <c r="AP921" s="36"/>
      <c r="AQ921" s="36"/>
      <c r="AR921" s="42"/>
      <c r="AS921" s="42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</row>
    <row r="922" spans="1:56" ht="15.75" x14ac:dyDescent="0.25">
      <c r="A922" s="44"/>
      <c r="B922" s="36"/>
      <c r="C922" s="36"/>
      <c r="D922" s="36"/>
      <c r="E922" s="36"/>
      <c r="F922" s="36"/>
      <c r="G922" s="36"/>
      <c r="H922" s="36"/>
      <c r="I922" s="36"/>
      <c r="J922" s="105"/>
      <c r="K922" s="36"/>
      <c r="L922" s="36"/>
      <c r="M922" s="36"/>
      <c r="N922" s="105"/>
      <c r="O922" s="36"/>
      <c r="P922" s="36"/>
      <c r="Q922" s="36"/>
      <c r="R922" s="105"/>
      <c r="S922" s="36"/>
      <c r="T922" s="36"/>
      <c r="U922" s="36"/>
      <c r="V922" s="105"/>
      <c r="W922" s="36"/>
      <c r="X922" s="36"/>
      <c r="Y922" s="36"/>
      <c r="Z922" s="105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42"/>
      <c r="AO922" s="42"/>
      <c r="AP922" s="36"/>
      <c r="AQ922" s="36"/>
      <c r="AR922" s="42"/>
      <c r="AS922" s="42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</row>
    <row r="923" spans="1:56" ht="15.75" x14ac:dyDescent="0.25">
      <c r="A923" s="44"/>
      <c r="B923" s="36"/>
      <c r="C923" s="36"/>
      <c r="D923" s="36"/>
      <c r="E923" s="36"/>
      <c r="F923" s="36"/>
      <c r="G923" s="36"/>
      <c r="H923" s="36"/>
      <c r="I923" s="36"/>
      <c r="J923" s="105"/>
      <c r="K923" s="36"/>
      <c r="L923" s="36"/>
      <c r="M923" s="36"/>
      <c r="N923" s="105"/>
      <c r="O923" s="36"/>
      <c r="P923" s="36"/>
      <c r="Q923" s="36"/>
      <c r="R923" s="105"/>
      <c r="S923" s="36"/>
      <c r="T923" s="36"/>
      <c r="U923" s="36"/>
      <c r="V923" s="105"/>
      <c r="W923" s="36"/>
      <c r="X923" s="36"/>
      <c r="Y923" s="36"/>
      <c r="Z923" s="105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42"/>
      <c r="AO923" s="42"/>
      <c r="AP923" s="36"/>
      <c r="AQ923" s="36"/>
      <c r="AR923" s="42"/>
      <c r="AS923" s="42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</row>
    <row r="924" spans="1:56" ht="15.75" x14ac:dyDescent="0.25">
      <c r="A924" s="44"/>
      <c r="B924" s="36"/>
      <c r="C924" s="36"/>
      <c r="D924" s="36"/>
      <c r="E924" s="36"/>
      <c r="F924" s="36"/>
      <c r="G924" s="36"/>
      <c r="H924" s="36"/>
      <c r="I924" s="36"/>
      <c r="J924" s="105"/>
      <c r="K924" s="36"/>
      <c r="L924" s="36"/>
      <c r="M924" s="36"/>
      <c r="N924" s="105"/>
      <c r="O924" s="36"/>
      <c r="P924" s="36"/>
      <c r="Q924" s="36"/>
      <c r="R924" s="105"/>
      <c r="S924" s="36"/>
      <c r="T924" s="36"/>
      <c r="U924" s="36"/>
      <c r="V924" s="105"/>
      <c r="W924" s="36"/>
      <c r="X924" s="36"/>
      <c r="Y924" s="36"/>
      <c r="Z924" s="105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42"/>
      <c r="AO924" s="42"/>
      <c r="AP924" s="36"/>
      <c r="AQ924" s="36"/>
      <c r="AR924" s="42"/>
      <c r="AS924" s="42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</row>
    <row r="925" spans="1:56" ht="15.75" x14ac:dyDescent="0.25">
      <c r="A925" s="44"/>
      <c r="B925" s="36"/>
      <c r="C925" s="36"/>
      <c r="D925" s="36"/>
      <c r="E925" s="36"/>
      <c r="F925" s="36"/>
      <c r="G925" s="36"/>
      <c r="H925" s="36"/>
      <c r="I925" s="36"/>
      <c r="J925" s="105"/>
      <c r="K925" s="36"/>
      <c r="L925" s="36"/>
      <c r="M925" s="36"/>
      <c r="N925" s="105"/>
      <c r="O925" s="36"/>
      <c r="P925" s="36"/>
      <c r="Q925" s="36"/>
      <c r="R925" s="105"/>
      <c r="S925" s="36"/>
      <c r="T925" s="36"/>
      <c r="U925" s="36"/>
      <c r="V925" s="105"/>
      <c r="W925" s="36"/>
      <c r="X925" s="36"/>
      <c r="Y925" s="36"/>
      <c r="Z925" s="105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42"/>
      <c r="AO925" s="42"/>
      <c r="AP925" s="36"/>
      <c r="AQ925" s="36"/>
      <c r="AR925" s="42"/>
      <c r="AS925" s="42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</row>
    <row r="926" spans="1:56" ht="15.75" x14ac:dyDescent="0.25">
      <c r="A926" s="44"/>
      <c r="B926" s="36"/>
      <c r="C926" s="36"/>
      <c r="D926" s="36"/>
      <c r="E926" s="36"/>
      <c r="F926" s="36"/>
      <c r="G926" s="36"/>
      <c r="H926" s="36"/>
      <c r="I926" s="36"/>
      <c r="J926" s="105"/>
      <c r="K926" s="36"/>
      <c r="L926" s="36"/>
      <c r="M926" s="36"/>
      <c r="N926" s="105"/>
      <c r="O926" s="36"/>
      <c r="P926" s="36"/>
      <c r="Q926" s="36"/>
      <c r="R926" s="105"/>
      <c r="S926" s="36"/>
      <c r="T926" s="36"/>
      <c r="U926" s="36"/>
      <c r="V926" s="105"/>
      <c r="W926" s="36"/>
      <c r="X926" s="36"/>
      <c r="Y926" s="36"/>
      <c r="Z926" s="105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42"/>
      <c r="AO926" s="42"/>
      <c r="AP926" s="36"/>
      <c r="AQ926" s="36"/>
      <c r="AR926" s="42"/>
      <c r="AS926" s="42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</row>
    <row r="927" spans="1:56" ht="15.75" x14ac:dyDescent="0.25">
      <c r="A927" s="44"/>
      <c r="B927" s="36"/>
      <c r="C927" s="36"/>
      <c r="D927" s="36"/>
      <c r="E927" s="36"/>
      <c r="F927" s="36"/>
      <c r="G927" s="36"/>
      <c r="H927" s="36"/>
      <c r="I927" s="36"/>
      <c r="J927" s="105"/>
      <c r="K927" s="36"/>
      <c r="L927" s="36"/>
      <c r="M927" s="36"/>
      <c r="N927" s="105"/>
      <c r="O927" s="36"/>
      <c r="P927" s="36"/>
      <c r="Q927" s="36"/>
      <c r="R927" s="105"/>
      <c r="S927" s="36"/>
      <c r="T927" s="36"/>
      <c r="U927" s="36"/>
      <c r="V927" s="105"/>
      <c r="W927" s="36"/>
      <c r="X927" s="36"/>
      <c r="Y927" s="36"/>
      <c r="Z927" s="105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42"/>
      <c r="AO927" s="42"/>
      <c r="AP927" s="36"/>
      <c r="AQ927" s="36"/>
      <c r="AR927" s="42"/>
      <c r="AS927" s="42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</row>
    <row r="928" spans="1:56" ht="15.75" x14ac:dyDescent="0.25">
      <c r="A928" s="44"/>
      <c r="B928" s="36"/>
      <c r="C928" s="36"/>
      <c r="D928" s="36"/>
      <c r="E928" s="36"/>
      <c r="F928" s="36"/>
      <c r="G928" s="36"/>
      <c r="H928" s="36"/>
      <c r="I928" s="36"/>
      <c r="J928" s="105"/>
      <c r="K928" s="36"/>
      <c r="L928" s="36"/>
      <c r="M928" s="36"/>
      <c r="N928" s="105"/>
      <c r="O928" s="36"/>
      <c r="P928" s="36"/>
      <c r="Q928" s="36"/>
      <c r="R928" s="105"/>
      <c r="S928" s="36"/>
      <c r="T928" s="36"/>
      <c r="U928" s="36"/>
      <c r="V928" s="105"/>
      <c r="W928" s="36"/>
      <c r="X928" s="36"/>
      <c r="Y928" s="36"/>
      <c r="Z928" s="105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42"/>
      <c r="AO928" s="42"/>
      <c r="AP928" s="36"/>
      <c r="AQ928" s="36"/>
      <c r="AR928" s="42"/>
      <c r="AS928" s="42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</row>
    <row r="929" spans="1:56" ht="15.75" x14ac:dyDescent="0.25">
      <c r="A929" s="44"/>
      <c r="B929" s="36"/>
      <c r="C929" s="36"/>
      <c r="D929" s="36"/>
      <c r="E929" s="36"/>
      <c r="F929" s="36"/>
      <c r="G929" s="36"/>
      <c r="H929" s="36"/>
      <c r="I929" s="36"/>
      <c r="J929" s="105"/>
      <c r="K929" s="36"/>
      <c r="L929" s="36"/>
      <c r="M929" s="36"/>
      <c r="N929" s="105"/>
      <c r="O929" s="36"/>
      <c r="P929" s="36"/>
      <c r="Q929" s="36"/>
      <c r="R929" s="105"/>
      <c r="S929" s="36"/>
      <c r="T929" s="36"/>
      <c r="U929" s="36"/>
      <c r="V929" s="105"/>
      <c r="W929" s="36"/>
      <c r="X929" s="36"/>
      <c r="Y929" s="36"/>
      <c r="Z929" s="105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42"/>
      <c r="AO929" s="42"/>
      <c r="AP929" s="36"/>
      <c r="AQ929" s="36"/>
      <c r="AR929" s="42"/>
      <c r="AS929" s="42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</row>
    <row r="930" spans="1:56" ht="15.75" x14ac:dyDescent="0.25">
      <c r="A930" s="44"/>
      <c r="B930" s="36"/>
      <c r="C930" s="36"/>
      <c r="D930" s="36"/>
      <c r="E930" s="36"/>
      <c r="F930" s="36"/>
      <c r="G930" s="36"/>
      <c r="H930" s="36"/>
      <c r="I930" s="36"/>
      <c r="J930" s="105"/>
      <c r="K930" s="36"/>
      <c r="L930" s="36"/>
      <c r="M930" s="36"/>
      <c r="N930" s="105"/>
      <c r="O930" s="36"/>
      <c r="P930" s="36"/>
      <c r="Q930" s="36"/>
      <c r="R930" s="105"/>
      <c r="S930" s="36"/>
      <c r="T930" s="36"/>
      <c r="U930" s="36"/>
      <c r="V930" s="105"/>
      <c r="W930" s="36"/>
      <c r="X930" s="36"/>
      <c r="Y930" s="36"/>
      <c r="Z930" s="105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42"/>
      <c r="AO930" s="42"/>
      <c r="AP930" s="36"/>
      <c r="AQ930" s="36"/>
      <c r="AR930" s="42"/>
      <c r="AS930" s="42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</row>
    <row r="931" spans="1:56" ht="15.75" x14ac:dyDescent="0.25">
      <c r="A931" s="44"/>
      <c r="B931" s="36"/>
      <c r="C931" s="36"/>
      <c r="D931" s="36"/>
      <c r="E931" s="36"/>
      <c r="F931" s="36"/>
      <c r="G931" s="36"/>
      <c r="H931" s="36"/>
      <c r="I931" s="36"/>
      <c r="J931" s="105"/>
      <c r="K931" s="36"/>
      <c r="L931" s="36"/>
      <c r="M931" s="36"/>
      <c r="N931" s="105"/>
      <c r="O931" s="36"/>
      <c r="P931" s="36"/>
      <c r="Q931" s="36"/>
      <c r="R931" s="105"/>
      <c r="S931" s="36"/>
      <c r="T931" s="36"/>
      <c r="U931" s="36"/>
      <c r="V931" s="105"/>
      <c r="W931" s="36"/>
      <c r="X931" s="36"/>
      <c r="Y931" s="36"/>
      <c r="Z931" s="105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42"/>
      <c r="AO931" s="42"/>
      <c r="AP931" s="36"/>
      <c r="AQ931" s="36"/>
      <c r="AR931" s="42"/>
      <c r="AS931" s="42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</row>
    <row r="932" spans="1:56" ht="15.75" x14ac:dyDescent="0.25">
      <c r="A932" s="44"/>
      <c r="B932" s="36"/>
      <c r="C932" s="36"/>
      <c r="D932" s="36"/>
      <c r="E932" s="36"/>
      <c r="F932" s="36"/>
      <c r="G932" s="36"/>
      <c r="H932" s="36"/>
      <c r="I932" s="36"/>
      <c r="J932" s="105"/>
      <c r="K932" s="36"/>
      <c r="L932" s="36"/>
      <c r="M932" s="36"/>
      <c r="N932" s="105"/>
      <c r="O932" s="36"/>
      <c r="P932" s="36"/>
      <c r="Q932" s="36"/>
      <c r="R932" s="105"/>
      <c r="S932" s="36"/>
      <c r="T932" s="36"/>
      <c r="U932" s="36"/>
      <c r="V932" s="105"/>
      <c r="W932" s="36"/>
      <c r="X932" s="36"/>
      <c r="Y932" s="36"/>
      <c r="Z932" s="105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42"/>
      <c r="AO932" s="42"/>
      <c r="AP932" s="36"/>
      <c r="AQ932" s="36"/>
      <c r="AR932" s="42"/>
      <c r="AS932" s="42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</row>
    <row r="933" spans="1:56" ht="15.75" x14ac:dyDescent="0.25">
      <c r="A933" s="44"/>
      <c r="B933" s="36"/>
      <c r="C933" s="36"/>
      <c r="D933" s="36"/>
      <c r="E933" s="36"/>
      <c r="F933" s="36"/>
      <c r="G933" s="36"/>
      <c r="H933" s="36"/>
      <c r="I933" s="36"/>
      <c r="J933" s="105"/>
      <c r="K933" s="36"/>
      <c r="L933" s="36"/>
      <c r="M933" s="36"/>
      <c r="N933" s="105"/>
      <c r="O933" s="36"/>
      <c r="P933" s="36"/>
      <c r="Q933" s="36"/>
      <c r="R933" s="105"/>
      <c r="S933" s="36"/>
      <c r="T933" s="36"/>
      <c r="U933" s="36"/>
      <c r="V933" s="105"/>
      <c r="W933" s="36"/>
      <c r="X933" s="36"/>
      <c r="Y933" s="36"/>
      <c r="Z933" s="105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42"/>
      <c r="AO933" s="42"/>
      <c r="AP933" s="36"/>
      <c r="AQ933" s="36"/>
      <c r="AR933" s="42"/>
      <c r="AS933" s="42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</row>
    <row r="934" spans="1:56" ht="15.75" x14ac:dyDescent="0.25">
      <c r="A934" s="44"/>
      <c r="B934" s="36"/>
      <c r="C934" s="36"/>
      <c r="D934" s="36"/>
      <c r="E934" s="36"/>
      <c r="F934" s="36"/>
      <c r="G934" s="36"/>
      <c r="H934" s="36"/>
      <c r="I934" s="36"/>
      <c r="J934" s="105"/>
      <c r="K934" s="36"/>
      <c r="L934" s="36"/>
      <c r="M934" s="36"/>
      <c r="N934" s="105"/>
      <c r="O934" s="36"/>
      <c r="P934" s="36"/>
      <c r="Q934" s="36"/>
      <c r="R934" s="105"/>
      <c r="S934" s="36"/>
      <c r="T934" s="36"/>
      <c r="U934" s="36"/>
      <c r="V934" s="105"/>
      <c r="W934" s="36"/>
      <c r="X934" s="36"/>
      <c r="Y934" s="36"/>
      <c r="Z934" s="105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42"/>
      <c r="AO934" s="42"/>
      <c r="AP934" s="36"/>
      <c r="AQ934" s="36"/>
      <c r="AR934" s="42"/>
      <c r="AS934" s="42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</row>
    <row r="935" spans="1:56" ht="15.75" x14ac:dyDescent="0.25">
      <c r="A935" s="44"/>
      <c r="B935" s="36"/>
      <c r="C935" s="36"/>
      <c r="D935" s="36"/>
      <c r="E935" s="36"/>
      <c r="F935" s="36"/>
      <c r="G935" s="36"/>
      <c r="H935" s="36"/>
      <c r="I935" s="36"/>
      <c r="J935" s="105"/>
      <c r="K935" s="36"/>
      <c r="L935" s="36"/>
      <c r="M935" s="36"/>
      <c r="N935" s="105"/>
      <c r="O935" s="36"/>
      <c r="P935" s="36"/>
      <c r="Q935" s="36"/>
      <c r="R935" s="105"/>
      <c r="S935" s="36"/>
      <c r="T935" s="36"/>
      <c r="U935" s="36"/>
      <c r="V935" s="105"/>
      <c r="W935" s="36"/>
      <c r="X935" s="36"/>
      <c r="Y935" s="36"/>
      <c r="Z935" s="105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42"/>
      <c r="AO935" s="42"/>
      <c r="AP935" s="36"/>
      <c r="AQ935" s="36"/>
      <c r="AR935" s="42"/>
      <c r="AS935" s="42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</row>
    <row r="936" spans="1:56" ht="15.75" x14ac:dyDescent="0.25">
      <c r="A936" s="44"/>
      <c r="B936" s="36"/>
      <c r="C936" s="36"/>
      <c r="D936" s="36"/>
      <c r="E936" s="36"/>
      <c r="F936" s="36"/>
      <c r="G936" s="36"/>
      <c r="H936" s="36"/>
      <c r="I936" s="36"/>
      <c r="J936" s="105"/>
      <c r="K936" s="36"/>
      <c r="L936" s="36"/>
      <c r="M936" s="36"/>
      <c r="N936" s="105"/>
      <c r="O936" s="36"/>
      <c r="P936" s="36"/>
      <c r="Q936" s="36"/>
      <c r="R936" s="105"/>
      <c r="S936" s="36"/>
      <c r="T936" s="36"/>
      <c r="U936" s="36"/>
      <c r="V936" s="105"/>
      <c r="W936" s="36"/>
      <c r="X936" s="36"/>
      <c r="Y936" s="36"/>
      <c r="Z936" s="105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42"/>
      <c r="AO936" s="42"/>
      <c r="AP936" s="36"/>
      <c r="AQ936" s="36"/>
      <c r="AR936" s="42"/>
      <c r="AS936" s="42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</row>
    <row r="937" spans="1:56" ht="15.75" x14ac:dyDescent="0.25">
      <c r="A937" s="44"/>
      <c r="B937" s="36"/>
      <c r="C937" s="36"/>
      <c r="D937" s="36"/>
      <c r="E937" s="36"/>
      <c r="F937" s="36"/>
      <c r="G937" s="36"/>
      <c r="H937" s="36"/>
      <c r="I937" s="36"/>
      <c r="J937" s="105"/>
      <c r="K937" s="36"/>
      <c r="L937" s="36"/>
      <c r="M937" s="36"/>
      <c r="N937" s="105"/>
      <c r="O937" s="36"/>
      <c r="P937" s="36"/>
      <c r="Q937" s="36"/>
      <c r="R937" s="105"/>
      <c r="S937" s="36"/>
      <c r="T937" s="36"/>
      <c r="U937" s="36"/>
      <c r="V937" s="105"/>
      <c r="W937" s="36"/>
      <c r="X937" s="36"/>
      <c r="Y937" s="36"/>
      <c r="Z937" s="105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42"/>
      <c r="AO937" s="42"/>
      <c r="AP937" s="36"/>
      <c r="AQ937" s="36"/>
      <c r="AR937" s="42"/>
      <c r="AS937" s="42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</row>
    <row r="938" spans="1:56" ht="15.75" x14ac:dyDescent="0.25">
      <c r="A938" s="44"/>
      <c r="B938" s="36"/>
      <c r="C938" s="36"/>
      <c r="D938" s="36"/>
      <c r="E938" s="36"/>
      <c r="F938" s="36"/>
      <c r="G938" s="36"/>
      <c r="H938" s="36"/>
      <c r="I938" s="36"/>
      <c r="J938" s="105"/>
      <c r="K938" s="36"/>
      <c r="L938" s="36"/>
      <c r="M938" s="36"/>
      <c r="N938" s="105"/>
      <c r="O938" s="36"/>
      <c r="P938" s="36"/>
      <c r="Q938" s="36"/>
      <c r="R938" s="105"/>
      <c r="S938" s="36"/>
      <c r="T938" s="36"/>
      <c r="U938" s="36"/>
      <c r="V938" s="105"/>
      <c r="W938" s="36"/>
      <c r="X938" s="36"/>
      <c r="Y938" s="36"/>
      <c r="Z938" s="105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42"/>
      <c r="AO938" s="42"/>
      <c r="AP938" s="36"/>
      <c r="AQ938" s="36"/>
      <c r="AR938" s="42"/>
      <c r="AS938" s="42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</row>
    <row r="939" spans="1:56" ht="15.75" x14ac:dyDescent="0.25">
      <c r="A939" s="44"/>
      <c r="B939" s="36"/>
      <c r="C939" s="36"/>
      <c r="D939" s="36"/>
      <c r="E939" s="36"/>
      <c r="F939" s="36"/>
      <c r="G939" s="36"/>
      <c r="H939" s="36"/>
      <c r="I939" s="36"/>
      <c r="J939" s="105"/>
      <c r="K939" s="36"/>
      <c r="L939" s="36"/>
      <c r="M939" s="36"/>
      <c r="N939" s="105"/>
      <c r="O939" s="36"/>
      <c r="P939" s="36"/>
      <c r="Q939" s="36"/>
      <c r="R939" s="105"/>
      <c r="S939" s="36"/>
      <c r="T939" s="36"/>
      <c r="U939" s="36"/>
      <c r="V939" s="105"/>
      <c r="W939" s="36"/>
      <c r="X939" s="36"/>
      <c r="Y939" s="36"/>
      <c r="Z939" s="105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42"/>
      <c r="AO939" s="42"/>
      <c r="AP939" s="36"/>
      <c r="AQ939" s="36"/>
      <c r="AR939" s="42"/>
      <c r="AS939" s="42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</row>
    <row r="940" spans="1:56" ht="15.75" x14ac:dyDescent="0.25">
      <c r="A940" s="44"/>
      <c r="B940" s="36"/>
      <c r="C940" s="36"/>
      <c r="D940" s="36"/>
      <c r="E940" s="36"/>
      <c r="F940" s="36"/>
      <c r="G940" s="36"/>
      <c r="H940" s="36"/>
      <c r="I940" s="36"/>
      <c r="J940" s="105"/>
      <c r="K940" s="36"/>
      <c r="L940" s="36"/>
      <c r="M940" s="36"/>
      <c r="N940" s="105"/>
      <c r="O940" s="36"/>
      <c r="P940" s="36"/>
      <c r="Q940" s="36"/>
      <c r="R940" s="105"/>
      <c r="S940" s="36"/>
      <c r="T940" s="36"/>
      <c r="U940" s="36"/>
      <c r="V940" s="105"/>
      <c r="W940" s="36"/>
      <c r="X940" s="36"/>
      <c r="Y940" s="36"/>
      <c r="Z940" s="105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42"/>
      <c r="AO940" s="42"/>
      <c r="AP940" s="36"/>
      <c r="AQ940" s="36"/>
      <c r="AR940" s="42"/>
      <c r="AS940" s="42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</row>
    <row r="941" spans="1:56" ht="15.75" x14ac:dyDescent="0.25">
      <c r="A941" s="44"/>
      <c r="B941" s="36"/>
      <c r="C941" s="36"/>
      <c r="D941" s="36"/>
      <c r="E941" s="36"/>
      <c r="F941" s="36"/>
      <c r="G941" s="36"/>
      <c r="H941" s="36"/>
      <c r="I941" s="36"/>
      <c r="J941" s="105"/>
      <c r="K941" s="36"/>
      <c r="L941" s="36"/>
      <c r="M941" s="36"/>
      <c r="N941" s="105"/>
      <c r="O941" s="36"/>
      <c r="P941" s="36"/>
      <c r="Q941" s="36"/>
      <c r="R941" s="105"/>
      <c r="S941" s="36"/>
      <c r="T941" s="36"/>
      <c r="U941" s="36"/>
      <c r="V941" s="105"/>
      <c r="W941" s="36"/>
      <c r="X941" s="36"/>
      <c r="Y941" s="36"/>
      <c r="Z941" s="105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42"/>
      <c r="AO941" s="42"/>
      <c r="AP941" s="36"/>
      <c r="AQ941" s="36"/>
      <c r="AR941" s="42"/>
      <c r="AS941" s="42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</row>
    <row r="942" spans="1:56" ht="15.75" x14ac:dyDescent="0.25">
      <c r="A942" s="44"/>
      <c r="B942" s="36"/>
      <c r="C942" s="36"/>
      <c r="D942" s="36"/>
      <c r="E942" s="36"/>
      <c r="F942" s="36"/>
      <c r="G942" s="36"/>
      <c r="H942" s="36"/>
      <c r="I942" s="36"/>
      <c r="J942" s="105"/>
      <c r="K942" s="36"/>
      <c r="L942" s="36"/>
      <c r="M942" s="36"/>
      <c r="N942" s="105"/>
      <c r="O942" s="36"/>
      <c r="P942" s="36"/>
      <c r="Q942" s="36"/>
      <c r="R942" s="105"/>
      <c r="S942" s="36"/>
      <c r="T942" s="36"/>
      <c r="U942" s="36"/>
      <c r="V942" s="105"/>
      <c r="W942" s="36"/>
      <c r="X942" s="36"/>
      <c r="Y942" s="36"/>
      <c r="Z942" s="105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42"/>
      <c r="AO942" s="42"/>
      <c r="AP942" s="36"/>
      <c r="AQ942" s="36"/>
      <c r="AR942" s="42"/>
      <c r="AS942" s="42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</row>
    <row r="943" spans="1:56" ht="15.75" x14ac:dyDescent="0.25">
      <c r="A943" s="44"/>
      <c r="B943" s="36"/>
      <c r="C943" s="36"/>
      <c r="D943" s="36"/>
      <c r="E943" s="36"/>
      <c r="F943" s="36"/>
      <c r="G943" s="36"/>
      <c r="H943" s="36"/>
      <c r="I943" s="36"/>
      <c r="J943" s="105"/>
      <c r="K943" s="36"/>
      <c r="L943" s="36"/>
      <c r="M943" s="36"/>
      <c r="N943" s="105"/>
      <c r="O943" s="36"/>
      <c r="P943" s="36"/>
      <c r="Q943" s="36"/>
      <c r="R943" s="105"/>
      <c r="S943" s="36"/>
      <c r="T943" s="36"/>
      <c r="U943" s="36"/>
      <c r="V943" s="105"/>
      <c r="W943" s="36"/>
      <c r="X943" s="36"/>
      <c r="Y943" s="36"/>
      <c r="Z943" s="105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42"/>
      <c r="AO943" s="42"/>
      <c r="AP943" s="36"/>
      <c r="AQ943" s="36"/>
      <c r="AR943" s="42"/>
      <c r="AS943" s="42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</row>
    <row r="944" spans="1:56" ht="15.75" x14ac:dyDescent="0.25">
      <c r="A944" s="44"/>
      <c r="B944" s="36"/>
      <c r="C944" s="36"/>
      <c r="D944" s="36"/>
      <c r="E944" s="36"/>
      <c r="F944" s="36"/>
      <c r="G944" s="36"/>
      <c r="H944" s="36"/>
      <c r="I944" s="36"/>
      <c r="J944" s="105"/>
      <c r="K944" s="36"/>
      <c r="L944" s="36"/>
      <c r="M944" s="36"/>
      <c r="N944" s="105"/>
      <c r="O944" s="36"/>
      <c r="P944" s="36"/>
      <c r="Q944" s="36"/>
      <c r="R944" s="105"/>
      <c r="S944" s="36"/>
      <c r="T944" s="36"/>
      <c r="U944" s="36"/>
      <c r="V944" s="105"/>
      <c r="W944" s="36"/>
      <c r="X944" s="36"/>
      <c r="Y944" s="36"/>
      <c r="Z944" s="105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42"/>
      <c r="AO944" s="42"/>
      <c r="AP944" s="36"/>
      <c r="AQ944" s="36"/>
      <c r="AR944" s="42"/>
      <c r="AS944" s="42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</row>
    <row r="945" spans="1:56" ht="15.75" x14ac:dyDescent="0.25">
      <c r="A945" s="44"/>
      <c r="B945" s="36"/>
      <c r="C945" s="36"/>
      <c r="D945" s="36"/>
      <c r="E945" s="36"/>
      <c r="F945" s="36"/>
      <c r="G945" s="36"/>
      <c r="H945" s="36"/>
      <c r="I945" s="36"/>
      <c r="J945" s="105"/>
      <c r="K945" s="36"/>
      <c r="L945" s="36"/>
      <c r="M945" s="36"/>
      <c r="N945" s="105"/>
      <c r="O945" s="36"/>
      <c r="P945" s="36"/>
      <c r="Q945" s="36"/>
      <c r="R945" s="105"/>
      <c r="S945" s="36"/>
      <c r="T945" s="36"/>
      <c r="U945" s="36"/>
      <c r="V945" s="105"/>
      <c r="W945" s="36"/>
      <c r="X945" s="36"/>
      <c r="Y945" s="36"/>
      <c r="Z945" s="105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42"/>
      <c r="AO945" s="42"/>
      <c r="AP945" s="36"/>
      <c r="AQ945" s="36"/>
      <c r="AR945" s="42"/>
      <c r="AS945" s="42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</row>
    <row r="946" spans="1:56" ht="15.75" x14ac:dyDescent="0.25">
      <c r="A946" s="44"/>
      <c r="B946" s="36"/>
      <c r="C946" s="36"/>
      <c r="D946" s="36"/>
      <c r="E946" s="36"/>
      <c r="F946" s="36"/>
      <c r="G946" s="36"/>
      <c r="H946" s="36"/>
      <c r="I946" s="36"/>
      <c r="J946" s="105"/>
      <c r="K946" s="36"/>
      <c r="L946" s="36"/>
      <c r="M946" s="36"/>
      <c r="N946" s="105"/>
      <c r="O946" s="36"/>
      <c r="P946" s="36"/>
      <c r="Q946" s="36"/>
      <c r="R946" s="105"/>
      <c r="S946" s="36"/>
      <c r="T946" s="36"/>
      <c r="U946" s="36"/>
      <c r="V946" s="105"/>
      <c r="W946" s="36"/>
      <c r="X946" s="36"/>
      <c r="Y946" s="36"/>
      <c r="Z946" s="105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42"/>
      <c r="AO946" s="42"/>
      <c r="AP946" s="36"/>
      <c r="AQ946" s="36"/>
      <c r="AR946" s="42"/>
      <c r="AS946" s="42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</row>
    <row r="947" spans="1:56" ht="15.75" x14ac:dyDescent="0.25">
      <c r="A947" s="44"/>
      <c r="B947" s="36"/>
      <c r="C947" s="36"/>
      <c r="D947" s="36"/>
      <c r="E947" s="36"/>
      <c r="F947" s="36"/>
      <c r="G947" s="36"/>
      <c r="H947" s="36"/>
      <c r="I947" s="36"/>
      <c r="J947" s="105"/>
      <c r="K947" s="36"/>
      <c r="L947" s="36"/>
      <c r="M947" s="36"/>
      <c r="N947" s="105"/>
      <c r="O947" s="36"/>
      <c r="P947" s="36"/>
      <c r="Q947" s="36"/>
      <c r="R947" s="105"/>
      <c r="S947" s="36"/>
      <c r="T947" s="36"/>
      <c r="U947" s="36"/>
      <c r="V947" s="105"/>
      <c r="W947" s="36"/>
      <c r="X947" s="36"/>
      <c r="Y947" s="36"/>
      <c r="Z947" s="105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42"/>
      <c r="AO947" s="42"/>
      <c r="AP947" s="36"/>
      <c r="AQ947" s="36"/>
      <c r="AR947" s="42"/>
      <c r="AS947" s="42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</row>
    <row r="948" spans="1:56" ht="15.75" x14ac:dyDescent="0.25">
      <c r="A948" s="44"/>
      <c r="B948" s="36"/>
      <c r="C948" s="36"/>
      <c r="D948" s="36"/>
      <c r="E948" s="36"/>
      <c r="F948" s="36"/>
      <c r="G948" s="36"/>
      <c r="H948" s="36"/>
      <c r="I948" s="36"/>
      <c r="J948" s="105"/>
      <c r="K948" s="36"/>
      <c r="L948" s="36"/>
      <c r="M948" s="36"/>
      <c r="N948" s="105"/>
      <c r="O948" s="36"/>
      <c r="P948" s="36"/>
      <c r="Q948" s="36"/>
      <c r="R948" s="105"/>
      <c r="S948" s="36"/>
      <c r="T948" s="36"/>
      <c r="U948" s="36"/>
      <c r="V948" s="105"/>
      <c r="W948" s="36"/>
      <c r="X948" s="36"/>
      <c r="Y948" s="36"/>
      <c r="Z948" s="105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42"/>
      <c r="AO948" s="42"/>
      <c r="AP948" s="36"/>
      <c r="AQ948" s="36"/>
      <c r="AR948" s="42"/>
      <c r="AS948" s="42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</row>
    <row r="949" spans="1:56" ht="15.75" x14ac:dyDescent="0.25">
      <c r="A949" s="44"/>
      <c r="B949" s="36"/>
      <c r="C949" s="36"/>
      <c r="D949" s="36"/>
      <c r="E949" s="36"/>
      <c r="F949" s="36"/>
      <c r="G949" s="36"/>
      <c r="H949" s="36"/>
      <c r="I949" s="36"/>
      <c r="J949" s="105"/>
      <c r="K949" s="36"/>
      <c r="L949" s="36"/>
      <c r="M949" s="36"/>
      <c r="N949" s="105"/>
      <c r="O949" s="36"/>
      <c r="P949" s="36"/>
      <c r="Q949" s="36"/>
      <c r="R949" s="105"/>
      <c r="S949" s="36"/>
      <c r="T949" s="36"/>
      <c r="U949" s="36"/>
      <c r="V949" s="105"/>
      <c r="W949" s="36"/>
      <c r="X949" s="36"/>
      <c r="Y949" s="36"/>
      <c r="Z949" s="105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42"/>
      <c r="AO949" s="42"/>
      <c r="AP949" s="36"/>
      <c r="AQ949" s="36"/>
      <c r="AR949" s="42"/>
      <c r="AS949" s="42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</row>
    <row r="950" spans="1:56" ht="15.75" x14ac:dyDescent="0.25">
      <c r="A950" s="44"/>
      <c r="B950" s="36"/>
      <c r="C950" s="36"/>
      <c r="D950" s="36"/>
      <c r="E950" s="36"/>
      <c r="F950" s="36"/>
      <c r="G950" s="36"/>
      <c r="H950" s="36"/>
      <c r="I950" s="36"/>
      <c r="J950" s="105"/>
      <c r="K950" s="36"/>
      <c r="L950" s="36"/>
      <c r="M950" s="36"/>
      <c r="N950" s="105"/>
      <c r="O950" s="36"/>
      <c r="P950" s="36"/>
      <c r="Q950" s="36"/>
      <c r="R950" s="105"/>
      <c r="S950" s="36"/>
      <c r="T950" s="36"/>
      <c r="U950" s="36"/>
      <c r="V950" s="105"/>
      <c r="W950" s="36"/>
      <c r="X950" s="36"/>
      <c r="Y950" s="36"/>
      <c r="Z950" s="105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42"/>
      <c r="AO950" s="42"/>
      <c r="AP950" s="36"/>
      <c r="AQ950" s="36"/>
      <c r="AR950" s="42"/>
      <c r="AS950" s="42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</row>
    <row r="951" spans="1:56" ht="15.75" x14ac:dyDescent="0.25">
      <c r="A951" s="44"/>
      <c r="B951" s="36"/>
      <c r="C951" s="36"/>
      <c r="D951" s="36"/>
      <c r="E951" s="36"/>
      <c r="F951" s="36"/>
      <c r="G951" s="36"/>
      <c r="H951" s="36"/>
      <c r="I951" s="36"/>
      <c r="J951" s="105"/>
      <c r="K951" s="36"/>
      <c r="L951" s="36"/>
      <c r="M951" s="36"/>
      <c r="N951" s="105"/>
      <c r="O951" s="36"/>
      <c r="P951" s="36"/>
      <c r="Q951" s="36"/>
      <c r="R951" s="105"/>
      <c r="S951" s="36"/>
      <c r="T951" s="36"/>
      <c r="U951" s="36"/>
      <c r="V951" s="105"/>
      <c r="W951" s="36"/>
      <c r="X951" s="36"/>
      <c r="Y951" s="36"/>
      <c r="Z951" s="105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42"/>
      <c r="AO951" s="42"/>
      <c r="AP951" s="36"/>
      <c r="AQ951" s="36"/>
      <c r="AR951" s="42"/>
      <c r="AS951" s="42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</row>
    <row r="952" spans="1:56" ht="15.75" x14ac:dyDescent="0.25">
      <c r="A952" s="44"/>
      <c r="B952" s="36"/>
      <c r="C952" s="36"/>
      <c r="D952" s="36"/>
      <c r="E952" s="36"/>
      <c r="F952" s="36"/>
      <c r="G952" s="36"/>
      <c r="H952" s="36"/>
      <c r="I952" s="36"/>
      <c r="J952" s="105"/>
      <c r="K952" s="36"/>
      <c r="L952" s="36"/>
      <c r="M952" s="36"/>
      <c r="N952" s="105"/>
      <c r="O952" s="36"/>
      <c r="P952" s="36"/>
      <c r="Q952" s="36"/>
      <c r="R952" s="105"/>
      <c r="S952" s="36"/>
      <c r="T952" s="36"/>
      <c r="U952" s="36"/>
      <c r="V952" s="105"/>
      <c r="W952" s="36"/>
      <c r="X952" s="36"/>
      <c r="Y952" s="36"/>
      <c r="Z952" s="105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42"/>
      <c r="AO952" s="42"/>
      <c r="AP952" s="36"/>
      <c r="AQ952" s="36"/>
      <c r="AR952" s="42"/>
      <c r="AS952" s="42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</row>
    <row r="953" spans="1:56" ht="15.75" x14ac:dyDescent="0.25">
      <c r="A953" s="44"/>
      <c r="B953" s="36"/>
      <c r="C953" s="36"/>
      <c r="D953" s="36"/>
      <c r="E953" s="36"/>
      <c r="F953" s="36"/>
      <c r="G953" s="36"/>
      <c r="H953" s="36"/>
      <c r="I953" s="36"/>
      <c r="J953" s="105"/>
      <c r="K953" s="36"/>
      <c r="L953" s="36"/>
      <c r="M953" s="36"/>
      <c r="N953" s="105"/>
      <c r="O953" s="36"/>
      <c r="P953" s="36"/>
      <c r="Q953" s="36"/>
      <c r="R953" s="105"/>
      <c r="S953" s="36"/>
      <c r="T953" s="36"/>
      <c r="U953" s="36"/>
      <c r="V953" s="105"/>
      <c r="W953" s="36"/>
      <c r="X953" s="36"/>
      <c r="Y953" s="36"/>
      <c r="Z953" s="105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42"/>
      <c r="AO953" s="42"/>
      <c r="AP953" s="36"/>
      <c r="AQ953" s="36"/>
      <c r="AR953" s="42"/>
      <c r="AS953" s="42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</row>
    <row r="954" spans="1:56" ht="15.75" x14ac:dyDescent="0.25">
      <c r="A954" s="44"/>
      <c r="B954" s="36"/>
      <c r="C954" s="36"/>
      <c r="D954" s="36"/>
      <c r="E954" s="36"/>
      <c r="F954" s="36"/>
      <c r="G954" s="36"/>
      <c r="H954" s="36"/>
      <c r="I954" s="36"/>
      <c r="J954" s="105"/>
      <c r="K954" s="36"/>
      <c r="L954" s="36"/>
      <c r="M954" s="36"/>
      <c r="N954" s="105"/>
      <c r="O954" s="36"/>
      <c r="P954" s="36"/>
      <c r="Q954" s="36"/>
      <c r="R954" s="105"/>
      <c r="S954" s="36"/>
      <c r="T954" s="36"/>
      <c r="U954" s="36"/>
      <c r="V954" s="105"/>
      <c r="W954" s="36"/>
      <c r="X954" s="36"/>
      <c r="Y954" s="36"/>
      <c r="Z954" s="105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42"/>
      <c r="AO954" s="42"/>
      <c r="AP954" s="36"/>
      <c r="AQ954" s="36"/>
      <c r="AR954" s="42"/>
      <c r="AS954" s="42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</row>
    <row r="955" spans="1:56" ht="15.75" x14ac:dyDescent="0.25">
      <c r="A955" s="44"/>
      <c r="B955" s="36"/>
      <c r="C955" s="36"/>
      <c r="D955" s="36"/>
      <c r="E955" s="36"/>
      <c r="F955" s="36"/>
      <c r="G955" s="36"/>
      <c r="H955" s="36"/>
      <c r="I955" s="36"/>
      <c r="J955" s="105"/>
      <c r="K955" s="36"/>
      <c r="L955" s="36"/>
      <c r="M955" s="36"/>
      <c r="N955" s="105"/>
      <c r="O955" s="36"/>
      <c r="P955" s="36"/>
      <c r="Q955" s="36"/>
      <c r="R955" s="105"/>
      <c r="S955" s="36"/>
      <c r="T955" s="36"/>
      <c r="U955" s="36"/>
      <c r="V955" s="105"/>
      <c r="W955" s="36"/>
      <c r="X955" s="36"/>
      <c r="Y955" s="36"/>
      <c r="Z955" s="105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42"/>
      <c r="AO955" s="42"/>
      <c r="AP955" s="36"/>
      <c r="AQ955" s="36"/>
      <c r="AR955" s="42"/>
      <c r="AS955" s="42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</row>
    <row r="956" spans="1:56" ht="15.75" x14ac:dyDescent="0.25">
      <c r="A956" s="44"/>
      <c r="B956" s="36"/>
      <c r="C956" s="36"/>
      <c r="D956" s="36"/>
      <c r="E956" s="36"/>
      <c r="F956" s="36"/>
      <c r="G956" s="36"/>
      <c r="H956" s="36"/>
      <c r="I956" s="36"/>
      <c r="J956" s="105"/>
      <c r="K956" s="36"/>
      <c r="L956" s="36"/>
      <c r="M956" s="36"/>
      <c r="N956" s="105"/>
      <c r="O956" s="36"/>
      <c r="P956" s="36"/>
      <c r="Q956" s="36"/>
      <c r="R956" s="105"/>
      <c r="S956" s="36"/>
      <c r="T956" s="36"/>
      <c r="U956" s="36"/>
      <c r="V956" s="105"/>
      <c r="W956" s="36"/>
      <c r="X956" s="36"/>
      <c r="Y956" s="36"/>
      <c r="Z956" s="105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42"/>
      <c r="AO956" s="42"/>
      <c r="AP956" s="36"/>
      <c r="AQ956" s="36"/>
      <c r="AR956" s="42"/>
      <c r="AS956" s="42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</row>
    <row r="957" spans="1:56" ht="15.75" x14ac:dyDescent="0.25">
      <c r="A957" s="44"/>
      <c r="B957" s="36"/>
      <c r="C957" s="36"/>
      <c r="D957" s="36"/>
      <c r="E957" s="36"/>
      <c r="F957" s="36"/>
      <c r="G957" s="36"/>
      <c r="H957" s="36"/>
      <c r="I957" s="36"/>
      <c r="J957" s="105"/>
      <c r="K957" s="36"/>
      <c r="L957" s="36"/>
      <c r="M957" s="36"/>
      <c r="N957" s="105"/>
      <c r="O957" s="36"/>
      <c r="P957" s="36"/>
      <c r="Q957" s="36"/>
      <c r="R957" s="105"/>
      <c r="S957" s="36"/>
      <c r="T957" s="36"/>
      <c r="U957" s="36"/>
      <c r="V957" s="105"/>
      <c r="W957" s="36"/>
      <c r="X957" s="36"/>
      <c r="Y957" s="36"/>
      <c r="Z957" s="105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42"/>
      <c r="AO957" s="42"/>
      <c r="AP957" s="36"/>
      <c r="AQ957" s="36"/>
      <c r="AR957" s="42"/>
      <c r="AS957" s="42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</row>
    <row r="958" spans="1:56" ht="15.75" x14ac:dyDescent="0.25">
      <c r="A958" s="44"/>
      <c r="B958" s="36"/>
      <c r="C958" s="36"/>
      <c r="D958" s="36"/>
      <c r="E958" s="36"/>
      <c r="F958" s="36"/>
      <c r="G958" s="36"/>
      <c r="H958" s="36"/>
      <c r="I958" s="36"/>
      <c r="J958" s="105"/>
      <c r="K958" s="36"/>
      <c r="L958" s="36"/>
      <c r="M958" s="36"/>
      <c r="N958" s="105"/>
      <c r="O958" s="36"/>
      <c r="P958" s="36"/>
      <c r="Q958" s="36"/>
      <c r="R958" s="105"/>
      <c r="S958" s="36"/>
      <c r="T958" s="36"/>
      <c r="U958" s="36"/>
      <c r="V958" s="105"/>
      <c r="W958" s="36"/>
      <c r="X958" s="36"/>
      <c r="Y958" s="36"/>
      <c r="Z958" s="105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42"/>
      <c r="AO958" s="42"/>
      <c r="AP958" s="36"/>
      <c r="AQ958" s="36"/>
      <c r="AR958" s="42"/>
      <c r="AS958" s="42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</row>
    <row r="959" spans="1:56" ht="15.75" x14ac:dyDescent="0.25">
      <c r="A959" s="44"/>
      <c r="B959" s="36"/>
      <c r="C959" s="36"/>
      <c r="D959" s="36"/>
      <c r="E959" s="36"/>
      <c r="F959" s="36"/>
      <c r="G959" s="36"/>
      <c r="H959" s="36"/>
      <c r="I959" s="36"/>
      <c r="J959" s="105"/>
      <c r="K959" s="36"/>
      <c r="L959" s="36"/>
      <c r="M959" s="36"/>
      <c r="N959" s="105"/>
      <c r="O959" s="36"/>
      <c r="P959" s="36"/>
      <c r="Q959" s="36"/>
      <c r="R959" s="105"/>
      <c r="S959" s="36"/>
      <c r="T959" s="36"/>
      <c r="U959" s="36"/>
      <c r="V959" s="105"/>
      <c r="W959" s="36"/>
      <c r="X959" s="36"/>
      <c r="Y959" s="36"/>
      <c r="Z959" s="105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42"/>
      <c r="AO959" s="42"/>
      <c r="AP959" s="36"/>
      <c r="AQ959" s="36"/>
      <c r="AR959" s="42"/>
      <c r="AS959" s="42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</row>
    <row r="960" spans="1:56" ht="15.75" x14ac:dyDescent="0.25">
      <c r="A960" s="44"/>
      <c r="B960" s="36"/>
      <c r="C960" s="36"/>
      <c r="D960" s="36"/>
      <c r="E960" s="36"/>
      <c r="F960" s="36"/>
      <c r="G960" s="36"/>
      <c r="H960" s="36"/>
      <c r="I960" s="36"/>
      <c r="J960" s="105"/>
      <c r="K960" s="36"/>
      <c r="L960" s="36"/>
      <c r="M960" s="36"/>
      <c r="N960" s="105"/>
      <c r="O960" s="36"/>
      <c r="P960" s="36"/>
      <c r="Q960" s="36"/>
      <c r="R960" s="105"/>
      <c r="S960" s="36"/>
      <c r="T960" s="36"/>
      <c r="U960" s="36"/>
      <c r="V960" s="105"/>
      <c r="W960" s="36"/>
      <c r="X960" s="36"/>
      <c r="Y960" s="36"/>
      <c r="Z960" s="105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42"/>
      <c r="AO960" s="42"/>
      <c r="AP960" s="36"/>
      <c r="AQ960" s="36"/>
      <c r="AR960" s="42"/>
      <c r="AS960" s="42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</row>
    <row r="961" spans="1:56" ht="15.75" x14ac:dyDescent="0.25">
      <c r="A961" s="44"/>
      <c r="B961" s="36"/>
      <c r="C961" s="36"/>
      <c r="D961" s="36"/>
      <c r="E961" s="36"/>
      <c r="F961" s="36"/>
      <c r="G961" s="36"/>
      <c r="H961" s="36"/>
      <c r="I961" s="36"/>
      <c r="J961" s="105"/>
      <c r="K961" s="36"/>
      <c r="L961" s="36"/>
      <c r="M961" s="36"/>
      <c r="N961" s="105"/>
      <c r="O961" s="36"/>
      <c r="P961" s="36"/>
      <c r="Q961" s="36"/>
      <c r="R961" s="105"/>
      <c r="S961" s="36"/>
      <c r="T961" s="36"/>
      <c r="U961" s="36"/>
      <c r="V961" s="105"/>
      <c r="W961" s="36"/>
      <c r="X961" s="36"/>
      <c r="Y961" s="36"/>
      <c r="Z961" s="105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42"/>
      <c r="AO961" s="42"/>
      <c r="AP961" s="36"/>
      <c r="AQ961" s="36"/>
      <c r="AR961" s="42"/>
      <c r="AS961" s="42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</row>
    <row r="962" spans="1:56" ht="15.75" x14ac:dyDescent="0.25">
      <c r="A962" s="44"/>
      <c r="B962" s="36"/>
      <c r="C962" s="36"/>
      <c r="D962" s="36"/>
      <c r="E962" s="36"/>
      <c r="F962" s="36"/>
      <c r="G962" s="36"/>
      <c r="H962" s="36"/>
      <c r="I962" s="36"/>
      <c r="J962" s="105"/>
      <c r="K962" s="36"/>
      <c r="L962" s="36"/>
      <c r="M962" s="36"/>
      <c r="N962" s="105"/>
      <c r="O962" s="36"/>
      <c r="P962" s="36"/>
      <c r="Q962" s="36"/>
      <c r="R962" s="105"/>
      <c r="S962" s="36"/>
      <c r="T962" s="36"/>
      <c r="U962" s="36"/>
      <c r="V962" s="105"/>
      <c r="W962" s="36"/>
      <c r="X962" s="36"/>
      <c r="Y962" s="36"/>
      <c r="Z962" s="105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42"/>
      <c r="AO962" s="42"/>
      <c r="AP962" s="36"/>
      <c r="AQ962" s="36"/>
      <c r="AR962" s="42"/>
      <c r="AS962" s="42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</row>
    <row r="963" spans="1:56" ht="15.75" x14ac:dyDescent="0.25">
      <c r="A963" s="44"/>
      <c r="B963" s="36"/>
      <c r="C963" s="36"/>
      <c r="D963" s="36"/>
      <c r="E963" s="36"/>
      <c r="F963" s="36"/>
      <c r="G963" s="36"/>
      <c r="H963" s="36"/>
      <c r="I963" s="36"/>
      <c r="J963" s="105"/>
      <c r="K963" s="36"/>
      <c r="L963" s="36"/>
      <c r="M963" s="36"/>
      <c r="N963" s="105"/>
      <c r="O963" s="36"/>
      <c r="P963" s="36"/>
      <c r="Q963" s="36"/>
      <c r="R963" s="105"/>
      <c r="S963" s="36"/>
      <c r="T963" s="36"/>
      <c r="U963" s="36"/>
      <c r="V963" s="105"/>
      <c r="W963" s="36"/>
      <c r="X963" s="36"/>
      <c r="Y963" s="36"/>
      <c r="Z963" s="105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42"/>
      <c r="AO963" s="42"/>
      <c r="AP963" s="36"/>
      <c r="AQ963" s="36"/>
      <c r="AR963" s="42"/>
      <c r="AS963" s="42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</row>
    <row r="964" spans="1:56" ht="15.75" x14ac:dyDescent="0.25">
      <c r="A964" s="44"/>
      <c r="B964" s="36"/>
      <c r="C964" s="36"/>
      <c r="D964" s="36"/>
      <c r="E964" s="36"/>
      <c r="F964" s="36"/>
      <c r="G964" s="36"/>
      <c r="H964" s="36"/>
      <c r="I964" s="36"/>
      <c r="J964" s="105"/>
      <c r="K964" s="36"/>
      <c r="L964" s="36"/>
      <c r="M964" s="36"/>
      <c r="N964" s="105"/>
      <c r="O964" s="36"/>
      <c r="P964" s="36"/>
      <c r="Q964" s="36"/>
      <c r="R964" s="105"/>
      <c r="S964" s="36"/>
      <c r="T964" s="36"/>
      <c r="U964" s="36"/>
      <c r="V964" s="105"/>
      <c r="W964" s="36"/>
      <c r="X964" s="36"/>
      <c r="Y964" s="36"/>
      <c r="Z964" s="105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42"/>
      <c r="AO964" s="42"/>
      <c r="AP964" s="36"/>
      <c r="AQ964" s="36"/>
      <c r="AR964" s="42"/>
      <c r="AS964" s="42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</row>
    <row r="965" spans="1:56" ht="15.75" x14ac:dyDescent="0.25">
      <c r="A965" s="44"/>
      <c r="B965" s="36"/>
      <c r="C965" s="36"/>
      <c r="D965" s="36"/>
      <c r="E965" s="36"/>
      <c r="F965" s="36"/>
      <c r="G965" s="36"/>
      <c r="H965" s="36"/>
      <c r="I965" s="36"/>
      <c r="J965" s="105"/>
      <c r="K965" s="36"/>
      <c r="L965" s="36"/>
      <c r="M965" s="36"/>
      <c r="N965" s="105"/>
      <c r="O965" s="36"/>
      <c r="P965" s="36"/>
      <c r="Q965" s="36"/>
      <c r="R965" s="105"/>
      <c r="S965" s="36"/>
      <c r="T965" s="36"/>
      <c r="U965" s="36"/>
      <c r="V965" s="105"/>
      <c r="W965" s="36"/>
      <c r="X965" s="36"/>
      <c r="Y965" s="36"/>
      <c r="Z965" s="105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42"/>
      <c r="AO965" s="42"/>
      <c r="AP965" s="36"/>
      <c r="AQ965" s="36"/>
      <c r="AR965" s="42"/>
      <c r="AS965" s="42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</row>
    <row r="966" spans="1:56" ht="15.75" x14ac:dyDescent="0.25">
      <c r="A966" s="44"/>
      <c r="B966" s="36"/>
      <c r="C966" s="36"/>
      <c r="D966" s="36"/>
      <c r="E966" s="36"/>
      <c r="F966" s="36"/>
      <c r="G966" s="36"/>
      <c r="H966" s="36"/>
      <c r="I966" s="36"/>
      <c r="J966" s="105"/>
      <c r="K966" s="36"/>
      <c r="L966" s="36"/>
      <c r="M966" s="36"/>
      <c r="N966" s="105"/>
      <c r="O966" s="36"/>
      <c r="P966" s="36"/>
      <c r="Q966" s="36"/>
      <c r="R966" s="105"/>
      <c r="S966" s="36"/>
      <c r="T966" s="36"/>
      <c r="U966" s="36"/>
      <c r="V966" s="105"/>
      <c r="W966" s="36"/>
      <c r="X966" s="36"/>
      <c r="Y966" s="36"/>
      <c r="Z966" s="105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42"/>
      <c r="AO966" s="42"/>
      <c r="AP966" s="36"/>
      <c r="AQ966" s="36"/>
      <c r="AR966" s="42"/>
      <c r="AS966" s="42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</row>
    <row r="967" spans="1:56" ht="15.75" x14ac:dyDescent="0.25">
      <c r="A967" s="44"/>
      <c r="B967" s="36"/>
      <c r="C967" s="36"/>
      <c r="D967" s="36"/>
      <c r="E967" s="36"/>
      <c r="F967" s="36"/>
      <c r="G967" s="36"/>
      <c r="H967" s="36"/>
      <c r="I967" s="36"/>
      <c r="J967" s="105"/>
      <c r="K967" s="36"/>
      <c r="L967" s="36"/>
      <c r="M967" s="36"/>
      <c r="N967" s="105"/>
      <c r="O967" s="36"/>
      <c r="P967" s="36"/>
      <c r="Q967" s="36"/>
      <c r="R967" s="105"/>
      <c r="S967" s="36"/>
      <c r="T967" s="36"/>
      <c r="U967" s="36"/>
      <c r="V967" s="105"/>
      <c r="W967" s="36"/>
      <c r="X967" s="36"/>
      <c r="Y967" s="36"/>
      <c r="Z967" s="105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42"/>
      <c r="AO967" s="42"/>
      <c r="AP967" s="36"/>
      <c r="AQ967" s="36"/>
      <c r="AR967" s="42"/>
      <c r="AS967" s="42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</row>
    <row r="968" spans="1:56" ht="15.75" x14ac:dyDescent="0.25">
      <c r="A968" s="44"/>
      <c r="B968" s="36"/>
      <c r="C968" s="36"/>
      <c r="D968" s="36"/>
      <c r="E968" s="36"/>
      <c r="F968" s="36"/>
      <c r="G968" s="36"/>
      <c r="H968" s="36"/>
      <c r="I968" s="36"/>
      <c r="J968" s="105"/>
      <c r="K968" s="36"/>
      <c r="L968" s="36"/>
      <c r="M968" s="36"/>
      <c r="N968" s="105"/>
      <c r="O968" s="36"/>
      <c r="P968" s="36"/>
      <c r="Q968" s="36"/>
      <c r="R968" s="105"/>
      <c r="S968" s="36"/>
      <c r="T968" s="36"/>
      <c r="U968" s="36"/>
      <c r="V968" s="105"/>
      <c r="W968" s="36"/>
      <c r="X968" s="36"/>
      <c r="Y968" s="36"/>
      <c r="Z968" s="105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42"/>
      <c r="AO968" s="42"/>
      <c r="AP968" s="36"/>
      <c r="AQ968" s="36"/>
      <c r="AR968" s="42"/>
      <c r="AS968" s="42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</row>
    <row r="969" spans="1:56" ht="15.75" x14ac:dyDescent="0.25">
      <c r="A969" s="44"/>
      <c r="B969" s="36"/>
      <c r="C969" s="36"/>
      <c r="D969" s="36"/>
      <c r="E969" s="36"/>
      <c r="F969" s="36"/>
      <c r="G969" s="36"/>
      <c r="H969" s="36"/>
      <c r="I969" s="36"/>
      <c r="J969" s="105"/>
      <c r="K969" s="36"/>
      <c r="L969" s="36"/>
      <c r="M969" s="36"/>
      <c r="N969" s="105"/>
      <c r="O969" s="36"/>
      <c r="P969" s="36"/>
      <c r="Q969" s="36"/>
      <c r="R969" s="105"/>
      <c r="S969" s="36"/>
      <c r="T969" s="36"/>
      <c r="U969" s="36"/>
      <c r="V969" s="105"/>
      <c r="W969" s="36"/>
      <c r="X969" s="36"/>
      <c r="Y969" s="36"/>
      <c r="Z969" s="105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42"/>
      <c r="AO969" s="42"/>
      <c r="AP969" s="36"/>
      <c r="AQ969" s="36"/>
      <c r="AR969" s="42"/>
      <c r="AS969" s="42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</row>
    <row r="970" spans="1:56" ht="15.75" x14ac:dyDescent="0.25">
      <c r="A970" s="44"/>
      <c r="B970" s="36"/>
      <c r="C970" s="36"/>
      <c r="D970" s="36"/>
      <c r="E970" s="36"/>
      <c r="F970" s="36"/>
      <c r="G970" s="36"/>
      <c r="H970" s="36"/>
      <c r="I970" s="36"/>
      <c r="J970" s="105"/>
      <c r="K970" s="36"/>
      <c r="L970" s="36"/>
      <c r="M970" s="36"/>
      <c r="N970" s="105"/>
      <c r="O970" s="36"/>
      <c r="P970" s="36"/>
      <c r="Q970" s="36"/>
      <c r="R970" s="105"/>
      <c r="S970" s="36"/>
      <c r="T970" s="36"/>
      <c r="U970" s="36"/>
      <c r="V970" s="105"/>
      <c r="W970" s="36"/>
      <c r="X970" s="36"/>
      <c r="Y970" s="36"/>
      <c r="Z970" s="105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42"/>
      <c r="AO970" s="42"/>
      <c r="AP970" s="36"/>
      <c r="AQ970" s="36"/>
      <c r="AR970" s="42"/>
      <c r="AS970" s="42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</row>
    <row r="971" spans="1:56" ht="15.75" x14ac:dyDescent="0.25">
      <c r="A971" s="44"/>
      <c r="B971" s="36"/>
      <c r="C971" s="36"/>
      <c r="D971" s="36"/>
      <c r="E971" s="36"/>
      <c r="F971" s="36"/>
      <c r="G971" s="36"/>
      <c r="H971" s="36"/>
      <c r="I971" s="36"/>
      <c r="J971" s="105"/>
      <c r="K971" s="36"/>
      <c r="L971" s="36"/>
      <c r="M971" s="36"/>
      <c r="N971" s="105"/>
      <c r="O971" s="36"/>
      <c r="P971" s="36"/>
      <c r="Q971" s="36"/>
      <c r="R971" s="105"/>
      <c r="S971" s="36"/>
      <c r="T971" s="36"/>
      <c r="U971" s="36"/>
      <c r="V971" s="105"/>
      <c r="W971" s="36"/>
      <c r="X971" s="36"/>
      <c r="Y971" s="36"/>
      <c r="Z971" s="105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42"/>
      <c r="AO971" s="42"/>
      <c r="AP971" s="36"/>
      <c r="AQ971" s="36"/>
      <c r="AR971" s="42"/>
      <c r="AS971" s="42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</row>
    <row r="972" spans="1:56" ht="15.75" x14ac:dyDescent="0.25">
      <c r="A972" s="44"/>
      <c r="B972" s="36"/>
      <c r="C972" s="36"/>
      <c r="D972" s="36"/>
      <c r="E972" s="36"/>
      <c r="F972" s="36"/>
      <c r="G972" s="36"/>
      <c r="H972" s="36"/>
      <c r="I972" s="36"/>
      <c r="J972" s="105"/>
      <c r="K972" s="36"/>
      <c r="L972" s="36"/>
      <c r="M972" s="36"/>
      <c r="N972" s="105"/>
      <c r="O972" s="36"/>
      <c r="P972" s="36"/>
      <c r="Q972" s="36"/>
      <c r="R972" s="105"/>
      <c r="S972" s="36"/>
      <c r="T972" s="36"/>
      <c r="U972" s="36"/>
      <c r="V972" s="105"/>
      <c r="W972" s="36"/>
      <c r="X972" s="36"/>
      <c r="Y972" s="36"/>
      <c r="Z972" s="105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42"/>
      <c r="AO972" s="42"/>
      <c r="AP972" s="36"/>
      <c r="AQ972" s="36"/>
      <c r="AR972" s="42"/>
      <c r="AS972" s="42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</row>
    <row r="973" spans="1:56" ht="15.75" x14ac:dyDescent="0.25">
      <c r="A973" s="44"/>
      <c r="B973" s="36"/>
      <c r="C973" s="36"/>
      <c r="D973" s="36"/>
      <c r="E973" s="36"/>
      <c r="F973" s="36"/>
      <c r="G973" s="36"/>
      <c r="H973" s="36"/>
      <c r="I973" s="36"/>
      <c r="J973" s="105"/>
      <c r="K973" s="36"/>
      <c r="L973" s="36"/>
      <c r="M973" s="36"/>
      <c r="N973" s="105"/>
      <c r="O973" s="36"/>
      <c r="P973" s="36"/>
      <c r="Q973" s="36"/>
      <c r="R973" s="105"/>
      <c r="S973" s="36"/>
      <c r="T973" s="36"/>
      <c r="U973" s="36"/>
      <c r="V973" s="105"/>
      <c r="W973" s="36"/>
      <c r="X973" s="36"/>
      <c r="Y973" s="36"/>
      <c r="Z973" s="105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42"/>
      <c r="AO973" s="42"/>
      <c r="AP973" s="36"/>
      <c r="AQ973" s="36"/>
      <c r="AR973" s="42"/>
      <c r="AS973" s="42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</row>
    <row r="974" spans="1:56" ht="15.75" x14ac:dyDescent="0.25">
      <c r="A974" s="44"/>
      <c r="B974" s="36"/>
      <c r="C974" s="36"/>
      <c r="D974" s="36"/>
      <c r="E974" s="36"/>
      <c r="F974" s="36"/>
      <c r="G974" s="36"/>
      <c r="H974" s="36"/>
      <c r="I974" s="36"/>
      <c r="J974" s="105"/>
      <c r="K974" s="36"/>
      <c r="L974" s="36"/>
      <c r="M974" s="36"/>
      <c r="N974" s="105"/>
      <c r="O974" s="36"/>
      <c r="P974" s="36"/>
      <c r="Q974" s="36"/>
      <c r="R974" s="105"/>
      <c r="S974" s="36"/>
      <c r="T974" s="36"/>
      <c r="U974" s="36"/>
      <c r="V974" s="105"/>
      <c r="W974" s="36"/>
      <c r="X974" s="36"/>
      <c r="Y974" s="36"/>
      <c r="Z974" s="105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42"/>
      <c r="AO974" s="42"/>
      <c r="AP974" s="36"/>
      <c r="AQ974" s="36"/>
      <c r="AR974" s="42"/>
      <c r="AS974" s="42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</row>
    <row r="975" spans="1:56" ht="15.75" x14ac:dyDescent="0.25">
      <c r="A975" s="44"/>
      <c r="B975" s="36"/>
      <c r="C975" s="36"/>
      <c r="D975" s="36"/>
      <c r="E975" s="36"/>
      <c r="F975" s="36"/>
      <c r="G975" s="36"/>
      <c r="H975" s="36"/>
      <c r="I975" s="36"/>
      <c r="J975" s="105"/>
      <c r="K975" s="36"/>
      <c r="L975" s="36"/>
      <c r="M975" s="36"/>
      <c r="N975" s="105"/>
      <c r="O975" s="36"/>
      <c r="P975" s="36"/>
      <c r="Q975" s="36"/>
      <c r="R975" s="105"/>
      <c r="S975" s="36"/>
      <c r="T975" s="36"/>
      <c r="U975" s="36"/>
      <c r="V975" s="105"/>
      <c r="W975" s="36"/>
      <c r="X975" s="36"/>
      <c r="Y975" s="36"/>
      <c r="Z975" s="105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42"/>
      <c r="AO975" s="42"/>
      <c r="AP975" s="36"/>
      <c r="AQ975" s="36"/>
      <c r="AR975" s="42"/>
      <c r="AS975" s="42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</row>
    <row r="976" spans="1:56" ht="15.75" x14ac:dyDescent="0.25">
      <c r="A976" s="44"/>
      <c r="B976" s="36"/>
      <c r="C976" s="36"/>
      <c r="D976" s="36"/>
      <c r="E976" s="36"/>
      <c r="F976" s="36"/>
      <c r="G976" s="36"/>
      <c r="H976" s="36"/>
      <c r="I976" s="36"/>
      <c r="J976" s="105"/>
      <c r="K976" s="36"/>
      <c r="L976" s="36"/>
      <c r="M976" s="36"/>
      <c r="N976" s="105"/>
      <c r="O976" s="36"/>
      <c r="P976" s="36"/>
      <c r="Q976" s="36"/>
      <c r="R976" s="105"/>
      <c r="S976" s="36"/>
      <c r="T976" s="36"/>
      <c r="U976" s="36"/>
      <c r="V976" s="105"/>
      <c r="W976" s="36"/>
      <c r="X976" s="36"/>
      <c r="Y976" s="36"/>
      <c r="Z976" s="105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42"/>
      <c r="AO976" s="42"/>
      <c r="AP976" s="36"/>
      <c r="AQ976" s="36"/>
      <c r="AR976" s="42"/>
      <c r="AS976" s="42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</row>
    <row r="977" spans="1:56" ht="15.75" x14ac:dyDescent="0.25">
      <c r="A977" s="44"/>
      <c r="B977" s="36"/>
      <c r="C977" s="36"/>
      <c r="D977" s="36"/>
      <c r="E977" s="36"/>
      <c r="F977" s="36"/>
      <c r="G977" s="36"/>
      <c r="H977" s="36"/>
      <c r="I977" s="36"/>
      <c r="J977" s="105"/>
      <c r="K977" s="36"/>
      <c r="L977" s="36"/>
      <c r="M977" s="36"/>
      <c r="N977" s="105"/>
      <c r="O977" s="36"/>
      <c r="P977" s="36"/>
      <c r="Q977" s="36"/>
      <c r="R977" s="105"/>
      <c r="S977" s="36"/>
      <c r="T977" s="36"/>
      <c r="U977" s="36"/>
      <c r="V977" s="105"/>
      <c r="W977" s="36"/>
      <c r="X977" s="36"/>
      <c r="Y977" s="36"/>
      <c r="Z977" s="105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42"/>
      <c r="AO977" s="42"/>
      <c r="AP977" s="36"/>
      <c r="AQ977" s="36"/>
      <c r="AR977" s="42"/>
      <c r="AS977" s="42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</row>
    <row r="978" spans="1:56" ht="15.75" x14ac:dyDescent="0.25">
      <c r="A978" s="44"/>
      <c r="B978" s="36"/>
      <c r="C978" s="36"/>
      <c r="D978" s="36"/>
      <c r="E978" s="36"/>
      <c r="F978" s="36"/>
      <c r="G978" s="36"/>
      <c r="H978" s="36"/>
      <c r="I978" s="36"/>
      <c r="J978" s="105"/>
      <c r="K978" s="36"/>
      <c r="L978" s="36"/>
      <c r="M978" s="36"/>
      <c r="N978" s="105"/>
      <c r="O978" s="36"/>
      <c r="P978" s="36"/>
      <c r="Q978" s="36"/>
      <c r="R978" s="105"/>
      <c r="S978" s="36"/>
      <c r="T978" s="36"/>
      <c r="U978" s="36"/>
      <c r="V978" s="105"/>
      <c r="W978" s="36"/>
      <c r="X978" s="36"/>
      <c r="Y978" s="36"/>
      <c r="Z978" s="105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42"/>
      <c r="AO978" s="42"/>
      <c r="AP978" s="36"/>
      <c r="AQ978" s="36"/>
      <c r="AR978" s="42"/>
      <c r="AS978" s="42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</row>
    <row r="979" spans="1:56" ht="15.75" x14ac:dyDescent="0.25">
      <c r="A979" s="44"/>
      <c r="B979" s="36"/>
      <c r="C979" s="36"/>
      <c r="D979" s="36"/>
      <c r="E979" s="36"/>
      <c r="F979" s="36"/>
      <c r="G979" s="36"/>
      <c r="H979" s="36"/>
      <c r="I979" s="36"/>
      <c r="J979" s="105"/>
      <c r="K979" s="36"/>
      <c r="L979" s="36"/>
      <c r="M979" s="36"/>
      <c r="N979" s="105"/>
      <c r="O979" s="36"/>
      <c r="P979" s="36"/>
      <c r="Q979" s="36"/>
      <c r="R979" s="105"/>
      <c r="S979" s="36"/>
      <c r="T979" s="36"/>
      <c r="U979" s="36"/>
      <c r="V979" s="105"/>
      <c r="W979" s="36"/>
      <c r="X979" s="36"/>
      <c r="Y979" s="36"/>
      <c r="Z979" s="105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42"/>
      <c r="AO979" s="42"/>
      <c r="AP979" s="36"/>
      <c r="AQ979" s="36"/>
      <c r="AR979" s="42"/>
      <c r="AS979" s="42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</row>
    <row r="980" spans="1:56" ht="15.75" x14ac:dyDescent="0.25">
      <c r="A980" s="44"/>
      <c r="B980" s="36"/>
      <c r="C980" s="36"/>
      <c r="D980" s="36"/>
      <c r="E980" s="36"/>
      <c r="F980" s="36"/>
      <c r="G980" s="36"/>
      <c r="H980" s="36"/>
      <c r="I980" s="36"/>
      <c r="J980" s="105"/>
      <c r="K980" s="36"/>
      <c r="L980" s="36"/>
      <c r="M980" s="36"/>
      <c r="N980" s="105"/>
      <c r="O980" s="36"/>
      <c r="P980" s="36"/>
      <c r="Q980" s="36"/>
      <c r="R980" s="105"/>
      <c r="S980" s="36"/>
      <c r="T980" s="36"/>
      <c r="U980" s="36"/>
      <c r="V980" s="105"/>
      <c r="W980" s="36"/>
      <c r="X980" s="36"/>
      <c r="Y980" s="36"/>
      <c r="Z980" s="105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42"/>
      <c r="AO980" s="42"/>
      <c r="AP980" s="36"/>
      <c r="AQ980" s="36"/>
      <c r="AR980" s="42"/>
      <c r="AS980" s="42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</row>
    <row r="981" spans="1:56" ht="15.75" x14ac:dyDescent="0.25">
      <c r="A981" s="44"/>
      <c r="B981" s="36"/>
      <c r="C981" s="36"/>
      <c r="D981" s="36"/>
      <c r="E981" s="36"/>
      <c r="F981" s="36"/>
      <c r="G981" s="36"/>
      <c r="H981" s="36"/>
      <c r="I981" s="36"/>
      <c r="J981" s="105"/>
      <c r="K981" s="36"/>
      <c r="L981" s="36"/>
      <c r="M981" s="36"/>
      <c r="N981" s="105"/>
      <c r="O981" s="36"/>
      <c r="P981" s="36"/>
      <c r="Q981" s="36"/>
      <c r="R981" s="105"/>
      <c r="S981" s="36"/>
      <c r="T981" s="36"/>
      <c r="U981" s="36"/>
      <c r="V981" s="105"/>
      <c r="W981" s="36"/>
      <c r="X981" s="36"/>
      <c r="Y981" s="36"/>
      <c r="Z981" s="105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42"/>
      <c r="AO981" s="42"/>
      <c r="AP981" s="36"/>
      <c r="AQ981" s="36"/>
      <c r="AR981" s="42"/>
      <c r="AS981" s="42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</row>
    <row r="982" spans="1:56" ht="15.75" x14ac:dyDescent="0.25">
      <c r="A982" s="44"/>
      <c r="B982" s="36"/>
      <c r="C982" s="36"/>
      <c r="D982" s="36"/>
      <c r="E982" s="36"/>
      <c r="F982" s="36"/>
      <c r="G982" s="36"/>
      <c r="H982" s="36"/>
      <c r="I982" s="36"/>
      <c r="J982" s="105"/>
      <c r="K982" s="36"/>
      <c r="L982" s="36"/>
      <c r="M982" s="36"/>
      <c r="N982" s="105"/>
      <c r="O982" s="36"/>
      <c r="P982" s="36"/>
      <c r="Q982" s="36"/>
      <c r="R982" s="105"/>
      <c r="S982" s="36"/>
      <c r="T982" s="36"/>
      <c r="U982" s="36"/>
      <c r="V982" s="105"/>
      <c r="W982" s="36"/>
      <c r="X982" s="36"/>
      <c r="Y982" s="36"/>
      <c r="Z982" s="105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42"/>
      <c r="AO982" s="42"/>
      <c r="AP982" s="36"/>
      <c r="AQ982" s="36"/>
      <c r="AR982" s="42"/>
      <c r="AS982" s="42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</row>
    <row r="983" spans="1:56" ht="15.75" x14ac:dyDescent="0.25">
      <c r="A983" s="44"/>
      <c r="B983" s="36"/>
      <c r="C983" s="36"/>
      <c r="D983" s="36"/>
      <c r="E983" s="36"/>
      <c r="F983" s="36"/>
      <c r="G983" s="36"/>
      <c r="H983" s="36"/>
      <c r="I983" s="36"/>
      <c r="J983" s="105"/>
      <c r="K983" s="36"/>
      <c r="L983" s="36"/>
      <c r="M983" s="36"/>
      <c r="N983" s="105"/>
      <c r="O983" s="36"/>
      <c r="P983" s="36"/>
      <c r="Q983" s="36"/>
      <c r="R983" s="105"/>
      <c r="S983" s="36"/>
      <c r="T983" s="36"/>
      <c r="U983" s="36"/>
      <c r="V983" s="105"/>
      <c r="W983" s="36"/>
      <c r="X983" s="36"/>
      <c r="Y983" s="36"/>
      <c r="Z983" s="105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42"/>
      <c r="AO983" s="42"/>
      <c r="AP983" s="36"/>
      <c r="AQ983" s="36"/>
      <c r="AR983" s="42"/>
      <c r="AS983" s="42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</row>
    <row r="984" spans="1:56" ht="15.75" x14ac:dyDescent="0.25">
      <c r="A984" s="44"/>
      <c r="B984" s="36"/>
      <c r="C984" s="36"/>
      <c r="D984" s="36"/>
      <c r="E984" s="36"/>
      <c r="F984" s="36"/>
      <c r="G984" s="36"/>
      <c r="H984" s="36"/>
      <c r="I984" s="36"/>
      <c r="J984" s="105"/>
      <c r="K984" s="36"/>
      <c r="L984" s="36"/>
      <c r="M984" s="36"/>
      <c r="N984" s="105"/>
      <c r="O984" s="36"/>
      <c r="P984" s="36"/>
      <c r="Q984" s="36"/>
      <c r="R984" s="105"/>
      <c r="S984" s="36"/>
      <c r="T984" s="36"/>
      <c r="U984" s="36"/>
      <c r="V984" s="105"/>
      <c r="W984" s="36"/>
      <c r="X984" s="36"/>
      <c r="Y984" s="36"/>
      <c r="Z984" s="105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42"/>
      <c r="AO984" s="42"/>
      <c r="AP984" s="36"/>
      <c r="AQ984" s="36"/>
      <c r="AR984" s="42"/>
      <c r="AS984" s="42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</row>
    <row r="985" spans="1:56" ht="15.75" x14ac:dyDescent="0.25">
      <c r="A985" s="44"/>
      <c r="B985" s="36"/>
      <c r="C985" s="36"/>
      <c r="D985" s="36"/>
      <c r="E985" s="36"/>
      <c r="F985" s="36"/>
      <c r="G985" s="36"/>
      <c r="H985" s="36"/>
      <c r="I985" s="36"/>
      <c r="J985" s="105"/>
      <c r="K985" s="36"/>
      <c r="L985" s="36"/>
      <c r="M985" s="36"/>
      <c r="N985" s="105"/>
      <c r="O985" s="36"/>
      <c r="P985" s="36"/>
      <c r="Q985" s="36"/>
      <c r="R985" s="105"/>
      <c r="S985" s="36"/>
      <c r="T985" s="36"/>
      <c r="U985" s="36"/>
      <c r="V985" s="105"/>
      <c r="W985" s="36"/>
      <c r="X985" s="36"/>
      <c r="Y985" s="36"/>
      <c r="Z985" s="105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42"/>
      <c r="AO985" s="42"/>
      <c r="AP985" s="36"/>
      <c r="AQ985" s="36"/>
      <c r="AR985" s="42"/>
      <c r="AS985" s="42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</row>
    <row r="986" spans="1:56" ht="15.75" x14ac:dyDescent="0.25">
      <c r="A986" s="44"/>
      <c r="B986" s="36"/>
      <c r="C986" s="36"/>
      <c r="D986" s="36"/>
      <c r="E986" s="36"/>
      <c r="F986" s="36"/>
      <c r="G986" s="36"/>
      <c r="H986" s="36"/>
      <c r="I986" s="36"/>
      <c r="J986" s="105"/>
      <c r="K986" s="36"/>
      <c r="L986" s="36"/>
      <c r="M986" s="36"/>
      <c r="N986" s="105"/>
      <c r="O986" s="36"/>
      <c r="P986" s="36"/>
      <c r="Q986" s="36"/>
      <c r="R986" s="105"/>
      <c r="S986" s="36"/>
      <c r="T986" s="36"/>
      <c r="U986" s="36"/>
      <c r="V986" s="105"/>
      <c r="W986" s="36"/>
      <c r="X986" s="36"/>
      <c r="Y986" s="36"/>
      <c r="Z986" s="105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42"/>
      <c r="AO986" s="42"/>
      <c r="AP986" s="36"/>
      <c r="AQ986" s="36"/>
      <c r="AR986" s="42"/>
      <c r="AS986" s="42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</row>
    <row r="987" spans="1:56" ht="15.75" x14ac:dyDescent="0.25">
      <c r="A987" s="44"/>
      <c r="B987" s="36"/>
      <c r="C987" s="36"/>
      <c r="D987" s="36"/>
      <c r="E987" s="36"/>
      <c r="F987" s="36"/>
      <c r="G987" s="36"/>
      <c r="H987" s="36"/>
      <c r="I987" s="36"/>
      <c r="J987" s="105"/>
      <c r="K987" s="36"/>
      <c r="L987" s="36"/>
      <c r="M987" s="36"/>
      <c r="N987" s="105"/>
      <c r="O987" s="36"/>
      <c r="P987" s="36"/>
      <c r="Q987" s="36"/>
      <c r="R987" s="105"/>
      <c r="S987" s="36"/>
      <c r="T987" s="36"/>
      <c r="U987" s="36"/>
      <c r="V987" s="105"/>
      <c r="W987" s="36"/>
      <c r="X987" s="36"/>
      <c r="Y987" s="36"/>
      <c r="Z987" s="105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42"/>
      <c r="AO987" s="42"/>
      <c r="AP987" s="36"/>
      <c r="AQ987" s="36"/>
      <c r="AR987" s="42"/>
      <c r="AS987" s="42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</row>
    <row r="988" spans="1:56" ht="15.75" x14ac:dyDescent="0.25">
      <c r="A988" s="44"/>
      <c r="B988" s="36"/>
      <c r="C988" s="36"/>
      <c r="D988" s="36"/>
      <c r="E988" s="36"/>
      <c r="F988" s="36"/>
      <c r="G988" s="36"/>
      <c r="H988" s="36"/>
      <c r="I988" s="36"/>
      <c r="J988" s="105"/>
      <c r="K988" s="36"/>
      <c r="L988" s="36"/>
      <c r="M988" s="36"/>
      <c r="N988" s="105"/>
      <c r="O988" s="36"/>
      <c r="P988" s="36"/>
      <c r="Q988" s="36"/>
      <c r="R988" s="105"/>
      <c r="S988" s="36"/>
      <c r="T988" s="36"/>
      <c r="U988" s="36"/>
      <c r="V988" s="105"/>
      <c r="W988" s="36"/>
      <c r="X988" s="36"/>
      <c r="Y988" s="36"/>
      <c r="Z988" s="105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42"/>
      <c r="AO988" s="42"/>
      <c r="AP988" s="36"/>
      <c r="AQ988" s="36"/>
      <c r="AR988" s="42"/>
      <c r="AS988" s="42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</row>
    <row r="989" spans="1:56" ht="15.75" x14ac:dyDescent="0.25">
      <c r="A989" s="44"/>
      <c r="B989" s="36"/>
      <c r="C989" s="36"/>
      <c r="D989" s="36"/>
      <c r="E989" s="36"/>
      <c r="F989" s="36"/>
      <c r="G989" s="36"/>
      <c r="H989" s="36"/>
      <c r="I989" s="36"/>
      <c r="J989" s="105"/>
      <c r="K989" s="36"/>
      <c r="L989" s="36"/>
      <c r="M989" s="36"/>
      <c r="N989" s="105"/>
      <c r="O989" s="36"/>
      <c r="P989" s="36"/>
      <c r="Q989" s="36"/>
      <c r="R989" s="105"/>
      <c r="S989" s="36"/>
      <c r="T989" s="36"/>
      <c r="U989" s="36"/>
      <c r="V989" s="105"/>
      <c r="W989" s="36"/>
      <c r="X989" s="36"/>
      <c r="Y989" s="36"/>
      <c r="Z989" s="105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42"/>
      <c r="AO989" s="42"/>
      <c r="AP989" s="36"/>
      <c r="AQ989" s="36"/>
      <c r="AR989" s="42"/>
      <c r="AS989" s="42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</row>
    <row r="990" spans="1:56" ht="15.75" x14ac:dyDescent="0.25">
      <c r="A990" s="44"/>
      <c r="B990" s="36"/>
      <c r="C990" s="36"/>
      <c r="D990" s="36"/>
      <c r="E990" s="36"/>
      <c r="F990" s="36"/>
      <c r="G990" s="36"/>
      <c r="H990" s="36"/>
      <c r="I990" s="36"/>
      <c r="J990" s="105"/>
      <c r="K990" s="36"/>
      <c r="L990" s="36"/>
      <c r="M990" s="36"/>
      <c r="N990" s="105"/>
      <c r="O990" s="36"/>
      <c r="P990" s="36"/>
      <c r="Q990" s="36"/>
      <c r="R990" s="105"/>
      <c r="S990" s="36"/>
      <c r="T990" s="36"/>
      <c r="U990" s="36"/>
      <c r="V990" s="105"/>
      <c r="W990" s="36"/>
      <c r="X990" s="36"/>
      <c r="Y990" s="36"/>
      <c r="Z990" s="105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42"/>
      <c r="AO990" s="42"/>
      <c r="AP990" s="36"/>
      <c r="AQ990" s="36"/>
      <c r="AR990" s="42"/>
      <c r="AS990" s="42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</row>
    <row r="991" spans="1:56" ht="15.75" x14ac:dyDescent="0.25">
      <c r="A991" s="44"/>
      <c r="B991" s="36"/>
      <c r="C991" s="36"/>
      <c r="D991" s="36"/>
      <c r="E991" s="36"/>
      <c r="F991" s="36"/>
      <c r="G991" s="36"/>
      <c r="H991" s="36"/>
      <c r="I991" s="36"/>
      <c r="J991" s="105"/>
      <c r="K991" s="36"/>
      <c r="L991" s="36"/>
      <c r="M991" s="36"/>
      <c r="N991" s="105"/>
      <c r="O991" s="36"/>
      <c r="P991" s="36"/>
      <c r="Q991" s="36"/>
      <c r="R991" s="105"/>
      <c r="S991" s="36"/>
      <c r="T991" s="36"/>
      <c r="U991" s="36"/>
      <c r="V991" s="105"/>
      <c r="W991" s="36"/>
      <c r="X991" s="36"/>
      <c r="Y991" s="36"/>
      <c r="Z991" s="105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42"/>
      <c r="AO991" s="42"/>
      <c r="AP991" s="36"/>
      <c r="AQ991" s="36"/>
      <c r="AR991" s="42"/>
      <c r="AS991" s="42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</row>
    <row r="992" spans="1:56" ht="15.75" x14ac:dyDescent="0.25">
      <c r="A992" s="44"/>
      <c r="B992" s="36"/>
      <c r="C992" s="36"/>
      <c r="D992" s="36"/>
      <c r="E992" s="36"/>
      <c r="F992" s="36"/>
      <c r="G992" s="36"/>
      <c r="H992" s="36"/>
      <c r="I992" s="36"/>
      <c r="J992" s="105"/>
      <c r="K992" s="36"/>
      <c r="L992" s="36"/>
      <c r="M992" s="36"/>
      <c r="N992" s="105"/>
      <c r="O992" s="36"/>
      <c r="P992" s="36"/>
      <c r="Q992" s="36"/>
      <c r="R992" s="105"/>
      <c r="S992" s="36"/>
      <c r="T992" s="36"/>
      <c r="U992" s="36"/>
      <c r="V992" s="105"/>
      <c r="W992" s="36"/>
      <c r="X992" s="36"/>
      <c r="Y992" s="36"/>
      <c r="Z992" s="105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42"/>
      <c r="AO992" s="42"/>
      <c r="AP992" s="36"/>
      <c r="AQ992" s="36"/>
      <c r="AR992" s="42"/>
      <c r="AS992" s="42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</row>
    <row r="993" spans="1:56" ht="15.75" x14ac:dyDescent="0.25">
      <c r="A993" s="44"/>
      <c r="B993" s="36"/>
      <c r="C993" s="36"/>
      <c r="D993" s="36"/>
      <c r="E993" s="36"/>
      <c r="F993" s="36"/>
      <c r="G993" s="36"/>
      <c r="H993" s="36"/>
      <c r="I993" s="36"/>
      <c r="J993" s="105"/>
      <c r="K993" s="36"/>
      <c r="L993" s="36"/>
      <c r="M993" s="36"/>
      <c r="N993" s="105"/>
      <c r="O993" s="36"/>
      <c r="P993" s="36"/>
      <c r="Q993" s="36"/>
      <c r="R993" s="105"/>
      <c r="S993" s="36"/>
      <c r="T993" s="36"/>
      <c r="U993" s="36"/>
      <c r="V993" s="105"/>
      <c r="W993" s="36"/>
      <c r="X993" s="36"/>
      <c r="Y993" s="36"/>
      <c r="Z993" s="105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42"/>
      <c r="AO993" s="42"/>
      <c r="AP993" s="36"/>
      <c r="AQ993" s="36"/>
      <c r="AR993" s="42"/>
      <c r="AS993" s="42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</row>
    <row r="994" spans="1:56" ht="15.75" x14ac:dyDescent="0.25">
      <c r="A994" s="44"/>
      <c r="B994" s="36"/>
      <c r="C994" s="36"/>
      <c r="D994" s="36"/>
      <c r="E994" s="36"/>
      <c r="F994" s="36"/>
      <c r="G994" s="36"/>
      <c r="H994" s="36"/>
      <c r="I994" s="36"/>
      <c r="J994" s="105"/>
      <c r="K994" s="36"/>
      <c r="L994" s="36"/>
      <c r="M994" s="36"/>
      <c r="N994" s="105"/>
      <c r="O994" s="36"/>
      <c r="P994" s="36"/>
      <c r="Q994" s="36"/>
      <c r="R994" s="105"/>
      <c r="S994" s="36"/>
      <c r="T994" s="36"/>
      <c r="U994" s="36"/>
      <c r="V994" s="105"/>
      <c r="W994" s="36"/>
      <c r="X994" s="36"/>
      <c r="Y994" s="36"/>
      <c r="Z994" s="105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42"/>
      <c r="AO994" s="42"/>
      <c r="AP994" s="36"/>
      <c r="AQ994" s="36"/>
      <c r="AR994" s="42"/>
      <c r="AS994" s="42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</row>
    <row r="995" spans="1:56" ht="15.75" x14ac:dyDescent="0.25">
      <c r="A995" s="44"/>
      <c r="B995" s="36"/>
      <c r="C995" s="36"/>
      <c r="D995" s="36"/>
      <c r="E995" s="36"/>
      <c r="F995" s="36"/>
      <c r="G995" s="36"/>
      <c r="H995" s="36"/>
      <c r="I995" s="36"/>
      <c r="J995" s="105"/>
      <c r="K995" s="36"/>
      <c r="L995" s="36"/>
      <c r="M995" s="36"/>
      <c r="N995" s="105"/>
      <c r="O995" s="36"/>
      <c r="P995" s="36"/>
      <c r="Q995" s="36"/>
      <c r="R995" s="105"/>
      <c r="S995" s="36"/>
      <c r="T995" s="36"/>
      <c r="U995" s="36"/>
      <c r="V995" s="105"/>
      <c r="W995" s="36"/>
      <c r="X995" s="36"/>
      <c r="Y995" s="36"/>
      <c r="Z995" s="105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42"/>
      <c r="AO995" s="42"/>
      <c r="AP995" s="36"/>
      <c r="AQ995" s="36"/>
      <c r="AR995" s="42"/>
      <c r="AS995" s="42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</row>
    <row r="996" spans="1:56" ht="15.75" x14ac:dyDescent="0.25">
      <c r="A996" s="44"/>
      <c r="B996" s="36"/>
      <c r="C996" s="36"/>
      <c r="D996" s="36"/>
      <c r="E996" s="36"/>
      <c r="F996" s="36"/>
      <c r="G996" s="36"/>
      <c r="H996" s="36"/>
      <c r="I996" s="36"/>
      <c r="J996" s="105"/>
      <c r="K996" s="36"/>
      <c r="L996" s="36"/>
      <c r="M996" s="36"/>
      <c r="N996" s="105"/>
      <c r="O996" s="36"/>
      <c r="P996" s="36"/>
      <c r="Q996" s="36"/>
      <c r="R996" s="105"/>
      <c r="S996" s="36"/>
      <c r="T996" s="36"/>
      <c r="U996" s="36"/>
      <c r="V996" s="105"/>
      <c r="W996" s="36"/>
      <c r="X996" s="36"/>
      <c r="Y996" s="36"/>
      <c r="Z996" s="105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42"/>
      <c r="AO996" s="42"/>
      <c r="AP996" s="36"/>
      <c r="AQ996" s="36"/>
      <c r="AR996" s="42"/>
      <c r="AS996" s="42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</row>
    <row r="997" spans="1:56" ht="15.75" x14ac:dyDescent="0.25">
      <c r="A997" s="44"/>
      <c r="B997" s="36"/>
      <c r="C997" s="36"/>
      <c r="D997" s="36"/>
      <c r="E997" s="36"/>
      <c r="F997" s="36"/>
      <c r="G997" s="36"/>
      <c r="H997" s="36"/>
      <c r="I997" s="36"/>
      <c r="J997" s="105"/>
      <c r="K997" s="36"/>
      <c r="L997" s="36"/>
      <c r="M997" s="36"/>
      <c r="N997" s="105"/>
      <c r="O997" s="36"/>
      <c r="P997" s="36"/>
      <c r="Q997" s="36"/>
      <c r="R997" s="105"/>
      <c r="S997" s="36"/>
      <c r="T997" s="36"/>
      <c r="U997" s="36"/>
      <c r="V997" s="105"/>
      <c r="W997" s="36"/>
      <c r="X997" s="36"/>
      <c r="Y997" s="36"/>
      <c r="Z997" s="105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42"/>
      <c r="AO997" s="42"/>
      <c r="AP997" s="36"/>
      <c r="AQ997" s="36"/>
      <c r="AR997" s="42"/>
      <c r="AS997" s="42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</row>
    <row r="998" spans="1:56" ht="15.75" x14ac:dyDescent="0.25">
      <c r="A998" s="44"/>
      <c r="B998" s="36"/>
      <c r="C998" s="36"/>
      <c r="D998" s="36"/>
      <c r="E998" s="36"/>
      <c r="F998" s="36"/>
      <c r="G998" s="36"/>
      <c r="H998" s="36"/>
      <c r="I998" s="36"/>
      <c r="J998" s="105"/>
      <c r="K998" s="36"/>
      <c r="L998" s="36"/>
      <c r="M998" s="36"/>
      <c r="N998" s="105"/>
      <c r="O998" s="36"/>
      <c r="P998" s="36"/>
      <c r="Q998" s="36"/>
      <c r="R998" s="105"/>
      <c r="S998" s="36"/>
      <c r="T998" s="36"/>
      <c r="U998" s="36"/>
      <c r="V998" s="105"/>
      <c r="W998" s="36"/>
      <c r="X998" s="36"/>
      <c r="Y998" s="36"/>
      <c r="Z998" s="105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42"/>
      <c r="AO998" s="42"/>
      <c r="AP998" s="36"/>
      <c r="AQ998" s="36"/>
      <c r="AR998" s="42"/>
      <c r="AS998" s="42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</row>
    <row r="999" spans="1:56" ht="15.75" x14ac:dyDescent="0.25">
      <c r="A999" s="44"/>
      <c r="B999" s="36"/>
      <c r="C999" s="36"/>
      <c r="D999" s="36"/>
      <c r="E999" s="36"/>
      <c r="F999" s="36"/>
      <c r="G999" s="36"/>
      <c r="H999" s="36"/>
      <c r="I999" s="36"/>
      <c r="J999" s="105"/>
      <c r="K999" s="36"/>
      <c r="L999" s="36"/>
      <c r="M999" s="36"/>
      <c r="N999" s="105"/>
      <c r="O999" s="36"/>
      <c r="P999" s="36"/>
      <c r="Q999" s="36"/>
      <c r="R999" s="105"/>
      <c r="S999" s="36"/>
      <c r="T999" s="36"/>
      <c r="U999" s="36"/>
      <c r="V999" s="105"/>
      <c r="W999" s="36"/>
      <c r="X999" s="36"/>
      <c r="Y999" s="36"/>
      <c r="Z999" s="105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42"/>
      <c r="AO999" s="42"/>
      <c r="AP999" s="36"/>
      <c r="AQ999" s="36"/>
      <c r="AR999" s="42"/>
      <c r="AS999" s="42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</row>
    <row r="1000" spans="1:56" ht="15.75" x14ac:dyDescent="0.25">
      <c r="A1000" s="44"/>
      <c r="B1000" s="36"/>
      <c r="C1000" s="36"/>
      <c r="D1000" s="36"/>
      <c r="E1000" s="36"/>
      <c r="F1000" s="36"/>
      <c r="G1000" s="36"/>
      <c r="H1000" s="36"/>
      <c r="I1000" s="36"/>
      <c r="J1000" s="105"/>
      <c r="K1000" s="36"/>
      <c r="L1000" s="36"/>
      <c r="M1000" s="36"/>
      <c r="N1000" s="105"/>
      <c r="O1000" s="36"/>
      <c r="P1000" s="36"/>
      <c r="Q1000" s="36"/>
      <c r="R1000" s="105"/>
      <c r="S1000" s="36"/>
      <c r="T1000" s="36"/>
      <c r="U1000" s="36"/>
      <c r="V1000" s="105"/>
      <c r="W1000" s="36"/>
      <c r="X1000" s="36"/>
      <c r="Y1000" s="36"/>
      <c r="Z1000" s="105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42"/>
      <c r="AO1000" s="42"/>
      <c r="AP1000" s="36"/>
      <c r="AQ1000" s="36"/>
      <c r="AR1000" s="42"/>
      <c r="AS1000" s="42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</row>
  </sheetData>
  <conditionalFormatting sqref="F2:F49 Z2:Z53 AD3:AD53">
    <cfRule type="cellIs" dxfId="767" priority="85" operator="lessThan">
      <formula>0</formula>
    </cfRule>
  </conditionalFormatting>
  <conditionalFormatting sqref="F2:F49 Z2:Z53 AD3:AD53">
    <cfRule type="cellIs" dxfId="766" priority="86" operator="greaterThanOrEqual">
      <formula>0</formula>
    </cfRule>
  </conditionalFormatting>
  <conditionalFormatting sqref="N2:N3 N4:O53">
    <cfRule type="cellIs" dxfId="765" priority="87" operator="lessThanOrEqual">
      <formula>0</formula>
    </cfRule>
  </conditionalFormatting>
  <conditionalFormatting sqref="N2:N3 N4:O53">
    <cfRule type="cellIs" dxfId="764" priority="88" operator="greaterThan">
      <formula>0</formula>
    </cfRule>
  </conditionalFormatting>
  <conditionalFormatting sqref="F53">
    <cfRule type="cellIs" dxfId="763" priority="89" operator="lessThan">
      <formula>0</formula>
    </cfRule>
  </conditionalFormatting>
  <conditionalFormatting sqref="F53">
    <cfRule type="cellIs" dxfId="762" priority="90" operator="greaterThanOrEqual">
      <formula>0</formula>
    </cfRule>
  </conditionalFormatting>
  <conditionalFormatting sqref="F50">
    <cfRule type="cellIs" dxfId="761" priority="91" operator="lessThan">
      <formula>0</formula>
    </cfRule>
  </conditionalFormatting>
  <conditionalFormatting sqref="F50">
    <cfRule type="cellIs" dxfId="760" priority="92" operator="greaterThanOrEqual">
      <formula>0</formula>
    </cfRule>
  </conditionalFormatting>
  <conditionalFormatting sqref="F51">
    <cfRule type="cellIs" dxfId="759" priority="93" operator="lessThan">
      <formula>0</formula>
    </cfRule>
  </conditionalFormatting>
  <conditionalFormatting sqref="F51">
    <cfRule type="cellIs" dxfId="758" priority="94" operator="greaterThanOrEqual">
      <formula>0</formula>
    </cfRule>
  </conditionalFormatting>
  <conditionalFormatting sqref="F52">
    <cfRule type="cellIs" dxfId="757" priority="95" operator="lessThan">
      <formula>0</formula>
    </cfRule>
  </conditionalFormatting>
  <conditionalFormatting sqref="F52">
    <cfRule type="cellIs" dxfId="756" priority="96" operator="greaterThanOrEqual">
      <formula>0</formula>
    </cfRule>
  </conditionalFormatting>
  <conditionalFormatting sqref="O2">
    <cfRule type="cellIs" dxfId="755" priority="97" operator="lessThan">
      <formula>0</formula>
    </cfRule>
  </conditionalFormatting>
  <conditionalFormatting sqref="O2">
    <cfRule type="cellIs" dxfId="754" priority="98" operator="greaterThanOrEqual">
      <formula>0</formula>
    </cfRule>
  </conditionalFormatting>
  <conditionalFormatting sqref="O3">
    <cfRule type="cellIs" dxfId="753" priority="99" operator="lessThan">
      <formula>0</formula>
    </cfRule>
  </conditionalFormatting>
  <conditionalFormatting sqref="O3">
    <cfRule type="cellIs" dxfId="752" priority="100" operator="greaterThanOrEqual">
      <formula>0</formula>
    </cfRule>
  </conditionalFormatting>
  <conditionalFormatting sqref="AP2:AP53">
    <cfRule type="cellIs" dxfId="751" priority="101" operator="lessThan">
      <formula>0</formula>
    </cfRule>
  </conditionalFormatting>
  <conditionalFormatting sqref="AP2:AP53">
    <cfRule type="cellIs" dxfId="750" priority="102" operator="greaterThanOrEqual">
      <formula>0</formula>
    </cfRule>
  </conditionalFormatting>
  <conditionalFormatting sqref="AT2:AT3 AT4:AU53">
    <cfRule type="cellIs" dxfId="749" priority="103" operator="lessThan">
      <formula>0</formula>
    </cfRule>
  </conditionalFormatting>
  <conditionalFormatting sqref="AT2:AT3 AT4:AU53">
    <cfRule type="cellIs" dxfId="748" priority="104" operator="greaterThanOrEqual">
      <formula>0</formula>
    </cfRule>
  </conditionalFormatting>
  <conditionalFormatting sqref="AU2">
    <cfRule type="cellIs" dxfId="747" priority="105" operator="lessThan">
      <formula>0</formula>
    </cfRule>
  </conditionalFormatting>
  <conditionalFormatting sqref="AU2">
    <cfRule type="cellIs" dxfId="746" priority="106" operator="greaterThanOrEqual">
      <formula>0</formula>
    </cfRule>
  </conditionalFormatting>
  <conditionalFormatting sqref="AU3">
    <cfRule type="cellIs" dxfId="745" priority="107" operator="lessThan">
      <formula>0</formula>
    </cfRule>
  </conditionalFormatting>
  <conditionalFormatting sqref="AU3">
    <cfRule type="cellIs" dxfId="744" priority="108" operator="greaterThanOrEqual">
      <formula>0</formula>
    </cfRule>
  </conditionalFormatting>
  <conditionalFormatting sqref="BB2:BB53">
    <cfRule type="cellIs" dxfId="743" priority="83" operator="lessThan">
      <formula>0</formula>
    </cfRule>
  </conditionalFormatting>
  <conditionalFormatting sqref="BB2:BB53">
    <cfRule type="cellIs" dxfId="742" priority="84" operator="greaterThanOrEqual">
      <formula>0</formula>
    </cfRule>
  </conditionalFormatting>
  <conditionalFormatting sqref="G54">
    <cfRule type="cellIs" dxfId="741" priority="51" operator="lessThan">
      <formula>0</formula>
    </cfRule>
  </conditionalFormatting>
  <conditionalFormatting sqref="G54">
    <cfRule type="cellIs" dxfId="740" priority="52" operator="greaterThanOrEqual">
      <formula>0</formula>
    </cfRule>
  </conditionalFormatting>
  <conditionalFormatting sqref="G4:G53">
    <cfRule type="cellIs" dxfId="739" priority="53" operator="lessThan">
      <formula>0</formula>
    </cfRule>
  </conditionalFormatting>
  <conditionalFormatting sqref="G4:G53">
    <cfRule type="cellIs" dxfId="738" priority="54" operator="greaterThanOrEqual">
      <formula>0</formula>
    </cfRule>
  </conditionalFormatting>
  <conditionalFormatting sqref="BC4:BC53">
    <cfRule type="cellIs" dxfId="737" priority="77" operator="lessThan">
      <formula>0</formula>
    </cfRule>
  </conditionalFormatting>
  <conditionalFormatting sqref="BC4:BC53">
    <cfRule type="cellIs" dxfId="736" priority="78" operator="greaterThanOrEqual">
      <formula>0</formula>
    </cfRule>
  </conditionalFormatting>
  <conditionalFormatting sqref="BC2">
    <cfRule type="cellIs" dxfId="735" priority="79" operator="lessThan">
      <formula>0</formula>
    </cfRule>
  </conditionalFormatting>
  <conditionalFormatting sqref="BC2">
    <cfRule type="cellIs" dxfId="734" priority="80" operator="greaterThanOrEqual">
      <formula>0</formula>
    </cfRule>
  </conditionalFormatting>
  <conditionalFormatting sqref="BC3">
    <cfRule type="cellIs" dxfId="733" priority="81" operator="lessThan">
      <formula>0</formula>
    </cfRule>
  </conditionalFormatting>
  <conditionalFormatting sqref="BC3">
    <cfRule type="cellIs" dxfId="732" priority="82" operator="greaterThanOrEqual">
      <formula>0</formula>
    </cfRule>
  </conditionalFormatting>
  <conditionalFormatting sqref="AQ4:AQ53">
    <cfRule type="cellIs" dxfId="731" priority="71" operator="lessThan">
      <formula>0</formula>
    </cfRule>
  </conditionalFormatting>
  <conditionalFormatting sqref="AQ4:AQ53">
    <cfRule type="cellIs" dxfId="730" priority="72" operator="greaterThanOrEqual">
      <formula>0</formula>
    </cfRule>
  </conditionalFormatting>
  <conditionalFormatting sqref="AQ2">
    <cfRule type="cellIs" dxfId="729" priority="73" operator="lessThan">
      <formula>0</formula>
    </cfRule>
  </conditionalFormatting>
  <conditionalFormatting sqref="AQ2">
    <cfRule type="cellIs" dxfId="728" priority="74" operator="greaterThanOrEqual">
      <formula>0</formula>
    </cfRule>
  </conditionalFormatting>
  <conditionalFormatting sqref="AQ3">
    <cfRule type="cellIs" dxfId="727" priority="75" operator="lessThan">
      <formula>0</formula>
    </cfRule>
  </conditionalFormatting>
  <conditionalFormatting sqref="AQ3">
    <cfRule type="cellIs" dxfId="726" priority="76" operator="greaterThanOrEqual">
      <formula>0</formula>
    </cfRule>
  </conditionalFormatting>
  <conditionalFormatting sqref="AE4:AE53">
    <cfRule type="cellIs" dxfId="725" priority="65" operator="lessThan">
      <formula>0</formula>
    </cfRule>
  </conditionalFormatting>
  <conditionalFormatting sqref="AE4:AE53">
    <cfRule type="cellIs" dxfId="724" priority="66" operator="greaterThanOrEqual">
      <formula>0</formula>
    </cfRule>
  </conditionalFormatting>
  <conditionalFormatting sqref="AE3">
    <cfRule type="cellIs" dxfId="723" priority="69" operator="lessThan">
      <formula>0</formula>
    </cfRule>
  </conditionalFormatting>
  <conditionalFormatting sqref="AE3">
    <cfRule type="cellIs" dxfId="722" priority="70" operator="greaterThanOrEqual">
      <formula>0</formula>
    </cfRule>
  </conditionalFormatting>
  <conditionalFormatting sqref="AA4:AA53">
    <cfRule type="cellIs" dxfId="721" priority="59" operator="lessThan">
      <formula>0</formula>
    </cfRule>
  </conditionalFormatting>
  <conditionalFormatting sqref="AA4:AA53">
    <cfRule type="cellIs" dxfId="720" priority="60" operator="greaterThanOrEqual">
      <formula>0</formula>
    </cfRule>
  </conditionalFormatting>
  <conditionalFormatting sqref="AA2">
    <cfRule type="cellIs" dxfId="719" priority="61" operator="lessThan">
      <formula>0</formula>
    </cfRule>
  </conditionalFormatting>
  <conditionalFormatting sqref="AA2">
    <cfRule type="cellIs" dxfId="718" priority="62" operator="greaterThanOrEqual">
      <formula>0</formula>
    </cfRule>
  </conditionalFormatting>
  <conditionalFormatting sqref="AA3">
    <cfRule type="cellIs" dxfId="717" priority="63" operator="lessThan">
      <formula>0</formula>
    </cfRule>
  </conditionalFormatting>
  <conditionalFormatting sqref="AA3">
    <cfRule type="cellIs" dxfId="716" priority="64" operator="greaterThanOrEqual">
      <formula>0</formula>
    </cfRule>
  </conditionalFormatting>
  <conditionalFormatting sqref="G2">
    <cfRule type="cellIs" dxfId="715" priority="55" operator="lessThan">
      <formula>0</formula>
    </cfRule>
  </conditionalFormatting>
  <conditionalFormatting sqref="G2">
    <cfRule type="cellIs" dxfId="714" priority="56" operator="greaterThanOrEqual">
      <formula>0</formula>
    </cfRule>
  </conditionalFormatting>
  <conditionalFormatting sqref="G3">
    <cfRule type="cellIs" dxfId="713" priority="57" operator="lessThan">
      <formula>0</formula>
    </cfRule>
  </conditionalFormatting>
  <conditionalFormatting sqref="G3">
    <cfRule type="cellIs" dxfId="712" priority="58" operator="greaterThanOrEqual">
      <formula>0</formula>
    </cfRule>
  </conditionalFormatting>
  <conditionalFormatting sqref="AA54">
    <cfRule type="cellIs" dxfId="711" priority="49" operator="lessThan">
      <formula>0</formula>
    </cfRule>
  </conditionalFormatting>
  <conditionalFormatting sqref="AA54">
    <cfRule type="cellIs" dxfId="710" priority="50" operator="greaterThanOrEqual">
      <formula>0</formula>
    </cfRule>
  </conditionalFormatting>
  <conditionalFormatting sqref="AE54">
    <cfRule type="cellIs" dxfId="709" priority="47" operator="lessThan">
      <formula>0</formula>
    </cfRule>
  </conditionalFormatting>
  <conditionalFormatting sqref="AE54">
    <cfRule type="cellIs" dxfId="708" priority="48" operator="greaterThanOrEqual">
      <formula>0</formula>
    </cfRule>
  </conditionalFormatting>
  <conditionalFormatting sqref="AL3:AL53">
    <cfRule type="cellIs" dxfId="707" priority="45" operator="lessThan">
      <formula>0</formula>
    </cfRule>
  </conditionalFormatting>
  <conditionalFormatting sqref="AL3:AL53">
    <cfRule type="cellIs" dxfId="706" priority="46" operator="greaterThanOrEqual">
      <formula>0</formula>
    </cfRule>
  </conditionalFormatting>
  <conditionalFormatting sqref="AM4:AM53">
    <cfRule type="cellIs" dxfId="705" priority="39" operator="lessThan">
      <formula>0</formula>
    </cfRule>
  </conditionalFormatting>
  <conditionalFormatting sqref="AM4:AM53">
    <cfRule type="cellIs" dxfId="704" priority="40" operator="greaterThanOrEqual">
      <formula>0</formula>
    </cfRule>
  </conditionalFormatting>
  <conditionalFormatting sqref="AM2">
    <cfRule type="cellIs" dxfId="703" priority="41" operator="lessThan">
      <formula>0</formula>
    </cfRule>
  </conditionalFormatting>
  <conditionalFormatting sqref="AM2">
    <cfRule type="cellIs" dxfId="702" priority="42" operator="greaterThanOrEqual">
      <formula>0</formula>
    </cfRule>
  </conditionalFormatting>
  <conditionalFormatting sqref="AM3">
    <cfRule type="cellIs" dxfId="701" priority="43" operator="lessThan">
      <formula>0</formula>
    </cfRule>
  </conditionalFormatting>
  <conditionalFormatting sqref="AM3">
    <cfRule type="cellIs" dxfId="700" priority="44" operator="greaterThanOrEqual">
      <formula>0</formula>
    </cfRule>
  </conditionalFormatting>
  <conditionalFormatting sqref="AM54">
    <cfRule type="cellIs" dxfId="699" priority="37" operator="lessThan">
      <formula>0</formula>
    </cfRule>
  </conditionalFormatting>
  <conditionalFormatting sqref="AM54">
    <cfRule type="cellIs" dxfId="698" priority="38" operator="greaterThanOrEqual">
      <formula>0</formula>
    </cfRule>
  </conditionalFormatting>
  <conditionalFormatting sqref="AQ54">
    <cfRule type="cellIs" dxfId="697" priority="35" operator="lessThan">
      <formula>0</formula>
    </cfRule>
  </conditionalFormatting>
  <conditionalFormatting sqref="AQ54">
    <cfRule type="cellIs" dxfId="696" priority="36" operator="greaterThanOrEqual">
      <formula>0</formula>
    </cfRule>
  </conditionalFormatting>
  <conditionalFormatting sqref="AU54">
    <cfRule type="cellIs" dxfId="695" priority="33" operator="lessThan">
      <formula>0</formula>
    </cfRule>
  </conditionalFormatting>
  <conditionalFormatting sqref="AU54">
    <cfRule type="cellIs" dxfId="694" priority="34" operator="greaterThanOrEqual">
      <formula>0</formula>
    </cfRule>
  </conditionalFormatting>
  <conditionalFormatting sqref="BC54">
    <cfRule type="cellIs" dxfId="693" priority="31" operator="lessThan">
      <formula>0</formula>
    </cfRule>
  </conditionalFormatting>
  <conditionalFormatting sqref="BC54">
    <cfRule type="cellIs" dxfId="692" priority="32" operator="greaterThanOrEqual">
      <formula>0</formula>
    </cfRule>
  </conditionalFormatting>
  <conditionalFormatting sqref="V2:V53">
    <cfRule type="cellIs" dxfId="691" priority="29" operator="lessThan">
      <formula>0</formula>
    </cfRule>
  </conditionalFormatting>
  <conditionalFormatting sqref="V2:V53">
    <cfRule type="cellIs" dxfId="690" priority="30" operator="greaterThanOrEqual">
      <formula>0</formula>
    </cfRule>
  </conditionalFormatting>
  <conditionalFormatting sqref="W4:W53">
    <cfRule type="cellIs" dxfId="689" priority="23" operator="lessThan">
      <formula>0</formula>
    </cfRule>
  </conditionalFormatting>
  <conditionalFormatting sqref="W4:W53">
    <cfRule type="cellIs" dxfId="688" priority="24" operator="greaterThanOrEqual">
      <formula>0</formula>
    </cfRule>
  </conditionalFormatting>
  <conditionalFormatting sqref="W2">
    <cfRule type="cellIs" dxfId="687" priority="25" operator="lessThan">
      <formula>0</formula>
    </cfRule>
  </conditionalFormatting>
  <conditionalFormatting sqref="W2">
    <cfRule type="cellIs" dxfId="686" priority="26" operator="greaterThanOrEqual">
      <formula>0</formula>
    </cfRule>
  </conditionalFormatting>
  <conditionalFormatting sqref="W3">
    <cfRule type="cellIs" dxfId="685" priority="27" operator="lessThan">
      <formula>0</formula>
    </cfRule>
  </conditionalFormatting>
  <conditionalFormatting sqref="W3">
    <cfRule type="cellIs" dxfId="684" priority="28" operator="greaterThanOrEqual">
      <formula>0</formula>
    </cfRule>
  </conditionalFormatting>
  <conditionalFormatting sqref="W54">
    <cfRule type="cellIs" dxfId="683" priority="21" operator="lessThan">
      <formula>0</formula>
    </cfRule>
  </conditionalFormatting>
  <conditionalFormatting sqref="W54">
    <cfRule type="cellIs" dxfId="682" priority="22" operator="greaterThanOrEqual">
      <formula>0</formula>
    </cfRule>
  </conditionalFormatting>
  <conditionalFormatting sqref="J2:J3 J4:K53">
    <cfRule type="cellIs" dxfId="681" priority="15" operator="lessThanOrEqual">
      <formula>0</formula>
    </cfRule>
  </conditionalFormatting>
  <conditionalFormatting sqref="J2:J3 J4:K53">
    <cfRule type="cellIs" dxfId="680" priority="16" operator="greaterThan">
      <formula>0</formula>
    </cfRule>
  </conditionalFormatting>
  <conditionalFormatting sqref="K2">
    <cfRule type="cellIs" dxfId="679" priority="17" operator="lessThan">
      <formula>0</formula>
    </cfRule>
  </conditionalFormatting>
  <conditionalFormatting sqref="K2">
    <cfRule type="cellIs" dxfId="678" priority="18" operator="greaterThanOrEqual">
      <formula>0</formula>
    </cfRule>
  </conditionalFormatting>
  <conditionalFormatting sqref="K3">
    <cfRule type="cellIs" dxfId="677" priority="19" operator="lessThan">
      <formula>0</formula>
    </cfRule>
  </conditionalFormatting>
  <conditionalFormatting sqref="K3">
    <cfRule type="cellIs" dxfId="676" priority="20" operator="greaterThanOrEqual">
      <formula>0</formula>
    </cfRule>
  </conditionalFormatting>
  <conditionalFormatting sqref="R2:R53">
    <cfRule type="cellIs" dxfId="675" priority="13" operator="lessThan">
      <formula>0</formula>
    </cfRule>
  </conditionalFormatting>
  <conditionalFormatting sqref="R2:R53">
    <cfRule type="cellIs" dxfId="674" priority="14" operator="greaterThanOrEqual">
      <formula>0</formula>
    </cfRule>
  </conditionalFormatting>
  <conditionalFormatting sqref="S4:S53">
    <cfRule type="cellIs" dxfId="673" priority="7" operator="lessThan">
      <formula>0</formula>
    </cfRule>
  </conditionalFormatting>
  <conditionalFormatting sqref="S4:S53">
    <cfRule type="cellIs" dxfId="672" priority="8" operator="greaterThanOrEqual">
      <formula>0</formula>
    </cfRule>
  </conditionalFormatting>
  <conditionalFormatting sqref="S2">
    <cfRule type="cellIs" dxfId="671" priority="9" operator="lessThan">
      <formula>0</formula>
    </cfRule>
  </conditionalFormatting>
  <conditionalFormatting sqref="S2">
    <cfRule type="cellIs" dxfId="670" priority="10" operator="greaterThanOrEqual">
      <formula>0</formula>
    </cfRule>
  </conditionalFormatting>
  <conditionalFormatting sqref="S3">
    <cfRule type="cellIs" dxfId="669" priority="11" operator="lessThan">
      <formula>0</formula>
    </cfRule>
  </conditionalFormatting>
  <conditionalFormatting sqref="S3">
    <cfRule type="cellIs" dxfId="668" priority="12" operator="greaterThanOrEqual">
      <formula>0</formula>
    </cfRule>
  </conditionalFormatting>
  <conditionalFormatting sqref="S54">
    <cfRule type="cellIs" dxfId="667" priority="5" operator="lessThan">
      <formula>0</formula>
    </cfRule>
  </conditionalFormatting>
  <conditionalFormatting sqref="S54">
    <cfRule type="cellIs" dxfId="666" priority="6" operator="greaterThanOrEqual">
      <formula>0</formula>
    </cfRule>
  </conditionalFormatting>
  <conditionalFormatting sqref="AH3:AI1048576">
    <cfRule type="cellIs" dxfId="665" priority="3" operator="lessThan">
      <formula>0</formula>
    </cfRule>
    <cfRule type="cellIs" dxfId="664" priority="4" operator="greaterThan">
      <formula>0</formula>
    </cfRule>
  </conditionalFormatting>
  <conditionalFormatting sqref="AX2:AY1048576">
    <cfRule type="cellIs" dxfId="663" priority="1" operator="lessThan">
      <formula>0</formula>
    </cfRule>
    <cfRule type="cellIs" dxfId="662" priority="2" operator="greaterThan">
      <formula>0</formula>
    </cfRule>
  </conditionalFormatting>
  <pageMargins left="0.75" right="0.75" top="1" bottom="1" header="0.5" footer="0.5"/>
  <pageSetup orientation="portrait" horizontalDpi="4294967292" vertic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F1156"/>
  <sheetViews>
    <sheetView workbookViewId="0"/>
  </sheetViews>
  <sheetFormatPr defaultColWidth="13.5" defaultRowHeight="15" customHeight="1" outlineLevelCol="1" x14ac:dyDescent="0.25"/>
  <cols>
    <col min="1" max="1" width="12" bestFit="1" customWidth="1"/>
    <col min="2" max="2" width="9.375" bestFit="1" customWidth="1"/>
    <col min="3" max="3" width="13.5" bestFit="1" customWidth="1"/>
    <col min="4" max="4" width="13.5" customWidth="1"/>
    <col min="5" max="5" width="11" customWidth="1"/>
    <col min="6" max="6" width="11" customWidth="1" outlineLevel="1"/>
    <col min="7" max="7" width="8.375" customWidth="1"/>
    <col min="8" max="8" width="10.875" customWidth="1"/>
    <col min="9" max="9" width="10.875" customWidth="1" outlineLevel="1"/>
    <col min="10" max="10" width="8.375" customWidth="1"/>
    <col min="11" max="11" width="8.625" customWidth="1"/>
    <col min="12" max="12" width="8.625" customWidth="1" outlineLevel="1"/>
    <col min="13" max="13" width="8.375" customWidth="1"/>
    <col min="14" max="14" width="8.5" customWidth="1"/>
    <col min="15" max="15" width="8.5" customWidth="1" outlineLevel="1"/>
    <col min="16" max="16" width="8.375" customWidth="1"/>
    <col min="17" max="17" width="9.5" customWidth="1"/>
    <col min="18" max="18" width="9.5" customWidth="1" outlineLevel="1"/>
    <col min="19" max="19" width="8.375" customWidth="1"/>
    <col min="20" max="20" width="9.625" customWidth="1"/>
    <col min="21" max="21" width="8.375" customWidth="1" outlineLevel="1"/>
    <col min="22" max="22" width="8.375" customWidth="1"/>
    <col min="23" max="23" width="9.125" customWidth="1"/>
    <col min="24" max="24" width="10.875" customWidth="1" outlineLevel="1"/>
    <col min="25" max="25" width="8.375" customWidth="1"/>
    <col min="26" max="26" width="13.875" customWidth="1"/>
    <col min="27" max="27" width="12.875" customWidth="1" outlineLevel="1"/>
    <col min="28" max="29" width="8.375" customWidth="1"/>
    <col min="30" max="30" width="8.375" customWidth="1" outlineLevel="1"/>
    <col min="31" max="31" width="8.375" customWidth="1"/>
    <col min="32" max="32" width="17.875" customWidth="1"/>
  </cols>
  <sheetData>
    <row r="1" spans="1:32" ht="15.75" x14ac:dyDescent="0.25">
      <c r="A1" s="24" t="s">
        <v>19</v>
      </c>
      <c r="B1" s="24" t="s">
        <v>20</v>
      </c>
      <c r="C1" s="24" t="s">
        <v>21</v>
      </c>
      <c r="D1" s="25" t="s">
        <v>128</v>
      </c>
      <c r="E1" s="25" t="s">
        <v>1</v>
      </c>
      <c r="F1" s="24" t="s">
        <v>98</v>
      </c>
      <c r="G1" s="66" t="s">
        <v>24</v>
      </c>
      <c r="H1" s="25" t="s">
        <v>2</v>
      </c>
      <c r="I1" s="24" t="s">
        <v>99</v>
      </c>
      <c r="J1" s="66" t="s">
        <v>24</v>
      </c>
      <c r="K1" s="25" t="s">
        <v>3</v>
      </c>
      <c r="L1" s="24" t="s">
        <v>100</v>
      </c>
      <c r="M1" s="66" t="s">
        <v>24</v>
      </c>
      <c r="N1" s="25" t="s">
        <v>4</v>
      </c>
      <c r="O1" s="24" t="s">
        <v>101</v>
      </c>
      <c r="P1" s="66" t="s">
        <v>24</v>
      </c>
      <c r="Q1" s="25" t="s">
        <v>5</v>
      </c>
      <c r="R1" s="24" t="s">
        <v>102</v>
      </c>
      <c r="S1" s="66" t="s">
        <v>24</v>
      </c>
      <c r="T1" s="25" t="s">
        <v>6</v>
      </c>
      <c r="U1" s="24" t="s">
        <v>103</v>
      </c>
      <c r="V1" s="66" t="s">
        <v>24</v>
      </c>
      <c r="W1" s="47" t="s">
        <v>7</v>
      </c>
      <c r="X1" s="48" t="s">
        <v>104</v>
      </c>
      <c r="Y1" s="66" t="s">
        <v>24</v>
      </c>
      <c r="Z1" s="47" t="s">
        <v>25</v>
      </c>
      <c r="AA1" s="48" t="s">
        <v>105</v>
      </c>
      <c r="AB1" s="66" t="s">
        <v>24</v>
      </c>
      <c r="AC1" s="27" t="s">
        <v>9</v>
      </c>
      <c r="AD1" s="28" t="s">
        <v>106</v>
      </c>
      <c r="AE1" s="66" t="s">
        <v>24</v>
      </c>
      <c r="AF1" s="24" t="s">
        <v>26</v>
      </c>
    </row>
    <row r="2" spans="1:32" ht="15.75" customHeight="1" x14ac:dyDescent="0.3">
      <c r="A2" s="49" t="s">
        <v>17</v>
      </c>
      <c r="B2" s="49" t="s">
        <v>27</v>
      </c>
      <c r="C2" s="50">
        <v>42734</v>
      </c>
      <c r="D2" s="403" t="s">
        <v>28</v>
      </c>
      <c r="E2" s="51">
        <f>SUM(E3:E5)</f>
        <v>0</v>
      </c>
      <c r="F2" s="51">
        <f>SUM(F3:F5)</f>
        <v>0</v>
      </c>
      <c r="G2" s="103" t="e">
        <f>(E2-F2)/F2</f>
        <v>#DIV/0!</v>
      </c>
      <c r="H2" s="51">
        <f>SUM(H3:H5)</f>
        <v>0</v>
      </c>
      <c r="I2" s="51">
        <f>SUM(I3:I5)</f>
        <v>0</v>
      </c>
      <c r="J2" s="103" t="e">
        <f>(H2-I2)/I2</f>
        <v>#DIV/0!</v>
      </c>
      <c r="K2" s="53" t="e">
        <f>E2/H2</f>
        <v>#DIV/0!</v>
      </c>
      <c r="L2" s="51" t="e">
        <f>F2/I2</f>
        <v>#DIV/0!</v>
      </c>
      <c r="M2" s="103" t="e">
        <f>(K2-L2)/L2</f>
        <v>#DIV/0!</v>
      </c>
      <c r="N2" s="54">
        <f>SUM(N3:N5)</f>
        <v>1</v>
      </c>
      <c r="O2" s="54">
        <f>SUM(O3:O5)</f>
        <v>2</v>
      </c>
      <c r="P2" s="103">
        <f>(N2-O2)/O2</f>
        <v>-0.5</v>
      </c>
      <c r="Q2" s="54">
        <f>SUM(Q3:Q5)</f>
        <v>0</v>
      </c>
      <c r="R2" s="54">
        <f>SUM(R3:R5)</f>
        <v>0</v>
      </c>
      <c r="S2" s="103" t="e">
        <f>(Q2-R2)/R2</f>
        <v>#DIV/0!</v>
      </c>
      <c r="T2" s="54" t="e">
        <f>E2/Q2</f>
        <v>#DIV/0!</v>
      </c>
      <c r="U2" s="54" t="e">
        <f>F2/R2</f>
        <v>#DIV/0!</v>
      </c>
      <c r="V2" s="103" t="e">
        <f>(T2-U2)/U2</f>
        <v>#DIV/0!</v>
      </c>
      <c r="W2" s="54">
        <f>SUM(W3:W5)</f>
        <v>0</v>
      </c>
      <c r="X2" s="54">
        <f>SUM(X3:X5)</f>
        <v>0</v>
      </c>
      <c r="Y2" s="103" t="e">
        <f>(W2-X2)/X2</f>
        <v>#DIV/0!</v>
      </c>
      <c r="Z2" s="54">
        <f>SUM(Z3:Z5)</f>
        <v>0</v>
      </c>
      <c r="AA2" s="54">
        <f>SUM(AA3:AA5)</f>
        <v>0</v>
      </c>
      <c r="AB2" s="103" t="e">
        <f>(Z2-AA2)/AA2</f>
        <v>#DIV/0!</v>
      </c>
      <c r="AC2" s="82" t="e">
        <f>W2/Z2</f>
        <v>#DIV/0!</v>
      </c>
      <c r="AD2" s="82" t="e">
        <f>X2/AA2</f>
        <v>#DIV/0!</v>
      </c>
      <c r="AE2" s="103" t="e">
        <f t="shared" ref="AE2:AE210" si="0">(AC2-AD2)/AD2</f>
        <v>#DIV/0!</v>
      </c>
      <c r="AF2" s="81"/>
    </row>
    <row r="3" spans="1:32" s="220" customFormat="1" ht="15.75" customHeight="1" x14ac:dyDescent="0.3">
      <c r="A3" s="279"/>
      <c r="B3" s="279"/>
      <c r="C3" s="280"/>
      <c r="D3" s="280"/>
      <c r="E3" s="281"/>
      <c r="F3" s="281"/>
      <c r="G3" s="404"/>
      <c r="H3" s="281"/>
      <c r="I3" s="281"/>
      <c r="J3" s="404"/>
      <c r="K3" s="283"/>
      <c r="L3" s="281"/>
      <c r="M3" s="404"/>
      <c r="N3" s="284"/>
      <c r="O3" s="284"/>
      <c r="P3" s="404"/>
      <c r="Q3" s="284"/>
      <c r="R3" s="284"/>
      <c r="S3" s="404"/>
      <c r="T3" s="284"/>
      <c r="U3" s="284"/>
      <c r="V3" s="404"/>
      <c r="W3" s="284"/>
      <c r="X3" s="284"/>
      <c r="Y3" s="404"/>
      <c r="Z3" s="284"/>
      <c r="AA3" s="284"/>
      <c r="AB3" s="404"/>
      <c r="AC3" s="286"/>
      <c r="AD3" s="286"/>
      <c r="AE3" s="404"/>
      <c r="AF3" s="96"/>
    </row>
    <row r="4" spans="1:32" s="96" customFormat="1" ht="15.75" customHeight="1" x14ac:dyDescent="0.3">
      <c r="A4" s="279"/>
      <c r="B4" s="279"/>
      <c r="C4" s="280"/>
      <c r="D4" s="280"/>
      <c r="E4" s="281"/>
      <c r="F4" s="281"/>
      <c r="G4" s="404"/>
      <c r="H4" s="281"/>
      <c r="I4" s="281"/>
      <c r="J4" s="404"/>
      <c r="K4" s="283"/>
      <c r="L4" s="281"/>
      <c r="M4" s="404"/>
      <c r="N4" s="284"/>
      <c r="O4" s="284"/>
      <c r="P4" s="404"/>
      <c r="Q4" s="284"/>
      <c r="R4" s="284"/>
      <c r="S4" s="404"/>
      <c r="T4" s="284"/>
      <c r="U4" s="284"/>
      <c r="V4" s="404"/>
      <c r="W4" s="284"/>
      <c r="X4" s="284"/>
      <c r="Y4" s="404"/>
      <c r="Z4" s="284"/>
      <c r="AA4" s="284"/>
      <c r="AB4" s="404"/>
      <c r="AC4" s="286"/>
      <c r="AD4" s="286"/>
      <c r="AE4" s="404"/>
    </row>
    <row r="5" spans="1:32" s="96" customFormat="1" ht="15.75" customHeight="1" x14ac:dyDescent="0.3">
      <c r="A5" s="279"/>
      <c r="B5" s="279"/>
      <c r="C5" s="280"/>
      <c r="D5" s="297" t="s">
        <v>274</v>
      </c>
      <c r="E5" s="281"/>
      <c r="F5" s="281"/>
      <c r="G5" s="404"/>
      <c r="H5" s="281"/>
      <c r="I5" s="281"/>
      <c r="J5" s="404"/>
      <c r="K5" s="283"/>
      <c r="L5" s="281"/>
      <c r="M5" s="404"/>
      <c r="N5" s="284">
        <v>1</v>
      </c>
      <c r="O5" s="284">
        <v>2</v>
      </c>
      <c r="P5" s="404"/>
      <c r="Q5" s="284"/>
      <c r="R5" s="284"/>
      <c r="S5" s="404"/>
      <c r="T5" s="284"/>
      <c r="U5" s="284"/>
      <c r="V5" s="404"/>
      <c r="W5" s="284"/>
      <c r="X5" s="284"/>
      <c r="Y5" s="404"/>
      <c r="Z5" s="284"/>
      <c r="AA5" s="284"/>
      <c r="AB5" s="404"/>
      <c r="AC5" s="286"/>
      <c r="AD5" s="286"/>
      <c r="AE5" s="404"/>
    </row>
    <row r="6" spans="1:32" s="81" customFormat="1" ht="15.75" customHeight="1" x14ac:dyDescent="0.3">
      <c r="A6" s="49" t="s">
        <v>17</v>
      </c>
      <c r="B6" s="49" t="s">
        <v>31</v>
      </c>
      <c r="C6" s="50">
        <f>C2+7</f>
        <v>42741</v>
      </c>
      <c r="D6" s="403" t="s">
        <v>28</v>
      </c>
      <c r="E6" s="51">
        <f>SUM(E7:E9)</f>
        <v>0</v>
      </c>
      <c r="F6" s="51">
        <f>SUM(F7:F9)</f>
        <v>0</v>
      </c>
      <c r="G6" s="103" t="e">
        <f>(E6-F6)/F6</f>
        <v>#DIV/0!</v>
      </c>
      <c r="H6" s="51">
        <f>SUM(H7:H9)</f>
        <v>0</v>
      </c>
      <c r="I6" s="51">
        <f>SUM(I7:I9)</f>
        <v>0</v>
      </c>
      <c r="J6" s="103" t="e">
        <f>(H6-I6)/I6</f>
        <v>#DIV/0!</v>
      </c>
      <c r="K6" s="53" t="e">
        <f>E6/H6</f>
        <v>#DIV/0!</v>
      </c>
      <c r="L6" s="51" t="e">
        <f>F6/I6</f>
        <v>#DIV/0!</v>
      </c>
      <c r="M6" s="103" t="e">
        <f>(K6-L6)/L6</f>
        <v>#DIV/0!</v>
      </c>
      <c r="N6" s="54">
        <f>SUM(N7:N9)</f>
        <v>2</v>
      </c>
      <c r="O6" s="54">
        <f>SUM(O7:O9)</f>
        <v>1</v>
      </c>
      <c r="P6" s="103">
        <f>(N6-O6)/O6</f>
        <v>1</v>
      </c>
      <c r="Q6" s="54">
        <f>SUM(Q7:Q9)</f>
        <v>0</v>
      </c>
      <c r="R6" s="54">
        <f>SUM(R7:R9)</f>
        <v>0</v>
      </c>
      <c r="S6" s="103" t="e">
        <f>(Q6-R6)/R6</f>
        <v>#DIV/0!</v>
      </c>
      <c r="T6" s="54" t="e">
        <f>E6/Q6</f>
        <v>#DIV/0!</v>
      </c>
      <c r="U6" s="54" t="e">
        <f>F6/R6</f>
        <v>#DIV/0!</v>
      </c>
      <c r="V6" s="103" t="e">
        <f>(T6-U6)/U6</f>
        <v>#DIV/0!</v>
      </c>
      <c r="W6" s="54">
        <f>SUM(W7:W9)</f>
        <v>0</v>
      </c>
      <c r="X6" s="54">
        <f>SUM(X7:X9)</f>
        <v>0</v>
      </c>
      <c r="Y6" s="103" t="e">
        <f>(W6-X6)/X6</f>
        <v>#DIV/0!</v>
      </c>
      <c r="Z6" s="54">
        <f>SUM(Z7:Z9)</f>
        <v>0</v>
      </c>
      <c r="AA6" s="54">
        <f>SUM(AA7:AA9)</f>
        <v>0</v>
      </c>
      <c r="AB6" s="103" t="e">
        <f>(Z6-AA6)/AA6</f>
        <v>#DIV/0!</v>
      </c>
      <c r="AC6" s="82" t="e">
        <f>W6/Z6</f>
        <v>#DIV/0!</v>
      </c>
      <c r="AD6" s="82" t="e">
        <f>X6/AA6</f>
        <v>#DIV/0!</v>
      </c>
      <c r="AE6" s="103" t="e">
        <f t="shared" ref="AE6" si="1">(AC6-AD6)/AD6</f>
        <v>#DIV/0!</v>
      </c>
    </row>
    <row r="7" spans="1:32" s="96" customFormat="1" ht="15.75" customHeight="1" x14ac:dyDescent="0.3">
      <c r="A7" s="279"/>
      <c r="B7" s="279"/>
      <c r="C7" s="280"/>
      <c r="D7" s="280"/>
      <c r="E7" s="281"/>
      <c r="F7" s="281"/>
      <c r="G7" s="404"/>
      <c r="H7" s="281"/>
      <c r="I7" s="281"/>
      <c r="J7" s="404"/>
      <c r="K7" s="283"/>
      <c r="L7" s="281"/>
      <c r="M7" s="404"/>
      <c r="N7" s="284"/>
      <c r="O7" s="284"/>
      <c r="P7" s="404"/>
      <c r="Q7" s="284"/>
      <c r="R7" s="284"/>
      <c r="S7" s="404"/>
      <c r="T7" s="281"/>
      <c r="U7" s="284"/>
      <c r="V7" s="404"/>
      <c r="W7" s="284"/>
      <c r="X7" s="284"/>
      <c r="Y7" s="404"/>
      <c r="Z7" s="284"/>
      <c r="AA7" s="284"/>
      <c r="AB7" s="404"/>
      <c r="AC7" s="286"/>
      <c r="AD7" s="286"/>
      <c r="AE7" s="404"/>
    </row>
    <row r="8" spans="1:32" s="96" customFormat="1" ht="15.75" customHeight="1" x14ac:dyDescent="0.3">
      <c r="A8" s="279"/>
      <c r="B8" s="279"/>
      <c r="C8" s="280"/>
      <c r="D8" s="280"/>
      <c r="E8" s="281"/>
      <c r="F8" s="281"/>
      <c r="G8" s="404"/>
      <c r="H8" s="281"/>
      <c r="I8" s="281"/>
      <c r="J8" s="404"/>
      <c r="K8" s="283"/>
      <c r="L8" s="281"/>
      <c r="M8" s="404"/>
      <c r="N8" s="284"/>
      <c r="O8" s="284"/>
      <c r="P8" s="404"/>
      <c r="Q8" s="284"/>
      <c r="R8" s="284"/>
      <c r="S8" s="404"/>
      <c r="T8" s="281"/>
      <c r="U8" s="284"/>
      <c r="V8" s="404"/>
      <c r="W8" s="284"/>
      <c r="X8" s="284"/>
      <c r="Y8" s="404"/>
      <c r="Z8" s="284"/>
      <c r="AA8" s="284"/>
      <c r="AB8" s="404"/>
      <c r="AC8" s="286"/>
      <c r="AD8" s="286"/>
      <c r="AE8" s="404"/>
    </row>
    <row r="9" spans="1:32" s="96" customFormat="1" ht="15.75" customHeight="1" x14ac:dyDescent="0.3">
      <c r="A9" s="279"/>
      <c r="B9" s="279"/>
      <c r="C9" s="280"/>
      <c r="D9" s="297" t="s">
        <v>274</v>
      </c>
      <c r="E9" s="281"/>
      <c r="F9" s="281"/>
      <c r="G9" s="404"/>
      <c r="H9" s="281"/>
      <c r="I9" s="281"/>
      <c r="J9" s="404"/>
      <c r="K9" s="283"/>
      <c r="L9" s="281"/>
      <c r="M9" s="404"/>
      <c r="N9" s="284">
        <v>2</v>
      </c>
      <c r="O9" s="284">
        <v>1</v>
      </c>
      <c r="P9" s="404"/>
      <c r="Q9" s="284"/>
      <c r="R9" s="284"/>
      <c r="S9" s="404"/>
      <c r="T9" s="281"/>
      <c r="U9" s="284"/>
      <c r="V9" s="404"/>
      <c r="W9" s="284"/>
      <c r="X9" s="284"/>
      <c r="Y9" s="404"/>
      <c r="Z9" s="284"/>
      <c r="AA9" s="284"/>
      <c r="AB9" s="404"/>
      <c r="AC9" s="286"/>
      <c r="AD9" s="286"/>
      <c r="AE9" s="404"/>
    </row>
    <row r="10" spans="1:32" s="81" customFormat="1" ht="15.75" customHeight="1" x14ac:dyDescent="0.3">
      <c r="A10" s="49" t="s">
        <v>17</v>
      </c>
      <c r="B10" s="49" t="s">
        <v>32</v>
      </c>
      <c r="C10" s="50">
        <f>C6+7</f>
        <v>42748</v>
      </c>
      <c r="D10" s="403" t="s">
        <v>28</v>
      </c>
      <c r="E10" s="51">
        <f>SUM(E11:E13)</f>
        <v>0</v>
      </c>
      <c r="F10" s="51">
        <f>SUM(F11:F13)</f>
        <v>0</v>
      </c>
      <c r="G10" s="103" t="e">
        <f>(E10-F10)/F10</f>
        <v>#DIV/0!</v>
      </c>
      <c r="H10" s="51">
        <f>SUM(H11:H13)</f>
        <v>0</v>
      </c>
      <c r="I10" s="51">
        <f>SUM(I11:I13)</f>
        <v>0</v>
      </c>
      <c r="J10" s="103" t="e">
        <f>(H10-I10)/I10</f>
        <v>#DIV/0!</v>
      </c>
      <c r="K10" s="53" t="e">
        <f>E10/H10</f>
        <v>#DIV/0!</v>
      </c>
      <c r="L10" s="51" t="e">
        <f>F10/I10</f>
        <v>#DIV/0!</v>
      </c>
      <c r="M10" s="103" t="e">
        <f>(K10-L10)/L10</f>
        <v>#DIV/0!</v>
      </c>
      <c r="N10" s="54">
        <f>SUM(N11:N13)</f>
        <v>0</v>
      </c>
      <c r="O10" s="54">
        <f>SUM(O11:O13)</f>
        <v>2</v>
      </c>
      <c r="P10" s="103">
        <f>(N10-O10)/O10</f>
        <v>-1</v>
      </c>
      <c r="Q10" s="54">
        <f>SUM(Q11:Q13)</f>
        <v>0</v>
      </c>
      <c r="R10" s="54">
        <f>SUM(R11:R13)</f>
        <v>0</v>
      </c>
      <c r="S10" s="103" t="e">
        <f>(Q10-R10)/R10</f>
        <v>#DIV/0!</v>
      </c>
      <c r="T10" s="54" t="e">
        <f>E10/Q10</f>
        <v>#DIV/0!</v>
      </c>
      <c r="U10" s="54" t="e">
        <f>F10/R10</f>
        <v>#DIV/0!</v>
      </c>
      <c r="V10" s="103" t="e">
        <f>(T10-U10)/U10</f>
        <v>#DIV/0!</v>
      </c>
      <c r="W10" s="54">
        <f>SUM(W11:W13)</f>
        <v>0</v>
      </c>
      <c r="X10" s="54">
        <f>SUM(X11:X13)</f>
        <v>0</v>
      </c>
      <c r="Y10" s="103" t="e">
        <f>(W10-X10)/X10</f>
        <v>#DIV/0!</v>
      </c>
      <c r="Z10" s="54">
        <f>SUM(Z11:Z13)</f>
        <v>0</v>
      </c>
      <c r="AA10" s="54">
        <f>SUM(AA11:AA13)</f>
        <v>0</v>
      </c>
      <c r="AB10" s="103" t="e">
        <f>(Z10-AA10)/AA10</f>
        <v>#DIV/0!</v>
      </c>
      <c r="AC10" s="82" t="e">
        <f>W10/Z10</f>
        <v>#DIV/0!</v>
      </c>
      <c r="AD10" s="82" t="e">
        <f>X10/AA10</f>
        <v>#DIV/0!</v>
      </c>
      <c r="AE10" s="103" t="e">
        <f t="shared" ref="AE10" si="2">(AC10-AD10)/AD10</f>
        <v>#DIV/0!</v>
      </c>
    </row>
    <row r="11" spans="1:32" s="96" customFormat="1" ht="15.75" customHeight="1" x14ac:dyDescent="0.3">
      <c r="A11" s="279"/>
      <c r="B11" s="279"/>
      <c r="C11" s="280"/>
      <c r="D11" s="280"/>
      <c r="E11" s="281"/>
      <c r="F11" s="281"/>
      <c r="G11" s="404"/>
      <c r="H11" s="281"/>
      <c r="I11" s="281"/>
      <c r="J11" s="404"/>
      <c r="K11" s="283"/>
      <c r="L11" s="281"/>
      <c r="M11" s="404"/>
      <c r="N11" s="284"/>
      <c r="O11" s="284"/>
      <c r="P11" s="404"/>
      <c r="Q11" s="284"/>
      <c r="R11" s="284"/>
      <c r="S11" s="404"/>
      <c r="T11" s="281"/>
      <c r="U11" s="284"/>
      <c r="V11" s="404"/>
      <c r="W11" s="284"/>
      <c r="X11" s="284"/>
      <c r="Y11" s="404"/>
      <c r="Z11" s="284"/>
      <c r="AA11" s="284"/>
      <c r="AB11" s="404"/>
      <c r="AC11" s="286"/>
      <c r="AD11" s="286"/>
      <c r="AE11" s="404"/>
    </row>
    <row r="12" spans="1:32" s="96" customFormat="1" ht="15.75" customHeight="1" x14ac:dyDescent="0.3">
      <c r="A12" s="279"/>
      <c r="B12" s="279"/>
      <c r="C12" s="280"/>
      <c r="D12" s="280"/>
      <c r="E12" s="281"/>
      <c r="F12" s="281"/>
      <c r="G12" s="404"/>
      <c r="H12" s="281"/>
      <c r="I12" s="281"/>
      <c r="J12" s="404"/>
      <c r="K12" s="283"/>
      <c r="L12" s="281"/>
      <c r="M12" s="404"/>
      <c r="N12" s="284"/>
      <c r="O12" s="284"/>
      <c r="P12" s="404"/>
      <c r="Q12" s="284"/>
      <c r="R12" s="284"/>
      <c r="S12" s="404"/>
      <c r="T12" s="281"/>
      <c r="U12" s="284"/>
      <c r="V12" s="404"/>
      <c r="W12" s="284"/>
      <c r="X12" s="284"/>
      <c r="Y12" s="404"/>
      <c r="Z12" s="284"/>
      <c r="AA12" s="284"/>
      <c r="AB12" s="404"/>
      <c r="AC12" s="286"/>
      <c r="AD12" s="286"/>
      <c r="AE12" s="404"/>
    </row>
    <row r="13" spans="1:32" s="96" customFormat="1" ht="15.75" customHeight="1" x14ac:dyDescent="0.3">
      <c r="A13" s="279"/>
      <c r="B13" s="279"/>
      <c r="C13" s="280"/>
      <c r="D13" s="297" t="s">
        <v>274</v>
      </c>
      <c r="E13" s="281"/>
      <c r="F13" s="281"/>
      <c r="G13" s="404"/>
      <c r="H13" s="281"/>
      <c r="I13" s="281"/>
      <c r="J13" s="404"/>
      <c r="K13" s="283"/>
      <c r="L13" s="281"/>
      <c r="M13" s="404"/>
      <c r="N13" s="284">
        <v>0</v>
      </c>
      <c r="O13" s="284">
        <v>2</v>
      </c>
      <c r="P13" s="404"/>
      <c r="Q13" s="284"/>
      <c r="R13" s="284"/>
      <c r="S13" s="404"/>
      <c r="T13" s="281"/>
      <c r="U13" s="284"/>
      <c r="V13" s="404"/>
      <c r="W13" s="284"/>
      <c r="X13" s="284"/>
      <c r="Y13" s="404"/>
      <c r="Z13" s="284"/>
      <c r="AA13" s="284"/>
      <c r="AB13" s="404"/>
      <c r="AC13" s="286"/>
      <c r="AD13" s="286"/>
      <c r="AE13" s="404"/>
    </row>
    <row r="14" spans="1:32" s="81" customFormat="1" ht="15.75" customHeight="1" x14ac:dyDescent="0.3">
      <c r="A14" s="49" t="s">
        <v>17</v>
      </c>
      <c r="B14" s="49" t="s">
        <v>33</v>
      </c>
      <c r="C14" s="50">
        <f>C10+7</f>
        <v>42755</v>
      </c>
      <c r="D14" s="403" t="s">
        <v>28</v>
      </c>
      <c r="E14" s="51">
        <f>SUM(E15:E17)</f>
        <v>0</v>
      </c>
      <c r="F14" s="51">
        <f>SUM(F15:F17)</f>
        <v>0</v>
      </c>
      <c r="G14" s="103" t="e">
        <f>(E14-F14)/F14</f>
        <v>#DIV/0!</v>
      </c>
      <c r="H14" s="51">
        <f>SUM(H15:H17)</f>
        <v>0</v>
      </c>
      <c r="I14" s="51">
        <f>SUM(I15:I17)</f>
        <v>0</v>
      </c>
      <c r="J14" s="103" t="e">
        <f>(H14-I14)/I14</f>
        <v>#DIV/0!</v>
      </c>
      <c r="K14" s="53" t="e">
        <f>E14/H14</f>
        <v>#DIV/0!</v>
      </c>
      <c r="L14" s="51" t="e">
        <f>F14/I14</f>
        <v>#DIV/0!</v>
      </c>
      <c r="M14" s="103" t="e">
        <f>(K14-L14)/L14</f>
        <v>#DIV/0!</v>
      </c>
      <c r="N14" s="54">
        <f>SUM(N15:N17)</f>
        <v>2</v>
      </c>
      <c r="O14" s="54">
        <f>SUM(O15:O17)</f>
        <v>1</v>
      </c>
      <c r="P14" s="103">
        <f>(N14-O14)/O14</f>
        <v>1</v>
      </c>
      <c r="Q14" s="54">
        <f>SUM(Q15:Q17)</f>
        <v>0</v>
      </c>
      <c r="R14" s="54">
        <f>SUM(R15:R17)</f>
        <v>0</v>
      </c>
      <c r="S14" s="103" t="e">
        <f>(Q14-R14)/R14</f>
        <v>#DIV/0!</v>
      </c>
      <c r="T14" s="54" t="e">
        <f>E14/Q14</f>
        <v>#DIV/0!</v>
      </c>
      <c r="U14" s="54" t="e">
        <f>F14/R14</f>
        <v>#DIV/0!</v>
      </c>
      <c r="V14" s="103" t="e">
        <f>(T14-U14)/U14</f>
        <v>#DIV/0!</v>
      </c>
      <c r="W14" s="54">
        <f>SUM(W15:W17)</f>
        <v>0</v>
      </c>
      <c r="X14" s="54">
        <f>SUM(X15:X17)</f>
        <v>0</v>
      </c>
      <c r="Y14" s="103" t="e">
        <f>(W14-X14)/X14</f>
        <v>#DIV/0!</v>
      </c>
      <c r="Z14" s="54">
        <f>SUM(Z15:Z17)</f>
        <v>0</v>
      </c>
      <c r="AA14" s="54">
        <f>SUM(AA15:AA17)</f>
        <v>0</v>
      </c>
      <c r="AB14" s="103" t="e">
        <f>(Z14-AA14)/AA14</f>
        <v>#DIV/0!</v>
      </c>
      <c r="AC14" s="82" t="e">
        <f>W14/Z14</f>
        <v>#DIV/0!</v>
      </c>
      <c r="AD14" s="82" t="e">
        <f>X14/AA14</f>
        <v>#DIV/0!</v>
      </c>
      <c r="AE14" s="103" t="e">
        <f t="shared" ref="AE14" si="3">(AC14-AD14)/AD14</f>
        <v>#DIV/0!</v>
      </c>
    </row>
    <row r="15" spans="1:32" s="96" customFormat="1" ht="15.75" customHeight="1" x14ac:dyDescent="0.3">
      <c r="A15" s="279"/>
      <c r="B15" s="279"/>
      <c r="C15" s="280"/>
      <c r="D15" s="280"/>
      <c r="E15" s="281"/>
      <c r="F15" s="281"/>
      <c r="G15" s="404"/>
      <c r="H15" s="281"/>
      <c r="I15" s="281"/>
      <c r="J15" s="404"/>
      <c r="K15" s="283"/>
      <c r="L15" s="281"/>
      <c r="M15" s="404"/>
      <c r="N15" s="284"/>
      <c r="O15" s="284"/>
      <c r="P15" s="404"/>
      <c r="Q15" s="284"/>
      <c r="R15" s="284"/>
      <c r="S15" s="404"/>
      <c r="T15" s="281"/>
      <c r="U15" s="284"/>
      <c r="V15" s="404"/>
      <c r="W15" s="284"/>
      <c r="X15" s="284"/>
      <c r="Y15" s="404"/>
      <c r="Z15" s="284"/>
      <c r="AA15" s="284"/>
      <c r="AB15" s="404"/>
      <c r="AC15" s="286"/>
      <c r="AD15" s="286"/>
      <c r="AE15" s="404"/>
    </row>
    <row r="16" spans="1:32" s="96" customFormat="1" ht="15.75" customHeight="1" x14ac:dyDescent="0.3">
      <c r="A16" s="279"/>
      <c r="B16" s="279"/>
      <c r="C16" s="280"/>
      <c r="D16" s="280"/>
      <c r="E16" s="281"/>
      <c r="F16" s="281"/>
      <c r="G16" s="404"/>
      <c r="H16" s="281"/>
      <c r="I16" s="281"/>
      <c r="J16" s="404"/>
      <c r="K16" s="283"/>
      <c r="L16" s="281"/>
      <c r="M16" s="404"/>
      <c r="N16" s="284"/>
      <c r="O16" s="284"/>
      <c r="P16" s="404"/>
      <c r="Q16" s="284"/>
      <c r="R16" s="284"/>
      <c r="S16" s="404"/>
      <c r="T16" s="281"/>
      <c r="U16" s="284"/>
      <c r="V16" s="404"/>
      <c r="W16" s="284"/>
      <c r="X16" s="284"/>
      <c r="Y16" s="404"/>
      <c r="Z16" s="284"/>
      <c r="AA16" s="284"/>
      <c r="AB16" s="404"/>
      <c r="AC16" s="286"/>
      <c r="AD16" s="286"/>
      <c r="AE16" s="404"/>
    </row>
    <row r="17" spans="1:31" s="357" customFormat="1" ht="15.75" customHeight="1" x14ac:dyDescent="0.3">
      <c r="A17" s="347"/>
      <c r="B17" s="347"/>
      <c r="C17" s="348"/>
      <c r="D17" s="349" t="s">
        <v>274</v>
      </c>
      <c r="E17" s="350"/>
      <c r="F17" s="350"/>
      <c r="G17" s="405"/>
      <c r="H17" s="350"/>
      <c r="I17" s="350"/>
      <c r="J17" s="405"/>
      <c r="K17" s="352"/>
      <c r="L17" s="350"/>
      <c r="M17" s="405"/>
      <c r="N17" s="353">
        <v>2</v>
      </c>
      <c r="O17" s="353">
        <v>1</v>
      </c>
      <c r="P17" s="405"/>
      <c r="Q17" s="353"/>
      <c r="R17" s="353"/>
      <c r="S17" s="405"/>
      <c r="T17" s="350"/>
      <c r="U17" s="353"/>
      <c r="V17" s="405"/>
      <c r="W17" s="353"/>
      <c r="X17" s="353"/>
      <c r="Y17" s="405"/>
      <c r="Z17" s="353"/>
      <c r="AA17" s="353"/>
      <c r="AB17" s="405"/>
      <c r="AC17" s="356"/>
      <c r="AD17" s="356"/>
      <c r="AE17" s="405"/>
    </row>
    <row r="18" spans="1:31" s="81" customFormat="1" ht="15.75" customHeight="1" x14ac:dyDescent="0.3">
      <c r="A18" s="49" t="s">
        <v>18</v>
      </c>
      <c r="B18" s="49" t="s">
        <v>34</v>
      </c>
      <c r="C18" s="50">
        <f>C14+7</f>
        <v>42762</v>
      </c>
      <c r="D18" s="403" t="s">
        <v>28</v>
      </c>
      <c r="E18" s="51">
        <f>SUM(E19:E21)</f>
        <v>0</v>
      </c>
      <c r="F18" s="51">
        <f>SUM(F19:F21)</f>
        <v>0</v>
      </c>
      <c r="G18" s="103" t="e">
        <f>(E18-F18)/F18</f>
        <v>#DIV/0!</v>
      </c>
      <c r="H18" s="51">
        <f>SUM(H19:H21)</f>
        <v>0</v>
      </c>
      <c r="I18" s="51">
        <f>SUM(I19:I21)</f>
        <v>0</v>
      </c>
      <c r="J18" s="103" t="e">
        <f>(H18-I18)/I18</f>
        <v>#DIV/0!</v>
      </c>
      <c r="K18" s="53" t="e">
        <f>E18/H18</f>
        <v>#DIV/0!</v>
      </c>
      <c r="L18" s="51" t="e">
        <f>F18/I18</f>
        <v>#DIV/0!</v>
      </c>
      <c r="M18" s="103" t="e">
        <f>(K18-L18)/L18</f>
        <v>#DIV/0!</v>
      </c>
      <c r="N18" s="54">
        <f>SUM(N19:N21)</f>
        <v>0</v>
      </c>
      <c r="O18" s="54">
        <f>SUM(O19:O21)</f>
        <v>0</v>
      </c>
      <c r="P18" s="103" t="e">
        <f>(N18-O18)/O18</f>
        <v>#DIV/0!</v>
      </c>
      <c r="Q18" s="54">
        <f>SUM(Q19:Q21)</f>
        <v>0</v>
      </c>
      <c r="R18" s="54">
        <f>SUM(R19:R21)</f>
        <v>0</v>
      </c>
      <c r="S18" s="103" t="e">
        <f>(Q18-R18)/R18</f>
        <v>#DIV/0!</v>
      </c>
      <c r="T18" s="54" t="e">
        <f>E18/Q18</f>
        <v>#DIV/0!</v>
      </c>
      <c r="U18" s="54" t="e">
        <f>F18/R18</f>
        <v>#DIV/0!</v>
      </c>
      <c r="V18" s="103" t="e">
        <f>(T18-U18)/U18</f>
        <v>#DIV/0!</v>
      </c>
      <c r="W18" s="54">
        <f>SUM(W19:W21)</f>
        <v>0</v>
      </c>
      <c r="X18" s="54">
        <f>SUM(X19:X21)</f>
        <v>0</v>
      </c>
      <c r="Y18" s="103" t="e">
        <f>(W18-X18)/X18</f>
        <v>#DIV/0!</v>
      </c>
      <c r="Z18" s="54">
        <f>SUM(Z19:Z21)</f>
        <v>0</v>
      </c>
      <c r="AA18" s="54">
        <f>SUM(AA19:AA21)</f>
        <v>0</v>
      </c>
      <c r="AB18" s="103" t="e">
        <f>(Z18-AA18)/AA18</f>
        <v>#DIV/0!</v>
      </c>
      <c r="AC18" s="82" t="e">
        <f>W18/Z18</f>
        <v>#DIV/0!</v>
      </c>
      <c r="AD18" s="82" t="e">
        <f>X18/AA18</f>
        <v>#DIV/0!</v>
      </c>
      <c r="AE18" s="103" t="e">
        <f t="shared" ref="AE18" si="4">(AC18-AD18)/AD18</f>
        <v>#DIV/0!</v>
      </c>
    </row>
    <row r="19" spans="1:31" s="96" customFormat="1" ht="15.75" customHeight="1" x14ac:dyDescent="0.3">
      <c r="A19" s="279"/>
      <c r="B19" s="279"/>
      <c r="C19" s="280"/>
      <c r="D19" s="280"/>
      <c r="E19" s="281"/>
      <c r="F19" s="281"/>
      <c r="G19" s="404"/>
      <c r="H19" s="281"/>
      <c r="I19" s="281"/>
      <c r="J19" s="404"/>
      <c r="K19" s="283"/>
      <c r="L19" s="281"/>
      <c r="M19" s="404"/>
      <c r="N19" s="284"/>
      <c r="O19" s="284"/>
      <c r="P19" s="404"/>
      <c r="Q19" s="284"/>
      <c r="R19" s="284"/>
      <c r="S19" s="404"/>
      <c r="T19" s="281"/>
      <c r="U19" s="284"/>
      <c r="V19" s="404"/>
      <c r="W19" s="284"/>
      <c r="X19" s="284"/>
      <c r="Y19" s="404"/>
      <c r="Z19" s="284"/>
      <c r="AA19" s="284"/>
      <c r="AB19" s="404"/>
      <c r="AC19" s="286"/>
      <c r="AD19" s="286"/>
      <c r="AE19" s="404"/>
    </row>
    <row r="20" spans="1:31" s="96" customFormat="1" ht="15.75" customHeight="1" x14ac:dyDescent="0.3">
      <c r="A20" s="279"/>
      <c r="B20" s="279"/>
      <c r="C20" s="280"/>
      <c r="D20" s="280"/>
      <c r="E20" s="281"/>
      <c r="F20" s="281"/>
      <c r="G20" s="404"/>
      <c r="H20" s="281"/>
      <c r="I20" s="281"/>
      <c r="J20" s="404"/>
      <c r="K20" s="283"/>
      <c r="L20" s="281"/>
      <c r="M20" s="404"/>
      <c r="N20" s="284"/>
      <c r="O20" s="284"/>
      <c r="P20" s="404"/>
      <c r="Q20" s="284"/>
      <c r="R20" s="284"/>
      <c r="S20" s="404"/>
      <c r="T20" s="281"/>
      <c r="U20" s="284"/>
      <c r="V20" s="404"/>
      <c r="W20" s="284"/>
      <c r="X20" s="284"/>
      <c r="Y20" s="404"/>
      <c r="Z20" s="284"/>
      <c r="AA20" s="284"/>
      <c r="AB20" s="404"/>
      <c r="AC20" s="286"/>
      <c r="AD20" s="286"/>
      <c r="AE20" s="404"/>
    </row>
    <row r="21" spans="1:31" s="96" customFormat="1" ht="15.75" customHeight="1" x14ac:dyDescent="0.3">
      <c r="A21" s="279"/>
      <c r="B21" s="279"/>
      <c r="C21" s="280"/>
      <c r="D21" s="297" t="s">
        <v>274</v>
      </c>
      <c r="E21" s="281"/>
      <c r="F21" s="281"/>
      <c r="G21" s="404"/>
      <c r="H21" s="281"/>
      <c r="I21" s="281"/>
      <c r="J21" s="404"/>
      <c r="K21" s="283"/>
      <c r="L21" s="281"/>
      <c r="M21" s="404"/>
      <c r="N21" s="284">
        <v>0</v>
      </c>
      <c r="O21" s="284"/>
      <c r="P21" s="404"/>
      <c r="Q21" s="284"/>
      <c r="R21" s="284"/>
      <c r="S21" s="404"/>
      <c r="T21" s="281"/>
      <c r="U21" s="284"/>
      <c r="V21" s="404"/>
      <c r="W21" s="284"/>
      <c r="X21" s="284"/>
      <c r="Y21" s="404"/>
      <c r="Z21" s="284"/>
      <c r="AA21" s="284"/>
      <c r="AB21" s="404"/>
      <c r="AC21" s="286"/>
      <c r="AD21" s="286"/>
      <c r="AE21" s="404"/>
    </row>
    <row r="22" spans="1:31" s="81" customFormat="1" ht="15.75" customHeight="1" x14ac:dyDescent="0.3">
      <c r="A22" s="49" t="s">
        <v>18</v>
      </c>
      <c r="B22" s="49" t="s">
        <v>35</v>
      </c>
      <c r="C22" s="50">
        <f>C18+7</f>
        <v>42769</v>
      </c>
      <c r="D22" s="403" t="s">
        <v>28</v>
      </c>
      <c r="E22" s="51">
        <f>SUM(E23:E25)</f>
        <v>0</v>
      </c>
      <c r="F22" s="51">
        <f>SUM(F23:F25)</f>
        <v>0</v>
      </c>
      <c r="G22" s="103" t="e">
        <f>(E22-F22)/F22</f>
        <v>#DIV/0!</v>
      </c>
      <c r="H22" s="51">
        <f>SUM(H23:H25)</f>
        <v>0</v>
      </c>
      <c r="I22" s="51">
        <f>SUM(I23:I25)</f>
        <v>0</v>
      </c>
      <c r="J22" s="103" t="e">
        <f>(H22-I22)/I22</f>
        <v>#DIV/0!</v>
      </c>
      <c r="K22" s="53" t="e">
        <f>E22/H22</f>
        <v>#DIV/0!</v>
      </c>
      <c r="L22" s="51" t="e">
        <f>F22/I22</f>
        <v>#DIV/0!</v>
      </c>
      <c r="M22" s="103" t="e">
        <f>(K22-L22)/L22</f>
        <v>#DIV/0!</v>
      </c>
      <c r="N22" s="54">
        <f>SUM(N23:N25)</f>
        <v>1</v>
      </c>
      <c r="O22" s="54">
        <f>SUM(O23:O25)</f>
        <v>0</v>
      </c>
      <c r="P22" s="103" t="e">
        <f>(N22-O22)/O22</f>
        <v>#DIV/0!</v>
      </c>
      <c r="Q22" s="54">
        <f>SUM(Q23:Q25)</f>
        <v>0</v>
      </c>
      <c r="R22" s="54">
        <f>SUM(R23:R25)</f>
        <v>0</v>
      </c>
      <c r="S22" s="103" t="e">
        <f>(Q22-R22)/R22</f>
        <v>#DIV/0!</v>
      </c>
      <c r="T22" s="54" t="e">
        <f>E22/Q22</f>
        <v>#DIV/0!</v>
      </c>
      <c r="U22" s="54" t="e">
        <f>F22/R22</f>
        <v>#DIV/0!</v>
      </c>
      <c r="V22" s="103" t="e">
        <f>(T22-U22)/U22</f>
        <v>#DIV/0!</v>
      </c>
      <c r="W22" s="54">
        <f>SUM(W23:W25)</f>
        <v>0</v>
      </c>
      <c r="X22" s="54">
        <f>SUM(X23:X25)</f>
        <v>0</v>
      </c>
      <c r="Y22" s="103" t="e">
        <f>(W22-X22)/X22</f>
        <v>#DIV/0!</v>
      </c>
      <c r="Z22" s="54">
        <f>SUM(Z23:Z25)</f>
        <v>0</v>
      </c>
      <c r="AA22" s="54">
        <f>SUM(AA23:AA25)</f>
        <v>0</v>
      </c>
      <c r="AB22" s="103" t="e">
        <f>(Z22-AA22)/AA22</f>
        <v>#DIV/0!</v>
      </c>
      <c r="AC22" s="82" t="e">
        <f>W22/Z22</f>
        <v>#DIV/0!</v>
      </c>
      <c r="AD22" s="82" t="e">
        <f>X22/AA22</f>
        <v>#DIV/0!</v>
      </c>
      <c r="AE22" s="103" t="e">
        <f t="shared" ref="AE22" si="5">(AC22-AD22)/AD22</f>
        <v>#DIV/0!</v>
      </c>
    </row>
    <row r="23" spans="1:31" s="96" customFormat="1" ht="15.75" customHeight="1" x14ac:dyDescent="0.3">
      <c r="A23" s="279"/>
      <c r="B23" s="279"/>
      <c r="C23" s="280"/>
      <c r="D23" s="280"/>
      <c r="E23" s="281"/>
      <c r="F23" s="281"/>
      <c r="G23" s="404"/>
      <c r="H23" s="281"/>
      <c r="I23" s="281"/>
      <c r="J23" s="404"/>
      <c r="K23" s="283"/>
      <c r="L23" s="281"/>
      <c r="M23" s="404"/>
      <c r="N23" s="284"/>
      <c r="O23" s="284"/>
      <c r="P23" s="404"/>
      <c r="Q23" s="284"/>
      <c r="R23" s="284"/>
      <c r="S23" s="404"/>
      <c r="T23" s="281"/>
      <c r="U23" s="284"/>
      <c r="V23" s="404"/>
      <c r="W23" s="284"/>
      <c r="X23" s="284"/>
      <c r="Y23" s="404"/>
      <c r="Z23" s="284"/>
      <c r="AA23" s="284"/>
      <c r="AB23" s="404"/>
      <c r="AC23" s="286"/>
      <c r="AD23" s="286"/>
      <c r="AE23" s="404"/>
    </row>
    <row r="24" spans="1:31" s="96" customFormat="1" ht="15.75" customHeight="1" x14ac:dyDescent="0.3">
      <c r="A24" s="279"/>
      <c r="B24" s="279"/>
      <c r="C24" s="280"/>
      <c r="D24" s="280"/>
      <c r="E24" s="281"/>
      <c r="F24" s="281"/>
      <c r="G24" s="404"/>
      <c r="H24" s="281"/>
      <c r="I24" s="281"/>
      <c r="J24" s="404"/>
      <c r="K24" s="283"/>
      <c r="L24" s="281"/>
      <c r="M24" s="404"/>
      <c r="N24" s="284"/>
      <c r="O24" s="284"/>
      <c r="P24" s="404"/>
      <c r="Q24" s="284"/>
      <c r="R24" s="284"/>
      <c r="S24" s="404"/>
      <c r="T24" s="281"/>
      <c r="U24" s="284"/>
      <c r="V24" s="404"/>
      <c r="W24" s="284"/>
      <c r="X24" s="284"/>
      <c r="Y24" s="404"/>
      <c r="Z24" s="284"/>
      <c r="AA24" s="284"/>
      <c r="AB24" s="404"/>
      <c r="AC24" s="286"/>
      <c r="AD24" s="286"/>
      <c r="AE24" s="404"/>
    </row>
    <row r="25" spans="1:31" s="96" customFormat="1" ht="15.75" customHeight="1" x14ac:dyDescent="0.3">
      <c r="A25" s="279"/>
      <c r="B25" s="279"/>
      <c r="C25" s="280"/>
      <c r="D25" s="297" t="s">
        <v>274</v>
      </c>
      <c r="E25" s="281"/>
      <c r="F25" s="281"/>
      <c r="G25" s="404"/>
      <c r="H25" s="281"/>
      <c r="I25" s="281"/>
      <c r="J25" s="404"/>
      <c r="K25" s="283"/>
      <c r="L25" s="281"/>
      <c r="M25" s="404"/>
      <c r="N25" s="284">
        <v>1</v>
      </c>
      <c r="O25" s="284"/>
      <c r="P25" s="404"/>
      <c r="Q25" s="284"/>
      <c r="R25" s="284"/>
      <c r="S25" s="404"/>
      <c r="T25" s="281"/>
      <c r="U25" s="284"/>
      <c r="V25" s="404"/>
      <c r="W25" s="284"/>
      <c r="X25" s="284"/>
      <c r="Y25" s="404"/>
      <c r="Z25" s="284"/>
      <c r="AA25" s="284"/>
      <c r="AB25" s="404"/>
      <c r="AC25" s="286"/>
      <c r="AD25" s="286"/>
      <c r="AE25" s="404"/>
    </row>
    <row r="26" spans="1:31" s="81" customFormat="1" ht="15.75" customHeight="1" x14ac:dyDescent="0.3">
      <c r="A26" s="49" t="s">
        <v>18</v>
      </c>
      <c r="B26" s="49" t="s">
        <v>36</v>
      </c>
      <c r="C26" s="50">
        <f>C22+7</f>
        <v>42776</v>
      </c>
      <c r="D26" s="403" t="s">
        <v>28</v>
      </c>
      <c r="E26" s="51">
        <f>SUM(E27:E29)</f>
        <v>0</v>
      </c>
      <c r="F26" s="51">
        <f>SUM(F27:F29)</f>
        <v>0</v>
      </c>
      <c r="G26" s="103" t="e">
        <f>(E26-F26)/F26</f>
        <v>#DIV/0!</v>
      </c>
      <c r="H26" s="51">
        <f>SUM(H27:H29)</f>
        <v>0</v>
      </c>
      <c r="I26" s="51">
        <f>SUM(I27:I29)</f>
        <v>0</v>
      </c>
      <c r="J26" s="103" t="e">
        <f>(H26-I26)/I26</f>
        <v>#DIV/0!</v>
      </c>
      <c r="K26" s="53" t="e">
        <f>E26/H26</f>
        <v>#DIV/0!</v>
      </c>
      <c r="L26" s="51" t="e">
        <f>F26/I26</f>
        <v>#DIV/0!</v>
      </c>
      <c r="M26" s="103" t="e">
        <f>(K26-L26)/L26</f>
        <v>#DIV/0!</v>
      </c>
      <c r="N26" s="54">
        <f>SUM(N27:N29)</f>
        <v>0</v>
      </c>
      <c r="O26" s="54">
        <f>SUM(O27:O29)</f>
        <v>0</v>
      </c>
      <c r="P26" s="103" t="e">
        <f>(N26-O26)/O26</f>
        <v>#DIV/0!</v>
      </c>
      <c r="Q26" s="54">
        <f>SUM(Q27:Q29)</f>
        <v>0</v>
      </c>
      <c r="R26" s="54">
        <f>SUM(R27:R29)</f>
        <v>0</v>
      </c>
      <c r="S26" s="103" t="e">
        <f>(Q26-R26)/R26</f>
        <v>#DIV/0!</v>
      </c>
      <c r="T26" s="54" t="e">
        <f>E26/Q26</f>
        <v>#DIV/0!</v>
      </c>
      <c r="U26" s="54" t="e">
        <f>F26/R26</f>
        <v>#DIV/0!</v>
      </c>
      <c r="V26" s="103" t="e">
        <f>(T26-U26)/U26</f>
        <v>#DIV/0!</v>
      </c>
      <c r="W26" s="54">
        <f>SUM(W27:W29)</f>
        <v>0</v>
      </c>
      <c r="X26" s="54">
        <f>SUM(X27:X29)</f>
        <v>0</v>
      </c>
      <c r="Y26" s="103" t="e">
        <f>(W26-X26)/X26</f>
        <v>#DIV/0!</v>
      </c>
      <c r="Z26" s="54">
        <f>SUM(Z27:Z29)</f>
        <v>0</v>
      </c>
      <c r="AA26" s="54">
        <f>SUM(AA27:AA29)</f>
        <v>0</v>
      </c>
      <c r="AB26" s="103" t="e">
        <f>(Z26-AA26)/AA26</f>
        <v>#DIV/0!</v>
      </c>
      <c r="AC26" s="82" t="e">
        <f>W26/Z26</f>
        <v>#DIV/0!</v>
      </c>
      <c r="AD26" s="82" t="e">
        <f>X26/AA26</f>
        <v>#DIV/0!</v>
      </c>
      <c r="AE26" s="103" t="e">
        <f t="shared" ref="AE26" si="6">(AC26-AD26)/AD26</f>
        <v>#DIV/0!</v>
      </c>
    </row>
    <row r="27" spans="1:31" s="96" customFormat="1" ht="15.75" customHeight="1" x14ac:dyDescent="0.3">
      <c r="A27" s="279"/>
      <c r="B27" s="279"/>
      <c r="C27" s="280"/>
      <c r="D27" s="280"/>
      <c r="E27" s="281"/>
      <c r="F27" s="281"/>
      <c r="G27" s="404"/>
      <c r="H27" s="281"/>
      <c r="I27" s="281"/>
      <c r="J27" s="404"/>
      <c r="K27" s="283"/>
      <c r="L27" s="281"/>
      <c r="M27" s="404"/>
      <c r="N27" s="284"/>
      <c r="O27" s="284"/>
      <c r="P27" s="404"/>
      <c r="Q27" s="284"/>
      <c r="R27" s="284"/>
      <c r="S27" s="404"/>
      <c r="T27" s="281"/>
      <c r="U27" s="284"/>
      <c r="V27" s="404"/>
      <c r="W27" s="284"/>
      <c r="X27" s="284"/>
      <c r="Y27" s="404"/>
      <c r="Z27" s="284"/>
      <c r="AA27" s="284"/>
      <c r="AB27" s="404"/>
      <c r="AC27" s="286"/>
      <c r="AD27" s="286"/>
      <c r="AE27" s="404"/>
    </row>
    <row r="28" spans="1:31" s="96" customFormat="1" ht="15.75" customHeight="1" x14ac:dyDescent="0.3">
      <c r="A28" s="279"/>
      <c r="B28" s="279"/>
      <c r="C28" s="280"/>
      <c r="D28" s="280"/>
      <c r="E28" s="281"/>
      <c r="F28" s="281"/>
      <c r="G28" s="404"/>
      <c r="H28" s="281"/>
      <c r="I28" s="281"/>
      <c r="J28" s="404"/>
      <c r="K28" s="283"/>
      <c r="L28" s="281"/>
      <c r="M28" s="404"/>
      <c r="N28" s="284"/>
      <c r="O28" s="284"/>
      <c r="P28" s="404"/>
      <c r="Q28" s="284"/>
      <c r="R28" s="284"/>
      <c r="S28" s="404"/>
      <c r="T28" s="281"/>
      <c r="U28" s="284"/>
      <c r="V28" s="404"/>
      <c r="W28" s="284"/>
      <c r="X28" s="284"/>
      <c r="Y28" s="404"/>
      <c r="Z28" s="284"/>
      <c r="AA28" s="284"/>
      <c r="AB28" s="404"/>
      <c r="AC28" s="286"/>
      <c r="AD28" s="286"/>
      <c r="AE28" s="404"/>
    </row>
    <row r="29" spans="1:31" s="96" customFormat="1" ht="15.75" customHeight="1" x14ac:dyDescent="0.3">
      <c r="A29" s="279"/>
      <c r="B29" s="279"/>
      <c r="C29" s="280"/>
      <c r="D29" s="297" t="s">
        <v>274</v>
      </c>
      <c r="E29" s="281"/>
      <c r="F29" s="281"/>
      <c r="G29" s="404"/>
      <c r="H29" s="281"/>
      <c r="I29" s="281"/>
      <c r="J29" s="404"/>
      <c r="K29" s="283"/>
      <c r="L29" s="281"/>
      <c r="M29" s="404"/>
      <c r="N29" s="284"/>
      <c r="O29" s="284"/>
      <c r="P29" s="404"/>
      <c r="Q29" s="284"/>
      <c r="R29" s="284"/>
      <c r="S29" s="404"/>
      <c r="T29" s="281"/>
      <c r="U29" s="284"/>
      <c r="V29" s="404"/>
      <c r="W29" s="284"/>
      <c r="X29" s="284"/>
      <c r="Y29" s="404"/>
      <c r="Z29" s="284"/>
      <c r="AA29" s="284"/>
      <c r="AB29" s="404"/>
      <c r="AC29" s="286"/>
      <c r="AD29" s="286"/>
      <c r="AE29" s="404"/>
    </row>
    <row r="30" spans="1:31" s="81" customFormat="1" ht="15.75" customHeight="1" x14ac:dyDescent="0.3">
      <c r="A30" s="49" t="s">
        <v>18</v>
      </c>
      <c r="B30" s="49" t="s">
        <v>37</v>
      </c>
      <c r="C30" s="50">
        <f>C26+7</f>
        <v>42783</v>
      </c>
      <c r="D30" s="403" t="s">
        <v>28</v>
      </c>
      <c r="E30" s="51">
        <f>SUM(E31:E33)</f>
        <v>0</v>
      </c>
      <c r="F30" s="51">
        <f>SUM(F31:F33)</f>
        <v>0</v>
      </c>
      <c r="G30" s="103" t="e">
        <f>(E30-F30)/F30</f>
        <v>#DIV/0!</v>
      </c>
      <c r="H30" s="51">
        <f>SUM(H31:H33)</f>
        <v>0</v>
      </c>
      <c r="I30" s="51">
        <f>SUM(I31:I33)</f>
        <v>0</v>
      </c>
      <c r="J30" s="103" t="e">
        <f>(H30-I30)/I30</f>
        <v>#DIV/0!</v>
      </c>
      <c r="K30" s="53" t="e">
        <f>E30/H30</f>
        <v>#DIV/0!</v>
      </c>
      <c r="L30" s="51" t="e">
        <f>F30/I30</f>
        <v>#DIV/0!</v>
      </c>
      <c r="M30" s="103" t="e">
        <f>(K30-L30)/L30</f>
        <v>#DIV/0!</v>
      </c>
      <c r="N30" s="54">
        <f>SUM(N31:N33)</f>
        <v>0</v>
      </c>
      <c r="O30" s="54">
        <f>SUM(O31:O33)</f>
        <v>0</v>
      </c>
      <c r="P30" s="103" t="e">
        <f>(N30-O30)/O30</f>
        <v>#DIV/0!</v>
      </c>
      <c r="Q30" s="54">
        <f>SUM(Q31:Q33)</f>
        <v>0</v>
      </c>
      <c r="R30" s="54">
        <f>SUM(R31:R33)</f>
        <v>0</v>
      </c>
      <c r="S30" s="103" t="e">
        <f>(Q30-R30)/R30</f>
        <v>#DIV/0!</v>
      </c>
      <c r="T30" s="54" t="e">
        <f>E30/Q30</f>
        <v>#DIV/0!</v>
      </c>
      <c r="U30" s="54" t="e">
        <f>F30/R30</f>
        <v>#DIV/0!</v>
      </c>
      <c r="V30" s="103" t="e">
        <f>(T30-U30)/U30</f>
        <v>#DIV/0!</v>
      </c>
      <c r="W30" s="54">
        <f>SUM(W31:W33)</f>
        <v>0</v>
      </c>
      <c r="X30" s="54">
        <f>SUM(X31:X33)</f>
        <v>0</v>
      </c>
      <c r="Y30" s="103" t="e">
        <f>(W30-X30)/X30</f>
        <v>#DIV/0!</v>
      </c>
      <c r="Z30" s="54">
        <f>SUM(Z31:Z33)</f>
        <v>0</v>
      </c>
      <c r="AA30" s="54">
        <f>SUM(AA31:AA33)</f>
        <v>0</v>
      </c>
      <c r="AB30" s="103" t="e">
        <f>(Z30-AA30)/AA30</f>
        <v>#DIV/0!</v>
      </c>
      <c r="AC30" s="82" t="e">
        <f>W30/Z30</f>
        <v>#DIV/0!</v>
      </c>
      <c r="AD30" s="82" t="e">
        <f>X30/AA30</f>
        <v>#DIV/0!</v>
      </c>
      <c r="AE30" s="103" t="e">
        <f t="shared" ref="AE30" si="7">(AC30-AD30)/AD30</f>
        <v>#DIV/0!</v>
      </c>
    </row>
    <row r="31" spans="1:31" s="96" customFormat="1" ht="15.75" customHeight="1" x14ac:dyDescent="0.3">
      <c r="A31" s="279"/>
      <c r="B31" s="279"/>
      <c r="C31" s="280"/>
      <c r="D31" s="280"/>
      <c r="E31" s="281"/>
      <c r="F31" s="281"/>
      <c r="G31" s="404"/>
      <c r="H31" s="281"/>
      <c r="I31" s="281"/>
      <c r="J31" s="404"/>
      <c r="K31" s="283"/>
      <c r="L31" s="281"/>
      <c r="M31" s="404"/>
      <c r="N31" s="284"/>
      <c r="O31" s="284"/>
      <c r="P31" s="404"/>
      <c r="Q31" s="284"/>
      <c r="R31" s="284"/>
      <c r="S31" s="404"/>
      <c r="T31" s="281"/>
      <c r="U31" s="284"/>
      <c r="V31" s="404"/>
      <c r="W31" s="284"/>
      <c r="X31" s="284"/>
      <c r="Y31" s="404"/>
      <c r="Z31" s="284"/>
      <c r="AA31" s="284"/>
      <c r="AB31" s="404"/>
      <c r="AC31" s="286"/>
      <c r="AD31" s="286"/>
      <c r="AE31" s="404"/>
    </row>
    <row r="32" spans="1:31" s="96" customFormat="1" ht="15.75" customHeight="1" x14ac:dyDescent="0.3">
      <c r="A32" s="279"/>
      <c r="B32" s="279"/>
      <c r="C32" s="280"/>
      <c r="D32" s="280"/>
      <c r="E32" s="281"/>
      <c r="F32" s="281"/>
      <c r="G32" s="404"/>
      <c r="H32" s="281"/>
      <c r="I32" s="281"/>
      <c r="J32" s="404"/>
      <c r="K32" s="283"/>
      <c r="L32" s="281"/>
      <c r="M32" s="404"/>
      <c r="N32" s="284"/>
      <c r="O32" s="284"/>
      <c r="P32" s="404"/>
      <c r="Q32" s="284"/>
      <c r="R32" s="284"/>
      <c r="S32" s="404"/>
      <c r="T32" s="281"/>
      <c r="U32" s="284"/>
      <c r="V32" s="404"/>
      <c r="W32" s="284"/>
      <c r="X32" s="284"/>
      <c r="Y32" s="404"/>
      <c r="Z32" s="284"/>
      <c r="AA32" s="284"/>
      <c r="AB32" s="404"/>
      <c r="AC32" s="286"/>
      <c r="AD32" s="286"/>
      <c r="AE32" s="404"/>
    </row>
    <row r="33" spans="1:31" s="357" customFormat="1" ht="15.75" customHeight="1" x14ac:dyDescent="0.3">
      <c r="A33" s="347"/>
      <c r="B33" s="347"/>
      <c r="C33" s="348"/>
      <c r="D33" s="349" t="s">
        <v>274</v>
      </c>
      <c r="E33" s="350"/>
      <c r="F33" s="350"/>
      <c r="G33" s="405"/>
      <c r="H33" s="350"/>
      <c r="I33" s="350"/>
      <c r="J33" s="405"/>
      <c r="K33" s="352"/>
      <c r="L33" s="350"/>
      <c r="M33" s="405"/>
      <c r="N33" s="353"/>
      <c r="O33" s="353"/>
      <c r="P33" s="405"/>
      <c r="Q33" s="353"/>
      <c r="R33" s="353"/>
      <c r="S33" s="405"/>
      <c r="T33" s="350"/>
      <c r="U33" s="353"/>
      <c r="V33" s="405"/>
      <c r="W33" s="353"/>
      <c r="X33" s="353"/>
      <c r="Y33" s="405"/>
      <c r="Z33" s="353"/>
      <c r="AA33" s="353"/>
      <c r="AB33" s="405"/>
      <c r="AC33" s="356"/>
      <c r="AD33" s="356"/>
      <c r="AE33" s="405"/>
    </row>
    <row r="34" spans="1:31" s="81" customFormat="1" ht="15.75" customHeight="1" x14ac:dyDescent="0.3">
      <c r="A34" s="49" t="s">
        <v>38</v>
      </c>
      <c r="B34" s="49" t="s">
        <v>39</v>
      </c>
      <c r="C34" s="50">
        <f>C30+7</f>
        <v>42790</v>
      </c>
      <c r="D34" s="403" t="s">
        <v>28</v>
      </c>
      <c r="E34" s="51">
        <f>SUM(E35:E37)</f>
        <v>0</v>
      </c>
      <c r="F34" s="51">
        <f>SUM(F35:F37)</f>
        <v>0</v>
      </c>
      <c r="G34" s="103" t="e">
        <f>(E34-F34)/F34</f>
        <v>#DIV/0!</v>
      </c>
      <c r="H34" s="51">
        <f>SUM(H35:H37)</f>
        <v>0</v>
      </c>
      <c r="I34" s="51">
        <f>SUM(I35:I37)</f>
        <v>0</v>
      </c>
      <c r="J34" s="103" t="e">
        <f>(H34-I34)/I34</f>
        <v>#DIV/0!</v>
      </c>
      <c r="K34" s="53" t="e">
        <f>E34/H34</f>
        <v>#DIV/0!</v>
      </c>
      <c r="L34" s="51" t="e">
        <f>F34/I34</f>
        <v>#DIV/0!</v>
      </c>
      <c r="M34" s="103" t="e">
        <f>(K34-L34)/L34</f>
        <v>#DIV/0!</v>
      </c>
      <c r="N34" s="54">
        <f>SUM(N35:N37)</f>
        <v>0</v>
      </c>
      <c r="O34" s="54">
        <f>SUM(O35:O37)</f>
        <v>0</v>
      </c>
      <c r="P34" s="103" t="e">
        <f>(N34-O34)/O34</f>
        <v>#DIV/0!</v>
      </c>
      <c r="Q34" s="54">
        <f>SUM(Q35:Q37)</f>
        <v>0</v>
      </c>
      <c r="R34" s="54">
        <f>SUM(R35:R37)</f>
        <v>0</v>
      </c>
      <c r="S34" s="103" t="e">
        <f>(Q34-R34)/R34</f>
        <v>#DIV/0!</v>
      </c>
      <c r="T34" s="54" t="e">
        <f>E34/Q34</f>
        <v>#DIV/0!</v>
      </c>
      <c r="U34" s="54" t="e">
        <f>F34/R34</f>
        <v>#DIV/0!</v>
      </c>
      <c r="V34" s="103" t="e">
        <f>(T34-U34)/U34</f>
        <v>#DIV/0!</v>
      </c>
      <c r="W34" s="54">
        <f>SUM(W35:W37)</f>
        <v>0</v>
      </c>
      <c r="X34" s="54">
        <f>SUM(X35:X37)</f>
        <v>0</v>
      </c>
      <c r="Y34" s="103" t="e">
        <f>(W34-X34)/X34</f>
        <v>#DIV/0!</v>
      </c>
      <c r="Z34" s="54">
        <f>SUM(Z35:Z37)</f>
        <v>0</v>
      </c>
      <c r="AA34" s="54">
        <f>SUM(AA35:AA37)</f>
        <v>0</v>
      </c>
      <c r="AB34" s="103" t="e">
        <f>(Z34-AA34)/AA34</f>
        <v>#DIV/0!</v>
      </c>
      <c r="AC34" s="82" t="e">
        <f>W34/Z34</f>
        <v>#DIV/0!</v>
      </c>
      <c r="AD34" s="82" t="e">
        <f>X34/AA34</f>
        <v>#DIV/0!</v>
      </c>
      <c r="AE34" s="103" t="e">
        <f t="shared" ref="AE34" si="8">(AC34-AD34)/AD34</f>
        <v>#DIV/0!</v>
      </c>
    </row>
    <row r="35" spans="1:31" s="96" customFormat="1" ht="15.75" customHeight="1" x14ac:dyDescent="0.3">
      <c r="A35" s="279"/>
      <c r="B35" s="279"/>
      <c r="C35" s="280"/>
      <c r="D35" s="280"/>
      <c r="E35" s="281"/>
      <c r="F35" s="281"/>
      <c r="G35" s="404"/>
      <c r="H35" s="281"/>
      <c r="I35" s="281"/>
      <c r="J35" s="404"/>
      <c r="K35" s="283"/>
      <c r="L35" s="281"/>
      <c r="M35" s="404"/>
      <c r="N35" s="284"/>
      <c r="O35" s="284"/>
      <c r="P35" s="404"/>
      <c r="Q35" s="284"/>
      <c r="R35" s="284"/>
      <c r="S35" s="404"/>
      <c r="T35" s="281"/>
      <c r="U35" s="284"/>
      <c r="V35" s="404"/>
      <c r="W35" s="284"/>
      <c r="X35" s="284"/>
      <c r="Y35" s="404"/>
      <c r="Z35" s="284"/>
      <c r="AA35" s="284"/>
      <c r="AB35" s="404"/>
      <c r="AC35" s="286"/>
      <c r="AD35" s="286"/>
      <c r="AE35" s="404"/>
    </row>
    <row r="36" spans="1:31" s="96" customFormat="1" ht="15.75" customHeight="1" x14ac:dyDescent="0.3">
      <c r="A36" s="279"/>
      <c r="B36" s="279"/>
      <c r="C36" s="280"/>
      <c r="D36" s="280"/>
      <c r="E36" s="281"/>
      <c r="F36" s="281"/>
      <c r="G36" s="404"/>
      <c r="H36" s="281"/>
      <c r="I36" s="281"/>
      <c r="J36" s="404"/>
      <c r="K36" s="283"/>
      <c r="L36" s="281"/>
      <c r="M36" s="404"/>
      <c r="N36" s="284"/>
      <c r="O36" s="284"/>
      <c r="P36" s="404"/>
      <c r="Q36" s="284"/>
      <c r="R36" s="284"/>
      <c r="S36" s="404"/>
      <c r="T36" s="281"/>
      <c r="U36" s="284"/>
      <c r="V36" s="404"/>
      <c r="W36" s="284"/>
      <c r="X36" s="284"/>
      <c r="Y36" s="404"/>
      <c r="Z36" s="284"/>
      <c r="AA36" s="284"/>
      <c r="AB36" s="404"/>
      <c r="AC36" s="286"/>
      <c r="AD36" s="286"/>
      <c r="AE36" s="404"/>
    </row>
    <row r="37" spans="1:31" s="96" customFormat="1" ht="15.75" customHeight="1" x14ac:dyDescent="0.3">
      <c r="A37" s="279"/>
      <c r="B37" s="279"/>
      <c r="C37" s="280"/>
      <c r="D37" s="297" t="s">
        <v>274</v>
      </c>
      <c r="E37" s="281"/>
      <c r="F37" s="281"/>
      <c r="G37" s="404"/>
      <c r="H37" s="281"/>
      <c r="I37" s="281"/>
      <c r="J37" s="404"/>
      <c r="K37" s="283"/>
      <c r="L37" s="281"/>
      <c r="M37" s="404"/>
      <c r="N37" s="284"/>
      <c r="O37" s="284"/>
      <c r="P37" s="404"/>
      <c r="Q37" s="284"/>
      <c r="R37" s="284"/>
      <c r="S37" s="404"/>
      <c r="T37" s="281"/>
      <c r="U37" s="284"/>
      <c r="V37" s="404"/>
      <c r="W37" s="284"/>
      <c r="X37" s="284"/>
      <c r="Y37" s="404"/>
      <c r="Z37" s="284"/>
      <c r="AA37" s="284"/>
      <c r="AB37" s="404"/>
      <c r="AC37" s="286"/>
      <c r="AD37" s="286"/>
      <c r="AE37" s="404"/>
    </row>
    <row r="38" spans="1:31" s="81" customFormat="1" ht="15.75" customHeight="1" x14ac:dyDescent="0.3">
      <c r="A38" s="49" t="s">
        <v>38</v>
      </c>
      <c r="B38" s="49" t="s">
        <v>40</v>
      </c>
      <c r="C38" s="50">
        <v>42797</v>
      </c>
      <c r="D38" s="403" t="s">
        <v>28</v>
      </c>
      <c r="E38" s="51">
        <f>SUM(E39:E41)</f>
        <v>0</v>
      </c>
      <c r="F38" s="51">
        <f>SUM(F39:F41)</f>
        <v>0</v>
      </c>
      <c r="G38" s="103" t="e">
        <f>(E38-F38)/F38</f>
        <v>#DIV/0!</v>
      </c>
      <c r="H38" s="51">
        <f>SUM(H39:H41)</f>
        <v>0</v>
      </c>
      <c r="I38" s="51">
        <f>SUM(I39:I41)</f>
        <v>0</v>
      </c>
      <c r="J38" s="103" t="e">
        <f>(H38-I38)/I38</f>
        <v>#DIV/0!</v>
      </c>
      <c r="K38" s="53" t="e">
        <f>E38/H38</f>
        <v>#DIV/0!</v>
      </c>
      <c r="L38" s="51" t="e">
        <f>F38/I38</f>
        <v>#DIV/0!</v>
      </c>
      <c r="M38" s="103" t="e">
        <f>(K38-L38)/L38</f>
        <v>#DIV/0!</v>
      </c>
      <c r="N38" s="54">
        <f>SUM(N39:N41)</f>
        <v>0</v>
      </c>
      <c r="O38" s="54">
        <f>SUM(O39:O41)</f>
        <v>0</v>
      </c>
      <c r="P38" s="103" t="e">
        <f>(N38-O38)/O38</f>
        <v>#DIV/0!</v>
      </c>
      <c r="Q38" s="54">
        <f>SUM(Q39:Q41)</f>
        <v>0</v>
      </c>
      <c r="R38" s="54">
        <f>SUM(R39:R41)</f>
        <v>0</v>
      </c>
      <c r="S38" s="103" t="e">
        <f>(Q38-R38)/R38</f>
        <v>#DIV/0!</v>
      </c>
      <c r="T38" s="54" t="e">
        <f>E38/Q38</f>
        <v>#DIV/0!</v>
      </c>
      <c r="U38" s="54" t="e">
        <f>F38/R38</f>
        <v>#DIV/0!</v>
      </c>
      <c r="V38" s="103" t="e">
        <f>(T38-U38)/U38</f>
        <v>#DIV/0!</v>
      </c>
      <c r="W38" s="54">
        <f>SUM(W39:W41)</f>
        <v>0</v>
      </c>
      <c r="X38" s="54">
        <f>SUM(X39:X41)</f>
        <v>0</v>
      </c>
      <c r="Y38" s="103" t="e">
        <f>(W38-X38)/X38</f>
        <v>#DIV/0!</v>
      </c>
      <c r="Z38" s="54">
        <f>SUM(Z39:Z41)</f>
        <v>0</v>
      </c>
      <c r="AA38" s="54">
        <f>SUM(AA39:AA41)</f>
        <v>0</v>
      </c>
      <c r="AB38" s="103" t="e">
        <f>(Z38-AA38)/AA38</f>
        <v>#DIV/0!</v>
      </c>
      <c r="AC38" s="82" t="e">
        <f>W38/Z38</f>
        <v>#DIV/0!</v>
      </c>
      <c r="AD38" s="82" t="e">
        <f>X38/AA38</f>
        <v>#DIV/0!</v>
      </c>
      <c r="AE38" s="103" t="e">
        <f t="shared" ref="AE38" si="9">(AC38-AD38)/AD38</f>
        <v>#DIV/0!</v>
      </c>
    </row>
    <row r="39" spans="1:31" s="96" customFormat="1" ht="15.75" customHeight="1" x14ac:dyDescent="0.3">
      <c r="A39" s="279"/>
      <c r="B39" s="279"/>
      <c r="C39" s="280"/>
      <c r="D39" s="280"/>
      <c r="E39" s="281"/>
      <c r="F39" s="281"/>
      <c r="G39" s="404"/>
      <c r="H39" s="281"/>
      <c r="I39" s="281"/>
      <c r="J39" s="404"/>
      <c r="K39" s="283"/>
      <c r="L39" s="281"/>
      <c r="M39" s="404"/>
      <c r="N39" s="284"/>
      <c r="O39" s="284"/>
      <c r="P39" s="404"/>
      <c r="Q39" s="284"/>
      <c r="R39" s="284"/>
      <c r="S39" s="404"/>
      <c r="T39" s="281"/>
      <c r="U39" s="284"/>
      <c r="V39" s="404"/>
      <c r="W39" s="284"/>
      <c r="X39" s="284"/>
      <c r="Y39" s="404"/>
      <c r="Z39" s="284"/>
      <c r="AA39" s="284"/>
      <c r="AB39" s="404"/>
      <c r="AC39" s="286"/>
      <c r="AD39" s="286"/>
      <c r="AE39" s="404"/>
    </row>
    <row r="40" spans="1:31" s="96" customFormat="1" ht="15.75" customHeight="1" x14ac:dyDescent="0.3">
      <c r="A40" s="279"/>
      <c r="B40" s="279"/>
      <c r="C40" s="280"/>
      <c r="D40" s="280"/>
      <c r="E40" s="281"/>
      <c r="F40" s="281"/>
      <c r="G40" s="404"/>
      <c r="H40" s="281"/>
      <c r="I40" s="281"/>
      <c r="J40" s="404"/>
      <c r="K40" s="283"/>
      <c r="L40" s="281"/>
      <c r="M40" s="404"/>
      <c r="N40" s="284"/>
      <c r="O40" s="284"/>
      <c r="P40" s="404"/>
      <c r="Q40" s="284"/>
      <c r="R40" s="284"/>
      <c r="S40" s="404"/>
      <c r="T40" s="281"/>
      <c r="U40" s="284"/>
      <c r="V40" s="404"/>
      <c r="W40" s="284"/>
      <c r="X40" s="284"/>
      <c r="Y40" s="404"/>
      <c r="Z40" s="284"/>
      <c r="AA40" s="284"/>
      <c r="AB40" s="404"/>
      <c r="AC40" s="286"/>
      <c r="AD40" s="286"/>
      <c r="AE40" s="404"/>
    </row>
    <row r="41" spans="1:31" s="96" customFormat="1" ht="15.75" customHeight="1" x14ac:dyDescent="0.3">
      <c r="A41" s="279"/>
      <c r="B41" s="279"/>
      <c r="C41" s="280"/>
      <c r="D41" s="297" t="s">
        <v>274</v>
      </c>
      <c r="E41" s="281"/>
      <c r="F41" s="281"/>
      <c r="G41" s="404"/>
      <c r="H41" s="281"/>
      <c r="I41" s="281"/>
      <c r="J41" s="404"/>
      <c r="K41" s="283"/>
      <c r="L41" s="281"/>
      <c r="M41" s="404"/>
      <c r="N41" s="284"/>
      <c r="O41" s="284"/>
      <c r="P41" s="404"/>
      <c r="Q41" s="284"/>
      <c r="R41" s="284"/>
      <c r="S41" s="404"/>
      <c r="T41" s="281"/>
      <c r="U41" s="284"/>
      <c r="V41" s="404"/>
      <c r="W41" s="284"/>
      <c r="X41" s="284"/>
      <c r="Y41" s="404"/>
      <c r="Z41" s="284"/>
      <c r="AA41" s="284"/>
      <c r="AB41" s="404"/>
      <c r="AC41" s="286"/>
      <c r="AD41" s="286"/>
      <c r="AE41" s="404"/>
    </row>
    <row r="42" spans="1:31" s="81" customFormat="1" ht="15.75" customHeight="1" x14ac:dyDescent="0.3">
      <c r="A42" s="49" t="s">
        <v>38</v>
      </c>
      <c r="B42" s="49" t="s">
        <v>41</v>
      </c>
      <c r="C42" s="50">
        <f>C38+7</f>
        <v>42804</v>
      </c>
      <c r="D42" s="403" t="s">
        <v>28</v>
      </c>
      <c r="E42" s="51">
        <f>SUM(E43:E45)</f>
        <v>0</v>
      </c>
      <c r="F42" s="51">
        <f>SUM(F43:F45)</f>
        <v>0</v>
      </c>
      <c r="G42" s="103" t="e">
        <f>(E42-F42)/F42</f>
        <v>#DIV/0!</v>
      </c>
      <c r="H42" s="51">
        <f>SUM(H43:H45)</f>
        <v>0</v>
      </c>
      <c r="I42" s="51">
        <f>SUM(I43:I45)</f>
        <v>0</v>
      </c>
      <c r="J42" s="103" t="e">
        <f>(H42-I42)/I42</f>
        <v>#DIV/0!</v>
      </c>
      <c r="K42" s="53" t="e">
        <f>E42/H42</f>
        <v>#DIV/0!</v>
      </c>
      <c r="L42" s="51" t="e">
        <f>F42/I42</f>
        <v>#DIV/0!</v>
      </c>
      <c r="M42" s="103" t="e">
        <f>(K42-L42)/L42</f>
        <v>#DIV/0!</v>
      </c>
      <c r="N42" s="54">
        <f>SUM(N43:N45)</f>
        <v>0</v>
      </c>
      <c r="O42" s="54">
        <f>SUM(O43:O45)</f>
        <v>1</v>
      </c>
      <c r="P42" s="103">
        <f>(N42-O42)/O42</f>
        <v>-1</v>
      </c>
      <c r="Q42" s="54">
        <f>SUM(Q43:Q45)</f>
        <v>0</v>
      </c>
      <c r="R42" s="54">
        <f>SUM(R43:R45)</f>
        <v>0</v>
      </c>
      <c r="S42" s="103" t="e">
        <f>(Q42-R42)/R42</f>
        <v>#DIV/0!</v>
      </c>
      <c r="T42" s="54" t="e">
        <f>E42/Q42</f>
        <v>#DIV/0!</v>
      </c>
      <c r="U42" s="54" t="e">
        <f>F42/R42</f>
        <v>#DIV/0!</v>
      </c>
      <c r="V42" s="103" t="e">
        <f>(T42-U42)/U42</f>
        <v>#DIV/0!</v>
      </c>
      <c r="W42" s="54">
        <f>SUM(W43:W45)</f>
        <v>0</v>
      </c>
      <c r="X42" s="54">
        <f>SUM(X43:X45)</f>
        <v>0</v>
      </c>
      <c r="Y42" s="103" t="e">
        <f>(W42-X42)/X42</f>
        <v>#DIV/0!</v>
      </c>
      <c r="Z42" s="54">
        <f>SUM(Z43:Z45)</f>
        <v>0</v>
      </c>
      <c r="AA42" s="54">
        <f>SUM(AA43:AA45)</f>
        <v>0</v>
      </c>
      <c r="AB42" s="103" t="e">
        <f>(Z42-AA42)/AA42</f>
        <v>#DIV/0!</v>
      </c>
      <c r="AC42" s="82" t="e">
        <f>W42/Z42</f>
        <v>#DIV/0!</v>
      </c>
      <c r="AD42" s="82" t="e">
        <f>X42/AA42</f>
        <v>#DIV/0!</v>
      </c>
      <c r="AE42" s="103" t="e">
        <f t="shared" ref="AE42" si="10">(AC42-AD42)/AD42</f>
        <v>#DIV/0!</v>
      </c>
    </row>
    <row r="43" spans="1:31" s="96" customFormat="1" ht="15.75" customHeight="1" x14ac:dyDescent="0.3">
      <c r="A43" s="279"/>
      <c r="B43" s="279"/>
      <c r="C43" s="280"/>
      <c r="D43" s="280"/>
      <c r="E43" s="281"/>
      <c r="F43" s="281"/>
      <c r="G43" s="404"/>
      <c r="H43" s="281"/>
      <c r="I43" s="281"/>
      <c r="J43" s="404"/>
      <c r="K43" s="283"/>
      <c r="L43" s="281"/>
      <c r="M43" s="404"/>
      <c r="N43" s="284"/>
      <c r="O43" s="284"/>
      <c r="P43" s="404"/>
      <c r="Q43" s="284"/>
      <c r="R43" s="284"/>
      <c r="S43" s="404"/>
      <c r="T43" s="281"/>
      <c r="U43" s="284"/>
      <c r="V43" s="404"/>
      <c r="W43" s="284"/>
      <c r="X43" s="284"/>
      <c r="Y43" s="404"/>
      <c r="Z43" s="284"/>
      <c r="AA43" s="284"/>
      <c r="AB43" s="404"/>
      <c r="AC43" s="286"/>
      <c r="AD43" s="286"/>
      <c r="AE43" s="404"/>
    </row>
    <row r="44" spans="1:31" s="96" customFormat="1" ht="15.75" customHeight="1" x14ac:dyDescent="0.3">
      <c r="A44" s="279"/>
      <c r="B44" s="279"/>
      <c r="C44" s="280"/>
      <c r="D44" s="280"/>
      <c r="E44" s="281"/>
      <c r="F44" s="281"/>
      <c r="G44" s="404"/>
      <c r="H44" s="281"/>
      <c r="I44" s="281"/>
      <c r="J44" s="404"/>
      <c r="K44" s="283"/>
      <c r="L44" s="281"/>
      <c r="M44" s="404"/>
      <c r="N44" s="284"/>
      <c r="O44" s="284"/>
      <c r="P44" s="404"/>
      <c r="Q44" s="284"/>
      <c r="R44" s="284"/>
      <c r="S44" s="404"/>
      <c r="T44" s="281"/>
      <c r="U44" s="284"/>
      <c r="V44" s="404"/>
      <c r="W44" s="284"/>
      <c r="X44" s="284"/>
      <c r="Y44" s="404"/>
      <c r="Z44" s="284"/>
      <c r="AA44" s="284"/>
      <c r="AB44" s="404"/>
      <c r="AC44" s="286"/>
      <c r="AD44" s="286"/>
      <c r="AE44" s="404"/>
    </row>
    <row r="45" spans="1:31" s="96" customFormat="1" ht="15.75" customHeight="1" x14ac:dyDescent="0.3">
      <c r="A45" s="279"/>
      <c r="B45" s="279"/>
      <c r="C45" s="280"/>
      <c r="D45" s="297" t="s">
        <v>274</v>
      </c>
      <c r="E45" s="281"/>
      <c r="F45" s="281"/>
      <c r="G45" s="404"/>
      <c r="H45" s="281"/>
      <c r="I45" s="281"/>
      <c r="J45" s="404"/>
      <c r="K45" s="283"/>
      <c r="L45" s="281"/>
      <c r="M45" s="404"/>
      <c r="N45" s="284"/>
      <c r="O45" s="284">
        <v>1</v>
      </c>
      <c r="P45" s="404"/>
      <c r="Q45" s="284"/>
      <c r="R45" s="284"/>
      <c r="S45" s="404"/>
      <c r="T45" s="281"/>
      <c r="U45" s="284"/>
      <c r="V45" s="404"/>
      <c r="W45" s="284"/>
      <c r="X45" s="284"/>
      <c r="Y45" s="404"/>
      <c r="Z45" s="284"/>
      <c r="AA45" s="284"/>
      <c r="AB45" s="404"/>
      <c r="AC45" s="286"/>
      <c r="AD45" s="286"/>
      <c r="AE45" s="404"/>
    </row>
    <row r="46" spans="1:31" s="81" customFormat="1" ht="15.75" customHeight="1" x14ac:dyDescent="0.3">
      <c r="A46" s="49" t="s">
        <v>38</v>
      </c>
      <c r="B46" s="49" t="s">
        <v>42</v>
      </c>
      <c r="C46" s="50">
        <f>C42+7</f>
        <v>42811</v>
      </c>
      <c r="D46" s="403" t="s">
        <v>28</v>
      </c>
      <c r="E46" s="51">
        <f>SUM(E47:E49)</f>
        <v>0</v>
      </c>
      <c r="F46" s="51">
        <f>SUM(F47:F49)</f>
        <v>0</v>
      </c>
      <c r="G46" s="103" t="e">
        <f>(E46-F46)/F46</f>
        <v>#DIV/0!</v>
      </c>
      <c r="H46" s="51">
        <f>SUM(H47:H49)</f>
        <v>0</v>
      </c>
      <c r="I46" s="51">
        <f>SUM(I47:I49)</f>
        <v>0</v>
      </c>
      <c r="J46" s="103" t="e">
        <f>(H46-I46)/I46</f>
        <v>#DIV/0!</v>
      </c>
      <c r="K46" s="53" t="e">
        <f>E46/H46</f>
        <v>#DIV/0!</v>
      </c>
      <c r="L46" s="51" t="e">
        <f>F46/I46</f>
        <v>#DIV/0!</v>
      </c>
      <c r="M46" s="103" t="e">
        <f>(K46-L46)/L46</f>
        <v>#DIV/0!</v>
      </c>
      <c r="N46" s="54">
        <f>SUM(N47:N49)</f>
        <v>0</v>
      </c>
      <c r="O46" s="54">
        <f>SUM(O47:O49)</f>
        <v>2</v>
      </c>
      <c r="P46" s="103">
        <f>(N46-O46)/O46</f>
        <v>-1</v>
      </c>
      <c r="Q46" s="54">
        <f>SUM(Q47:Q49)</f>
        <v>0</v>
      </c>
      <c r="R46" s="54">
        <f>SUM(R47:R49)</f>
        <v>0</v>
      </c>
      <c r="S46" s="103" t="e">
        <f>(Q46-R46)/R46</f>
        <v>#DIV/0!</v>
      </c>
      <c r="T46" s="54" t="e">
        <f>E46/Q46</f>
        <v>#DIV/0!</v>
      </c>
      <c r="U46" s="54" t="e">
        <f>F46/R46</f>
        <v>#DIV/0!</v>
      </c>
      <c r="V46" s="103" t="e">
        <f>(T46-U46)/U46</f>
        <v>#DIV/0!</v>
      </c>
      <c r="W46" s="54">
        <f>SUM(W47:W49)</f>
        <v>0</v>
      </c>
      <c r="X46" s="54">
        <f>SUM(X47:X49)</f>
        <v>0</v>
      </c>
      <c r="Y46" s="103" t="e">
        <f>(W46-X46)/X46</f>
        <v>#DIV/0!</v>
      </c>
      <c r="Z46" s="54">
        <f>SUM(Z47:Z49)</f>
        <v>0</v>
      </c>
      <c r="AA46" s="54">
        <f>SUM(AA47:AA49)</f>
        <v>0</v>
      </c>
      <c r="AB46" s="103" t="e">
        <f>(Z46-AA46)/AA46</f>
        <v>#DIV/0!</v>
      </c>
      <c r="AC46" s="82" t="e">
        <f>W46/Z46</f>
        <v>#DIV/0!</v>
      </c>
      <c r="AD46" s="82" t="e">
        <f>X46/AA46</f>
        <v>#DIV/0!</v>
      </c>
      <c r="AE46" s="103" t="e">
        <f t="shared" ref="AE46" si="11">(AC46-AD46)/AD46</f>
        <v>#DIV/0!</v>
      </c>
    </row>
    <row r="47" spans="1:31" s="96" customFormat="1" ht="15.75" customHeight="1" x14ac:dyDescent="0.3">
      <c r="A47" s="279"/>
      <c r="B47" s="279"/>
      <c r="C47" s="280"/>
      <c r="D47" s="280"/>
      <c r="E47" s="281"/>
      <c r="F47" s="281"/>
      <c r="G47" s="404"/>
      <c r="H47" s="281"/>
      <c r="I47" s="281"/>
      <c r="J47" s="404"/>
      <c r="K47" s="283"/>
      <c r="L47" s="281"/>
      <c r="M47" s="404"/>
      <c r="N47" s="284"/>
      <c r="O47" s="284"/>
      <c r="P47" s="404"/>
      <c r="Q47" s="284"/>
      <c r="R47" s="284"/>
      <c r="S47" s="404"/>
      <c r="T47" s="281"/>
      <c r="U47" s="284"/>
      <c r="V47" s="404"/>
      <c r="W47" s="284"/>
      <c r="X47" s="284"/>
      <c r="Y47" s="404"/>
      <c r="Z47" s="284"/>
      <c r="AA47" s="284"/>
      <c r="AB47" s="404"/>
      <c r="AC47" s="286"/>
      <c r="AD47" s="286"/>
      <c r="AE47" s="404"/>
    </row>
    <row r="48" spans="1:31" s="96" customFormat="1" ht="15.75" customHeight="1" x14ac:dyDescent="0.3">
      <c r="A48" s="279"/>
      <c r="B48" s="279"/>
      <c r="C48" s="280"/>
      <c r="D48" s="280"/>
      <c r="E48" s="281"/>
      <c r="F48" s="281"/>
      <c r="G48" s="404"/>
      <c r="H48" s="281"/>
      <c r="I48" s="281"/>
      <c r="J48" s="404"/>
      <c r="K48" s="283"/>
      <c r="L48" s="281"/>
      <c r="M48" s="404"/>
      <c r="N48" s="284"/>
      <c r="O48" s="284"/>
      <c r="P48" s="404"/>
      <c r="Q48" s="284"/>
      <c r="R48" s="284"/>
      <c r="S48" s="404"/>
      <c r="T48" s="281"/>
      <c r="U48" s="284"/>
      <c r="V48" s="404"/>
      <c r="W48" s="284"/>
      <c r="X48" s="284"/>
      <c r="Y48" s="404"/>
      <c r="Z48" s="284"/>
      <c r="AA48" s="284"/>
      <c r="AB48" s="404"/>
      <c r="AC48" s="286"/>
      <c r="AD48" s="286"/>
      <c r="AE48" s="404"/>
    </row>
    <row r="49" spans="1:31" s="357" customFormat="1" ht="15.75" customHeight="1" x14ac:dyDescent="0.3">
      <c r="A49" s="347"/>
      <c r="B49" s="347"/>
      <c r="C49" s="348"/>
      <c r="D49" s="349" t="s">
        <v>274</v>
      </c>
      <c r="E49" s="350"/>
      <c r="F49" s="350"/>
      <c r="G49" s="405"/>
      <c r="H49" s="350"/>
      <c r="I49" s="350"/>
      <c r="J49" s="405"/>
      <c r="K49" s="352"/>
      <c r="L49" s="350"/>
      <c r="M49" s="405"/>
      <c r="N49" s="353"/>
      <c r="O49" s="353">
        <v>2</v>
      </c>
      <c r="P49" s="405"/>
      <c r="Q49" s="353"/>
      <c r="R49" s="353"/>
      <c r="S49" s="405"/>
      <c r="T49" s="350"/>
      <c r="U49" s="353"/>
      <c r="V49" s="405"/>
      <c r="W49" s="353"/>
      <c r="X49" s="353"/>
      <c r="Y49" s="405"/>
      <c r="Z49" s="353"/>
      <c r="AA49" s="353"/>
      <c r="AB49" s="405"/>
      <c r="AC49" s="356"/>
      <c r="AD49" s="356"/>
      <c r="AE49" s="405"/>
    </row>
    <row r="50" spans="1:31" s="81" customFormat="1" ht="15.75" customHeight="1" x14ac:dyDescent="0.3">
      <c r="A50" s="49" t="s">
        <v>43</v>
      </c>
      <c r="B50" s="49" t="s">
        <v>44</v>
      </c>
      <c r="C50" s="50">
        <f>C46+7</f>
        <v>42818</v>
      </c>
      <c r="D50" s="403" t="s">
        <v>28</v>
      </c>
      <c r="E50" s="51">
        <f>SUM(E51:E53)</f>
        <v>0</v>
      </c>
      <c r="F50" s="51">
        <f>SUM(F51:F53)</f>
        <v>0</v>
      </c>
      <c r="G50" s="103" t="e">
        <f>(E50-F50)/F50</f>
        <v>#DIV/0!</v>
      </c>
      <c r="H50" s="51">
        <f>SUM(H51:H53)</f>
        <v>0</v>
      </c>
      <c r="I50" s="51">
        <f>SUM(I51:I53)</f>
        <v>0</v>
      </c>
      <c r="J50" s="103" t="e">
        <f>(H50-I50)/I50</f>
        <v>#DIV/0!</v>
      </c>
      <c r="K50" s="53" t="e">
        <f>E50/H50</f>
        <v>#DIV/0!</v>
      </c>
      <c r="L50" s="51" t="e">
        <f>F50/I50</f>
        <v>#DIV/0!</v>
      </c>
      <c r="M50" s="103" t="e">
        <f>(K50-L50)/L50</f>
        <v>#DIV/0!</v>
      </c>
      <c r="N50" s="54">
        <f>SUM(N51:N53)</f>
        <v>0</v>
      </c>
      <c r="O50" s="54">
        <f>SUM(O51:O53)</f>
        <v>0</v>
      </c>
      <c r="P50" s="103" t="e">
        <f>(N50-O50)/O50</f>
        <v>#DIV/0!</v>
      </c>
      <c r="Q50" s="54">
        <f>SUM(Q51:Q53)</f>
        <v>0</v>
      </c>
      <c r="R50" s="54">
        <f>SUM(R51:R53)</f>
        <v>0</v>
      </c>
      <c r="S50" s="103" t="e">
        <f>(Q50-R50)/R50</f>
        <v>#DIV/0!</v>
      </c>
      <c r="T50" s="54" t="e">
        <f>E50/Q50</f>
        <v>#DIV/0!</v>
      </c>
      <c r="U50" s="54" t="e">
        <f>F50/R50</f>
        <v>#DIV/0!</v>
      </c>
      <c r="V50" s="103" t="e">
        <f>(T50-U50)/U50</f>
        <v>#DIV/0!</v>
      </c>
      <c r="W50" s="54">
        <f>SUM(W51:W53)</f>
        <v>0</v>
      </c>
      <c r="X50" s="54">
        <f>SUM(X51:X53)</f>
        <v>0</v>
      </c>
      <c r="Y50" s="103" t="e">
        <f>(W50-X50)/X50</f>
        <v>#DIV/0!</v>
      </c>
      <c r="Z50" s="54">
        <f>SUM(Z51:Z53)</f>
        <v>0</v>
      </c>
      <c r="AA50" s="54">
        <f>SUM(AA51:AA53)</f>
        <v>0</v>
      </c>
      <c r="AB50" s="103" t="e">
        <f>(Z50-AA50)/AA50</f>
        <v>#DIV/0!</v>
      </c>
      <c r="AC50" s="82" t="e">
        <f>W50/Z50</f>
        <v>#DIV/0!</v>
      </c>
      <c r="AD50" s="82" t="e">
        <f>X50/AA50</f>
        <v>#DIV/0!</v>
      </c>
      <c r="AE50" s="103" t="e">
        <f t="shared" ref="AE50" si="12">(AC50-AD50)/AD50</f>
        <v>#DIV/0!</v>
      </c>
    </row>
    <row r="51" spans="1:31" s="96" customFormat="1" ht="15.75" customHeight="1" x14ac:dyDescent="0.3">
      <c r="A51" s="279"/>
      <c r="B51" s="279"/>
      <c r="C51" s="280"/>
      <c r="D51" s="280"/>
      <c r="E51" s="281"/>
      <c r="F51" s="281"/>
      <c r="G51" s="404"/>
      <c r="H51" s="281"/>
      <c r="I51" s="281"/>
      <c r="J51" s="404"/>
      <c r="K51" s="283"/>
      <c r="L51" s="281"/>
      <c r="M51" s="404"/>
      <c r="N51" s="284"/>
      <c r="O51" s="284"/>
      <c r="P51" s="404"/>
      <c r="Q51" s="284"/>
      <c r="R51" s="284"/>
      <c r="S51" s="404"/>
      <c r="T51" s="281"/>
      <c r="U51" s="284"/>
      <c r="V51" s="404"/>
      <c r="W51" s="284"/>
      <c r="X51" s="284"/>
      <c r="Y51" s="404"/>
      <c r="Z51" s="284"/>
      <c r="AA51" s="284"/>
      <c r="AB51" s="404"/>
      <c r="AC51" s="286"/>
      <c r="AD51" s="286"/>
      <c r="AE51" s="404"/>
    </row>
    <row r="52" spans="1:31" s="96" customFormat="1" ht="15.75" customHeight="1" x14ac:dyDescent="0.3">
      <c r="A52" s="279"/>
      <c r="B52" s="279"/>
      <c r="C52" s="280"/>
      <c r="D52" s="280"/>
      <c r="E52" s="281"/>
      <c r="F52" s="281"/>
      <c r="G52" s="404"/>
      <c r="H52" s="281"/>
      <c r="I52" s="281"/>
      <c r="J52" s="404"/>
      <c r="K52" s="283"/>
      <c r="L52" s="281"/>
      <c r="M52" s="404"/>
      <c r="N52" s="284"/>
      <c r="O52" s="284"/>
      <c r="P52" s="404"/>
      <c r="Q52" s="284"/>
      <c r="R52" s="284"/>
      <c r="S52" s="404"/>
      <c r="T52" s="281"/>
      <c r="U52" s="284"/>
      <c r="V52" s="404"/>
      <c r="W52" s="284"/>
      <c r="X52" s="284"/>
      <c r="Y52" s="404"/>
      <c r="Z52" s="284"/>
      <c r="AA52" s="284"/>
      <c r="AB52" s="404"/>
      <c r="AC52" s="286"/>
      <c r="AD52" s="286"/>
      <c r="AE52" s="404"/>
    </row>
    <row r="53" spans="1:31" s="96" customFormat="1" ht="15.75" customHeight="1" x14ac:dyDescent="0.3">
      <c r="A53" s="279"/>
      <c r="B53" s="279"/>
      <c r="C53" s="280"/>
      <c r="D53" s="297" t="s">
        <v>274</v>
      </c>
      <c r="E53" s="281"/>
      <c r="F53" s="281"/>
      <c r="G53" s="404"/>
      <c r="H53" s="281"/>
      <c r="I53" s="281"/>
      <c r="J53" s="404"/>
      <c r="K53" s="283"/>
      <c r="L53" s="281"/>
      <c r="M53" s="404"/>
      <c r="N53" s="284"/>
      <c r="O53" s="284"/>
      <c r="P53" s="404"/>
      <c r="Q53" s="284"/>
      <c r="R53" s="284"/>
      <c r="S53" s="404"/>
      <c r="T53" s="281"/>
      <c r="U53" s="284"/>
      <c r="V53" s="404"/>
      <c r="W53" s="284"/>
      <c r="X53" s="284"/>
      <c r="Y53" s="404"/>
      <c r="Z53" s="284"/>
      <c r="AA53" s="284"/>
      <c r="AB53" s="404"/>
      <c r="AC53" s="286"/>
      <c r="AD53" s="286"/>
      <c r="AE53" s="404"/>
    </row>
    <row r="54" spans="1:31" s="81" customFormat="1" ht="15.75" customHeight="1" x14ac:dyDescent="0.3">
      <c r="A54" s="49" t="s">
        <v>43</v>
      </c>
      <c r="B54" s="49" t="s">
        <v>45</v>
      </c>
      <c r="C54" s="50">
        <f>C50+7</f>
        <v>42825</v>
      </c>
      <c r="D54" s="403" t="s">
        <v>28</v>
      </c>
      <c r="E54" s="51">
        <f>SUM(E55:E57)</f>
        <v>0</v>
      </c>
      <c r="F54" s="51">
        <f>SUM(F55:F57)</f>
        <v>0</v>
      </c>
      <c r="G54" s="103" t="e">
        <f>(E54-F54)/F54</f>
        <v>#DIV/0!</v>
      </c>
      <c r="H54" s="51">
        <f>SUM(H55:H57)</f>
        <v>0</v>
      </c>
      <c r="I54" s="51">
        <f>SUM(I55:I57)</f>
        <v>0</v>
      </c>
      <c r="J54" s="103" t="e">
        <f>(H54-I54)/I54</f>
        <v>#DIV/0!</v>
      </c>
      <c r="K54" s="53" t="e">
        <f>E54/H54</f>
        <v>#DIV/0!</v>
      </c>
      <c r="L54" s="51" t="e">
        <f>F54/I54</f>
        <v>#DIV/0!</v>
      </c>
      <c r="M54" s="103" t="e">
        <f>(K54-L54)/L54</f>
        <v>#DIV/0!</v>
      </c>
      <c r="N54" s="54">
        <f>SUM(N55:N57)</f>
        <v>0</v>
      </c>
      <c r="O54" s="54">
        <f>SUM(O55:O57)</f>
        <v>1</v>
      </c>
      <c r="P54" s="103">
        <f>(N54-O54)/O54</f>
        <v>-1</v>
      </c>
      <c r="Q54" s="54">
        <f>SUM(Q55:Q57)</f>
        <v>0</v>
      </c>
      <c r="R54" s="54">
        <f>SUM(R55:R57)</f>
        <v>0</v>
      </c>
      <c r="S54" s="103" t="e">
        <f>(Q54-R54)/R54</f>
        <v>#DIV/0!</v>
      </c>
      <c r="T54" s="54" t="e">
        <f>E54/Q54</f>
        <v>#DIV/0!</v>
      </c>
      <c r="U54" s="54" t="e">
        <f>F54/R54</f>
        <v>#DIV/0!</v>
      </c>
      <c r="V54" s="103" t="e">
        <f>(T54-U54)/U54</f>
        <v>#DIV/0!</v>
      </c>
      <c r="W54" s="54">
        <f>SUM(W55:W57)</f>
        <v>0</v>
      </c>
      <c r="X54" s="54">
        <f>SUM(X55:X57)</f>
        <v>0</v>
      </c>
      <c r="Y54" s="103" t="e">
        <f>(W54-X54)/X54</f>
        <v>#DIV/0!</v>
      </c>
      <c r="Z54" s="54">
        <f>SUM(Z55:Z57)</f>
        <v>0</v>
      </c>
      <c r="AA54" s="54">
        <f>SUM(AA55:AA57)</f>
        <v>0</v>
      </c>
      <c r="AB54" s="103" t="e">
        <f>(Z54-AA54)/AA54</f>
        <v>#DIV/0!</v>
      </c>
      <c r="AC54" s="82" t="e">
        <f>W54/Z54</f>
        <v>#DIV/0!</v>
      </c>
      <c r="AD54" s="82" t="e">
        <f>X54/AA54</f>
        <v>#DIV/0!</v>
      </c>
      <c r="AE54" s="103" t="e">
        <f t="shared" ref="AE54" si="13">(AC54-AD54)/AD54</f>
        <v>#DIV/0!</v>
      </c>
    </row>
    <row r="55" spans="1:31" s="96" customFormat="1" ht="15.75" customHeight="1" x14ac:dyDescent="0.3">
      <c r="A55" s="279"/>
      <c r="B55" s="279"/>
      <c r="C55" s="280"/>
      <c r="D55" s="280"/>
      <c r="E55" s="281"/>
      <c r="F55" s="281"/>
      <c r="G55" s="404"/>
      <c r="H55" s="281"/>
      <c r="I55" s="281"/>
      <c r="J55" s="404"/>
      <c r="K55" s="283"/>
      <c r="L55" s="281"/>
      <c r="M55" s="404"/>
      <c r="N55" s="284"/>
      <c r="O55" s="284"/>
      <c r="P55" s="404"/>
      <c r="Q55" s="284"/>
      <c r="R55" s="284"/>
      <c r="S55" s="404"/>
      <c r="T55" s="281"/>
      <c r="U55" s="284"/>
      <c r="V55" s="404"/>
      <c r="W55" s="284"/>
      <c r="X55" s="284"/>
      <c r="Y55" s="404"/>
      <c r="Z55" s="284"/>
      <c r="AA55" s="284"/>
      <c r="AB55" s="404"/>
      <c r="AC55" s="286"/>
      <c r="AD55" s="286"/>
      <c r="AE55" s="404"/>
    </row>
    <row r="56" spans="1:31" s="96" customFormat="1" ht="15.75" customHeight="1" x14ac:dyDescent="0.3">
      <c r="A56" s="279"/>
      <c r="B56" s="279"/>
      <c r="C56" s="280"/>
      <c r="D56" s="280"/>
      <c r="E56" s="281"/>
      <c r="F56" s="281"/>
      <c r="G56" s="404"/>
      <c r="H56" s="281"/>
      <c r="I56" s="281"/>
      <c r="J56" s="404"/>
      <c r="K56" s="283"/>
      <c r="L56" s="281"/>
      <c r="M56" s="404"/>
      <c r="N56" s="284"/>
      <c r="O56" s="284"/>
      <c r="P56" s="404"/>
      <c r="Q56" s="284"/>
      <c r="R56" s="284"/>
      <c r="S56" s="404"/>
      <c r="T56" s="281"/>
      <c r="U56" s="284"/>
      <c r="V56" s="404"/>
      <c r="W56" s="284"/>
      <c r="X56" s="284"/>
      <c r="Y56" s="404"/>
      <c r="Z56" s="284"/>
      <c r="AA56" s="284"/>
      <c r="AB56" s="404"/>
      <c r="AC56" s="286"/>
      <c r="AD56" s="286"/>
      <c r="AE56" s="404"/>
    </row>
    <row r="57" spans="1:31" s="96" customFormat="1" ht="15.75" customHeight="1" x14ac:dyDescent="0.3">
      <c r="A57" s="279"/>
      <c r="B57" s="279"/>
      <c r="C57" s="280"/>
      <c r="D57" s="297" t="s">
        <v>274</v>
      </c>
      <c r="E57" s="281"/>
      <c r="F57" s="281"/>
      <c r="G57" s="404"/>
      <c r="H57" s="281"/>
      <c r="I57" s="281"/>
      <c r="J57" s="404"/>
      <c r="K57" s="283"/>
      <c r="L57" s="281"/>
      <c r="M57" s="404"/>
      <c r="N57" s="284"/>
      <c r="O57" s="284">
        <v>1</v>
      </c>
      <c r="P57" s="404"/>
      <c r="Q57" s="284"/>
      <c r="R57" s="284"/>
      <c r="S57" s="404"/>
      <c r="T57" s="281"/>
      <c r="U57" s="284"/>
      <c r="V57" s="404"/>
      <c r="W57" s="284"/>
      <c r="X57" s="284"/>
      <c r="Y57" s="404"/>
      <c r="Z57" s="284"/>
      <c r="AA57" s="284"/>
      <c r="AB57" s="404"/>
      <c r="AC57" s="286"/>
      <c r="AD57" s="286"/>
      <c r="AE57" s="404"/>
    </row>
    <row r="58" spans="1:31" s="81" customFormat="1" ht="15.75" customHeight="1" x14ac:dyDescent="0.3">
      <c r="A58" s="49" t="s">
        <v>43</v>
      </c>
      <c r="B58" s="49" t="s">
        <v>46</v>
      </c>
      <c r="C58" s="50">
        <f>C54+7</f>
        <v>42832</v>
      </c>
      <c r="D58" s="403" t="s">
        <v>28</v>
      </c>
      <c r="E58" s="51">
        <f>SUM(E59:E61)</f>
        <v>0</v>
      </c>
      <c r="F58" s="51">
        <f>SUM(F59:F61)</f>
        <v>0</v>
      </c>
      <c r="G58" s="103" t="e">
        <f>(E58-F58)/F58</f>
        <v>#DIV/0!</v>
      </c>
      <c r="H58" s="51">
        <f>SUM(H59:H61)</f>
        <v>0</v>
      </c>
      <c r="I58" s="51">
        <f>SUM(I59:I61)</f>
        <v>0</v>
      </c>
      <c r="J58" s="103" t="e">
        <f>(H58-I58)/I58</f>
        <v>#DIV/0!</v>
      </c>
      <c r="K58" s="53" t="e">
        <f>E58/H58</f>
        <v>#DIV/0!</v>
      </c>
      <c r="L58" s="51" t="e">
        <f>F58/I58</f>
        <v>#DIV/0!</v>
      </c>
      <c r="M58" s="103" t="e">
        <f>(K58-L58)/L58</f>
        <v>#DIV/0!</v>
      </c>
      <c r="N58" s="54">
        <f>SUM(N59:N61)</f>
        <v>3</v>
      </c>
      <c r="O58" s="54">
        <f>SUM(O59:O61)</f>
        <v>0</v>
      </c>
      <c r="P58" s="103" t="e">
        <f>(N58-O58)/O58</f>
        <v>#DIV/0!</v>
      </c>
      <c r="Q58" s="54">
        <f>SUM(Q59:Q61)</f>
        <v>0</v>
      </c>
      <c r="R58" s="54">
        <f>SUM(R59:R61)</f>
        <v>0</v>
      </c>
      <c r="S58" s="103" t="e">
        <f>(Q58-R58)/R58</f>
        <v>#DIV/0!</v>
      </c>
      <c r="T58" s="54" t="e">
        <f>E58/Q58</f>
        <v>#DIV/0!</v>
      </c>
      <c r="U58" s="54" t="e">
        <f>F58/R58</f>
        <v>#DIV/0!</v>
      </c>
      <c r="V58" s="103" t="e">
        <f>(T58-U58)/U58</f>
        <v>#DIV/0!</v>
      </c>
      <c r="W58" s="54">
        <f>SUM(W59:W61)</f>
        <v>0</v>
      </c>
      <c r="X58" s="54">
        <f>SUM(X59:X61)</f>
        <v>0</v>
      </c>
      <c r="Y58" s="103" t="e">
        <f>(W58-X58)/X58</f>
        <v>#DIV/0!</v>
      </c>
      <c r="Z58" s="54">
        <f>SUM(Z59:Z61)</f>
        <v>0</v>
      </c>
      <c r="AA58" s="54">
        <f>SUM(AA59:AA61)</f>
        <v>0</v>
      </c>
      <c r="AB58" s="103" t="e">
        <f>(Z58-AA58)/AA58</f>
        <v>#DIV/0!</v>
      </c>
      <c r="AC58" s="82" t="e">
        <f>W58/Z58</f>
        <v>#DIV/0!</v>
      </c>
      <c r="AD58" s="82" t="e">
        <f>X58/AA58</f>
        <v>#DIV/0!</v>
      </c>
      <c r="AE58" s="103" t="e">
        <f t="shared" ref="AE58" si="14">(AC58-AD58)/AD58</f>
        <v>#DIV/0!</v>
      </c>
    </row>
    <row r="59" spans="1:31" s="96" customFormat="1" ht="15.75" customHeight="1" x14ac:dyDescent="0.3">
      <c r="A59" s="279"/>
      <c r="B59" s="279"/>
      <c r="C59" s="280"/>
      <c r="D59" s="280"/>
      <c r="E59" s="281"/>
      <c r="F59" s="281"/>
      <c r="G59" s="404"/>
      <c r="H59" s="283"/>
      <c r="I59" s="283"/>
      <c r="J59" s="404"/>
      <c r="K59" s="283"/>
      <c r="L59" s="281"/>
      <c r="M59" s="404"/>
      <c r="N59" s="284"/>
      <c r="O59" s="284"/>
      <c r="P59" s="404"/>
      <c r="Q59" s="284"/>
      <c r="R59" s="284"/>
      <c r="S59" s="404"/>
      <c r="T59" s="281"/>
      <c r="U59" s="284"/>
      <c r="V59" s="404"/>
      <c r="W59" s="284"/>
      <c r="X59" s="284"/>
      <c r="Y59" s="404"/>
      <c r="Z59" s="284"/>
      <c r="AA59" s="284"/>
      <c r="AB59" s="404"/>
      <c r="AC59" s="286"/>
      <c r="AD59" s="286"/>
      <c r="AE59" s="404"/>
    </row>
    <row r="60" spans="1:31" s="96" customFormat="1" ht="15.75" customHeight="1" x14ac:dyDescent="0.3">
      <c r="A60" s="279"/>
      <c r="B60" s="279"/>
      <c r="C60" s="280"/>
      <c r="D60" s="280"/>
      <c r="E60" s="281"/>
      <c r="F60" s="281"/>
      <c r="G60" s="404"/>
      <c r="H60" s="283"/>
      <c r="I60" s="283"/>
      <c r="J60" s="404"/>
      <c r="K60" s="283"/>
      <c r="L60" s="281"/>
      <c r="M60" s="404"/>
      <c r="N60" s="284"/>
      <c r="O60" s="284"/>
      <c r="P60" s="404"/>
      <c r="Q60" s="284"/>
      <c r="R60" s="284"/>
      <c r="S60" s="404"/>
      <c r="T60" s="281"/>
      <c r="U60" s="284"/>
      <c r="V60" s="404"/>
      <c r="W60" s="284"/>
      <c r="X60" s="284"/>
      <c r="Y60" s="404"/>
      <c r="Z60" s="284"/>
      <c r="AA60" s="284"/>
      <c r="AB60" s="404"/>
      <c r="AC60" s="286"/>
      <c r="AD60" s="286"/>
      <c r="AE60" s="404"/>
    </row>
    <row r="61" spans="1:31" s="96" customFormat="1" ht="15.75" customHeight="1" x14ac:dyDescent="0.3">
      <c r="A61" s="279"/>
      <c r="B61" s="279"/>
      <c r="C61" s="280"/>
      <c r="D61" s="297" t="s">
        <v>274</v>
      </c>
      <c r="E61" s="281"/>
      <c r="F61" s="281"/>
      <c r="G61" s="404"/>
      <c r="H61" s="283"/>
      <c r="I61" s="283"/>
      <c r="J61" s="404"/>
      <c r="K61" s="283"/>
      <c r="L61" s="281"/>
      <c r="M61" s="404"/>
      <c r="N61" s="284">
        <v>3</v>
      </c>
      <c r="O61" s="284"/>
      <c r="P61" s="404"/>
      <c r="Q61" s="284"/>
      <c r="R61" s="284"/>
      <c r="S61" s="404"/>
      <c r="T61" s="281"/>
      <c r="U61" s="284"/>
      <c r="V61" s="404"/>
      <c r="W61" s="284"/>
      <c r="X61" s="284"/>
      <c r="Y61" s="404"/>
      <c r="Z61" s="284"/>
      <c r="AA61" s="284"/>
      <c r="AB61" s="404"/>
      <c r="AC61" s="286"/>
      <c r="AD61" s="286"/>
      <c r="AE61" s="404"/>
    </row>
    <row r="62" spans="1:31" s="81" customFormat="1" ht="15.75" customHeight="1" x14ac:dyDescent="0.3">
      <c r="A62" s="49" t="s">
        <v>43</v>
      </c>
      <c r="B62" s="49" t="s">
        <v>47</v>
      </c>
      <c r="C62" s="50">
        <f>C58+7</f>
        <v>42839</v>
      </c>
      <c r="D62" s="403" t="s">
        <v>28</v>
      </c>
      <c r="E62" s="51">
        <f>SUM(E63:E65)</f>
        <v>0</v>
      </c>
      <c r="F62" s="51">
        <f>SUM(F63:F65)</f>
        <v>0</v>
      </c>
      <c r="G62" s="103" t="e">
        <f>(E62-F62)/F62</f>
        <v>#DIV/0!</v>
      </c>
      <c r="H62" s="51">
        <f>SUM(H63:H65)</f>
        <v>0</v>
      </c>
      <c r="I62" s="51">
        <f>SUM(I63:I65)</f>
        <v>0</v>
      </c>
      <c r="J62" s="103" t="e">
        <f>(H62-I62)/I62</f>
        <v>#DIV/0!</v>
      </c>
      <c r="K62" s="53" t="e">
        <f>E62/H62</f>
        <v>#DIV/0!</v>
      </c>
      <c r="L62" s="51" t="e">
        <f>F62/I62</f>
        <v>#DIV/0!</v>
      </c>
      <c r="M62" s="103" t="e">
        <f>(K62-L62)/L62</f>
        <v>#DIV/0!</v>
      </c>
      <c r="N62" s="54">
        <f>SUM(N63:N65)</f>
        <v>1</v>
      </c>
      <c r="O62" s="54">
        <f>SUM(O63:O65)</f>
        <v>0</v>
      </c>
      <c r="P62" s="103" t="e">
        <f>(N62-O62)/O62</f>
        <v>#DIV/0!</v>
      </c>
      <c r="Q62" s="54">
        <f>SUM(Q63:Q65)</f>
        <v>0</v>
      </c>
      <c r="R62" s="54">
        <f>SUM(R63:R65)</f>
        <v>0</v>
      </c>
      <c r="S62" s="103" t="e">
        <f>(Q62-R62)/R62</f>
        <v>#DIV/0!</v>
      </c>
      <c r="T62" s="54" t="e">
        <f>E62/Q62</f>
        <v>#DIV/0!</v>
      </c>
      <c r="U62" s="54" t="e">
        <f>F62/R62</f>
        <v>#DIV/0!</v>
      </c>
      <c r="V62" s="103" t="e">
        <f>(T62-U62)/U62</f>
        <v>#DIV/0!</v>
      </c>
      <c r="W62" s="54">
        <f>SUM(W63:W65)</f>
        <v>0</v>
      </c>
      <c r="X62" s="54">
        <f>SUM(X63:X65)</f>
        <v>0</v>
      </c>
      <c r="Y62" s="103" t="e">
        <f>(W62-X62)/X62</f>
        <v>#DIV/0!</v>
      </c>
      <c r="Z62" s="54">
        <f>SUM(Z63:Z65)</f>
        <v>0</v>
      </c>
      <c r="AA62" s="54">
        <f>SUM(AA63:AA65)</f>
        <v>0</v>
      </c>
      <c r="AB62" s="103" t="e">
        <f>(Z62-AA62)/AA62</f>
        <v>#DIV/0!</v>
      </c>
      <c r="AC62" s="82" t="e">
        <f>W62/Z62</f>
        <v>#DIV/0!</v>
      </c>
      <c r="AD62" s="82" t="e">
        <f>X62/AA62</f>
        <v>#DIV/0!</v>
      </c>
      <c r="AE62" s="103" t="e">
        <f t="shared" ref="AE62" si="15">(AC62-AD62)/AD62</f>
        <v>#DIV/0!</v>
      </c>
    </row>
    <row r="63" spans="1:31" s="96" customFormat="1" ht="15.75" customHeight="1" x14ac:dyDescent="0.3">
      <c r="A63" s="279"/>
      <c r="B63" s="279"/>
      <c r="C63" s="280"/>
      <c r="D63" s="280"/>
      <c r="E63" s="281"/>
      <c r="F63" s="281"/>
      <c r="G63" s="404"/>
      <c r="H63" s="283"/>
      <c r="I63" s="283"/>
      <c r="J63" s="404"/>
      <c r="K63" s="283"/>
      <c r="L63" s="281"/>
      <c r="M63" s="404"/>
      <c r="N63" s="284"/>
      <c r="O63" s="284"/>
      <c r="P63" s="404"/>
      <c r="Q63" s="284"/>
      <c r="R63" s="284"/>
      <c r="S63" s="404"/>
      <c r="T63" s="281"/>
      <c r="U63" s="284"/>
      <c r="V63" s="404"/>
      <c r="W63" s="284"/>
      <c r="X63" s="284"/>
      <c r="Y63" s="404"/>
      <c r="Z63" s="284"/>
      <c r="AA63" s="284"/>
      <c r="AB63" s="404"/>
      <c r="AC63" s="286"/>
      <c r="AD63" s="286"/>
      <c r="AE63" s="404"/>
    </row>
    <row r="64" spans="1:31" s="96" customFormat="1" ht="15.75" customHeight="1" x14ac:dyDescent="0.3">
      <c r="A64" s="279"/>
      <c r="B64" s="279"/>
      <c r="C64" s="280"/>
      <c r="D64" s="280"/>
      <c r="E64" s="281"/>
      <c r="F64" s="281"/>
      <c r="G64" s="404"/>
      <c r="H64" s="283"/>
      <c r="I64" s="283"/>
      <c r="J64" s="404"/>
      <c r="K64" s="283"/>
      <c r="L64" s="281"/>
      <c r="M64" s="404"/>
      <c r="N64" s="284"/>
      <c r="O64" s="284"/>
      <c r="P64" s="404"/>
      <c r="Q64" s="284"/>
      <c r="R64" s="284"/>
      <c r="S64" s="404"/>
      <c r="T64" s="281"/>
      <c r="U64" s="284"/>
      <c r="V64" s="404"/>
      <c r="W64" s="284"/>
      <c r="X64" s="284"/>
      <c r="Y64" s="404"/>
      <c r="Z64" s="284"/>
      <c r="AA64" s="284"/>
      <c r="AB64" s="404"/>
      <c r="AC64" s="286"/>
      <c r="AD64" s="286"/>
      <c r="AE64" s="404"/>
    </row>
    <row r="65" spans="1:31" s="357" customFormat="1" ht="15.75" customHeight="1" x14ac:dyDescent="0.3">
      <c r="A65" s="347"/>
      <c r="B65" s="347"/>
      <c r="C65" s="348"/>
      <c r="D65" s="349" t="s">
        <v>274</v>
      </c>
      <c r="E65" s="350"/>
      <c r="F65" s="350"/>
      <c r="G65" s="405"/>
      <c r="H65" s="352"/>
      <c r="I65" s="352"/>
      <c r="J65" s="405"/>
      <c r="K65" s="352"/>
      <c r="L65" s="350"/>
      <c r="M65" s="405"/>
      <c r="N65" s="353">
        <v>1</v>
      </c>
      <c r="O65" s="353"/>
      <c r="P65" s="405"/>
      <c r="Q65" s="353"/>
      <c r="R65" s="353"/>
      <c r="S65" s="405"/>
      <c r="T65" s="350"/>
      <c r="U65" s="353"/>
      <c r="V65" s="405"/>
      <c r="W65" s="353"/>
      <c r="X65" s="353"/>
      <c r="Y65" s="405"/>
      <c r="Z65" s="353"/>
      <c r="AA65" s="353"/>
      <c r="AB65" s="405"/>
      <c r="AC65" s="356"/>
      <c r="AD65" s="356"/>
      <c r="AE65" s="405"/>
    </row>
    <row r="66" spans="1:31" s="81" customFormat="1" ht="15.75" customHeight="1" x14ac:dyDescent="0.3">
      <c r="A66" s="49" t="s">
        <v>48</v>
      </c>
      <c r="B66" s="49" t="s">
        <v>49</v>
      </c>
      <c r="C66" s="50">
        <f>C62+7</f>
        <v>42846</v>
      </c>
      <c r="D66" s="403" t="s">
        <v>28</v>
      </c>
      <c r="E66" s="51">
        <f>SUM(E67:E69)</f>
        <v>0</v>
      </c>
      <c r="F66" s="51">
        <f>SUM(F67:F69)</f>
        <v>0</v>
      </c>
      <c r="G66" s="103" t="e">
        <f>(E66-F66)/F66</f>
        <v>#DIV/0!</v>
      </c>
      <c r="H66" s="51">
        <f>SUM(H67:H69)</f>
        <v>0</v>
      </c>
      <c r="I66" s="51">
        <f>SUM(I67:I69)</f>
        <v>0</v>
      </c>
      <c r="J66" s="103" t="e">
        <f>(H66-I66)/I66</f>
        <v>#DIV/0!</v>
      </c>
      <c r="K66" s="53" t="e">
        <f>E66/H66</f>
        <v>#DIV/0!</v>
      </c>
      <c r="L66" s="51" t="e">
        <f>F66/I66</f>
        <v>#DIV/0!</v>
      </c>
      <c r="M66" s="103" t="e">
        <f>(K66-L66)/L66</f>
        <v>#DIV/0!</v>
      </c>
      <c r="N66" s="54">
        <f>SUM(N67:N69)</f>
        <v>0</v>
      </c>
      <c r="O66" s="54">
        <f>SUM(O67:O69)</f>
        <v>0</v>
      </c>
      <c r="P66" s="103" t="e">
        <f>(N66-O66)/O66</f>
        <v>#DIV/0!</v>
      </c>
      <c r="Q66" s="54">
        <f>SUM(Q67:Q69)</f>
        <v>0</v>
      </c>
      <c r="R66" s="54">
        <f>SUM(R67:R69)</f>
        <v>0</v>
      </c>
      <c r="S66" s="103" t="e">
        <f>(Q66-R66)/R66</f>
        <v>#DIV/0!</v>
      </c>
      <c r="T66" s="54" t="e">
        <f>E66/Q66</f>
        <v>#DIV/0!</v>
      </c>
      <c r="U66" s="54" t="e">
        <f>F66/R66</f>
        <v>#DIV/0!</v>
      </c>
      <c r="V66" s="103" t="e">
        <f>(T66-U66)/U66</f>
        <v>#DIV/0!</v>
      </c>
      <c r="W66" s="54">
        <f>SUM(W67:W69)</f>
        <v>0</v>
      </c>
      <c r="X66" s="54">
        <f>SUM(X67:X69)</f>
        <v>0</v>
      </c>
      <c r="Y66" s="103" t="e">
        <f>(W66-X66)/X66</f>
        <v>#DIV/0!</v>
      </c>
      <c r="Z66" s="54">
        <f>SUM(Z67:Z69)</f>
        <v>0</v>
      </c>
      <c r="AA66" s="54">
        <f>SUM(AA67:AA69)</f>
        <v>0</v>
      </c>
      <c r="AB66" s="103" t="e">
        <f>(Z66-AA66)/AA66</f>
        <v>#DIV/0!</v>
      </c>
      <c r="AC66" s="82" t="e">
        <f>W66/Z66</f>
        <v>#DIV/0!</v>
      </c>
      <c r="AD66" s="82" t="e">
        <f>X66/AA66</f>
        <v>#DIV/0!</v>
      </c>
      <c r="AE66" s="103" t="e">
        <f t="shared" ref="AE66" si="16">(AC66-AD66)/AD66</f>
        <v>#DIV/0!</v>
      </c>
    </row>
    <row r="67" spans="1:31" s="96" customFormat="1" ht="15.75" customHeight="1" x14ac:dyDescent="0.3">
      <c r="A67" s="279"/>
      <c r="B67" s="279"/>
      <c r="C67" s="280"/>
      <c r="D67" s="280"/>
      <c r="E67" s="281"/>
      <c r="F67" s="281"/>
      <c r="G67" s="404"/>
      <c r="H67" s="283"/>
      <c r="I67" s="283"/>
      <c r="J67" s="404"/>
      <c r="K67" s="283"/>
      <c r="L67" s="281"/>
      <c r="M67" s="404"/>
      <c r="N67" s="284"/>
      <c r="O67" s="284"/>
      <c r="P67" s="404"/>
      <c r="Q67" s="284"/>
      <c r="R67" s="284"/>
      <c r="S67" s="404"/>
      <c r="T67" s="281"/>
      <c r="U67" s="284"/>
      <c r="V67" s="404"/>
      <c r="W67" s="284"/>
      <c r="X67" s="284"/>
      <c r="Y67" s="404"/>
      <c r="Z67" s="284"/>
      <c r="AA67" s="284"/>
      <c r="AB67" s="404"/>
      <c r="AC67" s="286"/>
      <c r="AD67" s="286"/>
      <c r="AE67" s="404"/>
    </row>
    <row r="68" spans="1:31" s="96" customFormat="1" ht="15.75" customHeight="1" x14ac:dyDescent="0.3">
      <c r="A68" s="279"/>
      <c r="B68" s="279"/>
      <c r="C68" s="280"/>
      <c r="D68" s="280"/>
      <c r="E68" s="281"/>
      <c r="F68" s="281"/>
      <c r="G68" s="404"/>
      <c r="H68" s="283"/>
      <c r="I68" s="283"/>
      <c r="J68" s="404"/>
      <c r="K68" s="283"/>
      <c r="L68" s="281"/>
      <c r="M68" s="404"/>
      <c r="N68" s="284"/>
      <c r="O68" s="284"/>
      <c r="P68" s="404"/>
      <c r="Q68" s="284"/>
      <c r="R68" s="284"/>
      <c r="S68" s="404"/>
      <c r="T68" s="281"/>
      <c r="U68" s="284"/>
      <c r="V68" s="404"/>
      <c r="W68" s="284"/>
      <c r="X68" s="284"/>
      <c r="Y68" s="404"/>
      <c r="Z68" s="284"/>
      <c r="AA68" s="284"/>
      <c r="AB68" s="404"/>
      <c r="AC68" s="286"/>
      <c r="AD68" s="286"/>
      <c r="AE68" s="404"/>
    </row>
    <row r="69" spans="1:31" s="96" customFormat="1" ht="15.75" customHeight="1" x14ac:dyDescent="0.3">
      <c r="A69" s="279"/>
      <c r="B69" s="279"/>
      <c r="C69" s="280"/>
      <c r="D69" s="297" t="s">
        <v>274</v>
      </c>
      <c r="E69" s="281"/>
      <c r="F69" s="281"/>
      <c r="G69" s="404"/>
      <c r="H69" s="283"/>
      <c r="I69" s="283"/>
      <c r="J69" s="404"/>
      <c r="K69" s="283"/>
      <c r="L69" s="281"/>
      <c r="M69" s="404"/>
      <c r="N69" s="284"/>
      <c r="O69" s="284"/>
      <c r="P69" s="404"/>
      <c r="Q69" s="284"/>
      <c r="R69" s="284"/>
      <c r="S69" s="404"/>
      <c r="T69" s="281"/>
      <c r="U69" s="284"/>
      <c r="V69" s="404"/>
      <c r="W69" s="284"/>
      <c r="X69" s="284"/>
      <c r="Y69" s="404"/>
      <c r="Z69" s="284"/>
      <c r="AA69" s="284"/>
      <c r="AB69" s="404"/>
      <c r="AC69" s="286"/>
      <c r="AD69" s="286"/>
      <c r="AE69" s="404"/>
    </row>
    <row r="70" spans="1:31" s="81" customFormat="1" ht="15.75" customHeight="1" x14ac:dyDescent="0.3">
      <c r="A70" s="49" t="s">
        <v>48</v>
      </c>
      <c r="B70" s="49" t="s">
        <v>50</v>
      </c>
      <c r="C70" s="50">
        <f>C66+7</f>
        <v>42853</v>
      </c>
      <c r="D70" s="403" t="s">
        <v>28</v>
      </c>
      <c r="E70" s="51">
        <f>SUM(E71:E73)</f>
        <v>0</v>
      </c>
      <c r="F70" s="51">
        <f>SUM(F71:F73)</f>
        <v>0</v>
      </c>
      <c r="G70" s="103" t="e">
        <f>(E70-F70)/F70</f>
        <v>#DIV/0!</v>
      </c>
      <c r="H70" s="51">
        <f>SUM(H71:H73)</f>
        <v>0</v>
      </c>
      <c r="I70" s="51">
        <f>SUM(I71:I73)</f>
        <v>0</v>
      </c>
      <c r="J70" s="103" t="e">
        <f>(H70-I70)/I70</f>
        <v>#DIV/0!</v>
      </c>
      <c r="K70" s="53" t="e">
        <f>E70/H70</f>
        <v>#DIV/0!</v>
      </c>
      <c r="L70" s="51" t="e">
        <f>F70/I70</f>
        <v>#DIV/0!</v>
      </c>
      <c r="M70" s="103" t="e">
        <f>(K70-L70)/L70</f>
        <v>#DIV/0!</v>
      </c>
      <c r="N70" s="54">
        <f>SUM(N71:N73)</f>
        <v>0</v>
      </c>
      <c r="O70" s="54">
        <f>SUM(O71:O73)</f>
        <v>0</v>
      </c>
      <c r="P70" s="103" t="e">
        <f>(N70-O70)/O70</f>
        <v>#DIV/0!</v>
      </c>
      <c r="Q70" s="54">
        <f>SUM(Q71:Q73)</f>
        <v>0</v>
      </c>
      <c r="R70" s="54">
        <f>SUM(R71:R73)</f>
        <v>0</v>
      </c>
      <c r="S70" s="103" t="e">
        <f>(Q70-R70)/R70</f>
        <v>#DIV/0!</v>
      </c>
      <c r="T70" s="54" t="e">
        <f>E70/Q70</f>
        <v>#DIV/0!</v>
      </c>
      <c r="U70" s="54" t="e">
        <f>F70/R70</f>
        <v>#DIV/0!</v>
      </c>
      <c r="V70" s="103" t="e">
        <f>(T70-U70)/U70</f>
        <v>#DIV/0!</v>
      </c>
      <c r="W70" s="54">
        <f>SUM(W71:W73)</f>
        <v>0</v>
      </c>
      <c r="X70" s="54">
        <f>SUM(X71:X73)</f>
        <v>0</v>
      </c>
      <c r="Y70" s="103" t="e">
        <f>(W70-X70)/X70</f>
        <v>#DIV/0!</v>
      </c>
      <c r="Z70" s="54">
        <f>SUM(Z71:Z73)</f>
        <v>0</v>
      </c>
      <c r="AA70" s="54">
        <f>SUM(AA71:AA73)</f>
        <v>0</v>
      </c>
      <c r="AB70" s="103" t="e">
        <f>(Z70-AA70)/AA70</f>
        <v>#DIV/0!</v>
      </c>
      <c r="AC70" s="82" t="e">
        <f>W70/Z70</f>
        <v>#DIV/0!</v>
      </c>
      <c r="AD70" s="82" t="e">
        <f>X70/AA70</f>
        <v>#DIV/0!</v>
      </c>
      <c r="AE70" s="103" t="e">
        <f t="shared" ref="AE70" si="17">(AC70-AD70)/AD70</f>
        <v>#DIV/0!</v>
      </c>
    </row>
    <row r="71" spans="1:31" s="96" customFormat="1" ht="15.75" customHeight="1" x14ac:dyDescent="0.3">
      <c r="A71" s="279"/>
      <c r="B71" s="279"/>
      <c r="C71" s="280"/>
      <c r="D71" s="280"/>
      <c r="E71" s="281"/>
      <c r="F71" s="281"/>
      <c r="G71" s="404"/>
      <c r="H71" s="283"/>
      <c r="I71" s="283"/>
      <c r="J71" s="404"/>
      <c r="K71" s="283"/>
      <c r="L71" s="281"/>
      <c r="M71" s="404"/>
      <c r="N71" s="284"/>
      <c r="O71" s="284"/>
      <c r="P71" s="404"/>
      <c r="Q71" s="284"/>
      <c r="R71" s="284"/>
      <c r="S71" s="404"/>
      <c r="T71" s="281"/>
      <c r="U71" s="284"/>
      <c r="V71" s="404"/>
      <c r="W71" s="284"/>
      <c r="X71" s="284"/>
      <c r="Y71" s="404"/>
      <c r="Z71" s="284"/>
      <c r="AA71" s="284"/>
      <c r="AB71" s="404"/>
      <c r="AC71" s="286"/>
      <c r="AD71" s="286"/>
      <c r="AE71" s="404"/>
    </row>
    <row r="72" spans="1:31" s="96" customFormat="1" ht="15.75" customHeight="1" x14ac:dyDescent="0.3">
      <c r="A72" s="279"/>
      <c r="B72" s="279"/>
      <c r="C72" s="280"/>
      <c r="D72" s="280"/>
      <c r="E72" s="281"/>
      <c r="F72" s="281"/>
      <c r="G72" s="404"/>
      <c r="H72" s="283"/>
      <c r="I72" s="283"/>
      <c r="J72" s="404"/>
      <c r="K72" s="283"/>
      <c r="L72" s="281"/>
      <c r="M72" s="404"/>
      <c r="N72" s="284"/>
      <c r="O72" s="284"/>
      <c r="P72" s="404"/>
      <c r="Q72" s="284"/>
      <c r="R72" s="284"/>
      <c r="S72" s="404"/>
      <c r="T72" s="281"/>
      <c r="U72" s="284"/>
      <c r="V72" s="404"/>
      <c r="W72" s="284"/>
      <c r="X72" s="284"/>
      <c r="Y72" s="404"/>
      <c r="Z72" s="284"/>
      <c r="AA72" s="284"/>
      <c r="AB72" s="404"/>
      <c r="AC72" s="286"/>
      <c r="AD72" s="286"/>
      <c r="AE72" s="404"/>
    </row>
    <row r="73" spans="1:31" s="96" customFormat="1" ht="15.75" customHeight="1" x14ac:dyDescent="0.3">
      <c r="A73" s="279"/>
      <c r="B73" s="279"/>
      <c r="C73" s="280"/>
      <c r="D73" s="297" t="s">
        <v>274</v>
      </c>
      <c r="E73" s="281"/>
      <c r="F73" s="281"/>
      <c r="G73" s="404"/>
      <c r="H73" s="283"/>
      <c r="I73" s="283"/>
      <c r="J73" s="404"/>
      <c r="K73" s="283"/>
      <c r="L73" s="281"/>
      <c r="M73" s="404"/>
      <c r="N73" s="284"/>
      <c r="O73" s="284"/>
      <c r="P73" s="404"/>
      <c r="Q73" s="284"/>
      <c r="R73" s="284"/>
      <c r="S73" s="404"/>
      <c r="T73" s="281"/>
      <c r="U73" s="284"/>
      <c r="V73" s="404"/>
      <c r="W73" s="284"/>
      <c r="X73" s="284"/>
      <c r="Y73" s="404"/>
      <c r="Z73" s="284"/>
      <c r="AA73" s="284"/>
      <c r="AB73" s="404"/>
      <c r="AC73" s="286"/>
      <c r="AD73" s="286"/>
      <c r="AE73" s="404"/>
    </row>
    <row r="74" spans="1:31" s="81" customFormat="1" ht="15.75" customHeight="1" x14ac:dyDescent="0.3">
      <c r="A74" s="49" t="s">
        <v>48</v>
      </c>
      <c r="B74" s="49" t="s">
        <v>51</v>
      </c>
      <c r="C74" s="50">
        <f>C70+7</f>
        <v>42860</v>
      </c>
      <c r="D74" s="403" t="s">
        <v>28</v>
      </c>
      <c r="E74" s="51">
        <f>SUM(E75:E77)</f>
        <v>0</v>
      </c>
      <c r="F74" s="51">
        <f>SUM(F75:F77)</f>
        <v>0</v>
      </c>
      <c r="G74" s="103" t="e">
        <f>(E74-F74)/F74</f>
        <v>#DIV/0!</v>
      </c>
      <c r="H74" s="51">
        <f>SUM(H75:H77)</f>
        <v>0</v>
      </c>
      <c r="I74" s="51">
        <f>SUM(I75:I77)</f>
        <v>0</v>
      </c>
      <c r="J74" s="103" t="e">
        <f>(H74-I74)/I74</f>
        <v>#DIV/0!</v>
      </c>
      <c r="K74" s="53" t="e">
        <f>E74/H74</f>
        <v>#DIV/0!</v>
      </c>
      <c r="L74" s="51" t="e">
        <f>F74/I74</f>
        <v>#DIV/0!</v>
      </c>
      <c r="M74" s="103" t="e">
        <f>(K74-L74)/L74</f>
        <v>#DIV/0!</v>
      </c>
      <c r="N74" s="54">
        <f>SUM(N75:N77)</f>
        <v>0</v>
      </c>
      <c r="O74" s="54">
        <f>SUM(O75:O77)</f>
        <v>0</v>
      </c>
      <c r="P74" s="103" t="e">
        <f>(N74-O74)/O74</f>
        <v>#DIV/0!</v>
      </c>
      <c r="Q74" s="54">
        <f>SUM(Q75:Q77)</f>
        <v>0</v>
      </c>
      <c r="R74" s="54">
        <f>SUM(R75:R77)</f>
        <v>0</v>
      </c>
      <c r="S74" s="103" t="e">
        <f>(Q74-R74)/R74</f>
        <v>#DIV/0!</v>
      </c>
      <c r="T74" s="54" t="e">
        <f>E74/Q74</f>
        <v>#DIV/0!</v>
      </c>
      <c r="U74" s="54" t="e">
        <f>F74/R74</f>
        <v>#DIV/0!</v>
      </c>
      <c r="V74" s="103" t="e">
        <f>(T74-U74)/U74</f>
        <v>#DIV/0!</v>
      </c>
      <c r="W74" s="54">
        <f>SUM(W75:W77)</f>
        <v>0</v>
      </c>
      <c r="X74" s="54">
        <f>SUM(X75:X77)</f>
        <v>0</v>
      </c>
      <c r="Y74" s="103" t="e">
        <f>(W74-X74)/X74</f>
        <v>#DIV/0!</v>
      </c>
      <c r="Z74" s="54">
        <f>SUM(Z75:Z77)</f>
        <v>0</v>
      </c>
      <c r="AA74" s="54">
        <f>SUM(AA75:AA77)</f>
        <v>0</v>
      </c>
      <c r="AB74" s="103" t="e">
        <f>(Z74-AA74)/AA74</f>
        <v>#DIV/0!</v>
      </c>
      <c r="AC74" s="82" t="e">
        <f>W74/Z74</f>
        <v>#DIV/0!</v>
      </c>
      <c r="AD74" s="82" t="e">
        <f>X74/AA74</f>
        <v>#DIV/0!</v>
      </c>
      <c r="AE74" s="103" t="e">
        <f t="shared" ref="AE74" si="18">(AC74-AD74)/AD74</f>
        <v>#DIV/0!</v>
      </c>
    </row>
    <row r="75" spans="1:31" s="96" customFormat="1" ht="15.75" customHeight="1" x14ac:dyDescent="0.3">
      <c r="A75" s="279"/>
      <c r="B75" s="279"/>
      <c r="C75" s="280"/>
      <c r="D75" s="280"/>
      <c r="E75" s="281"/>
      <c r="F75" s="281"/>
      <c r="G75" s="404"/>
      <c r="H75" s="283"/>
      <c r="I75" s="283"/>
      <c r="J75" s="404"/>
      <c r="K75" s="283"/>
      <c r="L75" s="281"/>
      <c r="M75" s="404"/>
      <c r="N75" s="284"/>
      <c r="O75" s="284"/>
      <c r="P75" s="404"/>
      <c r="Q75" s="284"/>
      <c r="R75" s="284"/>
      <c r="S75" s="404"/>
      <c r="T75" s="281"/>
      <c r="U75" s="284"/>
      <c r="V75" s="404"/>
      <c r="W75" s="284"/>
      <c r="X75" s="284"/>
      <c r="Y75" s="404"/>
      <c r="Z75" s="284"/>
      <c r="AA75" s="284"/>
      <c r="AB75" s="404"/>
      <c r="AC75" s="286"/>
      <c r="AD75" s="286"/>
      <c r="AE75" s="404"/>
    </row>
    <row r="76" spans="1:31" s="96" customFormat="1" ht="15.75" customHeight="1" x14ac:dyDescent="0.3">
      <c r="A76" s="279"/>
      <c r="B76" s="279"/>
      <c r="C76" s="280"/>
      <c r="D76" s="280"/>
      <c r="E76" s="281"/>
      <c r="F76" s="281"/>
      <c r="G76" s="404"/>
      <c r="H76" s="283"/>
      <c r="I76" s="283"/>
      <c r="J76" s="404"/>
      <c r="K76" s="283"/>
      <c r="L76" s="281"/>
      <c r="M76" s="404"/>
      <c r="N76" s="284"/>
      <c r="O76" s="284"/>
      <c r="P76" s="404"/>
      <c r="Q76" s="284"/>
      <c r="R76" s="284"/>
      <c r="S76" s="404"/>
      <c r="T76" s="281"/>
      <c r="U76" s="284"/>
      <c r="V76" s="404"/>
      <c r="W76" s="284"/>
      <c r="X76" s="284"/>
      <c r="Y76" s="404"/>
      <c r="Z76" s="284"/>
      <c r="AA76" s="284"/>
      <c r="AB76" s="404"/>
      <c r="AC76" s="286"/>
      <c r="AD76" s="286"/>
      <c r="AE76" s="404"/>
    </row>
    <row r="77" spans="1:31" s="96" customFormat="1" ht="15.75" customHeight="1" x14ac:dyDescent="0.3">
      <c r="A77" s="279"/>
      <c r="B77" s="279"/>
      <c r="C77" s="280"/>
      <c r="D77" s="297" t="s">
        <v>274</v>
      </c>
      <c r="E77" s="281"/>
      <c r="F77" s="281"/>
      <c r="G77" s="404"/>
      <c r="H77" s="283"/>
      <c r="I77" s="283"/>
      <c r="J77" s="404"/>
      <c r="K77" s="283"/>
      <c r="L77" s="281"/>
      <c r="M77" s="404"/>
      <c r="N77" s="284"/>
      <c r="O77" s="284"/>
      <c r="P77" s="404"/>
      <c r="Q77" s="284"/>
      <c r="R77" s="284"/>
      <c r="S77" s="404"/>
      <c r="T77" s="281"/>
      <c r="U77" s="284"/>
      <c r="V77" s="404"/>
      <c r="W77" s="284"/>
      <c r="X77" s="284"/>
      <c r="Y77" s="404"/>
      <c r="Z77" s="284"/>
      <c r="AA77" s="284"/>
      <c r="AB77" s="404"/>
      <c r="AC77" s="286"/>
      <c r="AD77" s="286"/>
      <c r="AE77" s="404"/>
    </row>
    <row r="78" spans="1:31" s="81" customFormat="1" ht="15.75" customHeight="1" x14ac:dyDescent="0.3">
      <c r="A78" s="49" t="s">
        <v>48</v>
      </c>
      <c r="B78" s="49" t="s">
        <v>52</v>
      </c>
      <c r="C78" s="50">
        <f>C74+7</f>
        <v>42867</v>
      </c>
      <c r="D78" s="403" t="s">
        <v>28</v>
      </c>
      <c r="E78" s="51">
        <f>SUM(E79:E81)</f>
        <v>0</v>
      </c>
      <c r="F78" s="51">
        <f>SUM(F79:F81)</f>
        <v>0</v>
      </c>
      <c r="G78" s="103" t="e">
        <f>(E78-F78)/F78</f>
        <v>#DIV/0!</v>
      </c>
      <c r="H78" s="51">
        <f>SUM(H79:H81)</f>
        <v>0</v>
      </c>
      <c r="I78" s="51">
        <f>SUM(I79:I81)</f>
        <v>0</v>
      </c>
      <c r="J78" s="103" t="e">
        <f>(H78-I78)/I78</f>
        <v>#DIV/0!</v>
      </c>
      <c r="K78" s="53" t="e">
        <f>E78/H78</f>
        <v>#DIV/0!</v>
      </c>
      <c r="L78" s="51" t="e">
        <f>F78/I78</f>
        <v>#DIV/0!</v>
      </c>
      <c r="M78" s="103" t="e">
        <f>(K78-L78)/L78</f>
        <v>#DIV/0!</v>
      </c>
      <c r="N78" s="54">
        <f>SUM(N79:N81)</f>
        <v>5</v>
      </c>
      <c r="O78" s="54">
        <f>SUM(O79:O81)</f>
        <v>0</v>
      </c>
      <c r="P78" s="103" t="e">
        <f>(N78-O78)/O78</f>
        <v>#DIV/0!</v>
      </c>
      <c r="Q78" s="54">
        <f>SUM(Q79:Q81)</f>
        <v>0</v>
      </c>
      <c r="R78" s="54">
        <f>SUM(R79:R81)</f>
        <v>0</v>
      </c>
      <c r="S78" s="103" t="e">
        <f>(Q78-R78)/R78</f>
        <v>#DIV/0!</v>
      </c>
      <c r="T78" s="54" t="e">
        <f>E78/Q78</f>
        <v>#DIV/0!</v>
      </c>
      <c r="U78" s="54" t="e">
        <f>F78/R78</f>
        <v>#DIV/0!</v>
      </c>
      <c r="V78" s="103" t="e">
        <f>(T78-U78)/U78</f>
        <v>#DIV/0!</v>
      </c>
      <c r="W78" s="54">
        <f>SUM(W79:W81)</f>
        <v>0</v>
      </c>
      <c r="X78" s="54">
        <f>SUM(X79:X81)</f>
        <v>0</v>
      </c>
      <c r="Y78" s="103" t="e">
        <f>(W78-X78)/X78</f>
        <v>#DIV/0!</v>
      </c>
      <c r="Z78" s="54">
        <f>SUM(Z79:Z81)</f>
        <v>0</v>
      </c>
      <c r="AA78" s="54">
        <f>SUM(AA79:AA81)</f>
        <v>0</v>
      </c>
      <c r="AB78" s="103" t="e">
        <f>(Z78-AA78)/AA78</f>
        <v>#DIV/0!</v>
      </c>
      <c r="AC78" s="82" t="e">
        <f>W78/Z78</f>
        <v>#DIV/0!</v>
      </c>
      <c r="AD78" s="82" t="e">
        <f>X78/AA78</f>
        <v>#DIV/0!</v>
      </c>
      <c r="AE78" s="103" t="e">
        <f t="shared" ref="AE78" si="19">(AC78-AD78)/AD78</f>
        <v>#DIV/0!</v>
      </c>
    </row>
    <row r="79" spans="1:31" s="96" customFormat="1" ht="15.75" customHeight="1" x14ac:dyDescent="0.3">
      <c r="A79" s="279"/>
      <c r="B79" s="279"/>
      <c r="C79" s="280"/>
      <c r="D79" s="280"/>
      <c r="E79" s="281"/>
      <c r="F79" s="281"/>
      <c r="G79" s="404"/>
      <c r="H79" s="283"/>
      <c r="I79" s="283"/>
      <c r="J79" s="404"/>
      <c r="K79" s="283"/>
      <c r="L79" s="281"/>
      <c r="M79" s="404"/>
      <c r="N79" s="284"/>
      <c r="O79" s="284"/>
      <c r="P79" s="404"/>
      <c r="Q79" s="284"/>
      <c r="R79" s="284"/>
      <c r="S79" s="404"/>
      <c r="T79" s="281"/>
      <c r="U79" s="284"/>
      <c r="V79" s="404"/>
      <c r="W79" s="284"/>
      <c r="X79" s="284"/>
      <c r="Y79" s="404"/>
      <c r="Z79" s="284"/>
      <c r="AA79" s="284"/>
      <c r="AB79" s="404"/>
      <c r="AC79" s="286"/>
      <c r="AD79" s="286"/>
      <c r="AE79" s="404"/>
    </row>
    <row r="80" spans="1:31" s="96" customFormat="1" ht="15.75" customHeight="1" x14ac:dyDescent="0.3">
      <c r="A80" s="279"/>
      <c r="B80" s="279"/>
      <c r="C80" s="280"/>
      <c r="D80" s="280"/>
      <c r="E80" s="281"/>
      <c r="F80" s="281"/>
      <c r="G80" s="404"/>
      <c r="H80" s="283"/>
      <c r="I80" s="283"/>
      <c r="J80" s="404"/>
      <c r="K80" s="283"/>
      <c r="L80" s="281"/>
      <c r="M80" s="404"/>
      <c r="N80" s="284"/>
      <c r="O80" s="284"/>
      <c r="P80" s="404"/>
      <c r="Q80" s="284"/>
      <c r="R80" s="284"/>
      <c r="S80" s="404"/>
      <c r="T80" s="281"/>
      <c r="U80" s="284"/>
      <c r="V80" s="404"/>
      <c r="W80" s="284"/>
      <c r="X80" s="284"/>
      <c r="Y80" s="404"/>
      <c r="Z80" s="284"/>
      <c r="AA80" s="284"/>
      <c r="AB80" s="404"/>
      <c r="AC80" s="286"/>
      <c r="AD80" s="286"/>
      <c r="AE80" s="404"/>
    </row>
    <row r="81" spans="1:31" s="357" customFormat="1" ht="15.75" customHeight="1" x14ac:dyDescent="0.3">
      <c r="A81" s="347"/>
      <c r="B81" s="347"/>
      <c r="C81" s="348"/>
      <c r="D81" s="349" t="s">
        <v>274</v>
      </c>
      <c r="E81" s="350"/>
      <c r="F81" s="350"/>
      <c r="G81" s="405"/>
      <c r="H81" s="352"/>
      <c r="I81" s="352"/>
      <c r="J81" s="405"/>
      <c r="K81" s="352"/>
      <c r="L81" s="350"/>
      <c r="M81" s="405"/>
      <c r="N81" s="353">
        <v>5</v>
      </c>
      <c r="O81" s="353"/>
      <c r="P81" s="405"/>
      <c r="Q81" s="353"/>
      <c r="R81" s="353"/>
      <c r="S81" s="405"/>
      <c r="T81" s="350"/>
      <c r="U81" s="353"/>
      <c r="V81" s="405"/>
      <c r="W81" s="353"/>
      <c r="X81" s="353"/>
      <c r="Y81" s="405"/>
      <c r="Z81" s="353"/>
      <c r="AA81" s="353"/>
      <c r="AB81" s="405"/>
      <c r="AC81" s="356"/>
      <c r="AD81" s="356"/>
      <c r="AE81" s="405"/>
    </row>
    <row r="82" spans="1:31" s="81" customFormat="1" ht="15.75" customHeight="1" x14ac:dyDescent="0.3">
      <c r="A82" s="49" t="s">
        <v>53</v>
      </c>
      <c r="B82" s="49" t="s">
        <v>54</v>
      </c>
      <c r="C82" s="50">
        <f>C78+7</f>
        <v>42874</v>
      </c>
      <c r="D82" s="403" t="s">
        <v>28</v>
      </c>
      <c r="E82" s="51">
        <f>SUM(E83:E85)</f>
        <v>0</v>
      </c>
      <c r="F82" s="51">
        <f>SUM(F83:F85)</f>
        <v>0</v>
      </c>
      <c r="G82" s="103" t="e">
        <f>(E82-F82)/F82</f>
        <v>#DIV/0!</v>
      </c>
      <c r="H82" s="51">
        <f>SUM(H83:H85)</f>
        <v>0</v>
      </c>
      <c r="I82" s="51">
        <f>SUM(I83:I85)</f>
        <v>0</v>
      </c>
      <c r="J82" s="103" t="e">
        <f>(H82-I82)/I82</f>
        <v>#DIV/0!</v>
      </c>
      <c r="K82" s="53" t="e">
        <f>E82/H82</f>
        <v>#DIV/0!</v>
      </c>
      <c r="L82" s="51" t="e">
        <f>F82/I82</f>
        <v>#DIV/0!</v>
      </c>
      <c r="M82" s="103" t="e">
        <f>(K82-L82)/L82</f>
        <v>#DIV/0!</v>
      </c>
      <c r="N82" s="54">
        <f>SUM(N83:N85)</f>
        <v>230</v>
      </c>
      <c r="O82" s="54">
        <f>SUM(O83:O85)</f>
        <v>0</v>
      </c>
      <c r="P82" s="103" t="e">
        <f>(N82-O82)/O82</f>
        <v>#DIV/0!</v>
      </c>
      <c r="Q82" s="54">
        <f>SUM(Q83:Q85)</f>
        <v>0</v>
      </c>
      <c r="R82" s="54">
        <f>SUM(R83:R85)</f>
        <v>0</v>
      </c>
      <c r="S82" s="103" t="e">
        <f>(Q82-R82)/R82</f>
        <v>#DIV/0!</v>
      </c>
      <c r="T82" s="54" t="e">
        <f>E82/Q82</f>
        <v>#DIV/0!</v>
      </c>
      <c r="U82" s="54" t="e">
        <f>F82/R82</f>
        <v>#DIV/0!</v>
      </c>
      <c r="V82" s="103" t="e">
        <f>(T82-U82)/U82</f>
        <v>#DIV/0!</v>
      </c>
      <c r="W82" s="54">
        <f>SUM(W83:W85)</f>
        <v>0</v>
      </c>
      <c r="X82" s="54">
        <f>SUM(X83:X85)</f>
        <v>0</v>
      </c>
      <c r="Y82" s="103" t="e">
        <f>(W82-X82)/X82</f>
        <v>#DIV/0!</v>
      </c>
      <c r="Z82" s="54">
        <f>SUM(Z83:Z85)</f>
        <v>0</v>
      </c>
      <c r="AA82" s="54">
        <f>SUM(AA83:AA85)</f>
        <v>0</v>
      </c>
      <c r="AB82" s="103" t="e">
        <f>(Z82-AA82)/AA82</f>
        <v>#DIV/0!</v>
      </c>
      <c r="AC82" s="82" t="e">
        <f>W82/Z82</f>
        <v>#DIV/0!</v>
      </c>
      <c r="AD82" s="82" t="e">
        <f>X82/AA82</f>
        <v>#DIV/0!</v>
      </c>
      <c r="AE82" s="103" t="e">
        <f t="shared" ref="AE82" si="20">(AC82-AD82)/AD82</f>
        <v>#DIV/0!</v>
      </c>
    </row>
    <row r="83" spans="1:31" s="96" customFormat="1" ht="15.75" customHeight="1" x14ac:dyDescent="0.3">
      <c r="A83" s="279"/>
      <c r="B83" s="279"/>
      <c r="C83" s="280"/>
      <c r="D83" s="280"/>
      <c r="E83" s="281"/>
      <c r="F83" s="281"/>
      <c r="G83" s="404"/>
      <c r="H83" s="283"/>
      <c r="I83" s="283"/>
      <c r="J83" s="404"/>
      <c r="K83" s="283"/>
      <c r="L83" s="281"/>
      <c r="M83" s="404"/>
      <c r="N83" s="284"/>
      <c r="O83" s="284"/>
      <c r="P83" s="404"/>
      <c r="Q83" s="284"/>
      <c r="R83" s="284"/>
      <c r="S83" s="404"/>
      <c r="T83" s="281"/>
      <c r="U83" s="284"/>
      <c r="V83" s="404"/>
      <c r="W83" s="284"/>
      <c r="X83" s="284"/>
      <c r="Y83" s="404"/>
      <c r="Z83" s="284"/>
      <c r="AA83" s="284"/>
      <c r="AB83" s="404"/>
      <c r="AC83" s="286"/>
      <c r="AD83" s="286"/>
      <c r="AE83" s="404"/>
    </row>
    <row r="84" spans="1:31" s="96" customFormat="1" ht="15.75" customHeight="1" x14ac:dyDescent="0.3">
      <c r="A84" s="279"/>
      <c r="B84" s="279"/>
      <c r="C84" s="280"/>
      <c r="D84" s="280"/>
      <c r="E84" s="281"/>
      <c r="F84" s="281"/>
      <c r="G84" s="404"/>
      <c r="H84" s="283"/>
      <c r="I84" s="283"/>
      <c r="J84" s="404"/>
      <c r="K84" s="283"/>
      <c r="L84" s="281"/>
      <c r="M84" s="404"/>
      <c r="N84" s="284"/>
      <c r="O84" s="284"/>
      <c r="P84" s="404"/>
      <c r="Q84" s="284"/>
      <c r="R84" s="284"/>
      <c r="S84" s="404"/>
      <c r="T84" s="281"/>
      <c r="U84" s="284"/>
      <c r="V84" s="404"/>
      <c r="W84" s="284"/>
      <c r="X84" s="284"/>
      <c r="Y84" s="404"/>
      <c r="Z84" s="284"/>
      <c r="AA84" s="284"/>
      <c r="AB84" s="404"/>
      <c r="AC84" s="286"/>
      <c r="AD84" s="286"/>
      <c r="AE84" s="404"/>
    </row>
    <row r="85" spans="1:31" s="96" customFormat="1" ht="15.75" customHeight="1" x14ac:dyDescent="0.3">
      <c r="A85" s="279"/>
      <c r="B85" s="279"/>
      <c r="C85" s="280"/>
      <c r="D85" s="297" t="s">
        <v>274</v>
      </c>
      <c r="E85" s="281"/>
      <c r="F85" s="281"/>
      <c r="G85" s="404"/>
      <c r="H85" s="283"/>
      <c r="I85" s="283"/>
      <c r="J85" s="404"/>
      <c r="K85" s="283"/>
      <c r="L85" s="281"/>
      <c r="M85" s="404"/>
      <c r="N85" s="284">
        <v>230</v>
      </c>
      <c r="O85" s="284"/>
      <c r="P85" s="404"/>
      <c r="Q85" s="284"/>
      <c r="R85" s="284"/>
      <c r="S85" s="404"/>
      <c r="T85" s="281"/>
      <c r="U85" s="284"/>
      <c r="V85" s="404"/>
      <c r="W85" s="284"/>
      <c r="X85" s="284"/>
      <c r="Y85" s="404"/>
      <c r="Z85" s="284"/>
      <c r="AA85" s="284"/>
      <c r="AB85" s="404"/>
      <c r="AC85" s="286"/>
      <c r="AD85" s="286"/>
      <c r="AE85" s="404"/>
    </row>
    <row r="86" spans="1:31" s="81" customFormat="1" ht="15.75" customHeight="1" x14ac:dyDescent="0.3">
      <c r="A86" s="49" t="s">
        <v>53</v>
      </c>
      <c r="B86" s="49" t="s">
        <v>55</v>
      </c>
      <c r="C86" s="50">
        <f>C82+7</f>
        <v>42881</v>
      </c>
      <c r="D86" s="403" t="s">
        <v>28</v>
      </c>
      <c r="E86" s="51">
        <f>SUM(E87:E89)</f>
        <v>0</v>
      </c>
      <c r="F86" s="51">
        <f>SUM(F87:F89)</f>
        <v>0</v>
      </c>
      <c r="G86" s="103" t="e">
        <f>(E86-F86)/F86</f>
        <v>#DIV/0!</v>
      </c>
      <c r="H86" s="51">
        <f>SUM(H87:H89)</f>
        <v>0</v>
      </c>
      <c r="I86" s="51">
        <f>SUM(I87:I89)</f>
        <v>0</v>
      </c>
      <c r="J86" s="103" t="e">
        <f>(H86-I86)/I86</f>
        <v>#DIV/0!</v>
      </c>
      <c r="K86" s="53" t="e">
        <f>E86/H86</f>
        <v>#DIV/0!</v>
      </c>
      <c r="L86" s="51" t="e">
        <f>F86/I86</f>
        <v>#DIV/0!</v>
      </c>
      <c r="M86" s="103" t="e">
        <f>(K86-L86)/L86</f>
        <v>#DIV/0!</v>
      </c>
      <c r="N86" s="54">
        <f>SUM(N87:N89)</f>
        <v>410</v>
      </c>
      <c r="O86" s="54">
        <f>SUM(O87:O89)</f>
        <v>0</v>
      </c>
      <c r="P86" s="103" t="e">
        <f>(N86-O86)/O86</f>
        <v>#DIV/0!</v>
      </c>
      <c r="Q86" s="54">
        <f>SUM(Q87:Q89)</f>
        <v>0</v>
      </c>
      <c r="R86" s="54">
        <f>SUM(R87:R89)</f>
        <v>0</v>
      </c>
      <c r="S86" s="103" t="e">
        <f>(Q86-R86)/R86</f>
        <v>#DIV/0!</v>
      </c>
      <c r="T86" s="54" t="e">
        <f>E86/Q86</f>
        <v>#DIV/0!</v>
      </c>
      <c r="U86" s="54" t="e">
        <f>F86/R86</f>
        <v>#DIV/0!</v>
      </c>
      <c r="V86" s="103" t="e">
        <f>(T86-U86)/U86</f>
        <v>#DIV/0!</v>
      </c>
      <c r="W86" s="54">
        <f>SUM(W87:W89)</f>
        <v>0</v>
      </c>
      <c r="X86" s="54">
        <f>SUM(X87:X89)</f>
        <v>0</v>
      </c>
      <c r="Y86" s="103" t="e">
        <f>(W86-X86)/X86</f>
        <v>#DIV/0!</v>
      </c>
      <c r="Z86" s="54">
        <f>SUM(Z87:Z89)</f>
        <v>0</v>
      </c>
      <c r="AA86" s="54">
        <f>SUM(AA87:AA89)</f>
        <v>0</v>
      </c>
      <c r="AB86" s="103" t="e">
        <f>(Z86-AA86)/AA86</f>
        <v>#DIV/0!</v>
      </c>
      <c r="AC86" s="82" t="e">
        <f>W86/Z86</f>
        <v>#DIV/0!</v>
      </c>
      <c r="AD86" s="82" t="e">
        <f>X86/AA86</f>
        <v>#DIV/0!</v>
      </c>
      <c r="AE86" s="103" t="e">
        <f t="shared" ref="AE86" si="21">(AC86-AD86)/AD86</f>
        <v>#DIV/0!</v>
      </c>
    </row>
    <row r="87" spans="1:31" s="96" customFormat="1" ht="15.75" customHeight="1" x14ac:dyDescent="0.3">
      <c r="A87" s="279"/>
      <c r="B87" s="279"/>
      <c r="C87" s="280"/>
      <c r="D87" s="280"/>
      <c r="E87" s="281"/>
      <c r="F87" s="281"/>
      <c r="G87" s="404"/>
      <c r="H87" s="283"/>
      <c r="I87" s="283"/>
      <c r="J87" s="404"/>
      <c r="K87" s="283"/>
      <c r="L87" s="281"/>
      <c r="M87" s="404"/>
      <c r="N87" s="284"/>
      <c r="O87" s="284"/>
      <c r="P87" s="404"/>
      <c r="Q87" s="284"/>
      <c r="R87" s="284"/>
      <c r="S87" s="404"/>
      <c r="T87" s="281"/>
      <c r="U87" s="284"/>
      <c r="V87" s="404"/>
      <c r="W87" s="284"/>
      <c r="X87" s="284"/>
      <c r="Y87" s="404"/>
      <c r="Z87" s="284"/>
      <c r="AA87" s="284"/>
      <c r="AB87" s="404"/>
      <c r="AC87" s="286"/>
      <c r="AD87" s="286"/>
      <c r="AE87" s="404"/>
    </row>
    <row r="88" spans="1:31" s="96" customFormat="1" ht="15.75" customHeight="1" x14ac:dyDescent="0.3">
      <c r="A88" s="279"/>
      <c r="B88" s="279"/>
      <c r="C88" s="280"/>
      <c r="D88" s="280"/>
      <c r="E88" s="281"/>
      <c r="F88" s="281"/>
      <c r="G88" s="404"/>
      <c r="H88" s="283"/>
      <c r="I88" s="283"/>
      <c r="J88" s="404"/>
      <c r="K88" s="283"/>
      <c r="L88" s="281"/>
      <c r="M88" s="404"/>
      <c r="N88" s="284"/>
      <c r="O88" s="284"/>
      <c r="P88" s="404"/>
      <c r="Q88" s="284"/>
      <c r="R88" s="284"/>
      <c r="S88" s="404"/>
      <c r="T88" s="281"/>
      <c r="U88" s="284"/>
      <c r="V88" s="404"/>
      <c r="W88" s="284"/>
      <c r="X88" s="284"/>
      <c r="Y88" s="404"/>
      <c r="Z88" s="284"/>
      <c r="AA88" s="284"/>
      <c r="AB88" s="404"/>
      <c r="AC88" s="286"/>
      <c r="AD88" s="286"/>
      <c r="AE88" s="404"/>
    </row>
    <row r="89" spans="1:31" s="96" customFormat="1" ht="15.75" customHeight="1" x14ac:dyDescent="0.3">
      <c r="A89" s="279"/>
      <c r="B89" s="279"/>
      <c r="C89" s="280"/>
      <c r="D89" s="297" t="s">
        <v>274</v>
      </c>
      <c r="E89" s="281"/>
      <c r="F89" s="281"/>
      <c r="G89" s="404"/>
      <c r="H89" s="283"/>
      <c r="I89" s="283"/>
      <c r="J89" s="404"/>
      <c r="K89" s="283"/>
      <c r="L89" s="281"/>
      <c r="M89" s="404"/>
      <c r="N89" s="284">
        <v>410</v>
      </c>
      <c r="O89" s="284"/>
      <c r="P89" s="404"/>
      <c r="Q89" s="284"/>
      <c r="R89" s="284"/>
      <c r="S89" s="404"/>
      <c r="T89" s="281"/>
      <c r="U89" s="284"/>
      <c r="V89" s="404"/>
      <c r="W89" s="284"/>
      <c r="X89" s="284"/>
      <c r="Y89" s="404"/>
      <c r="Z89" s="284"/>
      <c r="AA89" s="284"/>
      <c r="AB89" s="404"/>
      <c r="AC89" s="286"/>
      <c r="AD89" s="286"/>
      <c r="AE89" s="404"/>
    </row>
    <row r="90" spans="1:31" s="81" customFormat="1" ht="15.75" customHeight="1" x14ac:dyDescent="0.3">
      <c r="A90" s="49" t="s">
        <v>53</v>
      </c>
      <c r="B90" s="49" t="s">
        <v>56</v>
      </c>
      <c r="C90" s="50">
        <f>C86+7</f>
        <v>42888</v>
      </c>
      <c r="D90" s="403" t="s">
        <v>28</v>
      </c>
      <c r="E90" s="51">
        <f>SUM(E91:E93)</f>
        <v>0</v>
      </c>
      <c r="F90" s="51">
        <f>SUM(F91:F93)</f>
        <v>0</v>
      </c>
      <c r="G90" s="103" t="e">
        <f>(E90-F90)/F90</f>
        <v>#DIV/0!</v>
      </c>
      <c r="H90" s="51">
        <f>SUM(H91:H93)</f>
        <v>0</v>
      </c>
      <c r="I90" s="51">
        <f>SUM(I91:I93)</f>
        <v>0</v>
      </c>
      <c r="J90" s="103" t="e">
        <f>(H90-I90)/I90</f>
        <v>#DIV/0!</v>
      </c>
      <c r="K90" s="53" t="e">
        <f>E90/H90</f>
        <v>#DIV/0!</v>
      </c>
      <c r="L90" s="51" t="e">
        <f>F90/I90</f>
        <v>#DIV/0!</v>
      </c>
      <c r="M90" s="103" t="e">
        <f>(K90-L90)/L90</f>
        <v>#DIV/0!</v>
      </c>
      <c r="N90" s="54">
        <f>SUM(N91:N93)</f>
        <v>689</v>
      </c>
      <c r="O90" s="54">
        <f>SUM(O91:O93)</f>
        <v>0</v>
      </c>
      <c r="P90" s="103" t="e">
        <f>(N90-O90)/O90</f>
        <v>#DIV/0!</v>
      </c>
      <c r="Q90" s="54">
        <f>SUM(Q91:Q93)</f>
        <v>0</v>
      </c>
      <c r="R90" s="54">
        <f>SUM(R91:R93)</f>
        <v>0</v>
      </c>
      <c r="S90" s="103" t="e">
        <f>(Q90-R90)/R90</f>
        <v>#DIV/0!</v>
      </c>
      <c r="T90" s="54" t="e">
        <f>E90/Q90</f>
        <v>#DIV/0!</v>
      </c>
      <c r="U90" s="54" t="e">
        <f>F90/R90</f>
        <v>#DIV/0!</v>
      </c>
      <c r="V90" s="103" t="e">
        <f>(T90-U90)/U90</f>
        <v>#DIV/0!</v>
      </c>
      <c r="W90" s="54">
        <f>SUM(W91:W93)</f>
        <v>0</v>
      </c>
      <c r="X90" s="54">
        <f>SUM(X91:X93)</f>
        <v>0</v>
      </c>
      <c r="Y90" s="103" t="e">
        <f>(W90-X90)/X90</f>
        <v>#DIV/0!</v>
      </c>
      <c r="Z90" s="54">
        <f>SUM(Z91:Z93)</f>
        <v>0</v>
      </c>
      <c r="AA90" s="54">
        <f>SUM(AA91:AA93)</f>
        <v>0</v>
      </c>
      <c r="AB90" s="103" t="e">
        <f>(Z90-AA90)/AA90</f>
        <v>#DIV/0!</v>
      </c>
      <c r="AC90" s="82" t="e">
        <f>W90/Z90</f>
        <v>#DIV/0!</v>
      </c>
      <c r="AD90" s="82" t="e">
        <f>X90/AA90</f>
        <v>#DIV/0!</v>
      </c>
      <c r="AE90" s="103" t="e">
        <f t="shared" ref="AE90" si="22">(AC90-AD90)/AD90</f>
        <v>#DIV/0!</v>
      </c>
    </row>
    <row r="91" spans="1:31" s="96" customFormat="1" ht="15.75" customHeight="1" x14ac:dyDescent="0.3">
      <c r="A91" s="279"/>
      <c r="B91" s="279"/>
      <c r="C91" s="280"/>
      <c r="D91" s="280"/>
      <c r="E91" s="281"/>
      <c r="F91" s="281"/>
      <c r="G91" s="404"/>
      <c r="H91" s="283"/>
      <c r="I91" s="283"/>
      <c r="J91" s="404"/>
      <c r="K91" s="283"/>
      <c r="L91" s="281"/>
      <c r="M91" s="404"/>
      <c r="N91" s="284"/>
      <c r="O91" s="284"/>
      <c r="P91" s="404"/>
      <c r="Q91" s="284"/>
      <c r="R91" s="284"/>
      <c r="S91" s="404"/>
      <c r="T91" s="281"/>
      <c r="U91" s="284"/>
      <c r="V91" s="404"/>
      <c r="W91" s="284"/>
      <c r="X91" s="284"/>
      <c r="Y91" s="404"/>
      <c r="Z91" s="284"/>
      <c r="AA91" s="284"/>
      <c r="AB91" s="404"/>
      <c r="AC91" s="286"/>
      <c r="AD91" s="286"/>
      <c r="AE91" s="404"/>
    </row>
    <row r="92" spans="1:31" s="96" customFormat="1" ht="15.75" customHeight="1" x14ac:dyDescent="0.3">
      <c r="A92" s="279"/>
      <c r="B92" s="279"/>
      <c r="C92" s="280"/>
      <c r="D92" s="280"/>
      <c r="E92" s="281"/>
      <c r="F92" s="281"/>
      <c r="G92" s="404"/>
      <c r="H92" s="283"/>
      <c r="I92" s="283"/>
      <c r="J92" s="404"/>
      <c r="K92" s="283"/>
      <c r="L92" s="281"/>
      <c r="M92" s="404"/>
      <c r="N92" s="284"/>
      <c r="O92" s="284"/>
      <c r="P92" s="404"/>
      <c r="Q92" s="284"/>
      <c r="R92" s="284"/>
      <c r="S92" s="404"/>
      <c r="T92" s="281"/>
      <c r="U92" s="284"/>
      <c r="V92" s="404"/>
      <c r="W92" s="284"/>
      <c r="X92" s="284"/>
      <c r="Y92" s="404"/>
      <c r="Z92" s="284"/>
      <c r="AA92" s="284"/>
      <c r="AB92" s="404"/>
      <c r="AC92" s="286"/>
      <c r="AD92" s="286"/>
      <c r="AE92" s="404"/>
    </row>
    <row r="93" spans="1:31" s="96" customFormat="1" ht="15.75" customHeight="1" x14ac:dyDescent="0.3">
      <c r="A93" s="279"/>
      <c r="B93" s="279"/>
      <c r="C93" s="280"/>
      <c r="D93" s="297" t="s">
        <v>274</v>
      </c>
      <c r="E93" s="281"/>
      <c r="F93" s="281"/>
      <c r="G93" s="404"/>
      <c r="H93" s="283"/>
      <c r="I93" s="283"/>
      <c r="J93" s="404"/>
      <c r="K93" s="283"/>
      <c r="L93" s="281"/>
      <c r="M93" s="404"/>
      <c r="N93" s="284">
        <v>689</v>
      </c>
      <c r="O93" s="284"/>
      <c r="P93" s="404"/>
      <c r="Q93" s="284"/>
      <c r="R93" s="284"/>
      <c r="S93" s="404"/>
      <c r="T93" s="281"/>
      <c r="U93" s="284"/>
      <c r="V93" s="404"/>
      <c r="W93" s="284"/>
      <c r="X93" s="284"/>
      <c r="Y93" s="404"/>
      <c r="Z93" s="284"/>
      <c r="AA93" s="284"/>
      <c r="AB93" s="404"/>
      <c r="AC93" s="286"/>
      <c r="AD93" s="286"/>
      <c r="AE93" s="404"/>
    </row>
    <row r="94" spans="1:31" s="81" customFormat="1" ht="15.75" customHeight="1" x14ac:dyDescent="0.3">
      <c r="A94" s="49" t="s">
        <v>53</v>
      </c>
      <c r="B94" s="49" t="s">
        <v>57</v>
      </c>
      <c r="C94" s="50">
        <f>C90+7</f>
        <v>42895</v>
      </c>
      <c r="D94" s="403" t="s">
        <v>28</v>
      </c>
      <c r="E94" s="51">
        <f>SUM(E95:E97)</f>
        <v>0</v>
      </c>
      <c r="F94" s="51">
        <f>SUM(F95:F97)</f>
        <v>0</v>
      </c>
      <c r="G94" s="103" t="e">
        <f>(E94-F94)/F94</f>
        <v>#DIV/0!</v>
      </c>
      <c r="H94" s="51">
        <f>SUM(H95:H97)</f>
        <v>0</v>
      </c>
      <c r="I94" s="51">
        <f>SUM(I95:I97)</f>
        <v>0</v>
      </c>
      <c r="J94" s="103" t="e">
        <f>(H94-I94)/I94</f>
        <v>#DIV/0!</v>
      </c>
      <c r="K94" s="53" t="e">
        <f>E94/H94</f>
        <v>#DIV/0!</v>
      </c>
      <c r="L94" s="51" t="e">
        <f>F94/I94</f>
        <v>#DIV/0!</v>
      </c>
      <c r="M94" s="103" t="e">
        <f>(K94-L94)/L94</f>
        <v>#DIV/0!</v>
      </c>
      <c r="N94" s="54">
        <f>SUM(N95:N97)</f>
        <v>4101</v>
      </c>
      <c r="O94" s="54">
        <f>SUM(O95:O97)</f>
        <v>0</v>
      </c>
      <c r="P94" s="103" t="e">
        <f>(N94-O94)/O94</f>
        <v>#DIV/0!</v>
      </c>
      <c r="Q94" s="54">
        <f>SUM(Q95:Q97)</f>
        <v>0</v>
      </c>
      <c r="R94" s="54">
        <f>SUM(R95:R97)</f>
        <v>0</v>
      </c>
      <c r="S94" s="103" t="e">
        <f>(Q94-R94)/R94</f>
        <v>#DIV/0!</v>
      </c>
      <c r="T94" s="54" t="e">
        <f>E94/Q94</f>
        <v>#DIV/0!</v>
      </c>
      <c r="U94" s="54" t="e">
        <f>F94/R94</f>
        <v>#DIV/0!</v>
      </c>
      <c r="V94" s="103" t="e">
        <f>(T94-U94)/U94</f>
        <v>#DIV/0!</v>
      </c>
      <c r="W94" s="54">
        <f>SUM(W95:W97)</f>
        <v>0</v>
      </c>
      <c r="X94" s="54">
        <f>SUM(X95:X97)</f>
        <v>0</v>
      </c>
      <c r="Y94" s="103" t="e">
        <f>(W94-X94)/X94</f>
        <v>#DIV/0!</v>
      </c>
      <c r="Z94" s="54">
        <f>SUM(Z95:Z97)</f>
        <v>0</v>
      </c>
      <c r="AA94" s="54">
        <f>SUM(AA95:AA97)</f>
        <v>0</v>
      </c>
      <c r="AB94" s="103" t="e">
        <f>(Z94-AA94)/AA94</f>
        <v>#DIV/0!</v>
      </c>
      <c r="AC94" s="82" t="e">
        <f>W94/Z94</f>
        <v>#DIV/0!</v>
      </c>
      <c r="AD94" s="82" t="e">
        <f>X94/AA94</f>
        <v>#DIV/0!</v>
      </c>
      <c r="AE94" s="103" t="e">
        <f t="shared" ref="AE94" si="23">(AC94-AD94)/AD94</f>
        <v>#DIV/0!</v>
      </c>
    </row>
    <row r="95" spans="1:31" s="96" customFormat="1" ht="15.75" customHeight="1" x14ac:dyDescent="0.3">
      <c r="A95" s="279"/>
      <c r="B95" s="279"/>
      <c r="C95" s="280"/>
      <c r="D95" s="280"/>
      <c r="E95" s="281"/>
      <c r="F95" s="281"/>
      <c r="G95" s="404"/>
      <c r="H95" s="283"/>
      <c r="I95" s="283"/>
      <c r="J95" s="404"/>
      <c r="K95" s="283"/>
      <c r="L95" s="281"/>
      <c r="M95" s="404"/>
      <c r="N95" s="284"/>
      <c r="O95" s="284"/>
      <c r="P95" s="404"/>
      <c r="Q95" s="284"/>
      <c r="R95" s="284"/>
      <c r="S95" s="404"/>
      <c r="T95" s="281"/>
      <c r="U95" s="284"/>
      <c r="V95" s="404"/>
      <c r="W95" s="284"/>
      <c r="X95" s="284"/>
      <c r="Y95" s="404"/>
      <c r="Z95" s="284"/>
      <c r="AA95" s="284"/>
      <c r="AB95" s="404"/>
      <c r="AC95" s="286"/>
      <c r="AD95" s="286"/>
      <c r="AE95" s="404"/>
    </row>
    <row r="96" spans="1:31" s="96" customFormat="1" ht="15.75" customHeight="1" x14ac:dyDescent="0.3">
      <c r="A96" s="279"/>
      <c r="B96" s="279"/>
      <c r="C96" s="280"/>
      <c r="D96" s="280"/>
      <c r="E96" s="281"/>
      <c r="F96" s="281"/>
      <c r="G96" s="404"/>
      <c r="H96" s="283"/>
      <c r="I96" s="283"/>
      <c r="J96" s="404"/>
      <c r="K96" s="283"/>
      <c r="L96" s="281"/>
      <c r="M96" s="404"/>
      <c r="N96" s="284"/>
      <c r="O96" s="284"/>
      <c r="P96" s="404"/>
      <c r="Q96" s="284"/>
      <c r="R96" s="284"/>
      <c r="S96" s="404"/>
      <c r="T96" s="281"/>
      <c r="U96" s="284"/>
      <c r="V96" s="404"/>
      <c r="W96" s="284"/>
      <c r="X96" s="284"/>
      <c r="Y96" s="404"/>
      <c r="Z96" s="284"/>
      <c r="AA96" s="284"/>
      <c r="AB96" s="404"/>
      <c r="AC96" s="286"/>
      <c r="AD96" s="286"/>
      <c r="AE96" s="404"/>
    </row>
    <row r="97" spans="1:31" s="357" customFormat="1" ht="15.75" customHeight="1" x14ac:dyDescent="0.3">
      <c r="A97" s="347"/>
      <c r="B97" s="347"/>
      <c r="C97" s="348"/>
      <c r="D97" s="349" t="s">
        <v>274</v>
      </c>
      <c r="E97" s="350"/>
      <c r="F97" s="350"/>
      <c r="G97" s="405"/>
      <c r="H97" s="352"/>
      <c r="I97" s="352"/>
      <c r="J97" s="405"/>
      <c r="K97" s="352"/>
      <c r="L97" s="350"/>
      <c r="M97" s="405"/>
      <c r="N97" s="353">
        <v>4101</v>
      </c>
      <c r="O97" s="353"/>
      <c r="P97" s="405"/>
      <c r="Q97" s="353"/>
      <c r="R97" s="353"/>
      <c r="S97" s="405"/>
      <c r="T97" s="350"/>
      <c r="U97" s="353"/>
      <c r="V97" s="405"/>
      <c r="W97" s="353"/>
      <c r="X97" s="353"/>
      <c r="Y97" s="405"/>
      <c r="Z97" s="353"/>
      <c r="AA97" s="353"/>
      <c r="AB97" s="405"/>
      <c r="AC97" s="356"/>
      <c r="AD97" s="356"/>
      <c r="AE97" s="405"/>
    </row>
    <row r="98" spans="1:31" s="81" customFormat="1" ht="15.75" customHeight="1" x14ac:dyDescent="0.3">
      <c r="A98" s="49" t="s">
        <v>58</v>
      </c>
      <c r="B98" s="49" t="s">
        <v>59</v>
      </c>
      <c r="C98" s="50">
        <f>C94+7</f>
        <v>42902</v>
      </c>
      <c r="D98" s="403" t="s">
        <v>28</v>
      </c>
      <c r="E98" s="51">
        <f>SUM(E99:E101)</f>
        <v>0</v>
      </c>
      <c r="F98" s="51">
        <f>SUM(F99:F101)</f>
        <v>0</v>
      </c>
      <c r="G98" s="103" t="e">
        <f>(E98-F98)/F98</f>
        <v>#DIV/0!</v>
      </c>
      <c r="H98" s="51">
        <f>SUM(H99:H101)</f>
        <v>0</v>
      </c>
      <c r="I98" s="51">
        <f>SUM(I99:I101)</f>
        <v>0</v>
      </c>
      <c r="J98" s="103" t="e">
        <f>(H98-I98)/I98</f>
        <v>#DIV/0!</v>
      </c>
      <c r="K98" s="53" t="e">
        <f>E98/H98</f>
        <v>#DIV/0!</v>
      </c>
      <c r="L98" s="51" t="e">
        <f>F98/I98</f>
        <v>#DIV/0!</v>
      </c>
      <c r="M98" s="103" t="e">
        <f>(K98-L98)/L98</f>
        <v>#DIV/0!</v>
      </c>
      <c r="N98" s="54">
        <f>SUM(N99:N101)</f>
        <v>731</v>
      </c>
      <c r="O98" s="54">
        <f>SUM(O99:O101)</f>
        <v>0</v>
      </c>
      <c r="P98" s="103" t="e">
        <f>(N98-O98)/O98</f>
        <v>#DIV/0!</v>
      </c>
      <c r="Q98" s="54">
        <f>SUM(Q99:Q101)</f>
        <v>0</v>
      </c>
      <c r="R98" s="54">
        <f>SUM(R99:R101)</f>
        <v>0</v>
      </c>
      <c r="S98" s="103" t="e">
        <f>(Q98-R98)/R98</f>
        <v>#DIV/0!</v>
      </c>
      <c r="T98" s="54" t="e">
        <f>E98/Q98</f>
        <v>#DIV/0!</v>
      </c>
      <c r="U98" s="54" t="e">
        <f>F98/R98</f>
        <v>#DIV/0!</v>
      </c>
      <c r="V98" s="103" t="e">
        <f>(T98-U98)/U98</f>
        <v>#DIV/0!</v>
      </c>
      <c r="W98" s="54">
        <f>SUM(W99:W101)</f>
        <v>0</v>
      </c>
      <c r="X98" s="54">
        <f>SUM(X99:X101)</f>
        <v>0</v>
      </c>
      <c r="Y98" s="103" t="e">
        <f>(W98-X98)/X98</f>
        <v>#DIV/0!</v>
      </c>
      <c r="Z98" s="54">
        <f>SUM(Z99:Z101)</f>
        <v>0</v>
      </c>
      <c r="AA98" s="54">
        <f>SUM(AA99:AA101)</f>
        <v>0</v>
      </c>
      <c r="AB98" s="103" t="e">
        <f>(Z98-AA98)/AA98</f>
        <v>#DIV/0!</v>
      </c>
      <c r="AC98" s="82" t="e">
        <f>W98/Z98</f>
        <v>#DIV/0!</v>
      </c>
      <c r="AD98" s="82" t="e">
        <f>X98/AA98</f>
        <v>#DIV/0!</v>
      </c>
      <c r="AE98" s="103" t="e">
        <f t="shared" ref="AE98" si="24">(AC98-AD98)/AD98</f>
        <v>#DIV/0!</v>
      </c>
    </row>
    <row r="99" spans="1:31" s="96" customFormat="1" ht="15.75" customHeight="1" x14ac:dyDescent="0.3">
      <c r="A99" s="279"/>
      <c r="B99" s="279"/>
      <c r="C99" s="280"/>
      <c r="D99" s="280"/>
      <c r="E99" s="281"/>
      <c r="F99" s="281"/>
      <c r="G99" s="404"/>
      <c r="H99" s="283"/>
      <c r="I99" s="283"/>
      <c r="J99" s="404"/>
      <c r="K99" s="283"/>
      <c r="L99" s="281"/>
      <c r="M99" s="404"/>
      <c r="N99" s="284"/>
      <c r="O99" s="284"/>
      <c r="P99" s="404"/>
      <c r="Q99" s="284"/>
      <c r="R99" s="284"/>
      <c r="S99" s="404"/>
      <c r="T99" s="281"/>
      <c r="U99" s="284"/>
      <c r="V99" s="404"/>
      <c r="W99" s="284"/>
      <c r="X99" s="284"/>
      <c r="Y99" s="404"/>
      <c r="Z99" s="284"/>
      <c r="AA99" s="284"/>
      <c r="AB99" s="404"/>
      <c r="AC99" s="286"/>
      <c r="AD99" s="286"/>
      <c r="AE99" s="404"/>
    </row>
    <row r="100" spans="1:31" s="96" customFormat="1" ht="15.75" customHeight="1" x14ac:dyDescent="0.3">
      <c r="A100" s="279"/>
      <c r="B100" s="279"/>
      <c r="C100" s="280"/>
      <c r="D100" s="280"/>
      <c r="E100" s="281"/>
      <c r="F100" s="281"/>
      <c r="G100" s="404"/>
      <c r="H100" s="283"/>
      <c r="I100" s="283"/>
      <c r="J100" s="404"/>
      <c r="K100" s="283"/>
      <c r="L100" s="281"/>
      <c r="M100" s="404"/>
      <c r="N100" s="284"/>
      <c r="O100" s="284"/>
      <c r="P100" s="404"/>
      <c r="Q100" s="284"/>
      <c r="R100" s="284"/>
      <c r="S100" s="404"/>
      <c r="T100" s="281"/>
      <c r="U100" s="284"/>
      <c r="V100" s="404"/>
      <c r="W100" s="284"/>
      <c r="X100" s="284"/>
      <c r="Y100" s="404"/>
      <c r="Z100" s="284"/>
      <c r="AA100" s="284"/>
      <c r="AB100" s="404"/>
      <c r="AC100" s="286"/>
      <c r="AD100" s="286"/>
      <c r="AE100" s="404"/>
    </row>
    <row r="101" spans="1:31" s="96" customFormat="1" ht="15.75" customHeight="1" x14ac:dyDescent="0.3">
      <c r="A101" s="279"/>
      <c r="B101" s="279"/>
      <c r="C101" s="280"/>
      <c r="D101" s="297" t="s">
        <v>274</v>
      </c>
      <c r="E101" s="281"/>
      <c r="F101" s="281"/>
      <c r="G101" s="404"/>
      <c r="H101" s="283"/>
      <c r="I101" s="283"/>
      <c r="J101" s="404"/>
      <c r="K101" s="283"/>
      <c r="L101" s="281"/>
      <c r="M101" s="404"/>
      <c r="N101" s="284">
        <v>731</v>
      </c>
      <c r="O101" s="284"/>
      <c r="P101" s="404"/>
      <c r="Q101" s="284"/>
      <c r="R101" s="284"/>
      <c r="S101" s="404"/>
      <c r="T101" s="281"/>
      <c r="U101" s="284"/>
      <c r="V101" s="404"/>
      <c r="W101" s="284"/>
      <c r="X101" s="284"/>
      <c r="Y101" s="404"/>
      <c r="Z101" s="284"/>
      <c r="AA101" s="284"/>
      <c r="AB101" s="404"/>
      <c r="AC101" s="286"/>
      <c r="AD101" s="286"/>
      <c r="AE101" s="404"/>
    </row>
    <row r="102" spans="1:31" s="81" customFormat="1" ht="15.75" customHeight="1" x14ac:dyDescent="0.3">
      <c r="A102" s="49" t="s">
        <v>58</v>
      </c>
      <c r="B102" s="49" t="s">
        <v>60</v>
      </c>
      <c r="C102" s="50">
        <f>C98+7</f>
        <v>42909</v>
      </c>
      <c r="D102" s="403" t="s">
        <v>28</v>
      </c>
      <c r="E102" s="51">
        <f>SUM(E103:E105)</f>
        <v>0</v>
      </c>
      <c r="F102" s="51">
        <f>SUM(F103:F105)</f>
        <v>0</v>
      </c>
      <c r="G102" s="103" t="e">
        <f>(E102-F102)/F102</f>
        <v>#DIV/0!</v>
      </c>
      <c r="H102" s="51">
        <f>SUM(H103:H105)</f>
        <v>0</v>
      </c>
      <c r="I102" s="51">
        <f>SUM(I103:I105)</f>
        <v>0</v>
      </c>
      <c r="J102" s="103" t="e">
        <f>(H102-I102)/I102</f>
        <v>#DIV/0!</v>
      </c>
      <c r="K102" s="53" t="e">
        <f>E102/H102</f>
        <v>#DIV/0!</v>
      </c>
      <c r="L102" s="51" t="e">
        <f>F102/I102</f>
        <v>#DIV/0!</v>
      </c>
      <c r="M102" s="103" t="e">
        <f>(K102-L102)/L102</f>
        <v>#DIV/0!</v>
      </c>
      <c r="N102" s="54">
        <f>SUM(N103:N105)</f>
        <v>22</v>
      </c>
      <c r="O102" s="54">
        <f>SUM(O103:O105)</f>
        <v>0</v>
      </c>
      <c r="P102" s="103" t="e">
        <f>(N102-O102)/O102</f>
        <v>#DIV/0!</v>
      </c>
      <c r="Q102" s="54">
        <f>SUM(Q103:Q105)</f>
        <v>0</v>
      </c>
      <c r="R102" s="54">
        <f>SUM(R103:R105)</f>
        <v>0</v>
      </c>
      <c r="S102" s="103" t="e">
        <f>(Q102-R102)/R102</f>
        <v>#DIV/0!</v>
      </c>
      <c r="T102" s="54" t="e">
        <f>E102/Q102</f>
        <v>#DIV/0!</v>
      </c>
      <c r="U102" s="54" t="e">
        <f>F102/R102</f>
        <v>#DIV/0!</v>
      </c>
      <c r="V102" s="103" t="e">
        <f>(T102-U102)/U102</f>
        <v>#DIV/0!</v>
      </c>
      <c r="W102" s="54">
        <f>SUM(W103:W105)</f>
        <v>0</v>
      </c>
      <c r="X102" s="54">
        <f>SUM(X103:X105)</f>
        <v>0</v>
      </c>
      <c r="Y102" s="103" t="e">
        <f>(W102-X102)/X102</f>
        <v>#DIV/0!</v>
      </c>
      <c r="Z102" s="54">
        <f>SUM(Z103:Z105)</f>
        <v>0</v>
      </c>
      <c r="AA102" s="54">
        <f>SUM(AA103:AA105)</f>
        <v>0</v>
      </c>
      <c r="AB102" s="103" t="e">
        <f>(Z102-AA102)/AA102</f>
        <v>#DIV/0!</v>
      </c>
      <c r="AC102" s="82" t="e">
        <f>W102/Z102</f>
        <v>#DIV/0!</v>
      </c>
      <c r="AD102" s="82" t="e">
        <f>X102/AA102</f>
        <v>#DIV/0!</v>
      </c>
      <c r="AE102" s="103" t="e">
        <f t="shared" ref="AE102" si="25">(AC102-AD102)/AD102</f>
        <v>#DIV/0!</v>
      </c>
    </row>
    <row r="103" spans="1:31" s="96" customFormat="1" ht="15.75" customHeight="1" x14ac:dyDescent="0.3">
      <c r="A103" s="279"/>
      <c r="B103" s="279"/>
      <c r="C103" s="280"/>
      <c r="D103" s="280"/>
      <c r="E103" s="281"/>
      <c r="F103" s="281"/>
      <c r="G103" s="404"/>
      <c r="H103" s="283"/>
      <c r="I103" s="283"/>
      <c r="J103" s="404"/>
      <c r="K103" s="283"/>
      <c r="L103" s="281"/>
      <c r="M103" s="404"/>
      <c r="N103" s="284"/>
      <c r="O103" s="284"/>
      <c r="P103" s="404"/>
      <c r="Q103" s="284"/>
      <c r="R103" s="284"/>
      <c r="S103" s="404"/>
      <c r="T103" s="281"/>
      <c r="U103" s="284"/>
      <c r="V103" s="404"/>
      <c r="W103" s="284"/>
      <c r="X103" s="284"/>
      <c r="Y103" s="404"/>
      <c r="Z103" s="284"/>
      <c r="AA103" s="284"/>
      <c r="AB103" s="404"/>
      <c r="AC103" s="286"/>
      <c r="AD103" s="286"/>
      <c r="AE103" s="404"/>
    </row>
    <row r="104" spans="1:31" s="96" customFormat="1" ht="15.75" customHeight="1" x14ac:dyDescent="0.3">
      <c r="A104" s="279"/>
      <c r="B104" s="279"/>
      <c r="C104" s="280"/>
      <c r="D104" s="280"/>
      <c r="E104" s="281"/>
      <c r="F104" s="281"/>
      <c r="G104" s="404"/>
      <c r="H104" s="283"/>
      <c r="I104" s="283"/>
      <c r="J104" s="404"/>
      <c r="K104" s="283"/>
      <c r="L104" s="281"/>
      <c r="M104" s="404"/>
      <c r="N104" s="284"/>
      <c r="O104" s="284"/>
      <c r="P104" s="404"/>
      <c r="Q104" s="284"/>
      <c r="R104" s="284"/>
      <c r="S104" s="404"/>
      <c r="T104" s="281"/>
      <c r="U104" s="284"/>
      <c r="V104" s="404"/>
      <c r="W104" s="284"/>
      <c r="X104" s="284"/>
      <c r="Y104" s="404"/>
      <c r="Z104" s="284"/>
      <c r="AA104" s="284"/>
      <c r="AB104" s="404"/>
      <c r="AC104" s="286"/>
      <c r="AD104" s="286"/>
      <c r="AE104" s="404"/>
    </row>
    <row r="105" spans="1:31" s="96" customFormat="1" ht="15.75" customHeight="1" x14ac:dyDescent="0.3">
      <c r="A105" s="279"/>
      <c r="B105" s="279"/>
      <c r="C105" s="280"/>
      <c r="D105" s="297" t="s">
        <v>274</v>
      </c>
      <c r="E105" s="281"/>
      <c r="F105" s="281"/>
      <c r="G105" s="404"/>
      <c r="H105" s="283"/>
      <c r="I105" s="283"/>
      <c r="J105" s="404"/>
      <c r="K105" s="283"/>
      <c r="L105" s="281"/>
      <c r="M105" s="404"/>
      <c r="N105" s="284">
        <v>22</v>
      </c>
      <c r="O105" s="284"/>
      <c r="P105" s="404"/>
      <c r="Q105" s="284"/>
      <c r="R105" s="284"/>
      <c r="S105" s="404"/>
      <c r="T105" s="281"/>
      <c r="U105" s="284"/>
      <c r="V105" s="404"/>
      <c r="W105" s="284"/>
      <c r="X105" s="284"/>
      <c r="Y105" s="404"/>
      <c r="Z105" s="284"/>
      <c r="AA105" s="284"/>
      <c r="AB105" s="404"/>
      <c r="AC105" s="286"/>
      <c r="AD105" s="286"/>
      <c r="AE105" s="404"/>
    </row>
    <row r="106" spans="1:31" s="81" customFormat="1" ht="15.75" customHeight="1" x14ac:dyDescent="0.3">
      <c r="A106" s="49" t="s">
        <v>58</v>
      </c>
      <c r="B106" s="49" t="s">
        <v>61</v>
      </c>
      <c r="C106" s="50">
        <f>C102+7</f>
        <v>42916</v>
      </c>
      <c r="D106" s="403" t="s">
        <v>28</v>
      </c>
      <c r="E106" s="51">
        <f>SUM(E107:E109)</f>
        <v>0</v>
      </c>
      <c r="F106" s="51">
        <f>SUM(F107:F109)</f>
        <v>0</v>
      </c>
      <c r="G106" s="103" t="e">
        <f>(E106-F106)/F106</f>
        <v>#DIV/0!</v>
      </c>
      <c r="H106" s="51">
        <f>SUM(H107:H109)</f>
        <v>0</v>
      </c>
      <c r="I106" s="51">
        <f>SUM(I107:I109)</f>
        <v>0</v>
      </c>
      <c r="J106" s="103" t="e">
        <f>(H106-I106)/I106</f>
        <v>#DIV/0!</v>
      </c>
      <c r="K106" s="53" t="e">
        <f>E106/H106</f>
        <v>#DIV/0!</v>
      </c>
      <c r="L106" s="51" t="e">
        <f>F106/I106</f>
        <v>#DIV/0!</v>
      </c>
      <c r="M106" s="103" t="e">
        <f>(K106-L106)/L106</f>
        <v>#DIV/0!</v>
      </c>
      <c r="N106" s="54">
        <f>SUM(N107:N109)</f>
        <v>9</v>
      </c>
      <c r="O106" s="54">
        <f>SUM(O107:O109)</f>
        <v>0</v>
      </c>
      <c r="P106" s="103" t="e">
        <f>(N106-O106)/O106</f>
        <v>#DIV/0!</v>
      </c>
      <c r="Q106" s="54">
        <f>SUM(Q107:Q109)</f>
        <v>0</v>
      </c>
      <c r="R106" s="54">
        <f>SUM(R107:R109)</f>
        <v>0</v>
      </c>
      <c r="S106" s="103" t="e">
        <f>(Q106-R106)/R106</f>
        <v>#DIV/0!</v>
      </c>
      <c r="T106" s="54" t="e">
        <f>E106/Q106</f>
        <v>#DIV/0!</v>
      </c>
      <c r="U106" s="54" t="e">
        <f>F106/R106</f>
        <v>#DIV/0!</v>
      </c>
      <c r="V106" s="103" t="e">
        <f>(T106-U106)/U106</f>
        <v>#DIV/0!</v>
      </c>
      <c r="W106" s="54">
        <f>SUM(W107:W109)</f>
        <v>0</v>
      </c>
      <c r="X106" s="54">
        <f>SUM(X107:X109)</f>
        <v>0</v>
      </c>
      <c r="Y106" s="103" t="e">
        <f>(W106-X106)/X106</f>
        <v>#DIV/0!</v>
      </c>
      <c r="Z106" s="54">
        <f>SUM(Z107:Z109)</f>
        <v>0</v>
      </c>
      <c r="AA106" s="54">
        <f>SUM(AA107:AA109)</f>
        <v>0</v>
      </c>
      <c r="AB106" s="103" t="e">
        <f>(Z106-AA106)/AA106</f>
        <v>#DIV/0!</v>
      </c>
      <c r="AC106" s="82" t="e">
        <f>W106/Z106</f>
        <v>#DIV/0!</v>
      </c>
      <c r="AD106" s="82" t="e">
        <f>X106/AA106</f>
        <v>#DIV/0!</v>
      </c>
      <c r="AE106" s="103" t="e">
        <f t="shared" ref="AE106" si="26">(AC106-AD106)/AD106</f>
        <v>#DIV/0!</v>
      </c>
    </row>
    <row r="107" spans="1:31" s="96" customFormat="1" ht="15.75" customHeight="1" x14ac:dyDescent="0.3">
      <c r="A107" s="279"/>
      <c r="B107" s="279"/>
      <c r="C107" s="280"/>
      <c r="D107" s="280"/>
      <c r="E107" s="281"/>
      <c r="F107" s="281"/>
      <c r="G107" s="404"/>
      <c r="H107" s="283"/>
      <c r="I107" s="283"/>
      <c r="J107" s="404"/>
      <c r="K107" s="283"/>
      <c r="L107" s="281"/>
      <c r="M107" s="404"/>
      <c r="N107" s="284"/>
      <c r="O107" s="284"/>
      <c r="P107" s="404"/>
      <c r="Q107" s="284"/>
      <c r="R107" s="284"/>
      <c r="S107" s="404"/>
      <c r="T107" s="281"/>
      <c r="U107" s="284"/>
      <c r="V107" s="404"/>
      <c r="W107" s="284"/>
      <c r="X107" s="284"/>
      <c r="Y107" s="404"/>
      <c r="Z107" s="284"/>
      <c r="AA107" s="284"/>
      <c r="AB107" s="404"/>
      <c r="AC107" s="286"/>
      <c r="AD107" s="286"/>
      <c r="AE107" s="404"/>
    </row>
    <row r="108" spans="1:31" s="96" customFormat="1" ht="15.75" customHeight="1" x14ac:dyDescent="0.3">
      <c r="A108" s="279"/>
      <c r="B108" s="279"/>
      <c r="C108" s="280"/>
      <c r="D108" s="280"/>
      <c r="E108" s="281"/>
      <c r="F108" s="281"/>
      <c r="G108" s="404"/>
      <c r="H108" s="283"/>
      <c r="I108" s="283"/>
      <c r="J108" s="404"/>
      <c r="K108" s="283"/>
      <c r="L108" s="281"/>
      <c r="M108" s="404"/>
      <c r="N108" s="284"/>
      <c r="O108" s="284"/>
      <c r="P108" s="404"/>
      <c r="Q108" s="284"/>
      <c r="R108" s="284"/>
      <c r="S108" s="404"/>
      <c r="T108" s="281"/>
      <c r="U108" s="284"/>
      <c r="V108" s="404"/>
      <c r="W108" s="284"/>
      <c r="X108" s="284"/>
      <c r="Y108" s="404"/>
      <c r="Z108" s="284"/>
      <c r="AA108" s="284"/>
      <c r="AB108" s="404"/>
      <c r="AC108" s="286"/>
      <c r="AD108" s="286"/>
      <c r="AE108" s="404"/>
    </row>
    <row r="109" spans="1:31" s="96" customFormat="1" ht="15.75" customHeight="1" x14ac:dyDescent="0.3">
      <c r="A109" s="279"/>
      <c r="B109" s="279"/>
      <c r="C109" s="280"/>
      <c r="D109" s="297" t="s">
        <v>274</v>
      </c>
      <c r="E109" s="281"/>
      <c r="F109" s="281"/>
      <c r="G109" s="404"/>
      <c r="H109" s="283"/>
      <c r="I109" s="283"/>
      <c r="J109" s="404"/>
      <c r="K109" s="283"/>
      <c r="L109" s="281"/>
      <c r="M109" s="404"/>
      <c r="N109" s="284">
        <v>9</v>
      </c>
      <c r="O109" s="284"/>
      <c r="P109" s="404"/>
      <c r="Q109" s="284"/>
      <c r="R109" s="284"/>
      <c r="S109" s="404"/>
      <c r="T109" s="281"/>
      <c r="U109" s="284"/>
      <c r="V109" s="404"/>
      <c r="W109" s="284"/>
      <c r="X109" s="284"/>
      <c r="Y109" s="404"/>
      <c r="Z109" s="284"/>
      <c r="AA109" s="284"/>
      <c r="AB109" s="404"/>
      <c r="AC109" s="286"/>
      <c r="AD109" s="286"/>
      <c r="AE109" s="404"/>
    </row>
    <row r="110" spans="1:31" s="81" customFormat="1" ht="15.75" customHeight="1" x14ac:dyDescent="0.3">
      <c r="A110" s="49" t="s">
        <v>58</v>
      </c>
      <c r="B110" s="49" t="s">
        <v>62</v>
      </c>
      <c r="C110" s="50">
        <f>C106+7</f>
        <v>42923</v>
      </c>
      <c r="D110" s="403" t="s">
        <v>28</v>
      </c>
      <c r="E110" s="51">
        <f>SUM(E111:E113)</f>
        <v>0</v>
      </c>
      <c r="F110" s="51">
        <f>SUM(F111:F113)</f>
        <v>0</v>
      </c>
      <c r="G110" s="103" t="e">
        <f>(E110-F110)/F110</f>
        <v>#DIV/0!</v>
      </c>
      <c r="H110" s="51">
        <f>SUM(H111:H113)</f>
        <v>0</v>
      </c>
      <c r="I110" s="51">
        <f>SUM(I111:I113)</f>
        <v>1735.64</v>
      </c>
      <c r="J110" s="103">
        <f>(H110-I110)/I110</f>
        <v>-1</v>
      </c>
      <c r="K110" s="53" t="e">
        <f>E110/H110</f>
        <v>#DIV/0!</v>
      </c>
      <c r="L110" s="51">
        <f>F110/I110</f>
        <v>0</v>
      </c>
      <c r="M110" s="103" t="e">
        <f>(K110-L110)/L110</f>
        <v>#DIV/0!</v>
      </c>
      <c r="N110" s="54">
        <f>SUM(N111:N113)</f>
        <v>6</v>
      </c>
      <c r="O110" s="54">
        <f>SUM(O111:O113)</f>
        <v>0</v>
      </c>
      <c r="P110" s="103" t="e">
        <f>(N110-O110)/O110</f>
        <v>#DIV/0!</v>
      </c>
      <c r="Q110" s="54">
        <f>SUM(Q111:Q113)</f>
        <v>0</v>
      </c>
      <c r="R110" s="54">
        <f>SUM(R111:R113)</f>
        <v>0</v>
      </c>
      <c r="S110" s="103" t="e">
        <f>(Q110-R110)/R110</f>
        <v>#DIV/0!</v>
      </c>
      <c r="T110" s="54" t="e">
        <f>E110/Q110</f>
        <v>#DIV/0!</v>
      </c>
      <c r="U110" s="54" t="e">
        <f>F110/R110</f>
        <v>#DIV/0!</v>
      </c>
      <c r="V110" s="103" t="e">
        <f>(T110-U110)/U110</f>
        <v>#DIV/0!</v>
      </c>
      <c r="W110" s="54">
        <f>SUM(W111:W113)</f>
        <v>0</v>
      </c>
      <c r="X110" s="54">
        <f>SUM(X111:X113)</f>
        <v>2718</v>
      </c>
      <c r="Y110" s="103">
        <f>(W110-X110)/X110</f>
        <v>-1</v>
      </c>
      <c r="Z110" s="54">
        <f>SUM(Z111:Z113)</f>
        <v>0</v>
      </c>
      <c r="AA110" s="54">
        <f>SUM(AA111:AA113)</f>
        <v>510959</v>
      </c>
      <c r="AB110" s="103">
        <f>(Z110-AA110)/AA110</f>
        <v>-1</v>
      </c>
      <c r="AC110" s="82" t="e">
        <f>W110/Z110</f>
        <v>#DIV/0!</v>
      </c>
      <c r="AD110" s="82">
        <f>X110/AA110</f>
        <v>5.3194091893870154E-3</v>
      </c>
      <c r="AE110" s="103" t="e">
        <f t="shared" ref="AE110" si="27">(AC110-AD110)/AD110</f>
        <v>#DIV/0!</v>
      </c>
    </row>
    <row r="111" spans="1:31" s="96" customFormat="1" ht="15.75" customHeight="1" x14ac:dyDescent="0.3">
      <c r="A111" s="279"/>
      <c r="B111" s="279"/>
      <c r="C111" s="280"/>
      <c r="D111" s="280"/>
      <c r="E111" s="281"/>
      <c r="F111" s="281"/>
      <c r="G111" s="404"/>
      <c r="H111" s="283"/>
      <c r="I111" s="283"/>
      <c r="J111" s="404"/>
      <c r="K111" s="283"/>
      <c r="L111" s="281"/>
      <c r="M111" s="404"/>
      <c r="N111" s="284"/>
      <c r="O111" s="284"/>
      <c r="P111" s="404"/>
      <c r="Q111" s="284"/>
      <c r="R111" s="284"/>
      <c r="S111" s="404"/>
      <c r="T111" s="281"/>
      <c r="U111" s="284"/>
      <c r="V111" s="404"/>
      <c r="W111" s="284"/>
      <c r="X111" s="284"/>
      <c r="Y111" s="404"/>
      <c r="Z111" s="284"/>
      <c r="AA111" s="284"/>
      <c r="AB111" s="404"/>
      <c r="AC111" s="286"/>
      <c r="AD111" s="286"/>
      <c r="AE111" s="404"/>
    </row>
    <row r="112" spans="1:31" s="96" customFormat="1" ht="15.75" customHeight="1" x14ac:dyDescent="0.3">
      <c r="A112" s="279"/>
      <c r="B112" s="279"/>
      <c r="C112" s="280"/>
      <c r="D112" s="280"/>
      <c r="E112" s="281"/>
      <c r="F112" s="281"/>
      <c r="G112" s="404"/>
      <c r="H112" s="283"/>
      <c r="I112" s="283"/>
      <c r="J112" s="404"/>
      <c r="K112" s="283"/>
      <c r="L112" s="281"/>
      <c r="M112" s="404"/>
      <c r="N112" s="284"/>
      <c r="O112" s="284"/>
      <c r="P112" s="404"/>
      <c r="Q112" s="284"/>
      <c r="R112" s="284"/>
      <c r="S112" s="404"/>
      <c r="T112" s="281"/>
      <c r="U112" s="284"/>
      <c r="V112" s="404"/>
      <c r="W112" s="284"/>
      <c r="X112" s="284"/>
      <c r="Y112" s="404"/>
      <c r="Z112" s="284"/>
      <c r="AA112" s="284"/>
      <c r="AB112" s="404"/>
      <c r="AC112" s="286"/>
      <c r="AD112" s="286"/>
      <c r="AE112" s="404"/>
    </row>
    <row r="113" spans="1:31" s="357" customFormat="1" ht="15.75" customHeight="1" x14ac:dyDescent="0.3">
      <c r="A113" s="347"/>
      <c r="B113" s="347"/>
      <c r="C113" s="348"/>
      <c r="D113" s="349" t="s">
        <v>274</v>
      </c>
      <c r="E113" s="350"/>
      <c r="F113" s="350"/>
      <c r="G113" s="405"/>
      <c r="H113" s="352"/>
      <c r="I113" s="352">
        <v>1735.64</v>
      </c>
      <c r="J113" s="405"/>
      <c r="K113" s="352"/>
      <c r="L113" s="350"/>
      <c r="M113" s="405"/>
      <c r="N113" s="353">
        <v>6</v>
      </c>
      <c r="O113" s="353"/>
      <c r="P113" s="405"/>
      <c r="Q113" s="353"/>
      <c r="R113" s="353"/>
      <c r="S113" s="405"/>
      <c r="T113" s="350"/>
      <c r="U113" s="353"/>
      <c r="V113" s="405"/>
      <c r="W113" s="353"/>
      <c r="X113" s="353">
        <v>2718</v>
      </c>
      <c r="Y113" s="405"/>
      <c r="Z113" s="353"/>
      <c r="AA113" s="353">
        <v>510959</v>
      </c>
      <c r="AB113" s="405"/>
      <c r="AC113" s="356"/>
      <c r="AD113" s="356"/>
      <c r="AE113" s="405"/>
    </row>
    <row r="114" spans="1:31" s="81" customFormat="1" ht="15.75" customHeight="1" x14ac:dyDescent="0.3">
      <c r="A114" s="49" t="s">
        <v>63</v>
      </c>
      <c r="B114" s="49" t="s">
        <v>64</v>
      </c>
      <c r="C114" s="50">
        <f>C110+7</f>
        <v>42930</v>
      </c>
      <c r="D114" s="403" t="s">
        <v>28</v>
      </c>
      <c r="E114" s="51">
        <f>SUM(E115:E117)</f>
        <v>0</v>
      </c>
      <c r="F114" s="51">
        <f>SUM(F115:F117)</f>
        <v>0</v>
      </c>
      <c r="G114" s="103" t="e">
        <f>(E114-F114)/F114</f>
        <v>#DIV/0!</v>
      </c>
      <c r="H114" s="51">
        <f>SUM(H115:H117)</f>
        <v>0</v>
      </c>
      <c r="I114" s="51">
        <f>SUM(I115:I117)</f>
        <v>634.04</v>
      </c>
      <c r="J114" s="103">
        <f>(H114-I114)/I114</f>
        <v>-1</v>
      </c>
      <c r="K114" s="53" t="e">
        <f>E114/H114</f>
        <v>#DIV/0!</v>
      </c>
      <c r="L114" s="51">
        <f>F114/I114</f>
        <v>0</v>
      </c>
      <c r="M114" s="103" t="e">
        <f>(K114-L114)/L114</f>
        <v>#DIV/0!</v>
      </c>
      <c r="N114" s="54">
        <f>SUM(N115:N117)</f>
        <v>1</v>
      </c>
      <c r="O114" s="54">
        <f>SUM(O115:O117)</f>
        <v>0</v>
      </c>
      <c r="P114" s="103" t="e">
        <f>(N114-O114)/O114</f>
        <v>#DIV/0!</v>
      </c>
      <c r="Q114" s="54">
        <f>SUM(Q115:Q117)</f>
        <v>0</v>
      </c>
      <c r="R114" s="54">
        <f>SUM(R115:R117)</f>
        <v>0</v>
      </c>
      <c r="S114" s="103" t="e">
        <f>(Q114-R114)/R114</f>
        <v>#DIV/0!</v>
      </c>
      <c r="T114" s="54" t="e">
        <f>E114/Q114</f>
        <v>#DIV/0!</v>
      </c>
      <c r="U114" s="54" t="e">
        <f>F114/R114</f>
        <v>#DIV/0!</v>
      </c>
      <c r="V114" s="103" t="e">
        <f>(T114-U114)/U114</f>
        <v>#DIV/0!</v>
      </c>
      <c r="W114" s="54">
        <f>SUM(W115:W117)</f>
        <v>0</v>
      </c>
      <c r="X114" s="54">
        <f>SUM(X115:X117)</f>
        <v>1255</v>
      </c>
      <c r="Y114" s="103">
        <f>(W114-X114)/X114</f>
        <v>-1</v>
      </c>
      <c r="Z114" s="54">
        <f>SUM(Z115:Z117)</f>
        <v>0</v>
      </c>
      <c r="AA114" s="54">
        <f>SUM(AA115:AA117)</f>
        <v>205502</v>
      </c>
      <c r="AB114" s="103">
        <f>(Z114-AA114)/AA114</f>
        <v>-1</v>
      </c>
      <c r="AC114" s="82" t="e">
        <f>W114/Z114</f>
        <v>#DIV/0!</v>
      </c>
      <c r="AD114" s="82">
        <f>X114/AA114</f>
        <v>6.1069965255812599E-3</v>
      </c>
      <c r="AE114" s="103" t="e">
        <f t="shared" ref="AE114" si="28">(AC114-AD114)/AD114</f>
        <v>#DIV/0!</v>
      </c>
    </row>
    <row r="115" spans="1:31" s="96" customFormat="1" ht="15.75" customHeight="1" x14ac:dyDescent="0.3">
      <c r="A115" s="279"/>
      <c r="B115" s="279"/>
      <c r="C115" s="280"/>
      <c r="D115" s="280"/>
      <c r="E115" s="281"/>
      <c r="F115" s="281"/>
      <c r="G115" s="404"/>
      <c r="H115" s="283"/>
      <c r="I115" s="283"/>
      <c r="J115" s="404"/>
      <c r="K115" s="283"/>
      <c r="L115" s="281"/>
      <c r="M115" s="404"/>
      <c r="N115" s="284"/>
      <c r="O115" s="284"/>
      <c r="P115" s="404"/>
      <c r="Q115" s="284"/>
      <c r="R115" s="284"/>
      <c r="S115" s="404"/>
      <c r="T115" s="281"/>
      <c r="U115" s="284"/>
      <c r="V115" s="404"/>
      <c r="W115" s="284"/>
      <c r="X115" s="284"/>
      <c r="Y115" s="404"/>
      <c r="Z115" s="284"/>
      <c r="AA115" s="284"/>
      <c r="AB115" s="404"/>
      <c r="AC115" s="286"/>
      <c r="AD115" s="286"/>
      <c r="AE115" s="404"/>
    </row>
    <row r="116" spans="1:31" s="96" customFormat="1" ht="15.75" customHeight="1" x14ac:dyDescent="0.3">
      <c r="A116" s="279"/>
      <c r="B116" s="279"/>
      <c r="C116" s="280"/>
      <c r="D116" s="280"/>
      <c r="E116" s="281"/>
      <c r="F116" s="281"/>
      <c r="G116" s="404"/>
      <c r="H116" s="283"/>
      <c r="I116" s="283"/>
      <c r="J116" s="404"/>
      <c r="K116" s="283"/>
      <c r="L116" s="281"/>
      <c r="M116" s="404"/>
      <c r="N116" s="284"/>
      <c r="O116" s="284"/>
      <c r="P116" s="404"/>
      <c r="Q116" s="284"/>
      <c r="R116" s="284"/>
      <c r="S116" s="404"/>
      <c r="T116" s="281"/>
      <c r="U116" s="284"/>
      <c r="V116" s="404"/>
      <c r="W116" s="284"/>
      <c r="X116" s="284"/>
      <c r="Y116" s="404"/>
      <c r="Z116" s="284"/>
      <c r="AA116" s="284"/>
      <c r="AB116" s="404"/>
      <c r="AC116" s="286"/>
      <c r="AD116" s="286"/>
      <c r="AE116" s="404"/>
    </row>
    <row r="117" spans="1:31" s="96" customFormat="1" ht="15.75" customHeight="1" x14ac:dyDescent="0.3">
      <c r="A117" s="279"/>
      <c r="B117" s="279"/>
      <c r="C117" s="280"/>
      <c r="D117" s="297" t="s">
        <v>274</v>
      </c>
      <c r="E117" s="281"/>
      <c r="F117" s="281"/>
      <c r="G117" s="404"/>
      <c r="H117" s="283"/>
      <c r="I117" s="283">
        <v>634.04</v>
      </c>
      <c r="J117" s="404"/>
      <c r="K117" s="283"/>
      <c r="L117" s="281"/>
      <c r="M117" s="404"/>
      <c r="N117" s="284">
        <v>1</v>
      </c>
      <c r="O117" s="284"/>
      <c r="P117" s="404"/>
      <c r="Q117" s="284"/>
      <c r="R117" s="284"/>
      <c r="S117" s="404"/>
      <c r="T117" s="281"/>
      <c r="U117" s="284"/>
      <c r="V117" s="404"/>
      <c r="W117" s="284"/>
      <c r="X117" s="284">
        <v>1255</v>
      </c>
      <c r="Y117" s="404"/>
      <c r="Z117" s="284"/>
      <c r="AA117" s="284">
        <v>205502</v>
      </c>
      <c r="AB117" s="404"/>
      <c r="AC117" s="286"/>
      <c r="AD117" s="286"/>
      <c r="AE117" s="404"/>
    </row>
    <row r="118" spans="1:31" s="81" customFormat="1" ht="15.75" customHeight="1" x14ac:dyDescent="0.3">
      <c r="A118" s="49" t="s">
        <v>63</v>
      </c>
      <c r="B118" s="49" t="s">
        <v>65</v>
      </c>
      <c r="C118" s="50">
        <f>C114+7</f>
        <v>42937</v>
      </c>
      <c r="D118" s="403" t="s">
        <v>28</v>
      </c>
      <c r="E118" s="51">
        <f>SUM(E119:E121)</f>
        <v>0</v>
      </c>
      <c r="F118" s="51">
        <f>SUM(F119:F121)</f>
        <v>0</v>
      </c>
      <c r="G118" s="103" t="e">
        <f>(E118-F118)/F118</f>
        <v>#DIV/0!</v>
      </c>
      <c r="H118" s="51">
        <f>SUM(H119:H121)</f>
        <v>0</v>
      </c>
      <c r="I118" s="51">
        <f>SUM(I119:I121)</f>
        <v>0</v>
      </c>
      <c r="J118" s="103" t="e">
        <f>(H118-I118)/I118</f>
        <v>#DIV/0!</v>
      </c>
      <c r="K118" s="53" t="e">
        <f>E118/H118</f>
        <v>#DIV/0!</v>
      </c>
      <c r="L118" s="51" t="e">
        <f>F118/I118</f>
        <v>#DIV/0!</v>
      </c>
      <c r="M118" s="103" t="e">
        <f>(K118-L118)/L118</f>
        <v>#DIV/0!</v>
      </c>
      <c r="N118" s="54">
        <f>SUM(N119:N121)</f>
        <v>0</v>
      </c>
      <c r="O118" s="54">
        <f>SUM(O119:O121)</f>
        <v>0</v>
      </c>
      <c r="P118" s="103" t="e">
        <f>(N118-O118)/O118</f>
        <v>#DIV/0!</v>
      </c>
      <c r="Q118" s="54">
        <f>SUM(Q119:Q121)</f>
        <v>0</v>
      </c>
      <c r="R118" s="54">
        <f>SUM(R119:R121)</f>
        <v>0</v>
      </c>
      <c r="S118" s="103" t="e">
        <f>(Q118-R118)/R118</f>
        <v>#DIV/0!</v>
      </c>
      <c r="T118" s="54" t="e">
        <f>E118/Q118</f>
        <v>#DIV/0!</v>
      </c>
      <c r="U118" s="54" t="e">
        <f>F118/R118</f>
        <v>#DIV/0!</v>
      </c>
      <c r="V118" s="103" t="e">
        <f>(T118-U118)/U118</f>
        <v>#DIV/0!</v>
      </c>
      <c r="W118" s="54">
        <f>SUM(W119:W121)</f>
        <v>0</v>
      </c>
      <c r="X118" s="54">
        <f>SUM(X119:X121)</f>
        <v>0</v>
      </c>
      <c r="Y118" s="103" t="e">
        <f>(W118-X118)/X118</f>
        <v>#DIV/0!</v>
      </c>
      <c r="Z118" s="54">
        <f>SUM(Z119:Z121)</f>
        <v>0</v>
      </c>
      <c r="AA118" s="54">
        <f>SUM(AA119:AA121)</f>
        <v>0</v>
      </c>
      <c r="AB118" s="103" t="e">
        <f>(Z118-AA118)/AA118</f>
        <v>#DIV/0!</v>
      </c>
      <c r="AC118" s="82" t="e">
        <f>W118/Z118</f>
        <v>#DIV/0!</v>
      </c>
      <c r="AD118" s="82" t="e">
        <f>X118/AA118</f>
        <v>#DIV/0!</v>
      </c>
      <c r="AE118" s="103" t="e">
        <f t="shared" ref="AE118" si="29">(AC118-AD118)/AD118</f>
        <v>#DIV/0!</v>
      </c>
    </row>
    <row r="119" spans="1:31" s="96" customFormat="1" ht="15.75" customHeight="1" x14ac:dyDescent="0.3">
      <c r="A119" s="279"/>
      <c r="B119" s="279"/>
      <c r="C119" s="280"/>
      <c r="D119" s="280"/>
      <c r="E119" s="281"/>
      <c r="F119" s="281"/>
      <c r="G119" s="404"/>
      <c r="H119" s="283"/>
      <c r="I119" s="283"/>
      <c r="J119" s="404"/>
      <c r="K119" s="283"/>
      <c r="L119" s="281"/>
      <c r="M119" s="404"/>
      <c r="N119" s="284"/>
      <c r="O119" s="284"/>
      <c r="P119" s="404"/>
      <c r="Q119" s="284"/>
      <c r="R119" s="284"/>
      <c r="S119" s="404"/>
      <c r="T119" s="281"/>
      <c r="U119" s="284"/>
      <c r="V119" s="404"/>
      <c r="W119" s="284"/>
      <c r="X119" s="284"/>
      <c r="Y119" s="404"/>
      <c r="Z119" s="284"/>
      <c r="AA119" s="284"/>
      <c r="AB119" s="404"/>
      <c r="AC119" s="286"/>
      <c r="AD119" s="286"/>
      <c r="AE119" s="404"/>
    </row>
    <row r="120" spans="1:31" s="96" customFormat="1" ht="15.75" customHeight="1" x14ac:dyDescent="0.3">
      <c r="A120" s="279"/>
      <c r="B120" s="279"/>
      <c r="C120" s="280"/>
      <c r="D120" s="280"/>
      <c r="E120" s="281"/>
      <c r="F120" s="281"/>
      <c r="G120" s="404"/>
      <c r="H120" s="283"/>
      <c r="I120" s="283"/>
      <c r="J120" s="404"/>
      <c r="K120" s="283"/>
      <c r="L120" s="281"/>
      <c r="M120" s="404"/>
      <c r="N120" s="284"/>
      <c r="O120" s="284"/>
      <c r="P120" s="404"/>
      <c r="Q120" s="284"/>
      <c r="R120" s="284"/>
      <c r="S120" s="404"/>
      <c r="T120" s="281"/>
      <c r="U120" s="284"/>
      <c r="V120" s="404"/>
      <c r="W120" s="284"/>
      <c r="X120" s="284"/>
      <c r="Y120" s="404"/>
      <c r="Z120" s="284"/>
      <c r="AA120" s="284"/>
      <c r="AB120" s="404"/>
      <c r="AC120" s="286"/>
      <c r="AD120" s="286"/>
      <c r="AE120" s="404"/>
    </row>
    <row r="121" spans="1:31" s="96" customFormat="1" ht="15.75" customHeight="1" x14ac:dyDescent="0.3">
      <c r="A121" s="279"/>
      <c r="B121" s="279"/>
      <c r="C121" s="280"/>
      <c r="D121" s="297" t="s">
        <v>274</v>
      </c>
      <c r="E121" s="281"/>
      <c r="F121" s="281"/>
      <c r="G121" s="404"/>
      <c r="H121" s="283"/>
      <c r="I121" s="283"/>
      <c r="J121" s="404"/>
      <c r="K121" s="283"/>
      <c r="L121" s="281"/>
      <c r="M121" s="404"/>
      <c r="N121" s="284">
        <v>0</v>
      </c>
      <c r="O121" s="284"/>
      <c r="P121" s="404"/>
      <c r="Q121" s="284"/>
      <c r="R121" s="284"/>
      <c r="S121" s="404"/>
      <c r="T121" s="281"/>
      <c r="U121" s="284"/>
      <c r="V121" s="404"/>
      <c r="W121" s="284"/>
      <c r="X121" s="284"/>
      <c r="Y121" s="404"/>
      <c r="Z121" s="284"/>
      <c r="AA121" s="284"/>
      <c r="AB121" s="404"/>
      <c r="AC121" s="286"/>
      <c r="AD121" s="286"/>
      <c r="AE121" s="404"/>
    </row>
    <row r="122" spans="1:31" s="81" customFormat="1" ht="15.75" customHeight="1" x14ac:dyDescent="0.3">
      <c r="A122" s="49" t="s">
        <v>63</v>
      </c>
      <c r="B122" s="49" t="s">
        <v>66</v>
      </c>
      <c r="C122" s="50">
        <f>C118+7</f>
        <v>42944</v>
      </c>
      <c r="D122" s="403" t="s">
        <v>28</v>
      </c>
      <c r="E122" s="51">
        <f>SUM(E123:E125)</f>
        <v>0</v>
      </c>
      <c r="F122" s="51">
        <f>SUM(F123:F125)</f>
        <v>0</v>
      </c>
      <c r="G122" s="103" t="e">
        <f>(E122-F122)/F122</f>
        <v>#DIV/0!</v>
      </c>
      <c r="H122" s="51">
        <f>SUM(H123:H125)</f>
        <v>0</v>
      </c>
      <c r="I122" s="51">
        <f>SUM(I123:I125)</f>
        <v>0</v>
      </c>
      <c r="J122" s="103" t="e">
        <f>(H122-I122)/I122</f>
        <v>#DIV/0!</v>
      </c>
      <c r="K122" s="53" t="e">
        <f>E122/H122</f>
        <v>#DIV/0!</v>
      </c>
      <c r="L122" s="51" t="e">
        <f>F122/I122</f>
        <v>#DIV/0!</v>
      </c>
      <c r="M122" s="103" t="e">
        <f>(K122-L122)/L122</f>
        <v>#DIV/0!</v>
      </c>
      <c r="N122" s="54">
        <f>SUM(N123:N125)</f>
        <v>1</v>
      </c>
      <c r="O122" s="54">
        <f>SUM(O123:O125)</f>
        <v>0</v>
      </c>
      <c r="P122" s="103" t="e">
        <f>(N122-O122)/O122</f>
        <v>#DIV/0!</v>
      </c>
      <c r="Q122" s="54">
        <f>SUM(Q123:Q125)</f>
        <v>0</v>
      </c>
      <c r="R122" s="54">
        <f>SUM(R123:R125)</f>
        <v>0</v>
      </c>
      <c r="S122" s="103" t="e">
        <f>(Q122-R122)/R122</f>
        <v>#DIV/0!</v>
      </c>
      <c r="T122" s="54" t="e">
        <f>E122/Q122</f>
        <v>#DIV/0!</v>
      </c>
      <c r="U122" s="54" t="e">
        <f>F122/R122</f>
        <v>#DIV/0!</v>
      </c>
      <c r="V122" s="103" t="e">
        <f>(T122-U122)/U122</f>
        <v>#DIV/0!</v>
      </c>
      <c r="W122" s="54">
        <f>SUM(W123:W125)</f>
        <v>0</v>
      </c>
      <c r="X122" s="54">
        <f>SUM(X123:X125)</f>
        <v>0</v>
      </c>
      <c r="Y122" s="103" t="e">
        <f>(W122-X122)/X122</f>
        <v>#DIV/0!</v>
      </c>
      <c r="Z122" s="54">
        <f>SUM(Z123:Z125)</f>
        <v>0</v>
      </c>
      <c r="AA122" s="54">
        <f>SUM(AA123:AA125)</f>
        <v>0</v>
      </c>
      <c r="AB122" s="103" t="e">
        <f>(Z122-AA122)/AA122</f>
        <v>#DIV/0!</v>
      </c>
      <c r="AC122" s="82" t="e">
        <f>W122/Z122</f>
        <v>#DIV/0!</v>
      </c>
      <c r="AD122" s="82" t="e">
        <f>X122/AA122</f>
        <v>#DIV/0!</v>
      </c>
      <c r="AE122" s="103" t="e">
        <f t="shared" ref="AE122" si="30">(AC122-AD122)/AD122</f>
        <v>#DIV/0!</v>
      </c>
    </row>
    <row r="123" spans="1:31" s="96" customFormat="1" ht="15.75" customHeight="1" x14ac:dyDescent="0.3">
      <c r="A123" s="279"/>
      <c r="B123" s="279"/>
      <c r="C123" s="280"/>
      <c r="D123" s="280"/>
      <c r="E123" s="281"/>
      <c r="F123" s="281"/>
      <c r="G123" s="404"/>
      <c r="H123" s="283"/>
      <c r="I123" s="283"/>
      <c r="J123" s="404"/>
      <c r="K123" s="283"/>
      <c r="L123" s="281"/>
      <c r="M123" s="404"/>
      <c r="N123" s="284"/>
      <c r="O123" s="284"/>
      <c r="P123" s="404"/>
      <c r="Q123" s="284"/>
      <c r="R123" s="284"/>
      <c r="S123" s="404"/>
      <c r="T123" s="281"/>
      <c r="U123" s="284"/>
      <c r="V123" s="404"/>
      <c r="W123" s="284"/>
      <c r="X123" s="284"/>
      <c r="Y123" s="404"/>
      <c r="Z123" s="284"/>
      <c r="AA123" s="284"/>
      <c r="AB123" s="404"/>
      <c r="AC123" s="286"/>
      <c r="AD123" s="286"/>
      <c r="AE123" s="404"/>
    </row>
    <row r="124" spans="1:31" s="96" customFormat="1" ht="15.75" customHeight="1" x14ac:dyDescent="0.3">
      <c r="A124" s="279"/>
      <c r="B124" s="279"/>
      <c r="C124" s="280"/>
      <c r="D124" s="280"/>
      <c r="E124" s="281"/>
      <c r="F124" s="281"/>
      <c r="G124" s="404"/>
      <c r="H124" s="283"/>
      <c r="I124" s="283"/>
      <c r="J124" s="404"/>
      <c r="K124" s="283"/>
      <c r="L124" s="281"/>
      <c r="M124" s="404"/>
      <c r="N124" s="284"/>
      <c r="O124" s="284"/>
      <c r="P124" s="404"/>
      <c r="Q124" s="284"/>
      <c r="R124" s="284"/>
      <c r="S124" s="404"/>
      <c r="T124" s="281"/>
      <c r="U124" s="284"/>
      <c r="V124" s="404"/>
      <c r="W124" s="284"/>
      <c r="X124" s="284"/>
      <c r="Y124" s="404"/>
      <c r="Z124" s="284"/>
      <c r="AA124" s="284"/>
      <c r="AB124" s="404"/>
      <c r="AC124" s="286"/>
      <c r="AD124" s="286"/>
      <c r="AE124" s="404"/>
    </row>
    <row r="125" spans="1:31" s="96" customFormat="1" ht="15.75" customHeight="1" x14ac:dyDescent="0.3">
      <c r="A125" s="279"/>
      <c r="B125" s="279"/>
      <c r="C125" s="280"/>
      <c r="D125" s="297" t="s">
        <v>274</v>
      </c>
      <c r="E125" s="281"/>
      <c r="F125" s="281"/>
      <c r="G125" s="404"/>
      <c r="H125" s="283"/>
      <c r="I125" s="283"/>
      <c r="J125" s="404"/>
      <c r="K125" s="283"/>
      <c r="L125" s="281"/>
      <c r="M125" s="404"/>
      <c r="N125" s="284">
        <v>1</v>
      </c>
      <c r="O125" s="284"/>
      <c r="P125" s="404"/>
      <c r="Q125" s="284"/>
      <c r="R125" s="284"/>
      <c r="S125" s="404"/>
      <c r="T125" s="281"/>
      <c r="U125" s="284"/>
      <c r="V125" s="404"/>
      <c r="W125" s="284"/>
      <c r="X125" s="284"/>
      <c r="Y125" s="404"/>
      <c r="Z125" s="284"/>
      <c r="AA125" s="284"/>
      <c r="AB125" s="404"/>
      <c r="AC125" s="286"/>
      <c r="AD125" s="286"/>
      <c r="AE125" s="404"/>
    </row>
    <row r="126" spans="1:31" s="81" customFormat="1" ht="15.75" customHeight="1" x14ac:dyDescent="0.3">
      <c r="A126" s="49" t="s">
        <v>63</v>
      </c>
      <c r="B126" s="49" t="s">
        <v>67</v>
      </c>
      <c r="C126" s="50">
        <f>C122+7</f>
        <v>42951</v>
      </c>
      <c r="D126" s="403" t="s">
        <v>28</v>
      </c>
      <c r="E126" s="51">
        <f>SUM(E127:E129)</f>
        <v>0</v>
      </c>
      <c r="F126" s="51">
        <f>SUM(F127:F129)</f>
        <v>0</v>
      </c>
      <c r="G126" s="103" t="e">
        <f>(E126-F126)/F126</f>
        <v>#DIV/0!</v>
      </c>
      <c r="H126" s="51">
        <f>SUM(H127:H129)</f>
        <v>0</v>
      </c>
      <c r="I126" s="51">
        <f>SUM(I127:I129)</f>
        <v>0</v>
      </c>
      <c r="J126" s="103" t="e">
        <f>(H126-I126)/I126</f>
        <v>#DIV/0!</v>
      </c>
      <c r="K126" s="53" t="e">
        <f>E126/H126</f>
        <v>#DIV/0!</v>
      </c>
      <c r="L126" s="51" t="e">
        <f>F126/I126</f>
        <v>#DIV/0!</v>
      </c>
      <c r="M126" s="103" t="e">
        <f>(K126-L126)/L126</f>
        <v>#DIV/0!</v>
      </c>
      <c r="N126" s="54">
        <f>SUM(N127:N129)</f>
        <v>0</v>
      </c>
      <c r="O126" s="54">
        <f>SUM(O127:O129)</f>
        <v>0</v>
      </c>
      <c r="P126" s="103" t="e">
        <f>(N126-O126)/O126</f>
        <v>#DIV/0!</v>
      </c>
      <c r="Q126" s="54">
        <f>SUM(Q127:Q129)</f>
        <v>0</v>
      </c>
      <c r="R126" s="54">
        <f>SUM(R127:R129)</f>
        <v>0</v>
      </c>
      <c r="S126" s="103" t="e">
        <f>(Q126-R126)/R126</f>
        <v>#DIV/0!</v>
      </c>
      <c r="T126" s="54" t="e">
        <f>E126/Q126</f>
        <v>#DIV/0!</v>
      </c>
      <c r="U126" s="54" t="e">
        <f>F126/R126</f>
        <v>#DIV/0!</v>
      </c>
      <c r="V126" s="103" t="e">
        <f>(T126-U126)/U126</f>
        <v>#DIV/0!</v>
      </c>
      <c r="W126" s="54">
        <f>SUM(W127:W129)</f>
        <v>0</v>
      </c>
      <c r="X126" s="54">
        <f>SUM(X127:X129)</f>
        <v>0</v>
      </c>
      <c r="Y126" s="103" t="e">
        <f>(W126-X126)/X126</f>
        <v>#DIV/0!</v>
      </c>
      <c r="Z126" s="54">
        <f>SUM(Z127:Z129)</f>
        <v>0</v>
      </c>
      <c r="AA126" s="54">
        <f>SUM(AA127:AA129)</f>
        <v>0</v>
      </c>
      <c r="AB126" s="103" t="e">
        <f>(Z126-AA126)/AA126</f>
        <v>#DIV/0!</v>
      </c>
      <c r="AC126" s="82" t="e">
        <f>W126/Z126</f>
        <v>#DIV/0!</v>
      </c>
      <c r="AD126" s="82" t="e">
        <f>X126/AA126</f>
        <v>#DIV/0!</v>
      </c>
      <c r="AE126" s="103" t="e">
        <f t="shared" ref="AE126" si="31">(AC126-AD126)/AD126</f>
        <v>#DIV/0!</v>
      </c>
    </row>
    <row r="127" spans="1:31" s="96" customFormat="1" ht="15.75" customHeight="1" x14ac:dyDescent="0.3">
      <c r="A127" s="279"/>
      <c r="B127" s="279"/>
      <c r="C127" s="280"/>
      <c r="D127" s="280"/>
      <c r="E127" s="281"/>
      <c r="F127" s="281"/>
      <c r="G127" s="404"/>
      <c r="H127" s="283"/>
      <c r="I127" s="283"/>
      <c r="J127" s="404"/>
      <c r="K127" s="283"/>
      <c r="L127" s="281"/>
      <c r="M127" s="404"/>
      <c r="N127" s="284"/>
      <c r="O127" s="284"/>
      <c r="P127" s="404"/>
      <c r="Q127" s="284"/>
      <c r="R127" s="284"/>
      <c r="S127" s="404"/>
      <c r="T127" s="281"/>
      <c r="U127" s="284"/>
      <c r="V127" s="404"/>
      <c r="W127" s="284"/>
      <c r="X127" s="284"/>
      <c r="Y127" s="404"/>
      <c r="Z127" s="284"/>
      <c r="AA127" s="284"/>
      <c r="AB127" s="404"/>
      <c r="AC127" s="286"/>
      <c r="AD127" s="286"/>
      <c r="AE127" s="404"/>
    </row>
    <row r="128" spans="1:31" s="96" customFormat="1" ht="15.75" customHeight="1" x14ac:dyDescent="0.3">
      <c r="A128" s="279"/>
      <c r="B128" s="279"/>
      <c r="C128" s="280"/>
      <c r="D128" s="280"/>
      <c r="E128" s="281"/>
      <c r="F128" s="281"/>
      <c r="G128" s="404"/>
      <c r="H128" s="283"/>
      <c r="I128" s="283"/>
      <c r="J128" s="404"/>
      <c r="K128" s="283"/>
      <c r="L128" s="281"/>
      <c r="M128" s="404"/>
      <c r="N128" s="284"/>
      <c r="O128" s="284"/>
      <c r="P128" s="404"/>
      <c r="Q128" s="284"/>
      <c r="R128" s="284"/>
      <c r="S128" s="404"/>
      <c r="T128" s="281"/>
      <c r="U128" s="284"/>
      <c r="V128" s="404"/>
      <c r="W128" s="284"/>
      <c r="X128" s="284"/>
      <c r="Y128" s="404"/>
      <c r="Z128" s="284"/>
      <c r="AA128" s="284"/>
      <c r="AB128" s="404"/>
      <c r="AC128" s="286"/>
      <c r="AD128" s="286"/>
      <c r="AE128" s="404"/>
    </row>
    <row r="129" spans="1:31" s="357" customFormat="1" ht="15.75" customHeight="1" x14ac:dyDescent="0.3">
      <c r="A129" s="347"/>
      <c r="B129" s="347"/>
      <c r="C129" s="348"/>
      <c r="D129" s="349" t="s">
        <v>274</v>
      </c>
      <c r="E129" s="350"/>
      <c r="F129" s="350"/>
      <c r="G129" s="405"/>
      <c r="H129" s="352"/>
      <c r="I129" s="352"/>
      <c r="J129" s="405"/>
      <c r="K129" s="352"/>
      <c r="L129" s="350"/>
      <c r="M129" s="405"/>
      <c r="N129" s="353"/>
      <c r="O129" s="353"/>
      <c r="P129" s="405"/>
      <c r="Q129" s="353"/>
      <c r="R129" s="353"/>
      <c r="S129" s="405"/>
      <c r="T129" s="350"/>
      <c r="U129" s="353"/>
      <c r="V129" s="405"/>
      <c r="W129" s="353"/>
      <c r="X129" s="353"/>
      <c r="Y129" s="405"/>
      <c r="Z129" s="353"/>
      <c r="AA129" s="353"/>
      <c r="AB129" s="405"/>
      <c r="AC129" s="356"/>
      <c r="AD129" s="356"/>
      <c r="AE129" s="405"/>
    </row>
    <row r="130" spans="1:31" s="81" customFormat="1" ht="15.75" customHeight="1" x14ac:dyDescent="0.3">
      <c r="A130" s="49" t="s">
        <v>68</v>
      </c>
      <c r="B130" s="49" t="s">
        <v>69</v>
      </c>
      <c r="C130" s="50">
        <f>C126+7</f>
        <v>42958</v>
      </c>
      <c r="D130" s="403" t="s">
        <v>28</v>
      </c>
      <c r="E130" s="51">
        <f>SUM(E131:E133)</f>
        <v>0</v>
      </c>
      <c r="F130" s="51">
        <f>SUM(F131:F133)</f>
        <v>0</v>
      </c>
      <c r="G130" s="103" t="e">
        <f>(E130-F130)/F130</f>
        <v>#DIV/0!</v>
      </c>
      <c r="H130" s="51">
        <f>SUM(H131:H133)</f>
        <v>0</v>
      </c>
      <c r="I130" s="51">
        <f>SUM(I131:I133)</f>
        <v>0</v>
      </c>
      <c r="J130" s="103" t="e">
        <f>(H130-I130)/I130</f>
        <v>#DIV/0!</v>
      </c>
      <c r="K130" s="53" t="e">
        <f>E130/H130</f>
        <v>#DIV/0!</v>
      </c>
      <c r="L130" s="51" t="e">
        <f>F130/I130</f>
        <v>#DIV/0!</v>
      </c>
      <c r="M130" s="103" t="e">
        <f>(K130-L130)/L130</f>
        <v>#DIV/0!</v>
      </c>
      <c r="N130" s="54">
        <f>SUM(N131:N133)</f>
        <v>0</v>
      </c>
      <c r="O130" s="54">
        <f>SUM(O131:O133)</f>
        <v>0</v>
      </c>
      <c r="P130" s="103" t="e">
        <f>(N130-O130)/O130</f>
        <v>#DIV/0!</v>
      </c>
      <c r="Q130" s="54">
        <f>SUM(Q131:Q133)</f>
        <v>0</v>
      </c>
      <c r="R130" s="54">
        <f>SUM(R131:R133)</f>
        <v>0</v>
      </c>
      <c r="S130" s="103" t="e">
        <f>(Q130-R130)/R130</f>
        <v>#DIV/0!</v>
      </c>
      <c r="T130" s="54" t="e">
        <f>E130/Q130</f>
        <v>#DIV/0!</v>
      </c>
      <c r="U130" s="54" t="e">
        <f>F130/R130</f>
        <v>#DIV/0!</v>
      </c>
      <c r="V130" s="103" t="e">
        <f>(T130-U130)/U130</f>
        <v>#DIV/0!</v>
      </c>
      <c r="W130" s="54">
        <f>SUM(W131:W133)</f>
        <v>0</v>
      </c>
      <c r="X130" s="54">
        <f>SUM(X131:X133)</f>
        <v>0</v>
      </c>
      <c r="Y130" s="103" t="e">
        <f>(W130-X130)/X130</f>
        <v>#DIV/0!</v>
      </c>
      <c r="Z130" s="54">
        <f>SUM(Z131:Z133)</f>
        <v>0</v>
      </c>
      <c r="AA130" s="54">
        <f>SUM(AA131:AA133)</f>
        <v>0</v>
      </c>
      <c r="AB130" s="103" t="e">
        <f>(Z130-AA130)/AA130</f>
        <v>#DIV/0!</v>
      </c>
      <c r="AC130" s="82" t="e">
        <f>W130/Z130</f>
        <v>#DIV/0!</v>
      </c>
      <c r="AD130" s="82" t="e">
        <f>X130/AA130</f>
        <v>#DIV/0!</v>
      </c>
      <c r="AE130" s="103" t="e">
        <f t="shared" ref="AE130" si="32">(AC130-AD130)/AD130</f>
        <v>#DIV/0!</v>
      </c>
    </row>
    <row r="131" spans="1:31" s="96" customFormat="1" ht="15.75" customHeight="1" x14ac:dyDescent="0.3">
      <c r="A131" s="279"/>
      <c r="B131" s="279"/>
      <c r="C131" s="280"/>
      <c r="D131" s="280"/>
      <c r="E131" s="281"/>
      <c r="F131" s="281"/>
      <c r="G131" s="404"/>
      <c r="H131" s="283"/>
      <c r="I131" s="283"/>
      <c r="J131" s="404"/>
      <c r="K131" s="283"/>
      <c r="L131" s="281"/>
      <c r="M131" s="404"/>
      <c r="N131" s="284"/>
      <c r="O131" s="284"/>
      <c r="P131" s="404"/>
      <c r="Q131" s="284"/>
      <c r="R131" s="284"/>
      <c r="S131" s="404"/>
      <c r="T131" s="281"/>
      <c r="U131" s="284"/>
      <c r="V131" s="404"/>
      <c r="W131" s="284"/>
      <c r="X131" s="284"/>
      <c r="Y131" s="404"/>
      <c r="Z131" s="284"/>
      <c r="AA131" s="284"/>
      <c r="AB131" s="404"/>
      <c r="AC131" s="286"/>
      <c r="AD131" s="286"/>
      <c r="AE131" s="404"/>
    </row>
    <row r="132" spans="1:31" s="96" customFormat="1" ht="15.75" customHeight="1" x14ac:dyDescent="0.3">
      <c r="A132" s="279"/>
      <c r="B132" s="279"/>
      <c r="C132" s="280"/>
      <c r="D132" s="280"/>
      <c r="E132" s="281"/>
      <c r="F132" s="281"/>
      <c r="G132" s="404"/>
      <c r="H132" s="283"/>
      <c r="I132" s="283"/>
      <c r="J132" s="404"/>
      <c r="K132" s="283"/>
      <c r="L132" s="281"/>
      <c r="M132" s="404"/>
      <c r="N132" s="284"/>
      <c r="O132" s="284"/>
      <c r="P132" s="404"/>
      <c r="Q132" s="284"/>
      <c r="R132" s="284"/>
      <c r="S132" s="404"/>
      <c r="T132" s="281"/>
      <c r="U132" s="284"/>
      <c r="V132" s="404"/>
      <c r="W132" s="284"/>
      <c r="X132" s="284"/>
      <c r="Y132" s="404"/>
      <c r="Z132" s="284"/>
      <c r="AA132" s="284"/>
      <c r="AB132" s="404"/>
      <c r="AC132" s="286"/>
      <c r="AD132" s="286"/>
      <c r="AE132" s="404"/>
    </row>
    <row r="133" spans="1:31" s="96" customFormat="1" ht="15.75" customHeight="1" x14ac:dyDescent="0.3">
      <c r="A133" s="279"/>
      <c r="B133" s="279"/>
      <c r="C133" s="280"/>
      <c r="D133" s="297" t="s">
        <v>274</v>
      </c>
      <c r="E133" s="281"/>
      <c r="F133" s="281"/>
      <c r="G133" s="404"/>
      <c r="H133" s="283"/>
      <c r="I133" s="283"/>
      <c r="J133" s="404"/>
      <c r="K133" s="283"/>
      <c r="L133" s="281"/>
      <c r="M133" s="404"/>
      <c r="N133" s="284"/>
      <c r="O133" s="284"/>
      <c r="P133" s="404"/>
      <c r="Q133" s="284"/>
      <c r="R133" s="284"/>
      <c r="S133" s="404"/>
      <c r="T133" s="281"/>
      <c r="U133" s="284"/>
      <c r="V133" s="404"/>
      <c r="W133" s="284"/>
      <c r="X133" s="284"/>
      <c r="Y133" s="404"/>
      <c r="Z133" s="284"/>
      <c r="AA133" s="284"/>
      <c r="AB133" s="404"/>
      <c r="AC133" s="286"/>
      <c r="AD133" s="286"/>
      <c r="AE133" s="404"/>
    </row>
    <row r="134" spans="1:31" s="81" customFormat="1" ht="15.75" customHeight="1" x14ac:dyDescent="0.3">
      <c r="A134" s="49" t="s">
        <v>68</v>
      </c>
      <c r="B134" s="49" t="s">
        <v>70</v>
      </c>
      <c r="C134" s="50">
        <f>C130+7</f>
        <v>42965</v>
      </c>
      <c r="D134" s="403" t="s">
        <v>28</v>
      </c>
      <c r="E134" s="51">
        <f>SUM(E135:E137)</f>
        <v>0</v>
      </c>
      <c r="F134" s="51">
        <f>SUM(F135:F137)</f>
        <v>0</v>
      </c>
      <c r="G134" s="103" t="e">
        <f>(E134-F134)/F134</f>
        <v>#DIV/0!</v>
      </c>
      <c r="H134" s="51">
        <f>SUM(H135:H137)</f>
        <v>0</v>
      </c>
      <c r="I134" s="51">
        <f>SUM(I135:I137)</f>
        <v>0</v>
      </c>
      <c r="J134" s="103" t="e">
        <f>(H134-I134)/I134</f>
        <v>#DIV/0!</v>
      </c>
      <c r="K134" s="53" t="e">
        <f>E134/H134</f>
        <v>#DIV/0!</v>
      </c>
      <c r="L134" s="51" t="e">
        <f>F134/I134</f>
        <v>#DIV/0!</v>
      </c>
      <c r="M134" s="103" t="e">
        <f>(K134-L134)/L134</f>
        <v>#DIV/0!</v>
      </c>
      <c r="N134" s="54">
        <f>SUM(N135:N137)</f>
        <v>0</v>
      </c>
      <c r="O134" s="54">
        <f>SUM(O135:O137)</f>
        <v>0</v>
      </c>
      <c r="P134" s="103" t="e">
        <f>(N134-O134)/O134</f>
        <v>#DIV/0!</v>
      </c>
      <c r="Q134" s="54">
        <f>SUM(Q135:Q137)</f>
        <v>0</v>
      </c>
      <c r="R134" s="54">
        <f>SUM(R135:R137)</f>
        <v>0</v>
      </c>
      <c r="S134" s="103" t="e">
        <f>(Q134-R134)/R134</f>
        <v>#DIV/0!</v>
      </c>
      <c r="T134" s="54" t="e">
        <f>E134/Q134</f>
        <v>#DIV/0!</v>
      </c>
      <c r="U134" s="54" t="e">
        <f>F134/R134</f>
        <v>#DIV/0!</v>
      </c>
      <c r="V134" s="103" t="e">
        <f>(T134-U134)/U134</f>
        <v>#DIV/0!</v>
      </c>
      <c r="W134" s="54">
        <f>SUM(W135:W137)</f>
        <v>0</v>
      </c>
      <c r="X134" s="54">
        <f>SUM(X135:X137)</f>
        <v>0</v>
      </c>
      <c r="Y134" s="103" t="e">
        <f>(W134-X134)/X134</f>
        <v>#DIV/0!</v>
      </c>
      <c r="Z134" s="54">
        <f>SUM(Z135:Z137)</f>
        <v>0</v>
      </c>
      <c r="AA134" s="54">
        <f>SUM(AA135:AA137)</f>
        <v>0</v>
      </c>
      <c r="AB134" s="103" t="e">
        <f>(Z134-AA134)/AA134</f>
        <v>#DIV/0!</v>
      </c>
      <c r="AC134" s="82" t="e">
        <f>W134/Z134</f>
        <v>#DIV/0!</v>
      </c>
      <c r="AD134" s="82" t="e">
        <f>X134/AA134</f>
        <v>#DIV/0!</v>
      </c>
      <c r="AE134" s="103" t="e">
        <f t="shared" ref="AE134" si="33">(AC134-AD134)/AD134</f>
        <v>#DIV/0!</v>
      </c>
    </row>
    <row r="135" spans="1:31" s="96" customFormat="1" ht="15.75" customHeight="1" x14ac:dyDescent="0.3">
      <c r="A135" s="279"/>
      <c r="B135" s="279"/>
      <c r="C135" s="280"/>
      <c r="D135" s="280"/>
      <c r="E135" s="281"/>
      <c r="F135" s="281"/>
      <c r="G135" s="404"/>
      <c r="H135" s="283"/>
      <c r="I135" s="283"/>
      <c r="J135" s="404"/>
      <c r="K135" s="283"/>
      <c r="L135" s="281"/>
      <c r="M135" s="404"/>
      <c r="N135" s="284"/>
      <c r="O135" s="284"/>
      <c r="P135" s="404"/>
      <c r="Q135" s="284"/>
      <c r="R135" s="284"/>
      <c r="S135" s="404"/>
      <c r="T135" s="281"/>
      <c r="U135" s="284"/>
      <c r="V135" s="404"/>
      <c r="W135" s="284"/>
      <c r="X135" s="284"/>
      <c r="Y135" s="404"/>
      <c r="Z135" s="284"/>
      <c r="AA135" s="284"/>
      <c r="AB135" s="404"/>
      <c r="AC135" s="286"/>
      <c r="AD135" s="286"/>
      <c r="AE135" s="404"/>
    </row>
    <row r="136" spans="1:31" s="96" customFormat="1" ht="15.75" customHeight="1" x14ac:dyDescent="0.3">
      <c r="A136" s="279"/>
      <c r="B136" s="279"/>
      <c r="C136" s="280"/>
      <c r="D136" s="280"/>
      <c r="E136" s="281"/>
      <c r="F136" s="281"/>
      <c r="G136" s="404"/>
      <c r="H136" s="283"/>
      <c r="I136" s="283"/>
      <c r="J136" s="404"/>
      <c r="K136" s="283"/>
      <c r="L136" s="281"/>
      <c r="M136" s="404"/>
      <c r="N136" s="284"/>
      <c r="O136" s="284"/>
      <c r="P136" s="404"/>
      <c r="Q136" s="284"/>
      <c r="R136" s="284"/>
      <c r="S136" s="404"/>
      <c r="T136" s="281"/>
      <c r="U136" s="284"/>
      <c r="V136" s="404"/>
      <c r="W136" s="284"/>
      <c r="X136" s="284"/>
      <c r="Y136" s="404"/>
      <c r="Z136" s="284"/>
      <c r="AA136" s="284"/>
      <c r="AB136" s="404"/>
      <c r="AC136" s="286"/>
      <c r="AD136" s="286"/>
      <c r="AE136" s="404"/>
    </row>
    <row r="137" spans="1:31" s="96" customFormat="1" ht="15.75" customHeight="1" x14ac:dyDescent="0.3">
      <c r="A137" s="279"/>
      <c r="B137" s="279"/>
      <c r="C137" s="280"/>
      <c r="D137" s="297" t="s">
        <v>274</v>
      </c>
      <c r="E137" s="281"/>
      <c r="F137" s="281"/>
      <c r="G137" s="404"/>
      <c r="H137" s="283"/>
      <c r="I137" s="283"/>
      <c r="J137" s="404"/>
      <c r="K137" s="283"/>
      <c r="L137" s="281"/>
      <c r="M137" s="404"/>
      <c r="N137" s="284"/>
      <c r="O137" s="284"/>
      <c r="P137" s="404"/>
      <c r="Q137" s="284"/>
      <c r="R137" s="284"/>
      <c r="S137" s="404"/>
      <c r="T137" s="281"/>
      <c r="U137" s="284"/>
      <c r="V137" s="404"/>
      <c r="W137" s="284"/>
      <c r="X137" s="284"/>
      <c r="Y137" s="404"/>
      <c r="Z137" s="284"/>
      <c r="AA137" s="284"/>
      <c r="AB137" s="404"/>
      <c r="AC137" s="286"/>
      <c r="AD137" s="286"/>
      <c r="AE137" s="404"/>
    </row>
    <row r="138" spans="1:31" s="81" customFormat="1" ht="15.75" customHeight="1" x14ac:dyDescent="0.3">
      <c r="A138" s="49" t="s">
        <v>68</v>
      </c>
      <c r="B138" s="49" t="s">
        <v>71</v>
      </c>
      <c r="C138" s="50">
        <f>C134+7</f>
        <v>42972</v>
      </c>
      <c r="D138" s="403" t="s">
        <v>28</v>
      </c>
      <c r="E138" s="51">
        <f>SUM(E139:E141)</f>
        <v>0</v>
      </c>
      <c r="F138" s="51">
        <f>SUM(F139:F141)</f>
        <v>0</v>
      </c>
      <c r="G138" s="103" t="e">
        <f>(E138-F138)/F138</f>
        <v>#DIV/0!</v>
      </c>
      <c r="H138" s="51">
        <f>SUM(H139:H141)</f>
        <v>0</v>
      </c>
      <c r="I138" s="51">
        <f>SUM(I139:I141)</f>
        <v>0</v>
      </c>
      <c r="J138" s="103" t="e">
        <f>(H138-I138)/I138</f>
        <v>#DIV/0!</v>
      </c>
      <c r="K138" s="53" t="e">
        <f>E138/H138</f>
        <v>#DIV/0!</v>
      </c>
      <c r="L138" s="51" t="e">
        <f>F138/I138</f>
        <v>#DIV/0!</v>
      </c>
      <c r="M138" s="103" t="e">
        <f>(K138-L138)/L138</f>
        <v>#DIV/0!</v>
      </c>
      <c r="N138" s="54">
        <f>SUM(N139:N141)</f>
        <v>0</v>
      </c>
      <c r="O138" s="54">
        <f>SUM(O139:O141)</f>
        <v>0</v>
      </c>
      <c r="P138" s="103" t="e">
        <f>(N138-O138)/O138</f>
        <v>#DIV/0!</v>
      </c>
      <c r="Q138" s="54">
        <f>SUM(Q139:Q141)</f>
        <v>0</v>
      </c>
      <c r="R138" s="54">
        <f>SUM(R139:R141)</f>
        <v>0</v>
      </c>
      <c r="S138" s="103" t="e">
        <f>(Q138-R138)/R138</f>
        <v>#DIV/0!</v>
      </c>
      <c r="T138" s="54" t="e">
        <f>E138/Q138</f>
        <v>#DIV/0!</v>
      </c>
      <c r="U138" s="54" t="e">
        <f>F138/R138</f>
        <v>#DIV/0!</v>
      </c>
      <c r="V138" s="103" t="e">
        <f>(T138-U138)/U138</f>
        <v>#DIV/0!</v>
      </c>
      <c r="W138" s="54">
        <f>SUM(W139:W141)</f>
        <v>0</v>
      </c>
      <c r="X138" s="54">
        <f>SUM(X139:X141)</f>
        <v>0</v>
      </c>
      <c r="Y138" s="103" t="e">
        <f>(W138-X138)/X138</f>
        <v>#DIV/0!</v>
      </c>
      <c r="Z138" s="54">
        <f>SUM(Z139:Z141)</f>
        <v>0</v>
      </c>
      <c r="AA138" s="54">
        <f>SUM(AA139:AA141)</f>
        <v>0</v>
      </c>
      <c r="AB138" s="103" t="e">
        <f>(Z138-AA138)/AA138</f>
        <v>#DIV/0!</v>
      </c>
      <c r="AC138" s="82" t="e">
        <f>W138/Z138</f>
        <v>#DIV/0!</v>
      </c>
      <c r="AD138" s="82" t="e">
        <f>X138/AA138</f>
        <v>#DIV/0!</v>
      </c>
      <c r="AE138" s="103" t="e">
        <f t="shared" ref="AE138" si="34">(AC138-AD138)/AD138</f>
        <v>#DIV/0!</v>
      </c>
    </row>
    <row r="139" spans="1:31" s="96" customFormat="1" ht="15.75" customHeight="1" x14ac:dyDescent="0.3">
      <c r="A139" s="279"/>
      <c r="B139" s="279"/>
      <c r="C139" s="280"/>
      <c r="D139" s="280"/>
      <c r="E139" s="281"/>
      <c r="F139" s="281"/>
      <c r="G139" s="404"/>
      <c r="H139" s="283"/>
      <c r="I139" s="283"/>
      <c r="J139" s="404"/>
      <c r="K139" s="283"/>
      <c r="L139" s="281"/>
      <c r="M139" s="404"/>
      <c r="N139" s="284"/>
      <c r="O139" s="284"/>
      <c r="P139" s="404"/>
      <c r="Q139" s="284"/>
      <c r="R139" s="284"/>
      <c r="S139" s="404"/>
      <c r="T139" s="281"/>
      <c r="U139" s="284"/>
      <c r="V139" s="404"/>
      <c r="W139" s="284"/>
      <c r="X139" s="284"/>
      <c r="Y139" s="404"/>
      <c r="Z139" s="284"/>
      <c r="AA139" s="284"/>
      <c r="AB139" s="404"/>
      <c r="AC139" s="286"/>
      <c r="AD139" s="286"/>
      <c r="AE139" s="404"/>
    </row>
    <row r="140" spans="1:31" s="96" customFormat="1" ht="15.75" customHeight="1" x14ac:dyDescent="0.3">
      <c r="A140" s="279"/>
      <c r="B140" s="279"/>
      <c r="C140" s="280"/>
      <c r="D140" s="280"/>
      <c r="E140" s="281"/>
      <c r="F140" s="281"/>
      <c r="G140" s="404"/>
      <c r="H140" s="283"/>
      <c r="I140" s="283"/>
      <c r="J140" s="404"/>
      <c r="K140" s="283"/>
      <c r="L140" s="281"/>
      <c r="M140" s="404"/>
      <c r="N140" s="284"/>
      <c r="O140" s="284"/>
      <c r="P140" s="404"/>
      <c r="Q140" s="284"/>
      <c r="R140" s="284"/>
      <c r="S140" s="404"/>
      <c r="T140" s="281"/>
      <c r="U140" s="284"/>
      <c r="V140" s="404"/>
      <c r="W140" s="284"/>
      <c r="X140" s="284"/>
      <c r="Y140" s="404"/>
      <c r="Z140" s="284"/>
      <c r="AA140" s="284"/>
      <c r="AB140" s="404"/>
      <c r="AC140" s="286"/>
      <c r="AD140" s="286"/>
      <c r="AE140" s="404"/>
    </row>
    <row r="141" spans="1:31" s="96" customFormat="1" ht="15.75" customHeight="1" x14ac:dyDescent="0.3">
      <c r="A141" s="279"/>
      <c r="B141" s="279"/>
      <c r="C141" s="280"/>
      <c r="D141" s="297" t="s">
        <v>274</v>
      </c>
      <c r="E141" s="281"/>
      <c r="F141" s="281"/>
      <c r="G141" s="404"/>
      <c r="H141" s="283"/>
      <c r="I141" s="283"/>
      <c r="J141" s="404"/>
      <c r="K141" s="283"/>
      <c r="L141" s="281"/>
      <c r="M141" s="404"/>
      <c r="N141" s="284"/>
      <c r="O141" s="284"/>
      <c r="P141" s="404"/>
      <c r="Q141" s="284"/>
      <c r="R141" s="284"/>
      <c r="S141" s="404"/>
      <c r="T141" s="281"/>
      <c r="U141" s="284"/>
      <c r="V141" s="404"/>
      <c r="W141" s="284"/>
      <c r="X141" s="284"/>
      <c r="Y141" s="404"/>
      <c r="Z141" s="284"/>
      <c r="AA141" s="284"/>
      <c r="AB141" s="404"/>
      <c r="AC141" s="286"/>
      <c r="AD141" s="286"/>
      <c r="AE141" s="404"/>
    </row>
    <row r="142" spans="1:31" s="81" customFormat="1" ht="15.75" customHeight="1" x14ac:dyDescent="0.3">
      <c r="A142" s="49" t="s">
        <v>68</v>
      </c>
      <c r="B142" s="49" t="s">
        <v>72</v>
      </c>
      <c r="C142" s="50">
        <f>C138+7</f>
        <v>42979</v>
      </c>
      <c r="D142" s="403" t="s">
        <v>28</v>
      </c>
      <c r="E142" s="51">
        <f>SUM(E143:E145)</f>
        <v>0</v>
      </c>
      <c r="F142" s="51">
        <f>SUM(F143:F145)</f>
        <v>0</v>
      </c>
      <c r="G142" s="103" t="e">
        <f>(E142-F142)/F142</f>
        <v>#DIV/0!</v>
      </c>
      <c r="H142" s="51">
        <f>SUM(H143:H145)</f>
        <v>0</v>
      </c>
      <c r="I142" s="51">
        <f>SUM(I143:I145)</f>
        <v>0</v>
      </c>
      <c r="J142" s="103" t="e">
        <f>(H142-I142)/I142</f>
        <v>#DIV/0!</v>
      </c>
      <c r="K142" s="53" t="e">
        <f>E142/H142</f>
        <v>#DIV/0!</v>
      </c>
      <c r="L142" s="51" t="e">
        <f>F142/I142</f>
        <v>#DIV/0!</v>
      </c>
      <c r="M142" s="103" t="e">
        <f>(K142-L142)/L142</f>
        <v>#DIV/0!</v>
      </c>
      <c r="N142" s="54">
        <f>SUM(N143:N145)</f>
        <v>0</v>
      </c>
      <c r="O142" s="54">
        <f>SUM(O143:O145)</f>
        <v>0</v>
      </c>
      <c r="P142" s="103" t="e">
        <f>(N142-O142)/O142</f>
        <v>#DIV/0!</v>
      </c>
      <c r="Q142" s="54">
        <f>SUM(Q143:Q145)</f>
        <v>0</v>
      </c>
      <c r="R142" s="54">
        <f>SUM(R143:R145)</f>
        <v>0</v>
      </c>
      <c r="S142" s="103" t="e">
        <f>(Q142-R142)/R142</f>
        <v>#DIV/0!</v>
      </c>
      <c r="T142" s="54" t="e">
        <f>E142/Q142</f>
        <v>#DIV/0!</v>
      </c>
      <c r="U142" s="54" t="e">
        <f>F142/R142</f>
        <v>#DIV/0!</v>
      </c>
      <c r="V142" s="103" t="e">
        <f>(T142-U142)/U142</f>
        <v>#DIV/0!</v>
      </c>
      <c r="W142" s="54">
        <f>SUM(W143:W145)</f>
        <v>0</v>
      </c>
      <c r="X142" s="54">
        <f>SUM(X143:X145)</f>
        <v>0</v>
      </c>
      <c r="Y142" s="103" t="e">
        <f>(W142-X142)/X142</f>
        <v>#DIV/0!</v>
      </c>
      <c r="Z142" s="54">
        <f>SUM(Z143:Z145)</f>
        <v>0</v>
      </c>
      <c r="AA142" s="54">
        <f>SUM(AA143:AA145)</f>
        <v>0</v>
      </c>
      <c r="AB142" s="103" t="e">
        <f>(Z142-AA142)/AA142</f>
        <v>#DIV/0!</v>
      </c>
      <c r="AC142" s="82" t="e">
        <f>W142/Z142</f>
        <v>#DIV/0!</v>
      </c>
      <c r="AD142" s="82" t="e">
        <f>X142/AA142</f>
        <v>#DIV/0!</v>
      </c>
      <c r="AE142" s="103" t="e">
        <f t="shared" ref="AE142" si="35">(AC142-AD142)/AD142</f>
        <v>#DIV/0!</v>
      </c>
    </row>
    <row r="143" spans="1:31" s="96" customFormat="1" ht="15.75" customHeight="1" x14ac:dyDescent="0.3">
      <c r="A143" s="279"/>
      <c r="B143" s="279"/>
      <c r="C143" s="280"/>
      <c r="D143" s="280"/>
      <c r="E143" s="281"/>
      <c r="F143" s="281"/>
      <c r="G143" s="404"/>
      <c r="H143" s="283"/>
      <c r="I143" s="283"/>
      <c r="J143" s="404"/>
      <c r="K143" s="283"/>
      <c r="L143" s="281"/>
      <c r="M143" s="404"/>
      <c r="N143" s="284"/>
      <c r="O143" s="284"/>
      <c r="P143" s="404"/>
      <c r="Q143" s="284"/>
      <c r="R143" s="284"/>
      <c r="S143" s="404"/>
      <c r="T143" s="281"/>
      <c r="U143" s="284"/>
      <c r="V143" s="404"/>
      <c r="W143" s="284"/>
      <c r="X143" s="284"/>
      <c r="Y143" s="404"/>
      <c r="Z143" s="284"/>
      <c r="AA143" s="284"/>
      <c r="AB143" s="404"/>
      <c r="AC143" s="286"/>
      <c r="AD143" s="286"/>
      <c r="AE143" s="404"/>
    </row>
    <row r="144" spans="1:31" s="96" customFormat="1" ht="15.75" customHeight="1" x14ac:dyDescent="0.3">
      <c r="A144" s="279"/>
      <c r="B144" s="279"/>
      <c r="C144" s="280"/>
      <c r="D144" s="280"/>
      <c r="E144" s="281"/>
      <c r="F144" s="281"/>
      <c r="G144" s="404"/>
      <c r="H144" s="283"/>
      <c r="I144" s="283"/>
      <c r="J144" s="404"/>
      <c r="K144" s="283"/>
      <c r="L144" s="281"/>
      <c r="M144" s="404"/>
      <c r="N144" s="284"/>
      <c r="O144" s="284"/>
      <c r="P144" s="404"/>
      <c r="Q144" s="284"/>
      <c r="R144" s="284"/>
      <c r="S144" s="404"/>
      <c r="T144" s="281"/>
      <c r="U144" s="284"/>
      <c r="V144" s="404"/>
      <c r="W144" s="284"/>
      <c r="X144" s="284"/>
      <c r="Y144" s="404"/>
      <c r="Z144" s="284"/>
      <c r="AA144" s="284"/>
      <c r="AB144" s="404"/>
      <c r="AC144" s="286"/>
      <c r="AD144" s="286"/>
      <c r="AE144" s="404"/>
    </row>
    <row r="145" spans="1:31" s="357" customFormat="1" ht="15.75" customHeight="1" x14ac:dyDescent="0.3">
      <c r="A145" s="347"/>
      <c r="B145" s="347"/>
      <c r="C145" s="348"/>
      <c r="D145" s="349" t="s">
        <v>274</v>
      </c>
      <c r="E145" s="350"/>
      <c r="F145" s="350"/>
      <c r="G145" s="405"/>
      <c r="H145" s="352"/>
      <c r="I145" s="352"/>
      <c r="J145" s="405"/>
      <c r="K145" s="352"/>
      <c r="L145" s="350"/>
      <c r="M145" s="405"/>
      <c r="N145" s="353"/>
      <c r="O145" s="353"/>
      <c r="P145" s="405"/>
      <c r="Q145" s="353"/>
      <c r="R145" s="353"/>
      <c r="S145" s="405"/>
      <c r="T145" s="350"/>
      <c r="U145" s="353"/>
      <c r="V145" s="405"/>
      <c r="W145" s="353"/>
      <c r="X145" s="353"/>
      <c r="Y145" s="405"/>
      <c r="Z145" s="353"/>
      <c r="AA145" s="353"/>
      <c r="AB145" s="405"/>
      <c r="AC145" s="356"/>
      <c r="AD145" s="356"/>
      <c r="AE145" s="405"/>
    </row>
    <row r="146" spans="1:31" s="81" customFormat="1" ht="15.75" customHeight="1" x14ac:dyDescent="0.3">
      <c r="A146" s="49" t="s">
        <v>73</v>
      </c>
      <c r="B146" s="49" t="s">
        <v>74</v>
      </c>
      <c r="C146" s="50">
        <f>C142+7</f>
        <v>42986</v>
      </c>
      <c r="D146" s="403" t="s">
        <v>28</v>
      </c>
      <c r="E146" s="51">
        <f>SUM(E147:E149)</f>
        <v>0</v>
      </c>
      <c r="F146" s="51">
        <f>SUM(F147:F149)</f>
        <v>0</v>
      </c>
      <c r="G146" s="103" t="e">
        <f>(E146-F146)/F146</f>
        <v>#DIV/0!</v>
      </c>
      <c r="H146" s="51">
        <f>SUM(H147:H149)</f>
        <v>0</v>
      </c>
      <c r="I146" s="51">
        <f>SUM(I147:I149)</f>
        <v>0</v>
      </c>
      <c r="J146" s="103" t="e">
        <f>(H146-I146)/I146</f>
        <v>#DIV/0!</v>
      </c>
      <c r="K146" s="53" t="e">
        <f>E146/H146</f>
        <v>#DIV/0!</v>
      </c>
      <c r="L146" s="51" t="e">
        <f>F146/I146</f>
        <v>#DIV/0!</v>
      </c>
      <c r="M146" s="103" t="e">
        <f>(K146-L146)/L146</f>
        <v>#DIV/0!</v>
      </c>
      <c r="N146" s="54">
        <f>SUM(N147:N149)</f>
        <v>1</v>
      </c>
      <c r="O146" s="54">
        <f>SUM(O147:O149)</f>
        <v>0</v>
      </c>
      <c r="P146" s="103" t="e">
        <f>(N146-O146)/O146</f>
        <v>#DIV/0!</v>
      </c>
      <c r="Q146" s="54">
        <f>SUM(Q147:Q149)</f>
        <v>0</v>
      </c>
      <c r="R146" s="54">
        <f>SUM(R147:R149)</f>
        <v>0</v>
      </c>
      <c r="S146" s="103" t="e">
        <f>(Q146-R146)/R146</f>
        <v>#DIV/0!</v>
      </c>
      <c r="T146" s="54" t="e">
        <f>E146/Q146</f>
        <v>#DIV/0!</v>
      </c>
      <c r="U146" s="54" t="e">
        <f>F146/R146</f>
        <v>#DIV/0!</v>
      </c>
      <c r="V146" s="103" t="e">
        <f>(T146-U146)/U146</f>
        <v>#DIV/0!</v>
      </c>
      <c r="W146" s="54">
        <f>SUM(W147:W149)</f>
        <v>0</v>
      </c>
      <c r="X146" s="54">
        <f>SUM(X147:X149)</f>
        <v>0</v>
      </c>
      <c r="Y146" s="103" t="e">
        <f>(W146-X146)/X146</f>
        <v>#DIV/0!</v>
      </c>
      <c r="Z146" s="54">
        <f>SUM(Z147:Z149)</f>
        <v>0</v>
      </c>
      <c r="AA146" s="54">
        <f>SUM(AA147:AA149)</f>
        <v>0</v>
      </c>
      <c r="AB146" s="103" t="e">
        <f>(Z146-AA146)/AA146</f>
        <v>#DIV/0!</v>
      </c>
      <c r="AC146" s="82" t="e">
        <f>W146/Z146</f>
        <v>#DIV/0!</v>
      </c>
      <c r="AD146" s="82" t="e">
        <f>X146/AA146</f>
        <v>#DIV/0!</v>
      </c>
      <c r="AE146" s="103" t="e">
        <f t="shared" ref="AE146" si="36">(AC146-AD146)/AD146</f>
        <v>#DIV/0!</v>
      </c>
    </row>
    <row r="147" spans="1:31" s="96" customFormat="1" ht="15.75" customHeight="1" x14ac:dyDescent="0.3">
      <c r="A147" s="279"/>
      <c r="B147" s="279"/>
      <c r="C147" s="280"/>
      <c r="D147" s="280"/>
      <c r="E147" s="281"/>
      <c r="F147" s="281"/>
      <c r="G147" s="404"/>
      <c r="H147" s="283"/>
      <c r="I147" s="283"/>
      <c r="J147" s="404"/>
      <c r="K147" s="283"/>
      <c r="L147" s="281"/>
      <c r="M147" s="404"/>
      <c r="N147" s="284"/>
      <c r="O147" s="284"/>
      <c r="P147" s="404"/>
      <c r="Q147" s="284"/>
      <c r="R147" s="284"/>
      <c r="S147" s="404"/>
      <c r="T147" s="281"/>
      <c r="U147" s="284"/>
      <c r="V147" s="404"/>
      <c r="W147" s="284"/>
      <c r="X147" s="284"/>
      <c r="Y147" s="404"/>
      <c r="Z147" s="284"/>
      <c r="AA147" s="284"/>
      <c r="AB147" s="404"/>
      <c r="AC147" s="286"/>
      <c r="AD147" s="286"/>
      <c r="AE147" s="404"/>
    </row>
    <row r="148" spans="1:31" s="96" customFormat="1" ht="15.75" customHeight="1" x14ac:dyDescent="0.3">
      <c r="A148" s="279"/>
      <c r="B148" s="279"/>
      <c r="C148" s="280"/>
      <c r="D148" s="280"/>
      <c r="E148" s="281"/>
      <c r="F148" s="281"/>
      <c r="G148" s="404"/>
      <c r="H148" s="283"/>
      <c r="I148" s="283"/>
      <c r="J148" s="404"/>
      <c r="K148" s="283"/>
      <c r="L148" s="281"/>
      <c r="M148" s="404"/>
      <c r="N148" s="284"/>
      <c r="O148" s="284"/>
      <c r="P148" s="404"/>
      <c r="Q148" s="284"/>
      <c r="R148" s="284"/>
      <c r="S148" s="404"/>
      <c r="T148" s="281"/>
      <c r="U148" s="284"/>
      <c r="V148" s="404"/>
      <c r="W148" s="284"/>
      <c r="X148" s="284"/>
      <c r="Y148" s="404"/>
      <c r="Z148" s="284"/>
      <c r="AA148" s="284"/>
      <c r="AB148" s="404"/>
      <c r="AC148" s="286"/>
      <c r="AD148" s="286"/>
      <c r="AE148" s="404"/>
    </row>
    <row r="149" spans="1:31" s="96" customFormat="1" ht="15.75" customHeight="1" x14ac:dyDescent="0.3">
      <c r="A149" s="279"/>
      <c r="B149" s="279"/>
      <c r="C149" s="280"/>
      <c r="D149" s="297" t="s">
        <v>274</v>
      </c>
      <c r="E149" s="281"/>
      <c r="F149" s="281"/>
      <c r="G149" s="404"/>
      <c r="H149" s="283"/>
      <c r="I149" s="283"/>
      <c r="J149" s="404"/>
      <c r="K149" s="283"/>
      <c r="L149" s="281"/>
      <c r="M149" s="404"/>
      <c r="N149" s="284">
        <v>1</v>
      </c>
      <c r="O149" s="284">
        <v>0</v>
      </c>
      <c r="P149" s="404"/>
      <c r="Q149" s="284"/>
      <c r="R149" s="284"/>
      <c r="S149" s="404"/>
      <c r="T149" s="281"/>
      <c r="U149" s="284"/>
      <c r="V149" s="404"/>
      <c r="W149" s="284"/>
      <c r="X149" s="284"/>
      <c r="Y149" s="404"/>
      <c r="Z149" s="284"/>
      <c r="AA149" s="284"/>
      <c r="AB149" s="404"/>
      <c r="AC149" s="286"/>
      <c r="AD149" s="286"/>
      <c r="AE149" s="404"/>
    </row>
    <row r="150" spans="1:31" s="81" customFormat="1" ht="15.75" customHeight="1" x14ac:dyDescent="0.3">
      <c r="A150" s="49" t="s">
        <v>73</v>
      </c>
      <c r="B150" s="49" t="s">
        <v>75</v>
      </c>
      <c r="C150" s="50">
        <f>C146+7</f>
        <v>42993</v>
      </c>
      <c r="D150" s="403" t="s">
        <v>28</v>
      </c>
      <c r="E150" s="51">
        <f>SUM(E151:E153)</f>
        <v>0</v>
      </c>
      <c r="F150" s="51">
        <f>SUM(F151:F153)</f>
        <v>0</v>
      </c>
      <c r="G150" s="103" t="e">
        <f>(E150-F150)/F150</f>
        <v>#DIV/0!</v>
      </c>
      <c r="H150" s="51">
        <f>SUM(H151:H153)</f>
        <v>0</v>
      </c>
      <c r="I150" s="51">
        <f>SUM(I151:I153)</f>
        <v>6615.75</v>
      </c>
      <c r="J150" s="103">
        <f>(H150-I150)/I150</f>
        <v>-1</v>
      </c>
      <c r="K150" s="53" t="e">
        <f>E150/H150</f>
        <v>#DIV/0!</v>
      </c>
      <c r="L150" s="51">
        <f>F150/I150</f>
        <v>0</v>
      </c>
      <c r="M150" s="103" t="e">
        <f>(K150-L150)/L150</f>
        <v>#DIV/0!</v>
      </c>
      <c r="N150" s="54">
        <f>SUM(N151:N153)</f>
        <v>0</v>
      </c>
      <c r="O150" s="54">
        <f>SUM(O151:O153)</f>
        <v>3522</v>
      </c>
      <c r="P150" s="103">
        <f>(N150-O150)/O150</f>
        <v>-1</v>
      </c>
      <c r="Q150" s="54">
        <f>SUM(Q151:Q153)</f>
        <v>0</v>
      </c>
      <c r="R150" s="54">
        <f>SUM(R151:R153)</f>
        <v>0</v>
      </c>
      <c r="S150" s="103" t="e">
        <f>(Q150-R150)/R150</f>
        <v>#DIV/0!</v>
      </c>
      <c r="T150" s="54" t="e">
        <f>E150/Q150</f>
        <v>#DIV/0!</v>
      </c>
      <c r="U150" s="54" t="e">
        <f>F150/R150</f>
        <v>#DIV/0!</v>
      </c>
      <c r="V150" s="103" t="e">
        <f>(T150-U150)/U150</f>
        <v>#DIV/0!</v>
      </c>
      <c r="W150" s="54">
        <f>SUM(W151:W153)</f>
        <v>0</v>
      </c>
      <c r="X150" s="54">
        <f>SUM(X151:X153)</f>
        <v>5647</v>
      </c>
      <c r="Y150" s="103">
        <f>(W150-X150)/X150</f>
        <v>-1</v>
      </c>
      <c r="Z150" s="54">
        <f>SUM(Z151:Z153)</f>
        <v>0</v>
      </c>
      <c r="AA150" s="54">
        <f>SUM(AA151:AA153)</f>
        <v>1480414</v>
      </c>
      <c r="AB150" s="103">
        <f>(Z150-AA150)/AA150</f>
        <v>-1</v>
      </c>
      <c r="AC150" s="82" t="e">
        <f>W150/Z150</f>
        <v>#DIV/0!</v>
      </c>
      <c r="AD150" s="82">
        <f>X150/AA150</f>
        <v>3.8144735188940389E-3</v>
      </c>
      <c r="AE150" s="103" t="e">
        <f t="shared" ref="AE150" si="37">(AC150-AD150)/AD150</f>
        <v>#DIV/0!</v>
      </c>
    </row>
    <row r="151" spans="1:31" s="96" customFormat="1" ht="15.75" customHeight="1" x14ac:dyDescent="0.3">
      <c r="A151" s="279"/>
      <c r="B151" s="279"/>
      <c r="C151" s="280"/>
      <c r="D151" s="280"/>
      <c r="E151" s="281"/>
      <c r="F151" s="281"/>
      <c r="G151" s="404"/>
      <c r="H151" s="283"/>
      <c r="I151" s="283"/>
      <c r="J151" s="404"/>
      <c r="K151" s="283"/>
      <c r="L151" s="281"/>
      <c r="M151" s="404"/>
      <c r="N151" s="284"/>
      <c r="O151" s="284"/>
      <c r="P151" s="404"/>
      <c r="Q151" s="284"/>
      <c r="R151" s="284"/>
      <c r="S151" s="404"/>
      <c r="T151" s="281"/>
      <c r="U151" s="284"/>
      <c r="V151" s="404"/>
      <c r="W151" s="284"/>
      <c r="X151" s="284"/>
      <c r="Y151" s="404"/>
      <c r="Z151" s="284"/>
      <c r="AA151" s="284"/>
      <c r="AB151" s="404"/>
      <c r="AC151" s="286"/>
      <c r="AD151" s="286"/>
      <c r="AE151" s="404"/>
    </row>
    <row r="152" spans="1:31" s="96" customFormat="1" ht="15.75" customHeight="1" x14ac:dyDescent="0.3">
      <c r="A152" s="279"/>
      <c r="B152" s="279"/>
      <c r="C152" s="280"/>
      <c r="D152" s="280"/>
      <c r="E152" s="281"/>
      <c r="F152" s="281"/>
      <c r="G152" s="404"/>
      <c r="H152" s="283"/>
      <c r="I152" s="283"/>
      <c r="J152" s="404"/>
      <c r="K152" s="283"/>
      <c r="L152" s="281"/>
      <c r="M152" s="404"/>
      <c r="N152" s="284"/>
      <c r="O152" s="284"/>
      <c r="P152" s="404"/>
      <c r="Q152" s="284"/>
      <c r="R152" s="284"/>
      <c r="S152" s="404"/>
      <c r="T152" s="281"/>
      <c r="U152" s="284"/>
      <c r="V152" s="404"/>
      <c r="W152" s="284"/>
      <c r="X152" s="284"/>
      <c r="Y152" s="404"/>
      <c r="Z152" s="284"/>
      <c r="AA152" s="284"/>
      <c r="AB152" s="404"/>
      <c r="AC152" s="286"/>
      <c r="AD152" s="286"/>
      <c r="AE152" s="404"/>
    </row>
    <row r="153" spans="1:31" s="96" customFormat="1" ht="15.75" customHeight="1" x14ac:dyDescent="0.3">
      <c r="A153" s="279"/>
      <c r="B153" s="279"/>
      <c r="C153" s="280"/>
      <c r="D153" s="297" t="s">
        <v>274</v>
      </c>
      <c r="E153" s="281"/>
      <c r="F153" s="281"/>
      <c r="G153" s="404"/>
      <c r="H153" s="283"/>
      <c r="I153" s="283">
        <v>6615.75</v>
      </c>
      <c r="J153" s="404"/>
      <c r="K153" s="283"/>
      <c r="L153" s="281"/>
      <c r="M153" s="404"/>
      <c r="N153" s="284"/>
      <c r="O153" s="284">
        <v>3522</v>
      </c>
      <c r="P153" s="404"/>
      <c r="Q153" s="284"/>
      <c r="R153" s="284"/>
      <c r="S153" s="404"/>
      <c r="T153" s="281"/>
      <c r="U153" s="284"/>
      <c r="V153" s="404"/>
      <c r="W153" s="284"/>
      <c r="X153" s="284">
        <v>5647</v>
      </c>
      <c r="Y153" s="404"/>
      <c r="Z153" s="284"/>
      <c r="AA153" s="284">
        <v>1480414</v>
      </c>
      <c r="AB153" s="404"/>
      <c r="AC153" s="286"/>
      <c r="AD153" s="286"/>
      <c r="AE153" s="404"/>
    </row>
    <row r="154" spans="1:31" s="81" customFormat="1" ht="15.75" customHeight="1" x14ac:dyDescent="0.3">
      <c r="A154" s="49" t="s">
        <v>73</v>
      </c>
      <c r="B154" s="49" t="s">
        <v>76</v>
      </c>
      <c r="C154" s="50">
        <f>C150+7</f>
        <v>43000</v>
      </c>
      <c r="D154" s="403" t="s">
        <v>28</v>
      </c>
      <c r="E154" s="51">
        <f>SUM(E155:E157)</f>
        <v>0</v>
      </c>
      <c r="F154" s="51">
        <f>SUM(F155:F157)</f>
        <v>180</v>
      </c>
      <c r="G154" s="103">
        <f>(E154-F154)/F154</f>
        <v>-1</v>
      </c>
      <c r="H154" s="51">
        <f>SUM(H155:H157)</f>
        <v>0</v>
      </c>
      <c r="I154" s="51">
        <f>SUM(I155:I157)</f>
        <v>775.54</v>
      </c>
      <c r="J154" s="103">
        <f>(H154-I154)/I154</f>
        <v>-1</v>
      </c>
      <c r="K154" s="53" t="e">
        <f>E154/H154</f>
        <v>#DIV/0!</v>
      </c>
      <c r="L154" s="51">
        <f>F154/I154</f>
        <v>0.23209634577197824</v>
      </c>
      <c r="M154" s="103" t="e">
        <f>(K154-L154)/L154</f>
        <v>#DIV/0!</v>
      </c>
      <c r="N154" s="54">
        <f>SUM(N155:N157)</f>
        <v>0</v>
      </c>
      <c r="O154" s="54">
        <f>SUM(O155:O157)</f>
        <v>513</v>
      </c>
      <c r="P154" s="103">
        <f>(N154-O154)/O154</f>
        <v>-1</v>
      </c>
      <c r="Q154" s="54">
        <f>SUM(Q155:Q157)</f>
        <v>0</v>
      </c>
      <c r="R154" s="54">
        <f>SUM(R155:R157)</f>
        <v>1</v>
      </c>
      <c r="S154" s="103">
        <f>(Q154-R154)/R154</f>
        <v>-1</v>
      </c>
      <c r="T154" s="54" t="e">
        <f>E154/Q154</f>
        <v>#DIV/0!</v>
      </c>
      <c r="U154" s="54">
        <f>F154/R154</f>
        <v>180</v>
      </c>
      <c r="V154" s="103" t="e">
        <f>(T154-U154)/U154</f>
        <v>#DIV/0!</v>
      </c>
      <c r="W154" s="54">
        <f>SUM(W155:W157)</f>
        <v>0</v>
      </c>
      <c r="X154" s="54">
        <f>SUM(X155:X157)</f>
        <v>498</v>
      </c>
      <c r="Y154" s="103">
        <f>(W154-X154)/X154</f>
        <v>-1</v>
      </c>
      <c r="Z154" s="54">
        <f>SUM(Z155:Z157)</f>
        <v>0</v>
      </c>
      <c r="AA154" s="54">
        <f>SUM(AA155:AA157)</f>
        <v>278331</v>
      </c>
      <c r="AB154" s="103">
        <f>(Z154-AA154)/AA154</f>
        <v>-1</v>
      </c>
      <c r="AC154" s="82" t="e">
        <f>W154/Z154</f>
        <v>#DIV/0!</v>
      </c>
      <c r="AD154" s="82">
        <f>X154/AA154</f>
        <v>1.7892365564741261E-3</v>
      </c>
      <c r="AE154" s="103" t="e">
        <f t="shared" ref="AE154" si="38">(AC154-AD154)/AD154</f>
        <v>#DIV/0!</v>
      </c>
    </row>
    <row r="155" spans="1:31" s="96" customFormat="1" ht="15.75" customHeight="1" x14ac:dyDescent="0.3">
      <c r="A155" s="279"/>
      <c r="B155" s="279"/>
      <c r="C155" s="280"/>
      <c r="D155" s="280"/>
      <c r="E155" s="281"/>
      <c r="F155" s="281"/>
      <c r="G155" s="404"/>
      <c r="H155" s="283"/>
      <c r="I155" s="283"/>
      <c r="J155" s="404"/>
      <c r="K155" s="283"/>
      <c r="L155" s="281"/>
      <c r="M155" s="404"/>
      <c r="N155" s="284"/>
      <c r="O155" s="284"/>
      <c r="P155" s="404"/>
      <c r="Q155" s="284"/>
      <c r="R155" s="284"/>
      <c r="S155" s="404"/>
      <c r="T155" s="281"/>
      <c r="U155" s="284"/>
      <c r="V155" s="404"/>
      <c r="W155" s="284"/>
      <c r="X155" s="284"/>
      <c r="Y155" s="404"/>
      <c r="Z155" s="284"/>
      <c r="AA155" s="284"/>
      <c r="AB155" s="404"/>
      <c r="AC155" s="286"/>
      <c r="AD155" s="286"/>
      <c r="AE155" s="404"/>
    </row>
    <row r="156" spans="1:31" s="96" customFormat="1" ht="15.75" customHeight="1" x14ac:dyDescent="0.3">
      <c r="A156" s="279"/>
      <c r="B156" s="279"/>
      <c r="C156" s="280"/>
      <c r="D156" s="280"/>
      <c r="E156" s="281"/>
      <c r="F156" s="281"/>
      <c r="G156" s="404"/>
      <c r="H156" s="283"/>
      <c r="I156" s="283"/>
      <c r="J156" s="404"/>
      <c r="K156" s="283"/>
      <c r="L156" s="281"/>
      <c r="M156" s="404"/>
      <c r="N156" s="284"/>
      <c r="O156" s="284"/>
      <c r="P156" s="404"/>
      <c r="Q156" s="284"/>
      <c r="R156" s="284"/>
      <c r="S156" s="404"/>
      <c r="T156" s="281"/>
      <c r="U156" s="284"/>
      <c r="V156" s="404"/>
      <c r="W156" s="284"/>
      <c r="X156" s="284"/>
      <c r="Y156" s="404"/>
      <c r="Z156" s="284"/>
      <c r="AA156" s="284"/>
      <c r="AB156" s="404"/>
      <c r="AC156" s="286"/>
      <c r="AD156" s="286"/>
      <c r="AE156" s="404"/>
    </row>
    <row r="157" spans="1:31" s="96" customFormat="1" ht="15.75" customHeight="1" x14ac:dyDescent="0.3">
      <c r="A157" s="279"/>
      <c r="B157" s="279"/>
      <c r="C157" s="280"/>
      <c r="D157" s="297" t="s">
        <v>274</v>
      </c>
      <c r="E157" s="281"/>
      <c r="F157" s="281">
        <v>180</v>
      </c>
      <c r="G157" s="404"/>
      <c r="H157" s="283"/>
      <c r="I157" s="283">
        <v>775.54</v>
      </c>
      <c r="J157" s="404"/>
      <c r="K157" s="283"/>
      <c r="L157" s="281"/>
      <c r="M157" s="404"/>
      <c r="N157" s="284"/>
      <c r="O157" s="284">
        <v>513</v>
      </c>
      <c r="P157" s="404"/>
      <c r="Q157" s="284"/>
      <c r="R157" s="284">
        <v>1</v>
      </c>
      <c r="S157" s="404"/>
      <c r="T157" s="281"/>
      <c r="U157" s="284"/>
      <c r="V157" s="404"/>
      <c r="W157" s="284"/>
      <c r="X157" s="284">
        <v>498</v>
      </c>
      <c r="Y157" s="404"/>
      <c r="Z157" s="284"/>
      <c r="AA157" s="284">
        <v>278331</v>
      </c>
      <c r="AB157" s="404"/>
      <c r="AC157" s="286"/>
      <c r="AD157" s="286"/>
      <c r="AE157" s="404"/>
    </row>
    <row r="158" spans="1:31" s="81" customFormat="1" ht="15.75" customHeight="1" x14ac:dyDescent="0.3">
      <c r="A158" s="49" t="s">
        <v>73</v>
      </c>
      <c r="B158" s="49" t="s">
        <v>77</v>
      </c>
      <c r="C158" s="50">
        <f>C154+7</f>
        <v>43007</v>
      </c>
      <c r="D158" s="403" t="s">
        <v>28</v>
      </c>
      <c r="E158" s="51">
        <f>SUM(E159:E161)</f>
        <v>0</v>
      </c>
      <c r="F158" s="51">
        <f>SUM(F159:F161)</f>
        <v>0</v>
      </c>
      <c r="G158" s="103" t="e">
        <f>(E158-F158)/F158</f>
        <v>#DIV/0!</v>
      </c>
      <c r="H158" s="51">
        <f>SUM(H159:H161)</f>
        <v>0</v>
      </c>
      <c r="I158" s="51">
        <f>SUM(I159:I161)</f>
        <v>0</v>
      </c>
      <c r="J158" s="103" t="e">
        <f>(H158-I158)/I158</f>
        <v>#DIV/0!</v>
      </c>
      <c r="K158" s="53" t="e">
        <f>E158/H158</f>
        <v>#DIV/0!</v>
      </c>
      <c r="L158" s="51" t="e">
        <f>F158/I158</f>
        <v>#DIV/0!</v>
      </c>
      <c r="M158" s="103" t="e">
        <f>(K158-L158)/L158</f>
        <v>#DIV/0!</v>
      </c>
      <c r="N158" s="54">
        <f>SUM(N159:N161)</f>
        <v>1</v>
      </c>
      <c r="O158" s="54">
        <f>SUM(O159:O161)</f>
        <v>15</v>
      </c>
      <c r="P158" s="103">
        <f>(N158-O158)/O158</f>
        <v>-0.93333333333333335</v>
      </c>
      <c r="Q158" s="54">
        <f>SUM(Q159:Q161)</f>
        <v>0</v>
      </c>
      <c r="R158" s="54">
        <f>SUM(R159:R161)</f>
        <v>0</v>
      </c>
      <c r="S158" s="103" t="e">
        <f>(Q158-R158)/R158</f>
        <v>#DIV/0!</v>
      </c>
      <c r="T158" s="54" t="e">
        <f>E158/Q158</f>
        <v>#DIV/0!</v>
      </c>
      <c r="U158" s="54" t="e">
        <f>F158/R158</f>
        <v>#DIV/0!</v>
      </c>
      <c r="V158" s="103" t="e">
        <f>(T158-U158)/U158</f>
        <v>#DIV/0!</v>
      </c>
      <c r="W158" s="54">
        <f>SUM(W159:W161)</f>
        <v>0</v>
      </c>
      <c r="X158" s="54">
        <f>SUM(X159:X161)</f>
        <v>0</v>
      </c>
      <c r="Y158" s="103" t="e">
        <f>(W158-X158)/X158</f>
        <v>#DIV/0!</v>
      </c>
      <c r="Z158" s="54">
        <f>SUM(Z159:Z161)</f>
        <v>0</v>
      </c>
      <c r="AA158" s="54">
        <f>SUM(AA159:AA161)</f>
        <v>0</v>
      </c>
      <c r="AB158" s="103" t="e">
        <f>(Z158-AA158)/AA158</f>
        <v>#DIV/0!</v>
      </c>
      <c r="AC158" s="82" t="e">
        <f>W158/Z158</f>
        <v>#DIV/0!</v>
      </c>
      <c r="AD158" s="82" t="e">
        <f>X158/AA158</f>
        <v>#DIV/0!</v>
      </c>
      <c r="AE158" s="103" t="e">
        <f t="shared" ref="AE158" si="39">(AC158-AD158)/AD158</f>
        <v>#DIV/0!</v>
      </c>
    </row>
    <row r="159" spans="1:31" s="96" customFormat="1" ht="15.75" customHeight="1" x14ac:dyDescent="0.3">
      <c r="A159" s="279"/>
      <c r="B159" s="279"/>
      <c r="C159" s="280"/>
      <c r="D159" s="280"/>
      <c r="E159" s="281"/>
      <c r="F159" s="281"/>
      <c r="G159" s="404"/>
      <c r="H159" s="281"/>
      <c r="I159" s="281"/>
      <c r="J159" s="404"/>
      <c r="K159" s="283"/>
      <c r="L159" s="281"/>
      <c r="M159" s="404"/>
      <c r="N159" s="284"/>
      <c r="O159" s="284"/>
      <c r="P159" s="404"/>
      <c r="Q159" s="284"/>
      <c r="R159" s="284"/>
      <c r="S159" s="404"/>
      <c r="T159" s="281"/>
      <c r="U159" s="284"/>
      <c r="V159" s="404"/>
      <c r="W159" s="284"/>
      <c r="X159" s="284"/>
      <c r="Y159" s="404"/>
      <c r="Z159" s="284"/>
      <c r="AA159" s="284"/>
      <c r="AB159" s="404"/>
      <c r="AC159" s="286"/>
      <c r="AD159" s="286"/>
      <c r="AE159" s="404"/>
    </row>
    <row r="160" spans="1:31" s="96" customFormat="1" ht="15.75" customHeight="1" x14ac:dyDescent="0.3">
      <c r="A160" s="279"/>
      <c r="B160" s="279"/>
      <c r="C160" s="280"/>
      <c r="D160" s="280"/>
      <c r="E160" s="281"/>
      <c r="F160" s="281"/>
      <c r="G160" s="404"/>
      <c r="H160" s="281"/>
      <c r="I160" s="281"/>
      <c r="J160" s="404"/>
      <c r="K160" s="283"/>
      <c r="L160" s="281"/>
      <c r="M160" s="404"/>
      <c r="N160" s="284"/>
      <c r="O160" s="284"/>
      <c r="P160" s="404"/>
      <c r="Q160" s="284"/>
      <c r="R160" s="284"/>
      <c r="S160" s="404"/>
      <c r="T160" s="281"/>
      <c r="U160" s="284"/>
      <c r="V160" s="404"/>
      <c r="W160" s="284"/>
      <c r="X160" s="284"/>
      <c r="Y160" s="404"/>
      <c r="Z160" s="284"/>
      <c r="AA160" s="284"/>
      <c r="AB160" s="404"/>
      <c r="AC160" s="286"/>
      <c r="AD160" s="286"/>
      <c r="AE160" s="404"/>
    </row>
    <row r="161" spans="1:32" s="357" customFormat="1" ht="15.75" customHeight="1" x14ac:dyDescent="0.3">
      <c r="A161" s="347"/>
      <c r="B161" s="347"/>
      <c r="C161" s="348"/>
      <c r="D161" s="349" t="s">
        <v>274</v>
      </c>
      <c r="E161" s="350">
        <v>0</v>
      </c>
      <c r="F161" s="350"/>
      <c r="G161" s="405"/>
      <c r="H161" s="350">
        <v>0</v>
      </c>
      <c r="I161" s="350"/>
      <c r="J161" s="405"/>
      <c r="K161" s="352"/>
      <c r="L161" s="350"/>
      <c r="M161" s="405"/>
      <c r="N161" s="353">
        <v>1</v>
      </c>
      <c r="O161" s="353">
        <v>15</v>
      </c>
      <c r="P161" s="405"/>
      <c r="Q161" s="353">
        <v>0</v>
      </c>
      <c r="R161" s="353"/>
      <c r="S161" s="405"/>
      <c r="T161" s="350"/>
      <c r="U161" s="353"/>
      <c r="V161" s="405"/>
      <c r="W161" s="353">
        <v>0</v>
      </c>
      <c r="X161" s="353"/>
      <c r="Y161" s="405"/>
      <c r="Z161" s="353">
        <v>0</v>
      </c>
      <c r="AA161" s="353"/>
      <c r="AB161" s="405"/>
      <c r="AC161" s="356"/>
      <c r="AD161" s="356"/>
      <c r="AE161" s="405"/>
    </row>
    <row r="162" spans="1:32" s="81" customFormat="1" ht="15.75" customHeight="1" x14ac:dyDescent="0.3">
      <c r="A162" s="49" t="s">
        <v>78</v>
      </c>
      <c r="B162" s="49" t="s">
        <v>79</v>
      </c>
      <c r="C162" s="50">
        <f>C158+7</f>
        <v>43014</v>
      </c>
      <c r="D162" s="403" t="s">
        <v>28</v>
      </c>
      <c r="E162" s="51">
        <f>SUM(E163:E165)</f>
        <v>0</v>
      </c>
      <c r="F162" s="51">
        <f>SUM(F163:F165)</f>
        <v>0</v>
      </c>
      <c r="G162" s="103" t="e">
        <f>(E162-F162)/F162</f>
        <v>#DIV/0!</v>
      </c>
      <c r="H162" s="51">
        <f>SUM(H163:H165)</f>
        <v>0</v>
      </c>
      <c r="I162" s="51">
        <f>SUM(I163:I165)</f>
        <v>0</v>
      </c>
      <c r="J162" s="103" t="e">
        <f>(H162-I162)/I162</f>
        <v>#DIV/0!</v>
      </c>
      <c r="K162" s="53" t="e">
        <f>E162/H162</f>
        <v>#DIV/0!</v>
      </c>
      <c r="L162" s="51" t="e">
        <f>F162/I162</f>
        <v>#DIV/0!</v>
      </c>
      <c r="M162" s="103" t="e">
        <f>(K162-L162)/L162</f>
        <v>#DIV/0!</v>
      </c>
      <c r="N162" s="54">
        <f>SUM(N163:N165)</f>
        <v>0</v>
      </c>
      <c r="O162" s="54">
        <f>SUM(O163:O165)</f>
        <v>11</v>
      </c>
      <c r="P162" s="103">
        <f>(N162-O162)/O162</f>
        <v>-1</v>
      </c>
      <c r="Q162" s="54">
        <f>SUM(Q163:Q165)</f>
        <v>0</v>
      </c>
      <c r="R162" s="54">
        <f>SUM(R163:R165)</f>
        <v>0</v>
      </c>
      <c r="S162" s="103" t="e">
        <f>(Q162-R162)/R162</f>
        <v>#DIV/0!</v>
      </c>
      <c r="T162" s="54" t="e">
        <f>E162/Q162</f>
        <v>#DIV/0!</v>
      </c>
      <c r="U162" s="54" t="e">
        <f>F162/R162</f>
        <v>#DIV/0!</v>
      </c>
      <c r="V162" s="103" t="e">
        <f>(T162-U162)/U162</f>
        <v>#DIV/0!</v>
      </c>
      <c r="W162" s="54">
        <f>SUM(W163:W165)</f>
        <v>0</v>
      </c>
      <c r="X162" s="54">
        <f>SUM(X163:X165)</f>
        <v>0</v>
      </c>
      <c r="Y162" s="103" t="e">
        <f>(W162-X162)/X162</f>
        <v>#DIV/0!</v>
      </c>
      <c r="Z162" s="54">
        <f>SUM(Z163:Z165)</f>
        <v>0</v>
      </c>
      <c r="AA162" s="54">
        <f>SUM(AA163:AA165)</f>
        <v>0</v>
      </c>
      <c r="AB162" s="103" t="e">
        <f>(Z162-AA162)/AA162</f>
        <v>#DIV/0!</v>
      </c>
      <c r="AC162" s="82" t="e">
        <f>W162/Z162</f>
        <v>#DIV/0!</v>
      </c>
      <c r="AD162" s="82" t="e">
        <f>X162/AA162</f>
        <v>#DIV/0!</v>
      </c>
      <c r="AE162" s="103" t="e">
        <f t="shared" ref="AE162" si="40">(AC162-AD162)/AD162</f>
        <v>#DIV/0!</v>
      </c>
    </row>
    <row r="163" spans="1:32" s="96" customFormat="1" ht="15.75" customHeight="1" x14ac:dyDescent="0.3">
      <c r="A163" s="279"/>
      <c r="B163" s="279"/>
      <c r="C163" s="280"/>
      <c r="D163" s="280"/>
      <c r="E163" s="281"/>
      <c r="F163" s="281"/>
      <c r="G163" s="404"/>
      <c r="H163" s="281"/>
      <c r="I163" s="281"/>
      <c r="J163" s="404"/>
      <c r="K163" s="283"/>
      <c r="L163" s="281"/>
      <c r="M163" s="404"/>
      <c r="N163" s="284"/>
      <c r="O163" s="284"/>
      <c r="P163" s="404"/>
      <c r="Q163" s="284"/>
      <c r="R163" s="284"/>
      <c r="S163" s="404"/>
      <c r="T163" s="281"/>
      <c r="U163" s="284"/>
      <c r="V163" s="404"/>
      <c r="W163" s="284"/>
      <c r="X163" s="284"/>
      <c r="Y163" s="404"/>
      <c r="Z163" s="284"/>
      <c r="AA163" s="284"/>
      <c r="AB163" s="404"/>
      <c r="AC163" s="286"/>
      <c r="AD163" s="286"/>
      <c r="AE163" s="404"/>
    </row>
    <row r="164" spans="1:32" s="96" customFormat="1" ht="15.75" customHeight="1" x14ac:dyDescent="0.3">
      <c r="A164" s="279"/>
      <c r="B164" s="279"/>
      <c r="C164" s="280"/>
      <c r="D164" s="280"/>
      <c r="E164" s="281"/>
      <c r="F164" s="281"/>
      <c r="G164" s="404"/>
      <c r="H164" s="281"/>
      <c r="I164" s="281"/>
      <c r="J164" s="404"/>
      <c r="K164" s="283"/>
      <c r="L164" s="281"/>
      <c r="M164" s="404"/>
      <c r="N164" s="284"/>
      <c r="O164" s="284"/>
      <c r="P164" s="404"/>
      <c r="Q164" s="284"/>
      <c r="R164" s="284"/>
      <c r="S164" s="404"/>
      <c r="T164" s="281"/>
      <c r="U164" s="284"/>
      <c r="V164" s="404"/>
      <c r="W164" s="284"/>
      <c r="X164" s="284"/>
      <c r="Y164" s="404"/>
      <c r="Z164" s="284"/>
      <c r="AA164" s="284"/>
      <c r="AB164" s="404"/>
      <c r="AC164" s="286"/>
      <c r="AD164" s="286"/>
      <c r="AE164" s="404"/>
    </row>
    <row r="165" spans="1:32" s="96" customFormat="1" ht="15.75" customHeight="1" x14ac:dyDescent="0.3">
      <c r="A165" s="279"/>
      <c r="B165" s="279"/>
      <c r="C165" s="280"/>
      <c r="D165" s="297" t="s">
        <v>274</v>
      </c>
      <c r="E165" s="281"/>
      <c r="F165" s="281"/>
      <c r="G165" s="404"/>
      <c r="H165" s="281"/>
      <c r="I165" s="281"/>
      <c r="J165" s="404"/>
      <c r="K165" s="283"/>
      <c r="L165" s="281"/>
      <c r="M165" s="404"/>
      <c r="N165" s="284"/>
      <c r="O165" s="284">
        <v>11</v>
      </c>
      <c r="P165" s="404"/>
      <c r="Q165" s="284"/>
      <c r="R165" s="284"/>
      <c r="S165" s="404"/>
      <c r="T165" s="281"/>
      <c r="U165" s="284"/>
      <c r="V165" s="404"/>
      <c r="W165" s="284"/>
      <c r="X165" s="284"/>
      <c r="Y165" s="404"/>
      <c r="Z165" s="284"/>
      <c r="AA165" s="284"/>
      <c r="AB165" s="404"/>
      <c r="AC165" s="286"/>
      <c r="AD165" s="286"/>
      <c r="AE165" s="404"/>
    </row>
    <row r="166" spans="1:32" s="81" customFormat="1" ht="15.75" customHeight="1" x14ac:dyDescent="0.3">
      <c r="A166" s="49" t="s">
        <v>78</v>
      </c>
      <c r="B166" s="49" t="s">
        <v>80</v>
      </c>
      <c r="C166" s="50">
        <f>C162+7</f>
        <v>43021</v>
      </c>
      <c r="D166" s="403" t="s">
        <v>28</v>
      </c>
      <c r="E166" s="51">
        <f>SUM(E167:E169)</f>
        <v>0</v>
      </c>
      <c r="F166" s="51">
        <f>SUM(F167:F169)</f>
        <v>0</v>
      </c>
      <c r="G166" s="103" t="e">
        <f>(E166-F166)/F166</f>
        <v>#DIV/0!</v>
      </c>
      <c r="H166" s="51">
        <f>SUM(H167:H169)</f>
        <v>0</v>
      </c>
      <c r="I166" s="51">
        <f>SUM(I167:I169)</f>
        <v>0</v>
      </c>
      <c r="J166" s="103" t="e">
        <f>(H166-I166)/I166</f>
        <v>#DIV/0!</v>
      </c>
      <c r="K166" s="53" t="e">
        <f>E166/H166</f>
        <v>#DIV/0!</v>
      </c>
      <c r="L166" s="51" t="e">
        <f>F166/I166</f>
        <v>#DIV/0!</v>
      </c>
      <c r="M166" s="103" t="e">
        <f>(K166-L166)/L166</f>
        <v>#DIV/0!</v>
      </c>
      <c r="N166" s="54">
        <f>SUM(N167:N169)</f>
        <v>0</v>
      </c>
      <c r="O166" s="54">
        <f>SUM(O167:O169)</f>
        <v>8</v>
      </c>
      <c r="P166" s="103">
        <f>(N166-O166)/O166</f>
        <v>-1</v>
      </c>
      <c r="Q166" s="54">
        <f>SUM(Q167:Q169)</f>
        <v>0</v>
      </c>
      <c r="R166" s="54">
        <f>SUM(R167:R169)</f>
        <v>0</v>
      </c>
      <c r="S166" s="103" t="e">
        <f>(Q166-R166)/R166</f>
        <v>#DIV/0!</v>
      </c>
      <c r="T166" s="54" t="e">
        <f>E166/Q166</f>
        <v>#DIV/0!</v>
      </c>
      <c r="U166" s="54" t="e">
        <f>F166/R166</f>
        <v>#DIV/0!</v>
      </c>
      <c r="V166" s="103" t="e">
        <f>(T166-U166)/U166</f>
        <v>#DIV/0!</v>
      </c>
      <c r="W166" s="54">
        <f>SUM(W167:W169)</f>
        <v>0</v>
      </c>
      <c r="X166" s="54">
        <f>SUM(X167:X169)</f>
        <v>0</v>
      </c>
      <c r="Y166" s="103" t="e">
        <f>(W166-X166)/X166</f>
        <v>#DIV/0!</v>
      </c>
      <c r="Z166" s="54">
        <f>SUM(Z167:Z169)</f>
        <v>0</v>
      </c>
      <c r="AA166" s="54">
        <f>SUM(AA167:AA169)</f>
        <v>0</v>
      </c>
      <c r="AB166" s="103" t="e">
        <f>(Z166-AA166)/AA166</f>
        <v>#DIV/0!</v>
      </c>
      <c r="AC166" s="82" t="e">
        <f>W166/Z166</f>
        <v>#DIV/0!</v>
      </c>
      <c r="AD166" s="82" t="e">
        <f>X166/AA166</f>
        <v>#DIV/0!</v>
      </c>
      <c r="AE166" s="103" t="e">
        <f t="shared" ref="AE166" si="41">(AC166-AD166)/AD166</f>
        <v>#DIV/0!</v>
      </c>
      <c r="AF166" s="68"/>
    </row>
    <row r="167" spans="1:32" s="96" customFormat="1" ht="15.75" customHeight="1" x14ac:dyDescent="0.3">
      <c r="A167" s="279"/>
      <c r="B167" s="279"/>
      <c r="C167" s="280"/>
      <c r="D167" s="280"/>
      <c r="E167" s="281"/>
      <c r="F167" s="281"/>
      <c r="G167" s="404"/>
      <c r="H167" s="281"/>
      <c r="I167" s="281"/>
      <c r="J167" s="404"/>
      <c r="K167" s="283"/>
      <c r="L167" s="281"/>
      <c r="M167" s="404"/>
      <c r="N167" s="284"/>
      <c r="O167" s="284"/>
      <c r="P167" s="404"/>
      <c r="Q167" s="284"/>
      <c r="R167" s="284"/>
      <c r="S167" s="404"/>
      <c r="T167" s="281"/>
      <c r="U167" s="284"/>
      <c r="V167" s="404"/>
      <c r="W167" s="284"/>
      <c r="X167" s="284"/>
      <c r="Y167" s="404"/>
      <c r="Z167" s="284"/>
      <c r="AA167" s="284"/>
      <c r="AB167" s="404"/>
      <c r="AC167" s="286"/>
      <c r="AD167" s="286"/>
      <c r="AE167" s="404"/>
      <c r="AF167" s="86"/>
    </row>
    <row r="168" spans="1:32" s="96" customFormat="1" ht="15.75" customHeight="1" x14ac:dyDescent="0.3">
      <c r="A168" s="279"/>
      <c r="B168" s="279"/>
      <c r="C168" s="280"/>
      <c r="D168" s="280"/>
      <c r="E168" s="281"/>
      <c r="F168" s="281"/>
      <c r="G168" s="404"/>
      <c r="H168" s="281"/>
      <c r="I168" s="281"/>
      <c r="J168" s="404"/>
      <c r="K168" s="283"/>
      <c r="L168" s="281"/>
      <c r="M168" s="404"/>
      <c r="N168" s="284"/>
      <c r="O168" s="284"/>
      <c r="P168" s="404"/>
      <c r="Q168" s="284"/>
      <c r="R168" s="284"/>
      <c r="S168" s="404"/>
      <c r="T168" s="281"/>
      <c r="U168" s="284"/>
      <c r="V168" s="404"/>
      <c r="W168" s="284"/>
      <c r="X168" s="284"/>
      <c r="Y168" s="404"/>
      <c r="Z168" s="284"/>
      <c r="AA168" s="284"/>
      <c r="AB168" s="404"/>
      <c r="AC168" s="286"/>
      <c r="AD168" s="286"/>
      <c r="AE168" s="404"/>
      <c r="AF168" s="86"/>
    </row>
    <row r="169" spans="1:32" s="96" customFormat="1" ht="15.75" customHeight="1" x14ac:dyDescent="0.3">
      <c r="A169" s="279"/>
      <c r="B169" s="279"/>
      <c r="C169" s="280"/>
      <c r="D169" s="297" t="s">
        <v>274</v>
      </c>
      <c r="E169" s="281"/>
      <c r="F169" s="281"/>
      <c r="G169" s="404"/>
      <c r="H169" s="281"/>
      <c r="I169" s="281"/>
      <c r="J169" s="404"/>
      <c r="K169" s="283"/>
      <c r="L169" s="281"/>
      <c r="M169" s="404"/>
      <c r="N169" s="284"/>
      <c r="O169" s="284">
        <v>8</v>
      </c>
      <c r="P169" s="404"/>
      <c r="Q169" s="284"/>
      <c r="R169" s="284"/>
      <c r="S169" s="404"/>
      <c r="T169" s="281"/>
      <c r="U169" s="284"/>
      <c r="V169" s="404"/>
      <c r="W169" s="284"/>
      <c r="X169" s="284"/>
      <c r="Y169" s="404"/>
      <c r="Z169" s="284"/>
      <c r="AA169" s="284"/>
      <c r="AB169" s="404"/>
      <c r="AC169" s="286"/>
      <c r="AD169" s="286"/>
      <c r="AE169" s="404"/>
      <c r="AF169" s="86"/>
    </row>
    <row r="170" spans="1:32" s="81" customFormat="1" ht="15.75" customHeight="1" x14ac:dyDescent="0.3">
      <c r="A170" s="49" t="s">
        <v>78</v>
      </c>
      <c r="B170" s="49" t="s">
        <v>81</v>
      </c>
      <c r="C170" s="50">
        <f>C166+7</f>
        <v>43028</v>
      </c>
      <c r="D170" s="403" t="s">
        <v>28</v>
      </c>
      <c r="E170" s="51">
        <f>SUM(E171:E173)</f>
        <v>0</v>
      </c>
      <c r="F170" s="51">
        <f>SUM(F171:F173)</f>
        <v>0</v>
      </c>
      <c r="G170" s="103" t="e">
        <f>(E170-F170)/F170</f>
        <v>#DIV/0!</v>
      </c>
      <c r="H170" s="51">
        <f>SUM(H171:H173)</f>
        <v>0</v>
      </c>
      <c r="I170" s="51">
        <f>SUM(I171:I173)</f>
        <v>0</v>
      </c>
      <c r="J170" s="103" t="e">
        <f>(H170-I170)/I170</f>
        <v>#DIV/0!</v>
      </c>
      <c r="K170" s="53" t="e">
        <f>E170/H170</f>
        <v>#DIV/0!</v>
      </c>
      <c r="L170" s="51" t="e">
        <f>F170/I170</f>
        <v>#DIV/0!</v>
      </c>
      <c r="M170" s="103" t="e">
        <f>(K170-L170)/L170</f>
        <v>#DIV/0!</v>
      </c>
      <c r="N170" s="54">
        <f>SUM(N171:N173)</f>
        <v>0</v>
      </c>
      <c r="O170" s="54">
        <f>SUM(O171:O173)</f>
        <v>8</v>
      </c>
      <c r="P170" s="103">
        <f>(N170-O170)/O170</f>
        <v>-1</v>
      </c>
      <c r="Q170" s="54">
        <f>SUM(Q171:Q173)</f>
        <v>0</v>
      </c>
      <c r="R170" s="54">
        <f>SUM(R171:R173)</f>
        <v>0</v>
      </c>
      <c r="S170" s="103" t="e">
        <f>(Q170-R170)/R170</f>
        <v>#DIV/0!</v>
      </c>
      <c r="T170" s="54" t="e">
        <f>E170/Q170</f>
        <v>#DIV/0!</v>
      </c>
      <c r="U170" s="54" t="e">
        <f>F170/R170</f>
        <v>#DIV/0!</v>
      </c>
      <c r="V170" s="103" t="e">
        <f>(T170-U170)/U170</f>
        <v>#DIV/0!</v>
      </c>
      <c r="W170" s="54">
        <f>SUM(W171:W173)</f>
        <v>0</v>
      </c>
      <c r="X170" s="54">
        <f>SUM(X171:X173)</f>
        <v>0</v>
      </c>
      <c r="Y170" s="103" t="e">
        <f>(W170-X170)/X170</f>
        <v>#DIV/0!</v>
      </c>
      <c r="Z170" s="54">
        <f>SUM(Z171:Z173)</f>
        <v>0</v>
      </c>
      <c r="AA170" s="54">
        <f>SUM(AA171:AA173)</f>
        <v>0</v>
      </c>
      <c r="AB170" s="103" t="e">
        <f>(Z170-AA170)/AA170</f>
        <v>#DIV/0!</v>
      </c>
      <c r="AC170" s="82" t="e">
        <f>W170/Z170</f>
        <v>#DIV/0!</v>
      </c>
      <c r="AD170" s="82" t="e">
        <f>X170/AA170</f>
        <v>#DIV/0!</v>
      </c>
      <c r="AE170" s="103" t="e">
        <f t="shared" ref="AE170" si="42">(AC170-AD170)/AD170</f>
        <v>#DIV/0!</v>
      </c>
      <c r="AF170" s="68"/>
    </row>
    <row r="171" spans="1:32" s="96" customFormat="1" ht="15.75" customHeight="1" x14ac:dyDescent="0.3">
      <c r="A171" s="279"/>
      <c r="B171" s="279"/>
      <c r="C171" s="280"/>
      <c r="D171" s="280"/>
      <c r="E171" s="281"/>
      <c r="F171" s="281"/>
      <c r="G171" s="404"/>
      <c r="H171" s="281"/>
      <c r="I171" s="281"/>
      <c r="J171" s="404"/>
      <c r="K171" s="283"/>
      <c r="L171" s="281"/>
      <c r="M171" s="404"/>
      <c r="N171" s="284"/>
      <c r="O171" s="284"/>
      <c r="P171" s="404"/>
      <c r="Q171" s="284"/>
      <c r="R171" s="284"/>
      <c r="S171" s="404"/>
      <c r="T171" s="281"/>
      <c r="U171" s="284"/>
      <c r="V171" s="404"/>
      <c r="W171" s="284"/>
      <c r="X171" s="284"/>
      <c r="Y171" s="404"/>
      <c r="Z171" s="284"/>
      <c r="AA171" s="284"/>
      <c r="AB171" s="404"/>
      <c r="AC171" s="286"/>
      <c r="AD171" s="286"/>
      <c r="AE171" s="404"/>
      <c r="AF171" s="86"/>
    </row>
    <row r="172" spans="1:32" s="96" customFormat="1" ht="15.75" customHeight="1" x14ac:dyDescent="0.3">
      <c r="A172" s="279"/>
      <c r="B172" s="279"/>
      <c r="C172" s="280"/>
      <c r="D172" s="280"/>
      <c r="E172" s="281"/>
      <c r="F172" s="281"/>
      <c r="G172" s="404"/>
      <c r="H172" s="281"/>
      <c r="I172" s="281"/>
      <c r="J172" s="404"/>
      <c r="K172" s="283"/>
      <c r="L172" s="281"/>
      <c r="M172" s="404"/>
      <c r="N172" s="284"/>
      <c r="O172" s="284"/>
      <c r="P172" s="404"/>
      <c r="Q172" s="284"/>
      <c r="R172" s="284"/>
      <c r="S172" s="404"/>
      <c r="T172" s="281"/>
      <c r="U172" s="284"/>
      <c r="V172" s="404"/>
      <c r="W172" s="284"/>
      <c r="X172" s="284"/>
      <c r="Y172" s="404"/>
      <c r="Z172" s="284"/>
      <c r="AA172" s="284"/>
      <c r="AB172" s="404"/>
      <c r="AC172" s="286"/>
      <c r="AD172" s="286"/>
      <c r="AE172" s="404"/>
      <c r="AF172" s="86"/>
    </row>
    <row r="173" spans="1:32" s="96" customFormat="1" ht="15.75" customHeight="1" x14ac:dyDescent="0.3">
      <c r="A173" s="279"/>
      <c r="B173" s="279"/>
      <c r="C173" s="280"/>
      <c r="D173" s="297" t="s">
        <v>274</v>
      </c>
      <c r="E173" s="281"/>
      <c r="F173" s="281"/>
      <c r="G173" s="404"/>
      <c r="H173" s="281"/>
      <c r="I173" s="281"/>
      <c r="J173" s="404"/>
      <c r="K173" s="283"/>
      <c r="L173" s="281"/>
      <c r="M173" s="404"/>
      <c r="N173" s="284"/>
      <c r="O173" s="284">
        <v>8</v>
      </c>
      <c r="P173" s="404"/>
      <c r="Q173" s="284"/>
      <c r="R173" s="284"/>
      <c r="S173" s="404"/>
      <c r="T173" s="281"/>
      <c r="U173" s="284"/>
      <c r="V173" s="404"/>
      <c r="W173" s="284"/>
      <c r="X173" s="284"/>
      <c r="Y173" s="404"/>
      <c r="Z173" s="284"/>
      <c r="AA173" s="284"/>
      <c r="AB173" s="404"/>
      <c r="AC173" s="286"/>
      <c r="AD173" s="286"/>
      <c r="AE173" s="404"/>
      <c r="AF173" s="86"/>
    </row>
    <row r="174" spans="1:32" s="81" customFormat="1" ht="15.75" customHeight="1" x14ac:dyDescent="0.3">
      <c r="A174" s="49" t="s">
        <v>78</v>
      </c>
      <c r="B174" s="49" t="s">
        <v>82</v>
      </c>
      <c r="C174" s="50">
        <f>C170+7</f>
        <v>43035</v>
      </c>
      <c r="D174" s="403" t="s">
        <v>28</v>
      </c>
      <c r="E174" s="51">
        <f>SUM(E175:E177)</f>
        <v>0</v>
      </c>
      <c r="F174" s="51">
        <f>SUM(F175:F177)</f>
        <v>0</v>
      </c>
      <c r="G174" s="103" t="e">
        <f>(E174-F174)/F174</f>
        <v>#DIV/0!</v>
      </c>
      <c r="H174" s="51">
        <f>SUM(H175:H177)</f>
        <v>0</v>
      </c>
      <c r="I174" s="51">
        <f>SUM(I175:I177)</f>
        <v>0</v>
      </c>
      <c r="J174" s="103" t="e">
        <f>(H174-I174)/I174</f>
        <v>#DIV/0!</v>
      </c>
      <c r="K174" s="53" t="e">
        <f>E174/H174</f>
        <v>#DIV/0!</v>
      </c>
      <c r="L174" s="51" t="e">
        <f>F174/I174</f>
        <v>#DIV/0!</v>
      </c>
      <c r="M174" s="103" t="e">
        <f>(K174-L174)/L174</f>
        <v>#DIV/0!</v>
      </c>
      <c r="N174" s="54">
        <f>SUM(N175:N177)</f>
        <v>0</v>
      </c>
      <c r="O174" s="54">
        <f>SUM(O175:O177)</f>
        <v>6</v>
      </c>
      <c r="P174" s="103">
        <f>(N174-O174)/O174</f>
        <v>-1</v>
      </c>
      <c r="Q174" s="54">
        <f>SUM(Q175:Q177)</f>
        <v>0</v>
      </c>
      <c r="R174" s="54">
        <f>SUM(R175:R177)</f>
        <v>0</v>
      </c>
      <c r="S174" s="103" t="e">
        <f>(Q174-R174)/R174</f>
        <v>#DIV/0!</v>
      </c>
      <c r="T174" s="54" t="e">
        <f>E174/Q174</f>
        <v>#DIV/0!</v>
      </c>
      <c r="U174" s="54" t="e">
        <f>F174/R174</f>
        <v>#DIV/0!</v>
      </c>
      <c r="V174" s="103" t="e">
        <f>(T174-U174)/U174</f>
        <v>#DIV/0!</v>
      </c>
      <c r="W174" s="54">
        <f>SUM(W175:W177)</f>
        <v>0</v>
      </c>
      <c r="X174" s="54">
        <f>SUM(X175:X177)</f>
        <v>0</v>
      </c>
      <c r="Y174" s="103" t="e">
        <f>(W174-X174)/X174</f>
        <v>#DIV/0!</v>
      </c>
      <c r="Z174" s="54">
        <f>SUM(Z175:Z177)</f>
        <v>0</v>
      </c>
      <c r="AA174" s="54">
        <f>SUM(AA175:AA177)</f>
        <v>0</v>
      </c>
      <c r="AB174" s="103" t="e">
        <f>(Z174-AA174)/AA174</f>
        <v>#DIV/0!</v>
      </c>
      <c r="AC174" s="82" t="e">
        <f>W174/Z174</f>
        <v>#DIV/0!</v>
      </c>
      <c r="AD174" s="82" t="e">
        <f>X174/AA174</f>
        <v>#DIV/0!</v>
      </c>
      <c r="AE174" s="103" t="e">
        <f t="shared" ref="AE174" si="43">(AC174-AD174)/AD174</f>
        <v>#DIV/0!</v>
      </c>
      <c r="AF174" s="68"/>
    </row>
    <row r="175" spans="1:32" s="96" customFormat="1" ht="15.75" customHeight="1" x14ac:dyDescent="0.3">
      <c r="A175" s="279"/>
      <c r="B175" s="279"/>
      <c r="C175" s="280"/>
      <c r="D175" s="280"/>
      <c r="E175" s="281"/>
      <c r="F175" s="281"/>
      <c r="G175" s="404"/>
      <c r="H175" s="281"/>
      <c r="I175" s="281"/>
      <c r="J175" s="404"/>
      <c r="K175" s="283"/>
      <c r="L175" s="281"/>
      <c r="M175" s="404"/>
      <c r="N175" s="284"/>
      <c r="O175" s="284"/>
      <c r="P175" s="404"/>
      <c r="Q175" s="284"/>
      <c r="R175" s="284"/>
      <c r="S175" s="404"/>
      <c r="T175" s="281"/>
      <c r="U175" s="284"/>
      <c r="V175" s="404"/>
      <c r="W175" s="284"/>
      <c r="X175" s="284"/>
      <c r="Y175" s="404"/>
      <c r="Z175" s="284"/>
      <c r="AA175" s="284"/>
      <c r="AB175" s="404"/>
      <c r="AC175" s="286"/>
      <c r="AD175" s="286"/>
      <c r="AE175" s="404"/>
      <c r="AF175" s="86"/>
    </row>
    <row r="176" spans="1:32" s="96" customFormat="1" ht="15.75" customHeight="1" x14ac:dyDescent="0.3">
      <c r="A176" s="279"/>
      <c r="B176" s="279"/>
      <c r="C176" s="280"/>
      <c r="D176" s="280"/>
      <c r="E176" s="281"/>
      <c r="F176" s="281"/>
      <c r="G176" s="404"/>
      <c r="H176" s="281"/>
      <c r="I176" s="281"/>
      <c r="J176" s="404"/>
      <c r="K176" s="283"/>
      <c r="L176" s="281"/>
      <c r="M176" s="404"/>
      <c r="N176" s="284"/>
      <c r="O176" s="284"/>
      <c r="P176" s="404"/>
      <c r="Q176" s="284"/>
      <c r="R176" s="284"/>
      <c r="S176" s="404"/>
      <c r="T176" s="281"/>
      <c r="U176" s="284"/>
      <c r="V176" s="404"/>
      <c r="W176" s="284"/>
      <c r="X176" s="284"/>
      <c r="Y176" s="404"/>
      <c r="Z176" s="284"/>
      <c r="AA176" s="284"/>
      <c r="AB176" s="404"/>
      <c r="AC176" s="286"/>
      <c r="AD176" s="286"/>
      <c r="AE176" s="404"/>
      <c r="AF176" s="86"/>
    </row>
    <row r="177" spans="1:32" s="357" customFormat="1" ht="15.75" customHeight="1" x14ac:dyDescent="0.3">
      <c r="A177" s="347"/>
      <c r="B177" s="347"/>
      <c r="C177" s="348"/>
      <c r="D177" s="349" t="s">
        <v>274</v>
      </c>
      <c r="E177" s="350"/>
      <c r="F177" s="350"/>
      <c r="G177" s="405"/>
      <c r="H177" s="350"/>
      <c r="I177" s="350"/>
      <c r="J177" s="405"/>
      <c r="K177" s="352"/>
      <c r="L177" s="350"/>
      <c r="M177" s="405"/>
      <c r="N177" s="353"/>
      <c r="O177" s="353">
        <v>6</v>
      </c>
      <c r="P177" s="405"/>
      <c r="Q177" s="353"/>
      <c r="R177" s="353"/>
      <c r="S177" s="405"/>
      <c r="T177" s="350"/>
      <c r="U177" s="353"/>
      <c r="V177" s="405"/>
      <c r="W177" s="353"/>
      <c r="X177" s="353"/>
      <c r="Y177" s="405"/>
      <c r="Z177" s="353"/>
      <c r="AA177" s="353"/>
      <c r="AB177" s="405"/>
      <c r="AC177" s="356"/>
      <c r="AD177" s="356"/>
      <c r="AE177" s="405"/>
      <c r="AF177" s="355"/>
    </row>
    <row r="178" spans="1:32" s="81" customFormat="1" ht="15.75" customHeight="1" x14ac:dyDescent="0.3">
      <c r="A178" s="49" t="s">
        <v>83</v>
      </c>
      <c r="B178" s="49" t="s">
        <v>84</v>
      </c>
      <c r="C178" s="50">
        <f>C174+7</f>
        <v>43042</v>
      </c>
      <c r="D178" s="403" t="s">
        <v>28</v>
      </c>
      <c r="E178" s="51">
        <f>SUM(E179:E181)</f>
        <v>0</v>
      </c>
      <c r="F178" s="51">
        <f>SUM(F179:F181)</f>
        <v>0</v>
      </c>
      <c r="G178" s="103" t="e">
        <f>(E178-F178)/F178</f>
        <v>#DIV/0!</v>
      </c>
      <c r="H178" s="51">
        <f>SUM(H179:H181)</f>
        <v>0</v>
      </c>
      <c r="I178" s="51">
        <f>SUM(I179:I181)</f>
        <v>0</v>
      </c>
      <c r="J178" s="103" t="e">
        <f>(H178-I178)/I178</f>
        <v>#DIV/0!</v>
      </c>
      <c r="K178" s="53" t="e">
        <f>E178/H178</f>
        <v>#DIV/0!</v>
      </c>
      <c r="L178" s="51" t="e">
        <f>F178/I178</f>
        <v>#DIV/0!</v>
      </c>
      <c r="M178" s="103" t="e">
        <f>(K178-L178)/L178</f>
        <v>#DIV/0!</v>
      </c>
      <c r="N178" s="54">
        <f>SUM(N179:N181)</f>
        <v>0</v>
      </c>
      <c r="O178" s="54">
        <f>SUM(O179:O181)</f>
        <v>7</v>
      </c>
      <c r="P178" s="103">
        <f>(N178-O178)/O178</f>
        <v>-1</v>
      </c>
      <c r="Q178" s="54">
        <f>SUM(Q179:Q181)</f>
        <v>0</v>
      </c>
      <c r="R178" s="54">
        <f>SUM(R179:R181)</f>
        <v>0</v>
      </c>
      <c r="S178" s="103" t="e">
        <f>(Q178-R178)/R178</f>
        <v>#DIV/0!</v>
      </c>
      <c r="T178" s="54" t="e">
        <f>E178/Q178</f>
        <v>#DIV/0!</v>
      </c>
      <c r="U178" s="54" t="e">
        <f>F178/R178</f>
        <v>#DIV/0!</v>
      </c>
      <c r="V178" s="103" t="e">
        <f>(T178-U178)/U178</f>
        <v>#DIV/0!</v>
      </c>
      <c r="W178" s="54">
        <f>SUM(W179:W181)</f>
        <v>0</v>
      </c>
      <c r="X178" s="54">
        <f>SUM(X179:X181)</f>
        <v>0</v>
      </c>
      <c r="Y178" s="103" t="e">
        <f>(W178-X178)/X178</f>
        <v>#DIV/0!</v>
      </c>
      <c r="Z178" s="54">
        <f>SUM(Z179:Z181)</f>
        <v>0</v>
      </c>
      <c r="AA178" s="54">
        <f>SUM(AA179:AA181)</f>
        <v>0</v>
      </c>
      <c r="AB178" s="103" t="e">
        <f>(Z178-AA178)/AA178</f>
        <v>#DIV/0!</v>
      </c>
      <c r="AC178" s="82" t="e">
        <f>W178/Z178</f>
        <v>#DIV/0!</v>
      </c>
      <c r="AD178" s="82" t="e">
        <f>X178/AA178</f>
        <v>#DIV/0!</v>
      </c>
      <c r="AE178" s="103" t="e">
        <f t="shared" ref="AE178" si="44">(AC178-AD178)/AD178</f>
        <v>#DIV/0!</v>
      </c>
    </row>
    <row r="179" spans="1:32" s="96" customFormat="1" ht="15.75" customHeight="1" x14ac:dyDescent="0.3">
      <c r="A179" s="279"/>
      <c r="B179" s="279"/>
      <c r="C179" s="280"/>
      <c r="D179" s="280"/>
      <c r="E179" s="281"/>
      <c r="F179" s="281"/>
      <c r="G179" s="404"/>
      <c r="H179" s="281"/>
      <c r="I179" s="281"/>
      <c r="J179" s="404"/>
      <c r="K179" s="283"/>
      <c r="L179" s="281"/>
      <c r="M179" s="404"/>
      <c r="N179" s="284"/>
      <c r="O179" s="284"/>
      <c r="P179" s="404"/>
      <c r="Q179" s="284"/>
      <c r="R179" s="284"/>
      <c r="S179" s="404"/>
      <c r="T179" s="281"/>
      <c r="U179" s="284"/>
      <c r="V179" s="404"/>
      <c r="W179" s="284"/>
      <c r="X179" s="284"/>
      <c r="Y179" s="404"/>
      <c r="Z179" s="284"/>
      <c r="AA179" s="284"/>
      <c r="AB179" s="404"/>
      <c r="AC179" s="286"/>
      <c r="AD179" s="286"/>
      <c r="AE179" s="404"/>
      <c r="AF179" s="86"/>
    </row>
    <row r="180" spans="1:32" s="96" customFormat="1" ht="15.75" customHeight="1" x14ac:dyDescent="0.3">
      <c r="A180" s="279"/>
      <c r="B180" s="279"/>
      <c r="C180" s="280"/>
      <c r="D180" s="280"/>
      <c r="E180" s="281"/>
      <c r="F180" s="281"/>
      <c r="G180" s="404"/>
      <c r="H180" s="281"/>
      <c r="I180" s="281"/>
      <c r="J180" s="404"/>
      <c r="K180" s="283"/>
      <c r="L180" s="281"/>
      <c r="M180" s="404"/>
      <c r="N180" s="284"/>
      <c r="O180" s="284"/>
      <c r="P180" s="404"/>
      <c r="Q180" s="284"/>
      <c r="R180" s="284"/>
      <c r="S180" s="404"/>
      <c r="T180" s="281"/>
      <c r="U180" s="284"/>
      <c r="V180" s="404"/>
      <c r="W180" s="284"/>
      <c r="X180" s="284"/>
      <c r="Y180" s="404"/>
      <c r="Z180" s="284"/>
      <c r="AA180" s="284"/>
      <c r="AB180" s="404"/>
      <c r="AC180" s="286"/>
      <c r="AD180" s="286"/>
      <c r="AE180" s="404"/>
      <c r="AF180" s="86"/>
    </row>
    <row r="181" spans="1:32" s="96" customFormat="1" ht="15.75" customHeight="1" x14ac:dyDescent="0.3">
      <c r="A181" s="279"/>
      <c r="B181" s="279"/>
      <c r="C181" s="280"/>
      <c r="D181" s="297" t="s">
        <v>274</v>
      </c>
      <c r="E181" s="281"/>
      <c r="F181" s="281"/>
      <c r="G181" s="404"/>
      <c r="H181" s="281"/>
      <c r="I181" s="281"/>
      <c r="J181" s="404"/>
      <c r="K181" s="283"/>
      <c r="L181" s="281"/>
      <c r="M181" s="404"/>
      <c r="N181" s="284"/>
      <c r="O181" s="284">
        <v>7</v>
      </c>
      <c r="P181" s="404"/>
      <c r="Q181" s="284"/>
      <c r="R181" s="284"/>
      <c r="S181" s="404"/>
      <c r="T181" s="281"/>
      <c r="U181" s="284"/>
      <c r="V181" s="404"/>
      <c r="W181" s="284"/>
      <c r="X181" s="284"/>
      <c r="Y181" s="404"/>
      <c r="Z181" s="284"/>
      <c r="AA181" s="284"/>
      <c r="AB181" s="404"/>
      <c r="AC181" s="286"/>
      <c r="AD181" s="286"/>
      <c r="AE181" s="404"/>
      <c r="AF181" s="86"/>
    </row>
    <row r="182" spans="1:32" s="81" customFormat="1" ht="15.75" customHeight="1" x14ac:dyDescent="0.3">
      <c r="A182" s="49" t="s">
        <v>83</v>
      </c>
      <c r="B182" s="49" t="s">
        <v>85</v>
      </c>
      <c r="C182" s="50">
        <f>C178+7</f>
        <v>43049</v>
      </c>
      <c r="D182" s="403" t="s">
        <v>28</v>
      </c>
      <c r="E182" s="51">
        <f>SUM(E183:E185)</f>
        <v>0</v>
      </c>
      <c r="F182" s="51">
        <f>SUM(F183:F185)</f>
        <v>0</v>
      </c>
      <c r="G182" s="103" t="e">
        <f>(E182-F182)/F182</f>
        <v>#DIV/0!</v>
      </c>
      <c r="H182" s="51">
        <f>SUM(H183:H185)</f>
        <v>0</v>
      </c>
      <c r="I182" s="51">
        <f>SUM(I183:I185)</f>
        <v>0</v>
      </c>
      <c r="J182" s="103" t="e">
        <f>(H182-I182)/I182</f>
        <v>#DIV/0!</v>
      </c>
      <c r="K182" s="53" t="e">
        <f>E182/H182</f>
        <v>#DIV/0!</v>
      </c>
      <c r="L182" s="51" t="e">
        <f>F182/I182</f>
        <v>#DIV/0!</v>
      </c>
      <c r="M182" s="103" t="e">
        <f>(K182-L182)/L182</f>
        <v>#DIV/0!</v>
      </c>
      <c r="N182" s="54">
        <f>SUM(N183:N185)</f>
        <v>0</v>
      </c>
      <c r="O182" s="54">
        <f>SUM(O183:O185)</f>
        <v>6</v>
      </c>
      <c r="P182" s="103">
        <f>(N182-O182)/O182</f>
        <v>-1</v>
      </c>
      <c r="Q182" s="54">
        <f>SUM(Q183:Q185)</f>
        <v>0</v>
      </c>
      <c r="R182" s="54">
        <f>SUM(R183:R185)</f>
        <v>0</v>
      </c>
      <c r="S182" s="103" t="e">
        <f>(Q182-R182)/R182</f>
        <v>#DIV/0!</v>
      </c>
      <c r="T182" s="54" t="e">
        <f>E182/Q182</f>
        <v>#DIV/0!</v>
      </c>
      <c r="U182" s="54" t="e">
        <f>F182/R182</f>
        <v>#DIV/0!</v>
      </c>
      <c r="V182" s="103" t="e">
        <f>(T182-U182)/U182</f>
        <v>#DIV/0!</v>
      </c>
      <c r="W182" s="54">
        <f>SUM(W183:W185)</f>
        <v>0</v>
      </c>
      <c r="X182" s="54">
        <f>SUM(X183:X185)</f>
        <v>0</v>
      </c>
      <c r="Y182" s="103" t="e">
        <f>(W182-X182)/X182</f>
        <v>#DIV/0!</v>
      </c>
      <c r="Z182" s="54">
        <f>SUM(Z183:Z185)</f>
        <v>0</v>
      </c>
      <c r="AA182" s="54">
        <f>SUM(AA183:AA185)</f>
        <v>0</v>
      </c>
      <c r="AB182" s="103" t="e">
        <f>(Z182-AA182)/AA182</f>
        <v>#DIV/0!</v>
      </c>
      <c r="AC182" s="82" t="e">
        <f>W182/Z182</f>
        <v>#DIV/0!</v>
      </c>
      <c r="AD182" s="82" t="e">
        <f>X182/AA182</f>
        <v>#DIV/0!</v>
      </c>
      <c r="AE182" s="103" t="e">
        <f t="shared" ref="AE182" si="45">(AC182-AD182)/AD182</f>
        <v>#DIV/0!</v>
      </c>
      <c r="AF182" s="68"/>
    </row>
    <row r="183" spans="1:32" s="96" customFormat="1" ht="15.75" customHeight="1" x14ac:dyDescent="0.3">
      <c r="A183" s="279"/>
      <c r="B183" s="279"/>
      <c r="C183" s="280"/>
      <c r="D183" s="280"/>
      <c r="E183" s="281"/>
      <c r="F183" s="281"/>
      <c r="G183" s="404"/>
      <c r="H183" s="281"/>
      <c r="I183" s="281"/>
      <c r="J183" s="404"/>
      <c r="K183" s="283"/>
      <c r="L183" s="281"/>
      <c r="M183" s="404"/>
      <c r="N183" s="284"/>
      <c r="O183" s="284"/>
      <c r="P183" s="404"/>
      <c r="Q183" s="284"/>
      <c r="R183" s="284"/>
      <c r="S183" s="404"/>
      <c r="T183" s="281"/>
      <c r="U183" s="284"/>
      <c r="V183" s="404"/>
      <c r="W183" s="284"/>
      <c r="X183" s="284"/>
      <c r="Y183" s="404"/>
      <c r="Z183" s="284"/>
      <c r="AA183" s="284"/>
      <c r="AB183" s="404"/>
      <c r="AC183" s="286"/>
      <c r="AD183" s="286"/>
      <c r="AE183" s="404"/>
      <c r="AF183" s="86"/>
    </row>
    <row r="184" spans="1:32" s="96" customFormat="1" ht="15.75" customHeight="1" x14ac:dyDescent="0.3">
      <c r="A184" s="279"/>
      <c r="B184" s="279"/>
      <c r="C184" s="280"/>
      <c r="D184" s="280"/>
      <c r="E184" s="281"/>
      <c r="F184" s="281"/>
      <c r="G184" s="404"/>
      <c r="H184" s="281"/>
      <c r="I184" s="281"/>
      <c r="J184" s="404"/>
      <c r="K184" s="283"/>
      <c r="L184" s="281"/>
      <c r="M184" s="404"/>
      <c r="N184" s="284"/>
      <c r="O184" s="284"/>
      <c r="P184" s="404"/>
      <c r="Q184" s="284"/>
      <c r="R184" s="284"/>
      <c r="S184" s="404"/>
      <c r="T184" s="281"/>
      <c r="U184" s="284"/>
      <c r="V184" s="404"/>
      <c r="W184" s="284"/>
      <c r="X184" s="284"/>
      <c r="Y184" s="404"/>
      <c r="Z184" s="284"/>
      <c r="AA184" s="284"/>
      <c r="AB184" s="404"/>
      <c r="AC184" s="286"/>
      <c r="AD184" s="286"/>
      <c r="AE184" s="404"/>
      <c r="AF184" s="86"/>
    </row>
    <row r="185" spans="1:32" s="96" customFormat="1" ht="15.75" customHeight="1" x14ac:dyDescent="0.3">
      <c r="A185" s="279"/>
      <c r="B185" s="279"/>
      <c r="C185" s="280"/>
      <c r="D185" s="297" t="s">
        <v>274</v>
      </c>
      <c r="E185" s="281"/>
      <c r="F185" s="281"/>
      <c r="G185" s="404"/>
      <c r="H185" s="281"/>
      <c r="I185" s="281"/>
      <c r="J185" s="404"/>
      <c r="K185" s="283"/>
      <c r="L185" s="281"/>
      <c r="M185" s="404"/>
      <c r="N185" s="284"/>
      <c r="O185" s="284">
        <v>6</v>
      </c>
      <c r="P185" s="404"/>
      <c r="Q185" s="284"/>
      <c r="R185" s="284"/>
      <c r="S185" s="404"/>
      <c r="T185" s="281"/>
      <c r="U185" s="284"/>
      <c r="V185" s="404"/>
      <c r="W185" s="284"/>
      <c r="X185" s="284"/>
      <c r="Y185" s="404"/>
      <c r="Z185" s="284"/>
      <c r="AA185" s="284"/>
      <c r="AB185" s="404"/>
      <c r="AC185" s="286"/>
      <c r="AD185" s="286"/>
      <c r="AE185" s="404"/>
      <c r="AF185" s="86"/>
    </row>
    <row r="186" spans="1:32" s="81" customFormat="1" ht="15.75" customHeight="1" x14ac:dyDescent="0.3">
      <c r="A186" s="49" t="s">
        <v>83</v>
      </c>
      <c r="B186" s="49" t="s">
        <v>86</v>
      </c>
      <c r="C186" s="50">
        <f>C182+7</f>
        <v>43056</v>
      </c>
      <c r="D186" s="403" t="s">
        <v>28</v>
      </c>
      <c r="E186" s="51">
        <f>SUM(E187:E189)</f>
        <v>0</v>
      </c>
      <c r="F186" s="51">
        <f>SUM(F187:F189)</f>
        <v>0</v>
      </c>
      <c r="G186" s="103" t="e">
        <f>(E186-F186)/F186</f>
        <v>#DIV/0!</v>
      </c>
      <c r="H186" s="51">
        <f>SUM(H187:H189)</f>
        <v>0</v>
      </c>
      <c r="I186" s="51">
        <f>SUM(I187:I189)</f>
        <v>0</v>
      </c>
      <c r="J186" s="103" t="e">
        <f>(H186-I186)/I186</f>
        <v>#DIV/0!</v>
      </c>
      <c r="K186" s="53" t="e">
        <f>E186/H186</f>
        <v>#DIV/0!</v>
      </c>
      <c r="L186" s="51" t="e">
        <f>F186/I186</f>
        <v>#DIV/0!</v>
      </c>
      <c r="M186" s="103" t="e">
        <f>(K186-L186)/L186</f>
        <v>#DIV/0!</v>
      </c>
      <c r="N186" s="54">
        <f>SUM(N187:N189)</f>
        <v>0</v>
      </c>
      <c r="O186" s="54">
        <f>SUM(O187:O189)</f>
        <v>1</v>
      </c>
      <c r="P186" s="103">
        <f>(N186-O186)/O186</f>
        <v>-1</v>
      </c>
      <c r="Q186" s="54">
        <f>SUM(Q187:Q189)</f>
        <v>0</v>
      </c>
      <c r="R186" s="54">
        <f>SUM(R187:R189)</f>
        <v>0</v>
      </c>
      <c r="S186" s="103" t="e">
        <f>(Q186-R186)/R186</f>
        <v>#DIV/0!</v>
      </c>
      <c r="T186" s="54" t="e">
        <f>E186/Q186</f>
        <v>#DIV/0!</v>
      </c>
      <c r="U186" s="54" t="e">
        <f>F186/R186</f>
        <v>#DIV/0!</v>
      </c>
      <c r="V186" s="103" t="e">
        <f>(T186-U186)/U186</f>
        <v>#DIV/0!</v>
      </c>
      <c r="W186" s="54">
        <f>SUM(W187:W189)</f>
        <v>0</v>
      </c>
      <c r="X186" s="54">
        <f>SUM(X187:X189)</f>
        <v>0</v>
      </c>
      <c r="Y186" s="103" t="e">
        <f>(W186-X186)/X186</f>
        <v>#DIV/0!</v>
      </c>
      <c r="Z186" s="54">
        <f>SUM(Z187:Z189)</f>
        <v>0</v>
      </c>
      <c r="AA186" s="54">
        <f>SUM(AA187:AA189)</f>
        <v>0</v>
      </c>
      <c r="AB186" s="103" t="e">
        <f>(Z186-AA186)/AA186</f>
        <v>#DIV/0!</v>
      </c>
      <c r="AC186" s="82" t="e">
        <f>W186/Z186</f>
        <v>#DIV/0!</v>
      </c>
      <c r="AD186" s="82" t="e">
        <f>X186/AA186</f>
        <v>#DIV/0!</v>
      </c>
      <c r="AE186" s="103" t="e">
        <f t="shared" ref="AE186" si="46">(AC186-AD186)/AD186</f>
        <v>#DIV/0!</v>
      </c>
      <c r="AF186" s="68"/>
    </row>
    <row r="187" spans="1:32" s="96" customFormat="1" ht="15.75" customHeight="1" x14ac:dyDescent="0.3">
      <c r="A187" s="279"/>
      <c r="B187" s="279"/>
      <c r="C187" s="280"/>
      <c r="D187" s="280"/>
      <c r="E187" s="281"/>
      <c r="F187" s="281"/>
      <c r="G187" s="404"/>
      <c r="H187" s="281"/>
      <c r="I187" s="281"/>
      <c r="J187" s="404"/>
      <c r="K187" s="283"/>
      <c r="L187" s="281"/>
      <c r="M187" s="404"/>
      <c r="N187" s="284"/>
      <c r="O187" s="284"/>
      <c r="P187" s="404"/>
      <c r="Q187" s="284"/>
      <c r="R187" s="284"/>
      <c r="S187" s="404"/>
      <c r="T187" s="281"/>
      <c r="U187" s="284"/>
      <c r="V187" s="404"/>
      <c r="W187" s="284"/>
      <c r="X187" s="284"/>
      <c r="Y187" s="404"/>
      <c r="Z187" s="284"/>
      <c r="AA187" s="284"/>
      <c r="AB187" s="404"/>
      <c r="AC187" s="286"/>
      <c r="AD187" s="286"/>
      <c r="AE187" s="404"/>
      <c r="AF187" s="86"/>
    </row>
    <row r="188" spans="1:32" s="96" customFormat="1" ht="15.75" customHeight="1" x14ac:dyDescent="0.3">
      <c r="A188" s="279"/>
      <c r="B188" s="279"/>
      <c r="C188" s="280"/>
      <c r="D188" s="280"/>
      <c r="E188" s="281"/>
      <c r="F188" s="281"/>
      <c r="G188" s="404"/>
      <c r="H188" s="281"/>
      <c r="I188" s="281"/>
      <c r="J188" s="404"/>
      <c r="K188" s="283"/>
      <c r="L188" s="281"/>
      <c r="M188" s="404"/>
      <c r="N188" s="284"/>
      <c r="O188" s="284"/>
      <c r="P188" s="404"/>
      <c r="Q188" s="284"/>
      <c r="R188" s="284"/>
      <c r="S188" s="404"/>
      <c r="T188" s="281"/>
      <c r="U188" s="284"/>
      <c r="V188" s="404"/>
      <c r="W188" s="284"/>
      <c r="X188" s="284"/>
      <c r="Y188" s="404"/>
      <c r="Z188" s="284"/>
      <c r="AA188" s="284"/>
      <c r="AB188" s="404"/>
      <c r="AC188" s="286"/>
      <c r="AD188" s="286"/>
      <c r="AE188" s="404"/>
      <c r="AF188" s="86"/>
    </row>
    <row r="189" spans="1:32" s="96" customFormat="1" ht="15.75" customHeight="1" x14ac:dyDescent="0.3">
      <c r="A189" s="279"/>
      <c r="B189" s="279"/>
      <c r="C189" s="280"/>
      <c r="D189" s="297" t="s">
        <v>274</v>
      </c>
      <c r="E189" s="281"/>
      <c r="F189" s="281"/>
      <c r="G189" s="404"/>
      <c r="H189" s="281"/>
      <c r="I189" s="281"/>
      <c r="J189" s="404"/>
      <c r="K189" s="283"/>
      <c r="L189" s="281"/>
      <c r="M189" s="404"/>
      <c r="N189" s="284"/>
      <c r="O189" s="284">
        <v>1</v>
      </c>
      <c r="P189" s="404"/>
      <c r="Q189" s="284"/>
      <c r="R189" s="284"/>
      <c r="S189" s="404"/>
      <c r="T189" s="281"/>
      <c r="U189" s="284"/>
      <c r="V189" s="404"/>
      <c r="W189" s="284"/>
      <c r="X189" s="284"/>
      <c r="Y189" s="404"/>
      <c r="Z189" s="284"/>
      <c r="AA189" s="284"/>
      <c r="AB189" s="404"/>
      <c r="AC189" s="286"/>
      <c r="AD189" s="286"/>
      <c r="AE189" s="404"/>
      <c r="AF189" s="86"/>
    </row>
    <row r="190" spans="1:32" s="81" customFormat="1" ht="15.75" customHeight="1" x14ac:dyDescent="0.3">
      <c r="A190" s="49" t="s">
        <v>83</v>
      </c>
      <c r="B190" s="49" t="s">
        <v>87</v>
      </c>
      <c r="C190" s="50">
        <f>C186+7</f>
        <v>43063</v>
      </c>
      <c r="D190" s="403" t="s">
        <v>28</v>
      </c>
      <c r="E190" s="51">
        <f>SUM(E191:E193)</f>
        <v>0</v>
      </c>
      <c r="F190" s="51">
        <f>SUM(F191:F193)</f>
        <v>0</v>
      </c>
      <c r="G190" s="103" t="e">
        <f>(E190-F190)/F190</f>
        <v>#DIV/0!</v>
      </c>
      <c r="H190" s="51">
        <f>SUM(H191:H193)</f>
        <v>0</v>
      </c>
      <c r="I190" s="51">
        <f>SUM(I191:I193)</f>
        <v>0</v>
      </c>
      <c r="J190" s="103" t="e">
        <f>(H190-I190)/I190</f>
        <v>#DIV/0!</v>
      </c>
      <c r="K190" s="53" t="e">
        <f>E190/H190</f>
        <v>#DIV/0!</v>
      </c>
      <c r="L190" s="51" t="e">
        <f>F190/I190</f>
        <v>#DIV/0!</v>
      </c>
      <c r="M190" s="103" t="e">
        <f>(K190-L190)/L190</f>
        <v>#DIV/0!</v>
      </c>
      <c r="N190" s="54">
        <f>SUM(N191:N193)</f>
        <v>0</v>
      </c>
      <c r="O190" s="54">
        <f>SUM(O191:O193)</f>
        <v>5</v>
      </c>
      <c r="P190" s="103">
        <f>(N190-O190)/O190</f>
        <v>-1</v>
      </c>
      <c r="Q190" s="54">
        <f>SUM(Q191:Q193)</f>
        <v>0</v>
      </c>
      <c r="R190" s="54">
        <f>SUM(R191:R193)</f>
        <v>0</v>
      </c>
      <c r="S190" s="103" t="e">
        <f>(Q190-R190)/R190</f>
        <v>#DIV/0!</v>
      </c>
      <c r="T190" s="54" t="e">
        <f>E190/Q190</f>
        <v>#DIV/0!</v>
      </c>
      <c r="U190" s="54" t="e">
        <f>F190/R190</f>
        <v>#DIV/0!</v>
      </c>
      <c r="V190" s="103" t="e">
        <f>(T190-U190)/U190</f>
        <v>#DIV/0!</v>
      </c>
      <c r="W190" s="54">
        <f>SUM(W191:W193)</f>
        <v>0</v>
      </c>
      <c r="X190" s="54">
        <f>SUM(X191:X193)</f>
        <v>0</v>
      </c>
      <c r="Y190" s="103" t="e">
        <f>(W190-X190)/X190</f>
        <v>#DIV/0!</v>
      </c>
      <c r="Z190" s="54">
        <f>SUM(Z191:Z193)</f>
        <v>0</v>
      </c>
      <c r="AA190" s="54">
        <f>SUM(AA191:AA193)</f>
        <v>0</v>
      </c>
      <c r="AB190" s="103" t="e">
        <f>(Z190-AA190)/AA190</f>
        <v>#DIV/0!</v>
      </c>
      <c r="AC190" s="82" t="e">
        <f>W190/Z190</f>
        <v>#DIV/0!</v>
      </c>
      <c r="AD190" s="82" t="e">
        <f>X190/AA190</f>
        <v>#DIV/0!</v>
      </c>
      <c r="AE190" s="103" t="e">
        <f t="shared" ref="AE190" si="47">(AC190-AD190)/AD190</f>
        <v>#DIV/0!</v>
      </c>
      <c r="AF190" s="68"/>
    </row>
    <row r="191" spans="1:32" s="96" customFormat="1" ht="15.75" customHeight="1" x14ac:dyDescent="0.3">
      <c r="A191" s="279"/>
      <c r="B191" s="279"/>
      <c r="C191" s="280"/>
      <c r="D191" s="280"/>
      <c r="E191" s="281"/>
      <c r="F191" s="281"/>
      <c r="G191" s="404"/>
      <c r="H191" s="281"/>
      <c r="I191" s="281"/>
      <c r="J191" s="404"/>
      <c r="K191" s="283"/>
      <c r="L191" s="281"/>
      <c r="M191" s="404"/>
      <c r="N191" s="284"/>
      <c r="O191" s="284"/>
      <c r="P191" s="404"/>
      <c r="Q191" s="284"/>
      <c r="R191" s="284"/>
      <c r="S191" s="404"/>
      <c r="T191" s="281"/>
      <c r="U191" s="284"/>
      <c r="V191" s="404"/>
      <c r="W191" s="284"/>
      <c r="X191" s="284"/>
      <c r="Y191" s="404"/>
      <c r="Z191" s="284"/>
      <c r="AA191" s="284"/>
      <c r="AB191" s="404"/>
      <c r="AC191" s="286"/>
      <c r="AD191" s="286"/>
      <c r="AE191" s="404"/>
      <c r="AF191" s="86"/>
    </row>
    <row r="192" spans="1:32" s="96" customFormat="1" ht="15.75" customHeight="1" x14ac:dyDescent="0.3">
      <c r="A192" s="279"/>
      <c r="B192" s="279"/>
      <c r="C192" s="280"/>
      <c r="D192" s="280"/>
      <c r="E192" s="281"/>
      <c r="F192" s="281"/>
      <c r="G192" s="404"/>
      <c r="H192" s="281"/>
      <c r="I192" s="281"/>
      <c r="J192" s="404"/>
      <c r="K192" s="283"/>
      <c r="L192" s="281"/>
      <c r="M192" s="404"/>
      <c r="N192" s="284"/>
      <c r="O192" s="284"/>
      <c r="P192" s="404"/>
      <c r="Q192" s="284"/>
      <c r="R192" s="284"/>
      <c r="S192" s="404"/>
      <c r="T192" s="281"/>
      <c r="U192" s="284"/>
      <c r="V192" s="404"/>
      <c r="W192" s="284"/>
      <c r="X192" s="284"/>
      <c r="Y192" s="404"/>
      <c r="Z192" s="284"/>
      <c r="AA192" s="284"/>
      <c r="AB192" s="404"/>
      <c r="AC192" s="286"/>
      <c r="AD192" s="286"/>
      <c r="AE192" s="404"/>
      <c r="AF192" s="86"/>
    </row>
    <row r="193" spans="1:32" s="357" customFormat="1" ht="15.75" customHeight="1" x14ac:dyDescent="0.3">
      <c r="A193" s="347"/>
      <c r="B193" s="347"/>
      <c r="C193" s="348"/>
      <c r="D193" s="349" t="s">
        <v>274</v>
      </c>
      <c r="E193" s="350"/>
      <c r="F193" s="350"/>
      <c r="G193" s="405"/>
      <c r="H193" s="350"/>
      <c r="I193" s="350"/>
      <c r="J193" s="405"/>
      <c r="K193" s="352"/>
      <c r="L193" s="350"/>
      <c r="M193" s="405"/>
      <c r="N193" s="353"/>
      <c r="O193" s="353">
        <v>5</v>
      </c>
      <c r="P193" s="405"/>
      <c r="Q193" s="353"/>
      <c r="R193" s="353"/>
      <c r="S193" s="405"/>
      <c r="T193" s="350"/>
      <c r="U193" s="353"/>
      <c r="V193" s="405"/>
      <c r="W193" s="353"/>
      <c r="X193" s="353"/>
      <c r="Y193" s="405"/>
      <c r="Z193" s="353"/>
      <c r="AA193" s="353"/>
      <c r="AB193" s="405"/>
      <c r="AC193" s="356"/>
      <c r="AD193" s="356"/>
      <c r="AE193" s="405"/>
      <c r="AF193" s="355"/>
    </row>
    <row r="194" spans="1:32" s="81" customFormat="1" ht="15.75" customHeight="1" x14ac:dyDescent="0.3">
      <c r="A194" s="49" t="s">
        <v>88</v>
      </c>
      <c r="B194" s="49" t="s">
        <v>89</v>
      </c>
      <c r="C194" s="50">
        <f>C190+7</f>
        <v>43070</v>
      </c>
      <c r="D194" s="403" t="s">
        <v>28</v>
      </c>
      <c r="E194" s="51">
        <f>SUM(E195:E197)</f>
        <v>0</v>
      </c>
      <c r="F194" s="51">
        <f>SUM(F195:F197)</f>
        <v>0</v>
      </c>
      <c r="G194" s="103" t="e">
        <f>(E194-F194)/F194</f>
        <v>#DIV/0!</v>
      </c>
      <c r="H194" s="51">
        <f>SUM(H195:H197)</f>
        <v>0</v>
      </c>
      <c r="I194" s="51">
        <f>SUM(I195:I197)</f>
        <v>0</v>
      </c>
      <c r="J194" s="103" t="e">
        <f>(H194-I194)/I194</f>
        <v>#DIV/0!</v>
      </c>
      <c r="K194" s="53" t="e">
        <f>E194/H194</f>
        <v>#DIV/0!</v>
      </c>
      <c r="L194" s="51" t="e">
        <f>F194/I194</f>
        <v>#DIV/0!</v>
      </c>
      <c r="M194" s="103" t="e">
        <f>(K194-L194)/L194</f>
        <v>#DIV/0!</v>
      </c>
      <c r="N194" s="54">
        <f>SUM(N195:N197)</f>
        <v>0</v>
      </c>
      <c r="O194" s="54">
        <f>SUM(O195:O197)</f>
        <v>0</v>
      </c>
      <c r="P194" s="103" t="e">
        <f>(N194-O194)/O194</f>
        <v>#DIV/0!</v>
      </c>
      <c r="Q194" s="54">
        <f>SUM(Q195:Q197)</f>
        <v>0</v>
      </c>
      <c r="R194" s="54">
        <f>SUM(R195:R197)</f>
        <v>0</v>
      </c>
      <c r="S194" s="103" t="e">
        <f>(Q194-R194)/R194</f>
        <v>#DIV/0!</v>
      </c>
      <c r="T194" s="54" t="e">
        <f>E194/Q194</f>
        <v>#DIV/0!</v>
      </c>
      <c r="U194" s="54" t="e">
        <f>F194/R194</f>
        <v>#DIV/0!</v>
      </c>
      <c r="V194" s="103" t="e">
        <f>(T194-U194)/U194</f>
        <v>#DIV/0!</v>
      </c>
      <c r="W194" s="54">
        <f>SUM(W195:W197)</f>
        <v>0</v>
      </c>
      <c r="X194" s="54">
        <f>SUM(X195:X197)</f>
        <v>0</v>
      </c>
      <c r="Y194" s="103" t="e">
        <f>(W194-X194)/X194</f>
        <v>#DIV/0!</v>
      </c>
      <c r="Z194" s="54">
        <f>SUM(Z195:Z197)</f>
        <v>0</v>
      </c>
      <c r="AA194" s="54">
        <f>SUM(AA195:AA197)</f>
        <v>0</v>
      </c>
      <c r="AB194" s="103" t="e">
        <f>(Z194-AA194)/AA194</f>
        <v>#DIV/0!</v>
      </c>
      <c r="AC194" s="82" t="e">
        <f>W194/Z194</f>
        <v>#DIV/0!</v>
      </c>
      <c r="AD194" s="82" t="e">
        <f>X194/AA194</f>
        <v>#DIV/0!</v>
      </c>
      <c r="AE194" s="103" t="e">
        <f t="shared" ref="AE194" si="48">(AC194-AD194)/AD194</f>
        <v>#DIV/0!</v>
      </c>
      <c r="AF194" s="68"/>
    </row>
    <row r="195" spans="1:32" s="96" customFormat="1" ht="15.75" customHeight="1" x14ac:dyDescent="0.3">
      <c r="A195" s="279"/>
      <c r="B195" s="279"/>
      <c r="C195" s="280"/>
      <c r="D195" s="280"/>
      <c r="E195" s="281"/>
      <c r="F195" s="281"/>
      <c r="G195" s="404"/>
      <c r="H195" s="281"/>
      <c r="I195" s="281"/>
      <c r="J195" s="404"/>
      <c r="K195" s="283"/>
      <c r="L195" s="281"/>
      <c r="M195" s="404"/>
      <c r="N195" s="284"/>
      <c r="O195" s="284"/>
      <c r="P195" s="404"/>
      <c r="Q195" s="284"/>
      <c r="R195" s="284"/>
      <c r="S195" s="404"/>
      <c r="T195" s="281"/>
      <c r="U195" s="284"/>
      <c r="V195" s="404"/>
      <c r="W195" s="284"/>
      <c r="X195" s="284"/>
      <c r="Y195" s="404"/>
      <c r="Z195" s="284"/>
      <c r="AA195" s="284"/>
      <c r="AB195" s="404"/>
      <c r="AC195" s="286"/>
      <c r="AD195" s="286"/>
      <c r="AE195" s="404"/>
      <c r="AF195" s="86"/>
    </row>
    <row r="196" spans="1:32" s="96" customFormat="1" ht="15.75" customHeight="1" x14ac:dyDescent="0.3">
      <c r="A196" s="279"/>
      <c r="B196" s="279"/>
      <c r="C196" s="280"/>
      <c r="D196" s="280"/>
      <c r="E196" s="281"/>
      <c r="F196" s="281"/>
      <c r="G196" s="404"/>
      <c r="H196" s="281"/>
      <c r="I196" s="281"/>
      <c r="J196" s="404"/>
      <c r="K196" s="283"/>
      <c r="L196" s="281"/>
      <c r="M196" s="404"/>
      <c r="N196" s="284"/>
      <c r="O196" s="284"/>
      <c r="P196" s="404"/>
      <c r="Q196" s="284"/>
      <c r="R196" s="284"/>
      <c r="S196" s="404"/>
      <c r="T196" s="281"/>
      <c r="U196" s="284"/>
      <c r="V196" s="404"/>
      <c r="W196" s="284"/>
      <c r="X196" s="284"/>
      <c r="Y196" s="404"/>
      <c r="Z196" s="284"/>
      <c r="AA196" s="284"/>
      <c r="AB196" s="404"/>
      <c r="AC196" s="286"/>
      <c r="AD196" s="286"/>
      <c r="AE196" s="404"/>
      <c r="AF196" s="86"/>
    </row>
    <row r="197" spans="1:32" s="96" customFormat="1" ht="15.75" customHeight="1" x14ac:dyDescent="0.3">
      <c r="A197" s="279"/>
      <c r="B197" s="279"/>
      <c r="C197" s="280"/>
      <c r="D197" s="297" t="s">
        <v>274</v>
      </c>
      <c r="E197" s="281"/>
      <c r="F197" s="281"/>
      <c r="G197" s="404"/>
      <c r="H197" s="281"/>
      <c r="I197" s="281"/>
      <c r="J197" s="404"/>
      <c r="K197" s="283"/>
      <c r="L197" s="281"/>
      <c r="M197" s="404"/>
      <c r="N197" s="284"/>
      <c r="O197" s="284"/>
      <c r="P197" s="404"/>
      <c r="Q197" s="284"/>
      <c r="R197" s="284"/>
      <c r="S197" s="404"/>
      <c r="T197" s="281"/>
      <c r="U197" s="284"/>
      <c r="V197" s="404"/>
      <c r="W197" s="284"/>
      <c r="X197" s="284"/>
      <c r="Y197" s="404"/>
      <c r="Z197" s="284"/>
      <c r="AA197" s="284"/>
      <c r="AB197" s="404"/>
      <c r="AC197" s="286"/>
      <c r="AD197" s="286"/>
      <c r="AE197" s="404"/>
      <c r="AF197" s="86"/>
    </row>
    <row r="198" spans="1:32" s="81" customFormat="1" ht="15.75" customHeight="1" x14ac:dyDescent="0.3">
      <c r="A198" s="49" t="s">
        <v>88</v>
      </c>
      <c r="B198" s="49" t="s">
        <v>90</v>
      </c>
      <c r="C198" s="50">
        <f>C194+7</f>
        <v>43077</v>
      </c>
      <c r="D198" s="403" t="s">
        <v>28</v>
      </c>
      <c r="E198" s="51">
        <f>SUM(E199:E201)</f>
        <v>0</v>
      </c>
      <c r="F198" s="51">
        <f>SUM(F199:F201)</f>
        <v>0</v>
      </c>
      <c r="G198" s="103" t="e">
        <f>(E198-F198)/F198</f>
        <v>#DIV/0!</v>
      </c>
      <c r="H198" s="51">
        <f>SUM(H199:H201)</f>
        <v>0</v>
      </c>
      <c r="I198" s="51">
        <f>SUM(I199:I201)</f>
        <v>0</v>
      </c>
      <c r="J198" s="103" t="e">
        <f>(H198-I198)/I198</f>
        <v>#DIV/0!</v>
      </c>
      <c r="K198" s="53" t="e">
        <f>E198/H198</f>
        <v>#DIV/0!</v>
      </c>
      <c r="L198" s="51" t="e">
        <f>F198/I198</f>
        <v>#DIV/0!</v>
      </c>
      <c r="M198" s="103" t="e">
        <f>(K198-L198)/L198</f>
        <v>#DIV/0!</v>
      </c>
      <c r="N198" s="54">
        <f>SUM(N199:N201)</f>
        <v>0</v>
      </c>
      <c r="O198" s="54">
        <f>SUM(O199:O201)</f>
        <v>0</v>
      </c>
      <c r="P198" s="103" t="e">
        <f>(N198-O198)/O198</f>
        <v>#DIV/0!</v>
      </c>
      <c r="Q198" s="54">
        <f>SUM(Q199:Q201)</f>
        <v>0</v>
      </c>
      <c r="R198" s="54">
        <f>SUM(R199:R201)</f>
        <v>0</v>
      </c>
      <c r="S198" s="103" t="e">
        <f>(Q198-R198)/R198</f>
        <v>#DIV/0!</v>
      </c>
      <c r="T198" s="54" t="e">
        <f>E198/Q198</f>
        <v>#DIV/0!</v>
      </c>
      <c r="U198" s="54" t="e">
        <f>F198/R198</f>
        <v>#DIV/0!</v>
      </c>
      <c r="V198" s="103" t="e">
        <f>(T198-U198)/U198</f>
        <v>#DIV/0!</v>
      </c>
      <c r="W198" s="54">
        <f>SUM(W199:W201)</f>
        <v>0</v>
      </c>
      <c r="X198" s="54">
        <f>SUM(X199:X201)</f>
        <v>0</v>
      </c>
      <c r="Y198" s="103" t="e">
        <f>(W198-X198)/X198</f>
        <v>#DIV/0!</v>
      </c>
      <c r="Z198" s="54">
        <f>SUM(Z199:Z201)</f>
        <v>0</v>
      </c>
      <c r="AA198" s="54">
        <f>SUM(AA199:AA201)</f>
        <v>0</v>
      </c>
      <c r="AB198" s="103" t="e">
        <f>(Z198-AA198)/AA198</f>
        <v>#DIV/0!</v>
      </c>
      <c r="AC198" s="82" t="e">
        <f>W198/Z198</f>
        <v>#DIV/0!</v>
      </c>
      <c r="AD198" s="82" t="e">
        <f>X198/AA198</f>
        <v>#DIV/0!</v>
      </c>
      <c r="AE198" s="103" t="e">
        <f t="shared" ref="AE198" si="49">(AC198-AD198)/AD198</f>
        <v>#DIV/0!</v>
      </c>
      <c r="AF198" s="68"/>
    </row>
    <row r="199" spans="1:32" s="96" customFormat="1" ht="15.75" customHeight="1" x14ac:dyDescent="0.3">
      <c r="A199" s="279"/>
      <c r="B199" s="279"/>
      <c r="C199" s="280"/>
      <c r="D199" s="280"/>
      <c r="E199" s="281"/>
      <c r="F199" s="281"/>
      <c r="G199" s="404"/>
      <c r="H199" s="281"/>
      <c r="I199" s="281"/>
      <c r="J199" s="404"/>
      <c r="K199" s="283"/>
      <c r="L199" s="281"/>
      <c r="M199" s="404"/>
      <c r="N199" s="284"/>
      <c r="O199" s="284"/>
      <c r="P199" s="404"/>
      <c r="Q199" s="284"/>
      <c r="R199" s="284"/>
      <c r="S199" s="404"/>
      <c r="T199" s="281"/>
      <c r="U199" s="284"/>
      <c r="V199" s="404"/>
      <c r="W199" s="284"/>
      <c r="X199" s="284"/>
      <c r="Y199" s="404"/>
      <c r="Z199" s="284"/>
      <c r="AA199" s="284"/>
      <c r="AB199" s="404"/>
      <c r="AC199" s="286"/>
      <c r="AD199" s="286"/>
      <c r="AE199" s="404"/>
      <c r="AF199" s="86"/>
    </row>
    <row r="200" spans="1:32" s="96" customFormat="1" ht="15.75" customHeight="1" x14ac:dyDescent="0.3">
      <c r="A200" s="279"/>
      <c r="B200" s="279"/>
      <c r="C200" s="280"/>
      <c r="D200" s="280"/>
      <c r="E200" s="281"/>
      <c r="F200" s="281"/>
      <c r="G200" s="404"/>
      <c r="H200" s="281"/>
      <c r="I200" s="281"/>
      <c r="J200" s="404"/>
      <c r="K200" s="283"/>
      <c r="L200" s="281"/>
      <c r="M200" s="404"/>
      <c r="N200" s="284"/>
      <c r="O200" s="284"/>
      <c r="P200" s="404"/>
      <c r="Q200" s="284"/>
      <c r="R200" s="284"/>
      <c r="S200" s="404"/>
      <c r="T200" s="281"/>
      <c r="U200" s="284"/>
      <c r="V200" s="404"/>
      <c r="W200" s="284"/>
      <c r="X200" s="284"/>
      <c r="Y200" s="404"/>
      <c r="Z200" s="284"/>
      <c r="AA200" s="284"/>
      <c r="AB200" s="404"/>
      <c r="AC200" s="286"/>
      <c r="AD200" s="286"/>
      <c r="AE200" s="404"/>
      <c r="AF200" s="86"/>
    </row>
    <row r="201" spans="1:32" s="96" customFormat="1" ht="15.75" customHeight="1" x14ac:dyDescent="0.3">
      <c r="A201" s="279"/>
      <c r="B201" s="279"/>
      <c r="C201" s="280"/>
      <c r="D201" s="297" t="s">
        <v>274</v>
      </c>
      <c r="E201" s="281"/>
      <c r="F201" s="281"/>
      <c r="G201" s="404"/>
      <c r="H201" s="281"/>
      <c r="I201" s="281"/>
      <c r="J201" s="404"/>
      <c r="K201" s="283"/>
      <c r="L201" s="281"/>
      <c r="M201" s="404"/>
      <c r="N201" s="284"/>
      <c r="O201" s="284"/>
      <c r="P201" s="404"/>
      <c r="Q201" s="284"/>
      <c r="R201" s="284"/>
      <c r="S201" s="404"/>
      <c r="T201" s="281"/>
      <c r="U201" s="284"/>
      <c r="V201" s="404"/>
      <c r="W201" s="284"/>
      <c r="X201" s="284"/>
      <c r="Y201" s="404"/>
      <c r="Z201" s="284"/>
      <c r="AA201" s="284"/>
      <c r="AB201" s="404"/>
      <c r="AC201" s="286"/>
      <c r="AD201" s="286"/>
      <c r="AE201" s="404"/>
      <c r="AF201" s="86"/>
    </row>
    <row r="202" spans="1:32" s="81" customFormat="1" ht="15.75" customHeight="1" x14ac:dyDescent="0.3">
      <c r="A202" s="49" t="s">
        <v>88</v>
      </c>
      <c r="B202" s="49" t="s">
        <v>91</v>
      </c>
      <c r="C202" s="50">
        <f>C198+7</f>
        <v>43084</v>
      </c>
      <c r="D202" s="403" t="s">
        <v>28</v>
      </c>
      <c r="E202" s="51">
        <f>SUM(E203:E205)</f>
        <v>0</v>
      </c>
      <c r="F202" s="51">
        <f>SUM(F203:F205)</f>
        <v>0</v>
      </c>
      <c r="G202" s="103" t="e">
        <f>(E202-F202)/F202</f>
        <v>#DIV/0!</v>
      </c>
      <c r="H202" s="51">
        <f>SUM(H203:H205)</f>
        <v>0</v>
      </c>
      <c r="I202" s="51">
        <f>SUM(I203:I205)</f>
        <v>0</v>
      </c>
      <c r="J202" s="103" t="e">
        <f>(H202-I202)/I202</f>
        <v>#DIV/0!</v>
      </c>
      <c r="K202" s="53" t="e">
        <f>E202/H202</f>
        <v>#DIV/0!</v>
      </c>
      <c r="L202" s="51" t="e">
        <f>F202/I202</f>
        <v>#DIV/0!</v>
      </c>
      <c r="M202" s="103" t="e">
        <f>(K202-L202)/L202</f>
        <v>#DIV/0!</v>
      </c>
      <c r="N202" s="54">
        <f>SUM(N203:N205)</f>
        <v>0</v>
      </c>
      <c r="O202" s="54">
        <f>SUM(O203:O205)</f>
        <v>0</v>
      </c>
      <c r="P202" s="103" t="e">
        <f>(N202-O202)/O202</f>
        <v>#DIV/0!</v>
      </c>
      <c r="Q202" s="54">
        <f>SUM(Q203:Q205)</f>
        <v>0</v>
      </c>
      <c r="R202" s="54">
        <f>SUM(R203:R205)</f>
        <v>0</v>
      </c>
      <c r="S202" s="103" t="e">
        <f>(Q202-R202)/R202</f>
        <v>#DIV/0!</v>
      </c>
      <c r="T202" s="54" t="e">
        <f>E202/Q202</f>
        <v>#DIV/0!</v>
      </c>
      <c r="U202" s="54" t="e">
        <f>F202/R202</f>
        <v>#DIV/0!</v>
      </c>
      <c r="V202" s="103" t="e">
        <f>(T202-U202)/U202</f>
        <v>#DIV/0!</v>
      </c>
      <c r="W202" s="54">
        <f>SUM(W203:W205)</f>
        <v>0</v>
      </c>
      <c r="X202" s="54">
        <f>SUM(X203:X205)</f>
        <v>0</v>
      </c>
      <c r="Y202" s="103" t="e">
        <f>(W202-X202)/X202</f>
        <v>#DIV/0!</v>
      </c>
      <c r="Z202" s="54">
        <f>SUM(Z203:Z205)</f>
        <v>0</v>
      </c>
      <c r="AA202" s="54">
        <f>SUM(AA203:AA205)</f>
        <v>0</v>
      </c>
      <c r="AB202" s="103" t="e">
        <f>(Z202-AA202)/AA202</f>
        <v>#DIV/0!</v>
      </c>
      <c r="AC202" s="82" t="e">
        <f>W202/Z202</f>
        <v>#DIV/0!</v>
      </c>
      <c r="AD202" s="82" t="e">
        <f>X202/AA202</f>
        <v>#DIV/0!</v>
      </c>
      <c r="AE202" s="103" t="e">
        <f t="shared" ref="AE202" si="50">(AC202-AD202)/AD202</f>
        <v>#DIV/0!</v>
      </c>
      <c r="AF202" s="68"/>
    </row>
    <row r="203" spans="1:32" s="96" customFormat="1" ht="15.75" customHeight="1" x14ac:dyDescent="0.3">
      <c r="A203" s="279"/>
      <c r="B203" s="279"/>
      <c r="C203" s="280"/>
      <c r="D203" s="280"/>
      <c r="E203" s="281"/>
      <c r="F203" s="281"/>
      <c r="G203" s="404"/>
      <c r="H203" s="281"/>
      <c r="I203" s="281"/>
      <c r="J203" s="404"/>
      <c r="K203" s="283"/>
      <c r="L203" s="281"/>
      <c r="M203" s="404"/>
      <c r="N203" s="284"/>
      <c r="O203" s="284"/>
      <c r="P203" s="404"/>
      <c r="Q203" s="284"/>
      <c r="R203" s="284"/>
      <c r="S203" s="404"/>
      <c r="T203" s="281"/>
      <c r="U203" s="284"/>
      <c r="V203" s="404"/>
      <c r="W203" s="284"/>
      <c r="X203" s="284"/>
      <c r="Y203" s="404"/>
      <c r="Z203" s="284"/>
      <c r="AA203" s="284"/>
      <c r="AB203" s="404"/>
      <c r="AC203" s="286"/>
      <c r="AD203" s="286"/>
      <c r="AE203" s="404"/>
      <c r="AF203" s="86"/>
    </row>
    <row r="204" spans="1:32" s="96" customFormat="1" ht="15.75" customHeight="1" x14ac:dyDescent="0.3">
      <c r="A204" s="279"/>
      <c r="B204" s="279"/>
      <c r="C204" s="280"/>
      <c r="D204" s="280"/>
      <c r="E204" s="281"/>
      <c r="F204" s="281"/>
      <c r="G204" s="404"/>
      <c r="H204" s="281"/>
      <c r="I204" s="281"/>
      <c r="J204" s="404"/>
      <c r="K204" s="283"/>
      <c r="L204" s="281"/>
      <c r="M204" s="404"/>
      <c r="N204" s="284"/>
      <c r="O204" s="284"/>
      <c r="P204" s="404"/>
      <c r="Q204" s="284"/>
      <c r="R204" s="284"/>
      <c r="S204" s="404"/>
      <c r="T204" s="281"/>
      <c r="U204" s="284"/>
      <c r="V204" s="404"/>
      <c r="W204" s="284"/>
      <c r="X204" s="284"/>
      <c r="Y204" s="404"/>
      <c r="Z204" s="284"/>
      <c r="AA204" s="284"/>
      <c r="AB204" s="404"/>
      <c r="AC204" s="286"/>
      <c r="AD204" s="286"/>
      <c r="AE204" s="404"/>
      <c r="AF204" s="86"/>
    </row>
    <row r="205" spans="1:32" s="96" customFormat="1" ht="15.75" customHeight="1" x14ac:dyDescent="0.3">
      <c r="A205" s="279"/>
      <c r="B205" s="279"/>
      <c r="C205" s="280"/>
      <c r="D205" s="297" t="s">
        <v>274</v>
      </c>
      <c r="E205" s="281"/>
      <c r="F205" s="281"/>
      <c r="G205" s="404"/>
      <c r="H205" s="281"/>
      <c r="I205" s="281"/>
      <c r="J205" s="404"/>
      <c r="K205" s="283"/>
      <c r="L205" s="281"/>
      <c r="M205" s="404"/>
      <c r="N205" s="284"/>
      <c r="O205" s="284"/>
      <c r="P205" s="404"/>
      <c r="Q205" s="284"/>
      <c r="R205" s="284"/>
      <c r="S205" s="404"/>
      <c r="T205" s="281"/>
      <c r="U205" s="284"/>
      <c r="V205" s="404"/>
      <c r="W205" s="284"/>
      <c r="X205" s="284"/>
      <c r="Y205" s="404"/>
      <c r="Z205" s="284"/>
      <c r="AA205" s="284"/>
      <c r="AB205" s="404"/>
      <c r="AC205" s="286"/>
      <c r="AD205" s="286"/>
      <c r="AE205" s="404"/>
      <c r="AF205" s="86"/>
    </row>
    <row r="206" spans="1:32" s="81" customFormat="1" ht="15.75" customHeight="1" x14ac:dyDescent="0.3">
      <c r="A206" s="49" t="s">
        <v>88</v>
      </c>
      <c r="B206" s="49" t="s">
        <v>92</v>
      </c>
      <c r="C206" s="50">
        <f t="shared" ref="C206" si="51">C202+7</f>
        <v>43091</v>
      </c>
      <c r="D206" s="403" t="s">
        <v>28</v>
      </c>
      <c r="E206" s="51">
        <f>SUM(E207:E209)</f>
        <v>0</v>
      </c>
      <c r="F206" s="51">
        <f>SUM(F207:F209)</f>
        <v>0</v>
      </c>
      <c r="G206" s="103" t="e">
        <f>(E206-F206)/F206</f>
        <v>#DIV/0!</v>
      </c>
      <c r="H206" s="51">
        <f>SUM(H207:H209)</f>
        <v>0</v>
      </c>
      <c r="I206" s="51">
        <f>SUM(I207:I209)</f>
        <v>0</v>
      </c>
      <c r="J206" s="103" t="e">
        <f>(H206-I206)/I206</f>
        <v>#DIV/0!</v>
      </c>
      <c r="K206" s="53" t="e">
        <f>E206/H206</f>
        <v>#DIV/0!</v>
      </c>
      <c r="L206" s="51" t="e">
        <f>F206/I206</f>
        <v>#DIV/0!</v>
      </c>
      <c r="M206" s="103" t="e">
        <f>(K206-L206)/L206</f>
        <v>#DIV/0!</v>
      </c>
      <c r="N206" s="54">
        <f>SUM(N207:N209)</f>
        <v>0</v>
      </c>
      <c r="O206" s="54">
        <f>SUM(O207:O209)</f>
        <v>0</v>
      </c>
      <c r="P206" s="103" t="e">
        <f>(N206-O206)/O206</f>
        <v>#DIV/0!</v>
      </c>
      <c r="Q206" s="54">
        <f>SUM(Q207:Q209)</f>
        <v>0</v>
      </c>
      <c r="R206" s="54">
        <f>SUM(R207:R209)</f>
        <v>0</v>
      </c>
      <c r="S206" s="103" t="e">
        <f>(Q206-R206)/R206</f>
        <v>#DIV/0!</v>
      </c>
      <c r="T206" s="54" t="e">
        <f>E206/Q206</f>
        <v>#DIV/0!</v>
      </c>
      <c r="U206" s="54" t="e">
        <f>F206/R206</f>
        <v>#DIV/0!</v>
      </c>
      <c r="V206" s="103" t="e">
        <f>(T206-U206)/U206</f>
        <v>#DIV/0!</v>
      </c>
      <c r="W206" s="54">
        <f>SUM(W207:W209)</f>
        <v>0</v>
      </c>
      <c r="X206" s="54">
        <f>SUM(X207:X209)</f>
        <v>0</v>
      </c>
      <c r="Y206" s="103" t="e">
        <f>(W206-X206)/X206</f>
        <v>#DIV/0!</v>
      </c>
      <c r="Z206" s="54">
        <f>SUM(Z207:Z209)</f>
        <v>0</v>
      </c>
      <c r="AA206" s="54">
        <f>SUM(AA207:AA209)</f>
        <v>0</v>
      </c>
      <c r="AB206" s="103" t="e">
        <f>(Z206-AA206)/AA206</f>
        <v>#DIV/0!</v>
      </c>
      <c r="AC206" s="82" t="e">
        <f>W206/Z206</f>
        <v>#DIV/0!</v>
      </c>
      <c r="AD206" s="82" t="e">
        <f>X206/AA206</f>
        <v>#DIV/0!</v>
      </c>
      <c r="AE206" s="103" t="e">
        <f t="shared" ref="AE206" si="52">(AC206-AD206)/AD206</f>
        <v>#DIV/0!</v>
      </c>
      <c r="AF206" s="68"/>
    </row>
    <row r="207" spans="1:32" s="96" customFormat="1" ht="15.75" customHeight="1" x14ac:dyDescent="0.3">
      <c r="A207" s="279"/>
      <c r="B207" s="279"/>
      <c r="C207" s="280"/>
      <c r="D207" s="280"/>
      <c r="E207" s="281"/>
      <c r="F207" s="281"/>
      <c r="G207" s="404"/>
      <c r="H207" s="281"/>
      <c r="I207" s="281"/>
      <c r="J207" s="404"/>
      <c r="K207" s="283"/>
      <c r="L207" s="281"/>
      <c r="M207" s="404"/>
      <c r="N207" s="284"/>
      <c r="O207" s="284"/>
      <c r="P207" s="404"/>
      <c r="Q207" s="284"/>
      <c r="R207" s="284"/>
      <c r="S207" s="404"/>
      <c r="T207" s="281"/>
      <c r="U207" s="284"/>
      <c r="V207" s="404"/>
      <c r="W207" s="284"/>
      <c r="X207" s="284"/>
      <c r="Y207" s="404"/>
      <c r="Z207" s="284"/>
      <c r="AA207" s="284"/>
      <c r="AB207" s="404"/>
      <c r="AC207" s="286"/>
      <c r="AD207" s="286"/>
      <c r="AE207" s="404"/>
      <c r="AF207" s="86"/>
    </row>
    <row r="208" spans="1:32" s="96" customFormat="1" ht="15.75" customHeight="1" x14ac:dyDescent="0.3">
      <c r="A208" s="279"/>
      <c r="B208" s="279"/>
      <c r="C208" s="280"/>
      <c r="D208" s="280"/>
      <c r="E208" s="281"/>
      <c r="F208" s="281"/>
      <c r="G208" s="404"/>
      <c r="H208" s="281"/>
      <c r="I208" s="281"/>
      <c r="J208" s="404"/>
      <c r="K208" s="283"/>
      <c r="L208" s="281"/>
      <c r="M208" s="404"/>
      <c r="N208" s="284"/>
      <c r="O208" s="284"/>
      <c r="P208" s="404"/>
      <c r="Q208" s="284"/>
      <c r="R208" s="284"/>
      <c r="S208" s="404"/>
      <c r="T208" s="281"/>
      <c r="U208" s="284"/>
      <c r="V208" s="404"/>
      <c r="W208" s="284"/>
      <c r="X208" s="284"/>
      <c r="Y208" s="404"/>
      <c r="Z208" s="284"/>
      <c r="AA208" s="284"/>
      <c r="AB208" s="404"/>
      <c r="AC208" s="286"/>
      <c r="AD208" s="286"/>
      <c r="AE208" s="404"/>
      <c r="AF208" s="86"/>
    </row>
    <row r="209" spans="1:32" s="415" customFormat="1" ht="15.75" customHeight="1" thickBot="1" x14ac:dyDescent="0.35">
      <c r="A209" s="406"/>
      <c r="B209" s="406"/>
      <c r="C209" s="407"/>
      <c r="D209" s="408" t="s">
        <v>274</v>
      </c>
      <c r="E209" s="409"/>
      <c r="F209" s="409"/>
      <c r="G209" s="410"/>
      <c r="H209" s="409"/>
      <c r="I209" s="409"/>
      <c r="J209" s="410"/>
      <c r="K209" s="411"/>
      <c r="L209" s="409"/>
      <c r="M209" s="410"/>
      <c r="N209" s="412"/>
      <c r="O209" s="412"/>
      <c r="P209" s="410"/>
      <c r="Q209" s="412"/>
      <c r="R209" s="412"/>
      <c r="S209" s="410"/>
      <c r="T209" s="409"/>
      <c r="U209" s="412"/>
      <c r="V209" s="410"/>
      <c r="W209" s="412"/>
      <c r="X209" s="412"/>
      <c r="Y209" s="410"/>
      <c r="Z209" s="412"/>
      <c r="AA209" s="412"/>
      <c r="AB209" s="410"/>
      <c r="AC209" s="413"/>
      <c r="AD209" s="413"/>
      <c r="AE209" s="410"/>
      <c r="AF209" s="414"/>
    </row>
    <row r="210" spans="1:32" s="182" customFormat="1" ht="19.5" customHeight="1" thickTop="1" x14ac:dyDescent="0.3">
      <c r="A210" s="172" t="s">
        <v>94</v>
      </c>
      <c r="B210" s="173"/>
      <c r="C210" s="174"/>
      <c r="D210" s="174"/>
      <c r="E210" s="175">
        <f>SUM(E2:E206)</f>
        <v>0</v>
      </c>
      <c r="F210" s="175">
        <f>SUM(F2:F206)</f>
        <v>360</v>
      </c>
      <c r="G210" s="190">
        <f>(E210-F210)/F210</f>
        <v>-1</v>
      </c>
      <c r="H210" s="175">
        <f>SUM(H2:H206)</f>
        <v>0</v>
      </c>
      <c r="I210" s="175">
        <f>SUM(I2:I206)</f>
        <v>19521.940000000002</v>
      </c>
      <c r="J210" s="179">
        <f>(H210-I210)/I210</f>
        <v>-1</v>
      </c>
      <c r="K210" s="176" t="e">
        <f>E210/H210</f>
        <v>#DIV/0!</v>
      </c>
      <c r="L210" s="176">
        <f>F210/I210</f>
        <v>1.8440790208350193E-2</v>
      </c>
      <c r="M210" s="190" t="e">
        <f>(K210-L210)/L210</f>
        <v>#DIV/0!</v>
      </c>
      <c r="N210" s="177">
        <f>SUM(N2:N206)</f>
        <v>12434</v>
      </c>
      <c r="O210" s="177">
        <f>SUM(O2:O206)</f>
        <v>8224</v>
      </c>
      <c r="P210" s="190">
        <f>(N210-O210)/O210</f>
        <v>0.51191634241245132</v>
      </c>
      <c r="Q210" s="177">
        <f>SUM(Q2:Q206)</f>
        <v>0</v>
      </c>
      <c r="R210" s="177">
        <f>SUM(R2:R206)</f>
        <v>2</v>
      </c>
      <c r="S210" s="190">
        <f>(Q210-R210)/R210</f>
        <v>-1</v>
      </c>
      <c r="T210" s="175" t="e">
        <f>E210/Q210</f>
        <v>#DIV/0!</v>
      </c>
      <c r="U210" s="175">
        <f>F210/R210</f>
        <v>180</v>
      </c>
      <c r="V210" s="191" t="e">
        <f>(T210-U210)/U210</f>
        <v>#DIV/0!</v>
      </c>
      <c r="W210" s="177">
        <f>SUM(W2:W206)</f>
        <v>0</v>
      </c>
      <c r="X210" s="177">
        <f>SUM(X2:X206)</f>
        <v>20236</v>
      </c>
      <c r="Y210" s="190">
        <f>(W210-X210)/X210</f>
        <v>-1</v>
      </c>
      <c r="Z210" s="177">
        <f>SUM(Z2:Z206)</f>
        <v>0</v>
      </c>
      <c r="AA210" s="177">
        <f>SUM(AA2:AA206)</f>
        <v>4950412</v>
      </c>
      <c r="AB210" s="190">
        <f>(Z210-AA210)/AA210</f>
        <v>-1</v>
      </c>
      <c r="AC210" s="178" t="e">
        <f>W210/Z210</f>
        <v>#DIV/0!</v>
      </c>
      <c r="AD210" s="178">
        <f>X210/AA210</f>
        <v>4.0877405759359017E-3</v>
      </c>
      <c r="AE210" s="191" t="e">
        <f t="shared" si="0"/>
        <v>#DIV/0!</v>
      </c>
      <c r="AF210" s="2"/>
    </row>
    <row r="211" spans="1:32" ht="15.75" x14ac:dyDescent="0.25">
      <c r="A211" s="44"/>
      <c r="B211" s="45"/>
      <c r="C211" s="45"/>
      <c r="D211" s="45"/>
      <c r="E211" s="39"/>
      <c r="F211" s="39"/>
      <c r="G211" s="39"/>
      <c r="H211" s="39"/>
      <c r="I211" s="39"/>
      <c r="J211" s="39"/>
      <c r="K211" s="41"/>
      <c r="L211" s="41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23"/>
    </row>
    <row r="212" spans="1:32" ht="15.75" x14ac:dyDescent="0.25">
      <c r="A212" s="44"/>
      <c r="B212" s="36"/>
      <c r="C212" s="36"/>
      <c r="D212" s="36"/>
      <c r="E212" s="39"/>
      <c r="F212" s="39"/>
      <c r="G212" s="39"/>
      <c r="H212" s="39"/>
      <c r="I212" s="39"/>
      <c r="J212" s="39"/>
      <c r="K212" s="41"/>
      <c r="L212" s="41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23"/>
    </row>
    <row r="213" spans="1:32" ht="15.75" x14ac:dyDescent="0.25">
      <c r="A213" s="44"/>
      <c r="B213" s="44"/>
      <c r="C213" s="46"/>
      <c r="D213" s="46"/>
      <c r="E213" s="39"/>
      <c r="F213" s="39"/>
      <c r="G213" s="39"/>
      <c r="H213" s="39"/>
      <c r="I213" s="39"/>
      <c r="J213" s="39"/>
      <c r="K213" s="41"/>
      <c r="L213" s="41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23"/>
    </row>
    <row r="214" spans="1:32" ht="15.75" x14ac:dyDescent="0.25">
      <c r="A214" s="44"/>
      <c r="B214" s="23"/>
      <c r="C214" s="23"/>
      <c r="D214" s="36"/>
      <c r="E214" s="23"/>
      <c r="F214" s="23"/>
      <c r="G214" s="23"/>
      <c r="H214" s="23"/>
      <c r="I214" s="23"/>
      <c r="J214" s="23"/>
      <c r="K214" s="23"/>
      <c r="L214" s="23"/>
      <c r="M214" s="36"/>
      <c r="N214" s="23"/>
      <c r="O214" s="23"/>
      <c r="P214" s="23"/>
      <c r="Q214" s="23"/>
      <c r="R214" s="23"/>
      <c r="S214" s="23"/>
      <c r="T214" s="23"/>
      <c r="U214" s="23"/>
      <c r="V214" s="36"/>
      <c r="W214" s="42"/>
      <c r="X214" s="42"/>
      <c r="Y214" s="23"/>
      <c r="Z214" s="42"/>
      <c r="AA214" s="42"/>
      <c r="AB214" s="23"/>
      <c r="AC214" s="23"/>
      <c r="AD214" s="23"/>
      <c r="AE214" s="36"/>
      <c r="AF214" s="23"/>
    </row>
    <row r="215" spans="1:32" ht="15.75" x14ac:dyDescent="0.25">
      <c r="A215" s="44"/>
      <c r="B215" s="23"/>
      <c r="C215" s="23"/>
      <c r="D215" s="36"/>
      <c r="E215" s="23"/>
      <c r="F215" s="23"/>
      <c r="G215" s="23"/>
      <c r="H215" s="23"/>
      <c r="I215" s="23"/>
      <c r="J215" s="23"/>
      <c r="K215" s="23"/>
      <c r="L215" s="23"/>
      <c r="M215" s="36"/>
      <c r="N215" s="23"/>
      <c r="O215" s="23"/>
      <c r="P215" s="23"/>
      <c r="Q215" s="23"/>
      <c r="R215" s="23"/>
      <c r="S215" s="23"/>
      <c r="T215" s="23"/>
      <c r="U215" s="23"/>
      <c r="V215" s="36"/>
      <c r="W215" s="42"/>
      <c r="X215" s="42"/>
      <c r="Y215" s="23"/>
      <c r="Z215" s="42"/>
      <c r="AA215" s="42"/>
      <c r="AB215" s="23"/>
      <c r="AC215" s="23"/>
      <c r="AD215" s="23"/>
      <c r="AE215" s="36"/>
      <c r="AF215" s="23"/>
    </row>
    <row r="216" spans="1:32" ht="15.75" x14ac:dyDescent="0.25">
      <c r="A216" s="44"/>
      <c r="B216" s="23"/>
      <c r="C216" s="23"/>
      <c r="D216" s="36"/>
      <c r="E216" s="23"/>
      <c r="F216" s="23"/>
      <c r="G216" s="23"/>
      <c r="H216" s="23"/>
      <c r="I216" s="23"/>
      <c r="J216" s="23"/>
      <c r="K216" s="23"/>
      <c r="L216" s="23"/>
      <c r="M216" s="36"/>
      <c r="N216" s="23"/>
      <c r="O216" s="23"/>
      <c r="P216" s="23"/>
      <c r="Q216" s="23"/>
      <c r="R216" s="23"/>
      <c r="S216" s="23"/>
      <c r="T216" s="23"/>
      <c r="U216" s="23"/>
      <c r="V216" s="36"/>
      <c r="W216" s="42"/>
      <c r="X216" s="42"/>
      <c r="Y216" s="23"/>
      <c r="Z216" s="42"/>
      <c r="AA216" s="42"/>
      <c r="AB216" s="23"/>
      <c r="AC216" s="23"/>
      <c r="AD216" s="23"/>
      <c r="AE216" s="36"/>
      <c r="AF216" s="23"/>
    </row>
    <row r="217" spans="1:32" ht="15.75" x14ac:dyDescent="0.25">
      <c r="A217" s="44"/>
      <c r="B217" s="23"/>
      <c r="C217" s="23"/>
      <c r="D217" s="36"/>
      <c r="E217" s="23"/>
      <c r="F217" s="23"/>
      <c r="G217" s="23"/>
      <c r="H217" s="23"/>
      <c r="I217" s="23"/>
      <c r="J217" s="23"/>
      <c r="K217" s="23"/>
      <c r="L217" s="23"/>
      <c r="M217" s="36"/>
      <c r="N217" s="23"/>
      <c r="O217" s="23"/>
      <c r="P217" s="23"/>
      <c r="Q217" s="23"/>
      <c r="R217" s="23"/>
      <c r="S217" s="23"/>
      <c r="T217" s="23"/>
      <c r="U217" s="23"/>
      <c r="V217" s="36"/>
      <c r="W217" s="42"/>
      <c r="X217" s="42"/>
      <c r="Y217" s="23"/>
      <c r="Z217" s="42"/>
      <c r="AA217" s="42"/>
      <c r="AB217" s="23"/>
      <c r="AC217" s="23"/>
      <c r="AD217" s="23"/>
      <c r="AE217" s="36"/>
      <c r="AF217" s="23"/>
    </row>
    <row r="218" spans="1:32" ht="15.75" x14ac:dyDescent="0.25">
      <c r="A218" s="44"/>
      <c r="B218" s="23"/>
      <c r="C218" s="23"/>
      <c r="D218" s="36"/>
      <c r="E218" s="23"/>
      <c r="F218" s="23"/>
      <c r="G218" s="23"/>
      <c r="H218" s="23"/>
      <c r="I218" s="23"/>
      <c r="J218" s="23"/>
      <c r="K218" s="23"/>
      <c r="L218" s="23"/>
      <c r="M218" s="36"/>
      <c r="N218" s="23"/>
      <c r="O218" s="23"/>
      <c r="P218" s="23"/>
      <c r="Q218" s="23"/>
      <c r="R218" s="23"/>
      <c r="S218" s="23"/>
      <c r="T218" s="23"/>
      <c r="U218" s="23"/>
      <c r="V218" s="36"/>
      <c r="W218" s="42"/>
      <c r="X218" s="42"/>
      <c r="Y218" s="23"/>
      <c r="Z218" s="42"/>
      <c r="AA218" s="42"/>
      <c r="AB218" s="23"/>
      <c r="AC218" s="23"/>
      <c r="AD218" s="23"/>
      <c r="AE218" s="36"/>
      <c r="AF218" s="23"/>
    </row>
    <row r="219" spans="1:32" ht="15.75" x14ac:dyDescent="0.25">
      <c r="A219" s="44"/>
      <c r="B219" s="23"/>
      <c r="C219" s="23"/>
      <c r="D219" s="36"/>
      <c r="E219" s="23"/>
      <c r="F219" s="23"/>
      <c r="G219" s="23"/>
      <c r="H219" s="23"/>
      <c r="I219" s="23"/>
      <c r="J219" s="23"/>
      <c r="K219" s="23"/>
      <c r="L219" s="23"/>
      <c r="M219" s="36"/>
      <c r="N219" s="23"/>
      <c r="O219" s="23"/>
      <c r="P219" s="23"/>
      <c r="Q219" s="23"/>
      <c r="R219" s="23"/>
      <c r="S219" s="23"/>
      <c r="T219" s="23"/>
      <c r="U219" s="23"/>
      <c r="V219" s="36"/>
      <c r="W219" s="42"/>
      <c r="X219" s="42"/>
      <c r="Y219" s="23"/>
      <c r="Z219" s="42"/>
      <c r="AA219" s="42"/>
      <c r="AB219" s="23"/>
      <c r="AC219" s="23"/>
      <c r="AD219" s="23"/>
      <c r="AE219" s="36"/>
      <c r="AF219" s="23"/>
    </row>
    <row r="220" spans="1:32" ht="15.75" x14ac:dyDescent="0.25">
      <c r="A220" s="44"/>
      <c r="B220" s="23"/>
      <c r="C220" s="23"/>
      <c r="D220" s="36"/>
      <c r="E220" s="23"/>
      <c r="F220" s="23"/>
      <c r="G220" s="23"/>
      <c r="H220" s="23"/>
      <c r="I220" s="23"/>
      <c r="J220" s="23"/>
      <c r="K220" s="23"/>
      <c r="L220" s="23"/>
      <c r="M220" s="36"/>
      <c r="N220" s="23"/>
      <c r="O220" s="23"/>
      <c r="P220" s="23"/>
      <c r="Q220" s="23"/>
      <c r="R220" s="23"/>
      <c r="S220" s="23"/>
      <c r="T220" s="23"/>
      <c r="U220" s="23"/>
      <c r="V220" s="36"/>
      <c r="W220" s="42"/>
      <c r="X220" s="42"/>
      <c r="Y220" s="23"/>
      <c r="Z220" s="42"/>
      <c r="AA220" s="42"/>
      <c r="AB220" s="23"/>
      <c r="AC220" s="23"/>
      <c r="AD220" s="23"/>
      <c r="AE220" s="36"/>
      <c r="AF220" s="23"/>
    </row>
    <row r="221" spans="1:32" ht="15.75" x14ac:dyDescent="0.25">
      <c r="A221" s="44"/>
      <c r="B221" s="23"/>
      <c r="C221" s="23"/>
      <c r="D221" s="36"/>
      <c r="E221" s="23"/>
      <c r="F221" s="23"/>
      <c r="G221" s="23"/>
      <c r="H221" s="23"/>
      <c r="I221" s="23"/>
      <c r="J221" s="23"/>
      <c r="K221" s="23"/>
      <c r="L221" s="23"/>
      <c r="M221" s="36"/>
      <c r="N221" s="23"/>
      <c r="O221" s="23"/>
      <c r="P221" s="23"/>
      <c r="Q221" s="23"/>
      <c r="R221" s="23"/>
      <c r="S221" s="23"/>
      <c r="T221" s="23"/>
      <c r="U221" s="23"/>
      <c r="V221" s="36"/>
      <c r="W221" s="42"/>
      <c r="X221" s="42"/>
      <c r="Y221" s="23"/>
      <c r="Z221" s="42"/>
      <c r="AA221" s="42"/>
      <c r="AB221" s="23"/>
      <c r="AC221" s="23"/>
      <c r="AD221" s="23"/>
      <c r="AE221" s="36"/>
      <c r="AF221" s="23"/>
    </row>
    <row r="222" spans="1:32" ht="15.75" x14ac:dyDescent="0.25">
      <c r="A222" s="44"/>
      <c r="B222" s="23"/>
      <c r="C222" s="23"/>
      <c r="D222" s="36"/>
      <c r="E222" s="23"/>
      <c r="F222" s="23"/>
      <c r="G222" s="23"/>
      <c r="H222" s="23"/>
      <c r="I222" s="23"/>
      <c r="J222" s="23"/>
      <c r="K222" s="23"/>
      <c r="L222" s="23"/>
      <c r="M222" s="36"/>
      <c r="N222" s="23"/>
      <c r="O222" s="23"/>
      <c r="P222" s="23"/>
      <c r="Q222" s="23"/>
      <c r="R222" s="23"/>
      <c r="S222" s="23"/>
      <c r="T222" s="23"/>
      <c r="U222" s="23"/>
      <c r="V222" s="36"/>
      <c r="W222" s="42"/>
      <c r="X222" s="42"/>
      <c r="Y222" s="23"/>
      <c r="Z222" s="42"/>
      <c r="AA222" s="42"/>
      <c r="AB222" s="23"/>
      <c r="AC222" s="23"/>
      <c r="AD222" s="23"/>
      <c r="AE222" s="36"/>
      <c r="AF222" s="23"/>
    </row>
    <row r="223" spans="1:32" ht="15.75" x14ac:dyDescent="0.25">
      <c r="A223" s="44"/>
      <c r="B223" s="23"/>
      <c r="C223" s="23"/>
      <c r="D223" s="36"/>
      <c r="E223" s="23"/>
      <c r="F223" s="23"/>
      <c r="G223" s="23"/>
      <c r="H223" s="23"/>
      <c r="I223" s="23"/>
      <c r="J223" s="23"/>
      <c r="K223" s="23"/>
      <c r="L223" s="23"/>
      <c r="M223" s="36"/>
      <c r="N223" s="23"/>
      <c r="O223" s="23"/>
      <c r="P223" s="23"/>
      <c r="Q223" s="23"/>
      <c r="R223" s="23"/>
      <c r="S223" s="23"/>
      <c r="T223" s="23"/>
      <c r="U223" s="23"/>
      <c r="V223" s="36"/>
      <c r="W223" s="42"/>
      <c r="X223" s="42"/>
      <c r="Y223" s="23"/>
      <c r="Z223" s="42"/>
      <c r="AA223" s="42"/>
      <c r="AB223" s="23"/>
      <c r="AC223" s="23"/>
      <c r="AD223" s="23"/>
      <c r="AE223" s="36"/>
      <c r="AF223" s="23"/>
    </row>
    <row r="224" spans="1:32" ht="15.75" x14ac:dyDescent="0.25">
      <c r="A224" s="44"/>
      <c r="B224" s="23"/>
      <c r="C224" s="23"/>
      <c r="D224" s="36"/>
      <c r="E224" s="23"/>
      <c r="F224" s="23"/>
      <c r="G224" s="23"/>
      <c r="H224" s="23"/>
      <c r="I224" s="23"/>
      <c r="J224" s="23"/>
      <c r="K224" s="23"/>
      <c r="L224" s="23"/>
      <c r="M224" s="36"/>
      <c r="N224" s="23"/>
      <c r="O224" s="23"/>
      <c r="P224" s="23"/>
      <c r="Q224" s="23"/>
      <c r="R224" s="23"/>
      <c r="S224" s="23"/>
      <c r="T224" s="23"/>
      <c r="U224" s="23"/>
      <c r="V224" s="36"/>
      <c r="W224" s="42"/>
      <c r="X224" s="42"/>
      <c r="Y224" s="23"/>
      <c r="Z224" s="42"/>
      <c r="AA224" s="42"/>
      <c r="AB224" s="23"/>
      <c r="AC224" s="23"/>
      <c r="AD224" s="23"/>
      <c r="AE224" s="36"/>
      <c r="AF224" s="23"/>
    </row>
    <row r="225" spans="1:32" ht="15.75" x14ac:dyDescent="0.25">
      <c r="A225" s="44"/>
      <c r="B225" s="23"/>
      <c r="C225" s="23"/>
      <c r="D225" s="36"/>
      <c r="E225" s="23"/>
      <c r="F225" s="23"/>
      <c r="G225" s="23"/>
      <c r="H225" s="23"/>
      <c r="I225" s="23"/>
      <c r="J225" s="23"/>
      <c r="K225" s="23"/>
      <c r="L225" s="23"/>
      <c r="M225" s="36"/>
      <c r="N225" s="23"/>
      <c r="O225" s="23"/>
      <c r="P225" s="23"/>
      <c r="Q225" s="23"/>
      <c r="R225" s="23"/>
      <c r="S225" s="23"/>
      <c r="T225" s="23"/>
      <c r="U225" s="23"/>
      <c r="V225" s="36"/>
      <c r="W225" s="42"/>
      <c r="X225" s="42"/>
      <c r="Y225" s="23"/>
      <c r="Z225" s="42"/>
      <c r="AA225" s="42"/>
      <c r="AB225" s="23"/>
      <c r="AC225" s="23"/>
      <c r="AD225" s="23"/>
      <c r="AE225" s="36"/>
      <c r="AF225" s="23"/>
    </row>
    <row r="226" spans="1:32" ht="15.75" x14ac:dyDescent="0.25">
      <c r="A226" s="44"/>
      <c r="B226" s="23"/>
      <c r="C226" s="23"/>
      <c r="D226" s="36"/>
      <c r="E226" s="23"/>
      <c r="F226" s="23"/>
      <c r="G226" s="23"/>
      <c r="H226" s="23"/>
      <c r="I226" s="23"/>
      <c r="J226" s="23"/>
      <c r="K226" s="23"/>
      <c r="L226" s="23"/>
      <c r="M226" s="36"/>
      <c r="N226" s="23"/>
      <c r="O226" s="23"/>
      <c r="P226" s="23"/>
      <c r="Q226" s="23"/>
      <c r="R226" s="23"/>
      <c r="S226" s="23"/>
      <c r="T226" s="23"/>
      <c r="U226" s="23"/>
      <c r="V226" s="36"/>
      <c r="W226" s="42"/>
      <c r="X226" s="42"/>
      <c r="Y226" s="23"/>
      <c r="Z226" s="42"/>
      <c r="AA226" s="42"/>
      <c r="AB226" s="23"/>
      <c r="AC226" s="23"/>
      <c r="AD226" s="23"/>
      <c r="AE226" s="36"/>
      <c r="AF226" s="23"/>
    </row>
    <row r="227" spans="1:32" ht="15.75" x14ac:dyDescent="0.25">
      <c r="A227" s="44"/>
      <c r="B227" s="23"/>
      <c r="C227" s="23"/>
      <c r="D227" s="36"/>
      <c r="E227" s="23"/>
      <c r="F227" s="23"/>
      <c r="G227" s="23"/>
      <c r="H227" s="23"/>
      <c r="I227" s="23"/>
      <c r="J227" s="23"/>
      <c r="K227" s="23"/>
      <c r="L227" s="23"/>
      <c r="M227" s="36"/>
      <c r="N227" s="23"/>
      <c r="O227" s="23"/>
      <c r="P227" s="23"/>
      <c r="Q227" s="23"/>
      <c r="R227" s="23"/>
      <c r="S227" s="23"/>
      <c r="T227" s="23"/>
      <c r="U227" s="23"/>
      <c r="V227" s="36"/>
      <c r="W227" s="42"/>
      <c r="X227" s="42"/>
      <c r="Y227" s="23"/>
      <c r="Z227" s="42"/>
      <c r="AA227" s="42"/>
      <c r="AB227" s="23"/>
      <c r="AC227" s="23"/>
      <c r="AD227" s="23"/>
      <c r="AE227" s="36"/>
      <c r="AF227" s="23"/>
    </row>
    <row r="228" spans="1:32" ht="15.75" x14ac:dyDescent="0.25">
      <c r="A228" s="44"/>
      <c r="B228" s="23"/>
      <c r="C228" s="23"/>
      <c r="D228" s="36"/>
      <c r="E228" s="23"/>
      <c r="F228" s="23"/>
      <c r="G228" s="23"/>
      <c r="H228" s="23"/>
      <c r="I228" s="23"/>
      <c r="J228" s="23"/>
      <c r="K228" s="23"/>
      <c r="L228" s="23"/>
      <c r="M228" s="36"/>
      <c r="N228" s="23"/>
      <c r="O228" s="23"/>
      <c r="P228" s="23"/>
      <c r="Q228" s="23"/>
      <c r="R228" s="23"/>
      <c r="S228" s="23"/>
      <c r="T228" s="23"/>
      <c r="U228" s="23"/>
      <c r="V228" s="36"/>
      <c r="W228" s="42"/>
      <c r="X228" s="42"/>
      <c r="Y228" s="23"/>
      <c r="Z228" s="42"/>
      <c r="AA228" s="42"/>
      <c r="AB228" s="23"/>
      <c r="AC228" s="23"/>
      <c r="AD228" s="23"/>
      <c r="AE228" s="36"/>
      <c r="AF228" s="23"/>
    </row>
    <row r="229" spans="1:32" ht="15.75" x14ac:dyDescent="0.25">
      <c r="A229" s="44"/>
      <c r="B229" s="23"/>
      <c r="C229" s="23"/>
      <c r="D229" s="36"/>
      <c r="E229" s="23"/>
      <c r="F229" s="23"/>
      <c r="G229" s="23"/>
      <c r="H229" s="23"/>
      <c r="I229" s="23"/>
      <c r="J229" s="23"/>
      <c r="K229" s="23"/>
      <c r="L229" s="23"/>
      <c r="M229" s="36"/>
      <c r="N229" s="23"/>
      <c r="O229" s="23"/>
      <c r="P229" s="23"/>
      <c r="Q229" s="23"/>
      <c r="R229" s="23"/>
      <c r="S229" s="23"/>
      <c r="T229" s="23"/>
      <c r="U229" s="23"/>
      <c r="V229" s="36"/>
      <c r="W229" s="42"/>
      <c r="X229" s="42"/>
      <c r="Y229" s="23"/>
      <c r="Z229" s="42"/>
      <c r="AA229" s="42"/>
      <c r="AB229" s="23"/>
      <c r="AC229" s="23"/>
      <c r="AD229" s="23"/>
      <c r="AE229" s="36"/>
      <c r="AF229" s="23"/>
    </row>
    <row r="230" spans="1:32" ht="15.75" x14ac:dyDescent="0.25">
      <c r="A230" s="44"/>
      <c r="B230" s="23"/>
      <c r="C230" s="23"/>
      <c r="D230" s="36"/>
      <c r="E230" s="23"/>
      <c r="F230" s="23"/>
      <c r="G230" s="23"/>
      <c r="H230" s="23"/>
      <c r="I230" s="23"/>
      <c r="J230" s="23"/>
      <c r="K230" s="23"/>
      <c r="L230" s="23"/>
      <c r="M230" s="36"/>
      <c r="N230" s="23"/>
      <c r="O230" s="23"/>
      <c r="P230" s="23"/>
      <c r="Q230" s="23"/>
      <c r="R230" s="23"/>
      <c r="S230" s="23"/>
      <c r="T230" s="23"/>
      <c r="U230" s="23"/>
      <c r="V230" s="36"/>
      <c r="W230" s="42"/>
      <c r="X230" s="42"/>
      <c r="Y230" s="23"/>
      <c r="Z230" s="42"/>
      <c r="AA230" s="42"/>
      <c r="AB230" s="23"/>
      <c r="AC230" s="23"/>
      <c r="AD230" s="23"/>
      <c r="AE230" s="36"/>
      <c r="AF230" s="23"/>
    </row>
    <row r="231" spans="1:32" ht="15.75" x14ac:dyDescent="0.25">
      <c r="A231" s="44"/>
      <c r="B231" s="23"/>
      <c r="C231" s="23"/>
      <c r="D231" s="36"/>
      <c r="E231" s="23"/>
      <c r="F231" s="23"/>
      <c r="G231" s="23"/>
      <c r="H231" s="23"/>
      <c r="I231" s="23"/>
      <c r="J231" s="23"/>
      <c r="K231" s="23"/>
      <c r="L231" s="23"/>
      <c r="M231" s="36"/>
      <c r="N231" s="23"/>
      <c r="O231" s="23"/>
      <c r="P231" s="23"/>
      <c r="Q231" s="23"/>
      <c r="R231" s="23"/>
      <c r="S231" s="23"/>
      <c r="T231" s="23"/>
      <c r="U231" s="23"/>
      <c r="V231" s="36"/>
      <c r="W231" s="42"/>
      <c r="X231" s="42"/>
      <c r="Y231" s="23"/>
      <c r="Z231" s="42"/>
      <c r="AA231" s="42"/>
      <c r="AB231" s="23"/>
      <c r="AC231" s="23"/>
      <c r="AD231" s="23"/>
      <c r="AE231" s="36"/>
      <c r="AF231" s="23"/>
    </row>
    <row r="232" spans="1:32" ht="15.75" x14ac:dyDescent="0.25">
      <c r="A232" s="44"/>
      <c r="B232" s="23"/>
      <c r="C232" s="23"/>
      <c r="D232" s="36"/>
      <c r="E232" s="23"/>
      <c r="F232" s="23"/>
      <c r="G232" s="23"/>
      <c r="H232" s="23"/>
      <c r="I232" s="23"/>
      <c r="J232" s="23"/>
      <c r="K232" s="23"/>
      <c r="L232" s="23"/>
      <c r="M232" s="36"/>
      <c r="N232" s="23"/>
      <c r="O232" s="23"/>
      <c r="P232" s="23"/>
      <c r="Q232" s="23"/>
      <c r="R232" s="23"/>
      <c r="S232" s="23"/>
      <c r="T232" s="23"/>
      <c r="U232" s="23"/>
      <c r="V232" s="36"/>
      <c r="W232" s="42"/>
      <c r="X232" s="42"/>
      <c r="Y232" s="23"/>
      <c r="Z232" s="42"/>
      <c r="AA232" s="42"/>
      <c r="AB232" s="23"/>
      <c r="AC232" s="23"/>
      <c r="AD232" s="23"/>
      <c r="AE232" s="36"/>
      <c r="AF232" s="23"/>
    </row>
    <row r="233" spans="1:32" ht="15.75" x14ac:dyDescent="0.25">
      <c r="A233" s="44"/>
      <c r="B233" s="23"/>
      <c r="C233" s="23"/>
      <c r="D233" s="36"/>
      <c r="E233" s="23"/>
      <c r="F233" s="23"/>
      <c r="G233" s="23"/>
      <c r="H233" s="23"/>
      <c r="I233" s="23"/>
      <c r="J233" s="23"/>
      <c r="K233" s="23"/>
      <c r="L233" s="23"/>
      <c r="M233" s="36"/>
      <c r="N233" s="23"/>
      <c r="O233" s="23"/>
      <c r="P233" s="23"/>
      <c r="Q233" s="23"/>
      <c r="R233" s="23"/>
      <c r="S233" s="23"/>
      <c r="T233" s="23"/>
      <c r="U233" s="23"/>
      <c r="V233" s="36"/>
      <c r="W233" s="42"/>
      <c r="X233" s="42"/>
      <c r="Y233" s="23"/>
      <c r="Z233" s="42"/>
      <c r="AA233" s="42"/>
      <c r="AB233" s="23"/>
      <c r="AC233" s="23"/>
      <c r="AD233" s="23"/>
      <c r="AE233" s="36"/>
      <c r="AF233" s="23"/>
    </row>
    <row r="234" spans="1:32" ht="15.75" x14ac:dyDescent="0.25">
      <c r="A234" s="44"/>
      <c r="B234" s="23"/>
      <c r="C234" s="23"/>
      <c r="D234" s="36"/>
      <c r="E234" s="23"/>
      <c r="F234" s="23"/>
      <c r="G234" s="23"/>
      <c r="H234" s="23"/>
      <c r="I234" s="23"/>
      <c r="J234" s="23"/>
      <c r="K234" s="23"/>
      <c r="L234" s="23"/>
      <c r="M234" s="36"/>
      <c r="N234" s="23"/>
      <c r="O234" s="23"/>
      <c r="P234" s="23"/>
      <c r="Q234" s="23"/>
      <c r="R234" s="23"/>
      <c r="S234" s="23"/>
      <c r="T234" s="23"/>
      <c r="U234" s="23"/>
      <c r="V234" s="36"/>
      <c r="W234" s="42"/>
      <c r="X234" s="42"/>
      <c r="Y234" s="23"/>
      <c r="Z234" s="42"/>
      <c r="AA234" s="42"/>
      <c r="AB234" s="23"/>
      <c r="AC234" s="23"/>
      <c r="AD234" s="23"/>
      <c r="AE234" s="36"/>
      <c r="AF234" s="23"/>
    </row>
    <row r="235" spans="1:32" ht="15.75" x14ac:dyDescent="0.25">
      <c r="A235" s="44"/>
      <c r="B235" s="23"/>
      <c r="C235" s="23"/>
      <c r="D235" s="36"/>
      <c r="E235" s="23"/>
      <c r="F235" s="23"/>
      <c r="G235" s="23"/>
      <c r="H235" s="23"/>
      <c r="I235" s="23"/>
      <c r="J235" s="23"/>
      <c r="K235" s="23"/>
      <c r="L235" s="23"/>
      <c r="M235" s="36"/>
      <c r="N235" s="23"/>
      <c r="O235" s="23"/>
      <c r="P235" s="23"/>
      <c r="Q235" s="23"/>
      <c r="R235" s="23"/>
      <c r="S235" s="23"/>
      <c r="T235" s="23"/>
      <c r="U235" s="23"/>
      <c r="V235" s="36"/>
      <c r="W235" s="42"/>
      <c r="X235" s="42"/>
      <c r="Y235" s="23"/>
      <c r="Z235" s="42"/>
      <c r="AA235" s="42"/>
      <c r="AB235" s="23"/>
      <c r="AC235" s="23"/>
      <c r="AD235" s="23"/>
      <c r="AE235" s="36"/>
      <c r="AF235" s="23"/>
    </row>
    <row r="236" spans="1:32" ht="15.75" x14ac:dyDescent="0.25">
      <c r="A236" s="44"/>
      <c r="B236" s="23"/>
      <c r="C236" s="23"/>
      <c r="D236" s="36"/>
      <c r="E236" s="23"/>
      <c r="F236" s="23"/>
      <c r="G236" s="23"/>
      <c r="H236" s="23"/>
      <c r="I236" s="23"/>
      <c r="J236" s="23"/>
      <c r="K236" s="23"/>
      <c r="L236" s="23"/>
      <c r="M236" s="36"/>
      <c r="N236" s="23"/>
      <c r="O236" s="23"/>
      <c r="P236" s="23"/>
      <c r="Q236" s="23"/>
      <c r="R236" s="23"/>
      <c r="S236" s="23"/>
      <c r="T236" s="23"/>
      <c r="U236" s="23"/>
      <c r="V236" s="36"/>
      <c r="W236" s="42"/>
      <c r="X236" s="42"/>
      <c r="Y236" s="23"/>
      <c r="Z236" s="42"/>
      <c r="AA236" s="42"/>
      <c r="AB236" s="23"/>
      <c r="AC236" s="23"/>
      <c r="AD236" s="23"/>
      <c r="AE236" s="36"/>
      <c r="AF236" s="23"/>
    </row>
    <row r="237" spans="1:32" ht="15.75" x14ac:dyDescent="0.25">
      <c r="A237" s="44"/>
      <c r="B237" s="23"/>
      <c r="C237" s="23"/>
      <c r="D237" s="36"/>
      <c r="E237" s="23"/>
      <c r="F237" s="23"/>
      <c r="G237" s="23"/>
      <c r="H237" s="23"/>
      <c r="I237" s="23"/>
      <c r="J237" s="23"/>
      <c r="K237" s="23"/>
      <c r="L237" s="23"/>
      <c r="M237" s="36"/>
      <c r="N237" s="23"/>
      <c r="O237" s="23"/>
      <c r="P237" s="23"/>
      <c r="Q237" s="23"/>
      <c r="R237" s="23"/>
      <c r="S237" s="23"/>
      <c r="T237" s="23"/>
      <c r="U237" s="23"/>
      <c r="V237" s="36"/>
      <c r="W237" s="42"/>
      <c r="X237" s="42"/>
      <c r="Y237" s="23"/>
      <c r="Z237" s="42"/>
      <c r="AA237" s="42"/>
      <c r="AB237" s="23"/>
      <c r="AC237" s="23"/>
      <c r="AD237" s="23"/>
      <c r="AE237" s="36"/>
      <c r="AF237" s="23"/>
    </row>
    <row r="238" spans="1:32" ht="15.75" x14ac:dyDescent="0.25">
      <c r="A238" s="44"/>
      <c r="B238" s="23"/>
      <c r="C238" s="23"/>
      <c r="D238" s="36"/>
      <c r="E238" s="23"/>
      <c r="F238" s="23"/>
      <c r="G238" s="23"/>
      <c r="H238" s="23"/>
      <c r="I238" s="23"/>
      <c r="J238" s="23"/>
      <c r="K238" s="23"/>
      <c r="L238" s="23"/>
      <c r="M238" s="36"/>
      <c r="N238" s="23"/>
      <c r="O238" s="23"/>
      <c r="P238" s="23"/>
      <c r="Q238" s="23"/>
      <c r="R238" s="23"/>
      <c r="S238" s="23"/>
      <c r="T238" s="23"/>
      <c r="U238" s="23"/>
      <c r="V238" s="36"/>
      <c r="W238" s="42"/>
      <c r="X238" s="42"/>
      <c r="Y238" s="23"/>
      <c r="Z238" s="42"/>
      <c r="AA238" s="42"/>
      <c r="AB238" s="23"/>
      <c r="AC238" s="23"/>
      <c r="AD238" s="23"/>
      <c r="AE238" s="36"/>
      <c r="AF238" s="23"/>
    </row>
    <row r="239" spans="1:32" ht="15.75" x14ac:dyDescent="0.25">
      <c r="A239" s="44"/>
      <c r="B239" s="23"/>
      <c r="C239" s="23"/>
      <c r="D239" s="36"/>
      <c r="E239" s="23"/>
      <c r="F239" s="23"/>
      <c r="G239" s="23"/>
      <c r="H239" s="23"/>
      <c r="I239" s="23"/>
      <c r="J239" s="23"/>
      <c r="K239" s="23"/>
      <c r="L239" s="23"/>
      <c r="M239" s="36"/>
      <c r="N239" s="23"/>
      <c r="O239" s="23"/>
      <c r="P239" s="23"/>
      <c r="Q239" s="23"/>
      <c r="R239" s="23"/>
      <c r="S239" s="23"/>
      <c r="T239" s="23"/>
      <c r="U239" s="23"/>
      <c r="V239" s="36"/>
      <c r="W239" s="42"/>
      <c r="X239" s="42"/>
      <c r="Y239" s="23"/>
      <c r="Z239" s="42"/>
      <c r="AA239" s="42"/>
      <c r="AB239" s="23"/>
      <c r="AC239" s="23"/>
      <c r="AD239" s="23"/>
      <c r="AE239" s="36"/>
      <c r="AF239" s="23"/>
    </row>
    <row r="240" spans="1:32" ht="15.75" x14ac:dyDescent="0.25">
      <c r="A240" s="44"/>
      <c r="B240" s="23"/>
      <c r="C240" s="23"/>
      <c r="D240" s="36"/>
      <c r="E240" s="23"/>
      <c r="F240" s="23"/>
      <c r="G240" s="23"/>
      <c r="H240" s="23"/>
      <c r="I240" s="23"/>
      <c r="J240" s="23"/>
      <c r="K240" s="23"/>
      <c r="L240" s="23"/>
      <c r="M240" s="36"/>
      <c r="N240" s="23"/>
      <c r="O240" s="23"/>
      <c r="P240" s="23"/>
      <c r="Q240" s="23"/>
      <c r="R240" s="23"/>
      <c r="S240" s="23"/>
      <c r="T240" s="23"/>
      <c r="U240" s="23"/>
      <c r="V240" s="36"/>
      <c r="W240" s="42"/>
      <c r="X240" s="42"/>
      <c r="Y240" s="23"/>
      <c r="Z240" s="42"/>
      <c r="AA240" s="42"/>
      <c r="AB240" s="23"/>
      <c r="AC240" s="23"/>
      <c r="AD240" s="23"/>
      <c r="AE240" s="36"/>
      <c r="AF240" s="23"/>
    </row>
    <row r="241" spans="1:32" ht="15.75" x14ac:dyDescent="0.25">
      <c r="A241" s="44"/>
      <c r="B241" s="23"/>
      <c r="C241" s="23"/>
      <c r="D241" s="36"/>
      <c r="E241" s="23"/>
      <c r="F241" s="23"/>
      <c r="G241" s="23"/>
      <c r="H241" s="23"/>
      <c r="I241" s="23"/>
      <c r="J241" s="23"/>
      <c r="K241" s="23"/>
      <c r="L241" s="23"/>
      <c r="M241" s="36"/>
      <c r="N241" s="23"/>
      <c r="O241" s="23"/>
      <c r="P241" s="23"/>
      <c r="Q241" s="23"/>
      <c r="R241" s="23"/>
      <c r="S241" s="23"/>
      <c r="T241" s="23"/>
      <c r="U241" s="23"/>
      <c r="V241" s="36"/>
      <c r="W241" s="42"/>
      <c r="X241" s="42"/>
      <c r="Y241" s="23"/>
      <c r="Z241" s="42"/>
      <c r="AA241" s="42"/>
      <c r="AB241" s="23"/>
      <c r="AC241" s="23"/>
      <c r="AD241" s="23"/>
      <c r="AE241" s="36"/>
      <c r="AF241" s="23"/>
    </row>
    <row r="242" spans="1:32" ht="15.75" x14ac:dyDescent="0.25">
      <c r="A242" s="44"/>
      <c r="B242" s="23"/>
      <c r="C242" s="23"/>
      <c r="D242" s="36"/>
      <c r="E242" s="23"/>
      <c r="F242" s="23"/>
      <c r="G242" s="23"/>
      <c r="H242" s="23"/>
      <c r="I242" s="23"/>
      <c r="J242" s="23"/>
      <c r="K242" s="23"/>
      <c r="L242" s="23"/>
      <c r="M242" s="36"/>
      <c r="N242" s="23"/>
      <c r="O242" s="23"/>
      <c r="P242" s="23"/>
      <c r="Q242" s="23"/>
      <c r="R242" s="23"/>
      <c r="S242" s="23"/>
      <c r="T242" s="23"/>
      <c r="U242" s="23"/>
      <c r="V242" s="36"/>
      <c r="W242" s="42"/>
      <c r="X242" s="42"/>
      <c r="Y242" s="23"/>
      <c r="Z242" s="42"/>
      <c r="AA242" s="42"/>
      <c r="AB242" s="23"/>
      <c r="AC242" s="23"/>
      <c r="AD242" s="23"/>
      <c r="AE242" s="36"/>
      <c r="AF242" s="23"/>
    </row>
    <row r="243" spans="1:32" ht="15.75" x14ac:dyDescent="0.25">
      <c r="A243" s="44"/>
      <c r="B243" s="23"/>
      <c r="C243" s="23"/>
      <c r="D243" s="36"/>
      <c r="E243" s="23"/>
      <c r="F243" s="23"/>
      <c r="G243" s="23"/>
      <c r="H243" s="23"/>
      <c r="I243" s="23"/>
      <c r="J243" s="23"/>
      <c r="K243" s="23"/>
      <c r="L243" s="23"/>
      <c r="M243" s="36"/>
      <c r="N243" s="23"/>
      <c r="O243" s="23"/>
      <c r="P243" s="23"/>
      <c r="Q243" s="23"/>
      <c r="R243" s="23"/>
      <c r="S243" s="23"/>
      <c r="T243" s="23"/>
      <c r="U243" s="23"/>
      <c r="V243" s="36"/>
      <c r="W243" s="42"/>
      <c r="X243" s="42"/>
      <c r="Y243" s="23"/>
      <c r="Z243" s="42"/>
      <c r="AA243" s="42"/>
      <c r="AB243" s="23"/>
      <c r="AC243" s="23"/>
      <c r="AD243" s="23"/>
      <c r="AE243" s="36"/>
      <c r="AF243" s="23"/>
    </row>
    <row r="244" spans="1:32" ht="15.75" x14ac:dyDescent="0.25">
      <c r="A244" s="44"/>
      <c r="B244" s="23"/>
      <c r="C244" s="23"/>
      <c r="D244" s="36"/>
      <c r="E244" s="23"/>
      <c r="F244" s="23"/>
      <c r="G244" s="23"/>
      <c r="H244" s="23"/>
      <c r="I244" s="23"/>
      <c r="J244" s="23"/>
      <c r="K244" s="23"/>
      <c r="L244" s="23"/>
      <c r="M244" s="36"/>
      <c r="N244" s="23"/>
      <c r="O244" s="23"/>
      <c r="P244" s="23"/>
      <c r="Q244" s="23"/>
      <c r="R244" s="23"/>
      <c r="S244" s="23"/>
      <c r="T244" s="23"/>
      <c r="U244" s="23"/>
      <c r="V244" s="36"/>
      <c r="W244" s="42"/>
      <c r="X244" s="42"/>
      <c r="Y244" s="23"/>
      <c r="Z244" s="42"/>
      <c r="AA244" s="42"/>
      <c r="AB244" s="23"/>
      <c r="AC244" s="23"/>
      <c r="AD244" s="23"/>
      <c r="AE244" s="36"/>
      <c r="AF244" s="23"/>
    </row>
    <row r="245" spans="1:32" ht="15.75" x14ac:dyDescent="0.25">
      <c r="A245" s="44"/>
      <c r="B245" s="23"/>
      <c r="C245" s="23"/>
      <c r="D245" s="36"/>
      <c r="E245" s="23"/>
      <c r="F245" s="23"/>
      <c r="G245" s="23"/>
      <c r="H245" s="23"/>
      <c r="I245" s="23"/>
      <c r="J245" s="23"/>
      <c r="K245" s="23"/>
      <c r="L245" s="23"/>
      <c r="M245" s="36"/>
      <c r="N245" s="23"/>
      <c r="O245" s="23"/>
      <c r="P245" s="23"/>
      <c r="Q245" s="23"/>
      <c r="R245" s="23"/>
      <c r="S245" s="23"/>
      <c r="T245" s="23"/>
      <c r="U245" s="23"/>
      <c r="V245" s="36"/>
      <c r="W245" s="42"/>
      <c r="X245" s="42"/>
      <c r="Y245" s="23"/>
      <c r="Z245" s="42"/>
      <c r="AA245" s="42"/>
      <c r="AB245" s="23"/>
      <c r="AC245" s="23"/>
      <c r="AD245" s="23"/>
      <c r="AE245" s="36"/>
      <c r="AF245" s="23"/>
    </row>
    <row r="246" spans="1:32" ht="15.75" x14ac:dyDescent="0.25">
      <c r="A246" s="44"/>
      <c r="B246" s="23"/>
      <c r="C246" s="23"/>
      <c r="D246" s="36"/>
      <c r="E246" s="23"/>
      <c r="F246" s="23"/>
      <c r="G246" s="23"/>
      <c r="H246" s="23"/>
      <c r="I246" s="23"/>
      <c r="J246" s="23"/>
      <c r="K246" s="23"/>
      <c r="L246" s="23"/>
      <c r="M246" s="36"/>
      <c r="N246" s="23"/>
      <c r="O246" s="23"/>
      <c r="P246" s="23"/>
      <c r="Q246" s="23"/>
      <c r="R246" s="23"/>
      <c r="S246" s="23"/>
      <c r="T246" s="23"/>
      <c r="U246" s="23"/>
      <c r="V246" s="36"/>
      <c r="W246" s="42"/>
      <c r="X246" s="42"/>
      <c r="Y246" s="23"/>
      <c r="Z246" s="42"/>
      <c r="AA246" s="42"/>
      <c r="AB246" s="23"/>
      <c r="AC246" s="23"/>
      <c r="AD246" s="23"/>
      <c r="AE246" s="36"/>
      <c r="AF246" s="23"/>
    </row>
    <row r="247" spans="1:32" ht="15.75" x14ac:dyDescent="0.25">
      <c r="A247" s="44"/>
      <c r="B247" s="23"/>
      <c r="C247" s="23"/>
      <c r="D247" s="36"/>
      <c r="E247" s="23"/>
      <c r="F247" s="23"/>
      <c r="G247" s="23"/>
      <c r="H247" s="23"/>
      <c r="I247" s="23"/>
      <c r="J247" s="23"/>
      <c r="K247" s="23"/>
      <c r="L247" s="23"/>
      <c r="M247" s="36"/>
      <c r="N247" s="23"/>
      <c r="O247" s="23"/>
      <c r="P247" s="23"/>
      <c r="Q247" s="23"/>
      <c r="R247" s="23"/>
      <c r="S247" s="23"/>
      <c r="T247" s="23"/>
      <c r="U247" s="23"/>
      <c r="V247" s="36"/>
      <c r="W247" s="42"/>
      <c r="X247" s="42"/>
      <c r="Y247" s="23"/>
      <c r="Z247" s="42"/>
      <c r="AA247" s="42"/>
      <c r="AB247" s="23"/>
      <c r="AC247" s="23"/>
      <c r="AD247" s="23"/>
      <c r="AE247" s="36"/>
      <c r="AF247" s="23"/>
    </row>
    <row r="248" spans="1:32" ht="15.75" x14ac:dyDescent="0.25">
      <c r="A248" s="44"/>
      <c r="B248" s="23"/>
      <c r="C248" s="23"/>
      <c r="D248" s="36"/>
      <c r="E248" s="23"/>
      <c r="F248" s="23"/>
      <c r="G248" s="23"/>
      <c r="H248" s="23"/>
      <c r="I248" s="23"/>
      <c r="J248" s="23"/>
      <c r="K248" s="23"/>
      <c r="L248" s="23"/>
      <c r="M248" s="36"/>
      <c r="N248" s="23"/>
      <c r="O248" s="23"/>
      <c r="P248" s="23"/>
      <c r="Q248" s="23"/>
      <c r="R248" s="23"/>
      <c r="S248" s="23"/>
      <c r="T248" s="23"/>
      <c r="U248" s="23"/>
      <c r="V248" s="36"/>
      <c r="W248" s="42"/>
      <c r="X248" s="42"/>
      <c r="Y248" s="23"/>
      <c r="Z248" s="42"/>
      <c r="AA248" s="42"/>
      <c r="AB248" s="23"/>
      <c r="AC248" s="23"/>
      <c r="AD248" s="23"/>
      <c r="AE248" s="36"/>
      <c r="AF248" s="23"/>
    </row>
    <row r="249" spans="1:32" ht="15.75" x14ac:dyDescent="0.25">
      <c r="A249" s="44"/>
      <c r="B249" s="23"/>
      <c r="C249" s="23"/>
      <c r="D249" s="36"/>
      <c r="E249" s="23"/>
      <c r="F249" s="23"/>
      <c r="G249" s="23"/>
      <c r="H249" s="23"/>
      <c r="I249" s="23"/>
      <c r="J249" s="23"/>
      <c r="K249" s="23"/>
      <c r="L249" s="23"/>
      <c r="M249" s="36"/>
      <c r="N249" s="23"/>
      <c r="O249" s="23"/>
      <c r="P249" s="23"/>
      <c r="Q249" s="23"/>
      <c r="R249" s="23"/>
      <c r="S249" s="23"/>
      <c r="T249" s="23"/>
      <c r="U249" s="23"/>
      <c r="V249" s="36"/>
      <c r="W249" s="42"/>
      <c r="X249" s="42"/>
      <c r="Y249" s="23"/>
      <c r="Z249" s="42"/>
      <c r="AA249" s="42"/>
      <c r="AB249" s="23"/>
      <c r="AC249" s="23"/>
      <c r="AD249" s="23"/>
      <c r="AE249" s="36"/>
      <c r="AF249" s="23"/>
    </row>
    <row r="250" spans="1:32" ht="15.75" x14ac:dyDescent="0.25">
      <c r="A250" s="44"/>
      <c r="B250" s="23"/>
      <c r="C250" s="23"/>
      <c r="D250" s="36"/>
      <c r="E250" s="23"/>
      <c r="F250" s="23"/>
      <c r="G250" s="23"/>
      <c r="H250" s="23"/>
      <c r="I250" s="23"/>
      <c r="J250" s="23"/>
      <c r="K250" s="23"/>
      <c r="L250" s="23"/>
      <c r="M250" s="36"/>
      <c r="N250" s="23"/>
      <c r="O250" s="23"/>
      <c r="P250" s="23"/>
      <c r="Q250" s="23"/>
      <c r="R250" s="23"/>
      <c r="S250" s="23"/>
      <c r="T250" s="23"/>
      <c r="U250" s="23"/>
      <c r="V250" s="36"/>
      <c r="W250" s="42"/>
      <c r="X250" s="42"/>
      <c r="Y250" s="23"/>
      <c r="Z250" s="42"/>
      <c r="AA250" s="42"/>
      <c r="AB250" s="23"/>
      <c r="AC250" s="23"/>
      <c r="AD250" s="23"/>
      <c r="AE250" s="36"/>
      <c r="AF250" s="23"/>
    </row>
    <row r="251" spans="1:32" ht="15.75" x14ac:dyDescent="0.25">
      <c r="A251" s="44"/>
      <c r="B251" s="23"/>
      <c r="C251" s="23"/>
      <c r="D251" s="36"/>
      <c r="E251" s="23"/>
      <c r="F251" s="23"/>
      <c r="G251" s="23"/>
      <c r="H251" s="23"/>
      <c r="I251" s="23"/>
      <c r="J251" s="23"/>
      <c r="K251" s="23"/>
      <c r="L251" s="23"/>
      <c r="M251" s="36"/>
      <c r="N251" s="23"/>
      <c r="O251" s="23"/>
      <c r="P251" s="23"/>
      <c r="Q251" s="23"/>
      <c r="R251" s="23"/>
      <c r="S251" s="23"/>
      <c r="T251" s="23"/>
      <c r="U251" s="23"/>
      <c r="V251" s="36"/>
      <c r="W251" s="42"/>
      <c r="X251" s="42"/>
      <c r="Y251" s="23"/>
      <c r="Z251" s="42"/>
      <c r="AA251" s="42"/>
      <c r="AB251" s="23"/>
      <c r="AC251" s="23"/>
      <c r="AD251" s="23"/>
      <c r="AE251" s="36"/>
      <c r="AF251" s="23"/>
    </row>
    <row r="252" spans="1:32" ht="15.75" x14ac:dyDescent="0.25">
      <c r="A252" s="44"/>
      <c r="B252" s="23"/>
      <c r="C252" s="23"/>
      <c r="D252" s="36"/>
      <c r="E252" s="23"/>
      <c r="F252" s="23"/>
      <c r="G252" s="23"/>
      <c r="H252" s="23"/>
      <c r="I252" s="23"/>
      <c r="J252" s="23"/>
      <c r="K252" s="23"/>
      <c r="L252" s="23"/>
      <c r="M252" s="36"/>
      <c r="N252" s="23"/>
      <c r="O252" s="23"/>
      <c r="P252" s="23"/>
      <c r="Q252" s="23"/>
      <c r="R252" s="23"/>
      <c r="S252" s="23"/>
      <c r="T252" s="23"/>
      <c r="U252" s="23"/>
      <c r="V252" s="36"/>
      <c r="W252" s="42"/>
      <c r="X252" s="42"/>
      <c r="Y252" s="23"/>
      <c r="Z252" s="42"/>
      <c r="AA252" s="42"/>
      <c r="AB252" s="23"/>
      <c r="AC252" s="23"/>
      <c r="AD252" s="23"/>
      <c r="AE252" s="36"/>
      <c r="AF252" s="23"/>
    </row>
    <row r="253" spans="1:32" ht="15.75" x14ac:dyDescent="0.25">
      <c r="A253" s="44"/>
      <c r="B253" s="23"/>
      <c r="C253" s="23"/>
      <c r="D253" s="36"/>
      <c r="E253" s="23"/>
      <c r="F253" s="23"/>
      <c r="G253" s="23"/>
      <c r="H253" s="23"/>
      <c r="I253" s="23"/>
      <c r="J253" s="23"/>
      <c r="K253" s="23"/>
      <c r="L253" s="23"/>
      <c r="M253" s="36"/>
      <c r="N253" s="23"/>
      <c r="O253" s="23"/>
      <c r="P253" s="23"/>
      <c r="Q253" s="23"/>
      <c r="R253" s="23"/>
      <c r="S253" s="23"/>
      <c r="T253" s="23"/>
      <c r="U253" s="23"/>
      <c r="V253" s="36"/>
      <c r="W253" s="42"/>
      <c r="X253" s="42"/>
      <c r="Y253" s="23"/>
      <c r="Z253" s="42"/>
      <c r="AA253" s="42"/>
      <c r="AB253" s="23"/>
      <c r="AC253" s="23"/>
      <c r="AD253" s="23"/>
      <c r="AE253" s="36"/>
      <c r="AF253" s="23"/>
    </row>
    <row r="254" spans="1:32" ht="15.75" x14ac:dyDescent="0.25">
      <c r="A254" s="44"/>
      <c r="B254" s="23"/>
      <c r="C254" s="23"/>
      <c r="D254" s="36"/>
      <c r="E254" s="23"/>
      <c r="F254" s="23"/>
      <c r="G254" s="23"/>
      <c r="H254" s="23"/>
      <c r="I254" s="23"/>
      <c r="J254" s="23"/>
      <c r="K254" s="23"/>
      <c r="L254" s="23"/>
      <c r="M254" s="36"/>
      <c r="N254" s="23"/>
      <c r="O254" s="23"/>
      <c r="P254" s="23"/>
      <c r="Q254" s="23"/>
      <c r="R254" s="23"/>
      <c r="S254" s="23"/>
      <c r="T254" s="23"/>
      <c r="U254" s="23"/>
      <c r="V254" s="36"/>
      <c r="W254" s="42"/>
      <c r="X254" s="42"/>
      <c r="Y254" s="23"/>
      <c r="Z254" s="42"/>
      <c r="AA254" s="42"/>
      <c r="AB254" s="23"/>
      <c r="AC254" s="23"/>
      <c r="AD254" s="23"/>
      <c r="AE254" s="36"/>
      <c r="AF254" s="23"/>
    </row>
    <row r="255" spans="1:32" ht="15.75" x14ac:dyDescent="0.25">
      <c r="A255" s="44"/>
      <c r="B255" s="23"/>
      <c r="C255" s="23"/>
      <c r="D255" s="36"/>
      <c r="E255" s="23"/>
      <c r="F255" s="23"/>
      <c r="G255" s="23"/>
      <c r="H255" s="23"/>
      <c r="I255" s="23"/>
      <c r="J255" s="23"/>
      <c r="K255" s="23"/>
      <c r="L255" s="23"/>
      <c r="M255" s="36"/>
      <c r="N255" s="23"/>
      <c r="O255" s="23"/>
      <c r="P255" s="23"/>
      <c r="Q255" s="23"/>
      <c r="R255" s="23"/>
      <c r="S255" s="23"/>
      <c r="T255" s="23"/>
      <c r="U255" s="23"/>
      <c r="V255" s="36"/>
      <c r="W255" s="42"/>
      <c r="X255" s="42"/>
      <c r="Y255" s="23"/>
      <c r="Z255" s="42"/>
      <c r="AA255" s="42"/>
      <c r="AB255" s="23"/>
      <c r="AC255" s="23"/>
      <c r="AD255" s="23"/>
      <c r="AE255" s="36"/>
      <c r="AF255" s="23"/>
    </row>
    <row r="256" spans="1:32" ht="15.75" x14ac:dyDescent="0.25">
      <c r="A256" s="44"/>
      <c r="B256" s="23"/>
      <c r="C256" s="23"/>
      <c r="D256" s="36"/>
      <c r="E256" s="23"/>
      <c r="F256" s="23"/>
      <c r="G256" s="23"/>
      <c r="H256" s="23"/>
      <c r="I256" s="23"/>
      <c r="J256" s="23"/>
      <c r="K256" s="23"/>
      <c r="L256" s="23"/>
      <c r="M256" s="36"/>
      <c r="N256" s="23"/>
      <c r="O256" s="23"/>
      <c r="P256" s="23"/>
      <c r="Q256" s="23"/>
      <c r="R256" s="23"/>
      <c r="S256" s="23"/>
      <c r="T256" s="23"/>
      <c r="U256" s="23"/>
      <c r="V256" s="36"/>
      <c r="W256" s="42"/>
      <c r="X256" s="42"/>
      <c r="Y256" s="23"/>
      <c r="Z256" s="42"/>
      <c r="AA256" s="42"/>
      <c r="AB256" s="23"/>
      <c r="AC256" s="23"/>
      <c r="AD256" s="23"/>
      <c r="AE256" s="36"/>
      <c r="AF256" s="23"/>
    </row>
    <row r="257" spans="1:32" ht="15.75" x14ac:dyDescent="0.25">
      <c r="A257" s="44"/>
      <c r="B257" s="23"/>
      <c r="C257" s="23"/>
      <c r="D257" s="36"/>
      <c r="E257" s="23"/>
      <c r="F257" s="23"/>
      <c r="G257" s="23"/>
      <c r="H257" s="23"/>
      <c r="I257" s="23"/>
      <c r="J257" s="23"/>
      <c r="K257" s="23"/>
      <c r="L257" s="23"/>
      <c r="M257" s="36"/>
      <c r="N257" s="23"/>
      <c r="O257" s="23"/>
      <c r="P257" s="23"/>
      <c r="Q257" s="23"/>
      <c r="R257" s="23"/>
      <c r="S257" s="23"/>
      <c r="T257" s="23"/>
      <c r="U257" s="23"/>
      <c r="V257" s="36"/>
      <c r="W257" s="42"/>
      <c r="X257" s="42"/>
      <c r="Y257" s="23"/>
      <c r="Z257" s="42"/>
      <c r="AA257" s="42"/>
      <c r="AB257" s="23"/>
      <c r="AC257" s="23"/>
      <c r="AD257" s="23"/>
      <c r="AE257" s="36"/>
      <c r="AF257" s="23"/>
    </row>
    <row r="258" spans="1:32" ht="15.75" x14ac:dyDescent="0.25">
      <c r="A258" s="44"/>
      <c r="B258" s="23"/>
      <c r="C258" s="23"/>
      <c r="D258" s="36"/>
      <c r="E258" s="23"/>
      <c r="F258" s="23"/>
      <c r="G258" s="23"/>
      <c r="H258" s="23"/>
      <c r="I258" s="23"/>
      <c r="J258" s="23"/>
      <c r="K258" s="23"/>
      <c r="L258" s="23"/>
      <c r="M258" s="36"/>
      <c r="N258" s="23"/>
      <c r="O258" s="23"/>
      <c r="P258" s="23"/>
      <c r="Q258" s="23"/>
      <c r="R258" s="23"/>
      <c r="S258" s="23"/>
      <c r="T258" s="23"/>
      <c r="U258" s="23"/>
      <c r="V258" s="36"/>
      <c r="W258" s="42"/>
      <c r="X258" s="42"/>
      <c r="Y258" s="23"/>
      <c r="Z258" s="42"/>
      <c r="AA258" s="42"/>
      <c r="AB258" s="23"/>
      <c r="AC258" s="23"/>
      <c r="AD258" s="23"/>
      <c r="AE258" s="36"/>
      <c r="AF258" s="23"/>
    </row>
    <row r="259" spans="1:32" ht="15.75" x14ac:dyDescent="0.25">
      <c r="A259" s="44"/>
      <c r="B259" s="23"/>
      <c r="C259" s="23"/>
      <c r="D259" s="36"/>
      <c r="E259" s="23"/>
      <c r="F259" s="23"/>
      <c r="G259" s="23"/>
      <c r="H259" s="23"/>
      <c r="I259" s="23"/>
      <c r="J259" s="23"/>
      <c r="K259" s="23"/>
      <c r="L259" s="23"/>
      <c r="M259" s="36"/>
      <c r="N259" s="23"/>
      <c r="O259" s="23"/>
      <c r="P259" s="23"/>
      <c r="Q259" s="23"/>
      <c r="R259" s="23"/>
      <c r="S259" s="23"/>
      <c r="T259" s="23"/>
      <c r="U259" s="23"/>
      <c r="V259" s="36"/>
      <c r="W259" s="42"/>
      <c r="X259" s="42"/>
      <c r="Y259" s="23"/>
      <c r="Z259" s="42"/>
      <c r="AA259" s="42"/>
      <c r="AB259" s="23"/>
      <c r="AC259" s="23"/>
      <c r="AD259" s="23"/>
      <c r="AE259" s="36"/>
      <c r="AF259" s="23"/>
    </row>
    <row r="260" spans="1:32" ht="15.75" x14ac:dyDescent="0.25">
      <c r="A260" s="44"/>
      <c r="B260" s="23"/>
      <c r="C260" s="23"/>
      <c r="D260" s="36"/>
      <c r="E260" s="23"/>
      <c r="F260" s="23"/>
      <c r="G260" s="23"/>
      <c r="H260" s="23"/>
      <c r="I260" s="23"/>
      <c r="J260" s="23"/>
      <c r="K260" s="23"/>
      <c r="L260" s="23"/>
      <c r="M260" s="36"/>
      <c r="N260" s="23"/>
      <c r="O260" s="23"/>
      <c r="P260" s="23"/>
      <c r="Q260" s="23"/>
      <c r="R260" s="23"/>
      <c r="S260" s="23"/>
      <c r="T260" s="23"/>
      <c r="U260" s="23"/>
      <c r="V260" s="36"/>
      <c r="W260" s="42"/>
      <c r="X260" s="42"/>
      <c r="Y260" s="23"/>
      <c r="Z260" s="42"/>
      <c r="AA260" s="42"/>
      <c r="AB260" s="23"/>
      <c r="AC260" s="23"/>
      <c r="AD260" s="23"/>
      <c r="AE260" s="36"/>
      <c r="AF260" s="23"/>
    </row>
    <row r="261" spans="1:32" ht="15.75" x14ac:dyDescent="0.25">
      <c r="A261" s="44"/>
      <c r="B261" s="23"/>
      <c r="C261" s="23"/>
      <c r="D261" s="36"/>
      <c r="E261" s="23"/>
      <c r="F261" s="23"/>
      <c r="G261" s="23"/>
      <c r="H261" s="23"/>
      <c r="I261" s="23"/>
      <c r="J261" s="23"/>
      <c r="K261" s="23"/>
      <c r="L261" s="23"/>
      <c r="M261" s="36"/>
      <c r="N261" s="23"/>
      <c r="O261" s="23"/>
      <c r="P261" s="23"/>
      <c r="Q261" s="23"/>
      <c r="R261" s="23"/>
      <c r="S261" s="23"/>
      <c r="T261" s="23"/>
      <c r="U261" s="23"/>
      <c r="V261" s="36"/>
      <c r="W261" s="42"/>
      <c r="X261" s="42"/>
      <c r="Y261" s="23"/>
      <c r="Z261" s="42"/>
      <c r="AA261" s="42"/>
      <c r="AB261" s="23"/>
      <c r="AC261" s="23"/>
      <c r="AD261" s="23"/>
      <c r="AE261" s="36"/>
      <c r="AF261" s="23"/>
    </row>
    <row r="262" spans="1:32" ht="15.75" x14ac:dyDescent="0.25">
      <c r="A262" s="44"/>
      <c r="B262" s="23"/>
      <c r="C262" s="23"/>
      <c r="D262" s="36"/>
      <c r="E262" s="23"/>
      <c r="F262" s="23"/>
      <c r="G262" s="23"/>
      <c r="H262" s="23"/>
      <c r="I262" s="23"/>
      <c r="J262" s="23"/>
      <c r="K262" s="23"/>
      <c r="L262" s="23"/>
      <c r="M262" s="36"/>
      <c r="N262" s="23"/>
      <c r="O262" s="23"/>
      <c r="P262" s="23"/>
      <c r="Q262" s="23"/>
      <c r="R262" s="23"/>
      <c r="S262" s="23"/>
      <c r="T262" s="23"/>
      <c r="U262" s="23"/>
      <c r="V262" s="36"/>
      <c r="W262" s="42"/>
      <c r="X262" s="42"/>
      <c r="Y262" s="23"/>
      <c r="Z262" s="42"/>
      <c r="AA262" s="42"/>
      <c r="AB262" s="23"/>
      <c r="AC262" s="23"/>
      <c r="AD262" s="23"/>
      <c r="AE262" s="36"/>
      <c r="AF262" s="23"/>
    </row>
    <row r="263" spans="1:32" ht="15.75" x14ac:dyDescent="0.25">
      <c r="A263" s="44"/>
      <c r="B263" s="23"/>
      <c r="C263" s="23"/>
      <c r="D263" s="36"/>
      <c r="E263" s="23"/>
      <c r="F263" s="23"/>
      <c r="G263" s="23"/>
      <c r="H263" s="23"/>
      <c r="I263" s="23"/>
      <c r="J263" s="23"/>
      <c r="K263" s="23"/>
      <c r="L263" s="23"/>
      <c r="M263" s="36"/>
      <c r="N263" s="23"/>
      <c r="O263" s="23"/>
      <c r="P263" s="23"/>
      <c r="Q263" s="23"/>
      <c r="R263" s="23"/>
      <c r="S263" s="23"/>
      <c r="T263" s="23"/>
      <c r="U263" s="23"/>
      <c r="V263" s="36"/>
      <c r="W263" s="42"/>
      <c r="X263" s="42"/>
      <c r="Y263" s="23"/>
      <c r="Z263" s="42"/>
      <c r="AA263" s="42"/>
      <c r="AB263" s="23"/>
      <c r="AC263" s="23"/>
      <c r="AD263" s="23"/>
      <c r="AE263" s="36"/>
      <c r="AF263" s="23"/>
    </row>
    <row r="264" spans="1:32" ht="15.75" x14ac:dyDescent="0.25">
      <c r="A264" s="44"/>
      <c r="B264" s="23"/>
      <c r="C264" s="23"/>
      <c r="D264" s="36"/>
      <c r="E264" s="23"/>
      <c r="F264" s="23"/>
      <c r="G264" s="23"/>
      <c r="H264" s="23"/>
      <c r="I264" s="23"/>
      <c r="J264" s="23"/>
      <c r="K264" s="23"/>
      <c r="L264" s="23"/>
      <c r="M264" s="36"/>
      <c r="N264" s="23"/>
      <c r="O264" s="23"/>
      <c r="P264" s="23"/>
      <c r="Q264" s="23"/>
      <c r="R264" s="23"/>
      <c r="S264" s="23"/>
      <c r="T264" s="23"/>
      <c r="U264" s="23"/>
      <c r="V264" s="36"/>
      <c r="W264" s="42"/>
      <c r="X264" s="42"/>
      <c r="Y264" s="23"/>
      <c r="Z264" s="42"/>
      <c r="AA264" s="42"/>
      <c r="AB264" s="23"/>
      <c r="AC264" s="23"/>
      <c r="AD264" s="23"/>
      <c r="AE264" s="36"/>
      <c r="AF264" s="23"/>
    </row>
    <row r="265" spans="1:32" ht="15.75" x14ac:dyDescent="0.25">
      <c r="A265" s="44"/>
      <c r="B265" s="23"/>
      <c r="C265" s="23"/>
      <c r="D265" s="36"/>
      <c r="E265" s="23"/>
      <c r="F265" s="23"/>
      <c r="G265" s="23"/>
      <c r="H265" s="23"/>
      <c r="I265" s="23"/>
      <c r="J265" s="23"/>
      <c r="K265" s="23"/>
      <c r="L265" s="23"/>
      <c r="M265" s="36"/>
      <c r="N265" s="23"/>
      <c r="O265" s="23"/>
      <c r="P265" s="23"/>
      <c r="Q265" s="23"/>
      <c r="R265" s="23"/>
      <c r="S265" s="23"/>
      <c r="T265" s="23"/>
      <c r="U265" s="23"/>
      <c r="V265" s="36"/>
      <c r="W265" s="42"/>
      <c r="X265" s="42"/>
      <c r="Y265" s="23"/>
      <c r="Z265" s="42"/>
      <c r="AA265" s="42"/>
      <c r="AB265" s="23"/>
      <c r="AC265" s="23"/>
      <c r="AD265" s="23"/>
      <c r="AE265" s="36"/>
      <c r="AF265" s="23"/>
    </row>
    <row r="266" spans="1:32" ht="15.75" x14ac:dyDescent="0.25">
      <c r="A266" s="44"/>
      <c r="B266" s="23"/>
      <c r="C266" s="23"/>
      <c r="D266" s="36"/>
      <c r="E266" s="23"/>
      <c r="F266" s="23"/>
      <c r="G266" s="23"/>
      <c r="H266" s="23"/>
      <c r="I266" s="23"/>
      <c r="J266" s="23"/>
      <c r="K266" s="23"/>
      <c r="L266" s="23"/>
      <c r="M266" s="36"/>
      <c r="N266" s="23"/>
      <c r="O266" s="23"/>
      <c r="P266" s="23"/>
      <c r="Q266" s="23"/>
      <c r="R266" s="23"/>
      <c r="S266" s="23"/>
      <c r="T266" s="23"/>
      <c r="U266" s="23"/>
      <c r="V266" s="36"/>
      <c r="W266" s="42"/>
      <c r="X266" s="42"/>
      <c r="Y266" s="23"/>
      <c r="Z266" s="42"/>
      <c r="AA266" s="42"/>
      <c r="AB266" s="23"/>
      <c r="AC266" s="23"/>
      <c r="AD266" s="23"/>
      <c r="AE266" s="36"/>
      <c r="AF266" s="23"/>
    </row>
    <row r="267" spans="1:32" ht="15.75" x14ac:dyDescent="0.25">
      <c r="A267" s="44"/>
      <c r="B267" s="23"/>
      <c r="C267" s="23"/>
      <c r="D267" s="36"/>
      <c r="E267" s="23"/>
      <c r="F267" s="23"/>
      <c r="G267" s="23"/>
      <c r="H267" s="23"/>
      <c r="I267" s="23"/>
      <c r="J267" s="23"/>
      <c r="K267" s="23"/>
      <c r="L267" s="23"/>
      <c r="M267" s="36"/>
      <c r="N267" s="23"/>
      <c r="O267" s="23"/>
      <c r="P267" s="23"/>
      <c r="Q267" s="23"/>
      <c r="R267" s="23"/>
      <c r="S267" s="23"/>
      <c r="T267" s="23"/>
      <c r="U267" s="23"/>
      <c r="V267" s="36"/>
      <c r="W267" s="42"/>
      <c r="X267" s="42"/>
      <c r="Y267" s="23"/>
      <c r="Z267" s="42"/>
      <c r="AA267" s="42"/>
      <c r="AB267" s="23"/>
      <c r="AC267" s="23"/>
      <c r="AD267" s="23"/>
      <c r="AE267" s="36"/>
      <c r="AF267" s="23"/>
    </row>
    <row r="268" spans="1:32" ht="15.75" x14ac:dyDescent="0.25">
      <c r="A268" s="44"/>
      <c r="B268" s="23"/>
      <c r="C268" s="23"/>
      <c r="D268" s="36"/>
      <c r="E268" s="23"/>
      <c r="F268" s="23"/>
      <c r="G268" s="23"/>
      <c r="H268" s="23"/>
      <c r="I268" s="23"/>
      <c r="J268" s="23"/>
      <c r="K268" s="23"/>
      <c r="L268" s="23"/>
      <c r="M268" s="36"/>
      <c r="N268" s="23"/>
      <c r="O268" s="23"/>
      <c r="P268" s="23"/>
      <c r="Q268" s="23"/>
      <c r="R268" s="23"/>
      <c r="S268" s="23"/>
      <c r="T268" s="23"/>
      <c r="U268" s="23"/>
      <c r="V268" s="36"/>
      <c r="W268" s="42"/>
      <c r="X268" s="42"/>
      <c r="Y268" s="23"/>
      <c r="Z268" s="42"/>
      <c r="AA268" s="42"/>
      <c r="AB268" s="23"/>
      <c r="AC268" s="23"/>
      <c r="AD268" s="23"/>
      <c r="AE268" s="36"/>
      <c r="AF268" s="23"/>
    </row>
    <row r="269" spans="1:32" ht="15.75" x14ac:dyDescent="0.25">
      <c r="A269" s="44"/>
      <c r="B269" s="23"/>
      <c r="C269" s="23"/>
      <c r="D269" s="36"/>
      <c r="E269" s="23"/>
      <c r="F269" s="23"/>
      <c r="G269" s="23"/>
      <c r="H269" s="23"/>
      <c r="I269" s="23"/>
      <c r="J269" s="23"/>
      <c r="K269" s="23"/>
      <c r="L269" s="23"/>
      <c r="M269" s="36"/>
      <c r="N269" s="23"/>
      <c r="O269" s="23"/>
      <c r="P269" s="23"/>
      <c r="Q269" s="23"/>
      <c r="R269" s="23"/>
      <c r="S269" s="23"/>
      <c r="T269" s="23"/>
      <c r="U269" s="23"/>
      <c r="V269" s="36"/>
      <c r="W269" s="42"/>
      <c r="X269" s="42"/>
      <c r="Y269" s="23"/>
      <c r="Z269" s="42"/>
      <c r="AA269" s="42"/>
      <c r="AB269" s="23"/>
      <c r="AC269" s="23"/>
      <c r="AD269" s="23"/>
      <c r="AE269" s="36"/>
      <c r="AF269" s="23"/>
    </row>
    <row r="270" spans="1:32" ht="15.75" x14ac:dyDescent="0.25">
      <c r="A270" s="44"/>
      <c r="B270" s="23"/>
      <c r="C270" s="23"/>
      <c r="D270" s="36"/>
      <c r="E270" s="23"/>
      <c r="F270" s="23"/>
      <c r="G270" s="23"/>
      <c r="H270" s="23"/>
      <c r="I270" s="23"/>
      <c r="J270" s="23"/>
      <c r="K270" s="23"/>
      <c r="L270" s="23"/>
      <c r="M270" s="36"/>
      <c r="N270" s="23"/>
      <c r="O270" s="23"/>
      <c r="P270" s="23"/>
      <c r="Q270" s="23"/>
      <c r="R270" s="23"/>
      <c r="S270" s="23"/>
      <c r="T270" s="23"/>
      <c r="U270" s="23"/>
      <c r="V270" s="36"/>
      <c r="W270" s="42"/>
      <c r="X270" s="42"/>
      <c r="Y270" s="23"/>
      <c r="Z270" s="42"/>
      <c r="AA270" s="42"/>
      <c r="AB270" s="23"/>
      <c r="AC270" s="23"/>
      <c r="AD270" s="23"/>
      <c r="AE270" s="36"/>
      <c r="AF270" s="23"/>
    </row>
    <row r="271" spans="1:32" ht="15.75" x14ac:dyDescent="0.25">
      <c r="A271" s="44"/>
      <c r="B271" s="23"/>
      <c r="C271" s="23"/>
      <c r="D271" s="36"/>
      <c r="E271" s="23"/>
      <c r="F271" s="23"/>
      <c r="G271" s="23"/>
      <c r="H271" s="23"/>
      <c r="I271" s="23"/>
      <c r="J271" s="23"/>
      <c r="K271" s="23"/>
      <c r="L271" s="23"/>
      <c r="M271" s="36"/>
      <c r="N271" s="23"/>
      <c r="O271" s="23"/>
      <c r="P271" s="23"/>
      <c r="Q271" s="23"/>
      <c r="R271" s="23"/>
      <c r="S271" s="23"/>
      <c r="T271" s="23"/>
      <c r="U271" s="23"/>
      <c r="V271" s="36"/>
      <c r="W271" s="42"/>
      <c r="X271" s="42"/>
      <c r="Y271" s="23"/>
      <c r="Z271" s="42"/>
      <c r="AA271" s="42"/>
      <c r="AB271" s="23"/>
      <c r="AC271" s="23"/>
      <c r="AD271" s="23"/>
      <c r="AE271" s="36"/>
      <c r="AF271" s="23"/>
    </row>
    <row r="272" spans="1:32" ht="15.75" x14ac:dyDescent="0.25">
      <c r="A272" s="44"/>
      <c r="B272" s="23"/>
      <c r="C272" s="23"/>
      <c r="D272" s="36"/>
      <c r="E272" s="23"/>
      <c r="F272" s="23"/>
      <c r="G272" s="23"/>
      <c r="H272" s="23"/>
      <c r="I272" s="23"/>
      <c r="J272" s="23"/>
      <c r="K272" s="23"/>
      <c r="L272" s="23"/>
      <c r="M272" s="36"/>
      <c r="N272" s="23"/>
      <c r="O272" s="23"/>
      <c r="P272" s="23"/>
      <c r="Q272" s="23"/>
      <c r="R272" s="23"/>
      <c r="S272" s="23"/>
      <c r="T272" s="23"/>
      <c r="U272" s="23"/>
      <c r="V272" s="36"/>
      <c r="W272" s="42"/>
      <c r="X272" s="42"/>
      <c r="Y272" s="23"/>
      <c r="Z272" s="42"/>
      <c r="AA272" s="42"/>
      <c r="AB272" s="23"/>
      <c r="AC272" s="23"/>
      <c r="AD272" s="23"/>
      <c r="AE272" s="36"/>
      <c r="AF272" s="23"/>
    </row>
    <row r="273" spans="1:32" ht="15.75" x14ac:dyDescent="0.25">
      <c r="A273" s="44"/>
      <c r="B273" s="23"/>
      <c r="C273" s="23"/>
      <c r="D273" s="36"/>
      <c r="E273" s="23"/>
      <c r="F273" s="23"/>
      <c r="G273" s="23"/>
      <c r="H273" s="23"/>
      <c r="I273" s="23"/>
      <c r="J273" s="23"/>
      <c r="K273" s="23"/>
      <c r="L273" s="23"/>
      <c r="M273" s="36"/>
      <c r="N273" s="23"/>
      <c r="O273" s="23"/>
      <c r="P273" s="23"/>
      <c r="Q273" s="23"/>
      <c r="R273" s="23"/>
      <c r="S273" s="23"/>
      <c r="T273" s="23"/>
      <c r="U273" s="23"/>
      <c r="V273" s="36"/>
      <c r="W273" s="42"/>
      <c r="X273" s="42"/>
      <c r="Y273" s="23"/>
      <c r="Z273" s="42"/>
      <c r="AA273" s="42"/>
      <c r="AB273" s="23"/>
      <c r="AC273" s="23"/>
      <c r="AD273" s="23"/>
      <c r="AE273" s="36"/>
      <c r="AF273" s="23"/>
    </row>
    <row r="274" spans="1:32" ht="15.75" x14ac:dyDescent="0.25">
      <c r="A274" s="44"/>
      <c r="B274" s="23"/>
      <c r="C274" s="23"/>
      <c r="D274" s="36"/>
      <c r="E274" s="23"/>
      <c r="F274" s="23"/>
      <c r="G274" s="23"/>
      <c r="H274" s="23"/>
      <c r="I274" s="23"/>
      <c r="J274" s="23"/>
      <c r="K274" s="23"/>
      <c r="L274" s="23"/>
      <c r="M274" s="36"/>
      <c r="N274" s="23"/>
      <c r="O274" s="23"/>
      <c r="P274" s="23"/>
      <c r="Q274" s="23"/>
      <c r="R274" s="23"/>
      <c r="S274" s="23"/>
      <c r="T274" s="23"/>
      <c r="U274" s="23"/>
      <c r="V274" s="36"/>
      <c r="W274" s="42"/>
      <c r="X274" s="42"/>
      <c r="Y274" s="23"/>
      <c r="Z274" s="42"/>
      <c r="AA274" s="42"/>
      <c r="AB274" s="23"/>
      <c r="AC274" s="23"/>
      <c r="AD274" s="23"/>
      <c r="AE274" s="36"/>
      <c r="AF274" s="23"/>
    </row>
    <row r="275" spans="1:32" ht="15.75" x14ac:dyDescent="0.25">
      <c r="A275" s="44"/>
      <c r="B275" s="23"/>
      <c r="C275" s="23"/>
      <c r="D275" s="36"/>
      <c r="E275" s="23"/>
      <c r="F275" s="23"/>
      <c r="G275" s="23"/>
      <c r="H275" s="23"/>
      <c r="I275" s="23"/>
      <c r="J275" s="23"/>
      <c r="K275" s="23"/>
      <c r="L275" s="23"/>
      <c r="M275" s="36"/>
      <c r="N275" s="23"/>
      <c r="O275" s="23"/>
      <c r="P275" s="23"/>
      <c r="Q275" s="23"/>
      <c r="R275" s="23"/>
      <c r="S275" s="23"/>
      <c r="T275" s="23"/>
      <c r="U275" s="23"/>
      <c r="V275" s="36"/>
      <c r="W275" s="42"/>
      <c r="X275" s="42"/>
      <c r="Y275" s="23"/>
      <c r="Z275" s="42"/>
      <c r="AA275" s="42"/>
      <c r="AB275" s="23"/>
      <c r="AC275" s="23"/>
      <c r="AD275" s="23"/>
      <c r="AE275" s="36"/>
      <c r="AF275" s="23"/>
    </row>
    <row r="276" spans="1:32" ht="15.75" x14ac:dyDescent="0.25">
      <c r="A276" s="44"/>
      <c r="B276" s="23"/>
      <c r="C276" s="23"/>
      <c r="D276" s="36"/>
      <c r="E276" s="23"/>
      <c r="F276" s="23"/>
      <c r="G276" s="23"/>
      <c r="H276" s="23"/>
      <c r="I276" s="23"/>
      <c r="J276" s="23"/>
      <c r="K276" s="23"/>
      <c r="L276" s="23"/>
      <c r="M276" s="36"/>
      <c r="N276" s="23"/>
      <c r="O276" s="23"/>
      <c r="P276" s="23"/>
      <c r="Q276" s="23"/>
      <c r="R276" s="23"/>
      <c r="S276" s="23"/>
      <c r="T276" s="23"/>
      <c r="U276" s="23"/>
      <c r="V276" s="36"/>
      <c r="W276" s="42"/>
      <c r="X276" s="42"/>
      <c r="Y276" s="23"/>
      <c r="Z276" s="42"/>
      <c r="AA276" s="42"/>
      <c r="AB276" s="23"/>
      <c r="AC276" s="23"/>
      <c r="AD276" s="23"/>
      <c r="AE276" s="36"/>
      <c r="AF276" s="23"/>
    </row>
    <row r="277" spans="1:32" ht="15.75" x14ac:dyDescent="0.25">
      <c r="A277" s="44"/>
      <c r="B277" s="23"/>
      <c r="C277" s="23"/>
      <c r="D277" s="36"/>
      <c r="E277" s="23"/>
      <c r="F277" s="23"/>
      <c r="G277" s="23"/>
      <c r="H277" s="23"/>
      <c r="I277" s="23"/>
      <c r="J277" s="23"/>
      <c r="K277" s="23"/>
      <c r="L277" s="23"/>
      <c r="M277" s="36"/>
      <c r="N277" s="23"/>
      <c r="O277" s="23"/>
      <c r="P277" s="23"/>
      <c r="Q277" s="23"/>
      <c r="R277" s="23"/>
      <c r="S277" s="23"/>
      <c r="T277" s="23"/>
      <c r="U277" s="23"/>
      <c r="V277" s="36"/>
      <c r="W277" s="42"/>
      <c r="X277" s="42"/>
      <c r="Y277" s="23"/>
      <c r="Z277" s="42"/>
      <c r="AA277" s="42"/>
      <c r="AB277" s="23"/>
      <c r="AC277" s="23"/>
      <c r="AD277" s="23"/>
      <c r="AE277" s="36"/>
      <c r="AF277" s="23"/>
    </row>
    <row r="278" spans="1:32" ht="15.75" x14ac:dyDescent="0.25">
      <c r="A278" s="44"/>
      <c r="B278" s="23"/>
      <c r="C278" s="23"/>
      <c r="D278" s="36"/>
      <c r="E278" s="23"/>
      <c r="F278" s="23"/>
      <c r="G278" s="23"/>
      <c r="H278" s="23"/>
      <c r="I278" s="23"/>
      <c r="J278" s="23"/>
      <c r="K278" s="23"/>
      <c r="L278" s="23"/>
      <c r="M278" s="36"/>
      <c r="N278" s="23"/>
      <c r="O278" s="23"/>
      <c r="P278" s="23"/>
      <c r="Q278" s="23"/>
      <c r="R278" s="23"/>
      <c r="S278" s="23"/>
      <c r="T278" s="23"/>
      <c r="U278" s="23"/>
      <c r="V278" s="36"/>
      <c r="W278" s="42"/>
      <c r="X278" s="42"/>
      <c r="Y278" s="23"/>
      <c r="Z278" s="42"/>
      <c r="AA278" s="42"/>
      <c r="AB278" s="23"/>
      <c r="AC278" s="23"/>
      <c r="AD278" s="23"/>
      <c r="AE278" s="36"/>
      <c r="AF278" s="23"/>
    </row>
    <row r="279" spans="1:32" ht="15.75" x14ac:dyDescent="0.25">
      <c r="A279" s="44"/>
      <c r="B279" s="23"/>
      <c r="C279" s="23"/>
      <c r="D279" s="36"/>
      <c r="E279" s="23"/>
      <c r="F279" s="23"/>
      <c r="G279" s="23"/>
      <c r="H279" s="23"/>
      <c r="I279" s="23"/>
      <c r="J279" s="23"/>
      <c r="K279" s="23"/>
      <c r="L279" s="23"/>
      <c r="M279" s="36"/>
      <c r="N279" s="23"/>
      <c r="O279" s="23"/>
      <c r="P279" s="23"/>
      <c r="Q279" s="23"/>
      <c r="R279" s="23"/>
      <c r="S279" s="23"/>
      <c r="T279" s="23"/>
      <c r="U279" s="23"/>
      <c r="V279" s="36"/>
      <c r="W279" s="42"/>
      <c r="X279" s="42"/>
      <c r="Y279" s="23"/>
      <c r="Z279" s="42"/>
      <c r="AA279" s="42"/>
      <c r="AB279" s="23"/>
      <c r="AC279" s="23"/>
      <c r="AD279" s="23"/>
      <c r="AE279" s="36"/>
      <c r="AF279" s="23"/>
    </row>
    <row r="280" spans="1:32" ht="15.75" x14ac:dyDescent="0.25">
      <c r="A280" s="44"/>
      <c r="B280" s="23"/>
      <c r="C280" s="23"/>
      <c r="D280" s="36"/>
      <c r="E280" s="23"/>
      <c r="F280" s="23"/>
      <c r="G280" s="23"/>
      <c r="H280" s="23"/>
      <c r="I280" s="23"/>
      <c r="J280" s="23"/>
      <c r="K280" s="23"/>
      <c r="L280" s="23"/>
      <c r="M280" s="36"/>
      <c r="N280" s="23"/>
      <c r="O280" s="23"/>
      <c r="P280" s="23"/>
      <c r="Q280" s="23"/>
      <c r="R280" s="23"/>
      <c r="S280" s="23"/>
      <c r="T280" s="23"/>
      <c r="U280" s="23"/>
      <c r="V280" s="36"/>
      <c r="W280" s="42"/>
      <c r="X280" s="42"/>
      <c r="Y280" s="23"/>
      <c r="Z280" s="42"/>
      <c r="AA280" s="42"/>
      <c r="AB280" s="23"/>
      <c r="AC280" s="23"/>
      <c r="AD280" s="23"/>
      <c r="AE280" s="36"/>
      <c r="AF280" s="23"/>
    </row>
    <row r="281" spans="1:32" ht="15.75" x14ac:dyDescent="0.25">
      <c r="A281" s="44"/>
      <c r="B281" s="23"/>
      <c r="C281" s="23"/>
      <c r="D281" s="36"/>
      <c r="E281" s="23"/>
      <c r="F281" s="23"/>
      <c r="G281" s="23"/>
      <c r="H281" s="23"/>
      <c r="I281" s="23"/>
      <c r="J281" s="23"/>
      <c r="K281" s="23"/>
      <c r="L281" s="23"/>
      <c r="M281" s="36"/>
      <c r="N281" s="23"/>
      <c r="O281" s="23"/>
      <c r="P281" s="23"/>
      <c r="Q281" s="23"/>
      <c r="R281" s="23"/>
      <c r="S281" s="23"/>
      <c r="T281" s="23"/>
      <c r="U281" s="23"/>
      <c r="V281" s="36"/>
      <c r="W281" s="42"/>
      <c r="X281" s="42"/>
      <c r="Y281" s="23"/>
      <c r="Z281" s="42"/>
      <c r="AA281" s="42"/>
      <c r="AB281" s="23"/>
      <c r="AC281" s="23"/>
      <c r="AD281" s="23"/>
      <c r="AE281" s="36"/>
      <c r="AF281" s="23"/>
    </row>
    <row r="282" spans="1:32" ht="15.75" x14ac:dyDescent="0.25">
      <c r="A282" s="44"/>
      <c r="B282" s="23"/>
      <c r="C282" s="23"/>
      <c r="D282" s="36"/>
      <c r="E282" s="23"/>
      <c r="F282" s="23"/>
      <c r="G282" s="23"/>
      <c r="H282" s="23"/>
      <c r="I282" s="23"/>
      <c r="J282" s="23"/>
      <c r="K282" s="23"/>
      <c r="L282" s="23"/>
      <c r="M282" s="36"/>
      <c r="N282" s="23"/>
      <c r="O282" s="23"/>
      <c r="P282" s="23"/>
      <c r="Q282" s="23"/>
      <c r="R282" s="23"/>
      <c r="S282" s="23"/>
      <c r="T282" s="23"/>
      <c r="U282" s="23"/>
      <c r="V282" s="36"/>
      <c r="W282" s="42"/>
      <c r="X282" s="42"/>
      <c r="Y282" s="23"/>
      <c r="Z282" s="42"/>
      <c r="AA282" s="42"/>
      <c r="AB282" s="23"/>
      <c r="AC282" s="23"/>
      <c r="AD282" s="23"/>
      <c r="AE282" s="36"/>
      <c r="AF282" s="23"/>
    </row>
    <row r="283" spans="1:32" ht="15.75" x14ac:dyDescent="0.25">
      <c r="A283" s="44"/>
      <c r="B283" s="23"/>
      <c r="C283" s="23"/>
      <c r="D283" s="36"/>
      <c r="E283" s="23"/>
      <c r="F283" s="23"/>
      <c r="G283" s="23"/>
      <c r="H283" s="23"/>
      <c r="I283" s="23"/>
      <c r="J283" s="23"/>
      <c r="K283" s="23"/>
      <c r="L283" s="23"/>
      <c r="M283" s="36"/>
      <c r="N283" s="23"/>
      <c r="O283" s="23"/>
      <c r="P283" s="23"/>
      <c r="Q283" s="23"/>
      <c r="R283" s="23"/>
      <c r="S283" s="23"/>
      <c r="T283" s="23"/>
      <c r="U283" s="23"/>
      <c r="V283" s="36"/>
      <c r="W283" s="42"/>
      <c r="X283" s="42"/>
      <c r="Y283" s="23"/>
      <c r="Z283" s="42"/>
      <c r="AA283" s="42"/>
      <c r="AB283" s="23"/>
      <c r="AC283" s="23"/>
      <c r="AD283" s="23"/>
      <c r="AE283" s="36"/>
      <c r="AF283" s="23"/>
    </row>
    <row r="284" spans="1:32" ht="15.75" x14ac:dyDescent="0.25">
      <c r="A284" s="44"/>
      <c r="B284" s="23"/>
      <c r="C284" s="23"/>
      <c r="D284" s="36"/>
      <c r="E284" s="23"/>
      <c r="F284" s="23"/>
      <c r="G284" s="23"/>
      <c r="H284" s="23"/>
      <c r="I284" s="23"/>
      <c r="J284" s="23"/>
      <c r="K284" s="23"/>
      <c r="L284" s="23"/>
      <c r="M284" s="36"/>
      <c r="N284" s="23"/>
      <c r="O284" s="23"/>
      <c r="P284" s="23"/>
      <c r="Q284" s="23"/>
      <c r="R284" s="23"/>
      <c r="S284" s="23"/>
      <c r="T284" s="23"/>
      <c r="U284" s="23"/>
      <c r="V284" s="36"/>
      <c r="W284" s="42"/>
      <c r="X284" s="42"/>
      <c r="Y284" s="23"/>
      <c r="Z284" s="42"/>
      <c r="AA284" s="42"/>
      <c r="AB284" s="23"/>
      <c r="AC284" s="23"/>
      <c r="AD284" s="23"/>
      <c r="AE284" s="36"/>
      <c r="AF284" s="23"/>
    </row>
    <row r="285" spans="1:32" ht="15.75" x14ac:dyDescent="0.25">
      <c r="A285" s="44"/>
      <c r="B285" s="23"/>
      <c r="C285" s="23"/>
      <c r="D285" s="36"/>
      <c r="E285" s="23"/>
      <c r="F285" s="23"/>
      <c r="G285" s="23"/>
      <c r="H285" s="23"/>
      <c r="I285" s="23"/>
      <c r="J285" s="23"/>
      <c r="K285" s="23"/>
      <c r="L285" s="23"/>
      <c r="M285" s="36"/>
      <c r="N285" s="23"/>
      <c r="O285" s="23"/>
      <c r="P285" s="23"/>
      <c r="Q285" s="23"/>
      <c r="R285" s="23"/>
      <c r="S285" s="23"/>
      <c r="T285" s="23"/>
      <c r="U285" s="23"/>
      <c r="V285" s="36"/>
      <c r="W285" s="42"/>
      <c r="X285" s="42"/>
      <c r="Y285" s="23"/>
      <c r="Z285" s="42"/>
      <c r="AA285" s="42"/>
      <c r="AB285" s="23"/>
      <c r="AC285" s="23"/>
      <c r="AD285" s="23"/>
      <c r="AE285" s="36"/>
      <c r="AF285" s="23"/>
    </row>
    <row r="286" spans="1:32" ht="15.75" x14ac:dyDescent="0.25">
      <c r="A286" s="44"/>
      <c r="B286" s="23"/>
      <c r="C286" s="23"/>
      <c r="D286" s="36"/>
      <c r="E286" s="23"/>
      <c r="F286" s="23"/>
      <c r="G286" s="23"/>
      <c r="H286" s="23"/>
      <c r="I286" s="23"/>
      <c r="J286" s="23"/>
      <c r="K286" s="23"/>
      <c r="L286" s="23"/>
      <c r="M286" s="36"/>
      <c r="N286" s="23"/>
      <c r="O286" s="23"/>
      <c r="P286" s="23"/>
      <c r="Q286" s="23"/>
      <c r="R286" s="23"/>
      <c r="S286" s="23"/>
      <c r="T286" s="23"/>
      <c r="U286" s="23"/>
      <c r="V286" s="36"/>
      <c r="W286" s="42"/>
      <c r="X286" s="42"/>
      <c r="Y286" s="23"/>
      <c r="Z286" s="42"/>
      <c r="AA286" s="42"/>
      <c r="AB286" s="23"/>
      <c r="AC286" s="23"/>
      <c r="AD286" s="23"/>
      <c r="AE286" s="36"/>
      <c r="AF286" s="23"/>
    </row>
    <row r="287" spans="1:32" ht="15.75" x14ac:dyDescent="0.25">
      <c r="A287" s="44"/>
      <c r="B287" s="23"/>
      <c r="C287" s="23"/>
      <c r="D287" s="36"/>
      <c r="E287" s="23"/>
      <c r="F287" s="23"/>
      <c r="G287" s="23"/>
      <c r="H287" s="23"/>
      <c r="I287" s="23"/>
      <c r="J287" s="23"/>
      <c r="K287" s="23"/>
      <c r="L287" s="23"/>
      <c r="M287" s="36"/>
      <c r="N287" s="23"/>
      <c r="O287" s="23"/>
      <c r="P287" s="23"/>
      <c r="Q287" s="23"/>
      <c r="R287" s="23"/>
      <c r="S287" s="23"/>
      <c r="T287" s="23"/>
      <c r="U287" s="23"/>
      <c r="V287" s="36"/>
      <c r="W287" s="42"/>
      <c r="X287" s="42"/>
      <c r="Y287" s="23"/>
      <c r="Z287" s="42"/>
      <c r="AA287" s="42"/>
      <c r="AB287" s="23"/>
      <c r="AC287" s="23"/>
      <c r="AD287" s="23"/>
      <c r="AE287" s="36"/>
      <c r="AF287" s="23"/>
    </row>
    <row r="288" spans="1:32" ht="15.75" x14ac:dyDescent="0.25">
      <c r="A288" s="44"/>
      <c r="B288" s="23"/>
      <c r="C288" s="23"/>
      <c r="D288" s="36"/>
      <c r="E288" s="23"/>
      <c r="F288" s="23"/>
      <c r="G288" s="23"/>
      <c r="H288" s="23"/>
      <c r="I288" s="23"/>
      <c r="J288" s="23"/>
      <c r="K288" s="23"/>
      <c r="L288" s="23"/>
      <c r="M288" s="36"/>
      <c r="N288" s="23"/>
      <c r="O288" s="23"/>
      <c r="P288" s="23"/>
      <c r="Q288" s="23"/>
      <c r="R288" s="23"/>
      <c r="S288" s="23"/>
      <c r="T288" s="23"/>
      <c r="U288" s="23"/>
      <c r="V288" s="36"/>
      <c r="W288" s="42"/>
      <c r="X288" s="42"/>
      <c r="Y288" s="23"/>
      <c r="Z288" s="42"/>
      <c r="AA288" s="42"/>
      <c r="AB288" s="23"/>
      <c r="AC288" s="23"/>
      <c r="AD288" s="23"/>
      <c r="AE288" s="36"/>
      <c r="AF288" s="23"/>
    </row>
    <row r="289" spans="1:32" ht="15.75" x14ac:dyDescent="0.25">
      <c r="A289" s="44"/>
      <c r="B289" s="23"/>
      <c r="C289" s="23"/>
      <c r="D289" s="36"/>
      <c r="E289" s="23"/>
      <c r="F289" s="23"/>
      <c r="G289" s="23"/>
      <c r="H289" s="23"/>
      <c r="I289" s="23"/>
      <c r="J289" s="23"/>
      <c r="K289" s="23"/>
      <c r="L289" s="23"/>
      <c r="M289" s="36"/>
      <c r="N289" s="23"/>
      <c r="O289" s="23"/>
      <c r="P289" s="23"/>
      <c r="Q289" s="23"/>
      <c r="R289" s="23"/>
      <c r="S289" s="23"/>
      <c r="T289" s="23"/>
      <c r="U289" s="23"/>
      <c r="V289" s="36"/>
      <c r="W289" s="42"/>
      <c r="X289" s="42"/>
      <c r="Y289" s="23"/>
      <c r="Z289" s="42"/>
      <c r="AA289" s="42"/>
      <c r="AB289" s="23"/>
      <c r="AC289" s="23"/>
      <c r="AD289" s="23"/>
      <c r="AE289" s="36"/>
      <c r="AF289" s="23"/>
    </row>
    <row r="290" spans="1:32" ht="15.75" x14ac:dyDescent="0.25">
      <c r="A290" s="44"/>
      <c r="B290" s="23"/>
      <c r="C290" s="23"/>
      <c r="D290" s="36"/>
      <c r="E290" s="23"/>
      <c r="F290" s="23"/>
      <c r="G290" s="23"/>
      <c r="H290" s="23"/>
      <c r="I290" s="23"/>
      <c r="J290" s="23"/>
      <c r="K290" s="23"/>
      <c r="L290" s="23"/>
      <c r="M290" s="36"/>
      <c r="N290" s="23"/>
      <c r="O290" s="23"/>
      <c r="P290" s="23"/>
      <c r="Q290" s="23"/>
      <c r="R290" s="23"/>
      <c r="S290" s="23"/>
      <c r="T290" s="23"/>
      <c r="U290" s="23"/>
      <c r="V290" s="36"/>
      <c r="W290" s="42"/>
      <c r="X290" s="42"/>
      <c r="Y290" s="23"/>
      <c r="Z290" s="42"/>
      <c r="AA290" s="42"/>
      <c r="AB290" s="23"/>
      <c r="AC290" s="23"/>
      <c r="AD290" s="23"/>
      <c r="AE290" s="36"/>
      <c r="AF290" s="23"/>
    </row>
    <row r="291" spans="1:32" ht="15.75" x14ac:dyDescent="0.25">
      <c r="A291" s="44"/>
      <c r="B291" s="23"/>
      <c r="C291" s="23"/>
      <c r="D291" s="36"/>
      <c r="E291" s="23"/>
      <c r="F291" s="23"/>
      <c r="G291" s="23"/>
      <c r="H291" s="23"/>
      <c r="I291" s="23"/>
      <c r="J291" s="23"/>
      <c r="K291" s="23"/>
      <c r="L291" s="23"/>
      <c r="M291" s="36"/>
      <c r="N291" s="23"/>
      <c r="O291" s="23"/>
      <c r="P291" s="23"/>
      <c r="Q291" s="23"/>
      <c r="R291" s="23"/>
      <c r="S291" s="23"/>
      <c r="T291" s="23"/>
      <c r="U291" s="23"/>
      <c r="V291" s="36"/>
      <c r="W291" s="42"/>
      <c r="X291" s="42"/>
      <c r="Y291" s="23"/>
      <c r="Z291" s="42"/>
      <c r="AA291" s="42"/>
      <c r="AB291" s="23"/>
      <c r="AC291" s="23"/>
      <c r="AD291" s="23"/>
      <c r="AE291" s="36"/>
      <c r="AF291" s="23"/>
    </row>
    <row r="292" spans="1:32" ht="15.75" x14ac:dyDescent="0.25">
      <c r="A292" s="44"/>
      <c r="B292" s="23"/>
      <c r="C292" s="23"/>
      <c r="D292" s="36"/>
      <c r="E292" s="23"/>
      <c r="F292" s="23"/>
      <c r="G292" s="23"/>
      <c r="H292" s="23"/>
      <c r="I292" s="23"/>
      <c r="J292" s="23"/>
      <c r="K292" s="23"/>
      <c r="L292" s="23"/>
      <c r="M292" s="36"/>
      <c r="N292" s="23"/>
      <c r="O292" s="23"/>
      <c r="P292" s="23"/>
      <c r="Q292" s="23"/>
      <c r="R292" s="23"/>
      <c r="S292" s="23"/>
      <c r="T292" s="23"/>
      <c r="U292" s="23"/>
      <c r="V292" s="36"/>
      <c r="W292" s="42"/>
      <c r="X292" s="42"/>
      <c r="Y292" s="23"/>
      <c r="Z292" s="42"/>
      <c r="AA292" s="42"/>
      <c r="AB292" s="23"/>
      <c r="AC292" s="23"/>
      <c r="AD292" s="23"/>
      <c r="AE292" s="36"/>
      <c r="AF292" s="23"/>
    </row>
    <row r="293" spans="1:32" ht="15.75" x14ac:dyDescent="0.25">
      <c r="A293" s="44"/>
      <c r="B293" s="23"/>
      <c r="C293" s="23"/>
      <c r="D293" s="36"/>
      <c r="E293" s="23"/>
      <c r="F293" s="23"/>
      <c r="G293" s="23"/>
      <c r="H293" s="23"/>
      <c r="I293" s="23"/>
      <c r="J293" s="23"/>
      <c r="K293" s="23"/>
      <c r="L293" s="23"/>
      <c r="M293" s="36"/>
      <c r="N293" s="23"/>
      <c r="O293" s="23"/>
      <c r="P293" s="23"/>
      <c r="Q293" s="23"/>
      <c r="R293" s="23"/>
      <c r="S293" s="23"/>
      <c r="T293" s="23"/>
      <c r="U293" s="23"/>
      <c r="V293" s="36"/>
      <c r="W293" s="42"/>
      <c r="X293" s="42"/>
      <c r="Y293" s="23"/>
      <c r="Z293" s="42"/>
      <c r="AA293" s="42"/>
      <c r="AB293" s="23"/>
      <c r="AC293" s="23"/>
      <c r="AD293" s="23"/>
      <c r="AE293" s="36"/>
      <c r="AF293" s="23"/>
    </row>
    <row r="294" spans="1:32" ht="15.75" x14ac:dyDescent="0.25">
      <c r="A294" s="44"/>
      <c r="B294" s="23"/>
      <c r="C294" s="23"/>
      <c r="D294" s="36"/>
      <c r="E294" s="23"/>
      <c r="F294" s="23"/>
      <c r="G294" s="23"/>
      <c r="H294" s="23"/>
      <c r="I294" s="23"/>
      <c r="J294" s="23"/>
      <c r="K294" s="23"/>
      <c r="L294" s="23"/>
      <c r="M294" s="36"/>
      <c r="N294" s="23"/>
      <c r="O294" s="23"/>
      <c r="P294" s="23"/>
      <c r="Q294" s="23"/>
      <c r="R294" s="23"/>
      <c r="S294" s="23"/>
      <c r="T294" s="23"/>
      <c r="U294" s="23"/>
      <c r="V294" s="36"/>
      <c r="W294" s="42"/>
      <c r="X294" s="42"/>
      <c r="Y294" s="23"/>
      <c r="Z294" s="42"/>
      <c r="AA294" s="42"/>
      <c r="AB294" s="23"/>
      <c r="AC294" s="23"/>
      <c r="AD294" s="23"/>
      <c r="AE294" s="36"/>
      <c r="AF294" s="23"/>
    </row>
    <row r="295" spans="1:32" ht="15.75" x14ac:dyDescent="0.25">
      <c r="A295" s="44"/>
      <c r="B295" s="23"/>
      <c r="C295" s="23"/>
      <c r="D295" s="36"/>
      <c r="E295" s="23"/>
      <c r="F295" s="23"/>
      <c r="G295" s="23"/>
      <c r="H295" s="23"/>
      <c r="I295" s="23"/>
      <c r="J295" s="23"/>
      <c r="K295" s="23"/>
      <c r="L295" s="23"/>
      <c r="M295" s="36"/>
      <c r="N295" s="23"/>
      <c r="O295" s="23"/>
      <c r="P295" s="23"/>
      <c r="Q295" s="23"/>
      <c r="R295" s="23"/>
      <c r="S295" s="23"/>
      <c r="T295" s="23"/>
      <c r="U295" s="23"/>
      <c r="V295" s="36"/>
      <c r="W295" s="42"/>
      <c r="X295" s="42"/>
      <c r="Y295" s="23"/>
      <c r="Z295" s="42"/>
      <c r="AA295" s="42"/>
      <c r="AB295" s="23"/>
      <c r="AC295" s="23"/>
      <c r="AD295" s="23"/>
      <c r="AE295" s="36"/>
      <c r="AF295" s="23"/>
    </row>
    <row r="296" spans="1:32" ht="15.75" x14ac:dyDescent="0.25">
      <c r="A296" s="44"/>
      <c r="B296" s="23"/>
      <c r="C296" s="23"/>
      <c r="D296" s="36"/>
      <c r="E296" s="23"/>
      <c r="F296" s="23"/>
      <c r="G296" s="23"/>
      <c r="H296" s="23"/>
      <c r="I296" s="23"/>
      <c r="J296" s="23"/>
      <c r="K296" s="23"/>
      <c r="L296" s="23"/>
      <c r="M296" s="36"/>
      <c r="N296" s="23"/>
      <c r="O296" s="23"/>
      <c r="P296" s="23"/>
      <c r="Q296" s="23"/>
      <c r="R296" s="23"/>
      <c r="S296" s="23"/>
      <c r="T296" s="23"/>
      <c r="U296" s="23"/>
      <c r="V296" s="36"/>
      <c r="W296" s="42"/>
      <c r="X296" s="42"/>
      <c r="Y296" s="23"/>
      <c r="Z296" s="42"/>
      <c r="AA296" s="42"/>
      <c r="AB296" s="23"/>
      <c r="AC296" s="23"/>
      <c r="AD296" s="23"/>
      <c r="AE296" s="36"/>
      <c r="AF296" s="23"/>
    </row>
    <row r="297" spans="1:32" ht="15.75" x14ac:dyDescent="0.25">
      <c r="A297" s="44"/>
      <c r="B297" s="23"/>
      <c r="C297" s="23"/>
      <c r="D297" s="36"/>
      <c r="E297" s="23"/>
      <c r="F297" s="23"/>
      <c r="G297" s="23"/>
      <c r="H297" s="23"/>
      <c r="I297" s="23"/>
      <c r="J297" s="23"/>
      <c r="K297" s="23"/>
      <c r="L297" s="23"/>
      <c r="M297" s="36"/>
      <c r="N297" s="23"/>
      <c r="O297" s="23"/>
      <c r="P297" s="23"/>
      <c r="Q297" s="23"/>
      <c r="R297" s="23"/>
      <c r="S297" s="23"/>
      <c r="T297" s="23"/>
      <c r="U297" s="23"/>
      <c r="V297" s="36"/>
      <c r="W297" s="42"/>
      <c r="X297" s="42"/>
      <c r="Y297" s="23"/>
      <c r="Z297" s="42"/>
      <c r="AA297" s="42"/>
      <c r="AB297" s="23"/>
      <c r="AC297" s="23"/>
      <c r="AD297" s="23"/>
      <c r="AE297" s="36"/>
      <c r="AF297" s="23"/>
    </row>
    <row r="298" spans="1:32" ht="15.75" x14ac:dyDescent="0.25">
      <c r="A298" s="44"/>
      <c r="B298" s="23"/>
      <c r="C298" s="23"/>
      <c r="D298" s="36"/>
      <c r="E298" s="23"/>
      <c r="F298" s="23"/>
      <c r="G298" s="23"/>
      <c r="H298" s="23"/>
      <c r="I298" s="23"/>
      <c r="J298" s="23"/>
      <c r="K298" s="23"/>
      <c r="L298" s="23"/>
      <c r="M298" s="36"/>
      <c r="N298" s="23"/>
      <c r="O298" s="23"/>
      <c r="P298" s="23"/>
      <c r="Q298" s="23"/>
      <c r="R298" s="23"/>
      <c r="S298" s="23"/>
      <c r="T298" s="23"/>
      <c r="U298" s="23"/>
      <c r="V298" s="36"/>
      <c r="W298" s="42"/>
      <c r="X298" s="42"/>
      <c r="Y298" s="23"/>
      <c r="Z298" s="42"/>
      <c r="AA298" s="42"/>
      <c r="AB298" s="23"/>
      <c r="AC298" s="23"/>
      <c r="AD298" s="23"/>
      <c r="AE298" s="36"/>
      <c r="AF298" s="23"/>
    </row>
    <row r="299" spans="1:32" ht="15.75" x14ac:dyDescent="0.25">
      <c r="A299" s="44"/>
      <c r="B299" s="23"/>
      <c r="C299" s="23"/>
      <c r="D299" s="36"/>
      <c r="E299" s="23"/>
      <c r="F299" s="23"/>
      <c r="G299" s="23"/>
      <c r="H299" s="23"/>
      <c r="I299" s="23"/>
      <c r="J299" s="23"/>
      <c r="K299" s="23"/>
      <c r="L299" s="23"/>
      <c r="M299" s="36"/>
      <c r="N299" s="23"/>
      <c r="O299" s="23"/>
      <c r="P299" s="23"/>
      <c r="Q299" s="23"/>
      <c r="R299" s="23"/>
      <c r="S299" s="23"/>
      <c r="T299" s="23"/>
      <c r="U299" s="23"/>
      <c r="V299" s="36"/>
      <c r="W299" s="42"/>
      <c r="X299" s="42"/>
      <c r="Y299" s="23"/>
      <c r="Z299" s="42"/>
      <c r="AA299" s="42"/>
      <c r="AB299" s="23"/>
      <c r="AC299" s="23"/>
      <c r="AD299" s="23"/>
      <c r="AE299" s="36"/>
      <c r="AF299" s="23"/>
    </row>
    <row r="300" spans="1:32" ht="15.75" x14ac:dyDescent="0.25">
      <c r="A300" s="44"/>
      <c r="B300" s="23"/>
      <c r="C300" s="23"/>
      <c r="D300" s="36"/>
      <c r="E300" s="23"/>
      <c r="F300" s="23"/>
      <c r="G300" s="23"/>
      <c r="H300" s="23"/>
      <c r="I300" s="23"/>
      <c r="J300" s="23"/>
      <c r="K300" s="23"/>
      <c r="L300" s="23"/>
      <c r="M300" s="36"/>
      <c r="N300" s="23"/>
      <c r="O300" s="23"/>
      <c r="P300" s="23"/>
      <c r="Q300" s="23"/>
      <c r="R300" s="23"/>
      <c r="S300" s="23"/>
      <c r="T300" s="23"/>
      <c r="U300" s="23"/>
      <c r="V300" s="36"/>
      <c r="W300" s="42"/>
      <c r="X300" s="42"/>
      <c r="Y300" s="23"/>
      <c r="Z300" s="42"/>
      <c r="AA300" s="42"/>
      <c r="AB300" s="23"/>
      <c r="AC300" s="23"/>
      <c r="AD300" s="23"/>
      <c r="AE300" s="36"/>
      <c r="AF300" s="23"/>
    </row>
    <row r="301" spans="1:32" ht="15.75" x14ac:dyDescent="0.25">
      <c r="A301" s="44"/>
      <c r="B301" s="23"/>
      <c r="C301" s="23"/>
      <c r="D301" s="36"/>
      <c r="E301" s="23"/>
      <c r="F301" s="23"/>
      <c r="G301" s="23"/>
      <c r="H301" s="23"/>
      <c r="I301" s="23"/>
      <c r="J301" s="23"/>
      <c r="K301" s="23"/>
      <c r="L301" s="23"/>
      <c r="M301" s="36"/>
      <c r="N301" s="23"/>
      <c r="O301" s="23"/>
      <c r="P301" s="23"/>
      <c r="Q301" s="23"/>
      <c r="R301" s="23"/>
      <c r="S301" s="23"/>
      <c r="T301" s="23"/>
      <c r="U301" s="23"/>
      <c r="V301" s="36"/>
      <c r="W301" s="42"/>
      <c r="X301" s="42"/>
      <c r="Y301" s="23"/>
      <c r="Z301" s="42"/>
      <c r="AA301" s="42"/>
      <c r="AB301" s="23"/>
      <c r="AC301" s="23"/>
      <c r="AD301" s="23"/>
      <c r="AE301" s="36"/>
      <c r="AF301" s="23"/>
    </row>
    <row r="302" spans="1:32" ht="15.75" x14ac:dyDescent="0.25">
      <c r="A302" s="44"/>
      <c r="B302" s="23"/>
      <c r="C302" s="23"/>
      <c r="D302" s="36"/>
      <c r="E302" s="23"/>
      <c r="F302" s="23"/>
      <c r="G302" s="23"/>
      <c r="H302" s="23"/>
      <c r="I302" s="23"/>
      <c r="J302" s="23"/>
      <c r="K302" s="23"/>
      <c r="L302" s="23"/>
      <c r="M302" s="36"/>
      <c r="N302" s="23"/>
      <c r="O302" s="23"/>
      <c r="P302" s="23"/>
      <c r="Q302" s="23"/>
      <c r="R302" s="23"/>
      <c r="S302" s="23"/>
      <c r="T302" s="23"/>
      <c r="U302" s="23"/>
      <c r="V302" s="36"/>
      <c r="W302" s="42"/>
      <c r="X302" s="42"/>
      <c r="Y302" s="23"/>
      <c r="Z302" s="42"/>
      <c r="AA302" s="42"/>
      <c r="AB302" s="23"/>
      <c r="AC302" s="23"/>
      <c r="AD302" s="23"/>
      <c r="AE302" s="36"/>
      <c r="AF302" s="23"/>
    </row>
    <row r="303" spans="1:32" ht="15.75" x14ac:dyDescent="0.25">
      <c r="A303" s="44"/>
      <c r="B303" s="23"/>
      <c r="C303" s="23"/>
      <c r="D303" s="36"/>
      <c r="E303" s="23"/>
      <c r="F303" s="23"/>
      <c r="G303" s="23"/>
      <c r="H303" s="23"/>
      <c r="I303" s="23"/>
      <c r="J303" s="23"/>
      <c r="K303" s="23"/>
      <c r="L303" s="23"/>
      <c r="M303" s="36"/>
      <c r="N303" s="23"/>
      <c r="O303" s="23"/>
      <c r="P303" s="23"/>
      <c r="Q303" s="23"/>
      <c r="R303" s="23"/>
      <c r="S303" s="23"/>
      <c r="T303" s="23"/>
      <c r="U303" s="23"/>
      <c r="V303" s="36"/>
      <c r="W303" s="42"/>
      <c r="X303" s="42"/>
      <c r="Y303" s="23"/>
      <c r="Z303" s="42"/>
      <c r="AA303" s="42"/>
      <c r="AB303" s="23"/>
      <c r="AC303" s="23"/>
      <c r="AD303" s="23"/>
      <c r="AE303" s="36"/>
      <c r="AF303" s="23"/>
    </row>
    <row r="304" spans="1:32" ht="15.75" x14ac:dyDescent="0.25">
      <c r="A304" s="44"/>
      <c r="B304" s="23"/>
      <c r="C304" s="23"/>
      <c r="D304" s="36"/>
      <c r="E304" s="23"/>
      <c r="F304" s="23"/>
      <c r="G304" s="23"/>
      <c r="H304" s="23"/>
      <c r="I304" s="23"/>
      <c r="J304" s="23"/>
      <c r="K304" s="23"/>
      <c r="L304" s="23"/>
      <c r="M304" s="36"/>
      <c r="N304" s="23"/>
      <c r="O304" s="23"/>
      <c r="P304" s="23"/>
      <c r="Q304" s="23"/>
      <c r="R304" s="23"/>
      <c r="S304" s="23"/>
      <c r="T304" s="23"/>
      <c r="U304" s="23"/>
      <c r="V304" s="36"/>
      <c r="W304" s="42"/>
      <c r="X304" s="42"/>
      <c r="Y304" s="23"/>
      <c r="Z304" s="42"/>
      <c r="AA304" s="42"/>
      <c r="AB304" s="23"/>
      <c r="AC304" s="23"/>
      <c r="AD304" s="23"/>
      <c r="AE304" s="36"/>
      <c r="AF304" s="23"/>
    </row>
    <row r="305" spans="1:32" ht="15.75" x14ac:dyDescent="0.25">
      <c r="A305" s="44"/>
      <c r="B305" s="23"/>
      <c r="C305" s="23"/>
      <c r="D305" s="36"/>
      <c r="E305" s="23"/>
      <c r="F305" s="23"/>
      <c r="G305" s="23"/>
      <c r="H305" s="23"/>
      <c r="I305" s="23"/>
      <c r="J305" s="23"/>
      <c r="K305" s="23"/>
      <c r="L305" s="23"/>
      <c r="M305" s="36"/>
      <c r="N305" s="23"/>
      <c r="O305" s="23"/>
      <c r="P305" s="23"/>
      <c r="Q305" s="23"/>
      <c r="R305" s="23"/>
      <c r="S305" s="23"/>
      <c r="T305" s="23"/>
      <c r="U305" s="23"/>
      <c r="V305" s="36"/>
      <c r="W305" s="42"/>
      <c r="X305" s="42"/>
      <c r="Y305" s="23"/>
      <c r="Z305" s="42"/>
      <c r="AA305" s="42"/>
      <c r="AB305" s="23"/>
      <c r="AC305" s="23"/>
      <c r="AD305" s="23"/>
      <c r="AE305" s="36"/>
      <c r="AF305" s="23"/>
    </row>
    <row r="306" spans="1:32" ht="15.75" x14ac:dyDescent="0.25">
      <c r="A306" s="44"/>
      <c r="B306" s="23"/>
      <c r="C306" s="23"/>
      <c r="D306" s="36"/>
      <c r="E306" s="23"/>
      <c r="F306" s="23"/>
      <c r="G306" s="23"/>
      <c r="H306" s="23"/>
      <c r="I306" s="23"/>
      <c r="J306" s="23"/>
      <c r="K306" s="23"/>
      <c r="L306" s="23"/>
      <c r="M306" s="36"/>
      <c r="N306" s="23"/>
      <c r="O306" s="23"/>
      <c r="P306" s="23"/>
      <c r="Q306" s="23"/>
      <c r="R306" s="23"/>
      <c r="S306" s="23"/>
      <c r="T306" s="23"/>
      <c r="U306" s="23"/>
      <c r="V306" s="36"/>
      <c r="W306" s="42"/>
      <c r="X306" s="42"/>
      <c r="Y306" s="23"/>
      <c r="Z306" s="42"/>
      <c r="AA306" s="42"/>
      <c r="AB306" s="23"/>
      <c r="AC306" s="23"/>
      <c r="AD306" s="23"/>
      <c r="AE306" s="36"/>
      <c r="AF306" s="23"/>
    </row>
    <row r="307" spans="1:32" ht="15.75" x14ac:dyDescent="0.25">
      <c r="A307" s="44"/>
      <c r="B307" s="23"/>
      <c r="C307" s="23"/>
      <c r="D307" s="36"/>
      <c r="E307" s="23"/>
      <c r="F307" s="23"/>
      <c r="G307" s="23"/>
      <c r="H307" s="23"/>
      <c r="I307" s="23"/>
      <c r="J307" s="23"/>
      <c r="K307" s="23"/>
      <c r="L307" s="23"/>
      <c r="M307" s="36"/>
      <c r="N307" s="23"/>
      <c r="O307" s="23"/>
      <c r="P307" s="23"/>
      <c r="Q307" s="23"/>
      <c r="R307" s="23"/>
      <c r="S307" s="23"/>
      <c r="T307" s="23"/>
      <c r="U307" s="23"/>
      <c r="V307" s="36"/>
      <c r="W307" s="42"/>
      <c r="X307" s="42"/>
      <c r="Y307" s="23"/>
      <c r="Z307" s="42"/>
      <c r="AA307" s="42"/>
      <c r="AB307" s="23"/>
      <c r="AC307" s="23"/>
      <c r="AD307" s="23"/>
      <c r="AE307" s="36"/>
      <c r="AF307" s="23"/>
    </row>
    <row r="308" spans="1:32" ht="15.75" x14ac:dyDescent="0.25">
      <c r="A308" s="44"/>
      <c r="B308" s="23"/>
      <c r="C308" s="23"/>
      <c r="D308" s="36"/>
      <c r="E308" s="23"/>
      <c r="F308" s="23"/>
      <c r="G308" s="23"/>
      <c r="H308" s="23"/>
      <c r="I308" s="23"/>
      <c r="J308" s="23"/>
      <c r="K308" s="23"/>
      <c r="L308" s="23"/>
      <c r="M308" s="36"/>
      <c r="N308" s="23"/>
      <c r="O308" s="23"/>
      <c r="P308" s="23"/>
      <c r="Q308" s="23"/>
      <c r="R308" s="23"/>
      <c r="S308" s="23"/>
      <c r="T308" s="23"/>
      <c r="U308" s="23"/>
      <c r="V308" s="36"/>
      <c r="W308" s="42"/>
      <c r="X308" s="42"/>
      <c r="Y308" s="23"/>
      <c r="Z308" s="42"/>
      <c r="AA308" s="42"/>
      <c r="AB308" s="23"/>
      <c r="AC308" s="23"/>
      <c r="AD308" s="23"/>
      <c r="AE308" s="36"/>
      <c r="AF308" s="23"/>
    </row>
    <row r="309" spans="1:32" ht="15.75" x14ac:dyDescent="0.25">
      <c r="A309" s="44"/>
      <c r="B309" s="23"/>
      <c r="C309" s="23"/>
      <c r="D309" s="36"/>
      <c r="E309" s="23"/>
      <c r="F309" s="23"/>
      <c r="G309" s="23"/>
      <c r="H309" s="23"/>
      <c r="I309" s="23"/>
      <c r="J309" s="23"/>
      <c r="K309" s="23"/>
      <c r="L309" s="23"/>
      <c r="M309" s="36"/>
      <c r="N309" s="23"/>
      <c r="O309" s="23"/>
      <c r="P309" s="23"/>
      <c r="Q309" s="23"/>
      <c r="R309" s="23"/>
      <c r="S309" s="23"/>
      <c r="T309" s="23"/>
      <c r="U309" s="23"/>
      <c r="V309" s="36"/>
      <c r="W309" s="42"/>
      <c r="X309" s="42"/>
      <c r="Y309" s="23"/>
      <c r="Z309" s="42"/>
      <c r="AA309" s="42"/>
      <c r="AB309" s="23"/>
      <c r="AC309" s="23"/>
      <c r="AD309" s="23"/>
      <c r="AE309" s="36"/>
      <c r="AF309" s="23"/>
    </row>
    <row r="310" spans="1:32" ht="15.75" x14ac:dyDescent="0.25">
      <c r="A310" s="44"/>
      <c r="B310" s="23"/>
      <c r="C310" s="23"/>
      <c r="D310" s="36"/>
      <c r="E310" s="23"/>
      <c r="F310" s="23"/>
      <c r="G310" s="23"/>
      <c r="H310" s="23"/>
      <c r="I310" s="23"/>
      <c r="J310" s="23"/>
      <c r="K310" s="23"/>
      <c r="L310" s="23"/>
      <c r="M310" s="36"/>
      <c r="N310" s="23"/>
      <c r="O310" s="23"/>
      <c r="P310" s="23"/>
      <c r="Q310" s="23"/>
      <c r="R310" s="23"/>
      <c r="S310" s="23"/>
      <c r="T310" s="23"/>
      <c r="U310" s="23"/>
      <c r="V310" s="36"/>
      <c r="W310" s="42"/>
      <c r="X310" s="42"/>
      <c r="Y310" s="23"/>
      <c r="Z310" s="42"/>
      <c r="AA310" s="42"/>
      <c r="AB310" s="23"/>
      <c r="AC310" s="23"/>
      <c r="AD310" s="23"/>
      <c r="AE310" s="36"/>
      <c r="AF310" s="23"/>
    </row>
    <row r="311" spans="1:32" ht="15.75" x14ac:dyDescent="0.25">
      <c r="A311" s="44"/>
      <c r="B311" s="23"/>
      <c r="C311" s="23"/>
      <c r="D311" s="36"/>
      <c r="E311" s="23"/>
      <c r="F311" s="23"/>
      <c r="G311" s="23"/>
      <c r="H311" s="23"/>
      <c r="I311" s="23"/>
      <c r="J311" s="23"/>
      <c r="K311" s="23"/>
      <c r="L311" s="23"/>
      <c r="M311" s="36"/>
      <c r="N311" s="23"/>
      <c r="O311" s="23"/>
      <c r="P311" s="23"/>
      <c r="Q311" s="23"/>
      <c r="R311" s="23"/>
      <c r="S311" s="23"/>
      <c r="T311" s="23"/>
      <c r="U311" s="23"/>
      <c r="V311" s="36"/>
      <c r="W311" s="42"/>
      <c r="X311" s="42"/>
      <c r="Y311" s="23"/>
      <c r="Z311" s="42"/>
      <c r="AA311" s="42"/>
      <c r="AB311" s="23"/>
      <c r="AC311" s="23"/>
      <c r="AD311" s="23"/>
      <c r="AE311" s="36"/>
      <c r="AF311" s="23"/>
    </row>
    <row r="312" spans="1:32" ht="15.75" x14ac:dyDescent="0.25">
      <c r="A312" s="44"/>
      <c r="B312" s="23"/>
      <c r="C312" s="23"/>
      <c r="D312" s="36"/>
      <c r="E312" s="23"/>
      <c r="F312" s="23"/>
      <c r="G312" s="23"/>
      <c r="H312" s="23"/>
      <c r="I312" s="23"/>
      <c r="J312" s="23"/>
      <c r="K312" s="23"/>
      <c r="L312" s="23"/>
      <c r="M312" s="36"/>
      <c r="N312" s="23"/>
      <c r="O312" s="23"/>
      <c r="P312" s="23"/>
      <c r="Q312" s="23"/>
      <c r="R312" s="23"/>
      <c r="S312" s="23"/>
      <c r="T312" s="23"/>
      <c r="U312" s="23"/>
      <c r="V312" s="36"/>
      <c r="W312" s="42"/>
      <c r="X312" s="42"/>
      <c r="Y312" s="23"/>
      <c r="Z312" s="42"/>
      <c r="AA312" s="42"/>
      <c r="AB312" s="23"/>
      <c r="AC312" s="23"/>
      <c r="AD312" s="23"/>
      <c r="AE312" s="36"/>
      <c r="AF312" s="23"/>
    </row>
    <row r="313" spans="1:32" ht="15.75" x14ac:dyDescent="0.25">
      <c r="A313" s="44"/>
      <c r="B313" s="23"/>
      <c r="C313" s="23"/>
      <c r="D313" s="36"/>
      <c r="E313" s="23"/>
      <c r="F313" s="23"/>
      <c r="G313" s="23"/>
      <c r="H313" s="23"/>
      <c r="I313" s="23"/>
      <c r="J313" s="23"/>
      <c r="K313" s="23"/>
      <c r="L313" s="23"/>
      <c r="M313" s="36"/>
      <c r="N313" s="23"/>
      <c r="O313" s="23"/>
      <c r="P313" s="23"/>
      <c r="Q313" s="23"/>
      <c r="R313" s="23"/>
      <c r="S313" s="23"/>
      <c r="T313" s="23"/>
      <c r="U313" s="23"/>
      <c r="V313" s="36"/>
      <c r="W313" s="42"/>
      <c r="X313" s="42"/>
      <c r="Y313" s="23"/>
      <c r="Z313" s="42"/>
      <c r="AA313" s="42"/>
      <c r="AB313" s="23"/>
      <c r="AC313" s="23"/>
      <c r="AD313" s="23"/>
      <c r="AE313" s="36"/>
      <c r="AF313" s="23"/>
    </row>
    <row r="314" spans="1:32" ht="15.75" x14ac:dyDescent="0.25">
      <c r="A314" s="44"/>
      <c r="B314" s="23"/>
      <c r="C314" s="23"/>
      <c r="D314" s="36"/>
      <c r="E314" s="23"/>
      <c r="F314" s="23"/>
      <c r="G314" s="23"/>
      <c r="H314" s="23"/>
      <c r="I314" s="23"/>
      <c r="J314" s="23"/>
      <c r="K314" s="23"/>
      <c r="L314" s="23"/>
      <c r="M314" s="36"/>
      <c r="N314" s="23"/>
      <c r="O314" s="23"/>
      <c r="P314" s="23"/>
      <c r="Q314" s="23"/>
      <c r="R314" s="23"/>
      <c r="S314" s="23"/>
      <c r="T314" s="23"/>
      <c r="U314" s="23"/>
      <c r="V314" s="36"/>
      <c r="W314" s="42"/>
      <c r="X314" s="42"/>
      <c r="Y314" s="23"/>
      <c r="Z314" s="42"/>
      <c r="AA314" s="42"/>
      <c r="AB314" s="23"/>
      <c r="AC314" s="23"/>
      <c r="AD314" s="23"/>
      <c r="AE314" s="36"/>
      <c r="AF314" s="23"/>
    </row>
    <row r="315" spans="1:32" ht="15.75" x14ac:dyDescent="0.25">
      <c r="A315" s="44"/>
      <c r="B315" s="23"/>
      <c r="C315" s="23"/>
      <c r="D315" s="36"/>
      <c r="E315" s="23"/>
      <c r="F315" s="23"/>
      <c r="G315" s="23"/>
      <c r="H315" s="23"/>
      <c r="I315" s="23"/>
      <c r="J315" s="23"/>
      <c r="K315" s="23"/>
      <c r="L315" s="23"/>
      <c r="M315" s="36"/>
      <c r="N315" s="23"/>
      <c r="O315" s="23"/>
      <c r="P315" s="23"/>
      <c r="Q315" s="23"/>
      <c r="R315" s="23"/>
      <c r="S315" s="23"/>
      <c r="T315" s="23"/>
      <c r="U315" s="23"/>
      <c r="V315" s="36"/>
      <c r="W315" s="42"/>
      <c r="X315" s="42"/>
      <c r="Y315" s="23"/>
      <c r="Z315" s="42"/>
      <c r="AA315" s="42"/>
      <c r="AB315" s="23"/>
      <c r="AC315" s="23"/>
      <c r="AD315" s="23"/>
      <c r="AE315" s="36"/>
      <c r="AF315" s="23"/>
    </row>
    <row r="316" spans="1:32" ht="15.75" x14ac:dyDescent="0.25">
      <c r="A316" s="44"/>
      <c r="B316" s="23"/>
      <c r="C316" s="23"/>
      <c r="D316" s="36"/>
      <c r="E316" s="23"/>
      <c r="F316" s="23"/>
      <c r="G316" s="23"/>
      <c r="H316" s="23"/>
      <c r="I316" s="23"/>
      <c r="J316" s="23"/>
      <c r="K316" s="23"/>
      <c r="L316" s="23"/>
      <c r="M316" s="36"/>
      <c r="N316" s="23"/>
      <c r="O316" s="23"/>
      <c r="P316" s="23"/>
      <c r="Q316" s="23"/>
      <c r="R316" s="23"/>
      <c r="S316" s="23"/>
      <c r="T316" s="23"/>
      <c r="U316" s="23"/>
      <c r="V316" s="36"/>
      <c r="W316" s="42"/>
      <c r="X316" s="42"/>
      <c r="Y316" s="23"/>
      <c r="Z316" s="42"/>
      <c r="AA316" s="42"/>
      <c r="AB316" s="23"/>
      <c r="AC316" s="23"/>
      <c r="AD316" s="23"/>
      <c r="AE316" s="36"/>
      <c r="AF316" s="23"/>
    </row>
    <row r="317" spans="1:32" ht="15.75" x14ac:dyDescent="0.25">
      <c r="A317" s="44"/>
      <c r="B317" s="23"/>
      <c r="C317" s="23"/>
      <c r="D317" s="36"/>
      <c r="E317" s="23"/>
      <c r="F317" s="23"/>
      <c r="G317" s="23"/>
      <c r="H317" s="23"/>
      <c r="I317" s="23"/>
      <c r="J317" s="23"/>
      <c r="K317" s="23"/>
      <c r="L317" s="23"/>
      <c r="M317" s="36"/>
      <c r="N317" s="23"/>
      <c r="O317" s="23"/>
      <c r="P317" s="23"/>
      <c r="Q317" s="23"/>
      <c r="R317" s="23"/>
      <c r="S317" s="23"/>
      <c r="T317" s="23"/>
      <c r="U317" s="23"/>
      <c r="V317" s="36"/>
      <c r="W317" s="42"/>
      <c r="X317" s="42"/>
      <c r="Y317" s="23"/>
      <c r="Z317" s="42"/>
      <c r="AA317" s="42"/>
      <c r="AB317" s="23"/>
      <c r="AC317" s="23"/>
      <c r="AD317" s="23"/>
      <c r="AE317" s="36"/>
      <c r="AF317" s="23"/>
    </row>
    <row r="318" spans="1:32" ht="15.75" x14ac:dyDescent="0.25">
      <c r="A318" s="44"/>
      <c r="B318" s="23"/>
      <c r="C318" s="23"/>
      <c r="D318" s="36"/>
      <c r="E318" s="23"/>
      <c r="F318" s="23"/>
      <c r="G318" s="23"/>
      <c r="H318" s="23"/>
      <c r="I318" s="23"/>
      <c r="J318" s="23"/>
      <c r="K318" s="23"/>
      <c r="L318" s="23"/>
      <c r="M318" s="36"/>
      <c r="N318" s="23"/>
      <c r="O318" s="23"/>
      <c r="P318" s="23"/>
      <c r="Q318" s="23"/>
      <c r="R318" s="23"/>
      <c r="S318" s="23"/>
      <c r="T318" s="23"/>
      <c r="U318" s="23"/>
      <c r="V318" s="36"/>
      <c r="W318" s="42"/>
      <c r="X318" s="42"/>
      <c r="Y318" s="23"/>
      <c r="Z318" s="42"/>
      <c r="AA318" s="42"/>
      <c r="AB318" s="23"/>
      <c r="AC318" s="23"/>
      <c r="AD318" s="23"/>
      <c r="AE318" s="36"/>
      <c r="AF318" s="23"/>
    </row>
    <row r="319" spans="1:32" ht="15.75" x14ac:dyDescent="0.25">
      <c r="A319" s="44"/>
      <c r="B319" s="23"/>
      <c r="C319" s="23"/>
      <c r="D319" s="36"/>
      <c r="E319" s="23"/>
      <c r="F319" s="23"/>
      <c r="G319" s="23"/>
      <c r="H319" s="23"/>
      <c r="I319" s="23"/>
      <c r="J319" s="23"/>
      <c r="K319" s="23"/>
      <c r="L319" s="23"/>
      <c r="M319" s="36"/>
      <c r="N319" s="23"/>
      <c r="O319" s="23"/>
      <c r="P319" s="23"/>
      <c r="Q319" s="23"/>
      <c r="R319" s="23"/>
      <c r="S319" s="23"/>
      <c r="T319" s="23"/>
      <c r="U319" s="23"/>
      <c r="V319" s="36"/>
      <c r="W319" s="42"/>
      <c r="X319" s="42"/>
      <c r="Y319" s="23"/>
      <c r="Z319" s="42"/>
      <c r="AA319" s="42"/>
      <c r="AB319" s="23"/>
      <c r="AC319" s="23"/>
      <c r="AD319" s="23"/>
      <c r="AE319" s="36"/>
      <c r="AF319" s="23"/>
    </row>
    <row r="320" spans="1:32" ht="15.75" x14ac:dyDescent="0.25">
      <c r="A320" s="44"/>
      <c r="B320" s="23"/>
      <c r="C320" s="23"/>
      <c r="D320" s="36"/>
      <c r="E320" s="23"/>
      <c r="F320" s="23"/>
      <c r="G320" s="23"/>
      <c r="H320" s="23"/>
      <c r="I320" s="23"/>
      <c r="J320" s="23"/>
      <c r="K320" s="23"/>
      <c r="L320" s="23"/>
      <c r="M320" s="36"/>
      <c r="N320" s="23"/>
      <c r="O320" s="23"/>
      <c r="P320" s="23"/>
      <c r="Q320" s="23"/>
      <c r="R320" s="23"/>
      <c r="S320" s="23"/>
      <c r="T320" s="23"/>
      <c r="U320" s="23"/>
      <c r="V320" s="36"/>
      <c r="W320" s="42"/>
      <c r="X320" s="42"/>
      <c r="Y320" s="23"/>
      <c r="Z320" s="42"/>
      <c r="AA320" s="42"/>
      <c r="AB320" s="23"/>
      <c r="AC320" s="23"/>
      <c r="AD320" s="23"/>
      <c r="AE320" s="36"/>
      <c r="AF320" s="23"/>
    </row>
    <row r="321" spans="1:32" ht="15.75" x14ac:dyDescent="0.25">
      <c r="A321" s="44"/>
      <c r="B321" s="23"/>
      <c r="C321" s="23"/>
      <c r="D321" s="36"/>
      <c r="E321" s="23"/>
      <c r="F321" s="23"/>
      <c r="G321" s="23"/>
      <c r="H321" s="23"/>
      <c r="I321" s="23"/>
      <c r="J321" s="23"/>
      <c r="K321" s="23"/>
      <c r="L321" s="23"/>
      <c r="M321" s="36"/>
      <c r="N321" s="23"/>
      <c r="O321" s="23"/>
      <c r="P321" s="23"/>
      <c r="Q321" s="23"/>
      <c r="R321" s="23"/>
      <c r="S321" s="23"/>
      <c r="T321" s="23"/>
      <c r="U321" s="23"/>
      <c r="V321" s="36"/>
      <c r="W321" s="42"/>
      <c r="X321" s="42"/>
      <c r="Y321" s="23"/>
      <c r="Z321" s="42"/>
      <c r="AA321" s="42"/>
      <c r="AB321" s="23"/>
      <c r="AC321" s="23"/>
      <c r="AD321" s="23"/>
      <c r="AE321" s="36"/>
      <c r="AF321" s="23"/>
    </row>
    <row r="322" spans="1:32" ht="15.75" x14ac:dyDescent="0.25">
      <c r="A322" s="44"/>
      <c r="B322" s="23"/>
      <c r="C322" s="23"/>
      <c r="D322" s="36"/>
      <c r="E322" s="23"/>
      <c r="F322" s="23"/>
      <c r="G322" s="23"/>
      <c r="H322" s="23"/>
      <c r="I322" s="23"/>
      <c r="J322" s="23"/>
      <c r="K322" s="23"/>
      <c r="L322" s="23"/>
      <c r="M322" s="36"/>
      <c r="N322" s="23"/>
      <c r="O322" s="23"/>
      <c r="P322" s="23"/>
      <c r="Q322" s="23"/>
      <c r="R322" s="23"/>
      <c r="S322" s="23"/>
      <c r="T322" s="23"/>
      <c r="U322" s="23"/>
      <c r="V322" s="36"/>
      <c r="W322" s="42"/>
      <c r="X322" s="42"/>
      <c r="Y322" s="23"/>
      <c r="Z322" s="42"/>
      <c r="AA322" s="42"/>
      <c r="AB322" s="23"/>
      <c r="AC322" s="23"/>
      <c r="AD322" s="23"/>
      <c r="AE322" s="36"/>
      <c r="AF322" s="23"/>
    </row>
    <row r="323" spans="1:32" ht="15.75" x14ac:dyDescent="0.25">
      <c r="A323" s="44"/>
      <c r="B323" s="23"/>
      <c r="C323" s="23"/>
      <c r="D323" s="36"/>
      <c r="E323" s="23"/>
      <c r="F323" s="23"/>
      <c r="G323" s="23"/>
      <c r="H323" s="23"/>
      <c r="I323" s="23"/>
      <c r="J323" s="23"/>
      <c r="K323" s="23"/>
      <c r="L323" s="23"/>
      <c r="M323" s="36"/>
      <c r="N323" s="23"/>
      <c r="O323" s="23"/>
      <c r="P323" s="23"/>
      <c r="Q323" s="23"/>
      <c r="R323" s="23"/>
      <c r="S323" s="23"/>
      <c r="T323" s="23"/>
      <c r="U323" s="23"/>
      <c r="V323" s="36"/>
      <c r="W323" s="42"/>
      <c r="X323" s="42"/>
      <c r="Y323" s="23"/>
      <c r="Z323" s="42"/>
      <c r="AA323" s="42"/>
      <c r="AB323" s="23"/>
      <c r="AC323" s="23"/>
      <c r="AD323" s="23"/>
      <c r="AE323" s="36"/>
      <c r="AF323" s="23"/>
    </row>
    <row r="324" spans="1:32" ht="15.75" x14ac:dyDescent="0.25">
      <c r="A324" s="44"/>
      <c r="B324" s="23"/>
      <c r="C324" s="23"/>
      <c r="D324" s="36"/>
      <c r="E324" s="23"/>
      <c r="F324" s="23"/>
      <c r="G324" s="23"/>
      <c r="H324" s="23"/>
      <c r="I324" s="23"/>
      <c r="J324" s="23"/>
      <c r="K324" s="23"/>
      <c r="L324" s="23"/>
      <c r="M324" s="36"/>
      <c r="N324" s="23"/>
      <c r="O324" s="23"/>
      <c r="P324" s="23"/>
      <c r="Q324" s="23"/>
      <c r="R324" s="23"/>
      <c r="S324" s="23"/>
      <c r="T324" s="23"/>
      <c r="U324" s="23"/>
      <c r="V324" s="36"/>
      <c r="W324" s="42"/>
      <c r="X324" s="42"/>
      <c r="Y324" s="23"/>
      <c r="Z324" s="42"/>
      <c r="AA324" s="42"/>
      <c r="AB324" s="23"/>
      <c r="AC324" s="23"/>
      <c r="AD324" s="23"/>
      <c r="AE324" s="36"/>
      <c r="AF324" s="23"/>
    </row>
    <row r="325" spans="1:32" ht="15.75" x14ac:dyDescent="0.25">
      <c r="A325" s="44"/>
      <c r="B325" s="23"/>
      <c r="C325" s="23"/>
      <c r="D325" s="36"/>
      <c r="E325" s="23"/>
      <c r="F325" s="23"/>
      <c r="G325" s="23"/>
      <c r="H325" s="23"/>
      <c r="I325" s="23"/>
      <c r="J325" s="23"/>
      <c r="K325" s="23"/>
      <c r="L325" s="23"/>
      <c r="M325" s="36"/>
      <c r="N325" s="23"/>
      <c r="O325" s="23"/>
      <c r="P325" s="23"/>
      <c r="Q325" s="23"/>
      <c r="R325" s="23"/>
      <c r="S325" s="23"/>
      <c r="T325" s="23"/>
      <c r="U325" s="23"/>
      <c r="V325" s="36"/>
      <c r="W325" s="42"/>
      <c r="X325" s="42"/>
      <c r="Y325" s="23"/>
      <c r="Z325" s="42"/>
      <c r="AA325" s="42"/>
      <c r="AB325" s="23"/>
      <c r="AC325" s="23"/>
      <c r="AD325" s="23"/>
      <c r="AE325" s="36"/>
      <c r="AF325" s="23"/>
    </row>
    <row r="326" spans="1:32" ht="15.75" x14ac:dyDescent="0.25">
      <c r="A326" s="44"/>
      <c r="B326" s="23"/>
      <c r="C326" s="23"/>
      <c r="D326" s="36"/>
      <c r="E326" s="23"/>
      <c r="F326" s="23"/>
      <c r="G326" s="23"/>
      <c r="H326" s="23"/>
      <c r="I326" s="23"/>
      <c r="J326" s="23"/>
      <c r="K326" s="23"/>
      <c r="L326" s="23"/>
      <c r="M326" s="36"/>
      <c r="N326" s="23"/>
      <c r="O326" s="23"/>
      <c r="P326" s="23"/>
      <c r="Q326" s="23"/>
      <c r="R326" s="23"/>
      <c r="S326" s="23"/>
      <c r="T326" s="23"/>
      <c r="U326" s="23"/>
      <c r="V326" s="36"/>
      <c r="W326" s="42"/>
      <c r="X326" s="42"/>
      <c r="Y326" s="23"/>
      <c r="Z326" s="42"/>
      <c r="AA326" s="42"/>
      <c r="AB326" s="23"/>
      <c r="AC326" s="23"/>
      <c r="AD326" s="23"/>
      <c r="AE326" s="36"/>
      <c r="AF326" s="23"/>
    </row>
    <row r="327" spans="1:32" ht="15.75" x14ac:dyDescent="0.25">
      <c r="A327" s="44"/>
      <c r="B327" s="23"/>
      <c r="C327" s="23"/>
      <c r="D327" s="36"/>
      <c r="E327" s="23"/>
      <c r="F327" s="23"/>
      <c r="G327" s="23"/>
      <c r="H327" s="23"/>
      <c r="I327" s="23"/>
      <c r="J327" s="23"/>
      <c r="K327" s="23"/>
      <c r="L327" s="23"/>
      <c r="M327" s="36"/>
      <c r="N327" s="23"/>
      <c r="O327" s="23"/>
      <c r="P327" s="23"/>
      <c r="Q327" s="23"/>
      <c r="R327" s="23"/>
      <c r="S327" s="23"/>
      <c r="T327" s="23"/>
      <c r="U327" s="23"/>
      <c r="V327" s="36"/>
      <c r="W327" s="42"/>
      <c r="X327" s="42"/>
      <c r="Y327" s="23"/>
      <c r="Z327" s="42"/>
      <c r="AA327" s="42"/>
      <c r="AB327" s="23"/>
      <c r="AC327" s="23"/>
      <c r="AD327" s="23"/>
      <c r="AE327" s="36"/>
      <c r="AF327" s="23"/>
    </row>
    <row r="328" spans="1:32" ht="15.75" x14ac:dyDescent="0.25">
      <c r="A328" s="44"/>
      <c r="B328" s="23"/>
      <c r="C328" s="23"/>
      <c r="D328" s="36"/>
      <c r="E328" s="23"/>
      <c r="F328" s="23"/>
      <c r="G328" s="23"/>
      <c r="H328" s="23"/>
      <c r="I328" s="23"/>
      <c r="J328" s="23"/>
      <c r="K328" s="23"/>
      <c r="L328" s="23"/>
      <c r="M328" s="36"/>
      <c r="N328" s="23"/>
      <c r="O328" s="23"/>
      <c r="P328" s="23"/>
      <c r="Q328" s="23"/>
      <c r="R328" s="23"/>
      <c r="S328" s="23"/>
      <c r="T328" s="23"/>
      <c r="U328" s="23"/>
      <c r="V328" s="36"/>
      <c r="W328" s="42"/>
      <c r="X328" s="42"/>
      <c r="Y328" s="23"/>
      <c r="Z328" s="42"/>
      <c r="AA328" s="42"/>
      <c r="AB328" s="23"/>
      <c r="AC328" s="23"/>
      <c r="AD328" s="23"/>
      <c r="AE328" s="36"/>
      <c r="AF328" s="23"/>
    </row>
    <row r="329" spans="1:32" ht="15.75" x14ac:dyDescent="0.25">
      <c r="A329" s="44"/>
      <c r="B329" s="23"/>
      <c r="C329" s="23"/>
      <c r="D329" s="36"/>
      <c r="E329" s="23"/>
      <c r="F329" s="23"/>
      <c r="G329" s="23"/>
      <c r="H329" s="23"/>
      <c r="I329" s="23"/>
      <c r="J329" s="23"/>
      <c r="K329" s="23"/>
      <c r="L329" s="23"/>
      <c r="M329" s="36"/>
      <c r="N329" s="23"/>
      <c r="O329" s="23"/>
      <c r="P329" s="23"/>
      <c r="Q329" s="23"/>
      <c r="R329" s="23"/>
      <c r="S329" s="23"/>
      <c r="T329" s="23"/>
      <c r="U329" s="23"/>
      <c r="V329" s="36"/>
      <c r="W329" s="42"/>
      <c r="X329" s="42"/>
      <c r="Y329" s="23"/>
      <c r="Z329" s="42"/>
      <c r="AA329" s="42"/>
      <c r="AB329" s="23"/>
      <c r="AC329" s="23"/>
      <c r="AD329" s="23"/>
      <c r="AE329" s="36"/>
      <c r="AF329" s="23"/>
    </row>
    <row r="330" spans="1:32" ht="15.75" x14ac:dyDescent="0.25">
      <c r="A330" s="44"/>
      <c r="B330" s="23"/>
      <c r="C330" s="23"/>
      <c r="D330" s="36"/>
      <c r="E330" s="23"/>
      <c r="F330" s="23"/>
      <c r="G330" s="23"/>
      <c r="H330" s="23"/>
      <c r="I330" s="23"/>
      <c r="J330" s="23"/>
      <c r="K330" s="23"/>
      <c r="L330" s="23"/>
      <c r="M330" s="36"/>
      <c r="N330" s="23"/>
      <c r="O330" s="23"/>
      <c r="P330" s="23"/>
      <c r="Q330" s="23"/>
      <c r="R330" s="23"/>
      <c r="S330" s="23"/>
      <c r="T330" s="23"/>
      <c r="U330" s="23"/>
      <c r="V330" s="36"/>
      <c r="W330" s="42"/>
      <c r="X330" s="42"/>
      <c r="Y330" s="23"/>
      <c r="Z330" s="42"/>
      <c r="AA330" s="42"/>
      <c r="AB330" s="23"/>
      <c r="AC330" s="23"/>
      <c r="AD330" s="23"/>
      <c r="AE330" s="36"/>
      <c r="AF330" s="23"/>
    </row>
    <row r="331" spans="1:32" ht="15.75" x14ac:dyDescent="0.25">
      <c r="A331" s="44"/>
      <c r="B331" s="23"/>
      <c r="C331" s="23"/>
      <c r="D331" s="36"/>
      <c r="E331" s="23"/>
      <c r="F331" s="23"/>
      <c r="G331" s="23"/>
      <c r="H331" s="23"/>
      <c r="I331" s="23"/>
      <c r="J331" s="23"/>
      <c r="K331" s="23"/>
      <c r="L331" s="23"/>
      <c r="M331" s="36"/>
      <c r="N331" s="23"/>
      <c r="O331" s="23"/>
      <c r="P331" s="23"/>
      <c r="Q331" s="23"/>
      <c r="R331" s="23"/>
      <c r="S331" s="23"/>
      <c r="T331" s="23"/>
      <c r="U331" s="23"/>
      <c r="V331" s="36"/>
      <c r="W331" s="42"/>
      <c r="X331" s="42"/>
      <c r="Y331" s="23"/>
      <c r="Z331" s="42"/>
      <c r="AA331" s="42"/>
      <c r="AB331" s="23"/>
      <c r="AC331" s="23"/>
      <c r="AD331" s="23"/>
      <c r="AE331" s="36"/>
      <c r="AF331" s="23"/>
    </row>
    <row r="332" spans="1:32" ht="15.75" x14ac:dyDescent="0.25">
      <c r="A332" s="44"/>
      <c r="B332" s="23"/>
      <c r="C332" s="23"/>
      <c r="D332" s="36"/>
      <c r="E332" s="23"/>
      <c r="F332" s="23"/>
      <c r="G332" s="23"/>
      <c r="H332" s="23"/>
      <c r="I332" s="23"/>
      <c r="J332" s="23"/>
      <c r="K332" s="23"/>
      <c r="L332" s="23"/>
      <c r="M332" s="36"/>
      <c r="N332" s="23"/>
      <c r="O332" s="23"/>
      <c r="P332" s="23"/>
      <c r="Q332" s="23"/>
      <c r="R332" s="23"/>
      <c r="S332" s="23"/>
      <c r="T332" s="23"/>
      <c r="U332" s="23"/>
      <c r="V332" s="36"/>
      <c r="W332" s="42"/>
      <c r="X332" s="42"/>
      <c r="Y332" s="23"/>
      <c r="Z332" s="42"/>
      <c r="AA332" s="42"/>
      <c r="AB332" s="23"/>
      <c r="AC332" s="23"/>
      <c r="AD332" s="23"/>
      <c r="AE332" s="36"/>
      <c r="AF332" s="23"/>
    </row>
    <row r="333" spans="1:32" ht="15.75" x14ac:dyDescent="0.25">
      <c r="A333" s="44"/>
      <c r="B333" s="23"/>
      <c r="C333" s="23"/>
      <c r="D333" s="36"/>
      <c r="E333" s="23"/>
      <c r="F333" s="23"/>
      <c r="G333" s="23"/>
      <c r="H333" s="23"/>
      <c r="I333" s="23"/>
      <c r="J333" s="23"/>
      <c r="K333" s="23"/>
      <c r="L333" s="23"/>
      <c r="M333" s="36"/>
      <c r="N333" s="23"/>
      <c r="O333" s="23"/>
      <c r="P333" s="23"/>
      <c r="Q333" s="23"/>
      <c r="R333" s="23"/>
      <c r="S333" s="23"/>
      <c r="T333" s="23"/>
      <c r="U333" s="23"/>
      <c r="V333" s="36"/>
      <c r="W333" s="42"/>
      <c r="X333" s="42"/>
      <c r="Y333" s="23"/>
      <c r="Z333" s="42"/>
      <c r="AA333" s="42"/>
      <c r="AB333" s="23"/>
      <c r="AC333" s="23"/>
      <c r="AD333" s="23"/>
      <c r="AE333" s="36"/>
      <c r="AF333" s="23"/>
    </row>
    <row r="334" spans="1:32" ht="15.75" x14ac:dyDescent="0.25">
      <c r="A334" s="44"/>
      <c r="B334" s="23"/>
      <c r="C334" s="23"/>
      <c r="D334" s="36"/>
      <c r="E334" s="23"/>
      <c r="F334" s="23"/>
      <c r="G334" s="23"/>
      <c r="H334" s="23"/>
      <c r="I334" s="23"/>
      <c r="J334" s="23"/>
      <c r="K334" s="23"/>
      <c r="L334" s="23"/>
      <c r="M334" s="36"/>
      <c r="N334" s="23"/>
      <c r="O334" s="23"/>
      <c r="P334" s="23"/>
      <c r="Q334" s="23"/>
      <c r="R334" s="23"/>
      <c r="S334" s="23"/>
      <c r="T334" s="23"/>
      <c r="U334" s="23"/>
      <c r="V334" s="36"/>
      <c r="W334" s="42"/>
      <c r="X334" s="42"/>
      <c r="Y334" s="23"/>
      <c r="Z334" s="42"/>
      <c r="AA334" s="42"/>
      <c r="AB334" s="23"/>
      <c r="AC334" s="23"/>
      <c r="AD334" s="23"/>
      <c r="AE334" s="36"/>
      <c r="AF334" s="23"/>
    </row>
    <row r="335" spans="1:32" ht="15.75" x14ac:dyDescent="0.25">
      <c r="A335" s="44"/>
      <c r="B335" s="23"/>
      <c r="C335" s="23"/>
      <c r="D335" s="36"/>
      <c r="E335" s="23"/>
      <c r="F335" s="23"/>
      <c r="G335" s="23"/>
      <c r="H335" s="23"/>
      <c r="I335" s="23"/>
      <c r="J335" s="23"/>
      <c r="K335" s="23"/>
      <c r="L335" s="23"/>
      <c r="M335" s="36"/>
      <c r="N335" s="23"/>
      <c r="O335" s="23"/>
      <c r="P335" s="23"/>
      <c r="Q335" s="23"/>
      <c r="R335" s="23"/>
      <c r="S335" s="23"/>
      <c r="T335" s="23"/>
      <c r="U335" s="23"/>
      <c r="V335" s="36"/>
      <c r="W335" s="42"/>
      <c r="X335" s="42"/>
      <c r="Y335" s="23"/>
      <c r="Z335" s="42"/>
      <c r="AA335" s="42"/>
      <c r="AB335" s="23"/>
      <c r="AC335" s="23"/>
      <c r="AD335" s="23"/>
      <c r="AE335" s="36"/>
      <c r="AF335" s="23"/>
    </row>
    <row r="336" spans="1:32" ht="15.75" x14ac:dyDescent="0.25">
      <c r="A336" s="44"/>
      <c r="B336" s="23"/>
      <c r="C336" s="23"/>
      <c r="D336" s="36"/>
      <c r="E336" s="23"/>
      <c r="F336" s="23"/>
      <c r="G336" s="23"/>
      <c r="H336" s="23"/>
      <c r="I336" s="23"/>
      <c r="J336" s="23"/>
      <c r="K336" s="23"/>
      <c r="L336" s="23"/>
      <c r="M336" s="36"/>
      <c r="N336" s="23"/>
      <c r="O336" s="23"/>
      <c r="P336" s="23"/>
      <c r="Q336" s="23"/>
      <c r="R336" s="23"/>
      <c r="S336" s="23"/>
      <c r="T336" s="23"/>
      <c r="U336" s="23"/>
      <c r="V336" s="36"/>
      <c r="W336" s="42"/>
      <c r="X336" s="42"/>
      <c r="Y336" s="23"/>
      <c r="Z336" s="42"/>
      <c r="AA336" s="42"/>
      <c r="AB336" s="23"/>
      <c r="AC336" s="23"/>
      <c r="AD336" s="23"/>
      <c r="AE336" s="36"/>
      <c r="AF336" s="23"/>
    </row>
    <row r="337" spans="1:32" ht="15.75" x14ac:dyDescent="0.25">
      <c r="A337" s="44"/>
      <c r="B337" s="23"/>
      <c r="C337" s="23"/>
      <c r="D337" s="36"/>
      <c r="E337" s="23"/>
      <c r="F337" s="23"/>
      <c r="G337" s="23"/>
      <c r="H337" s="23"/>
      <c r="I337" s="23"/>
      <c r="J337" s="23"/>
      <c r="K337" s="23"/>
      <c r="L337" s="23"/>
      <c r="M337" s="36"/>
      <c r="N337" s="23"/>
      <c r="O337" s="23"/>
      <c r="P337" s="23"/>
      <c r="Q337" s="23"/>
      <c r="R337" s="23"/>
      <c r="S337" s="23"/>
      <c r="T337" s="23"/>
      <c r="U337" s="23"/>
      <c r="V337" s="36"/>
      <c r="W337" s="42"/>
      <c r="X337" s="42"/>
      <c r="Y337" s="23"/>
      <c r="Z337" s="42"/>
      <c r="AA337" s="42"/>
      <c r="AB337" s="23"/>
      <c r="AC337" s="23"/>
      <c r="AD337" s="23"/>
      <c r="AE337" s="36"/>
      <c r="AF337" s="23"/>
    </row>
    <row r="338" spans="1:32" ht="15.75" x14ac:dyDescent="0.25">
      <c r="A338" s="44"/>
      <c r="B338" s="23"/>
      <c r="C338" s="23"/>
      <c r="D338" s="36"/>
      <c r="E338" s="23"/>
      <c r="F338" s="23"/>
      <c r="G338" s="23"/>
      <c r="H338" s="23"/>
      <c r="I338" s="23"/>
      <c r="J338" s="23"/>
      <c r="K338" s="23"/>
      <c r="L338" s="23"/>
      <c r="M338" s="36"/>
      <c r="N338" s="23"/>
      <c r="O338" s="23"/>
      <c r="P338" s="23"/>
      <c r="Q338" s="23"/>
      <c r="R338" s="23"/>
      <c r="S338" s="23"/>
      <c r="T338" s="23"/>
      <c r="U338" s="23"/>
      <c r="V338" s="36"/>
      <c r="W338" s="42"/>
      <c r="X338" s="42"/>
      <c r="Y338" s="23"/>
      <c r="Z338" s="42"/>
      <c r="AA338" s="42"/>
      <c r="AB338" s="23"/>
      <c r="AC338" s="23"/>
      <c r="AD338" s="23"/>
      <c r="AE338" s="36"/>
      <c r="AF338" s="23"/>
    </row>
    <row r="339" spans="1:32" ht="15.75" x14ac:dyDescent="0.25">
      <c r="A339" s="44"/>
      <c r="B339" s="23"/>
      <c r="C339" s="23"/>
      <c r="D339" s="36"/>
      <c r="E339" s="23"/>
      <c r="F339" s="23"/>
      <c r="G339" s="23"/>
      <c r="H339" s="23"/>
      <c r="I339" s="23"/>
      <c r="J339" s="23"/>
      <c r="K339" s="23"/>
      <c r="L339" s="23"/>
      <c r="M339" s="36"/>
      <c r="N339" s="23"/>
      <c r="O339" s="23"/>
      <c r="P339" s="23"/>
      <c r="Q339" s="23"/>
      <c r="R339" s="23"/>
      <c r="S339" s="23"/>
      <c r="T339" s="23"/>
      <c r="U339" s="23"/>
      <c r="V339" s="36"/>
      <c r="W339" s="42"/>
      <c r="X339" s="42"/>
      <c r="Y339" s="23"/>
      <c r="Z339" s="42"/>
      <c r="AA339" s="42"/>
      <c r="AB339" s="23"/>
      <c r="AC339" s="23"/>
      <c r="AD339" s="23"/>
      <c r="AE339" s="36"/>
      <c r="AF339" s="23"/>
    </row>
    <row r="340" spans="1:32" ht="15.75" x14ac:dyDescent="0.25">
      <c r="A340" s="44"/>
      <c r="B340" s="23"/>
      <c r="C340" s="23"/>
      <c r="D340" s="36"/>
      <c r="E340" s="23"/>
      <c r="F340" s="23"/>
      <c r="G340" s="23"/>
      <c r="H340" s="23"/>
      <c r="I340" s="23"/>
      <c r="J340" s="23"/>
      <c r="K340" s="23"/>
      <c r="L340" s="23"/>
      <c r="M340" s="36"/>
      <c r="N340" s="23"/>
      <c r="O340" s="23"/>
      <c r="P340" s="23"/>
      <c r="Q340" s="23"/>
      <c r="R340" s="23"/>
      <c r="S340" s="23"/>
      <c r="T340" s="23"/>
      <c r="U340" s="23"/>
      <c r="V340" s="36"/>
      <c r="W340" s="42"/>
      <c r="X340" s="42"/>
      <c r="Y340" s="23"/>
      <c r="Z340" s="42"/>
      <c r="AA340" s="42"/>
      <c r="AB340" s="23"/>
      <c r="AC340" s="23"/>
      <c r="AD340" s="23"/>
      <c r="AE340" s="36"/>
      <c r="AF340" s="23"/>
    </row>
    <row r="341" spans="1:32" ht="15.75" x14ac:dyDescent="0.25">
      <c r="A341" s="44"/>
      <c r="B341" s="23"/>
      <c r="C341" s="23"/>
      <c r="D341" s="36"/>
      <c r="E341" s="23"/>
      <c r="F341" s="23"/>
      <c r="G341" s="23"/>
      <c r="H341" s="23"/>
      <c r="I341" s="23"/>
      <c r="J341" s="23"/>
      <c r="K341" s="23"/>
      <c r="L341" s="23"/>
      <c r="M341" s="36"/>
      <c r="N341" s="23"/>
      <c r="O341" s="23"/>
      <c r="P341" s="23"/>
      <c r="Q341" s="23"/>
      <c r="R341" s="23"/>
      <c r="S341" s="23"/>
      <c r="T341" s="23"/>
      <c r="U341" s="23"/>
      <c r="V341" s="36"/>
      <c r="W341" s="42"/>
      <c r="X341" s="42"/>
      <c r="Y341" s="23"/>
      <c r="Z341" s="42"/>
      <c r="AA341" s="42"/>
      <c r="AB341" s="23"/>
      <c r="AC341" s="23"/>
      <c r="AD341" s="23"/>
      <c r="AE341" s="36"/>
      <c r="AF341" s="23"/>
    </row>
    <row r="342" spans="1:32" ht="15.75" x14ac:dyDescent="0.25">
      <c r="A342" s="44"/>
      <c r="B342" s="23"/>
      <c r="C342" s="23"/>
      <c r="D342" s="36"/>
      <c r="E342" s="23"/>
      <c r="F342" s="23"/>
      <c r="G342" s="23"/>
      <c r="H342" s="23"/>
      <c r="I342" s="23"/>
      <c r="J342" s="23"/>
      <c r="K342" s="23"/>
      <c r="L342" s="23"/>
      <c r="M342" s="36"/>
      <c r="N342" s="23"/>
      <c r="O342" s="23"/>
      <c r="P342" s="23"/>
      <c r="Q342" s="23"/>
      <c r="R342" s="23"/>
      <c r="S342" s="23"/>
      <c r="T342" s="23"/>
      <c r="U342" s="23"/>
      <c r="V342" s="36"/>
      <c r="W342" s="42"/>
      <c r="X342" s="42"/>
      <c r="Y342" s="23"/>
      <c r="Z342" s="42"/>
      <c r="AA342" s="42"/>
      <c r="AB342" s="23"/>
      <c r="AC342" s="23"/>
      <c r="AD342" s="23"/>
      <c r="AE342" s="36"/>
      <c r="AF342" s="23"/>
    </row>
    <row r="343" spans="1:32" ht="15.75" x14ac:dyDescent="0.25">
      <c r="A343" s="44"/>
      <c r="B343" s="23"/>
      <c r="C343" s="23"/>
      <c r="D343" s="36"/>
      <c r="E343" s="23"/>
      <c r="F343" s="23"/>
      <c r="G343" s="23"/>
      <c r="H343" s="23"/>
      <c r="I343" s="23"/>
      <c r="J343" s="23"/>
      <c r="K343" s="23"/>
      <c r="L343" s="23"/>
      <c r="M343" s="36"/>
      <c r="N343" s="23"/>
      <c r="O343" s="23"/>
      <c r="P343" s="23"/>
      <c r="Q343" s="23"/>
      <c r="R343" s="23"/>
      <c r="S343" s="23"/>
      <c r="T343" s="23"/>
      <c r="U343" s="23"/>
      <c r="V343" s="36"/>
      <c r="W343" s="42"/>
      <c r="X343" s="42"/>
      <c r="Y343" s="23"/>
      <c r="Z343" s="42"/>
      <c r="AA343" s="42"/>
      <c r="AB343" s="23"/>
      <c r="AC343" s="23"/>
      <c r="AD343" s="23"/>
      <c r="AE343" s="36"/>
      <c r="AF343" s="23"/>
    </row>
    <row r="344" spans="1:32" ht="15.75" x14ac:dyDescent="0.25">
      <c r="A344" s="44"/>
      <c r="B344" s="23"/>
      <c r="C344" s="23"/>
      <c r="D344" s="36"/>
      <c r="E344" s="23"/>
      <c r="F344" s="23"/>
      <c r="G344" s="23"/>
      <c r="H344" s="23"/>
      <c r="I344" s="23"/>
      <c r="J344" s="23"/>
      <c r="K344" s="23"/>
      <c r="L344" s="23"/>
      <c r="M344" s="36"/>
      <c r="N344" s="23"/>
      <c r="O344" s="23"/>
      <c r="P344" s="23"/>
      <c r="Q344" s="23"/>
      <c r="R344" s="23"/>
      <c r="S344" s="23"/>
      <c r="T344" s="23"/>
      <c r="U344" s="23"/>
      <c r="V344" s="36"/>
      <c r="W344" s="42"/>
      <c r="X344" s="42"/>
      <c r="Y344" s="23"/>
      <c r="Z344" s="42"/>
      <c r="AA344" s="42"/>
      <c r="AB344" s="23"/>
      <c r="AC344" s="23"/>
      <c r="AD344" s="23"/>
      <c r="AE344" s="36"/>
      <c r="AF344" s="23"/>
    </row>
    <row r="345" spans="1:32" ht="15.75" x14ac:dyDescent="0.25">
      <c r="A345" s="44"/>
      <c r="B345" s="23"/>
      <c r="C345" s="23"/>
      <c r="D345" s="36"/>
      <c r="E345" s="23"/>
      <c r="F345" s="23"/>
      <c r="G345" s="23"/>
      <c r="H345" s="23"/>
      <c r="I345" s="23"/>
      <c r="J345" s="23"/>
      <c r="K345" s="23"/>
      <c r="L345" s="23"/>
      <c r="M345" s="36"/>
      <c r="N345" s="23"/>
      <c r="O345" s="23"/>
      <c r="P345" s="23"/>
      <c r="Q345" s="23"/>
      <c r="R345" s="23"/>
      <c r="S345" s="23"/>
      <c r="T345" s="23"/>
      <c r="U345" s="23"/>
      <c r="V345" s="36"/>
      <c r="W345" s="42"/>
      <c r="X345" s="42"/>
      <c r="Y345" s="23"/>
      <c r="Z345" s="42"/>
      <c r="AA345" s="42"/>
      <c r="AB345" s="23"/>
      <c r="AC345" s="23"/>
      <c r="AD345" s="23"/>
      <c r="AE345" s="36"/>
      <c r="AF345" s="23"/>
    </row>
    <row r="346" spans="1:32" ht="15.75" x14ac:dyDescent="0.25">
      <c r="A346" s="44"/>
      <c r="B346" s="23"/>
      <c r="C346" s="23"/>
      <c r="D346" s="36"/>
      <c r="E346" s="23"/>
      <c r="F346" s="23"/>
      <c r="G346" s="23"/>
      <c r="H346" s="23"/>
      <c r="I346" s="23"/>
      <c r="J346" s="23"/>
      <c r="K346" s="23"/>
      <c r="L346" s="23"/>
      <c r="M346" s="36"/>
      <c r="N346" s="23"/>
      <c r="O346" s="23"/>
      <c r="P346" s="23"/>
      <c r="Q346" s="23"/>
      <c r="R346" s="23"/>
      <c r="S346" s="23"/>
      <c r="T346" s="23"/>
      <c r="U346" s="23"/>
      <c r="V346" s="36"/>
      <c r="W346" s="42"/>
      <c r="X346" s="42"/>
      <c r="Y346" s="23"/>
      <c r="Z346" s="42"/>
      <c r="AA346" s="42"/>
      <c r="AB346" s="23"/>
      <c r="AC346" s="23"/>
      <c r="AD346" s="23"/>
      <c r="AE346" s="36"/>
      <c r="AF346" s="23"/>
    </row>
    <row r="347" spans="1:32" ht="15.75" x14ac:dyDescent="0.25">
      <c r="A347" s="44"/>
      <c r="B347" s="23"/>
      <c r="C347" s="23"/>
      <c r="D347" s="36"/>
      <c r="E347" s="23"/>
      <c r="F347" s="23"/>
      <c r="G347" s="23"/>
      <c r="H347" s="23"/>
      <c r="I347" s="23"/>
      <c r="J347" s="23"/>
      <c r="K347" s="23"/>
      <c r="L347" s="23"/>
      <c r="M347" s="36"/>
      <c r="N347" s="23"/>
      <c r="O347" s="23"/>
      <c r="P347" s="23"/>
      <c r="Q347" s="23"/>
      <c r="R347" s="23"/>
      <c r="S347" s="23"/>
      <c r="T347" s="23"/>
      <c r="U347" s="23"/>
      <c r="V347" s="36"/>
      <c r="W347" s="42"/>
      <c r="X347" s="42"/>
      <c r="Y347" s="23"/>
      <c r="Z347" s="42"/>
      <c r="AA347" s="42"/>
      <c r="AB347" s="23"/>
      <c r="AC347" s="23"/>
      <c r="AD347" s="23"/>
      <c r="AE347" s="36"/>
      <c r="AF347" s="23"/>
    </row>
    <row r="348" spans="1:32" ht="15.75" x14ac:dyDescent="0.25">
      <c r="A348" s="44"/>
      <c r="B348" s="23"/>
      <c r="C348" s="23"/>
      <c r="D348" s="36"/>
      <c r="E348" s="23"/>
      <c r="F348" s="23"/>
      <c r="G348" s="23"/>
      <c r="H348" s="23"/>
      <c r="I348" s="23"/>
      <c r="J348" s="23"/>
      <c r="K348" s="23"/>
      <c r="L348" s="23"/>
      <c r="M348" s="36"/>
      <c r="N348" s="23"/>
      <c r="O348" s="23"/>
      <c r="P348" s="23"/>
      <c r="Q348" s="23"/>
      <c r="R348" s="23"/>
      <c r="S348" s="23"/>
      <c r="T348" s="23"/>
      <c r="U348" s="23"/>
      <c r="V348" s="36"/>
      <c r="W348" s="42"/>
      <c r="X348" s="42"/>
      <c r="Y348" s="23"/>
      <c r="Z348" s="42"/>
      <c r="AA348" s="42"/>
      <c r="AB348" s="23"/>
      <c r="AC348" s="23"/>
      <c r="AD348" s="23"/>
      <c r="AE348" s="36"/>
      <c r="AF348" s="23"/>
    </row>
    <row r="349" spans="1:32" ht="15.75" x14ac:dyDescent="0.25">
      <c r="A349" s="44"/>
      <c r="B349" s="23"/>
      <c r="C349" s="23"/>
      <c r="D349" s="36"/>
      <c r="E349" s="23"/>
      <c r="F349" s="23"/>
      <c r="G349" s="23"/>
      <c r="H349" s="23"/>
      <c r="I349" s="23"/>
      <c r="J349" s="23"/>
      <c r="K349" s="23"/>
      <c r="L349" s="23"/>
      <c r="M349" s="36"/>
      <c r="N349" s="23"/>
      <c r="O349" s="23"/>
      <c r="P349" s="23"/>
      <c r="Q349" s="23"/>
      <c r="R349" s="23"/>
      <c r="S349" s="23"/>
      <c r="T349" s="23"/>
      <c r="U349" s="23"/>
      <c r="V349" s="36"/>
      <c r="W349" s="42"/>
      <c r="X349" s="42"/>
      <c r="Y349" s="23"/>
      <c r="Z349" s="42"/>
      <c r="AA349" s="42"/>
      <c r="AB349" s="23"/>
      <c r="AC349" s="23"/>
      <c r="AD349" s="23"/>
      <c r="AE349" s="36"/>
      <c r="AF349" s="23"/>
    </row>
    <row r="350" spans="1:32" ht="15.75" x14ac:dyDescent="0.25">
      <c r="A350" s="44"/>
      <c r="B350" s="23"/>
      <c r="C350" s="23"/>
      <c r="D350" s="36"/>
      <c r="E350" s="23"/>
      <c r="F350" s="23"/>
      <c r="G350" s="23"/>
      <c r="H350" s="23"/>
      <c r="I350" s="23"/>
      <c r="J350" s="23"/>
      <c r="K350" s="23"/>
      <c r="L350" s="23"/>
      <c r="M350" s="36"/>
      <c r="N350" s="23"/>
      <c r="O350" s="23"/>
      <c r="P350" s="23"/>
      <c r="Q350" s="23"/>
      <c r="R350" s="23"/>
      <c r="S350" s="23"/>
      <c r="T350" s="23"/>
      <c r="U350" s="23"/>
      <c r="V350" s="36"/>
      <c r="W350" s="42"/>
      <c r="X350" s="42"/>
      <c r="Y350" s="23"/>
      <c r="Z350" s="42"/>
      <c r="AA350" s="42"/>
      <c r="AB350" s="23"/>
      <c r="AC350" s="23"/>
      <c r="AD350" s="23"/>
      <c r="AE350" s="36"/>
      <c r="AF350" s="23"/>
    </row>
    <row r="351" spans="1:32" ht="15.75" x14ac:dyDescent="0.25">
      <c r="A351" s="44"/>
      <c r="B351" s="23"/>
      <c r="C351" s="23"/>
      <c r="D351" s="36"/>
      <c r="E351" s="23"/>
      <c r="F351" s="23"/>
      <c r="G351" s="23"/>
      <c r="H351" s="23"/>
      <c r="I351" s="23"/>
      <c r="J351" s="23"/>
      <c r="K351" s="23"/>
      <c r="L351" s="23"/>
      <c r="M351" s="36"/>
      <c r="N351" s="23"/>
      <c r="O351" s="23"/>
      <c r="P351" s="23"/>
      <c r="Q351" s="23"/>
      <c r="R351" s="23"/>
      <c r="S351" s="23"/>
      <c r="T351" s="23"/>
      <c r="U351" s="23"/>
      <c r="V351" s="36"/>
      <c r="W351" s="42"/>
      <c r="X351" s="42"/>
      <c r="Y351" s="23"/>
      <c r="Z351" s="42"/>
      <c r="AA351" s="42"/>
      <c r="AB351" s="23"/>
      <c r="AC351" s="23"/>
      <c r="AD351" s="23"/>
      <c r="AE351" s="36"/>
      <c r="AF351" s="23"/>
    </row>
    <row r="352" spans="1:32" ht="15.75" x14ac:dyDescent="0.25">
      <c r="A352" s="44"/>
      <c r="B352" s="23"/>
      <c r="C352" s="23"/>
      <c r="D352" s="36"/>
      <c r="E352" s="23"/>
      <c r="F352" s="23"/>
      <c r="G352" s="23"/>
      <c r="H352" s="23"/>
      <c r="I352" s="23"/>
      <c r="J352" s="23"/>
      <c r="K352" s="23"/>
      <c r="L352" s="23"/>
      <c r="M352" s="36"/>
      <c r="N352" s="23"/>
      <c r="O352" s="23"/>
      <c r="P352" s="23"/>
      <c r="Q352" s="23"/>
      <c r="R352" s="23"/>
      <c r="S352" s="23"/>
      <c r="T352" s="23"/>
      <c r="U352" s="23"/>
      <c r="V352" s="36"/>
      <c r="W352" s="42"/>
      <c r="X352" s="42"/>
      <c r="Y352" s="23"/>
      <c r="Z352" s="42"/>
      <c r="AA352" s="42"/>
      <c r="AB352" s="23"/>
      <c r="AC352" s="23"/>
      <c r="AD352" s="23"/>
      <c r="AE352" s="36"/>
      <c r="AF352" s="23"/>
    </row>
    <row r="353" spans="1:32" ht="15.75" x14ac:dyDescent="0.25">
      <c r="A353" s="44"/>
      <c r="B353" s="23"/>
      <c r="C353" s="23"/>
      <c r="D353" s="36"/>
      <c r="E353" s="23"/>
      <c r="F353" s="23"/>
      <c r="G353" s="23"/>
      <c r="H353" s="23"/>
      <c r="I353" s="23"/>
      <c r="J353" s="23"/>
      <c r="K353" s="23"/>
      <c r="L353" s="23"/>
      <c r="M353" s="36"/>
      <c r="N353" s="23"/>
      <c r="O353" s="23"/>
      <c r="P353" s="23"/>
      <c r="Q353" s="23"/>
      <c r="R353" s="23"/>
      <c r="S353" s="23"/>
      <c r="T353" s="23"/>
      <c r="U353" s="23"/>
      <c r="V353" s="36"/>
      <c r="W353" s="42"/>
      <c r="X353" s="42"/>
      <c r="Y353" s="23"/>
      <c r="Z353" s="42"/>
      <c r="AA353" s="42"/>
      <c r="AB353" s="23"/>
      <c r="AC353" s="23"/>
      <c r="AD353" s="23"/>
      <c r="AE353" s="36"/>
      <c r="AF353" s="23"/>
    </row>
    <row r="354" spans="1:32" ht="15.75" x14ac:dyDescent="0.25">
      <c r="A354" s="44"/>
      <c r="B354" s="23"/>
      <c r="C354" s="23"/>
      <c r="D354" s="36"/>
      <c r="E354" s="23"/>
      <c r="F354" s="23"/>
      <c r="G354" s="23"/>
      <c r="H354" s="23"/>
      <c r="I354" s="23"/>
      <c r="J354" s="23"/>
      <c r="K354" s="23"/>
      <c r="L354" s="23"/>
      <c r="M354" s="36"/>
      <c r="N354" s="23"/>
      <c r="O354" s="23"/>
      <c r="P354" s="23"/>
      <c r="Q354" s="23"/>
      <c r="R354" s="23"/>
      <c r="S354" s="23"/>
      <c r="T354" s="23"/>
      <c r="U354" s="23"/>
      <c r="V354" s="36"/>
      <c r="W354" s="42"/>
      <c r="X354" s="42"/>
      <c r="Y354" s="23"/>
      <c r="Z354" s="42"/>
      <c r="AA354" s="42"/>
      <c r="AB354" s="23"/>
      <c r="AC354" s="23"/>
      <c r="AD354" s="23"/>
      <c r="AE354" s="36"/>
      <c r="AF354" s="23"/>
    </row>
    <row r="355" spans="1:32" ht="15.75" x14ac:dyDescent="0.25">
      <c r="A355" s="44"/>
      <c r="B355" s="23"/>
      <c r="C355" s="23"/>
      <c r="D355" s="36"/>
      <c r="E355" s="23"/>
      <c r="F355" s="23"/>
      <c r="G355" s="23"/>
      <c r="H355" s="23"/>
      <c r="I355" s="23"/>
      <c r="J355" s="23"/>
      <c r="K355" s="23"/>
      <c r="L355" s="23"/>
      <c r="M355" s="36"/>
      <c r="N355" s="23"/>
      <c r="O355" s="23"/>
      <c r="P355" s="23"/>
      <c r="Q355" s="23"/>
      <c r="R355" s="23"/>
      <c r="S355" s="23"/>
      <c r="T355" s="23"/>
      <c r="U355" s="23"/>
      <c r="V355" s="36"/>
      <c r="W355" s="42"/>
      <c r="X355" s="42"/>
      <c r="Y355" s="23"/>
      <c r="Z355" s="42"/>
      <c r="AA355" s="42"/>
      <c r="AB355" s="23"/>
      <c r="AC355" s="23"/>
      <c r="AD355" s="23"/>
      <c r="AE355" s="36"/>
      <c r="AF355" s="23"/>
    </row>
    <row r="356" spans="1:32" ht="15.75" x14ac:dyDescent="0.25">
      <c r="A356" s="44"/>
      <c r="B356" s="23"/>
      <c r="C356" s="23"/>
      <c r="D356" s="36"/>
      <c r="E356" s="23"/>
      <c r="F356" s="23"/>
      <c r="G356" s="23"/>
      <c r="H356" s="23"/>
      <c r="I356" s="23"/>
      <c r="J356" s="23"/>
      <c r="K356" s="23"/>
      <c r="L356" s="23"/>
      <c r="M356" s="36"/>
      <c r="N356" s="23"/>
      <c r="O356" s="23"/>
      <c r="P356" s="23"/>
      <c r="Q356" s="23"/>
      <c r="R356" s="23"/>
      <c r="S356" s="23"/>
      <c r="T356" s="23"/>
      <c r="U356" s="23"/>
      <c r="V356" s="36"/>
      <c r="W356" s="42"/>
      <c r="X356" s="42"/>
      <c r="Y356" s="23"/>
      <c r="Z356" s="42"/>
      <c r="AA356" s="42"/>
      <c r="AB356" s="23"/>
      <c r="AC356" s="23"/>
      <c r="AD356" s="23"/>
      <c r="AE356" s="36"/>
      <c r="AF356" s="23"/>
    </row>
    <row r="357" spans="1:32" ht="15.75" x14ac:dyDescent="0.25">
      <c r="A357" s="44"/>
      <c r="B357" s="23"/>
      <c r="C357" s="23"/>
      <c r="D357" s="36"/>
      <c r="E357" s="23"/>
      <c r="F357" s="23"/>
      <c r="G357" s="23"/>
      <c r="H357" s="23"/>
      <c r="I357" s="23"/>
      <c r="J357" s="23"/>
      <c r="K357" s="23"/>
      <c r="L357" s="23"/>
      <c r="M357" s="36"/>
      <c r="N357" s="23"/>
      <c r="O357" s="23"/>
      <c r="P357" s="23"/>
      <c r="Q357" s="23"/>
      <c r="R357" s="23"/>
      <c r="S357" s="23"/>
      <c r="T357" s="23"/>
      <c r="U357" s="23"/>
      <c r="V357" s="36"/>
      <c r="W357" s="42"/>
      <c r="X357" s="42"/>
      <c r="Y357" s="23"/>
      <c r="Z357" s="42"/>
      <c r="AA357" s="42"/>
      <c r="AB357" s="23"/>
      <c r="AC357" s="23"/>
      <c r="AD357" s="23"/>
      <c r="AE357" s="36"/>
      <c r="AF357" s="23"/>
    </row>
    <row r="358" spans="1:32" ht="15.75" x14ac:dyDescent="0.25">
      <c r="A358" s="44"/>
      <c r="B358" s="23"/>
      <c r="C358" s="23"/>
      <c r="D358" s="36"/>
      <c r="E358" s="23"/>
      <c r="F358" s="23"/>
      <c r="G358" s="23"/>
      <c r="H358" s="23"/>
      <c r="I358" s="23"/>
      <c r="J358" s="23"/>
      <c r="K358" s="23"/>
      <c r="L358" s="23"/>
      <c r="M358" s="36"/>
      <c r="N358" s="23"/>
      <c r="O358" s="23"/>
      <c r="P358" s="23"/>
      <c r="Q358" s="23"/>
      <c r="R358" s="23"/>
      <c r="S358" s="23"/>
      <c r="T358" s="23"/>
      <c r="U358" s="23"/>
      <c r="V358" s="36"/>
      <c r="W358" s="42"/>
      <c r="X358" s="42"/>
      <c r="Y358" s="23"/>
      <c r="Z358" s="42"/>
      <c r="AA358" s="42"/>
      <c r="AB358" s="23"/>
      <c r="AC358" s="23"/>
      <c r="AD358" s="23"/>
      <c r="AE358" s="36"/>
      <c r="AF358" s="23"/>
    </row>
    <row r="359" spans="1:32" ht="15.75" x14ac:dyDescent="0.25">
      <c r="A359" s="44"/>
      <c r="B359" s="23"/>
      <c r="C359" s="23"/>
      <c r="D359" s="36"/>
      <c r="E359" s="23"/>
      <c r="F359" s="23"/>
      <c r="G359" s="23"/>
      <c r="H359" s="23"/>
      <c r="I359" s="23"/>
      <c r="J359" s="23"/>
      <c r="K359" s="23"/>
      <c r="L359" s="23"/>
      <c r="M359" s="36"/>
      <c r="N359" s="23"/>
      <c r="O359" s="23"/>
      <c r="P359" s="23"/>
      <c r="Q359" s="23"/>
      <c r="R359" s="23"/>
      <c r="S359" s="23"/>
      <c r="T359" s="23"/>
      <c r="U359" s="23"/>
      <c r="V359" s="36"/>
      <c r="W359" s="42"/>
      <c r="X359" s="42"/>
      <c r="Y359" s="23"/>
      <c r="Z359" s="42"/>
      <c r="AA359" s="42"/>
      <c r="AB359" s="23"/>
      <c r="AC359" s="23"/>
      <c r="AD359" s="23"/>
      <c r="AE359" s="36"/>
      <c r="AF359" s="23"/>
    </row>
    <row r="360" spans="1:32" ht="15.75" x14ac:dyDescent="0.25">
      <c r="A360" s="44"/>
      <c r="B360" s="23"/>
      <c r="C360" s="23"/>
      <c r="D360" s="36"/>
      <c r="E360" s="23"/>
      <c r="F360" s="23"/>
      <c r="G360" s="23"/>
      <c r="H360" s="23"/>
      <c r="I360" s="23"/>
      <c r="J360" s="23"/>
      <c r="K360" s="23"/>
      <c r="L360" s="23"/>
      <c r="M360" s="36"/>
      <c r="N360" s="23"/>
      <c r="O360" s="23"/>
      <c r="P360" s="23"/>
      <c r="Q360" s="23"/>
      <c r="R360" s="23"/>
      <c r="S360" s="23"/>
      <c r="T360" s="23"/>
      <c r="U360" s="23"/>
      <c r="V360" s="36"/>
      <c r="W360" s="42"/>
      <c r="X360" s="42"/>
      <c r="Y360" s="23"/>
      <c r="Z360" s="42"/>
      <c r="AA360" s="42"/>
      <c r="AB360" s="23"/>
      <c r="AC360" s="23"/>
      <c r="AD360" s="23"/>
      <c r="AE360" s="36"/>
      <c r="AF360" s="23"/>
    </row>
    <row r="361" spans="1:32" ht="15.75" x14ac:dyDescent="0.25">
      <c r="A361" s="44"/>
      <c r="B361" s="23"/>
      <c r="C361" s="23"/>
      <c r="D361" s="36"/>
      <c r="E361" s="23"/>
      <c r="F361" s="23"/>
      <c r="G361" s="23"/>
      <c r="H361" s="23"/>
      <c r="I361" s="23"/>
      <c r="J361" s="23"/>
      <c r="K361" s="23"/>
      <c r="L361" s="23"/>
      <c r="M361" s="36"/>
      <c r="N361" s="23"/>
      <c r="O361" s="23"/>
      <c r="P361" s="23"/>
      <c r="Q361" s="23"/>
      <c r="R361" s="23"/>
      <c r="S361" s="23"/>
      <c r="T361" s="23"/>
      <c r="U361" s="23"/>
      <c r="V361" s="36"/>
      <c r="W361" s="42"/>
      <c r="X361" s="42"/>
      <c r="Y361" s="23"/>
      <c r="Z361" s="42"/>
      <c r="AA361" s="42"/>
      <c r="AB361" s="23"/>
      <c r="AC361" s="23"/>
      <c r="AD361" s="23"/>
      <c r="AE361" s="36"/>
      <c r="AF361" s="23"/>
    </row>
    <row r="362" spans="1:32" ht="15.75" x14ac:dyDescent="0.25">
      <c r="A362" s="44"/>
      <c r="B362" s="23"/>
      <c r="C362" s="23"/>
      <c r="D362" s="36"/>
      <c r="E362" s="23"/>
      <c r="F362" s="23"/>
      <c r="G362" s="23"/>
      <c r="H362" s="23"/>
      <c r="I362" s="23"/>
      <c r="J362" s="23"/>
      <c r="K362" s="23"/>
      <c r="L362" s="23"/>
      <c r="M362" s="36"/>
      <c r="N362" s="23"/>
      <c r="O362" s="23"/>
      <c r="P362" s="23"/>
      <c r="Q362" s="23"/>
      <c r="R362" s="23"/>
      <c r="S362" s="23"/>
      <c r="T362" s="23"/>
      <c r="U362" s="23"/>
      <c r="V362" s="36"/>
      <c r="W362" s="42"/>
      <c r="X362" s="42"/>
      <c r="Y362" s="23"/>
      <c r="Z362" s="42"/>
      <c r="AA362" s="42"/>
      <c r="AB362" s="23"/>
      <c r="AC362" s="23"/>
      <c r="AD362" s="23"/>
      <c r="AE362" s="36"/>
      <c r="AF362" s="23"/>
    </row>
    <row r="363" spans="1:32" ht="15.75" x14ac:dyDescent="0.25">
      <c r="A363" s="44"/>
      <c r="B363" s="23"/>
      <c r="C363" s="23"/>
      <c r="D363" s="36"/>
      <c r="E363" s="23"/>
      <c r="F363" s="23"/>
      <c r="G363" s="23"/>
      <c r="H363" s="23"/>
      <c r="I363" s="23"/>
      <c r="J363" s="23"/>
      <c r="K363" s="23"/>
      <c r="L363" s="23"/>
      <c r="M363" s="36"/>
      <c r="N363" s="23"/>
      <c r="O363" s="23"/>
      <c r="P363" s="23"/>
      <c r="Q363" s="23"/>
      <c r="R363" s="23"/>
      <c r="S363" s="23"/>
      <c r="T363" s="23"/>
      <c r="U363" s="23"/>
      <c r="V363" s="36"/>
      <c r="W363" s="42"/>
      <c r="X363" s="42"/>
      <c r="Y363" s="23"/>
      <c r="Z363" s="42"/>
      <c r="AA363" s="42"/>
      <c r="AB363" s="23"/>
      <c r="AC363" s="23"/>
      <c r="AD363" s="23"/>
      <c r="AE363" s="36"/>
      <c r="AF363" s="23"/>
    </row>
    <row r="364" spans="1:32" ht="15.75" x14ac:dyDescent="0.25">
      <c r="A364" s="44"/>
      <c r="B364" s="23"/>
      <c r="C364" s="23"/>
      <c r="D364" s="36"/>
      <c r="E364" s="23"/>
      <c r="F364" s="23"/>
      <c r="G364" s="23"/>
      <c r="H364" s="23"/>
      <c r="I364" s="23"/>
      <c r="J364" s="23"/>
      <c r="K364" s="23"/>
      <c r="L364" s="23"/>
      <c r="M364" s="36"/>
      <c r="N364" s="23"/>
      <c r="O364" s="23"/>
      <c r="P364" s="23"/>
      <c r="Q364" s="23"/>
      <c r="R364" s="23"/>
      <c r="S364" s="23"/>
      <c r="T364" s="23"/>
      <c r="U364" s="23"/>
      <c r="V364" s="36"/>
      <c r="W364" s="42"/>
      <c r="X364" s="42"/>
      <c r="Y364" s="23"/>
      <c r="Z364" s="42"/>
      <c r="AA364" s="42"/>
      <c r="AB364" s="23"/>
      <c r="AC364" s="23"/>
      <c r="AD364" s="23"/>
      <c r="AE364" s="36"/>
      <c r="AF364" s="23"/>
    </row>
    <row r="365" spans="1:32" ht="15.75" x14ac:dyDescent="0.25">
      <c r="A365" s="44"/>
      <c r="B365" s="23"/>
      <c r="C365" s="23"/>
      <c r="D365" s="36"/>
      <c r="E365" s="23"/>
      <c r="F365" s="23"/>
      <c r="G365" s="23"/>
      <c r="H365" s="23"/>
      <c r="I365" s="23"/>
      <c r="J365" s="23"/>
      <c r="K365" s="23"/>
      <c r="L365" s="23"/>
      <c r="M365" s="36"/>
      <c r="N365" s="23"/>
      <c r="O365" s="23"/>
      <c r="P365" s="23"/>
      <c r="Q365" s="23"/>
      <c r="R365" s="23"/>
      <c r="S365" s="23"/>
      <c r="T365" s="23"/>
      <c r="U365" s="23"/>
      <c r="V365" s="36"/>
      <c r="W365" s="42"/>
      <c r="X365" s="42"/>
      <c r="Y365" s="23"/>
      <c r="Z365" s="42"/>
      <c r="AA365" s="42"/>
      <c r="AB365" s="23"/>
      <c r="AC365" s="23"/>
      <c r="AD365" s="23"/>
      <c r="AE365" s="36"/>
      <c r="AF365" s="23"/>
    </row>
    <row r="366" spans="1:32" ht="15.75" x14ac:dyDescent="0.25">
      <c r="A366" s="44"/>
      <c r="B366" s="23"/>
      <c r="C366" s="23"/>
      <c r="D366" s="36"/>
      <c r="E366" s="23"/>
      <c r="F366" s="23"/>
      <c r="G366" s="23"/>
      <c r="H366" s="23"/>
      <c r="I366" s="23"/>
      <c r="J366" s="23"/>
      <c r="K366" s="23"/>
      <c r="L366" s="23"/>
      <c r="M366" s="36"/>
      <c r="N366" s="23"/>
      <c r="O366" s="23"/>
      <c r="P366" s="23"/>
      <c r="Q366" s="23"/>
      <c r="R366" s="23"/>
      <c r="S366" s="23"/>
      <c r="T366" s="23"/>
      <c r="U366" s="23"/>
      <c r="V366" s="36"/>
      <c r="W366" s="42"/>
      <c r="X366" s="42"/>
      <c r="Y366" s="23"/>
      <c r="Z366" s="42"/>
      <c r="AA366" s="42"/>
      <c r="AB366" s="23"/>
      <c r="AC366" s="23"/>
      <c r="AD366" s="23"/>
      <c r="AE366" s="36"/>
      <c r="AF366" s="23"/>
    </row>
    <row r="367" spans="1:32" ht="15.75" x14ac:dyDescent="0.25">
      <c r="A367" s="44"/>
      <c r="B367" s="23"/>
      <c r="C367" s="23"/>
      <c r="D367" s="36"/>
      <c r="E367" s="23"/>
      <c r="F367" s="23"/>
      <c r="G367" s="23"/>
      <c r="H367" s="23"/>
      <c r="I367" s="23"/>
      <c r="J367" s="23"/>
      <c r="K367" s="23"/>
      <c r="L367" s="23"/>
      <c r="M367" s="36"/>
      <c r="N367" s="23"/>
      <c r="O367" s="23"/>
      <c r="P367" s="23"/>
      <c r="Q367" s="23"/>
      <c r="R367" s="23"/>
      <c r="S367" s="23"/>
      <c r="T367" s="23"/>
      <c r="U367" s="23"/>
      <c r="V367" s="36"/>
      <c r="W367" s="42"/>
      <c r="X367" s="42"/>
      <c r="Y367" s="23"/>
      <c r="Z367" s="42"/>
      <c r="AA367" s="42"/>
      <c r="AB367" s="23"/>
      <c r="AC367" s="23"/>
      <c r="AD367" s="23"/>
      <c r="AE367" s="36"/>
      <c r="AF367" s="23"/>
    </row>
    <row r="368" spans="1:32" ht="15.75" x14ac:dyDescent="0.25">
      <c r="A368" s="44"/>
      <c r="B368" s="23"/>
      <c r="C368" s="23"/>
      <c r="D368" s="36"/>
      <c r="E368" s="23"/>
      <c r="F368" s="23"/>
      <c r="G368" s="23"/>
      <c r="H368" s="23"/>
      <c r="I368" s="23"/>
      <c r="J368" s="23"/>
      <c r="K368" s="23"/>
      <c r="L368" s="23"/>
      <c r="M368" s="36"/>
      <c r="N368" s="23"/>
      <c r="O368" s="23"/>
      <c r="P368" s="23"/>
      <c r="Q368" s="23"/>
      <c r="R368" s="23"/>
      <c r="S368" s="23"/>
      <c r="T368" s="23"/>
      <c r="U368" s="23"/>
      <c r="V368" s="36"/>
      <c r="W368" s="42"/>
      <c r="X368" s="42"/>
      <c r="Y368" s="23"/>
      <c r="Z368" s="42"/>
      <c r="AA368" s="42"/>
      <c r="AB368" s="23"/>
      <c r="AC368" s="23"/>
      <c r="AD368" s="23"/>
      <c r="AE368" s="36"/>
      <c r="AF368" s="23"/>
    </row>
    <row r="369" spans="1:32" ht="15.75" x14ac:dyDescent="0.25">
      <c r="A369" s="44"/>
      <c r="B369" s="23"/>
      <c r="C369" s="23"/>
      <c r="D369" s="36"/>
      <c r="E369" s="23"/>
      <c r="F369" s="23"/>
      <c r="G369" s="23"/>
      <c r="H369" s="23"/>
      <c r="I369" s="23"/>
      <c r="J369" s="23"/>
      <c r="K369" s="23"/>
      <c r="L369" s="23"/>
      <c r="M369" s="36"/>
      <c r="N369" s="23"/>
      <c r="O369" s="23"/>
      <c r="P369" s="23"/>
      <c r="Q369" s="23"/>
      <c r="R369" s="23"/>
      <c r="S369" s="23"/>
      <c r="T369" s="23"/>
      <c r="U369" s="23"/>
      <c r="V369" s="36"/>
      <c r="W369" s="42"/>
      <c r="X369" s="42"/>
      <c r="Y369" s="23"/>
      <c r="Z369" s="42"/>
      <c r="AA369" s="42"/>
      <c r="AB369" s="23"/>
      <c r="AC369" s="23"/>
      <c r="AD369" s="23"/>
      <c r="AE369" s="36"/>
      <c r="AF369" s="23"/>
    </row>
    <row r="370" spans="1:32" ht="15.75" x14ac:dyDescent="0.25">
      <c r="A370" s="44"/>
      <c r="B370" s="23"/>
      <c r="C370" s="23"/>
      <c r="D370" s="36"/>
      <c r="E370" s="23"/>
      <c r="F370" s="23"/>
      <c r="G370" s="23"/>
      <c r="H370" s="23"/>
      <c r="I370" s="23"/>
      <c r="J370" s="23"/>
      <c r="K370" s="23"/>
      <c r="L370" s="23"/>
      <c r="M370" s="36"/>
      <c r="N370" s="23"/>
      <c r="O370" s="23"/>
      <c r="P370" s="23"/>
      <c r="Q370" s="23"/>
      <c r="R370" s="23"/>
      <c r="S370" s="23"/>
      <c r="T370" s="23"/>
      <c r="U370" s="23"/>
      <c r="V370" s="36"/>
      <c r="W370" s="42"/>
      <c r="X370" s="42"/>
      <c r="Y370" s="23"/>
      <c r="Z370" s="42"/>
      <c r="AA370" s="42"/>
      <c r="AB370" s="23"/>
      <c r="AC370" s="23"/>
      <c r="AD370" s="23"/>
      <c r="AE370" s="36"/>
      <c r="AF370" s="23"/>
    </row>
    <row r="371" spans="1:32" ht="15.75" x14ac:dyDescent="0.25">
      <c r="A371" s="44"/>
      <c r="B371" s="23"/>
      <c r="C371" s="23"/>
      <c r="D371" s="36"/>
      <c r="E371" s="23"/>
      <c r="F371" s="23"/>
      <c r="G371" s="23"/>
      <c r="H371" s="23"/>
      <c r="I371" s="23"/>
      <c r="J371" s="23"/>
      <c r="K371" s="23"/>
      <c r="L371" s="23"/>
      <c r="M371" s="36"/>
      <c r="N371" s="23"/>
      <c r="O371" s="23"/>
      <c r="P371" s="23"/>
      <c r="Q371" s="23"/>
      <c r="R371" s="23"/>
      <c r="S371" s="23"/>
      <c r="T371" s="23"/>
      <c r="U371" s="23"/>
      <c r="V371" s="36"/>
      <c r="W371" s="42"/>
      <c r="X371" s="42"/>
      <c r="Y371" s="23"/>
      <c r="Z371" s="42"/>
      <c r="AA371" s="42"/>
      <c r="AB371" s="23"/>
      <c r="AC371" s="23"/>
      <c r="AD371" s="23"/>
      <c r="AE371" s="36"/>
      <c r="AF371" s="23"/>
    </row>
    <row r="372" spans="1:32" ht="15.75" x14ac:dyDescent="0.25">
      <c r="A372" s="44"/>
      <c r="B372" s="23"/>
      <c r="C372" s="23"/>
      <c r="D372" s="36"/>
      <c r="E372" s="23"/>
      <c r="F372" s="23"/>
      <c r="G372" s="23"/>
      <c r="H372" s="23"/>
      <c r="I372" s="23"/>
      <c r="J372" s="23"/>
      <c r="K372" s="23"/>
      <c r="L372" s="23"/>
      <c r="M372" s="36"/>
      <c r="N372" s="23"/>
      <c r="O372" s="23"/>
      <c r="P372" s="23"/>
      <c r="Q372" s="23"/>
      <c r="R372" s="23"/>
      <c r="S372" s="23"/>
      <c r="T372" s="23"/>
      <c r="U372" s="23"/>
      <c r="V372" s="36"/>
      <c r="W372" s="42"/>
      <c r="X372" s="42"/>
      <c r="Y372" s="23"/>
      <c r="Z372" s="42"/>
      <c r="AA372" s="42"/>
      <c r="AB372" s="23"/>
      <c r="AC372" s="23"/>
      <c r="AD372" s="23"/>
      <c r="AE372" s="36"/>
      <c r="AF372" s="23"/>
    </row>
    <row r="373" spans="1:32" ht="15.75" x14ac:dyDescent="0.25">
      <c r="A373" s="44"/>
      <c r="B373" s="23"/>
      <c r="C373" s="23"/>
      <c r="D373" s="36"/>
      <c r="E373" s="23"/>
      <c r="F373" s="23"/>
      <c r="G373" s="23"/>
      <c r="H373" s="23"/>
      <c r="I373" s="23"/>
      <c r="J373" s="23"/>
      <c r="K373" s="23"/>
      <c r="L373" s="23"/>
      <c r="M373" s="36"/>
      <c r="N373" s="23"/>
      <c r="O373" s="23"/>
      <c r="P373" s="23"/>
      <c r="Q373" s="23"/>
      <c r="R373" s="23"/>
      <c r="S373" s="23"/>
      <c r="T373" s="23"/>
      <c r="U373" s="23"/>
      <c r="V373" s="36"/>
      <c r="W373" s="42"/>
      <c r="X373" s="42"/>
      <c r="Y373" s="23"/>
      <c r="Z373" s="42"/>
      <c r="AA373" s="42"/>
      <c r="AB373" s="23"/>
      <c r="AC373" s="23"/>
      <c r="AD373" s="23"/>
      <c r="AE373" s="36"/>
      <c r="AF373" s="23"/>
    </row>
    <row r="374" spans="1:32" ht="15.75" x14ac:dyDescent="0.25">
      <c r="A374" s="44"/>
      <c r="B374" s="23"/>
      <c r="C374" s="23"/>
      <c r="D374" s="36"/>
      <c r="E374" s="23"/>
      <c r="F374" s="23"/>
      <c r="G374" s="23"/>
      <c r="H374" s="23"/>
      <c r="I374" s="23"/>
      <c r="J374" s="23"/>
      <c r="K374" s="23"/>
      <c r="L374" s="23"/>
      <c r="M374" s="36"/>
      <c r="N374" s="23"/>
      <c r="O374" s="23"/>
      <c r="P374" s="23"/>
      <c r="Q374" s="23"/>
      <c r="R374" s="23"/>
      <c r="S374" s="23"/>
      <c r="T374" s="23"/>
      <c r="U374" s="23"/>
      <c r="V374" s="36"/>
      <c r="W374" s="42"/>
      <c r="X374" s="42"/>
      <c r="Y374" s="23"/>
      <c r="Z374" s="42"/>
      <c r="AA374" s="42"/>
      <c r="AB374" s="23"/>
      <c r="AC374" s="23"/>
      <c r="AD374" s="23"/>
      <c r="AE374" s="36"/>
      <c r="AF374" s="23"/>
    </row>
    <row r="375" spans="1:32" ht="15.75" x14ac:dyDescent="0.25">
      <c r="A375" s="44"/>
      <c r="B375" s="23"/>
      <c r="C375" s="23"/>
      <c r="D375" s="36"/>
      <c r="E375" s="23"/>
      <c r="F375" s="23"/>
      <c r="G375" s="23"/>
      <c r="H375" s="23"/>
      <c r="I375" s="23"/>
      <c r="J375" s="23"/>
      <c r="K375" s="23"/>
      <c r="L375" s="23"/>
      <c r="M375" s="36"/>
      <c r="N375" s="23"/>
      <c r="O375" s="23"/>
      <c r="P375" s="23"/>
      <c r="Q375" s="23"/>
      <c r="R375" s="23"/>
      <c r="S375" s="23"/>
      <c r="T375" s="23"/>
      <c r="U375" s="23"/>
      <c r="V375" s="36"/>
      <c r="W375" s="42"/>
      <c r="X375" s="42"/>
      <c r="Y375" s="23"/>
      <c r="Z375" s="42"/>
      <c r="AA375" s="42"/>
      <c r="AB375" s="23"/>
      <c r="AC375" s="23"/>
      <c r="AD375" s="23"/>
      <c r="AE375" s="36"/>
      <c r="AF375" s="23"/>
    </row>
    <row r="376" spans="1:32" ht="15.75" x14ac:dyDescent="0.25">
      <c r="A376" s="44"/>
      <c r="B376" s="23"/>
      <c r="C376" s="23"/>
      <c r="D376" s="36"/>
      <c r="E376" s="23"/>
      <c r="F376" s="23"/>
      <c r="G376" s="23"/>
      <c r="H376" s="23"/>
      <c r="I376" s="23"/>
      <c r="J376" s="23"/>
      <c r="K376" s="23"/>
      <c r="L376" s="23"/>
      <c r="M376" s="36"/>
      <c r="N376" s="23"/>
      <c r="O376" s="23"/>
      <c r="P376" s="23"/>
      <c r="Q376" s="23"/>
      <c r="R376" s="23"/>
      <c r="S376" s="23"/>
      <c r="T376" s="23"/>
      <c r="U376" s="23"/>
      <c r="V376" s="36"/>
      <c r="W376" s="42"/>
      <c r="X376" s="42"/>
      <c r="Y376" s="23"/>
      <c r="Z376" s="42"/>
      <c r="AA376" s="42"/>
      <c r="AB376" s="23"/>
      <c r="AC376" s="23"/>
      <c r="AD376" s="23"/>
      <c r="AE376" s="36"/>
      <c r="AF376" s="23"/>
    </row>
    <row r="377" spans="1:32" ht="15.75" x14ac:dyDescent="0.25">
      <c r="A377" s="44"/>
      <c r="B377" s="23"/>
      <c r="C377" s="23"/>
      <c r="D377" s="36"/>
      <c r="E377" s="23"/>
      <c r="F377" s="23"/>
      <c r="G377" s="23"/>
      <c r="H377" s="23"/>
      <c r="I377" s="23"/>
      <c r="J377" s="23"/>
      <c r="K377" s="23"/>
      <c r="L377" s="23"/>
      <c r="M377" s="36"/>
      <c r="N377" s="23"/>
      <c r="O377" s="23"/>
      <c r="P377" s="23"/>
      <c r="Q377" s="23"/>
      <c r="R377" s="23"/>
      <c r="S377" s="23"/>
      <c r="T377" s="23"/>
      <c r="U377" s="23"/>
      <c r="V377" s="36"/>
      <c r="W377" s="42"/>
      <c r="X377" s="42"/>
      <c r="Y377" s="23"/>
      <c r="Z377" s="42"/>
      <c r="AA377" s="42"/>
      <c r="AB377" s="23"/>
      <c r="AC377" s="23"/>
      <c r="AD377" s="23"/>
      <c r="AE377" s="36"/>
      <c r="AF377" s="23"/>
    </row>
    <row r="378" spans="1:32" ht="15.75" x14ac:dyDescent="0.25">
      <c r="A378" s="44"/>
      <c r="B378" s="23"/>
      <c r="C378" s="23"/>
      <c r="D378" s="36"/>
      <c r="E378" s="23"/>
      <c r="F378" s="23"/>
      <c r="G378" s="23"/>
      <c r="H378" s="23"/>
      <c r="I378" s="23"/>
      <c r="J378" s="23"/>
      <c r="K378" s="23"/>
      <c r="L378" s="23"/>
      <c r="M378" s="36"/>
      <c r="N378" s="23"/>
      <c r="O378" s="23"/>
      <c r="P378" s="23"/>
      <c r="Q378" s="23"/>
      <c r="R378" s="23"/>
      <c r="S378" s="23"/>
      <c r="T378" s="23"/>
      <c r="U378" s="23"/>
      <c r="V378" s="36"/>
      <c r="W378" s="42"/>
      <c r="X378" s="42"/>
      <c r="Y378" s="23"/>
      <c r="Z378" s="42"/>
      <c r="AA378" s="42"/>
      <c r="AB378" s="23"/>
      <c r="AC378" s="23"/>
      <c r="AD378" s="23"/>
      <c r="AE378" s="36"/>
      <c r="AF378" s="23"/>
    </row>
    <row r="379" spans="1:32" ht="15.75" x14ac:dyDescent="0.25">
      <c r="A379" s="44"/>
      <c r="B379" s="23"/>
      <c r="C379" s="23"/>
      <c r="D379" s="36"/>
      <c r="E379" s="23"/>
      <c r="F379" s="23"/>
      <c r="G379" s="23"/>
      <c r="H379" s="23"/>
      <c r="I379" s="23"/>
      <c r="J379" s="23"/>
      <c r="K379" s="23"/>
      <c r="L379" s="23"/>
      <c r="M379" s="36"/>
      <c r="N379" s="23"/>
      <c r="O379" s="23"/>
      <c r="P379" s="23"/>
      <c r="Q379" s="23"/>
      <c r="R379" s="23"/>
      <c r="S379" s="23"/>
      <c r="T379" s="23"/>
      <c r="U379" s="23"/>
      <c r="V379" s="36"/>
      <c r="W379" s="42"/>
      <c r="X379" s="42"/>
      <c r="Y379" s="23"/>
      <c r="Z379" s="42"/>
      <c r="AA379" s="42"/>
      <c r="AB379" s="23"/>
      <c r="AC379" s="23"/>
      <c r="AD379" s="23"/>
      <c r="AE379" s="36"/>
      <c r="AF379" s="23"/>
    </row>
    <row r="380" spans="1:32" ht="15.75" x14ac:dyDescent="0.25">
      <c r="A380" s="44"/>
      <c r="B380" s="23"/>
      <c r="C380" s="23"/>
      <c r="D380" s="36"/>
      <c r="E380" s="23"/>
      <c r="F380" s="23"/>
      <c r="G380" s="23"/>
      <c r="H380" s="23"/>
      <c r="I380" s="23"/>
      <c r="J380" s="23"/>
      <c r="K380" s="23"/>
      <c r="L380" s="23"/>
      <c r="M380" s="36"/>
      <c r="N380" s="23"/>
      <c r="O380" s="23"/>
      <c r="P380" s="23"/>
      <c r="Q380" s="23"/>
      <c r="R380" s="23"/>
      <c r="S380" s="23"/>
      <c r="T380" s="23"/>
      <c r="U380" s="23"/>
      <c r="V380" s="36"/>
      <c r="W380" s="42"/>
      <c r="X380" s="42"/>
      <c r="Y380" s="23"/>
      <c r="Z380" s="42"/>
      <c r="AA380" s="42"/>
      <c r="AB380" s="23"/>
      <c r="AC380" s="23"/>
      <c r="AD380" s="23"/>
      <c r="AE380" s="36"/>
      <c r="AF380" s="23"/>
    </row>
    <row r="381" spans="1:32" ht="15.75" x14ac:dyDescent="0.25">
      <c r="A381" s="44"/>
      <c r="B381" s="23"/>
      <c r="C381" s="23"/>
      <c r="D381" s="36"/>
      <c r="E381" s="23"/>
      <c r="F381" s="23"/>
      <c r="G381" s="23"/>
      <c r="H381" s="23"/>
      <c r="I381" s="23"/>
      <c r="J381" s="23"/>
      <c r="K381" s="23"/>
      <c r="L381" s="23"/>
      <c r="M381" s="36"/>
      <c r="N381" s="23"/>
      <c r="O381" s="23"/>
      <c r="P381" s="23"/>
      <c r="Q381" s="23"/>
      <c r="R381" s="23"/>
      <c r="S381" s="23"/>
      <c r="T381" s="23"/>
      <c r="U381" s="23"/>
      <c r="V381" s="36"/>
      <c r="W381" s="42"/>
      <c r="X381" s="42"/>
      <c r="Y381" s="23"/>
      <c r="Z381" s="42"/>
      <c r="AA381" s="42"/>
      <c r="AB381" s="23"/>
      <c r="AC381" s="23"/>
      <c r="AD381" s="23"/>
      <c r="AE381" s="36"/>
      <c r="AF381" s="23"/>
    </row>
    <row r="382" spans="1:32" ht="15.75" x14ac:dyDescent="0.25">
      <c r="A382" s="44"/>
      <c r="B382" s="23"/>
      <c r="C382" s="23"/>
      <c r="D382" s="36"/>
      <c r="E382" s="23"/>
      <c r="F382" s="23"/>
      <c r="G382" s="23"/>
      <c r="H382" s="23"/>
      <c r="I382" s="23"/>
      <c r="J382" s="23"/>
      <c r="K382" s="23"/>
      <c r="L382" s="23"/>
      <c r="M382" s="36"/>
      <c r="N382" s="23"/>
      <c r="O382" s="23"/>
      <c r="P382" s="23"/>
      <c r="Q382" s="23"/>
      <c r="R382" s="23"/>
      <c r="S382" s="23"/>
      <c r="T382" s="23"/>
      <c r="U382" s="23"/>
      <c r="V382" s="36"/>
      <c r="W382" s="42"/>
      <c r="X382" s="42"/>
      <c r="Y382" s="23"/>
      <c r="Z382" s="42"/>
      <c r="AA382" s="42"/>
      <c r="AB382" s="23"/>
      <c r="AC382" s="23"/>
      <c r="AD382" s="23"/>
      <c r="AE382" s="36"/>
      <c r="AF382" s="23"/>
    </row>
    <row r="383" spans="1:32" ht="15.75" x14ac:dyDescent="0.25">
      <c r="A383" s="44"/>
      <c r="B383" s="23"/>
      <c r="C383" s="23"/>
      <c r="D383" s="36"/>
      <c r="E383" s="23"/>
      <c r="F383" s="23"/>
      <c r="G383" s="23"/>
      <c r="H383" s="23"/>
      <c r="I383" s="23"/>
      <c r="J383" s="23"/>
      <c r="K383" s="23"/>
      <c r="L383" s="23"/>
      <c r="M383" s="36"/>
      <c r="N383" s="23"/>
      <c r="O383" s="23"/>
      <c r="P383" s="23"/>
      <c r="Q383" s="23"/>
      <c r="R383" s="23"/>
      <c r="S383" s="23"/>
      <c r="T383" s="23"/>
      <c r="U383" s="23"/>
      <c r="V383" s="36"/>
      <c r="W383" s="42"/>
      <c r="X383" s="42"/>
      <c r="Y383" s="23"/>
      <c r="Z383" s="42"/>
      <c r="AA383" s="42"/>
      <c r="AB383" s="23"/>
      <c r="AC383" s="23"/>
      <c r="AD383" s="23"/>
      <c r="AE383" s="36"/>
      <c r="AF383" s="23"/>
    </row>
    <row r="384" spans="1:32" ht="15.75" x14ac:dyDescent="0.25">
      <c r="A384" s="44"/>
      <c r="B384" s="23"/>
      <c r="C384" s="23"/>
      <c r="D384" s="36"/>
      <c r="E384" s="23"/>
      <c r="F384" s="23"/>
      <c r="G384" s="23"/>
      <c r="H384" s="23"/>
      <c r="I384" s="23"/>
      <c r="J384" s="23"/>
      <c r="K384" s="23"/>
      <c r="L384" s="23"/>
      <c r="M384" s="36"/>
      <c r="N384" s="23"/>
      <c r="O384" s="23"/>
      <c r="P384" s="23"/>
      <c r="Q384" s="23"/>
      <c r="R384" s="23"/>
      <c r="S384" s="23"/>
      <c r="T384" s="23"/>
      <c r="U384" s="23"/>
      <c r="V384" s="36"/>
      <c r="W384" s="42"/>
      <c r="X384" s="42"/>
      <c r="Y384" s="23"/>
      <c r="Z384" s="42"/>
      <c r="AA384" s="42"/>
      <c r="AB384" s="23"/>
      <c r="AC384" s="23"/>
      <c r="AD384" s="23"/>
      <c r="AE384" s="36"/>
      <c r="AF384" s="23"/>
    </row>
    <row r="385" spans="1:32" ht="15.75" x14ac:dyDescent="0.25">
      <c r="A385" s="44"/>
      <c r="B385" s="23"/>
      <c r="C385" s="23"/>
      <c r="D385" s="36"/>
      <c r="E385" s="23"/>
      <c r="F385" s="23"/>
      <c r="G385" s="23"/>
      <c r="H385" s="23"/>
      <c r="I385" s="23"/>
      <c r="J385" s="23"/>
      <c r="K385" s="23"/>
      <c r="L385" s="23"/>
      <c r="M385" s="36"/>
      <c r="N385" s="23"/>
      <c r="O385" s="23"/>
      <c r="P385" s="23"/>
      <c r="Q385" s="23"/>
      <c r="R385" s="23"/>
      <c r="S385" s="23"/>
      <c r="T385" s="23"/>
      <c r="U385" s="23"/>
      <c r="V385" s="36"/>
      <c r="W385" s="42"/>
      <c r="X385" s="42"/>
      <c r="Y385" s="23"/>
      <c r="Z385" s="42"/>
      <c r="AA385" s="42"/>
      <c r="AB385" s="23"/>
      <c r="AC385" s="23"/>
      <c r="AD385" s="23"/>
      <c r="AE385" s="36"/>
      <c r="AF385" s="23"/>
    </row>
    <row r="386" spans="1:32" ht="15.75" x14ac:dyDescent="0.25">
      <c r="A386" s="44"/>
      <c r="B386" s="23"/>
      <c r="C386" s="23"/>
      <c r="D386" s="36"/>
      <c r="E386" s="23"/>
      <c r="F386" s="23"/>
      <c r="G386" s="23"/>
      <c r="H386" s="23"/>
      <c r="I386" s="23"/>
      <c r="J386" s="23"/>
      <c r="K386" s="23"/>
      <c r="L386" s="23"/>
      <c r="M386" s="36"/>
      <c r="N386" s="23"/>
      <c r="O386" s="23"/>
      <c r="P386" s="23"/>
      <c r="Q386" s="23"/>
      <c r="R386" s="23"/>
      <c r="S386" s="23"/>
      <c r="T386" s="23"/>
      <c r="U386" s="23"/>
      <c r="V386" s="36"/>
      <c r="W386" s="42"/>
      <c r="X386" s="42"/>
      <c r="Y386" s="23"/>
      <c r="Z386" s="42"/>
      <c r="AA386" s="42"/>
      <c r="AB386" s="23"/>
      <c r="AC386" s="23"/>
      <c r="AD386" s="23"/>
      <c r="AE386" s="36"/>
      <c r="AF386" s="23"/>
    </row>
    <row r="387" spans="1:32" ht="15.75" x14ac:dyDescent="0.25">
      <c r="A387" s="44"/>
      <c r="B387" s="23"/>
      <c r="C387" s="23"/>
      <c r="D387" s="36"/>
      <c r="E387" s="23"/>
      <c r="F387" s="23"/>
      <c r="G387" s="23"/>
      <c r="H387" s="23"/>
      <c r="I387" s="23"/>
      <c r="J387" s="23"/>
      <c r="K387" s="23"/>
      <c r="L387" s="23"/>
      <c r="M387" s="36"/>
      <c r="N387" s="23"/>
      <c r="O387" s="23"/>
      <c r="P387" s="23"/>
      <c r="Q387" s="23"/>
      <c r="R387" s="23"/>
      <c r="S387" s="23"/>
      <c r="T387" s="23"/>
      <c r="U387" s="23"/>
      <c r="V387" s="36"/>
      <c r="W387" s="42"/>
      <c r="X387" s="42"/>
      <c r="Y387" s="23"/>
      <c r="Z387" s="42"/>
      <c r="AA387" s="42"/>
      <c r="AB387" s="23"/>
      <c r="AC387" s="23"/>
      <c r="AD387" s="23"/>
      <c r="AE387" s="36"/>
      <c r="AF387" s="23"/>
    </row>
    <row r="388" spans="1:32" ht="15.75" x14ac:dyDescent="0.25">
      <c r="A388" s="44"/>
      <c r="B388" s="23"/>
      <c r="C388" s="23"/>
      <c r="D388" s="36"/>
      <c r="E388" s="23"/>
      <c r="F388" s="23"/>
      <c r="G388" s="23"/>
      <c r="H388" s="23"/>
      <c r="I388" s="23"/>
      <c r="J388" s="23"/>
      <c r="K388" s="23"/>
      <c r="L388" s="23"/>
      <c r="M388" s="36"/>
      <c r="N388" s="23"/>
      <c r="O388" s="23"/>
      <c r="P388" s="23"/>
      <c r="Q388" s="23"/>
      <c r="R388" s="23"/>
      <c r="S388" s="23"/>
      <c r="T388" s="23"/>
      <c r="U388" s="23"/>
      <c r="V388" s="36"/>
      <c r="W388" s="42"/>
      <c r="X388" s="42"/>
      <c r="Y388" s="23"/>
      <c r="Z388" s="42"/>
      <c r="AA388" s="42"/>
      <c r="AB388" s="23"/>
      <c r="AC388" s="23"/>
      <c r="AD388" s="23"/>
      <c r="AE388" s="36"/>
      <c r="AF388" s="23"/>
    </row>
    <row r="389" spans="1:32" ht="15.75" x14ac:dyDescent="0.25">
      <c r="A389" s="44"/>
      <c r="B389" s="23"/>
      <c r="C389" s="23"/>
      <c r="D389" s="36"/>
      <c r="E389" s="23"/>
      <c r="F389" s="23"/>
      <c r="G389" s="23"/>
      <c r="H389" s="23"/>
      <c r="I389" s="23"/>
      <c r="J389" s="23"/>
      <c r="K389" s="23"/>
      <c r="L389" s="23"/>
      <c r="M389" s="36"/>
      <c r="N389" s="23"/>
      <c r="O389" s="23"/>
      <c r="P389" s="23"/>
      <c r="Q389" s="23"/>
      <c r="R389" s="23"/>
      <c r="S389" s="23"/>
      <c r="T389" s="23"/>
      <c r="U389" s="23"/>
      <c r="V389" s="36"/>
      <c r="W389" s="42"/>
      <c r="X389" s="42"/>
      <c r="Y389" s="23"/>
      <c r="Z389" s="42"/>
      <c r="AA389" s="42"/>
      <c r="AB389" s="23"/>
      <c r="AC389" s="23"/>
      <c r="AD389" s="23"/>
      <c r="AE389" s="36"/>
      <c r="AF389" s="23"/>
    </row>
    <row r="390" spans="1:32" ht="15.75" x14ac:dyDescent="0.25">
      <c r="A390" s="44"/>
      <c r="B390" s="23"/>
      <c r="C390" s="23"/>
      <c r="D390" s="36"/>
      <c r="E390" s="23"/>
      <c r="F390" s="23"/>
      <c r="G390" s="23"/>
      <c r="H390" s="23"/>
      <c r="I390" s="23"/>
      <c r="J390" s="23"/>
      <c r="K390" s="23"/>
      <c r="L390" s="23"/>
      <c r="M390" s="36"/>
      <c r="N390" s="23"/>
      <c r="O390" s="23"/>
      <c r="P390" s="23"/>
      <c r="Q390" s="23"/>
      <c r="R390" s="23"/>
      <c r="S390" s="23"/>
      <c r="T390" s="23"/>
      <c r="U390" s="23"/>
      <c r="V390" s="36"/>
      <c r="W390" s="42"/>
      <c r="X390" s="42"/>
      <c r="Y390" s="23"/>
      <c r="Z390" s="42"/>
      <c r="AA390" s="42"/>
      <c r="AB390" s="23"/>
      <c r="AC390" s="23"/>
      <c r="AD390" s="23"/>
      <c r="AE390" s="36"/>
      <c r="AF390" s="23"/>
    </row>
    <row r="391" spans="1:32" ht="15.75" x14ac:dyDescent="0.25">
      <c r="A391" s="44"/>
      <c r="B391" s="23"/>
      <c r="C391" s="23"/>
      <c r="D391" s="36"/>
      <c r="E391" s="23"/>
      <c r="F391" s="23"/>
      <c r="G391" s="23"/>
      <c r="H391" s="23"/>
      <c r="I391" s="23"/>
      <c r="J391" s="23"/>
      <c r="K391" s="23"/>
      <c r="L391" s="23"/>
      <c r="M391" s="36"/>
      <c r="N391" s="23"/>
      <c r="O391" s="23"/>
      <c r="P391" s="23"/>
      <c r="Q391" s="23"/>
      <c r="R391" s="23"/>
      <c r="S391" s="23"/>
      <c r="T391" s="23"/>
      <c r="U391" s="23"/>
      <c r="V391" s="36"/>
      <c r="W391" s="42"/>
      <c r="X391" s="42"/>
      <c r="Y391" s="23"/>
      <c r="Z391" s="42"/>
      <c r="AA391" s="42"/>
      <c r="AB391" s="23"/>
      <c r="AC391" s="23"/>
      <c r="AD391" s="23"/>
      <c r="AE391" s="36"/>
      <c r="AF391" s="23"/>
    </row>
    <row r="392" spans="1:32" ht="15.75" x14ac:dyDescent="0.25">
      <c r="A392" s="44"/>
      <c r="B392" s="23"/>
      <c r="C392" s="23"/>
      <c r="D392" s="36"/>
      <c r="E392" s="23"/>
      <c r="F392" s="23"/>
      <c r="G392" s="23"/>
      <c r="H392" s="23"/>
      <c r="I392" s="23"/>
      <c r="J392" s="23"/>
      <c r="K392" s="23"/>
      <c r="L392" s="23"/>
      <c r="M392" s="36"/>
      <c r="N392" s="23"/>
      <c r="O392" s="23"/>
      <c r="P392" s="23"/>
      <c r="Q392" s="23"/>
      <c r="R392" s="23"/>
      <c r="S392" s="23"/>
      <c r="T392" s="23"/>
      <c r="U392" s="23"/>
      <c r="V392" s="36"/>
      <c r="W392" s="42"/>
      <c r="X392" s="42"/>
      <c r="Y392" s="23"/>
      <c r="Z392" s="42"/>
      <c r="AA392" s="42"/>
      <c r="AB392" s="23"/>
      <c r="AC392" s="23"/>
      <c r="AD392" s="23"/>
      <c r="AE392" s="36"/>
      <c r="AF392" s="23"/>
    </row>
    <row r="393" spans="1:32" ht="15.75" x14ac:dyDescent="0.25">
      <c r="A393" s="44"/>
      <c r="B393" s="23"/>
      <c r="C393" s="23"/>
      <c r="D393" s="36"/>
      <c r="E393" s="23"/>
      <c r="F393" s="23"/>
      <c r="G393" s="23"/>
      <c r="H393" s="23"/>
      <c r="I393" s="23"/>
      <c r="J393" s="23"/>
      <c r="K393" s="23"/>
      <c r="L393" s="23"/>
      <c r="M393" s="36"/>
      <c r="N393" s="23"/>
      <c r="O393" s="23"/>
      <c r="P393" s="23"/>
      <c r="Q393" s="23"/>
      <c r="R393" s="23"/>
      <c r="S393" s="23"/>
      <c r="T393" s="23"/>
      <c r="U393" s="23"/>
      <c r="V393" s="36"/>
      <c r="W393" s="42"/>
      <c r="X393" s="42"/>
      <c r="Y393" s="23"/>
      <c r="Z393" s="42"/>
      <c r="AA393" s="42"/>
      <c r="AB393" s="23"/>
      <c r="AC393" s="23"/>
      <c r="AD393" s="23"/>
      <c r="AE393" s="36"/>
      <c r="AF393" s="23"/>
    </row>
    <row r="394" spans="1:32" ht="15.75" x14ac:dyDescent="0.25">
      <c r="A394" s="44"/>
      <c r="B394" s="23"/>
      <c r="C394" s="23"/>
      <c r="D394" s="36"/>
      <c r="E394" s="23"/>
      <c r="F394" s="23"/>
      <c r="G394" s="23"/>
      <c r="H394" s="23"/>
      <c r="I394" s="23"/>
      <c r="J394" s="23"/>
      <c r="K394" s="23"/>
      <c r="L394" s="23"/>
      <c r="M394" s="36"/>
      <c r="N394" s="23"/>
      <c r="O394" s="23"/>
      <c r="P394" s="23"/>
      <c r="Q394" s="23"/>
      <c r="R394" s="23"/>
      <c r="S394" s="23"/>
      <c r="T394" s="23"/>
      <c r="U394" s="23"/>
      <c r="V394" s="36"/>
      <c r="W394" s="42"/>
      <c r="X394" s="42"/>
      <c r="Y394" s="23"/>
      <c r="Z394" s="42"/>
      <c r="AA394" s="42"/>
      <c r="AB394" s="23"/>
      <c r="AC394" s="23"/>
      <c r="AD394" s="23"/>
      <c r="AE394" s="36"/>
      <c r="AF394" s="23"/>
    </row>
    <row r="395" spans="1:32" ht="15.75" x14ac:dyDescent="0.25">
      <c r="A395" s="44"/>
      <c r="B395" s="23"/>
      <c r="C395" s="23"/>
      <c r="D395" s="36"/>
      <c r="E395" s="23"/>
      <c r="F395" s="23"/>
      <c r="G395" s="23"/>
      <c r="H395" s="23"/>
      <c r="I395" s="23"/>
      <c r="J395" s="23"/>
      <c r="K395" s="23"/>
      <c r="L395" s="23"/>
      <c r="M395" s="36"/>
      <c r="N395" s="23"/>
      <c r="O395" s="23"/>
      <c r="P395" s="23"/>
      <c r="Q395" s="23"/>
      <c r="R395" s="23"/>
      <c r="S395" s="23"/>
      <c r="T395" s="23"/>
      <c r="U395" s="23"/>
      <c r="V395" s="36"/>
      <c r="W395" s="42"/>
      <c r="X395" s="42"/>
      <c r="Y395" s="23"/>
      <c r="Z395" s="42"/>
      <c r="AA395" s="42"/>
      <c r="AB395" s="23"/>
      <c r="AC395" s="23"/>
      <c r="AD395" s="23"/>
      <c r="AE395" s="36"/>
      <c r="AF395" s="23"/>
    </row>
    <row r="396" spans="1:32" ht="15.75" x14ac:dyDescent="0.25">
      <c r="A396" s="44"/>
      <c r="B396" s="23"/>
      <c r="C396" s="23"/>
      <c r="D396" s="36"/>
      <c r="E396" s="23"/>
      <c r="F396" s="23"/>
      <c r="G396" s="23"/>
      <c r="H396" s="23"/>
      <c r="I396" s="23"/>
      <c r="J396" s="23"/>
      <c r="K396" s="23"/>
      <c r="L396" s="23"/>
      <c r="M396" s="36"/>
      <c r="N396" s="23"/>
      <c r="O396" s="23"/>
      <c r="P396" s="23"/>
      <c r="Q396" s="23"/>
      <c r="R396" s="23"/>
      <c r="S396" s="23"/>
      <c r="T396" s="23"/>
      <c r="U396" s="23"/>
      <c r="V396" s="36"/>
      <c r="W396" s="42"/>
      <c r="X396" s="42"/>
      <c r="Y396" s="23"/>
      <c r="Z396" s="42"/>
      <c r="AA396" s="42"/>
      <c r="AB396" s="23"/>
      <c r="AC396" s="23"/>
      <c r="AD396" s="23"/>
      <c r="AE396" s="36"/>
      <c r="AF396" s="23"/>
    </row>
    <row r="397" spans="1:32" ht="15.75" x14ac:dyDescent="0.25">
      <c r="A397" s="44"/>
      <c r="B397" s="23"/>
      <c r="C397" s="23"/>
      <c r="D397" s="36"/>
      <c r="E397" s="23"/>
      <c r="F397" s="23"/>
      <c r="G397" s="23"/>
      <c r="H397" s="23"/>
      <c r="I397" s="23"/>
      <c r="J397" s="23"/>
      <c r="K397" s="23"/>
      <c r="L397" s="23"/>
      <c r="M397" s="36"/>
      <c r="N397" s="23"/>
      <c r="O397" s="23"/>
      <c r="P397" s="23"/>
      <c r="Q397" s="23"/>
      <c r="R397" s="23"/>
      <c r="S397" s="23"/>
      <c r="T397" s="23"/>
      <c r="U397" s="23"/>
      <c r="V397" s="36"/>
      <c r="W397" s="42"/>
      <c r="X397" s="42"/>
      <c r="Y397" s="23"/>
      <c r="Z397" s="42"/>
      <c r="AA397" s="42"/>
      <c r="AB397" s="23"/>
      <c r="AC397" s="23"/>
      <c r="AD397" s="23"/>
      <c r="AE397" s="36"/>
      <c r="AF397" s="23"/>
    </row>
    <row r="398" spans="1:32" ht="15.75" x14ac:dyDescent="0.25">
      <c r="A398" s="44"/>
      <c r="B398" s="23"/>
      <c r="C398" s="23"/>
      <c r="D398" s="36"/>
      <c r="E398" s="23"/>
      <c r="F398" s="23"/>
      <c r="G398" s="23"/>
      <c r="H398" s="23"/>
      <c r="I398" s="23"/>
      <c r="J398" s="23"/>
      <c r="K398" s="23"/>
      <c r="L398" s="23"/>
      <c r="M398" s="36"/>
      <c r="N398" s="23"/>
      <c r="O398" s="23"/>
      <c r="P398" s="23"/>
      <c r="Q398" s="23"/>
      <c r="R398" s="23"/>
      <c r="S398" s="23"/>
      <c r="T398" s="23"/>
      <c r="U398" s="23"/>
      <c r="V398" s="36"/>
      <c r="W398" s="42"/>
      <c r="X398" s="42"/>
      <c r="Y398" s="23"/>
      <c r="Z398" s="42"/>
      <c r="AA398" s="42"/>
      <c r="AB398" s="23"/>
      <c r="AC398" s="23"/>
      <c r="AD398" s="23"/>
      <c r="AE398" s="36"/>
      <c r="AF398" s="23"/>
    </row>
    <row r="399" spans="1:32" ht="15.75" x14ac:dyDescent="0.25">
      <c r="A399" s="44"/>
      <c r="B399" s="23"/>
      <c r="C399" s="23"/>
      <c r="D399" s="36"/>
      <c r="E399" s="23"/>
      <c r="F399" s="23"/>
      <c r="G399" s="23"/>
      <c r="H399" s="23"/>
      <c r="I399" s="23"/>
      <c r="J399" s="23"/>
      <c r="K399" s="23"/>
      <c r="L399" s="23"/>
      <c r="M399" s="36"/>
      <c r="N399" s="23"/>
      <c r="O399" s="23"/>
      <c r="P399" s="23"/>
      <c r="Q399" s="23"/>
      <c r="R399" s="23"/>
      <c r="S399" s="23"/>
      <c r="T399" s="23"/>
      <c r="U399" s="23"/>
      <c r="V399" s="36"/>
      <c r="W399" s="42"/>
      <c r="X399" s="42"/>
      <c r="Y399" s="23"/>
      <c r="Z399" s="42"/>
      <c r="AA399" s="42"/>
      <c r="AB399" s="23"/>
      <c r="AC399" s="23"/>
      <c r="AD399" s="23"/>
      <c r="AE399" s="36"/>
      <c r="AF399" s="23"/>
    </row>
    <row r="400" spans="1:32" ht="15.75" x14ac:dyDescent="0.25">
      <c r="A400" s="44"/>
      <c r="B400" s="23"/>
      <c r="C400" s="23"/>
      <c r="D400" s="36"/>
      <c r="E400" s="23"/>
      <c r="F400" s="23"/>
      <c r="G400" s="23"/>
      <c r="H400" s="23"/>
      <c r="I400" s="23"/>
      <c r="J400" s="23"/>
      <c r="K400" s="23"/>
      <c r="L400" s="23"/>
      <c r="M400" s="36"/>
      <c r="N400" s="23"/>
      <c r="O400" s="23"/>
      <c r="P400" s="23"/>
      <c r="Q400" s="23"/>
      <c r="R400" s="23"/>
      <c r="S400" s="23"/>
      <c r="T400" s="23"/>
      <c r="U400" s="23"/>
      <c r="V400" s="36"/>
      <c r="W400" s="42"/>
      <c r="X400" s="42"/>
      <c r="Y400" s="23"/>
      <c r="Z400" s="42"/>
      <c r="AA400" s="42"/>
      <c r="AB400" s="23"/>
      <c r="AC400" s="23"/>
      <c r="AD400" s="23"/>
      <c r="AE400" s="36"/>
      <c r="AF400" s="23"/>
    </row>
    <row r="401" spans="1:32" ht="15.75" x14ac:dyDescent="0.25">
      <c r="A401" s="44"/>
      <c r="B401" s="23"/>
      <c r="C401" s="23"/>
      <c r="D401" s="36"/>
      <c r="E401" s="23"/>
      <c r="F401" s="23"/>
      <c r="G401" s="23"/>
      <c r="H401" s="23"/>
      <c r="I401" s="23"/>
      <c r="J401" s="23"/>
      <c r="K401" s="23"/>
      <c r="L401" s="23"/>
      <c r="M401" s="36"/>
      <c r="N401" s="23"/>
      <c r="O401" s="23"/>
      <c r="P401" s="23"/>
      <c r="Q401" s="23"/>
      <c r="R401" s="23"/>
      <c r="S401" s="23"/>
      <c r="T401" s="23"/>
      <c r="U401" s="23"/>
      <c r="V401" s="36"/>
      <c r="W401" s="42"/>
      <c r="X401" s="42"/>
      <c r="Y401" s="23"/>
      <c r="Z401" s="42"/>
      <c r="AA401" s="42"/>
      <c r="AB401" s="23"/>
      <c r="AC401" s="23"/>
      <c r="AD401" s="23"/>
      <c r="AE401" s="36"/>
      <c r="AF401" s="23"/>
    </row>
    <row r="402" spans="1:32" ht="15.75" x14ac:dyDescent="0.25">
      <c r="A402" s="44"/>
      <c r="B402" s="23"/>
      <c r="C402" s="23"/>
      <c r="D402" s="36"/>
      <c r="E402" s="23"/>
      <c r="F402" s="23"/>
      <c r="G402" s="23"/>
      <c r="H402" s="23"/>
      <c r="I402" s="23"/>
      <c r="J402" s="23"/>
      <c r="K402" s="23"/>
      <c r="L402" s="23"/>
      <c r="M402" s="36"/>
      <c r="N402" s="23"/>
      <c r="O402" s="23"/>
      <c r="P402" s="23"/>
      <c r="Q402" s="23"/>
      <c r="R402" s="23"/>
      <c r="S402" s="23"/>
      <c r="T402" s="23"/>
      <c r="U402" s="23"/>
      <c r="V402" s="36"/>
      <c r="W402" s="42"/>
      <c r="X402" s="42"/>
      <c r="Y402" s="23"/>
      <c r="Z402" s="42"/>
      <c r="AA402" s="42"/>
      <c r="AB402" s="23"/>
      <c r="AC402" s="23"/>
      <c r="AD402" s="23"/>
      <c r="AE402" s="36"/>
      <c r="AF402" s="23"/>
    </row>
    <row r="403" spans="1:32" ht="15.75" x14ac:dyDescent="0.25">
      <c r="A403" s="44"/>
      <c r="B403" s="23"/>
      <c r="C403" s="23"/>
      <c r="D403" s="36"/>
      <c r="E403" s="23"/>
      <c r="F403" s="23"/>
      <c r="G403" s="23"/>
      <c r="H403" s="23"/>
      <c r="I403" s="23"/>
      <c r="J403" s="23"/>
      <c r="K403" s="23"/>
      <c r="L403" s="23"/>
      <c r="M403" s="36"/>
      <c r="N403" s="23"/>
      <c r="O403" s="23"/>
      <c r="P403" s="23"/>
      <c r="Q403" s="23"/>
      <c r="R403" s="23"/>
      <c r="S403" s="23"/>
      <c r="T403" s="23"/>
      <c r="U403" s="23"/>
      <c r="V403" s="36"/>
      <c r="W403" s="42"/>
      <c r="X403" s="42"/>
      <c r="Y403" s="23"/>
      <c r="Z403" s="42"/>
      <c r="AA403" s="42"/>
      <c r="AB403" s="23"/>
      <c r="AC403" s="23"/>
      <c r="AD403" s="23"/>
      <c r="AE403" s="36"/>
      <c r="AF403" s="23"/>
    </row>
    <row r="404" spans="1:32" ht="15.75" x14ac:dyDescent="0.25">
      <c r="A404" s="44"/>
      <c r="B404" s="23"/>
      <c r="C404" s="23"/>
      <c r="D404" s="36"/>
      <c r="E404" s="23"/>
      <c r="F404" s="23"/>
      <c r="G404" s="23"/>
      <c r="H404" s="23"/>
      <c r="I404" s="23"/>
      <c r="J404" s="23"/>
      <c r="K404" s="23"/>
      <c r="L404" s="23"/>
      <c r="M404" s="36"/>
      <c r="N404" s="23"/>
      <c r="O404" s="23"/>
      <c r="P404" s="23"/>
      <c r="Q404" s="23"/>
      <c r="R404" s="23"/>
      <c r="S404" s="23"/>
      <c r="T404" s="23"/>
      <c r="U404" s="23"/>
      <c r="V404" s="36"/>
      <c r="W404" s="42"/>
      <c r="X404" s="42"/>
      <c r="Y404" s="23"/>
      <c r="Z404" s="42"/>
      <c r="AA404" s="42"/>
      <c r="AB404" s="23"/>
      <c r="AC404" s="23"/>
      <c r="AD404" s="23"/>
      <c r="AE404" s="36"/>
      <c r="AF404" s="23"/>
    </row>
    <row r="405" spans="1:32" ht="15.75" x14ac:dyDescent="0.25">
      <c r="A405" s="44"/>
      <c r="B405" s="23"/>
      <c r="C405" s="23"/>
      <c r="D405" s="36"/>
      <c r="E405" s="23"/>
      <c r="F405" s="23"/>
      <c r="G405" s="23"/>
      <c r="H405" s="23"/>
      <c r="I405" s="23"/>
      <c r="J405" s="23"/>
      <c r="K405" s="23"/>
      <c r="L405" s="23"/>
      <c r="M405" s="36"/>
      <c r="N405" s="23"/>
      <c r="O405" s="23"/>
      <c r="P405" s="23"/>
      <c r="Q405" s="23"/>
      <c r="R405" s="23"/>
      <c r="S405" s="23"/>
      <c r="T405" s="23"/>
      <c r="U405" s="23"/>
      <c r="V405" s="36"/>
      <c r="W405" s="42"/>
      <c r="X405" s="42"/>
      <c r="Y405" s="23"/>
      <c r="Z405" s="42"/>
      <c r="AA405" s="42"/>
      <c r="AB405" s="23"/>
      <c r="AC405" s="23"/>
      <c r="AD405" s="23"/>
      <c r="AE405" s="36"/>
      <c r="AF405" s="23"/>
    </row>
    <row r="406" spans="1:32" ht="15.75" x14ac:dyDescent="0.25">
      <c r="A406" s="44"/>
      <c r="B406" s="23"/>
      <c r="C406" s="23"/>
      <c r="D406" s="36"/>
      <c r="E406" s="23"/>
      <c r="F406" s="23"/>
      <c r="G406" s="23"/>
      <c r="H406" s="23"/>
      <c r="I406" s="23"/>
      <c r="J406" s="23"/>
      <c r="K406" s="23"/>
      <c r="L406" s="23"/>
      <c r="M406" s="36"/>
      <c r="N406" s="23"/>
      <c r="O406" s="23"/>
      <c r="P406" s="23"/>
      <c r="Q406" s="23"/>
      <c r="R406" s="23"/>
      <c r="S406" s="23"/>
      <c r="T406" s="23"/>
      <c r="U406" s="23"/>
      <c r="V406" s="36"/>
      <c r="W406" s="42"/>
      <c r="X406" s="42"/>
      <c r="Y406" s="23"/>
      <c r="Z406" s="42"/>
      <c r="AA406" s="42"/>
      <c r="AB406" s="23"/>
      <c r="AC406" s="23"/>
      <c r="AD406" s="23"/>
      <c r="AE406" s="36"/>
      <c r="AF406" s="23"/>
    </row>
    <row r="407" spans="1:32" ht="15.75" x14ac:dyDescent="0.25">
      <c r="A407" s="44"/>
      <c r="B407" s="23"/>
      <c r="C407" s="23"/>
      <c r="D407" s="36"/>
      <c r="E407" s="23"/>
      <c r="F407" s="23"/>
      <c r="G407" s="23"/>
      <c r="H407" s="23"/>
      <c r="I407" s="23"/>
      <c r="J407" s="23"/>
      <c r="K407" s="23"/>
      <c r="L407" s="23"/>
      <c r="M407" s="36"/>
      <c r="N407" s="23"/>
      <c r="O407" s="23"/>
      <c r="P407" s="23"/>
      <c r="Q407" s="23"/>
      <c r="R407" s="23"/>
      <c r="S407" s="23"/>
      <c r="T407" s="23"/>
      <c r="U407" s="23"/>
      <c r="V407" s="36"/>
      <c r="W407" s="42"/>
      <c r="X407" s="42"/>
      <c r="Y407" s="23"/>
      <c r="Z407" s="42"/>
      <c r="AA407" s="42"/>
      <c r="AB407" s="23"/>
      <c r="AC407" s="23"/>
      <c r="AD407" s="23"/>
      <c r="AE407" s="36"/>
      <c r="AF407" s="23"/>
    </row>
    <row r="408" spans="1:32" ht="15.75" x14ac:dyDescent="0.25">
      <c r="A408" s="44"/>
      <c r="B408" s="23"/>
      <c r="C408" s="23"/>
      <c r="D408" s="36"/>
      <c r="E408" s="23"/>
      <c r="F408" s="23"/>
      <c r="G408" s="23"/>
      <c r="H408" s="23"/>
      <c r="I408" s="23"/>
      <c r="J408" s="23"/>
      <c r="K408" s="23"/>
      <c r="L408" s="23"/>
      <c r="M408" s="36"/>
      <c r="N408" s="23"/>
      <c r="O408" s="23"/>
      <c r="P408" s="23"/>
      <c r="Q408" s="23"/>
      <c r="R408" s="23"/>
      <c r="S408" s="23"/>
      <c r="T408" s="23"/>
      <c r="U408" s="23"/>
      <c r="V408" s="36"/>
      <c r="W408" s="42"/>
      <c r="X408" s="42"/>
      <c r="Y408" s="23"/>
      <c r="Z408" s="42"/>
      <c r="AA408" s="42"/>
      <c r="AB408" s="23"/>
      <c r="AC408" s="23"/>
      <c r="AD408" s="23"/>
      <c r="AE408" s="36"/>
      <c r="AF408" s="23"/>
    </row>
    <row r="409" spans="1:32" ht="15.75" x14ac:dyDescent="0.25">
      <c r="A409" s="44"/>
      <c r="B409" s="23"/>
      <c r="C409" s="23"/>
      <c r="D409" s="36"/>
      <c r="E409" s="23"/>
      <c r="F409" s="23"/>
      <c r="G409" s="23"/>
      <c r="H409" s="23"/>
      <c r="I409" s="23"/>
      <c r="J409" s="23"/>
      <c r="K409" s="23"/>
      <c r="L409" s="23"/>
      <c r="M409" s="36"/>
      <c r="N409" s="23"/>
      <c r="O409" s="23"/>
      <c r="P409" s="23"/>
      <c r="Q409" s="23"/>
      <c r="R409" s="23"/>
      <c r="S409" s="23"/>
      <c r="T409" s="23"/>
      <c r="U409" s="23"/>
      <c r="V409" s="36"/>
      <c r="W409" s="42"/>
      <c r="X409" s="42"/>
      <c r="Y409" s="23"/>
      <c r="Z409" s="42"/>
      <c r="AA409" s="42"/>
      <c r="AB409" s="23"/>
      <c r="AC409" s="23"/>
      <c r="AD409" s="23"/>
      <c r="AE409" s="36"/>
      <c r="AF409" s="23"/>
    </row>
    <row r="410" spans="1:32" ht="15.75" x14ac:dyDescent="0.25">
      <c r="A410" s="44"/>
      <c r="B410" s="23"/>
      <c r="C410" s="23"/>
      <c r="D410" s="36"/>
      <c r="E410" s="23"/>
      <c r="F410" s="23"/>
      <c r="G410" s="23"/>
      <c r="H410" s="23"/>
      <c r="I410" s="23"/>
      <c r="J410" s="23"/>
      <c r="K410" s="23"/>
      <c r="L410" s="23"/>
      <c r="M410" s="36"/>
      <c r="N410" s="23"/>
      <c r="O410" s="23"/>
      <c r="P410" s="23"/>
      <c r="Q410" s="23"/>
      <c r="R410" s="23"/>
      <c r="S410" s="23"/>
      <c r="T410" s="23"/>
      <c r="U410" s="23"/>
      <c r="V410" s="36"/>
      <c r="W410" s="42"/>
      <c r="X410" s="42"/>
      <c r="Y410" s="23"/>
      <c r="Z410" s="42"/>
      <c r="AA410" s="42"/>
      <c r="AB410" s="23"/>
      <c r="AC410" s="23"/>
      <c r="AD410" s="23"/>
      <c r="AE410" s="36"/>
      <c r="AF410" s="23"/>
    </row>
    <row r="411" spans="1:32" ht="15.75" x14ac:dyDescent="0.25">
      <c r="A411" s="44"/>
      <c r="B411" s="23"/>
      <c r="C411" s="23"/>
      <c r="D411" s="36"/>
      <c r="E411" s="23"/>
      <c r="F411" s="23"/>
      <c r="G411" s="23"/>
      <c r="H411" s="23"/>
      <c r="I411" s="23"/>
      <c r="J411" s="23"/>
      <c r="K411" s="23"/>
      <c r="L411" s="23"/>
      <c r="M411" s="36"/>
      <c r="N411" s="23"/>
      <c r="O411" s="23"/>
      <c r="P411" s="23"/>
      <c r="Q411" s="23"/>
      <c r="R411" s="23"/>
      <c r="S411" s="23"/>
      <c r="T411" s="23"/>
      <c r="U411" s="23"/>
      <c r="V411" s="36"/>
      <c r="W411" s="42"/>
      <c r="X411" s="42"/>
      <c r="Y411" s="23"/>
      <c r="Z411" s="42"/>
      <c r="AA411" s="42"/>
      <c r="AB411" s="23"/>
      <c r="AC411" s="23"/>
      <c r="AD411" s="23"/>
      <c r="AE411" s="36"/>
      <c r="AF411" s="23"/>
    </row>
    <row r="412" spans="1:32" ht="15.75" x14ac:dyDescent="0.25">
      <c r="A412" s="44"/>
      <c r="B412" s="23"/>
      <c r="C412" s="23"/>
      <c r="D412" s="36"/>
      <c r="E412" s="23"/>
      <c r="F412" s="23"/>
      <c r="G412" s="23"/>
      <c r="H412" s="23"/>
      <c r="I412" s="23"/>
      <c r="J412" s="23"/>
      <c r="K412" s="23"/>
      <c r="L412" s="23"/>
      <c r="M412" s="36"/>
      <c r="N412" s="23"/>
      <c r="O412" s="23"/>
      <c r="P412" s="23"/>
      <c r="Q412" s="23"/>
      <c r="R412" s="23"/>
      <c r="S412" s="23"/>
      <c r="T412" s="23"/>
      <c r="U412" s="23"/>
      <c r="V412" s="36"/>
      <c r="W412" s="42"/>
      <c r="X412" s="42"/>
      <c r="Y412" s="23"/>
      <c r="Z412" s="42"/>
      <c r="AA412" s="42"/>
      <c r="AB412" s="23"/>
      <c r="AC412" s="23"/>
      <c r="AD412" s="23"/>
      <c r="AE412" s="36"/>
      <c r="AF412" s="23"/>
    </row>
    <row r="413" spans="1:32" ht="15.75" x14ac:dyDescent="0.25">
      <c r="A413" s="44"/>
      <c r="B413" s="23"/>
      <c r="C413" s="23"/>
      <c r="D413" s="36"/>
      <c r="E413" s="23"/>
      <c r="F413" s="23"/>
      <c r="G413" s="23"/>
      <c r="H413" s="23"/>
      <c r="I413" s="23"/>
      <c r="J413" s="23"/>
      <c r="K413" s="23"/>
      <c r="L413" s="23"/>
      <c r="M413" s="36"/>
      <c r="N413" s="23"/>
      <c r="O413" s="23"/>
      <c r="P413" s="23"/>
      <c r="Q413" s="23"/>
      <c r="R413" s="23"/>
      <c r="S413" s="23"/>
      <c r="T413" s="23"/>
      <c r="U413" s="23"/>
      <c r="V413" s="36"/>
      <c r="W413" s="42"/>
      <c r="X413" s="42"/>
      <c r="Y413" s="23"/>
      <c r="Z413" s="42"/>
      <c r="AA413" s="42"/>
      <c r="AB413" s="23"/>
      <c r="AC413" s="23"/>
      <c r="AD413" s="23"/>
      <c r="AE413" s="36"/>
      <c r="AF413" s="23"/>
    </row>
    <row r="414" spans="1:32" ht="15.75" x14ac:dyDescent="0.25">
      <c r="A414" s="44"/>
      <c r="B414" s="23"/>
      <c r="C414" s="23"/>
      <c r="D414" s="36"/>
      <c r="E414" s="23"/>
      <c r="F414" s="23"/>
      <c r="G414" s="23"/>
      <c r="H414" s="23"/>
      <c r="I414" s="23"/>
      <c r="J414" s="23"/>
      <c r="K414" s="23"/>
      <c r="L414" s="23"/>
      <c r="M414" s="36"/>
      <c r="N414" s="23"/>
      <c r="O414" s="23"/>
      <c r="P414" s="23"/>
      <c r="Q414" s="23"/>
      <c r="R414" s="23"/>
      <c r="S414" s="23"/>
      <c r="T414" s="23"/>
      <c r="U414" s="23"/>
      <c r="V414" s="36"/>
      <c r="W414" s="42"/>
      <c r="X414" s="42"/>
      <c r="Y414" s="23"/>
      <c r="Z414" s="42"/>
      <c r="AA414" s="42"/>
      <c r="AB414" s="23"/>
      <c r="AC414" s="23"/>
      <c r="AD414" s="23"/>
      <c r="AE414" s="36"/>
      <c r="AF414" s="23"/>
    </row>
    <row r="415" spans="1:32" ht="15.75" x14ac:dyDescent="0.25">
      <c r="A415" s="44"/>
      <c r="B415" s="23"/>
      <c r="C415" s="23"/>
      <c r="D415" s="36"/>
      <c r="E415" s="23"/>
      <c r="F415" s="23"/>
      <c r="G415" s="23"/>
      <c r="H415" s="23"/>
      <c r="I415" s="23"/>
      <c r="J415" s="23"/>
      <c r="K415" s="23"/>
      <c r="L415" s="23"/>
      <c r="M415" s="36"/>
      <c r="N415" s="23"/>
      <c r="O415" s="23"/>
      <c r="P415" s="23"/>
      <c r="Q415" s="23"/>
      <c r="R415" s="23"/>
      <c r="S415" s="23"/>
      <c r="T415" s="23"/>
      <c r="U415" s="23"/>
      <c r="V415" s="36"/>
      <c r="W415" s="42"/>
      <c r="X415" s="42"/>
      <c r="Y415" s="23"/>
      <c r="Z415" s="42"/>
      <c r="AA415" s="42"/>
      <c r="AB415" s="23"/>
      <c r="AC415" s="23"/>
      <c r="AD415" s="23"/>
      <c r="AE415" s="36"/>
      <c r="AF415" s="23"/>
    </row>
    <row r="416" spans="1:32" ht="15.75" x14ac:dyDescent="0.25">
      <c r="A416" s="44"/>
      <c r="B416" s="23"/>
      <c r="C416" s="23"/>
      <c r="D416" s="36"/>
      <c r="E416" s="23"/>
      <c r="F416" s="23"/>
      <c r="G416" s="23"/>
      <c r="H416" s="23"/>
      <c r="I416" s="23"/>
      <c r="J416" s="23"/>
      <c r="K416" s="23"/>
      <c r="L416" s="23"/>
      <c r="M416" s="36"/>
      <c r="N416" s="23"/>
      <c r="O416" s="23"/>
      <c r="P416" s="23"/>
      <c r="Q416" s="23"/>
      <c r="R416" s="23"/>
      <c r="S416" s="23"/>
      <c r="T416" s="23"/>
      <c r="U416" s="23"/>
      <c r="V416" s="36"/>
      <c r="W416" s="42"/>
      <c r="X416" s="42"/>
      <c r="Y416" s="23"/>
      <c r="Z416" s="42"/>
      <c r="AA416" s="42"/>
      <c r="AB416" s="23"/>
      <c r="AC416" s="23"/>
      <c r="AD416" s="23"/>
      <c r="AE416" s="36"/>
      <c r="AF416" s="23"/>
    </row>
    <row r="417" spans="1:32" ht="15.75" x14ac:dyDescent="0.25">
      <c r="A417" s="44"/>
      <c r="B417" s="23"/>
      <c r="C417" s="23"/>
      <c r="D417" s="36"/>
      <c r="E417" s="23"/>
      <c r="F417" s="23"/>
      <c r="G417" s="23"/>
      <c r="H417" s="23"/>
      <c r="I417" s="23"/>
      <c r="J417" s="23"/>
      <c r="K417" s="23"/>
      <c r="L417" s="23"/>
      <c r="M417" s="36"/>
      <c r="N417" s="23"/>
      <c r="O417" s="23"/>
      <c r="P417" s="23"/>
      <c r="Q417" s="23"/>
      <c r="R417" s="23"/>
      <c r="S417" s="23"/>
      <c r="T417" s="23"/>
      <c r="U417" s="23"/>
      <c r="V417" s="36"/>
      <c r="W417" s="42"/>
      <c r="X417" s="42"/>
      <c r="Y417" s="23"/>
      <c r="Z417" s="42"/>
      <c r="AA417" s="42"/>
      <c r="AB417" s="23"/>
      <c r="AC417" s="23"/>
      <c r="AD417" s="23"/>
      <c r="AE417" s="36"/>
      <c r="AF417" s="23"/>
    </row>
    <row r="418" spans="1:32" ht="15.75" x14ac:dyDescent="0.25">
      <c r="A418" s="44"/>
      <c r="B418" s="23"/>
      <c r="C418" s="23"/>
      <c r="D418" s="36"/>
      <c r="E418" s="23"/>
      <c r="F418" s="23"/>
      <c r="G418" s="23"/>
      <c r="H418" s="23"/>
      <c r="I418" s="23"/>
      <c r="J418" s="23"/>
      <c r="K418" s="23"/>
      <c r="L418" s="23"/>
      <c r="M418" s="36"/>
      <c r="N418" s="23"/>
      <c r="O418" s="23"/>
      <c r="P418" s="23"/>
      <c r="Q418" s="23"/>
      <c r="R418" s="23"/>
      <c r="S418" s="23"/>
      <c r="T418" s="23"/>
      <c r="U418" s="23"/>
      <c r="V418" s="36"/>
      <c r="W418" s="42"/>
      <c r="X418" s="42"/>
      <c r="Y418" s="23"/>
      <c r="Z418" s="42"/>
      <c r="AA418" s="42"/>
      <c r="AB418" s="23"/>
      <c r="AC418" s="23"/>
      <c r="AD418" s="23"/>
      <c r="AE418" s="36"/>
      <c r="AF418" s="23"/>
    </row>
    <row r="419" spans="1:32" ht="15.75" x14ac:dyDescent="0.25">
      <c r="A419" s="44"/>
      <c r="B419" s="23"/>
      <c r="C419" s="23"/>
      <c r="D419" s="36"/>
      <c r="E419" s="23"/>
      <c r="F419" s="23"/>
      <c r="G419" s="23"/>
      <c r="H419" s="23"/>
      <c r="I419" s="23"/>
      <c r="J419" s="23"/>
      <c r="K419" s="23"/>
      <c r="L419" s="23"/>
      <c r="M419" s="36"/>
      <c r="N419" s="23"/>
      <c r="O419" s="23"/>
      <c r="P419" s="23"/>
      <c r="Q419" s="23"/>
      <c r="R419" s="23"/>
      <c r="S419" s="23"/>
      <c r="T419" s="23"/>
      <c r="U419" s="23"/>
      <c r="V419" s="36"/>
      <c r="W419" s="42"/>
      <c r="X419" s="42"/>
      <c r="Y419" s="23"/>
      <c r="Z419" s="42"/>
      <c r="AA419" s="42"/>
      <c r="AB419" s="23"/>
      <c r="AC419" s="23"/>
      <c r="AD419" s="23"/>
      <c r="AE419" s="36"/>
      <c r="AF419" s="23"/>
    </row>
    <row r="420" spans="1:32" ht="15.75" x14ac:dyDescent="0.25">
      <c r="A420" s="44"/>
      <c r="B420" s="23"/>
      <c r="C420" s="23"/>
      <c r="D420" s="36"/>
      <c r="E420" s="23"/>
      <c r="F420" s="23"/>
      <c r="G420" s="23"/>
      <c r="H420" s="23"/>
      <c r="I420" s="23"/>
      <c r="J420" s="23"/>
      <c r="K420" s="23"/>
      <c r="L420" s="23"/>
      <c r="M420" s="36"/>
      <c r="N420" s="23"/>
      <c r="O420" s="23"/>
      <c r="P420" s="23"/>
      <c r="Q420" s="23"/>
      <c r="R420" s="23"/>
      <c r="S420" s="23"/>
      <c r="T420" s="23"/>
      <c r="U420" s="23"/>
      <c r="V420" s="36"/>
      <c r="W420" s="42"/>
      <c r="X420" s="42"/>
      <c r="Y420" s="23"/>
      <c r="Z420" s="42"/>
      <c r="AA420" s="42"/>
      <c r="AB420" s="23"/>
      <c r="AC420" s="23"/>
      <c r="AD420" s="23"/>
      <c r="AE420" s="36"/>
      <c r="AF420" s="23"/>
    </row>
    <row r="421" spans="1:32" ht="15.75" x14ac:dyDescent="0.25">
      <c r="A421" s="44"/>
      <c r="B421" s="23"/>
      <c r="C421" s="23"/>
      <c r="D421" s="36"/>
      <c r="E421" s="23"/>
      <c r="F421" s="23"/>
      <c r="G421" s="23"/>
      <c r="H421" s="23"/>
      <c r="I421" s="23"/>
      <c r="J421" s="23"/>
      <c r="K421" s="23"/>
      <c r="L421" s="23"/>
      <c r="M421" s="36"/>
      <c r="N421" s="23"/>
      <c r="O421" s="23"/>
      <c r="P421" s="23"/>
      <c r="Q421" s="23"/>
      <c r="R421" s="23"/>
      <c r="S421" s="23"/>
      <c r="T421" s="23"/>
      <c r="U421" s="23"/>
      <c r="V421" s="36"/>
      <c r="W421" s="42"/>
      <c r="X421" s="42"/>
      <c r="Y421" s="23"/>
      <c r="Z421" s="42"/>
      <c r="AA421" s="42"/>
      <c r="AB421" s="23"/>
      <c r="AC421" s="23"/>
      <c r="AD421" s="23"/>
      <c r="AE421" s="36"/>
      <c r="AF421" s="23"/>
    </row>
    <row r="422" spans="1:32" ht="15.75" x14ac:dyDescent="0.25">
      <c r="A422" s="44"/>
      <c r="B422" s="23"/>
      <c r="C422" s="23"/>
      <c r="D422" s="36"/>
      <c r="E422" s="23"/>
      <c r="F422" s="23"/>
      <c r="G422" s="23"/>
      <c r="H422" s="23"/>
      <c r="I422" s="23"/>
      <c r="J422" s="23"/>
      <c r="K422" s="23"/>
      <c r="L422" s="23"/>
      <c r="M422" s="36"/>
      <c r="N422" s="23"/>
      <c r="O422" s="23"/>
      <c r="P422" s="23"/>
      <c r="Q422" s="23"/>
      <c r="R422" s="23"/>
      <c r="S422" s="23"/>
      <c r="T422" s="23"/>
      <c r="U422" s="23"/>
      <c r="V422" s="36"/>
      <c r="W422" s="42"/>
      <c r="X422" s="42"/>
      <c r="Y422" s="23"/>
      <c r="Z422" s="42"/>
      <c r="AA422" s="42"/>
      <c r="AB422" s="23"/>
      <c r="AC422" s="23"/>
      <c r="AD422" s="23"/>
      <c r="AE422" s="36"/>
      <c r="AF422" s="23"/>
    </row>
    <row r="423" spans="1:32" ht="15.75" x14ac:dyDescent="0.25">
      <c r="A423" s="44"/>
      <c r="B423" s="23"/>
      <c r="C423" s="23"/>
      <c r="D423" s="36"/>
      <c r="E423" s="23"/>
      <c r="F423" s="23"/>
      <c r="G423" s="23"/>
      <c r="H423" s="23"/>
      <c r="I423" s="23"/>
      <c r="J423" s="23"/>
      <c r="K423" s="23"/>
      <c r="L423" s="23"/>
      <c r="M423" s="36"/>
      <c r="N423" s="23"/>
      <c r="O423" s="23"/>
      <c r="P423" s="23"/>
      <c r="Q423" s="23"/>
      <c r="R423" s="23"/>
      <c r="S423" s="23"/>
      <c r="T423" s="23"/>
      <c r="U423" s="23"/>
      <c r="V423" s="36"/>
      <c r="W423" s="42"/>
      <c r="X423" s="42"/>
      <c r="Y423" s="23"/>
      <c r="Z423" s="42"/>
      <c r="AA423" s="42"/>
      <c r="AB423" s="23"/>
      <c r="AC423" s="23"/>
      <c r="AD423" s="23"/>
      <c r="AE423" s="36"/>
      <c r="AF423" s="23"/>
    </row>
    <row r="424" spans="1:32" ht="15.75" x14ac:dyDescent="0.25">
      <c r="A424" s="44"/>
      <c r="B424" s="23"/>
      <c r="C424" s="23"/>
      <c r="D424" s="36"/>
      <c r="E424" s="23"/>
      <c r="F424" s="23"/>
      <c r="G424" s="23"/>
      <c r="H424" s="23"/>
      <c r="I424" s="23"/>
      <c r="J424" s="23"/>
      <c r="K424" s="23"/>
      <c r="L424" s="23"/>
      <c r="M424" s="36"/>
      <c r="N424" s="23"/>
      <c r="O424" s="23"/>
      <c r="P424" s="23"/>
      <c r="Q424" s="23"/>
      <c r="R424" s="23"/>
      <c r="S424" s="23"/>
      <c r="T424" s="23"/>
      <c r="U424" s="23"/>
      <c r="V424" s="36"/>
      <c r="W424" s="42"/>
      <c r="X424" s="42"/>
      <c r="Y424" s="23"/>
      <c r="Z424" s="42"/>
      <c r="AA424" s="42"/>
      <c r="AB424" s="23"/>
      <c r="AC424" s="23"/>
      <c r="AD424" s="23"/>
      <c r="AE424" s="36"/>
      <c r="AF424" s="23"/>
    </row>
    <row r="425" spans="1:32" ht="15.75" x14ac:dyDescent="0.25">
      <c r="A425" s="44"/>
      <c r="B425" s="23"/>
      <c r="C425" s="23"/>
      <c r="D425" s="36"/>
      <c r="E425" s="23"/>
      <c r="F425" s="23"/>
      <c r="G425" s="23"/>
      <c r="H425" s="23"/>
      <c r="I425" s="23"/>
      <c r="J425" s="23"/>
      <c r="K425" s="23"/>
      <c r="L425" s="23"/>
      <c r="M425" s="36"/>
      <c r="N425" s="23"/>
      <c r="O425" s="23"/>
      <c r="P425" s="23"/>
      <c r="Q425" s="23"/>
      <c r="R425" s="23"/>
      <c r="S425" s="23"/>
      <c r="T425" s="23"/>
      <c r="U425" s="23"/>
      <c r="V425" s="36"/>
      <c r="W425" s="42"/>
      <c r="X425" s="42"/>
      <c r="Y425" s="23"/>
      <c r="Z425" s="42"/>
      <c r="AA425" s="42"/>
      <c r="AB425" s="23"/>
      <c r="AC425" s="23"/>
      <c r="AD425" s="23"/>
      <c r="AE425" s="36"/>
      <c r="AF425" s="23"/>
    </row>
    <row r="426" spans="1:32" ht="15.75" x14ac:dyDescent="0.25">
      <c r="A426" s="44"/>
      <c r="B426" s="23"/>
      <c r="C426" s="23"/>
      <c r="D426" s="36"/>
      <c r="E426" s="23"/>
      <c r="F426" s="23"/>
      <c r="G426" s="23"/>
      <c r="H426" s="23"/>
      <c r="I426" s="23"/>
      <c r="J426" s="23"/>
      <c r="K426" s="23"/>
      <c r="L426" s="23"/>
      <c r="M426" s="36"/>
      <c r="N426" s="23"/>
      <c r="O426" s="23"/>
      <c r="P426" s="23"/>
      <c r="Q426" s="23"/>
      <c r="R426" s="23"/>
      <c r="S426" s="23"/>
      <c r="T426" s="23"/>
      <c r="U426" s="23"/>
      <c r="V426" s="36"/>
      <c r="W426" s="42"/>
      <c r="X426" s="42"/>
      <c r="Y426" s="23"/>
      <c r="Z426" s="42"/>
      <c r="AA426" s="42"/>
      <c r="AB426" s="23"/>
      <c r="AC426" s="23"/>
      <c r="AD426" s="23"/>
      <c r="AE426" s="36"/>
      <c r="AF426" s="23"/>
    </row>
    <row r="427" spans="1:32" ht="15.75" x14ac:dyDescent="0.25">
      <c r="A427" s="44"/>
      <c r="B427" s="23"/>
      <c r="C427" s="23"/>
      <c r="D427" s="36"/>
      <c r="E427" s="23"/>
      <c r="F427" s="23"/>
      <c r="G427" s="23"/>
      <c r="H427" s="23"/>
      <c r="I427" s="23"/>
      <c r="J427" s="23"/>
      <c r="K427" s="23"/>
      <c r="L427" s="23"/>
      <c r="M427" s="36"/>
      <c r="N427" s="23"/>
      <c r="O427" s="23"/>
      <c r="P427" s="23"/>
      <c r="Q427" s="23"/>
      <c r="R427" s="23"/>
      <c r="S427" s="23"/>
      <c r="T427" s="23"/>
      <c r="U427" s="23"/>
      <c r="V427" s="36"/>
      <c r="W427" s="42"/>
      <c r="X427" s="42"/>
      <c r="Y427" s="23"/>
      <c r="Z427" s="42"/>
      <c r="AA427" s="42"/>
      <c r="AB427" s="23"/>
      <c r="AC427" s="23"/>
      <c r="AD427" s="23"/>
      <c r="AE427" s="36"/>
      <c r="AF427" s="23"/>
    </row>
    <row r="428" spans="1:32" ht="15.75" x14ac:dyDescent="0.25">
      <c r="A428" s="44"/>
      <c r="B428" s="23"/>
      <c r="C428" s="23"/>
      <c r="D428" s="36"/>
      <c r="E428" s="23"/>
      <c r="F428" s="23"/>
      <c r="G428" s="23"/>
      <c r="H428" s="23"/>
      <c r="I428" s="23"/>
      <c r="J428" s="23"/>
      <c r="K428" s="23"/>
      <c r="L428" s="23"/>
      <c r="M428" s="36"/>
      <c r="N428" s="23"/>
      <c r="O428" s="23"/>
      <c r="P428" s="23"/>
      <c r="Q428" s="23"/>
      <c r="R428" s="23"/>
      <c r="S428" s="23"/>
      <c r="T428" s="23"/>
      <c r="U428" s="23"/>
      <c r="V428" s="36"/>
      <c r="W428" s="42"/>
      <c r="X428" s="42"/>
      <c r="Y428" s="23"/>
      <c r="Z428" s="42"/>
      <c r="AA428" s="42"/>
      <c r="AB428" s="23"/>
      <c r="AC428" s="23"/>
      <c r="AD428" s="23"/>
      <c r="AE428" s="36"/>
      <c r="AF428" s="23"/>
    </row>
    <row r="429" spans="1:32" ht="15.75" x14ac:dyDescent="0.25">
      <c r="A429" s="44"/>
      <c r="B429" s="23"/>
      <c r="C429" s="23"/>
      <c r="D429" s="36"/>
      <c r="E429" s="23"/>
      <c r="F429" s="23"/>
      <c r="G429" s="23"/>
      <c r="H429" s="23"/>
      <c r="I429" s="23"/>
      <c r="J429" s="23"/>
      <c r="K429" s="23"/>
      <c r="L429" s="23"/>
      <c r="M429" s="36"/>
      <c r="N429" s="23"/>
      <c r="O429" s="23"/>
      <c r="P429" s="23"/>
      <c r="Q429" s="23"/>
      <c r="R429" s="23"/>
      <c r="S429" s="23"/>
      <c r="T429" s="23"/>
      <c r="U429" s="23"/>
      <c r="V429" s="36"/>
      <c r="W429" s="42"/>
      <c r="X429" s="42"/>
      <c r="Y429" s="23"/>
      <c r="Z429" s="42"/>
      <c r="AA429" s="42"/>
      <c r="AB429" s="23"/>
      <c r="AC429" s="23"/>
      <c r="AD429" s="23"/>
      <c r="AE429" s="36"/>
      <c r="AF429" s="23"/>
    </row>
    <row r="430" spans="1:32" ht="15.75" x14ac:dyDescent="0.25">
      <c r="A430" s="44"/>
      <c r="B430" s="23"/>
      <c r="C430" s="23"/>
      <c r="D430" s="36"/>
      <c r="E430" s="23"/>
      <c r="F430" s="23"/>
      <c r="G430" s="23"/>
      <c r="H430" s="23"/>
      <c r="I430" s="23"/>
      <c r="J430" s="23"/>
      <c r="K430" s="23"/>
      <c r="L430" s="23"/>
      <c r="M430" s="36"/>
      <c r="N430" s="23"/>
      <c r="O430" s="23"/>
      <c r="P430" s="23"/>
      <c r="Q430" s="23"/>
      <c r="R430" s="23"/>
      <c r="S430" s="23"/>
      <c r="T430" s="23"/>
      <c r="U430" s="23"/>
      <c r="V430" s="36"/>
      <c r="W430" s="42"/>
      <c r="X430" s="42"/>
      <c r="Y430" s="23"/>
      <c r="Z430" s="42"/>
      <c r="AA430" s="42"/>
      <c r="AB430" s="23"/>
      <c r="AC430" s="23"/>
      <c r="AD430" s="23"/>
      <c r="AE430" s="36"/>
      <c r="AF430" s="23"/>
    </row>
    <row r="431" spans="1:32" ht="15.75" x14ac:dyDescent="0.25">
      <c r="A431" s="44"/>
      <c r="B431" s="23"/>
      <c r="C431" s="23"/>
      <c r="D431" s="36"/>
      <c r="E431" s="23"/>
      <c r="F431" s="23"/>
      <c r="G431" s="23"/>
      <c r="H431" s="23"/>
      <c r="I431" s="23"/>
      <c r="J431" s="23"/>
      <c r="K431" s="23"/>
      <c r="L431" s="23"/>
      <c r="M431" s="36"/>
      <c r="N431" s="23"/>
      <c r="O431" s="23"/>
      <c r="P431" s="23"/>
      <c r="Q431" s="23"/>
      <c r="R431" s="23"/>
      <c r="S431" s="23"/>
      <c r="T431" s="23"/>
      <c r="U431" s="23"/>
      <c r="V431" s="36"/>
      <c r="W431" s="42"/>
      <c r="X431" s="42"/>
      <c r="Y431" s="23"/>
      <c r="Z431" s="42"/>
      <c r="AA431" s="42"/>
      <c r="AB431" s="23"/>
      <c r="AC431" s="23"/>
      <c r="AD431" s="23"/>
      <c r="AE431" s="36"/>
      <c r="AF431" s="23"/>
    </row>
    <row r="432" spans="1:32" ht="15.75" x14ac:dyDescent="0.25">
      <c r="A432" s="44"/>
      <c r="B432" s="23"/>
      <c r="C432" s="23"/>
      <c r="D432" s="36"/>
      <c r="E432" s="23"/>
      <c r="F432" s="23"/>
      <c r="G432" s="23"/>
      <c r="H432" s="23"/>
      <c r="I432" s="23"/>
      <c r="J432" s="23"/>
      <c r="K432" s="23"/>
      <c r="L432" s="23"/>
      <c r="M432" s="36"/>
      <c r="N432" s="23"/>
      <c r="O432" s="23"/>
      <c r="P432" s="23"/>
      <c r="Q432" s="23"/>
      <c r="R432" s="23"/>
      <c r="S432" s="23"/>
      <c r="T432" s="23"/>
      <c r="U432" s="23"/>
      <c r="V432" s="36"/>
      <c r="W432" s="42"/>
      <c r="X432" s="42"/>
      <c r="Y432" s="23"/>
      <c r="Z432" s="42"/>
      <c r="AA432" s="42"/>
      <c r="AB432" s="23"/>
      <c r="AC432" s="23"/>
      <c r="AD432" s="23"/>
      <c r="AE432" s="36"/>
      <c r="AF432" s="23"/>
    </row>
    <row r="433" spans="1:32" ht="15.75" x14ac:dyDescent="0.25">
      <c r="A433" s="44"/>
      <c r="B433" s="23"/>
      <c r="C433" s="23"/>
      <c r="D433" s="36"/>
      <c r="E433" s="23"/>
      <c r="F433" s="23"/>
      <c r="G433" s="23"/>
      <c r="H433" s="23"/>
      <c r="I433" s="23"/>
      <c r="J433" s="23"/>
      <c r="K433" s="23"/>
      <c r="L433" s="23"/>
      <c r="M433" s="36"/>
      <c r="N433" s="23"/>
      <c r="O433" s="23"/>
      <c r="P433" s="23"/>
      <c r="Q433" s="23"/>
      <c r="R433" s="23"/>
      <c r="S433" s="23"/>
      <c r="T433" s="23"/>
      <c r="U433" s="23"/>
      <c r="V433" s="36"/>
      <c r="W433" s="42"/>
      <c r="X433" s="42"/>
      <c r="Y433" s="23"/>
      <c r="Z433" s="42"/>
      <c r="AA433" s="42"/>
      <c r="AB433" s="23"/>
      <c r="AC433" s="23"/>
      <c r="AD433" s="23"/>
      <c r="AE433" s="36"/>
      <c r="AF433" s="23"/>
    </row>
    <row r="434" spans="1:32" ht="15.75" x14ac:dyDescent="0.25">
      <c r="A434" s="44"/>
      <c r="B434" s="23"/>
      <c r="C434" s="23"/>
      <c r="D434" s="36"/>
      <c r="E434" s="23"/>
      <c r="F434" s="23"/>
      <c r="G434" s="23"/>
      <c r="H434" s="23"/>
      <c r="I434" s="23"/>
      <c r="J434" s="23"/>
      <c r="K434" s="23"/>
      <c r="L434" s="23"/>
      <c r="M434" s="36"/>
      <c r="N434" s="23"/>
      <c r="O434" s="23"/>
      <c r="P434" s="23"/>
      <c r="Q434" s="23"/>
      <c r="R434" s="23"/>
      <c r="S434" s="23"/>
      <c r="T434" s="23"/>
      <c r="U434" s="23"/>
      <c r="V434" s="36"/>
      <c r="W434" s="42"/>
      <c r="X434" s="42"/>
      <c r="Y434" s="23"/>
      <c r="Z434" s="42"/>
      <c r="AA434" s="42"/>
      <c r="AB434" s="23"/>
      <c r="AC434" s="23"/>
      <c r="AD434" s="23"/>
      <c r="AE434" s="36"/>
      <c r="AF434" s="23"/>
    </row>
    <row r="435" spans="1:32" ht="15.75" x14ac:dyDescent="0.25">
      <c r="A435" s="44"/>
      <c r="B435" s="23"/>
      <c r="C435" s="23"/>
      <c r="D435" s="36"/>
      <c r="E435" s="23"/>
      <c r="F435" s="23"/>
      <c r="G435" s="23"/>
      <c r="H435" s="23"/>
      <c r="I435" s="23"/>
      <c r="J435" s="23"/>
      <c r="K435" s="23"/>
      <c r="L435" s="23"/>
      <c r="M435" s="36"/>
      <c r="N435" s="23"/>
      <c r="O435" s="23"/>
      <c r="P435" s="23"/>
      <c r="Q435" s="23"/>
      <c r="R435" s="23"/>
      <c r="S435" s="23"/>
      <c r="T435" s="23"/>
      <c r="U435" s="23"/>
      <c r="V435" s="36"/>
      <c r="W435" s="42"/>
      <c r="X435" s="42"/>
      <c r="Y435" s="23"/>
      <c r="Z435" s="42"/>
      <c r="AA435" s="42"/>
      <c r="AB435" s="23"/>
      <c r="AC435" s="23"/>
      <c r="AD435" s="23"/>
      <c r="AE435" s="36"/>
      <c r="AF435" s="23"/>
    </row>
    <row r="436" spans="1:32" ht="15.75" x14ac:dyDescent="0.25">
      <c r="A436" s="44"/>
      <c r="B436" s="23"/>
      <c r="C436" s="23"/>
      <c r="D436" s="36"/>
      <c r="E436" s="23"/>
      <c r="F436" s="23"/>
      <c r="G436" s="23"/>
      <c r="H436" s="23"/>
      <c r="I436" s="23"/>
      <c r="J436" s="23"/>
      <c r="K436" s="23"/>
      <c r="L436" s="23"/>
      <c r="M436" s="36"/>
      <c r="N436" s="23"/>
      <c r="O436" s="23"/>
      <c r="P436" s="23"/>
      <c r="Q436" s="23"/>
      <c r="R436" s="23"/>
      <c r="S436" s="23"/>
      <c r="T436" s="23"/>
      <c r="U436" s="23"/>
      <c r="V436" s="36"/>
      <c r="W436" s="42"/>
      <c r="X436" s="42"/>
      <c r="Y436" s="23"/>
      <c r="Z436" s="42"/>
      <c r="AA436" s="42"/>
      <c r="AB436" s="23"/>
      <c r="AC436" s="23"/>
      <c r="AD436" s="23"/>
      <c r="AE436" s="36"/>
      <c r="AF436" s="23"/>
    </row>
    <row r="437" spans="1:32" ht="15.75" x14ac:dyDescent="0.25">
      <c r="A437" s="44"/>
      <c r="B437" s="23"/>
      <c r="C437" s="23"/>
      <c r="D437" s="36"/>
      <c r="E437" s="23"/>
      <c r="F437" s="23"/>
      <c r="G437" s="23"/>
      <c r="H437" s="23"/>
      <c r="I437" s="23"/>
      <c r="J437" s="23"/>
      <c r="K437" s="23"/>
      <c r="L437" s="23"/>
      <c r="M437" s="36"/>
      <c r="N437" s="23"/>
      <c r="O437" s="23"/>
      <c r="P437" s="23"/>
      <c r="Q437" s="23"/>
      <c r="R437" s="23"/>
      <c r="S437" s="23"/>
      <c r="T437" s="23"/>
      <c r="U437" s="23"/>
      <c r="V437" s="36"/>
      <c r="W437" s="42"/>
      <c r="X437" s="42"/>
      <c r="Y437" s="23"/>
      <c r="Z437" s="42"/>
      <c r="AA437" s="42"/>
      <c r="AB437" s="23"/>
      <c r="AC437" s="23"/>
      <c r="AD437" s="23"/>
      <c r="AE437" s="36"/>
      <c r="AF437" s="23"/>
    </row>
    <row r="438" spans="1:32" ht="15.75" x14ac:dyDescent="0.25">
      <c r="A438" s="44"/>
      <c r="B438" s="23"/>
      <c r="C438" s="23"/>
      <c r="D438" s="36"/>
      <c r="E438" s="23"/>
      <c r="F438" s="23"/>
      <c r="G438" s="23"/>
      <c r="H438" s="23"/>
      <c r="I438" s="23"/>
      <c r="J438" s="23"/>
      <c r="K438" s="23"/>
      <c r="L438" s="23"/>
      <c r="M438" s="36"/>
      <c r="N438" s="23"/>
      <c r="O438" s="23"/>
      <c r="P438" s="23"/>
      <c r="Q438" s="23"/>
      <c r="R438" s="23"/>
      <c r="S438" s="23"/>
      <c r="T438" s="23"/>
      <c r="U438" s="23"/>
      <c r="V438" s="36"/>
      <c r="W438" s="42"/>
      <c r="X438" s="42"/>
      <c r="Y438" s="23"/>
      <c r="Z438" s="42"/>
      <c r="AA438" s="42"/>
      <c r="AB438" s="23"/>
      <c r="AC438" s="23"/>
      <c r="AD438" s="23"/>
      <c r="AE438" s="36"/>
      <c r="AF438" s="23"/>
    </row>
    <row r="439" spans="1:32" ht="15.75" x14ac:dyDescent="0.25">
      <c r="A439" s="44"/>
      <c r="B439" s="23"/>
      <c r="C439" s="23"/>
      <c r="D439" s="36"/>
      <c r="E439" s="23"/>
      <c r="F439" s="23"/>
      <c r="G439" s="23"/>
      <c r="H439" s="23"/>
      <c r="I439" s="23"/>
      <c r="J439" s="23"/>
      <c r="K439" s="23"/>
      <c r="L439" s="23"/>
      <c r="M439" s="36"/>
      <c r="N439" s="23"/>
      <c r="O439" s="23"/>
      <c r="P439" s="23"/>
      <c r="Q439" s="23"/>
      <c r="R439" s="23"/>
      <c r="S439" s="23"/>
      <c r="T439" s="23"/>
      <c r="U439" s="23"/>
      <c r="V439" s="36"/>
      <c r="W439" s="42"/>
      <c r="X439" s="42"/>
      <c r="Y439" s="23"/>
      <c r="Z439" s="42"/>
      <c r="AA439" s="42"/>
      <c r="AB439" s="23"/>
      <c r="AC439" s="23"/>
      <c r="AD439" s="23"/>
      <c r="AE439" s="36"/>
      <c r="AF439" s="23"/>
    </row>
    <row r="440" spans="1:32" ht="15.75" x14ac:dyDescent="0.25">
      <c r="A440" s="44"/>
      <c r="B440" s="23"/>
      <c r="C440" s="23"/>
      <c r="D440" s="36"/>
      <c r="E440" s="23"/>
      <c r="F440" s="23"/>
      <c r="G440" s="23"/>
      <c r="H440" s="23"/>
      <c r="I440" s="23"/>
      <c r="J440" s="23"/>
      <c r="K440" s="23"/>
      <c r="L440" s="23"/>
      <c r="M440" s="36"/>
      <c r="N440" s="23"/>
      <c r="O440" s="23"/>
      <c r="P440" s="23"/>
      <c r="Q440" s="23"/>
      <c r="R440" s="23"/>
      <c r="S440" s="23"/>
      <c r="T440" s="23"/>
      <c r="U440" s="23"/>
      <c r="V440" s="36"/>
      <c r="W440" s="42"/>
      <c r="X440" s="42"/>
      <c r="Y440" s="23"/>
      <c r="Z440" s="42"/>
      <c r="AA440" s="42"/>
      <c r="AB440" s="23"/>
      <c r="AC440" s="23"/>
      <c r="AD440" s="23"/>
      <c r="AE440" s="36"/>
      <c r="AF440" s="23"/>
    </row>
    <row r="441" spans="1:32" ht="15.75" x14ac:dyDescent="0.25">
      <c r="A441" s="44"/>
      <c r="B441" s="23"/>
      <c r="C441" s="23"/>
      <c r="D441" s="36"/>
      <c r="E441" s="23"/>
      <c r="F441" s="23"/>
      <c r="G441" s="23"/>
      <c r="H441" s="23"/>
      <c r="I441" s="23"/>
      <c r="J441" s="23"/>
      <c r="K441" s="23"/>
      <c r="L441" s="23"/>
      <c r="M441" s="36"/>
      <c r="N441" s="23"/>
      <c r="O441" s="23"/>
      <c r="P441" s="23"/>
      <c r="Q441" s="23"/>
      <c r="R441" s="23"/>
      <c r="S441" s="23"/>
      <c r="T441" s="23"/>
      <c r="U441" s="23"/>
      <c r="V441" s="36"/>
      <c r="W441" s="42"/>
      <c r="X441" s="42"/>
      <c r="Y441" s="23"/>
      <c r="Z441" s="42"/>
      <c r="AA441" s="42"/>
      <c r="AB441" s="23"/>
      <c r="AC441" s="23"/>
      <c r="AD441" s="23"/>
      <c r="AE441" s="36"/>
      <c r="AF441" s="23"/>
    </row>
    <row r="442" spans="1:32" ht="15.75" x14ac:dyDescent="0.25">
      <c r="A442" s="44"/>
      <c r="B442" s="23"/>
      <c r="C442" s="23"/>
      <c r="D442" s="36"/>
      <c r="E442" s="23"/>
      <c r="F442" s="23"/>
      <c r="G442" s="23"/>
      <c r="H442" s="23"/>
      <c r="I442" s="23"/>
      <c r="J442" s="23"/>
      <c r="K442" s="23"/>
      <c r="L442" s="23"/>
      <c r="M442" s="36"/>
      <c r="N442" s="23"/>
      <c r="O442" s="23"/>
      <c r="P442" s="23"/>
      <c r="Q442" s="23"/>
      <c r="R442" s="23"/>
      <c r="S442" s="23"/>
      <c r="T442" s="23"/>
      <c r="U442" s="23"/>
      <c r="V442" s="36"/>
      <c r="W442" s="42"/>
      <c r="X442" s="42"/>
      <c r="Y442" s="23"/>
      <c r="Z442" s="42"/>
      <c r="AA442" s="42"/>
      <c r="AB442" s="23"/>
      <c r="AC442" s="23"/>
      <c r="AD442" s="23"/>
      <c r="AE442" s="36"/>
      <c r="AF442" s="23"/>
    </row>
    <row r="443" spans="1:32" ht="15.75" x14ac:dyDescent="0.25">
      <c r="A443" s="44"/>
      <c r="B443" s="23"/>
      <c r="C443" s="23"/>
      <c r="D443" s="36"/>
      <c r="E443" s="23"/>
      <c r="F443" s="23"/>
      <c r="G443" s="23"/>
      <c r="H443" s="23"/>
      <c r="I443" s="23"/>
      <c r="J443" s="23"/>
      <c r="K443" s="23"/>
      <c r="L443" s="23"/>
      <c r="M443" s="36"/>
      <c r="N443" s="23"/>
      <c r="O443" s="23"/>
      <c r="P443" s="23"/>
      <c r="Q443" s="23"/>
      <c r="R443" s="23"/>
      <c r="S443" s="23"/>
      <c r="T443" s="23"/>
      <c r="U443" s="23"/>
      <c r="V443" s="36"/>
      <c r="W443" s="42"/>
      <c r="X443" s="42"/>
      <c r="Y443" s="23"/>
      <c r="Z443" s="42"/>
      <c r="AA443" s="42"/>
      <c r="AB443" s="23"/>
      <c r="AC443" s="23"/>
      <c r="AD443" s="23"/>
      <c r="AE443" s="36"/>
      <c r="AF443" s="23"/>
    </row>
    <row r="444" spans="1:32" ht="15.75" x14ac:dyDescent="0.25">
      <c r="A444" s="44"/>
      <c r="B444" s="23"/>
      <c r="C444" s="23"/>
      <c r="D444" s="36"/>
      <c r="E444" s="23"/>
      <c r="F444" s="23"/>
      <c r="G444" s="23"/>
      <c r="H444" s="23"/>
      <c r="I444" s="23"/>
      <c r="J444" s="23"/>
      <c r="K444" s="23"/>
      <c r="L444" s="23"/>
      <c r="M444" s="36"/>
      <c r="N444" s="23"/>
      <c r="O444" s="23"/>
      <c r="P444" s="23"/>
      <c r="Q444" s="23"/>
      <c r="R444" s="23"/>
      <c r="S444" s="23"/>
      <c r="T444" s="23"/>
      <c r="U444" s="23"/>
      <c r="V444" s="36"/>
      <c r="W444" s="42"/>
      <c r="X444" s="42"/>
      <c r="Y444" s="23"/>
      <c r="Z444" s="42"/>
      <c r="AA444" s="42"/>
      <c r="AB444" s="23"/>
      <c r="AC444" s="23"/>
      <c r="AD444" s="23"/>
      <c r="AE444" s="36"/>
      <c r="AF444" s="23"/>
    </row>
    <row r="445" spans="1:32" ht="15.75" x14ac:dyDescent="0.25">
      <c r="A445" s="44"/>
      <c r="B445" s="23"/>
      <c r="C445" s="23"/>
      <c r="D445" s="36"/>
      <c r="E445" s="23"/>
      <c r="F445" s="23"/>
      <c r="G445" s="23"/>
      <c r="H445" s="23"/>
      <c r="I445" s="23"/>
      <c r="J445" s="23"/>
      <c r="K445" s="23"/>
      <c r="L445" s="23"/>
      <c r="M445" s="36"/>
      <c r="N445" s="23"/>
      <c r="O445" s="23"/>
      <c r="P445" s="23"/>
      <c r="Q445" s="23"/>
      <c r="R445" s="23"/>
      <c r="S445" s="23"/>
      <c r="T445" s="23"/>
      <c r="U445" s="23"/>
      <c r="V445" s="36"/>
      <c r="W445" s="42"/>
      <c r="X445" s="42"/>
      <c r="Y445" s="23"/>
      <c r="Z445" s="42"/>
      <c r="AA445" s="42"/>
      <c r="AB445" s="23"/>
      <c r="AC445" s="23"/>
      <c r="AD445" s="23"/>
      <c r="AE445" s="36"/>
      <c r="AF445" s="23"/>
    </row>
    <row r="446" spans="1:32" ht="15.75" x14ac:dyDescent="0.25">
      <c r="A446" s="44"/>
      <c r="B446" s="23"/>
      <c r="C446" s="23"/>
      <c r="D446" s="36"/>
      <c r="E446" s="23"/>
      <c r="F446" s="23"/>
      <c r="G446" s="23"/>
      <c r="H446" s="23"/>
      <c r="I446" s="23"/>
      <c r="J446" s="23"/>
      <c r="K446" s="23"/>
      <c r="L446" s="23"/>
      <c r="M446" s="36"/>
      <c r="N446" s="23"/>
      <c r="O446" s="23"/>
      <c r="P446" s="23"/>
      <c r="Q446" s="23"/>
      <c r="R446" s="23"/>
      <c r="S446" s="23"/>
      <c r="T446" s="23"/>
      <c r="U446" s="23"/>
      <c r="V446" s="36"/>
      <c r="W446" s="42"/>
      <c r="X446" s="42"/>
      <c r="Y446" s="23"/>
      <c r="Z446" s="42"/>
      <c r="AA446" s="42"/>
      <c r="AB446" s="23"/>
      <c r="AC446" s="23"/>
      <c r="AD446" s="23"/>
      <c r="AE446" s="36"/>
      <c r="AF446" s="23"/>
    </row>
    <row r="447" spans="1:32" ht="15.75" x14ac:dyDescent="0.25">
      <c r="A447" s="44"/>
      <c r="B447" s="23"/>
      <c r="C447" s="23"/>
      <c r="D447" s="36"/>
      <c r="E447" s="23"/>
      <c r="F447" s="23"/>
      <c r="G447" s="23"/>
      <c r="H447" s="23"/>
      <c r="I447" s="23"/>
      <c r="J447" s="23"/>
      <c r="K447" s="23"/>
      <c r="L447" s="23"/>
      <c r="M447" s="36"/>
      <c r="N447" s="23"/>
      <c r="O447" s="23"/>
      <c r="P447" s="23"/>
      <c r="Q447" s="23"/>
      <c r="R447" s="23"/>
      <c r="S447" s="23"/>
      <c r="T447" s="23"/>
      <c r="U447" s="23"/>
      <c r="V447" s="36"/>
      <c r="W447" s="42"/>
      <c r="X447" s="42"/>
      <c r="Y447" s="23"/>
      <c r="Z447" s="42"/>
      <c r="AA447" s="42"/>
      <c r="AB447" s="23"/>
      <c r="AC447" s="23"/>
      <c r="AD447" s="23"/>
      <c r="AE447" s="36"/>
      <c r="AF447" s="23"/>
    </row>
    <row r="448" spans="1:32" ht="15.75" x14ac:dyDescent="0.25">
      <c r="A448" s="44"/>
      <c r="B448" s="23"/>
      <c r="C448" s="23"/>
      <c r="D448" s="36"/>
      <c r="E448" s="23"/>
      <c r="F448" s="23"/>
      <c r="G448" s="23"/>
      <c r="H448" s="23"/>
      <c r="I448" s="23"/>
      <c r="J448" s="23"/>
      <c r="K448" s="23"/>
      <c r="L448" s="23"/>
      <c r="M448" s="36"/>
      <c r="N448" s="23"/>
      <c r="O448" s="23"/>
      <c r="P448" s="23"/>
      <c r="Q448" s="23"/>
      <c r="R448" s="23"/>
      <c r="S448" s="23"/>
      <c r="T448" s="23"/>
      <c r="U448" s="23"/>
      <c r="V448" s="36"/>
      <c r="W448" s="42"/>
      <c r="X448" s="42"/>
      <c r="Y448" s="23"/>
      <c r="Z448" s="42"/>
      <c r="AA448" s="42"/>
      <c r="AB448" s="23"/>
      <c r="AC448" s="23"/>
      <c r="AD448" s="23"/>
      <c r="AE448" s="36"/>
      <c r="AF448" s="23"/>
    </row>
    <row r="449" spans="1:32" ht="15.75" x14ac:dyDescent="0.25">
      <c r="A449" s="44"/>
      <c r="B449" s="23"/>
      <c r="C449" s="23"/>
      <c r="D449" s="36"/>
      <c r="E449" s="23"/>
      <c r="F449" s="23"/>
      <c r="G449" s="23"/>
      <c r="H449" s="23"/>
      <c r="I449" s="23"/>
      <c r="J449" s="23"/>
      <c r="K449" s="23"/>
      <c r="L449" s="23"/>
      <c r="M449" s="36"/>
      <c r="N449" s="23"/>
      <c r="O449" s="23"/>
      <c r="P449" s="23"/>
      <c r="Q449" s="23"/>
      <c r="R449" s="23"/>
      <c r="S449" s="23"/>
      <c r="T449" s="23"/>
      <c r="U449" s="23"/>
      <c r="V449" s="36"/>
      <c r="W449" s="42"/>
      <c r="X449" s="42"/>
      <c r="Y449" s="23"/>
      <c r="Z449" s="42"/>
      <c r="AA449" s="42"/>
      <c r="AB449" s="23"/>
      <c r="AC449" s="23"/>
      <c r="AD449" s="23"/>
      <c r="AE449" s="36"/>
      <c r="AF449" s="23"/>
    </row>
    <row r="450" spans="1:32" ht="15.75" x14ac:dyDescent="0.25">
      <c r="A450" s="44"/>
      <c r="B450" s="23"/>
      <c r="C450" s="23"/>
      <c r="D450" s="36"/>
      <c r="E450" s="23"/>
      <c r="F450" s="23"/>
      <c r="G450" s="23"/>
      <c r="H450" s="23"/>
      <c r="I450" s="23"/>
      <c r="J450" s="23"/>
      <c r="K450" s="23"/>
      <c r="L450" s="23"/>
      <c r="M450" s="36"/>
      <c r="N450" s="23"/>
      <c r="O450" s="23"/>
      <c r="P450" s="23"/>
      <c r="Q450" s="23"/>
      <c r="R450" s="23"/>
      <c r="S450" s="23"/>
      <c r="T450" s="23"/>
      <c r="U450" s="23"/>
      <c r="V450" s="36"/>
      <c r="W450" s="42"/>
      <c r="X450" s="42"/>
      <c r="Y450" s="23"/>
      <c r="Z450" s="42"/>
      <c r="AA450" s="42"/>
      <c r="AB450" s="23"/>
      <c r="AC450" s="23"/>
      <c r="AD450" s="23"/>
      <c r="AE450" s="36"/>
      <c r="AF450" s="23"/>
    </row>
    <row r="451" spans="1:32" ht="15.75" x14ac:dyDescent="0.25">
      <c r="A451" s="44"/>
      <c r="B451" s="23"/>
      <c r="C451" s="23"/>
      <c r="D451" s="36"/>
      <c r="E451" s="23"/>
      <c r="F451" s="23"/>
      <c r="G451" s="23"/>
      <c r="H451" s="23"/>
      <c r="I451" s="23"/>
      <c r="J451" s="23"/>
      <c r="K451" s="23"/>
      <c r="L451" s="23"/>
      <c r="M451" s="36"/>
      <c r="N451" s="23"/>
      <c r="O451" s="23"/>
      <c r="P451" s="23"/>
      <c r="Q451" s="23"/>
      <c r="R451" s="23"/>
      <c r="S451" s="23"/>
      <c r="T451" s="23"/>
      <c r="U451" s="23"/>
      <c r="V451" s="36"/>
      <c r="W451" s="42"/>
      <c r="X451" s="42"/>
      <c r="Y451" s="23"/>
      <c r="Z451" s="42"/>
      <c r="AA451" s="42"/>
      <c r="AB451" s="23"/>
      <c r="AC451" s="23"/>
      <c r="AD451" s="23"/>
      <c r="AE451" s="36"/>
      <c r="AF451" s="23"/>
    </row>
    <row r="452" spans="1:32" ht="15.75" x14ac:dyDescent="0.25">
      <c r="A452" s="44"/>
      <c r="B452" s="23"/>
      <c r="C452" s="23"/>
      <c r="D452" s="36"/>
      <c r="E452" s="23"/>
      <c r="F452" s="23"/>
      <c r="G452" s="23"/>
      <c r="H452" s="23"/>
      <c r="I452" s="23"/>
      <c r="J452" s="23"/>
      <c r="K452" s="23"/>
      <c r="L452" s="23"/>
      <c r="M452" s="36"/>
      <c r="N452" s="23"/>
      <c r="O452" s="23"/>
      <c r="P452" s="23"/>
      <c r="Q452" s="23"/>
      <c r="R452" s="23"/>
      <c r="S452" s="23"/>
      <c r="T452" s="23"/>
      <c r="U452" s="23"/>
      <c r="V452" s="36"/>
      <c r="W452" s="42"/>
      <c r="X452" s="42"/>
      <c r="Y452" s="23"/>
      <c r="Z452" s="42"/>
      <c r="AA452" s="42"/>
      <c r="AB452" s="23"/>
      <c r="AC452" s="23"/>
      <c r="AD452" s="23"/>
      <c r="AE452" s="36"/>
      <c r="AF452" s="23"/>
    </row>
    <row r="453" spans="1:32" ht="15.75" x14ac:dyDescent="0.25">
      <c r="A453" s="44"/>
      <c r="B453" s="23"/>
      <c r="C453" s="23"/>
      <c r="D453" s="36"/>
      <c r="E453" s="23"/>
      <c r="F453" s="23"/>
      <c r="G453" s="23"/>
      <c r="H453" s="23"/>
      <c r="I453" s="23"/>
      <c r="J453" s="23"/>
      <c r="K453" s="23"/>
      <c r="L453" s="23"/>
      <c r="M453" s="36"/>
      <c r="N453" s="23"/>
      <c r="O453" s="23"/>
      <c r="P453" s="23"/>
      <c r="Q453" s="23"/>
      <c r="R453" s="23"/>
      <c r="S453" s="23"/>
      <c r="T453" s="23"/>
      <c r="U453" s="23"/>
      <c r="V453" s="36"/>
      <c r="W453" s="42"/>
      <c r="X453" s="42"/>
      <c r="Y453" s="23"/>
      <c r="Z453" s="42"/>
      <c r="AA453" s="42"/>
      <c r="AB453" s="23"/>
      <c r="AC453" s="23"/>
      <c r="AD453" s="23"/>
      <c r="AE453" s="36"/>
      <c r="AF453" s="23"/>
    </row>
    <row r="454" spans="1:32" ht="15.75" x14ac:dyDescent="0.25">
      <c r="A454" s="44"/>
      <c r="B454" s="23"/>
      <c r="C454" s="23"/>
      <c r="D454" s="36"/>
      <c r="E454" s="23"/>
      <c r="F454" s="23"/>
      <c r="G454" s="23"/>
      <c r="H454" s="23"/>
      <c r="I454" s="23"/>
      <c r="J454" s="23"/>
      <c r="K454" s="23"/>
      <c r="L454" s="23"/>
      <c r="M454" s="36"/>
      <c r="N454" s="23"/>
      <c r="O454" s="23"/>
      <c r="P454" s="23"/>
      <c r="Q454" s="23"/>
      <c r="R454" s="23"/>
      <c r="S454" s="23"/>
      <c r="T454" s="23"/>
      <c r="U454" s="23"/>
      <c r="V454" s="36"/>
      <c r="W454" s="42"/>
      <c r="X454" s="42"/>
      <c r="Y454" s="23"/>
      <c r="Z454" s="42"/>
      <c r="AA454" s="42"/>
      <c r="AB454" s="23"/>
      <c r="AC454" s="23"/>
      <c r="AD454" s="23"/>
      <c r="AE454" s="36"/>
      <c r="AF454" s="23"/>
    </row>
    <row r="455" spans="1:32" ht="15.75" x14ac:dyDescent="0.25">
      <c r="A455" s="44"/>
      <c r="B455" s="23"/>
      <c r="C455" s="23"/>
      <c r="D455" s="36"/>
      <c r="E455" s="23"/>
      <c r="F455" s="23"/>
      <c r="G455" s="23"/>
      <c r="H455" s="23"/>
      <c r="I455" s="23"/>
      <c r="J455" s="23"/>
      <c r="K455" s="23"/>
      <c r="L455" s="23"/>
      <c r="M455" s="36"/>
      <c r="N455" s="23"/>
      <c r="O455" s="23"/>
      <c r="P455" s="23"/>
      <c r="Q455" s="23"/>
      <c r="R455" s="23"/>
      <c r="S455" s="23"/>
      <c r="T455" s="23"/>
      <c r="U455" s="23"/>
      <c r="V455" s="36"/>
      <c r="W455" s="42"/>
      <c r="X455" s="42"/>
      <c r="Y455" s="23"/>
      <c r="Z455" s="42"/>
      <c r="AA455" s="42"/>
      <c r="AB455" s="23"/>
      <c r="AC455" s="23"/>
      <c r="AD455" s="23"/>
      <c r="AE455" s="36"/>
      <c r="AF455" s="23"/>
    </row>
    <row r="456" spans="1:32" ht="15.75" x14ac:dyDescent="0.25">
      <c r="A456" s="44"/>
      <c r="B456" s="23"/>
      <c r="C456" s="23"/>
      <c r="D456" s="36"/>
      <c r="E456" s="23"/>
      <c r="F456" s="23"/>
      <c r="G456" s="23"/>
      <c r="H456" s="23"/>
      <c r="I456" s="23"/>
      <c r="J456" s="23"/>
      <c r="K456" s="23"/>
      <c r="L456" s="23"/>
      <c r="M456" s="36"/>
      <c r="N456" s="23"/>
      <c r="O456" s="23"/>
      <c r="P456" s="23"/>
      <c r="Q456" s="23"/>
      <c r="R456" s="23"/>
      <c r="S456" s="23"/>
      <c r="T456" s="23"/>
      <c r="U456" s="23"/>
      <c r="V456" s="36"/>
      <c r="W456" s="42"/>
      <c r="X456" s="42"/>
      <c r="Y456" s="23"/>
      <c r="Z456" s="42"/>
      <c r="AA456" s="42"/>
      <c r="AB456" s="23"/>
      <c r="AC456" s="23"/>
      <c r="AD456" s="23"/>
      <c r="AE456" s="36"/>
      <c r="AF456" s="23"/>
    </row>
    <row r="457" spans="1:32" ht="15.75" x14ac:dyDescent="0.25">
      <c r="A457" s="44"/>
      <c r="B457" s="23"/>
      <c r="C457" s="23"/>
      <c r="D457" s="36"/>
      <c r="E457" s="23"/>
      <c r="F457" s="23"/>
      <c r="G457" s="23"/>
      <c r="H457" s="23"/>
      <c r="I457" s="23"/>
      <c r="J457" s="23"/>
      <c r="K457" s="23"/>
      <c r="L457" s="23"/>
      <c r="M457" s="36"/>
      <c r="N457" s="23"/>
      <c r="O457" s="23"/>
      <c r="P457" s="23"/>
      <c r="Q457" s="23"/>
      <c r="R457" s="23"/>
      <c r="S457" s="23"/>
      <c r="T457" s="23"/>
      <c r="U457" s="23"/>
      <c r="V457" s="36"/>
      <c r="W457" s="42"/>
      <c r="X457" s="42"/>
      <c r="Y457" s="23"/>
      <c r="Z457" s="42"/>
      <c r="AA457" s="42"/>
      <c r="AB457" s="23"/>
      <c r="AC457" s="23"/>
      <c r="AD457" s="23"/>
      <c r="AE457" s="36"/>
      <c r="AF457" s="23"/>
    </row>
    <row r="458" spans="1:32" ht="15.75" x14ac:dyDescent="0.25">
      <c r="A458" s="44"/>
      <c r="B458" s="23"/>
      <c r="C458" s="23"/>
      <c r="D458" s="36"/>
      <c r="E458" s="23"/>
      <c r="F458" s="23"/>
      <c r="G458" s="23"/>
      <c r="H458" s="23"/>
      <c r="I458" s="23"/>
      <c r="J458" s="23"/>
      <c r="K458" s="23"/>
      <c r="L458" s="23"/>
      <c r="M458" s="36"/>
      <c r="N458" s="23"/>
      <c r="O458" s="23"/>
      <c r="P458" s="23"/>
      <c r="Q458" s="23"/>
      <c r="R458" s="23"/>
      <c r="S458" s="23"/>
      <c r="T458" s="23"/>
      <c r="U458" s="23"/>
      <c r="V458" s="36"/>
      <c r="W458" s="42"/>
      <c r="X458" s="42"/>
      <c r="Y458" s="23"/>
      <c r="Z458" s="42"/>
      <c r="AA458" s="42"/>
      <c r="AB458" s="23"/>
      <c r="AC458" s="23"/>
      <c r="AD458" s="23"/>
      <c r="AE458" s="36"/>
      <c r="AF458" s="23"/>
    </row>
    <row r="459" spans="1:32" ht="15.75" x14ac:dyDescent="0.25">
      <c r="A459" s="44"/>
      <c r="B459" s="23"/>
      <c r="C459" s="23"/>
      <c r="D459" s="36"/>
      <c r="E459" s="23"/>
      <c r="F459" s="23"/>
      <c r="G459" s="23"/>
      <c r="H459" s="23"/>
      <c r="I459" s="23"/>
      <c r="J459" s="23"/>
      <c r="K459" s="23"/>
      <c r="L459" s="23"/>
      <c r="M459" s="36"/>
      <c r="N459" s="23"/>
      <c r="O459" s="23"/>
      <c r="P459" s="23"/>
      <c r="Q459" s="23"/>
      <c r="R459" s="23"/>
      <c r="S459" s="23"/>
      <c r="T459" s="23"/>
      <c r="U459" s="23"/>
      <c r="V459" s="36"/>
      <c r="W459" s="42"/>
      <c r="X459" s="42"/>
      <c r="Y459" s="23"/>
      <c r="Z459" s="42"/>
      <c r="AA459" s="42"/>
      <c r="AB459" s="23"/>
      <c r="AC459" s="23"/>
      <c r="AD459" s="23"/>
      <c r="AE459" s="36"/>
      <c r="AF459" s="23"/>
    </row>
    <row r="460" spans="1:32" ht="15.75" x14ac:dyDescent="0.25">
      <c r="A460" s="44"/>
      <c r="B460" s="23"/>
      <c r="C460" s="23"/>
      <c r="D460" s="36"/>
      <c r="E460" s="23"/>
      <c r="F460" s="23"/>
      <c r="G460" s="23"/>
      <c r="H460" s="23"/>
      <c r="I460" s="23"/>
      <c r="J460" s="23"/>
      <c r="K460" s="23"/>
      <c r="L460" s="23"/>
      <c r="M460" s="36"/>
      <c r="N460" s="23"/>
      <c r="O460" s="23"/>
      <c r="P460" s="23"/>
      <c r="Q460" s="23"/>
      <c r="R460" s="23"/>
      <c r="S460" s="23"/>
      <c r="T460" s="23"/>
      <c r="U460" s="23"/>
      <c r="V460" s="36"/>
      <c r="W460" s="42"/>
      <c r="X460" s="42"/>
      <c r="Y460" s="23"/>
      <c r="Z460" s="42"/>
      <c r="AA460" s="42"/>
      <c r="AB460" s="23"/>
      <c r="AC460" s="23"/>
      <c r="AD460" s="23"/>
      <c r="AE460" s="36"/>
      <c r="AF460" s="23"/>
    </row>
    <row r="461" spans="1:32" ht="15.75" x14ac:dyDescent="0.25">
      <c r="A461" s="44"/>
      <c r="B461" s="23"/>
      <c r="C461" s="23"/>
      <c r="D461" s="36"/>
      <c r="E461" s="23"/>
      <c r="F461" s="23"/>
      <c r="G461" s="23"/>
      <c r="H461" s="23"/>
      <c r="I461" s="23"/>
      <c r="J461" s="23"/>
      <c r="K461" s="23"/>
      <c r="L461" s="23"/>
      <c r="M461" s="36"/>
      <c r="N461" s="23"/>
      <c r="O461" s="23"/>
      <c r="P461" s="23"/>
      <c r="Q461" s="23"/>
      <c r="R461" s="23"/>
      <c r="S461" s="23"/>
      <c r="T461" s="23"/>
      <c r="U461" s="23"/>
      <c r="V461" s="36"/>
      <c r="W461" s="42"/>
      <c r="X461" s="42"/>
      <c r="Y461" s="23"/>
      <c r="Z461" s="42"/>
      <c r="AA461" s="42"/>
      <c r="AB461" s="23"/>
      <c r="AC461" s="23"/>
      <c r="AD461" s="23"/>
      <c r="AE461" s="36"/>
      <c r="AF461" s="23"/>
    </row>
    <row r="462" spans="1:32" ht="15.75" x14ac:dyDescent="0.25">
      <c r="A462" s="44"/>
      <c r="B462" s="23"/>
      <c r="C462" s="23"/>
      <c r="D462" s="36"/>
      <c r="E462" s="23"/>
      <c r="F462" s="23"/>
      <c r="G462" s="23"/>
      <c r="H462" s="23"/>
      <c r="I462" s="23"/>
      <c r="J462" s="23"/>
      <c r="K462" s="23"/>
      <c r="L462" s="23"/>
      <c r="M462" s="36"/>
      <c r="N462" s="23"/>
      <c r="O462" s="23"/>
      <c r="P462" s="23"/>
      <c r="Q462" s="23"/>
      <c r="R462" s="23"/>
      <c r="S462" s="23"/>
      <c r="T462" s="23"/>
      <c r="U462" s="23"/>
      <c r="V462" s="36"/>
      <c r="W462" s="42"/>
      <c r="X462" s="42"/>
      <c r="Y462" s="23"/>
      <c r="Z462" s="42"/>
      <c r="AA462" s="42"/>
      <c r="AB462" s="23"/>
      <c r="AC462" s="23"/>
      <c r="AD462" s="23"/>
      <c r="AE462" s="36"/>
      <c r="AF462" s="23"/>
    </row>
    <row r="463" spans="1:32" ht="15.75" x14ac:dyDescent="0.25">
      <c r="A463" s="44"/>
      <c r="B463" s="23"/>
      <c r="C463" s="23"/>
      <c r="D463" s="36"/>
      <c r="E463" s="23"/>
      <c r="F463" s="23"/>
      <c r="G463" s="23"/>
      <c r="H463" s="23"/>
      <c r="I463" s="23"/>
      <c r="J463" s="23"/>
      <c r="K463" s="23"/>
      <c r="L463" s="23"/>
      <c r="M463" s="36"/>
      <c r="N463" s="23"/>
      <c r="O463" s="23"/>
      <c r="P463" s="23"/>
      <c r="Q463" s="23"/>
      <c r="R463" s="23"/>
      <c r="S463" s="23"/>
      <c r="T463" s="23"/>
      <c r="U463" s="23"/>
      <c r="V463" s="36"/>
      <c r="W463" s="42"/>
      <c r="X463" s="42"/>
      <c r="Y463" s="23"/>
      <c r="Z463" s="42"/>
      <c r="AA463" s="42"/>
      <c r="AB463" s="23"/>
      <c r="AC463" s="23"/>
      <c r="AD463" s="23"/>
      <c r="AE463" s="36"/>
      <c r="AF463" s="23"/>
    </row>
    <row r="464" spans="1:32" ht="15.75" x14ac:dyDescent="0.25">
      <c r="A464" s="44"/>
      <c r="B464" s="23"/>
      <c r="C464" s="23"/>
      <c r="D464" s="36"/>
      <c r="E464" s="23"/>
      <c r="F464" s="23"/>
      <c r="G464" s="23"/>
      <c r="H464" s="23"/>
      <c r="I464" s="23"/>
      <c r="J464" s="23"/>
      <c r="K464" s="23"/>
      <c r="L464" s="23"/>
      <c r="M464" s="36"/>
      <c r="N464" s="23"/>
      <c r="O464" s="23"/>
      <c r="P464" s="23"/>
      <c r="Q464" s="23"/>
      <c r="R464" s="23"/>
      <c r="S464" s="23"/>
      <c r="T464" s="23"/>
      <c r="U464" s="23"/>
      <c r="V464" s="36"/>
      <c r="W464" s="42"/>
      <c r="X464" s="42"/>
      <c r="Y464" s="23"/>
      <c r="Z464" s="42"/>
      <c r="AA464" s="42"/>
      <c r="AB464" s="23"/>
      <c r="AC464" s="23"/>
      <c r="AD464" s="23"/>
      <c r="AE464" s="36"/>
      <c r="AF464" s="23"/>
    </row>
    <row r="465" spans="1:32" ht="15.75" x14ac:dyDescent="0.25">
      <c r="A465" s="44"/>
      <c r="B465" s="23"/>
      <c r="C465" s="23"/>
      <c r="D465" s="36"/>
      <c r="E465" s="23"/>
      <c r="F465" s="23"/>
      <c r="G465" s="23"/>
      <c r="H465" s="23"/>
      <c r="I465" s="23"/>
      <c r="J465" s="23"/>
      <c r="K465" s="23"/>
      <c r="L465" s="23"/>
      <c r="M465" s="36"/>
      <c r="N465" s="23"/>
      <c r="O465" s="23"/>
      <c r="P465" s="23"/>
      <c r="Q465" s="23"/>
      <c r="R465" s="23"/>
      <c r="S465" s="23"/>
      <c r="T465" s="23"/>
      <c r="U465" s="23"/>
      <c r="V465" s="36"/>
      <c r="W465" s="42"/>
      <c r="X465" s="42"/>
      <c r="Y465" s="23"/>
      <c r="Z465" s="42"/>
      <c r="AA465" s="42"/>
      <c r="AB465" s="23"/>
      <c r="AC465" s="23"/>
      <c r="AD465" s="23"/>
      <c r="AE465" s="36"/>
      <c r="AF465" s="23"/>
    </row>
    <row r="466" spans="1:32" ht="15.75" x14ac:dyDescent="0.25">
      <c r="A466" s="44"/>
      <c r="B466" s="23"/>
      <c r="C466" s="23"/>
      <c r="D466" s="36"/>
      <c r="E466" s="23"/>
      <c r="F466" s="23"/>
      <c r="G466" s="23"/>
      <c r="H466" s="23"/>
      <c r="I466" s="23"/>
      <c r="J466" s="23"/>
      <c r="K466" s="23"/>
      <c r="L466" s="23"/>
      <c r="M466" s="36"/>
      <c r="N466" s="23"/>
      <c r="O466" s="23"/>
      <c r="P466" s="23"/>
      <c r="Q466" s="23"/>
      <c r="R466" s="23"/>
      <c r="S466" s="23"/>
      <c r="T466" s="23"/>
      <c r="U466" s="23"/>
      <c r="V466" s="36"/>
      <c r="W466" s="42"/>
      <c r="X466" s="42"/>
      <c r="Y466" s="23"/>
      <c r="Z466" s="42"/>
      <c r="AA466" s="42"/>
      <c r="AB466" s="23"/>
      <c r="AC466" s="23"/>
      <c r="AD466" s="23"/>
      <c r="AE466" s="36"/>
      <c r="AF466" s="23"/>
    </row>
    <row r="467" spans="1:32" ht="15.75" x14ac:dyDescent="0.25">
      <c r="A467" s="44"/>
      <c r="B467" s="23"/>
      <c r="C467" s="23"/>
      <c r="D467" s="36"/>
      <c r="E467" s="23"/>
      <c r="F467" s="23"/>
      <c r="G467" s="23"/>
      <c r="H467" s="23"/>
      <c r="I467" s="23"/>
      <c r="J467" s="23"/>
      <c r="K467" s="23"/>
      <c r="L467" s="23"/>
      <c r="M467" s="36"/>
      <c r="N467" s="23"/>
      <c r="O467" s="23"/>
      <c r="P467" s="23"/>
      <c r="Q467" s="23"/>
      <c r="R467" s="23"/>
      <c r="S467" s="23"/>
      <c r="T467" s="23"/>
      <c r="U467" s="23"/>
      <c r="V467" s="36"/>
      <c r="W467" s="42"/>
      <c r="X467" s="42"/>
      <c r="Y467" s="23"/>
      <c r="Z467" s="42"/>
      <c r="AA467" s="42"/>
      <c r="AB467" s="23"/>
      <c r="AC467" s="23"/>
      <c r="AD467" s="23"/>
      <c r="AE467" s="36"/>
      <c r="AF467" s="23"/>
    </row>
    <row r="468" spans="1:32" ht="15.75" x14ac:dyDescent="0.25">
      <c r="A468" s="44"/>
      <c r="B468" s="23"/>
      <c r="C468" s="23"/>
      <c r="D468" s="36"/>
      <c r="E468" s="23"/>
      <c r="F468" s="23"/>
      <c r="G468" s="23"/>
      <c r="H468" s="23"/>
      <c r="I468" s="23"/>
      <c r="J468" s="23"/>
      <c r="K468" s="23"/>
      <c r="L468" s="23"/>
      <c r="M468" s="36"/>
      <c r="N468" s="23"/>
      <c r="O468" s="23"/>
      <c r="P468" s="23"/>
      <c r="Q468" s="23"/>
      <c r="R468" s="23"/>
      <c r="S468" s="23"/>
      <c r="T468" s="23"/>
      <c r="U468" s="23"/>
      <c r="V468" s="36"/>
      <c r="W468" s="42"/>
      <c r="X468" s="42"/>
      <c r="Y468" s="23"/>
      <c r="Z468" s="42"/>
      <c r="AA468" s="42"/>
      <c r="AB468" s="23"/>
      <c r="AC468" s="23"/>
      <c r="AD468" s="23"/>
      <c r="AE468" s="36"/>
      <c r="AF468" s="23"/>
    </row>
    <row r="469" spans="1:32" ht="15.75" x14ac:dyDescent="0.25">
      <c r="A469" s="44"/>
      <c r="B469" s="23"/>
      <c r="C469" s="23"/>
      <c r="D469" s="36"/>
      <c r="E469" s="23"/>
      <c r="F469" s="23"/>
      <c r="G469" s="23"/>
      <c r="H469" s="23"/>
      <c r="I469" s="23"/>
      <c r="J469" s="23"/>
      <c r="K469" s="23"/>
      <c r="L469" s="23"/>
      <c r="M469" s="36"/>
      <c r="N469" s="23"/>
      <c r="O469" s="23"/>
      <c r="P469" s="23"/>
      <c r="Q469" s="23"/>
      <c r="R469" s="23"/>
      <c r="S469" s="23"/>
      <c r="T469" s="23"/>
      <c r="U469" s="23"/>
      <c r="V469" s="36"/>
      <c r="W469" s="42"/>
      <c r="X469" s="42"/>
      <c r="Y469" s="23"/>
      <c r="Z469" s="42"/>
      <c r="AA469" s="42"/>
      <c r="AB469" s="23"/>
      <c r="AC469" s="23"/>
      <c r="AD469" s="23"/>
      <c r="AE469" s="36"/>
      <c r="AF469" s="23"/>
    </row>
    <row r="470" spans="1:32" ht="15.75" x14ac:dyDescent="0.25">
      <c r="A470" s="44"/>
      <c r="B470" s="23"/>
      <c r="C470" s="23"/>
      <c r="D470" s="36"/>
      <c r="E470" s="23"/>
      <c r="F470" s="23"/>
      <c r="G470" s="23"/>
      <c r="H470" s="23"/>
      <c r="I470" s="23"/>
      <c r="J470" s="23"/>
      <c r="K470" s="23"/>
      <c r="L470" s="23"/>
      <c r="M470" s="36"/>
      <c r="N470" s="23"/>
      <c r="O470" s="23"/>
      <c r="P470" s="23"/>
      <c r="Q470" s="23"/>
      <c r="R470" s="23"/>
      <c r="S470" s="23"/>
      <c r="T470" s="23"/>
      <c r="U470" s="23"/>
      <c r="V470" s="36"/>
      <c r="W470" s="42"/>
      <c r="X470" s="42"/>
      <c r="Y470" s="23"/>
      <c r="Z470" s="42"/>
      <c r="AA470" s="42"/>
      <c r="AB470" s="23"/>
      <c r="AC470" s="23"/>
      <c r="AD470" s="23"/>
      <c r="AE470" s="36"/>
      <c r="AF470" s="23"/>
    </row>
    <row r="471" spans="1:32" ht="15.75" x14ac:dyDescent="0.25">
      <c r="A471" s="44"/>
      <c r="B471" s="23"/>
      <c r="C471" s="23"/>
      <c r="D471" s="36"/>
      <c r="E471" s="23"/>
      <c r="F471" s="23"/>
      <c r="G471" s="23"/>
      <c r="H471" s="23"/>
      <c r="I471" s="23"/>
      <c r="J471" s="23"/>
      <c r="K471" s="23"/>
      <c r="L471" s="23"/>
      <c r="M471" s="36"/>
      <c r="N471" s="23"/>
      <c r="O471" s="23"/>
      <c r="P471" s="23"/>
      <c r="Q471" s="23"/>
      <c r="R471" s="23"/>
      <c r="S471" s="23"/>
      <c r="T471" s="23"/>
      <c r="U471" s="23"/>
      <c r="V471" s="36"/>
      <c r="W471" s="42"/>
      <c r="X471" s="42"/>
      <c r="Y471" s="23"/>
      <c r="Z471" s="42"/>
      <c r="AA471" s="42"/>
      <c r="AB471" s="23"/>
      <c r="AC471" s="23"/>
      <c r="AD471" s="23"/>
      <c r="AE471" s="36"/>
      <c r="AF471" s="23"/>
    </row>
    <row r="472" spans="1:32" ht="15.75" x14ac:dyDescent="0.25">
      <c r="A472" s="44"/>
      <c r="B472" s="23"/>
      <c r="C472" s="23"/>
      <c r="D472" s="36"/>
      <c r="E472" s="23"/>
      <c r="F472" s="23"/>
      <c r="G472" s="23"/>
      <c r="H472" s="23"/>
      <c r="I472" s="23"/>
      <c r="J472" s="23"/>
      <c r="K472" s="23"/>
      <c r="L472" s="23"/>
      <c r="M472" s="36"/>
      <c r="N472" s="23"/>
      <c r="O472" s="23"/>
      <c r="P472" s="23"/>
      <c r="Q472" s="23"/>
      <c r="R472" s="23"/>
      <c r="S472" s="23"/>
      <c r="T472" s="23"/>
      <c r="U472" s="23"/>
      <c r="V472" s="36"/>
      <c r="W472" s="42"/>
      <c r="X472" s="42"/>
      <c r="Y472" s="23"/>
      <c r="Z472" s="42"/>
      <c r="AA472" s="42"/>
      <c r="AB472" s="23"/>
      <c r="AC472" s="23"/>
      <c r="AD472" s="23"/>
      <c r="AE472" s="36"/>
      <c r="AF472" s="23"/>
    </row>
    <row r="473" spans="1:32" ht="15.75" x14ac:dyDescent="0.25">
      <c r="A473" s="44"/>
      <c r="B473" s="23"/>
      <c r="C473" s="23"/>
      <c r="D473" s="36"/>
      <c r="E473" s="23"/>
      <c r="F473" s="23"/>
      <c r="G473" s="23"/>
      <c r="H473" s="23"/>
      <c r="I473" s="23"/>
      <c r="J473" s="23"/>
      <c r="K473" s="23"/>
      <c r="L473" s="23"/>
      <c r="M473" s="36"/>
      <c r="N473" s="23"/>
      <c r="O473" s="23"/>
      <c r="P473" s="23"/>
      <c r="Q473" s="23"/>
      <c r="R473" s="23"/>
      <c r="S473" s="23"/>
      <c r="T473" s="23"/>
      <c r="U473" s="23"/>
      <c r="V473" s="36"/>
      <c r="W473" s="42"/>
      <c r="X473" s="42"/>
      <c r="Y473" s="23"/>
      <c r="Z473" s="42"/>
      <c r="AA473" s="42"/>
      <c r="AB473" s="23"/>
      <c r="AC473" s="23"/>
      <c r="AD473" s="23"/>
      <c r="AE473" s="36"/>
      <c r="AF473" s="23"/>
    </row>
    <row r="474" spans="1:32" ht="15.75" x14ac:dyDescent="0.25">
      <c r="A474" s="44"/>
      <c r="B474" s="23"/>
      <c r="C474" s="23"/>
      <c r="D474" s="36"/>
      <c r="E474" s="23"/>
      <c r="F474" s="23"/>
      <c r="G474" s="23"/>
      <c r="H474" s="23"/>
      <c r="I474" s="23"/>
      <c r="J474" s="23"/>
      <c r="K474" s="23"/>
      <c r="L474" s="23"/>
      <c r="M474" s="36"/>
      <c r="N474" s="23"/>
      <c r="O474" s="23"/>
      <c r="P474" s="23"/>
      <c r="Q474" s="23"/>
      <c r="R474" s="23"/>
      <c r="S474" s="23"/>
      <c r="T474" s="23"/>
      <c r="U474" s="23"/>
      <c r="V474" s="36"/>
      <c r="W474" s="42"/>
      <c r="X474" s="42"/>
      <c r="Y474" s="23"/>
      <c r="Z474" s="42"/>
      <c r="AA474" s="42"/>
      <c r="AB474" s="23"/>
      <c r="AC474" s="23"/>
      <c r="AD474" s="23"/>
      <c r="AE474" s="36"/>
      <c r="AF474" s="23"/>
    </row>
    <row r="475" spans="1:32" ht="15.75" x14ac:dyDescent="0.25">
      <c r="A475" s="44"/>
      <c r="B475" s="23"/>
      <c r="C475" s="23"/>
      <c r="D475" s="36"/>
      <c r="E475" s="23"/>
      <c r="F475" s="23"/>
      <c r="G475" s="23"/>
      <c r="H475" s="23"/>
      <c r="I475" s="23"/>
      <c r="J475" s="23"/>
      <c r="K475" s="23"/>
      <c r="L475" s="23"/>
      <c r="M475" s="36"/>
      <c r="N475" s="23"/>
      <c r="O475" s="23"/>
      <c r="P475" s="23"/>
      <c r="Q475" s="23"/>
      <c r="R475" s="23"/>
      <c r="S475" s="23"/>
      <c r="T475" s="23"/>
      <c r="U475" s="23"/>
      <c r="V475" s="36"/>
      <c r="W475" s="42"/>
      <c r="X475" s="42"/>
      <c r="Y475" s="23"/>
      <c r="Z475" s="42"/>
      <c r="AA475" s="42"/>
      <c r="AB475" s="23"/>
      <c r="AC475" s="23"/>
      <c r="AD475" s="23"/>
      <c r="AE475" s="36"/>
      <c r="AF475" s="23"/>
    </row>
    <row r="476" spans="1:32" ht="15.75" x14ac:dyDescent="0.25">
      <c r="A476" s="44"/>
      <c r="B476" s="23"/>
      <c r="C476" s="23"/>
      <c r="D476" s="36"/>
      <c r="E476" s="23"/>
      <c r="F476" s="23"/>
      <c r="G476" s="23"/>
      <c r="H476" s="23"/>
      <c r="I476" s="23"/>
      <c r="J476" s="23"/>
      <c r="K476" s="23"/>
      <c r="L476" s="23"/>
      <c r="M476" s="36"/>
      <c r="N476" s="23"/>
      <c r="O476" s="23"/>
      <c r="P476" s="23"/>
      <c r="Q476" s="23"/>
      <c r="R476" s="23"/>
      <c r="S476" s="23"/>
      <c r="T476" s="23"/>
      <c r="U476" s="23"/>
      <c r="V476" s="36"/>
      <c r="W476" s="42"/>
      <c r="X476" s="42"/>
      <c r="Y476" s="23"/>
      <c r="Z476" s="42"/>
      <c r="AA476" s="42"/>
      <c r="AB476" s="23"/>
      <c r="AC476" s="23"/>
      <c r="AD476" s="23"/>
      <c r="AE476" s="36"/>
      <c r="AF476" s="23"/>
    </row>
    <row r="477" spans="1:32" ht="15.75" x14ac:dyDescent="0.25">
      <c r="A477" s="44"/>
      <c r="B477" s="23"/>
      <c r="C477" s="23"/>
      <c r="D477" s="36"/>
      <c r="E477" s="23"/>
      <c r="F477" s="23"/>
      <c r="G477" s="23"/>
      <c r="H477" s="23"/>
      <c r="I477" s="23"/>
      <c r="J477" s="23"/>
      <c r="K477" s="23"/>
      <c r="L477" s="23"/>
      <c r="M477" s="36"/>
      <c r="N477" s="23"/>
      <c r="O477" s="23"/>
      <c r="P477" s="23"/>
      <c r="Q477" s="23"/>
      <c r="R477" s="23"/>
      <c r="S477" s="23"/>
      <c r="T477" s="23"/>
      <c r="U477" s="23"/>
      <c r="V477" s="36"/>
      <c r="W477" s="42"/>
      <c r="X477" s="42"/>
      <c r="Y477" s="23"/>
      <c r="Z477" s="42"/>
      <c r="AA477" s="42"/>
      <c r="AB477" s="23"/>
      <c r="AC477" s="23"/>
      <c r="AD477" s="23"/>
      <c r="AE477" s="36"/>
      <c r="AF477" s="23"/>
    </row>
    <row r="478" spans="1:32" ht="15.75" x14ac:dyDescent="0.25">
      <c r="A478" s="44"/>
      <c r="B478" s="23"/>
      <c r="C478" s="23"/>
      <c r="D478" s="36"/>
      <c r="E478" s="23"/>
      <c r="F478" s="23"/>
      <c r="G478" s="23"/>
      <c r="H478" s="23"/>
      <c r="I478" s="23"/>
      <c r="J478" s="23"/>
      <c r="K478" s="23"/>
      <c r="L478" s="23"/>
      <c r="M478" s="36"/>
      <c r="N478" s="23"/>
      <c r="O478" s="23"/>
      <c r="P478" s="23"/>
      <c r="Q478" s="23"/>
      <c r="R478" s="23"/>
      <c r="S478" s="23"/>
      <c r="T478" s="23"/>
      <c r="U478" s="23"/>
      <c r="V478" s="36"/>
      <c r="W478" s="42"/>
      <c r="X478" s="42"/>
      <c r="Y478" s="23"/>
      <c r="Z478" s="42"/>
      <c r="AA478" s="42"/>
      <c r="AB478" s="23"/>
      <c r="AC478" s="23"/>
      <c r="AD478" s="23"/>
      <c r="AE478" s="36"/>
      <c r="AF478" s="23"/>
    </row>
    <row r="479" spans="1:32" ht="15.75" x14ac:dyDescent="0.25">
      <c r="A479" s="44"/>
      <c r="B479" s="23"/>
      <c r="C479" s="23"/>
      <c r="D479" s="36"/>
      <c r="E479" s="23"/>
      <c r="F479" s="23"/>
      <c r="G479" s="23"/>
      <c r="H479" s="23"/>
      <c r="I479" s="23"/>
      <c r="J479" s="23"/>
      <c r="K479" s="23"/>
      <c r="L479" s="23"/>
      <c r="M479" s="36"/>
      <c r="N479" s="23"/>
      <c r="O479" s="23"/>
      <c r="P479" s="23"/>
      <c r="Q479" s="23"/>
      <c r="R479" s="23"/>
      <c r="S479" s="23"/>
      <c r="T479" s="23"/>
      <c r="U479" s="23"/>
      <c r="V479" s="36"/>
      <c r="W479" s="42"/>
      <c r="X479" s="42"/>
      <c r="Y479" s="23"/>
      <c r="Z479" s="42"/>
      <c r="AA479" s="42"/>
      <c r="AB479" s="23"/>
      <c r="AC479" s="23"/>
      <c r="AD479" s="23"/>
      <c r="AE479" s="36"/>
      <c r="AF479" s="23"/>
    </row>
    <row r="480" spans="1:32" ht="15.75" x14ac:dyDescent="0.25">
      <c r="A480" s="44"/>
      <c r="B480" s="23"/>
      <c r="C480" s="23"/>
      <c r="D480" s="36"/>
      <c r="E480" s="23"/>
      <c r="F480" s="23"/>
      <c r="G480" s="23"/>
      <c r="H480" s="23"/>
      <c r="I480" s="23"/>
      <c r="J480" s="23"/>
      <c r="K480" s="23"/>
      <c r="L480" s="23"/>
      <c r="M480" s="36"/>
      <c r="N480" s="23"/>
      <c r="O480" s="23"/>
      <c r="P480" s="23"/>
      <c r="Q480" s="23"/>
      <c r="R480" s="23"/>
      <c r="S480" s="23"/>
      <c r="T480" s="23"/>
      <c r="U480" s="23"/>
      <c r="V480" s="36"/>
      <c r="W480" s="42"/>
      <c r="X480" s="42"/>
      <c r="Y480" s="23"/>
      <c r="Z480" s="42"/>
      <c r="AA480" s="42"/>
      <c r="AB480" s="23"/>
      <c r="AC480" s="23"/>
      <c r="AD480" s="23"/>
      <c r="AE480" s="36"/>
      <c r="AF480" s="23"/>
    </row>
    <row r="481" spans="1:32" ht="15.75" x14ac:dyDescent="0.25">
      <c r="A481" s="44"/>
      <c r="B481" s="23"/>
      <c r="C481" s="23"/>
      <c r="D481" s="36"/>
      <c r="E481" s="23"/>
      <c r="F481" s="23"/>
      <c r="G481" s="23"/>
      <c r="H481" s="23"/>
      <c r="I481" s="23"/>
      <c r="J481" s="23"/>
      <c r="K481" s="23"/>
      <c r="L481" s="23"/>
      <c r="M481" s="36"/>
      <c r="N481" s="23"/>
      <c r="O481" s="23"/>
      <c r="P481" s="23"/>
      <c r="Q481" s="23"/>
      <c r="R481" s="23"/>
      <c r="S481" s="23"/>
      <c r="T481" s="23"/>
      <c r="U481" s="23"/>
      <c r="V481" s="36"/>
      <c r="W481" s="42"/>
      <c r="X481" s="42"/>
      <c r="Y481" s="23"/>
      <c r="Z481" s="42"/>
      <c r="AA481" s="42"/>
      <c r="AB481" s="23"/>
      <c r="AC481" s="23"/>
      <c r="AD481" s="23"/>
      <c r="AE481" s="36"/>
      <c r="AF481" s="23"/>
    </row>
    <row r="482" spans="1:32" ht="15.75" x14ac:dyDescent="0.25">
      <c r="A482" s="44"/>
      <c r="B482" s="23"/>
      <c r="C482" s="23"/>
      <c r="D482" s="36"/>
      <c r="E482" s="23"/>
      <c r="F482" s="23"/>
      <c r="G482" s="23"/>
      <c r="H482" s="23"/>
      <c r="I482" s="23"/>
      <c r="J482" s="23"/>
      <c r="K482" s="23"/>
      <c r="L482" s="23"/>
      <c r="M482" s="36"/>
      <c r="N482" s="23"/>
      <c r="O482" s="23"/>
      <c r="P482" s="23"/>
      <c r="Q482" s="23"/>
      <c r="R482" s="23"/>
      <c r="S482" s="23"/>
      <c r="T482" s="23"/>
      <c r="U482" s="23"/>
      <c r="V482" s="36"/>
      <c r="W482" s="42"/>
      <c r="X482" s="42"/>
      <c r="Y482" s="23"/>
      <c r="Z482" s="42"/>
      <c r="AA482" s="42"/>
      <c r="AB482" s="23"/>
      <c r="AC482" s="23"/>
      <c r="AD482" s="23"/>
      <c r="AE482" s="36"/>
      <c r="AF482" s="23"/>
    </row>
    <row r="483" spans="1:32" ht="15.75" x14ac:dyDescent="0.25">
      <c r="A483" s="44"/>
      <c r="B483" s="23"/>
      <c r="C483" s="23"/>
      <c r="D483" s="36"/>
      <c r="E483" s="23"/>
      <c r="F483" s="23"/>
      <c r="G483" s="23"/>
      <c r="H483" s="23"/>
      <c r="I483" s="23"/>
      <c r="J483" s="23"/>
      <c r="K483" s="23"/>
      <c r="L483" s="23"/>
      <c r="M483" s="36"/>
      <c r="N483" s="23"/>
      <c r="O483" s="23"/>
      <c r="P483" s="23"/>
      <c r="Q483" s="23"/>
      <c r="R483" s="23"/>
      <c r="S483" s="23"/>
      <c r="T483" s="23"/>
      <c r="U483" s="23"/>
      <c r="V483" s="36"/>
      <c r="W483" s="42"/>
      <c r="X483" s="42"/>
      <c r="Y483" s="23"/>
      <c r="Z483" s="42"/>
      <c r="AA483" s="42"/>
      <c r="AB483" s="23"/>
      <c r="AC483" s="23"/>
      <c r="AD483" s="23"/>
      <c r="AE483" s="36"/>
      <c r="AF483" s="23"/>
    </row>
    <row r="484" spans="1:32" ht="15.75" x14ac:dyDescent="0.25">
      <c r="A484" s="44"/>
      <c r="B484" s="23"/>
      <c r="C484" s="23"/>
      <c r="D484" s="36"/>
      <c r="E484" s="23"/>
      <c r="F484" s="23"/>
      <c r="G484" s="23"/>
      <c r="H484" s="23"/>
      <c r="I484" s="23"/>
      <c r="J484" s="23"/>
      <c r="K484" s="23"/>
      <c r="L484" s="23"/>
      <c r="M484" s="36"/>
      <c r="N484" s="23"/>
      <c r="O484" s="23"/>
      <c r="P484" s="23"/>
      <c r="Q484" s="23"/>
      <c r="R484" s="23"/>
      <c r="S484" s="23"/>
      <c r="T484" s="23"/>
      <c r="U484" s="23"/>
      <c r="V484" s="36"/>
      <c r="W484" s="42"/>
      <c r="X484" s="42"/>
      <c r="Y484" s="23"/>
      <c r="Z484" s="42"/>
      <c r="AA484" s="42"/>
      <c r="AB484" s="23"/>
      <c r="AC484" s="23"/>
      <c r="AD484" s="23"/>
      <c r="AE484" s="36"/>
      <c r="AF484" s="23"/>
    </row>
    <row r="485" spans="1:32" ht="15.75" x14ac:dyDescent="0.25">
      <c r="A485" s="44"/>
      <c r="B485" s="23"/>
      <c r="C485" s="23"/>
      <c r="D485" s="36"/>
      <c r="E485" s="23"/>
      <c r="F485" s="23"/>
      <c r="G485" s="23"/>
      <c r="H485" s="23"/>
      <c r="I485" s="23"/>
      <c r="J485" s="23"/>
      <c r="K485" s="23"/>
      <c r="L485" s="23"/>
      <c r="M485" s="36"/>
      <c r="N485" s="23"/>
      <c r="O485" s="23"/>
      <c r="P485" s="23"/>
      <c r="Q485" s="23"/>
      <c r="R485" s="23"/>
      <c r="S485" s="23"/>
      <c r="T485" s="23"/>
      <c r="U485" s="23"/>
      <c r="V485" s="36"/>
      <c r="W485" s="42"/>
      <c r="X485" s="42"/>
      <c r="Y485" s="23"/>
      <c r="Z485" s="42"/>
      <c r="AA485" s="42"/>
      <c r="AB485" s="23"/>
      <c r="AC485" s="23"/>
      <c r="AD485" s="23"/>
      <c r="AE485" s="36"/>
      <c r="AF485" s="23"/>
    </row>
    <row r="486" spans="1:32" ht="15.75" x14ac:dyDescent="0.25">
      <c r="A486" s="44"/>
      <c r="B486" s="23"/>
      <c r="C486" s="23"/>
      <c r="D486" s="36"/>
      <c r="E486" s="23"/>
      <c r="F486" s="23"/>
      <c r="G486" s="23"/>
      <c r="H486" s="23"/>
      <c r="I486" s="23"/>
      <c r="J486" s="23"/>
      <c r="K486" s="23"/>
      <c r="L486" s="23"/>
      <c r="M486" s="36"/>
      <c r="N486" s="23"/>
      <c r="O486" s="23"/>
      <c r="P486" s="23"/>
      <c r="Q486" s="23"/>
      <c r="R486" s="23"/>
      <c r="S486" s="23"/>
      <c r="T486" s="23"/>
      <c r="U486" s="23"/>
      <c r="V486" s="36"/>
      <c r="W486" s="42"/>
      <c r="X486" s="42"/>
      <c r="Y486" s="23"/>
      <c r="Z486" s="42"/>
      <c r="AA486" s="42"/>
      <c r="AB486" s="23"/>
      <c r="AC486" s="23"/>
      <c r="AD486" s="23"/>
      <c r="AE486" s="36"/>
      <c r="AF486" s="23"/>
    </row>
    <row r="487" spans="1:32" ht="15.75" x14ac:dyDescent="0.25">
      <c r="A487" s="44"/>
      <c r="B487" s="23"/>
      <c r="C487" s="23"/>
      <c r="D487" s="36"/>
      <c r="E487" s="23"/>
      <c r="F487" s="23"/>
      <c r="G487" s="23"/>
      <c r="H487" s="23"/>
      <c r="I487" s="23"/>
      <c r="J487" s="23"/>
      <c r="K487" s="23"/>
      <c r="L487" s="23"/>
      <c r="M487" s="36"/>
      <c r="N487" s="23"/>
      <c r="O487" s="23"/>
      <c r="P487" s="23"/>
      <c r="Q487" s="23"/>
      <c r="R487" s="23"/>
      <c r="S487" s="23"/>
      <c r="T487" s="23"/>
      <c r="U487" s="23"/>
      <c r="V487" s="36"/>
      <c r="W487" s="42"/>
      <c r="X487" s="42"/>
      <c r="Y487" s="23"/>
      <c r="Z487" s="42"/>
      <c r="AA487" s="42"/>
      <c r="AB487" s="23"/>
      <c r="AC487" s="23"/>
      <c r="AD487" s="23"/>
      <c r="AE487" s="36"/>
      <c r="AF487" s="23"/>
    </row>
    <row r="488" spans="1:32" ht="15.75" x14ac:dyDescent="0.25">
      <c r="A488" s="44"/>
      <c r="B488" s="23"/>
      <c r="C488" s="23"/>
      <c r="D488" s="36"/>
      <c r="E488" s="23"/>
      <c r="F488" s="23"/>
      <c r="G488" s="23"/>
      <c r="H488" s="23"/>
      <c r="I488" s="23"/>
      <c r="J488" s="23"/>
      <c r="K488" s="23"/>
      <c r="L488" s="23"/>
      <c r="M488" s="36"/>
      <c r="N488" s="23"/>
      <c r="O488" s="23"/>
      <c r="P488" s="23"/>
      <c r="Q488" s="23"/>
      <c r="R488" s="23"/>
      <c r="S488" s="23"/>
      <c r="T488" s="23"/>
      <c r="U488" s="23"/>
      <c r="V488" s="36"/>
      <c r="W488" s="42"/>
      <c r="X488" s="42"/>
      <c r="Y488" s="23"/>
      <c r="Z488" s="42"/>
      <c r="AA488" s="42"/>
      <c r="AB488" s="23"/>
      <c r="AC488" s="23"/>
      <c r="AD488" s="23"/>
      <c r="AE488" s="36"/>
      <c r="AF488" s="23"/>
    </row>
    <row r="489" spans="1:32" ht="15.75" x14ac:dyDescent="0.25">
      <c r="A489" s="44"/>
      <c r="B489" s="23"/>
      <c r="C489" s="23"/>
      <c r="D489" s="36"/>
      <c r="E489" s="23"/>
      <c r="F489" s="23"/>
      <c r="G489" s="23"/>
      <c r="H489" s="23"/>
      <c r="I489" s="23"/>
      <c r="J489" s="23"/>
      <c r="K489" s="23"/>
      <c r="L489" s="23"/>
      <c r="M489" s="36"/>
      <c r="N489" s="23"/>
      <c r="O489" s="23"/>
      <c r="P489" s="23"/>
      <c r="Q489" s="23"/>
      <c r="R489" s="23"/>
      <c r="S489" s="23"/>
      <c r="T489" s="23"/>
      <c r="U489" s="23"/>
      <c r="V489" s="36"/>
      <c r="W489" s="42"/>
      <c r="X489" s="42"/>
      <c r="Y489" s="23"/>
      <c r="Z489" s="42"/>
      <c r="AA489" s="42"/>
      <c r="AB489" s="23"/>
      <c r="AC489" s="23"/>
      <c r="AD489" s="23"/>
      <c r="AE489" s="36"/>
      <c r="AF489" s="23"/>
    </row>
    <row r="490" spans="1:32" ht="15.75" x14ac:dyDescent="0.25">
      <c r="A490" s="44"/>
      <c r="B490" s="23"/>
      <c r="C490" s="23"/>
      <c r="D490" s="36"/>
      <c r="E490" s="23"/>
      <c r="F490" s="23"/>
      <c r="G490" s="23"/>
      <c r="H490" s="23"/>
      <c r="I490" s="23"/>
      <c r="J490" s="23"/>
      <c r="K490" s="23"/>
      <c r="L490" s="23"/>
      <c r="M490" s="36"/>
      <c r="N490" s="23"/>
      <c r="O490" s="23"/>
      <c r="P490" s="23"/>
      <c r="Q490" s="23"/>
      <c r="R490" s="23"/>
      <c r="S490" s="23"/>
      <c r="T490" s="23"/>
      <c r="U490" s="23"/>
      <c r="V490" s="36"/>
      <c r="W490" s="42"/>
      <c r="X490" s="42"/>
      <c r="Y490" s="23"/>
      <c r="Z490" s="42"/>
      <c r="AA490" s="42"/>
      <c r="AB490" s="23"/>
      <c r="AC490" s="23"/>
      <c r="AD490" s="23"/>
      <c r="AE490" s="36"/>
      <c r="AF490" s="23"/>
    </row>
    <row r="491" spans="1:32" ht="15.75" x14ac:dyDescent="0.25">
      <c r="A491" s="44"/>
      <c r="B491" s="23"/>
      <c r="C491" s="23"/>
      <c r="D491" s="36"/>
      <c r="E491" s="23"/>
      <c r="F491" s="23"/>
      <c r="G491" s="23"/>
      <c r="H491" s="23"/>
      <c r="I491" s="23"/>
      <c r="J491" s="23"/>
      <c r="K491" s="23"/>
      <c r="L491" s="23"/>
      <c r="M491" s="36"/>
      <c r="N491" s="23"/>
      <c r="O491" s="23"/>
      <c r="P491" s="23"/>
      <c r="Q491" s="23"/>
      <c r="R491" s="23"/>
      <c r="S491" s="23"/>
      <c r="T491" s="23"/>
      <c r="U491" s="23"/>
      <c r="V491" s="36"/>
      <c r="W491" s="42"/>
      <c r="X491" s="42"/>
      <c r="Y491" s="23"/>
      <c r="Z491" s="42"/>
      <c r="AA491" s="42"/>
      <c r="AB491" s="23"/>
      <c r="AC491" s="23"/>
      <c r="AD491" s="23"/>
      <c r="AE491" s="36"/>
      <c r="AF491" s="23"/>
    </row>
    <row r="492" spans="1:32" ht="15.75" x14ac:dyDescent="0.25">
      <c r="A492" s="44"/>
      <c r="B492" s="23"/>
      <c r="C492" s="23"/>
      <c r="D492" s="36"/>
      <c r="E492" s="23"/>
      <c r="F492" s="23"/>
      <c r="G492" s="23"/>
      <c r="H492" s="23"/>
      <c r="I492" s="23"/>
      <c r="J492" s="23"/>
      <c r="K492" s="23"/>
      <c r="L492" s="23"/>
      <c r="M492" s="36"/>
      <c r="N492" s="23"/>
      <c r="O492" s="23"/>
      <c r="P492" s="23"/>
      <c r="Q492" s="23"/>
      <c r="R492" s="23"/>
      <c r="S492" s="23"/>
      <c r="T492" s="23"/>
      <c r="U492" s="23"/>
      <c r="V492" s="36"/>
      <c r="W492" s="42"/>
      <c r="X492" s="42"/>
      <c r="Y492" s="23"/>
      <c r="Z492" s="42"/>
      <c r="AA492" s="42"/>
      <c r="AB492" s="23"/>
      <c r="AC492" s="23"/>
      <c r="AD492" s="23"/>
      <c r="AE492" s="36"/>
      <c r="AF492" s="23"/>
    </row>
    <row r="493" spans="1:32" ht="15.75" x14ac:dyDescent="0.25">
      <c r="A493" s="44"/>
      <c r="B493" s="23"/>
      <c r="C493" s="23"/>
      <c r="D493" s="36"/>
      <c r="E493" s="23"/>
      <c r="F493" s="23"/>
      <c r="G493" s="23"/>
      <c r="H493" s="23"/>
      <c r="I493" s="23"/>
      <c r="J493" s="23"/>
      <c r="K493" s="23"/>
      <c r="L493" s="23"/>
      <c r="M493" s="36"/>
      <c r="N493" s="23"/>
      <c r="O493" s="23"/>
      <c r="P493" s="23"/>
      <c r="Q493" s="23"/>
      <c r="R493" s="23"/>
      <c r="S493" s="23"/>
      <c r="T493" s="23"/>
      <c r="U493" s="23"/>
      <c r="V493" s="36"/>
      <c r="W493" s="42"/>
      <c r="X493" s="42"/>
      <c r="Y493" s="23"/>
      <c r="Z493" s="42"/>
      <c r="AA493" s="42"/>
      <c r="AB493" s="23"/>
      <c r="AC493" s="23"/>
      <c r="AD493" s="23"/>
      <c r="AE493" s="36"/>
      <c r="AF493" s="23"/>
    </row>
    <row r="494" spans="1:32" ht="15.75" x14ac:dyDescent="0.25">
      <c r="A494" s="44"/>
      <c r="B494" s="23"/>
      <c r="C494" s="23"/>
      <c r="D494" s="36"/>
      <c r="E494" s="23"/>
      <c r="F494" s="23"/>
      <c r="G494" s="23"/>
      <c r="H494" s="23"/>
      <c r="I494" s="23"/>
      <c r="J494" s="23"/>
      <c r="K494" s="23"/>
      <c r="L494" s="23"/>
      <c r="M494" s="36"/>
      <c r="N494" s="23"/>
      <c r="O494" s="23"/>
      <c r="P494" s="23"/>
      <c r="Q494" s="23"/>
      <c r="R494" s="23"/>
      <c r="S494" s="23"/>
      <c r="T494" s="23"/>
      <c r="U494" s="23"/>
      <c r="V494" s="36"/>
      <c r="W494" s="42"/>
      <c r="X494" s="42"/>
      <c r="Y494" s="23"/>
      <c r="Z494" s="42"/>
      <c r="AA494" s="42"/>
      <c r="AB494" s="23"/>
      <c r="AC494" s="23"/>
      <c r="AD494" s="23"/>
      <c r="AE494" s="36"/>
      <c r="AF494" s="23"/>
    </row>
    <row r="495" spans="1:32" ht="15.75" x14ac:dyDescent="0.25">
      <c r="A495" s="44"/>
      <c r="B495" s="23"/>
      <c r="C495" s="23"/>
      <c r="D495" s="36"/>
      <c r="E495" s="23"/>
      <c r="F495" s="23"/>
      <c r="G495" s="23"/>
      <c r="H495" s="23"/>
      <c r="I495" s="23"/>
      <c r="J495" s="23"/>
      <c r="K495" s="23"/>
      <c r="L495" s="23"/>
      <c r="M495" s="36"/>
      <c r="N495" s="23"/>
      <c r="O495" s="23"/>
      <c r="P495" s="23"/>
      <c r="Q495" s="23"/>
      <c r="R495" s="23"/>
      <c r="S495" s="23"/>
      <c r="T495" s="23"/>
      <c r="U495" s="23"/>
      <c r="V495" s="36"/>
      <c r="W495" s="42"/>
      <c r="X495" s="42"/>
      <c r="Y495" s="23"/>
      <c r="Z495" s="42"/>
      <c r="AA495" s="42"/>
      <c r="AB495" s="23"/>
      <c r="AC495" s="23"/>
      <c r="AD495" s="23"/>
      <c r="AE495" s="36"/>
      <c r="AF495" s="23"/>
    </row>
    <row r="496" spans="1:32" ht="15.75" x14ac:dyDescent="0.25">
      <c r="A496" s="44"/>
      <c r="B496" s="23"/>
      <c r="C496" s="23"/>
      <c r="D496" s="36"/>
      <c r="E496" s="23"/>
      <c r="F496" s="23"/>
      <c r="G496" s="23"/>
      <c r="H496" s="23"/>
      <c r="I496" s="23"/>
      <c r="J496" s="23"/>
      <c r="K496" s="23"/>
      <c r="L496" s="23"/>
      <c r="M496" s="36"/>
      <c r="N496" s="23"/>
      <c r="O496" s="23"/>
      <c r="P496" s="23"/>
      <c r="Q496" s="23"/>
      <c r="R496" s="23"/>
      <c r="S496" s="23"/>
      <c r="T496" s="23"/>
      <c r="U496" s="23"/>
      <c r="V496" s="36"/>
      <c r="W496" s="42"/>
      <c r="X496" s="42"/>
      <c r="Y496" s="23"/>
      <c r="Z496" s="42"/>
      <c r="AA496" s="42"/>
      <c r="AB496" s="23"/>
      <c r="AC496" s="23"/>
      <c r="AD496" s="23"/>
      <c r="AE496" s="36"/>
      <c r="AF496" s="23"/>
    </row>
    <row r="497" spans="1:32" ht="15.75" x14ac:dyDescent="0.25">
      <c r="A497" s="44"/>
      <c r="B497" s="23"/>
      <c r="C497" s="23"/>
      <c r="D497" s="36"/>
      <c r="E497" s="23"/>
      <c r="F497" s="23"/>
      <c r="G497" s="23"/>
      <c r="H497" s="23"/>
      <c r="I497" s="23"/>
      <c r="J497" s="23"/>
      <c r="K497" s="23"/>
      <c r="L497" s="23"/>
      <c r="M497" s="36"/>
      <c r="N497" s="23"/>
      <c r="O497" s="23"/>
      <c r="P497" s="23"/>
      <c r="Q497" s="23"/>
      <c r="R497" s="23"/>
      <c r="S497" s="23"/>
      <c r="T497" s="23"/>
      <c r="U497" s="23"/>
      <c r="V497" s="36"/>
      <c r="W497" s="42"/>
      <c r="X497" s="42"/>
      <c r="Y497" s="23"/>
      <c r="Z497" s="42"/>
      <c r="AA497" s="42"/>
      <c r="AB497" s="23"/>
      <c r="AC497" s="23"/>
      <c r="AD497" s="23"/>
      <c r="AE497" s="36"/>
      <c r="AF497" s="23"/>
    </row>
    <row r="498" spans="1:32" ht="15.75" x14ac:dyDescent="0.25">
      <c r="A498" s="44"/>
      <c r="B498" s="23"/>
      <c r="C498" s="23"/>
      <c r="D498" s="36"/>
      <c r="E498" s="23"/>
      <c r="F498" s="23"/>
      <c r="G498" s="23"/>
      <c r="H498" s="23"/>
      <c r="I498" s="23"/>
      <c r="J498" s="23"/>
      <c r="K498" s="23"/>
      <c r="L498" s="23"/>
      <c r="M498" s="36"/>
      <c r="N498" s="23"/>
      <c r="O498" s="23"/>
      <c r="P498" s="23"/>
      <c r="Q498" s="23"/>
      <c r="R498" s="23"/>
      <c r="S498" s="23"/>
      <c r="T498" s="23"/>
      <c r="U498" s="23"/>
      <c r="V498" s="36"/>
      <c r="W498" s="42"/>
      <c r="X498" s="42"/>
      <c r="Y498" s="23"/>
      <c r="Z498" s="42"/>
      <c r="AA498" s="42"/>
      <c r="AB498" s="23"/>
      <c r="AC498" s="23"/>
      <c r="AD498" s="23"/>
      <c r="AE498" s="36"/>
      <c r="AF498" s="23"/>
    </row>
    <row r="499" spans="1:32" ht="15.75" x14ac:dyDescent="0.25">
      <c r="A499" s="44"/>
      <c r="B499" s="23"/>
      <c r="C499" s="23"/>
      <c r="D499" s="36"/>
      <c r="E499" s="23"/>
      <c r="F499" s="23"/>
      <c r="G499" s="23"/>
      <c r="H499" s="23"/>
      <c r="I499" s="23"/>
      <c r="J499" s="23"/>
      <c r="K499" s="23"/>
      <c r="L499" s="23"/>
      <c r="M499" s="36"/>
      <c r="N499" s="23"/>
      <c r="O499" s="23"/>
      <c r="P499" s="23"/>
      <c r="Q499" s="23"/>
      <c r="R499" s="23"/>
      <c r="S499" s="23"/>
      <c r="T499" s="23"/>
      <c r="U499" s="23"/>
      <c r="V499" s="36"/>
      <c r="W499" s="42"/>
      <c r="X499" s="42"/>
      <c r="Y499" s="23"/>
      <c r="Z499" s="42"/>
      <c r="AA499" s="42"/>
      <c r="AB499" s="23"/>
      <c r="AC499" s="23"/>
      <c r="AD499" s="23"/>
      <c r="AE499" s="36"/>
      <c r="AF499" s="23"/>
    </row>
    <row r="500" spans="1:32" ht="15.75" x14ac:dyDescent="0.25">
      <c r="A500" s="44"/>
      <c r="B500" s="23"/>
      <c r="C500" s="23"/>
      <c r="D500" s="36"/>
      <c r="E500" s="23"/>
      <c r="F500" s="23"/>
      <c r="G500" s="23"/>
      <c r="H500" s="23"/>
      <c r="I500" s="23"/>
      <c r="J500" s="23"/>
      <c r="K500" s="23"/>
      <c r="L500" s="23"/>
      <c r="M500" s="36"/>
      <c r="N500" s="23"/>
      <c r="O500" s="23"/>
      <c r="P500" s="23"/>
      <c r="Q500" s="23"/>
      <c r="R500" s="23"/>
      <c r="S500" s="23"/>
      <c r="T500" s="23"/>
      <c r="U500" s="23"/>
      <c r="V500" s="36"/>
      <c r="W500" s="42"/>
      <c r="X500" s="42"/>
      <c r="Y500" s="23"/>
      <c r="Z500" s="42"/>
      <c r="AA500" s="42"/>
      <c r="AB500" s="23"/>
      <c r="AC500" s="23"/>
      <c r="AD500" s="23"/>
      <c r="AE500" s="36"/>
      <c r="AF500" s="23"/>
    </row>
    <row r="501" spans="1:32" ht="15.75" x14ac:dyDescent="0.25">
      <c r="A501" s="44"/>
      <c r="B501" s="23"/>
      <c r="C501" s="23"/>
      <c r="D501" s="36"/>
      <c r="E501" s="23"/>
      <c r="F501" s="23"/>
      <c r="G501" s="23"/>
      <c r="H501" s="23"/>
      <c r="I501" s="23"/>
      <c r="J501" s="23"/>
      <c r="K501" s="23"/>
      <c r="L501" s="23"/>
      <c r="M501" s="36"/>
      <c r="N501" s="23"/>
      <c r="O501" s="23"/>
      <c r="P501" s="23"/>
      <c r="Q501" s="23"/>
      <c r="R501" s="23"/>
      <c r="S501" s="23"/>
      <c r="T501" s="23"/>
      <c r="U501" s="23"/>
      <c r="V501" s="36"/>
      <c r="W501" s="42"/>
      <c r="X501" s="42"/>
      <c r="Y501" s="23"/>
      <c r="Z501" s="42"/>
      <c r="AA501" s="42"/>
      <c r="AB501" s="23"/>
      <c r="AC501" s="23"/>
      <c r="AD501" s="23"/>
      <c r="AE501" s="36"/>
      <c r="AF501" s="23"/>
    </row>
    <row r="502" spans="1:32" ht="15.75" x14ac:dyDescent="0.25">
      <c r="A502" s="44"/>
      <c r="B502" s="23"/>
      <c r="C502" s="23"/>
      <c r="D502" s="36"/>
      <c r="E502" s="23"/>
      <c r="F502" s="23"/>
      <c r="G502" s="23"/>
      <c r="H502" s="23"/>
      <c r="I502" s="23"/>
      <c r="J502" s="23"/>
      <c r="K502" s="23"/>
      <c r="L502" s="23"/>
      <c r="M502" s="36"/>
      <c r="N502" s="23"/>
      <c r="O502" s="23"/>
      <c r="P502" s="23"/>
      <c r="Q502" s="23"/>
      <c r="R502" s="23"/>
      <c r="S502" s="23"/>
      <c r="T502" s="23"/>
      <c r="U502" s="23"/>
      <c r="V502" s="36"/>
      <c r="W502" s="42"/>
      <c r="X502" s="42"/>
      <c r="Y502" s="23"/>
      <c r="Z502" s="42"/>
      <c r="AA502" s="42"/>
      <c r="AB502" s="23"/>
      <c r="AC502" s="23"/>
      <c r="AD502" s="23"/>
      <c r="AE502" s="36"/>
      <c r="AF502" s="23"/>
    </row>
    <row r="503" spans="1:32" ht="15.75" x14ac:dyDescent="0.25">
      <c r="A503" s="44"/>
      <c r="B503" s="23"/>
      <c r="C503" s="23"/>
      <c r="D503" s="36"/>
      <c r="E503" s="23"/>
      <c r="F503" s="23"/>
      <c r="G503" s="23"/>
      <c r="H503" s="23"/>
      <c r="I503" s="23"/>
      <c r="J503" s="23"/>
      <c r="K503" s="23"/>
      <c r="L503" s="23"/>
      <c r="M503" s="36"/>
      <c r="N503" s="23"/>
      <c r="O503" s="23"/>
      <c r="P503" s="23"/>
      <c r="Q503" s="23"/>
      <c r="R503" s="23"/>
      <c r="S503" s="23"/>
      <c r="T503" s="23"/>
      <c r="U503" s="23"/>
      <c r="V503" s="36"/>
      <c r="W503" s="42"/>
      <c r="X503" s="42"/>
      <c r="Y503" s="23"/>
      <c r="Z503" s="42"/>
      <c r="AA503" s="42"/>
      <c r="AB503" s="23"/>
      <c r="AC503" s="23"/>
      <c r="AD503" s="23"/>
      <c r="AE503" s="36"/>
      <c r="AF503" s="23"/>
    </row>
    <row r="504" spans="1:32" ht="15.75" x14ac:dyDescent="0.25">
      <c r="A504" s="44"/>
      <c r="B504" s="23"/>
      <c r="C504" s="23"/>
      <c r="D504" s="36"/>
      <c r="E504" s="23"/>
      <c r="F504" s="23"/>
      <c r="G504" s="23"/>
      <c r="H504" s="23"/>
      <c r="I504" s="23"/>
      <c r="J504" s="23"/>
      <c r="K504" s="23"/>
      <c r="L504" s="23"/>
      <c r="M504" s="36"/>
      <c r="N504" s="23"/>
      <c r="O504" s="23"/>
      <c r="P504" s="23"/>
      <c r="Q504" s="23"/>
      <c r="R504" s="23"/>
      <c r="S504" s="23"/>
      <c r="T504" s="23"/>
      <c r="U504" s="23"/>
      <c r="V504" s="36"/>
      <c r="W504" s="42"/>
      <c r="X504" s="42"/>
      <c r="Y504" s="23"/>
      <c r="Z504" s="42"/>
      <c r="AA504" s="42"/>
      <c r="AB504" s="23"/>
      <c r="AC504" s="23"/>
      <c r="AD504" s="23"/>
      <c r="AE504" s="36"/>
      <c r="AF504" s="23"/>
    </row>
    <row r="505" spans="1:32" ht="15.75" x14ac:dyDescent="0.25">
      <c r="A505" s="44"/>
      <c r="B505" s="23"/>
      <c r="C505" s="23"/>
      <c r="D505" s="36"/>
      <c r="E505" s="23"/>
      <c r="F505" s="23"/>
      <c r="G505" s="23"/>
      <c r="H505" s="23"/>
      <c r="I505" s="23"/>
      <c r="J505" s="23"/>
      <c r="K505" s="23"/>
      <c r="L505" s="23"/>
      <c r="M505" s="36"/>
      <c r="N505" s="23"/>
      <c r="O505" s="23"/>
      <c r="P505" s="23"/>
      <c r="Q505" s="23"/>
      <c r="R505" s="23"/>
      <c r="S505" s="23"/>
      <c r="T505" s="23"/>
      <c r="U505" s="23"/>
      <c r="V505" s="36"/>
      <c r="W505" s="42"/>
      <c r="X505" s="42"/>
      <c r="Y505" s="23"/>
      <c r="Z505" s="42"/>
      <c r="AA505" s="42"/>
      <c r="AB505" s="23"/>
      <c r="AC505" s="23"/>
      <c r="AD505" s="23"/>
      <c r="AE505" s="36"/>
      <c r="AF505" s="23"/>
    </row>
    <row r="506" spans="1:32" ht="15.75" x14ac:dyDescent="0.25">
      <c r="A506" s="44"/>
      <c r="B506" s="23"/>
      <c r="C506" s="23"/>
      <c r="D506" s="36"/>
      <c r="E506" s="23"/>
      <c r="F506" s="23"/>
      <c r="G506" s="23"/>
      <c r="H506" s="23"/>
      <c r="I506" s="23"/>
      <c r="J506" s="23"/>
      <c r="K506" s="23"/>
      <c r="L506" s="23"/>
      <c r="M506" s="36"/>
      <c r="N506" s="23"/>
      <c r="O506" s="23"/>
      <c r="P506" s="23"/>
      <c r="Q506" s="23"/>
      <c r="R506" s="23"/>
      <c r="S506" s="23"/>
      <c r="T506" s="23"/>
      <c r="U506" s="23"/>
      <c r="V506" s="36"/>
      <c r="W506" s="42"/>
      <c r="X506" s="42"/>
      <c r="Y506" s="23"/>
      <c r="Z506" s="42"/>
      <c r="AA506" s="42"/>
      <c r="AB506" s="23"/>
      <c r="AC506" s="23"/>
      <c r="AD506" s="23"/>
      <c r="AE506" s="36"/>
      <c r="AF506" s="23"/>
    </row>
    <row r="507" spans="1:32" ht="15.75" x14ac:dyDescent="0.25">
      <c r="A507" s="44"/>
      <c r="B507" s="23"/>
      <c r="C507" s="23"/>
      <c r="D507" s="36"/>
      <c r="E507" s="23"/>
      <c r="F507" s="23"/>
      <c r="G507" s="23"/>
      <c r="H507" s="23"/>
      <c r="I507" s="23"/>
      <c r="J507" s="23"/>
      <c r="K507" s="23"/>
      <c r="L507" s="23"/>
      <c r="M507" s="36"/>
      <c r="N507" s="23"/>
      <c r="O507" s="23"/>
      <c r="P507" s="23"/>
      <c r="Q507" s="23"/>
      <c r="R507" s="23"/>
      <c r="S507" s="23"/>
      <c r="T507" s="23"/>
      <c r="U507" s="23"/>
      <c r="V507" s="36"/>
      <c r="W507" s="42"/>
      <c r="X507" s="42"/>
      <c r="Y507" s="23"/>
      <c r="Z507" s="42"/>
      <c r="AA507" s="42"/>
      <c r="AB507" s="23"/>
      <c r="AC507" s="23"/>
      <c r="AD507" s="23"/>
      <c r="AE507" s="36"/>
      <c r="AF507" s="23"/>
    </row>
    <row r="508" spans="1:32" ht="15.75" x14ac:dyDescent="0.25">
      <c r="A508" s="44"/>
      <c r="B508" s="23"/>
      <c r="C508" s="23"/>
      <c r="D508" s="36"/>
      <c r="E508" s="23"/>
      <c r="F508" s="23"/>
      <c r="G508" s="23"/>
      <c r="H508" s="23"/>
      <c r="I508" s="23"/>
      <c r="J508" s="23"/>
      <c r="K508" s="23"/>
      <c r="L508" s="23"/>
      <c r="M508" s="36"/>
      <c r="N508" s="23"/>
      <c r="O508" s="23"/>
      <c r="P508" s="23"/>
      <c r="Q508" s="23"/>
      <c r="R508" s="23"/>
      <c r="S508" s="23"/>
      <c r="T508" s="23"/>
      <c r="U508" s="23"/>
      <c r="V508" s="36"/>
      <c r="W508" s="42"/>
      <c r="X508" s="42"/>
      <c r="Y508" s="23"/>
      <c r="Z508" s="42"/>
      <c r="AA508" s="42"/>
      <c r="AB508" s="23"/>
      <c r="AC508" s="23"/>
      <c r="AD508" s="23"/>
      <c r="AE508" s="36"/>
      <c r="AF508" s="23"/>
    </row>
    <row r="509" spans="1:32" ht="15.75" x14ac:dyDescent="0.25">
      <c r="A509" s="44"/>
      <c r="B509" s="23"/>
      <c r="C509" s="23"/>
      <c r="D509" s="36"/>
      <c r="E509" s="23"/>
      <c r="F509" s="23"/>
      <c r="G509" s="23"/>
      <c r="H509" s="23"/>
      <c r="I509" s="23"/>
      <c r="J509" s="23"/>
      <c r="K509" s="23"/>
      <c r="L509" s="23"/>
      <c r="M509" s="36"/>
      <c r="N509" s="23"/>
      <c r="O509" s="23"/>
      <c r="P509" s="23"/>
      <c r="Q509" s="23"/>
      <c r="R509" s="23"/>
      <c r="S509" s="23"/>
      <c r="T509" s="23"/>
      <c r="U509" s="23"/>
      <c r="V509" s="36"/>
      <c r="W509" s="42"/>
      <c r="X509" s="42"/>
      <c r="Y509" s="23"/>
      <c r="Z509" s="42"/>
      <c r="AA509" s="42"/>
      <c r="AB509" s="23"/>
      <c r="AC509" s="23"/>
      <c r="AD509" s="23"/>
      <c r="AE509" s="36"/>
      <c r="AF509" s="23"/>
    </row>
    <row r="510" spans="1:32" ht="15.75" x14ac:dyDescent="0.25">
      <c r="A510" s="44"/>
      <c r="B510" s="23"/>
      <c r="C510" s="23"/>
      <c r="D510" s="36"/>
      <c r="E510" s="23"/>
      <c r="F510" s="23"/>
      <c r="G510" s="23"/>
      <c r="H510" s="23"/>
      <c r="I510" s="23"/>
      <c r="J510" s="23"/>
      <c r="K510" s="23"/>
      <c r="L510" s="23"/>
      <c r="M510" s="36"/>
      <c r="N510" s="23"/>
      <c r="O510" s="23"/>
      <c r="P510" s="23"/>
      <c r="Q510" s="23"/>
      <c r="R510" s="23"/>
      <c r="S510" s="23"/>
      <c r="T510" s="23"/>
      <c r="U510" s="23"/>
      <c r="V510" s="36"/>
      <c r="W510" s="42"/>
      <c r="X510" s="42"/>
      <c r="Y510" s="23"/>
      <c r="Z510" s="42"/>
      <c r="AA510" s="42"/>
      <c r="AB510" s="23"/>
      <c r="AC510" s="23"/>
      <c r="AD510" s="23"/>
      <c r="AE510" s="36"/>
      <c r="AF510" s="23"/>
    </row>
    <row r="511" spans="1:32" ht="15.75" x14ac:dyDescent="0.25">
      <c r="A511" s="44"/>
      <c r="B511" s="23"/>
      <c r="C511" s="23"/>
      <c r="D511" s="36"/>
      <c r="E511" s="23"/>
      <c r="F511" s="23"/>
      <c r="G511" s="23"/>
      <c r="H511" s="23"/>
      <c r="I511" s="23"/>
      <c r="J511" s="23"/>
      <c r="K511" s="23"/>
      <c r="L511" s="23"/>
      <c r="M511" s="36"/>
      <c r="N511" s="23"/>
      <c r="O511" s="23"/>
      <c r="P511" s="23"/>
      <c r="Q511" s="23"/>
      <c r="R511" s="23"/>
      <c r="S511" s="23"/>
      <c r="T511" s="23"/>
      <c r="U511" s="23"/>
      <c r="V511" s="36"/>
      <c r="W511" s="42"/>
      <c r="X511" s="42"/>
      <c r="Y511" s="23"/>
      <c r="Z511" s="42"/>
      <c r="AA511" s="42"/>
      <c r="AB511" s="23"/>
      <c r="AC511" s="23"/>
      <c r="AD511" s="23"/>
      <c r="AE511" s="36"/>
      <c r="AF511" s="23"/>
    </row>
    <row r="512" spans="1:32" ht="15.75" x14ac:dyDescent="0.25">
      <c r="A512" s="44"/>
      <c r="B512" s="23"/>
      <c r="C512" s="23"/>
      <c r="D512" s="36"/>
      <c r="E512" s="23"/>
      <c r="F512" s="23"/>
      <c r="G512" s="23"/>
      <c r="H512" s="23"/>
      <c r="I512" s="23"/>
      <c r="J512" s="23"/>
      <c r="K512" s="23"/>
      <c r="L512" s="23"/>
      <c r="M512" s="36"/>
      <c r="N512" s="23"/>
      <c r="O512" s="23"/>
      <c r="P512" s="23"/>
      <c r="Q512" s="23"/>
      <c r="R512" s="23"/>
      <c r="S512" s="23"/>
      <c r="T512" s="23"/>
      <c r="U512" s="23"/>
      <c r="V512" s="36"/>
      <c r="W512" s="42"/>
      <c r="X512" s="42"/>
      <c r="Y512" s="23"/>
      <c r="Z512" s="42"/>
      <c r="AA512" s="42"/>
      <c r="AB512" s="23"/>
      <c r="AC512" s="23"/>
      <c r="AD512" s="23"/>
      <c r="AE512" s="36"/>
      <c r="AF512" s="23"/>
    </row>
    <row r="513" spans="1:32" ht="15.75" x14ac:dyDescent="0.25">
      <c r="A513" s="44"/>
      <c r="B513" s="23"/>
      <c r="C513" s="23"/>
      <c r="D513" s="36"/>
      <c r="E513" s="23"/>
      <c r="F513" s="23"/>
      <c r="G513" s="23"/>
      <c r="H513" s="23"/>
      <c r="I513" s="23"/>
      <c r="J513" s="23"/>
      <c r="K513" s="23"/>
      <c r="L513" s="23"/>
      <c r="M513" s="36"/>
      <c r="N513" s="23"/>
      <c r="O513" s="23"/>
      <c r="P513" s="23"/>
      <c r="Q513" s="23"/>
      <c r="R513" s="23"/>
      <c r="S513" s="23"/>
      <c r="T513" s="23"/>
      <c r="U513" s="23"/>
      <c r="V513" s="36"/>
      <c r="W513" s="42"/>
      <c r="X513" s="42"/>
      <c r="Y513" s="23"/>
      <c r="Z513" s="42"/>
      <c r="AA513" s="42"/>
      <c r="AB513" s="23"/>
      <c r="AC513" s="23"/>
      <c r="AD513" s="23"/>
      <c r="AE513" s="36"/>
      <c r="AF513" s="23"/>
    </row>
    <row r="514" spans="1:32" ht="15.75" x14ac:dyDescent="0.25">
      <c r="A514" s="44"/>
      <c r="B514" s="23"/>
      <c r="C514" s="23"/>
      <c r="D514" s="36"/>
      <c r="E514" s="23"/>
      <c r="F514" s="23"/>
      <c r="G514" s="23"/>
      <c r="H514" s="23"/>
      <c r="I514" s="23"/>
      <c r="J514" s="23"/>
      <c r="K514" s="23"/>
      <c r="L514" s="23"/>
      <c r="M514" s="36"/>
      <c r="N514" s="23"/>
      <c r="O514" s="23"/>
      <c r="P514" s="23"/>
      <c r="Q514" s="23"/>
      <c r="R514" s="23"/>
      <c r="S514" s="23"/>
      <c r="T514" s="23"/>
      <c r="U514" s="23"/>
      <c r="V514" s="36"/>
      <c r="W514" s="42"/>
      <c r="X514" s="42"/>
      <c r="Y514" s="23"/>
      <c r="Z514" s="42"/>
      <c r="AA514" s="42"/>
      <c r="AB514" s="23"/>
      <c r="AC514" s="23"/>
      <c r="AD514" s="23"/>
      <c r="AE514" s="36"/>
      <c r="AF514" s="23"/>
    </row>
    <row r="515" spans="1:32" ht="15.75" x14ac:dyDescent="0.25">
      <c r="A515" s="44"/>
      <c r="B515" s="23"/>
      <c r="C515" s="23"/>
      <c r="D515" s="36"/>
      <c r="E515" s="23"/>
      <c r="F515" s="23"/>
      <c r="G515" s="23"/>
      <c r="H515" s="23"/>
      <c r="I515" s="23"/>
      <c r="J515" s="23"/>
      <c r="K515" s="23"/>
      <c r="L515" s="23"/>
      <c r="M515" s="36"/>
      <c r="N515" s="23"/>
      <c r="O515" s="23"/>
      <c r="P515" s="23"/>
      <c r="Q515" s="23"/>
      <c r="R515" s="23"/>
      <c r="S515" s="23"/>
      <c r="T515" s="23"/>
      <c r="U515" s="23"/>
      <c r="V515" s="36"/>
      <c r="W515" s="42"/>
      <c r="X515" s="42"/>
      <c r="Y515" s="23"/>
      <c r="Z515" s="42"/>
      <c r="AA515" s="42"/>
      <c r="AB515" s="23"/>
      <c r="AC515" s="23"/>
      <c r="AD515" s="23"/>
      <c r="AE515" s="36"/>
      <c r="AF515" s="23"/>
    </row>
    <row r="516" spans="1:32" ht="15.75" x14ac:dyDescent="0.25">
      <c r="A516" s="44"/>
      <c r="B516" s="23"/>
      <c r="C516" s="23"/>
      <c r="D516" s="36"/>
      <c r="E516" s="23"/>
      <c r="F516" s="23"/>
      <c r="G516" s="23"/>
      <c r="H516" s="23"/>
      <c r="I516" s="23"/>
      <c r="J516" s="23"/>
      <c r="K516" s="23"/>
      <c r="L516" s="23"/>
      <c r="M516" s="36"/>
      <c r="N516" s="23"/>
      <c r="O516" s="23"/>
      <c r="P516" s="23"/>
      <c r="Q516" s="23"/>
      <c r="R516" s="23"/>
      <c r="S516" s="23"/>
      <c r="T516" s="23"/>
      <c r="U516" s="23"/>
      <c r="V516" s="36"/>
      <c r="W516" s="42"/>
      <c r="X516" s="42"/>
      <c r="Y516" s="23"/>
      <c r="Z516" s="42"/>
      <c r="AA516" s="42"/>
      <c r="AB516" s="23"/>
      <c r="AC516" s="23"/>
      <c r="AD516" s="23"/>
      <c r="AE516" s="36"/>
      <c r="AF516" s="23"/>
    </row>
    <row r="517" spans="1:32" ht="15.75" x14ac:dyDescent="0.25">
      <c r="A517" s="44"/>
      <c r="B517" s="23"/>
      <c r="C517" s="23"/>
      <c r="D517" s="36"/>
      <c r="E517" s="23"/>
      <c r="F517" s="23"/>
      <c r="G517" s="23"/>
      <c r="H517" s="23"/>
      <c r="I517" s="23"/>
      <c r="J517" s="23"/>
      <c r="K517" s="23"/>
      <c r="L517" s="23"/>
      <c r="M517" s="36"/>
      <c r="N517" s="23"/>
      <c r="O517" s="23"/>
      <c r="P517" s="23"/>
      <c r="Q517" s="23"/>
      <c r="R517" s="23"/>
      <c r="S517" s="23"/>
      <c r="T517" s="23"/>
      <c r="U517" s="23"/>
      <c r="V517" s="36"/>
      <c r="W517" s="42"/>
      <c r="X517" s="42"/>
      <c r="Y517" s="23"/>
      <c r="Z517" s="42"/>
      <c r="AA517" s="42"/>
      <c r="AB517" s="23"/>
      <c r="AC517" s="23"/>
      <c r="AD517" s="23"/>
      <c r="AE517" s="36"/>
      <c r="AF517" s="23"/>
    </row>
    <row r="518" spans="1:32" ht="15.75" x14ac:dyDescent="0.25">
      <c r="A518" s="44"/>
      <c r="B518" s="23"/>
      <c r="C518" s="23"/>
      <c r="D518" s="36"/>
      <c r="E518" s="23"/>
      <c r="F518" s="23"/>
      <c r="G518" s="23"/>
      <c r="H518" s="23"/>
      <c r="I518" s="23"/>
      <c r="J518" s="23"/>
      <c r="K518" s="23"/>
      <c r="L518" s="23"/>
      <c r="M518" s="36"/>
      <c r="N518" s="23"/>
      <c r="O518" s="23"/>
      <c r="P518" s="23"/>
      <c r="Q518" s="23"/>
      <c r="R518" s="23"/>
      <c r="S518" s="23"/>
      <c r="T518" s="23"/>
      <c r="U518" s="23"/>
      <c r="V518" s="36"/>
      <c r="W518" s="42"/>
      <c r="X518" s="42"/>
      <c r="Y518" s="23"/>
      <c r="Z518" s="42"/>
      <c r="AA518" s="42"/>
      <c r="AB518" s="23"/>
      <c r="AC518" s="23"/>
      <c r="AD518" s="23"/>
      <c r="AE518" s="36"/>
      <c r="AF518" s="23"/>
    </row>
    <row r="519" spans="1:32" ht="15.75" x14ac:dyDescent="0.25">
      <c r="A519" s="44"/>
      <c r="B519" s="23"/>
      <c r="C519" s="23"/>
      <c r="D519" s="36"/>
      <c r="E519" s="23"/>
      <c r="F519" s="23"/>
      <c r="G519" s="23"/>
      <c r="H519" s="23"/>
      <c r="I519" s="23"/>
      <c r="J519" s="23"/>
      <c r="K519" s="23"/>
      <c r="L519" s="23"/>
      <c r="M519" s="36"/>
      <c r="N519" s="23"/>
      <c r="O519" s="23"/>
      <c r="P519" s="23"/>
      <c r="Q519" s="23"/>
      <c r="R519" s="23"/>
      <c r="S519" s="23"/>
      <c r="T519" s="23"/>
      <c r="U519" s="23"/>
      <c r="V519" s="36"/>
      <c r="W519" s="42"/>
      <c r="X519" s="42"/>
      <c r="Y519" s="23"/>
      <c r="Z519" s="42"/>
      <c r="AA519" s="42"/>
      <c r="AB519" s="23"/>
      <c r="AC519" s="23"/>
      <c r="AD519" s="23"/>
      <c r="AE519" s="36"/>
      <c r="AF519" s="23"/>
    </row>
    <row r="520" spans="1:32" ht="15.75" x14ac:dyDescent="0.25">
      <c r="A520" s="44"/>
      <c r="B520" s="23"/>
      <c r="C520" s="23"/>
      <c r="D520" s="36"/>
      <c r="E520" s="23"/>
      <c r="F520" s="23"/>
      <c r="G520" s="23"/>
      <c r="H520" s="23"/>
      <c r="I520" s="23"/>
      <c r="J520" s="23"/>
      <c r="K520" s="23"/>
      <c r="L520" s="23"/>
      <c r="M520" s="36"/>
      <c r="N520" s="23"/>
      <c r="O520" s="23"/>
      <c r="P520" s="23"/>
      <c r="Q520" s="23"/>
      <c r="R520" s="23"/>
      <c r="S520" s="23"/>
      <c r="T520" s="23"/>
      <c r="U520" s="23"/>
      <c r="V520" s="36"/>
      <c r="W520" s="42"/>
      <c r="X520" s="42"/>
      <c r="Y520" s="23"/>
      <c r="Z520" s="42"/>
      <c r="AA520" s="42"/>
      <c r="AB520" s="23"/>
      <c r="AC520" s="23"/>
      <c r="AD520" s="23"/>
      <c r="AE520" s="36"/>
      <c r="AF520" s="23"/>
    </row>
    <row r="521" spans="1:32" ht="15.75" x14ac:dyDescent="0.25">
      <c r="A521" s="44"/>
      <c r="B521" s="23"/>
      <c r="C521" s="23"/>
      <c r="D521" s="36"/>
      <c r="E521" s="23"/>
      <c r="F521" s="23"/>
      <c r="G521" s="23"/>
      <c r="H521" s="23"/>
      <c r="I521" s="23"/>
      <c r="J521" s="23"/>
      <c r="K521" s="23"/>
      <c r="L521" s="23"/>
      <c r="M521" s="36"/>
      <c r="N521" s="23"/>
      <c r="O521" s="23"/>
      <c r="P521" s="23"/>
      <c r="Q521" s="23"/>
      <c r="R521" s="23"/>
      <c r="S521" s="23"/>
      <c r="T521" s="23"/>
      <c r="U521" s="23"/>
      <c r="V521" s="36"/>
      <c r="W521" s="42"/>
      <c r="X521" s="42"/>
      <c r="Y521" s="23"/>
      <c r="Z521" s="42"/>
      <c r="AA521" s="42"/>
      <c r="AB521" s="23"/>
      <c r="AC521" s="23"/>
      <c r="AD521" s="23"/>
      <c r="AE521" s="36"/>
      <c r="AF521" s="23"/>
    </row>
    <row r="522" spans="1:32" ht="15.75" x14ac:dyDescent="0.25">
      <c r="A522" s="44"/>
      <c r="B522" s="23"/>
      <c r="C522" s="23"/>
      <c r="D522" s="36"/>
      <c r="E522" s="23"/>
      <c r="F522" s="23"/>
      <c r="G522" s="23"/>
      <c r="H522" s="23"/>
      <c r="I522" s="23"/>
      <c r="J522" s="23"/>
      <c r="K522" s="23"/>
      <c r="L522" s="23"/>
      <c r="M522" s="36"/>
      <c r="N522" s="23"/>
      <c r="O522" s="23"/>
      <c r="P522" s="23"/>
      <c r="Q522" s="23"/>
      <c r="R522" s="23"/>
      <c r="S522" s="23"/>
      <c r="T522" s="23"/>
      <c r="U522" s="23"/>
      <c r="V522" s="36"/>
      <c r="W522" s="42"/>
      <c r="X522" s="42"/>
      <c r="Y522" s="23"/>
      <c r="Z522" s="42"/>
      <c r="AA522" s="42"/>
      <c r="AB522" s="23"/>
      <c r="AC522" s="23"/>
      <c r="AD522" s="23"/>
      <c r="AE522" s="36"/>
      <c r="AF522" s="23"/>
    </row>
    <row r="523" spans="1:32" ht="15.75" x14ac:dyDescent="0.25">
      <c r="A523" s="44"/>
      <c r="B523" s="23"/>
      <c r="C523" s="23"/>
      <c r="D523" s="36"/>
      <c r="E523" s="23"/>
      <c r="F523" s="23"/>
      <c r="G523" s="23"/>
      <c r="H523" s="23"/>
      <c r="I523" s="23"/>
      <c r="J523" s="23"/>
      <c r="K523" s="23"/>
      <c r="L523" s="23"/>
      <c r="M523" s="36"/>
      <c r="N523" s="23"/>
      <c r="O523" s="23"/>
      <c r="P523" s="23"/>
      <c r="Q523" s="23"/>
      <c r="R523" s="23"/>
      <c r="S523" s="23"/>
      <c r="T523" s="23"/>
      <c r="U523" s="23"/>
      <c r="V523" s="36"/>
      <c r="W523" s="42"/>
      <c r="X523" s="42"/>
      <c r="Y523" s="23"/>
      <c r="Z523" s="42"/>
      <c r="AA523" s="42"/>
      <c r="AB523" s="23"/>
      <c r="AC523" s="23"/>
      <c r="AD523" s="23"/>
      <c r="AE523" s="36"/>
      <c r="AF523" s="23"/>
    </row>
    <row r="524" spans="1:32" ht="15.75" x14ac:dyDescent="0.25">
      <c r="A524" s="44"/>
      <c r="B524" s="23"/>
      <c r="C524" s="23"/>
      <c r="D524" s="36"/>
      <c r="E524" s="23"/>
      <c r="F524" s="23"/>
      <c r="G524" s="23"/>
      <c r="H524" s="23"/>
      <c r="I524" s="23"/>
      <c r="J524" s="23"/>
      <c r="K524" s="23"/>
      <c r="L524" s="23"/>
      <c r="M524" s="36"/>
      <c r="N524" s="23"/>
      <c r="O524" s="23"/>
      <c r="P524" s="23"/>
      <c r="Q524" s="23"/>
      <c r="R524" s="23"/>
      <c r="S524" s="23"/>
      <c r="T524" s="23"/>
      <c r="U524" s="23"/>
      <c r="V524" s="36"/>
      <c r="W524" s="42"/>
      <c r="X524" s="42"/>
      <c r="Y524" s="23"/>
      <c r="Z524" s="42"/>
      <c r="AA524" s="42"/>
      <c r="AB524" s="23"/>
      <c r="AC524" s="23"/>
      <c r="AD524" s="23"/>
      <c r="AE524" s="36"/>
      <c r="AF524" s="23"/>
    </row>
    <row r="525" spans="1:32" ht="15.75" x14ac:dyDescent="0.25">
      <c r="A525" s="44"/>
      <c r="B525" s="23"/>
      <c r="C525" s="23"/>
      <c r="D525" s="36"/>
      <c r="E525" s="23"/>
      <c r="F525" s="23"/>
      <c r="G525" s="23"/>
      <c r="H525" s="23"/>
      <c r="I525" s="23"/>
      <c r="J525" s="23"/>
      <c r="K525" s="23"/>
      <c r="L525" s="23"/>
      <c r="M525" s="36"/>
      <c r="N525" s="23"/>
      <c r="O525" s="23"/>
      <c r="P525" s="23"/>
      <c r="Q525" s="23"/>
      <c r="R525" s="23"/>
      <c r="S525" s="23"/>
      <c r="T525" s="23"/>
      <c r="U525" s="23"/>
      <c r="V525" s="36"/>
      <c r="W525" s="42"/>
      <c r="X525" s="42"/>
      <c r="Y525" s="23"/>
      <c r="Z525" s="42"/>
      <c r="AA525" s="42"/>
      <c r="AB525" s="23"/>
      <c r="AC525" s="23"/>
      <c r="AD525" s="23"/>
      <c r="AE525" s="36"/>
      <c r="AF525" s="23"/>
    </row>
    <row r="526" spans="1:32" ht="15.75" x14ac:dyDescent="0.25">
      <c r="A526" s="44"/>
      <c r="B526" s="23"/>
      <c r="C526" s="23"/>
      <c r="D526" s="36"/>
      <c r="E526" s="23"/>
      <c r="F526" s="23"/>
      <c r="G526" s="23"/>
      <c r="H526" s="23"/>
      <c r="I526" s="23"/>
      <c r="J526" s="23"/>
      <c r="K526" s="23"/>
      <c r="L526" s="23"/>
      <c r="M526" s="36"/>
      <c r="N526" s="23"/>
      <c r="O526" s="23"/>
      <c r="P526" s="23"/>
      <c r="Q526" s="23"/>
      <c r="R526" s="23"/>
      <c r="S526" s="23"/>
      <c r="T526" s="23"/>
      <c r="U526" s="23"/>
      <c r="V526" s="36"/>
      <c r="W526" s="42"/>
      <c r="X526" s="42"/>
      <c r="Y526" s="23"/>
      <c r="Z526" s="42"/>
      <c r="AA526" s="42"/>
      <c r="AB526" s="23"/>
      <c r="AC526" s="23"/>
      <c r="AD526" s="23"/>
      <c r="AE526" s="36"/>
      <c r="AF526" s="23"/>
    </row>
    <row r="527" spans="1:32" ht="15.75" x14ac:dyDescent="0.25">
      <c r="A527" s="44"/>
      <c r="B527" s="23"/>
      <c r="C527" s="23"/>
      <c r="D527" s="36"/>
      <c r="E527" s="23"/>
      <c r="F527" s="23"/>
      <c r="G527" s="23"/>
      <c r="H527" s="23"/>
      <c r="I527" s="23"/>
      <c r="J527" s="23"/>
      <c r="K527" s="23"/>
      <c r="L527" s="23"/>
      <c r="M527" s="36"/>
      <c r="N527" s="23"/>
      <c r="O527" s="23"/>
      <c r="P527" s="23"/>
      <c r="Q527" s="23"/>
      <c r="R527" s="23"/>
      <c r="S527" s="23"/>
      <c r="T527" s="23"/>
      <c r="U527" s="23"/>
      <c r="V527" s="36"/>
      <c r="W527" s="42"/>
      <c r="X527" s="42"/>
      <c r="Y527" s="23"/>
      <c r="Z527" s="42"/>
      <c r="AA527" s="42"/>
      <c r="AB527" s="23"/>
      <c r="AC527" s="23"/>
      <c r="AD527" s="23"/>
      <c r="AE527" s="36"/>
      <c r="AF527" s="23"/>
    </row>
    <row r="528" spans="1:32" ht="15.75" x14ac:dyDescent="0.25">
      <c r="A528" s="44"/>
      <c r="B528" s="23"/>
      <c r="C528" s="23"/>
      <c r="D528" s="36"/>
      <c r="E528" s="23"/>
      <c r="F528" s="23"/>
      <c r="G528" s="23"/>
      <c r="H528" s="23"/>
      <c r="I528" s="23"/>
      <c r="J528" s="23"/>
      <c r="K528" s="23"/>
      <c r="L528" s="23"/>
      <c r="M528" s="36"/>
      <c r="N528" s="23"/>
      <c r="O528" s="23"/>
      <c r="P528" s="23"/>
      <c r="Q528" s="23"/>
      <c r="R528" s="23"/>
      <c r="S528" s="23"/>
      <c r="T528" s="23"/>
      <c r="U528" s="23"/>
      <c r="V528" s="36"/>
      <c r="W528" s="42"/>
      <c r="X528" s="42"/>
      <c r="Y528" s="23"/>
      <c r="Z528" s="42"/>
      <c r="AA528" s="42"/>
      <c r="AB528" s="23"/>
      <c r="AC528" s="23"/>
      <c r="AD528" s="23"/>
      <c r="AE528" s="36"/>
      <c r="AF528" s="23"/>
    </row>
    <row r="529" spans="1:32" ht="15.75" x14ac:dyDescent="0.25">
      <c r="A529" s="44"/>
      <c r="B529" s="23"/>
      <c r="C529" s="23"/>
      <c r="D529" s="36"/>
      <c r="E529" s="23"/>
      <c r="F529" s="23"/>
      <c r="G529" s="23"/>
      <c r="H529" s="23"/>
      <c r="I529" s="23"/>
      <c r="J529" s="23"/>
      <c r="K529" s="23"/>
      <c r="L529" s="23"/>
      <c r="M529" s="36"/>
      <c r="N529" s="23"/>
      <c r="O529" s="23"/>
      <c r="P529" s="23"/>
      <c r="Q529" s="23"/>
      <c r="R529" s="23"/>
      <c r="S529" s="23"/>
      <c r="T529" s="23"/>
      <c r="U529" s="23"/>
      <c r="V529" s="36"/>
      <c r="W529" s="42"/>
      <c r="X529" s="42"/>
      <c r="Y529" s="23"/>
      <c r="Z529" s="42"/>
      <c r="AA529" s="42"/>
      <c r="AB529" s="23"/>
      <c r="AC529" s="23"/>
      <c r="AD529" s="23"/>
      <c r="AE529" s="36"/>
      <c r="AF529" s="23"/>
    </row>
    <row r="530" spans="1:32" ht="15.75" x14ac:dyDescent="0.25">
      <c r="A530" s="44"/>
      <c r="B530" s="23"/>
      <c r="C530" s="23"/>
      <c r="D530" s="36"/>
      <c r="E530" s="23"/>
      <c r="F530" s="23"/>
      <c r="G530" s="23"/>
      <c r="H530" s="23"/>
      <c r="I530" s="23"/>
      <c r="J530" s="23"/>
      <c r="K530" s="23"/>
      <c r="L530" s="23"/>
      <c r="M530" s="36"/>
      <c r="N530" s="23"/>
      <c r="O530" s="23"/>
      <c r="P530" s="23"/>
      <c r="Q530" s="23"/>
      <c r="R530" s="23"/>
      <c r="S530" s="23"/>
      <c r="T530" s="23"/>
      <c r="U530" s="23"/>
      <c r="V530" s="36"/>
      <c r="W530" s="42"/>
      <c r="X530" s="42"/>
      <c r="Y530" s="23"/>
      <c r="Z530" s="42"/>
      <c r="AA530" s="42"/>
      <c r="AB530" s="23"/>
      <c r="AC530" s="23"/>
      <c r="AD530" s="23"/>
      <c r="AE530" s="36"/>
      <c r="AF530" s="23"/>
    </row>
    <row r="531" spans="1:32" ht="15.75" x14ac:dyDescent="0.25">
      <c r="A531" s="44"/>
      <c r="B531" s="23"/>
      <c r="C531" s="23"/>
      <c r="D531" s="36"/>
      <c r="E531" s="23"/>
      <c r="F531" s="23"/>
      <c r="G531" s="23"/>
      <c r="H531" s="23"/>
      <c r="I531" s="23"/>
      <c r="J531" s="23"/>
      <c r="K531" s="23"/>
      <c r="L531" s="23"/>
      <c r="M531" s="36"/>
      <c r="N531" s="23"/>
      <c r="O531" s="23"/>
      <c r="P531" s="23"/>
      <c r="Q531" s="23"/>
      <c r="R531" s="23"/>
      <c r="S531" s="23"/>
      <c r="T531" s="23"/>
      <c r="U531" s="23"/>
      <c r="V531" s="36"/>
      <c r="W531" s="42"/>
      <c r="X531" s="42"/>
      <c r="Y531" s="23"/>
      <c r="Z531" s="42"/>
      <c r="AA531" s="42"/>
      <c r="AB531" s="23"/>
      <c r="AC531" s="23"/>
      <c r="AD531" s="23"/>
      <c r="AE531" s="36"/>
      <c r="AF531" s="23"/>
    </row>
    <row r="532" spans="1:32" ht="15.75" x14ac:dyDescent="0.25">
      <c r="A532" s="44"/>
      <c r="B532" s="23"/>
      <c r="C532" s="23"/>
      <c r="D532" s="36"/>
      <c r="E532" s="23"/>
      <c r="F532" s="23"/>
      <c r="G532" s="23"/>
      <c r="H532" s="23"/>
      <c r="I532" s="23"/>
      <c r="J532" s="23"/>
      <c r="K532" s="23"/>
      <c r="L532" s="23"/>
      <c r="M532" s="36"/>
      <c r="N532" s="23"/>
      <c r="O532" s="23"/>
      <c r="P532" s="23"/>
      <c r="Q532" s="23"/>
      <c r="R532" s="23"/>
      <c r="S532" s="23"/>
      <c r="T532" s="23"/>
      <c r="U532" s="23"/>
      <c r="V532" s="36"/>
      <c r="W532" s="42"/>
      <c r="X532" s="42"/>
      <c r="Y532" s="23"/>
      <c r="Z532" s="42"/>
      <c r="AA532" s="42"/>
      <c r="AB532" s="23"/>
      <c r="AC532" s="23"/>
      <c r="AD532" s="23"/>
      <c r="AE532" s="36"/>
      <c r="AF532" s="23"/>
    </row>
    <row r="533" spans="1:32" ht="15.75" x14ac:dyDescent="0.25">
      <c r="A533" s="44"/>
      <c r="B533" s="23"/>
      <c r="C533" s="23"/>
      <c r="D533" s="36"/>
      <c r="E533" s="23"/>
      <c r="F533" s="23"/>
      <c r="G533" s="23"/>
      <c r="H533" s="23"/>
      <c r="I533" s="23"/>
      <c r="J533" s="23"/>
      <c r="K533" s="23"/>
      <c r="L533" s="23"/>
      <c r="M533" s="36"/>
      <c r="N533" s="23"/>
      <c r="O533" s="23"/>
      <c r="P533" s="23"/>
      <c r="Q533" s="23"/>
      <c r="R533" s="23"/>
      <c r="S533" s="23"/>
      <c r="T533" s="23"/>
      <c r="U533" s="23"/>
      <c r="V533" s="36"/>
      <c r="W533" s="42"/>
      <c r="X533" s="42"/>
      <c r="Y533" s="23"/>
      <c r="Z533" s="42"/>
      <c r="AA533" s="42"/>
      <c r="AB533" s="23"/>
      <c r="AC533" s="23"/>
      <c r="AD533" s="23"/>
      <c r="AE533" s="36"/>
      <c r="AF533" s="23"/>
    </row>
    <row r="534" spans="1:32" ht="15.75" x14ac:dyDescent="0.25">
      <c r="A534" s="44"/>
      <c r="B534" s="23"/>
      <c r="C534" s="23"/>
      <c r="D534" s="36"/>
      <c r="E534" s="23"/>
      <c r="F534" s="23"/>
      <c r="G534" s="23"/>
      <c r="H534" s="23"/>
      <c r="I534" s="23"/>
      <c r="J534" s="23"/>
      <c r="K534" s="23"/>
      <c r="L534" s="23"/>
      <c r="M534" s="36"/>
      <c r="N534" s="23"/>
      <c r="O534" s="23"/>
      <c r="P534" s="23"/>
      <c r="Q534" s="23"/>
      <c r="R534" s="23"/>
      <c r="S534" s="23"/>
      <c r="T534" s="23"/>
      <c r="U534" s="23"/>
      <c r="V534" s="36"/>
      <c r="W534" s="42"/>
      <c r="X534" s="42"/>
      <c r="Y534" s="23"/>
      <c r="Z534" s="42"/>
      <c r="AA534" s="42"/>
      <c r="AB534" s="23"/>
      <c r="AC534" s="23"/>
      <c r="AD534" s="23"/>
      <c r="AE534" s="36"/>
      <c r="AF534" s="23"/>
    </row>
    <row r="535" spans="1:32" ht="15.75" x14ac:dyDescent="0.25">
      <c r="A535" s="44"/>
      <c r="B535" s="23"/>
      <c r="C535" s="23"/>
      <c r="D535" s="36"/>
      <c r="E535" s="23"/>
      <c r="F535" s="23"/>
      <c r="G535" s="23"/>
      <c r="H535" s="23"/>
      <c r="I535" s="23"/>
      <c r="J535" s="23"/>
      <c r="K535" s="23"/>
      <c r="L535" s="23"/>
      <c r="M535" s="36"/>
      <c r="N535" s="23"/>
      <c r="O535" s="23"/>
      <c r="P535" s="23"/>
      <c r="Q535" s="23"/>
      <c r="R535" s="23"/>
      <c r="S535" s="23"/>
      <c r="T535" s="23"/>
      <c r="U535" s="23"/>
      <c r="V535" s="36"/>
      <c r="W535" s="42"/>
      <c r="X535" s="42"/>
      <c r="Y535" s="23"/>
      <c r="Z535" s="42"/>
      <c r="AA535" s="42"/>
      <c r="AB535" s="23"/>
      <c r="AC535" s="23"/>
      <c r="AD535" s="23"/>
      <c r="AE535" s="36"/>
      <c r="AF535" s="23"/>
    </row>
    <row r="536" spans="1:32" ht="15.75" x14ac:dyDescent="0.25">
      <c r="A536" s="44"/>
      <c r="B536" s="23"/>
      <c r="C536" s="23"/>
      <c r="D536" s="36"/>
      <c r="E536" s="23"/>
      <c r="F536" s="23"/>
      <c r="G536" s="23"/>
      <c r="H536" s="23"/>
      <c r="I536" s="23"/>
      <c r="J536" s="23"/>
      <c r="K536" s="23"/>
      <c r="L536" s="23"/>
      <c r="M536" s="36"/>
      <c r="N536" s="23"/>
      <c r="O536" s="23"/>
      <c r="P536" s="23"/>
      <c r="Q536" s="23"/>
      <c r="R536" s="23"/>
      <c r="S536" s="23"/>
      <c r="T536" s="23"/>
      <c r="U536" s="23"/>
      <c r="V536" s="36"/>
      <c r="W536" s="42"/>
      <c r="X536" s="42"/>
      <c r="Y536" s="23"/>
      <c r="Z536" s="42"/>
      <c r="AA536" s="42"/>
      <c r="AB536" s="23"/>
      <c r="AC536" s="23"/>
      <c r="AD536" s="23"/>
      <c r="AE536" s="36"/>
      <c r="AF536" s="23"/>
    </row>
    <row r="537" spans="1:32" ht="15.75" x14ac:dyDescent="0.25">
      <c r="A537" s="44"/>
      <c r="B537" s="23"/>
      <c r="C537" s="23"/>
      <c r="D537" s="36"/>
      <c r="E537" s="23"/>
      <c r="F537" s="23"/>
      <c r="G537" s="23"/>
      <c r="H537" s="23"/>
      <c r="I537" s="23"/>
      <c r="J537" s="23"/>
      <c r="K537" s="23"/>
      <c r="L537" s="23"/>
      <c r="M537" s="36"/>
      <c r="N537" s="23"/>
      <c r="O537" s="23"/>
      <c r="P537" s="23"/>
      <c r="Q537" s="23"/>
      <c r="R537" s="23"/>
      <c r="S537" s="23"/>
      <c r="T537" s="23"/>
      <c r="U537" s="23"/>
      <c r="V537" s="36"/>
      <c r="W537" s="42"/>
      <c r="X537" s="42"/>
      <c r="Y537" s="23"/>
      <c r="Z537" s="42"/>
      <c r="AA537" s="42"/>
      <c r="AB537" s="23"/>
      <c r="AC537" s="23"/>
      <c r="AD537" s="23"/>
      <c r="AE537" s="36"/>
      <c r="AF537" s="23"/>
    </row>
    <row r="538" spans="1:32" ht="15.75" x14ac:dyDescent="0.25">
      <c r="A538" s="44"/>
      <c r="B538" s="23"/>
      <c r="C538" s="23"/>
      <c r="D538" s="36"/>
      <c r="E538" s="23"/>
      <c r="F538" s="23"/>
      <c r="G538" s="23"/>
      <c r="H538" s="23"/>
      <c r="I538" s="23"/>
      <c r="J538" s="23"/>
      <c r="K538" s="23"/>
      <c r="L538" s="23"/>
      <c r="M538" s="36"/>
      <c r="N538" s="23"/>
      <c r="O538" s="23"/>
      <c r="P538" s="23"/>
      <c r="Q538" s="23"/>
      <c r="R538" s="23"/>
      <c r="S538" s="23"/>
      <c r="T538" s="23"/>
      <c r="U538" s="23"/>
      <c r="V538" s="36"/>
      <c r="W538" s="42"/>
      <c r="X538" s="42"/>
      <c r="Y538" s="23"/>
      <c r="Z538" s="42"/>
      <c r="AA538" s="42"/>
      <c r="AB538" s="23"/>
      <c r="AC538" s="23"/>
      <c r="AD538" s="23"/>
      <c r="AE538" s="36"/>
      <c r="AF538" s="23"/>
    </row>
    <row r="539" spans="1:32" ht="15.75" x14ac:dyDescent="0.25">
      <c r="A539" s="44"/>
      <c r="B539" s="23"/>
      <c r="C539" s="23"/>
      <c r="D539" s="36"/>
      <c r="E539" s="23"/>
      <c r="F539" s="23"/>
      <c r="G539" s="23"/>
      <c r="H539" s="23"/>
      <c r="I539" s="23"/>
      <c r="J539" s="23"/>
      <c r="K539" s="23"/>
      <c r="L539" s="23"/>
      <c r="M539" s="36"/>
      <c r="N539" s="23"/>
      <c r="O539" s="23"/>
      <c r="P539" s="23"/>
      <c r="Q539" s="23"/>
      <c r="R539" s="23"/>
      <c r="S539" s="23"/>
      <c r="T539" s="23"/>
      <c r="U539" s="23"/>
      <c r="V539" s="36"/>
      <c r="W539" s="42"/>
      <c r="X539" s="42"/>
      <c r="Y539" s="23"/>
      <c r="Z539" s="42"/>
      <c r="AA539" s="42"/>
      <c r="AB539" s="23"/>
      <c r="AC539" s="23"/>
      <c r="AD539" s="23"/>
      <c r="AE539" s="36"/>
      <c r="AF539" s="23"/>
    </row>
    <row r="540" spans="1:32" ht="15.75" x14ac:dyDescent="0.25">
      <c r="A540" s="44"/>
      <c r="B540" s="23"/>
      <c r="C540" s="23"/>
      <c r="D540" s="36"/>
      <c r="E540" s="23"/>
      <c r="F540" s="23"/>
      <c r="G540" s="23"/>
      <c r="H540" s="23"/>
      <c r="I540" s="23"/>
      <c r="J540" s="23"/>
      <c r="K540" s="23"/>
      <c r="L540" s="23"/>
      <c r="M540" s="36"/>
      <c r="N540" s="23"/>
      <c r="O540" s="23"/>
      <c r="P540" s="23"/>
      <c r="Q540" s="23"/>
      <c r="R540" s="23"/>
      <c r="S540" s="23"/>
      <c r="T540" s="23"/>
      <c r="U540" s="23"/>
      <c r="V540" s="36"/>
      <c r="W540" s="42"/>
      <c r="X540" s="42"/>
      <c r="Y540" s="23"/>
      <c r="Z540" s="42"/>
      <c r="AA540" s="42"/>
      <c r="AB540" s="23"/>
      <c r="AC540" s="23"/>
      <c r="AD540" s="23"/>
      <c r="AE540" s="36"/>
      <c r="AF540" s="23"/>
    </row>
    <row r="541" spans="1:32" ht="15.75" x14ac:dyDescent="0.25">
      <c r="A541" s="44"/>
      <c r="B541" s="23"/>
      <c r="C541" s="23"/>
      <c r="D541" s="36"/>
      <c r="E541" s="23"/>
      <c r="F541" s="23"/>
      <c r="G541" s="23"/>
      <c r="H541" s="23"/>
      <c r="I541" s="23"/>
      <c r="J541" s="23"/>
      <c r="K541" s="23"/>
      <c r="L541" s="23"/>
      <c r="M541" s="36"/>
      <c r="N541" s="23"/>
      <c r="O541" s="23"/>
      <c r="P541" s="23"/>
      <c r="Q541" s="23"/>
      <c r="R541" s="23"/>
      <c r="S541" s="23"/>
      <c r="T541" s="23"/>
      <c r="U541" s="23"/>
      <c r="V541" s="36"/>
      <c r="W541" s="42"/>
      <c r="X541" s="42"/>
      <c r="Y541" s="23"/>
      <c r="Z541" s="42"/>
      <c r="AA541" s="42"/>
      <c r="AB541" s="23"/>
      <c r="AC541" s="23"/>
      <c r="AD541" s="23"/>
      <c r="AE541" s="36"/>
      <c r="AF541" s="23"/>
    </row>
    <row r="542" spans="1:32" ht="15.75" x14ac:dyDescent="0.25">
      <c r="A542" s="44"/>
      <c r="B542" s="23"/>
      <c r="C542" s="23"/>
      <c r="D542" s="36"/>
      <c r="E542" s="23"/>
      <c r="F542" s="23"/>
      <c r="G542" s="23"/>
      <c r="H542" s="23"/>
      <c r="I542" s="23"/>
      <c r="J542" s="23"/>
      <c r="K542" s="23"/>
      <c r="L542" s="23"/>
      <c r="M542" s="36"/>
      <c r="N542" s="23"/>
      <c r="O542" s="23"/>
      <c r="P542" s="23"/>
      <c r="Q542" s="23"/>
      <c r="R542" s="23"/>
      <c r="S542" s="23"/>
      <c r="T542" s="23"/>
      <c r="U542" s="23"/>
      <c r="V542" s="36"/>
      <c r="W542" s="42"/>
      <c r="X542" s="42"/>
      <c r="Y542" s="23"/>
      <c r="Z542" s="42"/>
      <c r="AA542" s="42"/>
      <c r="AB542" s="23"/>
      <c r="AC542" s="23"/>
      <c r="AD542" s="23"/>
      <c r="AE542" s="36"/>
      <c r="AF542" s="23"/>
    </row>
    <row r="543" spans="1:32" ht="15.75" x14ac:dyDescent="0.25">
      <c r="A543" s="44"/>
      <c r="B543" s="23"/>
      <c r="C543" s="23"/>
      <c r="D543" s="36"/>
      <c r="E543" s="23"/>
      <c r="F543" s="23"/>
      <c r="G543" s="23"/>
      <c r="H543" s="23"/>
      <c r="I543" s="23"/>
      <c r="J543" s="23"/>
      <c r="K543" s="23"/>
      <c r="L543" s="23"/>
      <c r="M543" s="36"/>
      <c r="N543" s="23"/>
      <c r="O543" s="23"/>
      <c r="P543" s="23"/>
      <c r="Q543" s="23"/>
      <c r="R543" s="23"/>
      <c r="S543" s="23"/>
      <c r="T543" s="23"/>
      <c r="U543" s="23"/>
      <c r="V543" s="36"/>
      <c r="W543" s="42"/>
      <c r="X543" s="42"/>
      <c r="Y543" s="23"/>
      <c r="Z543" s="42"/>
      <c r="AA543" s="42"/>
      <c r="AB543" s="23"/>
      <c r="AC543" s="23"/>
      <c r="AD543" s="23"/>
      <c r="AE543" s="36"/>
      <c r="AF543" s="23"/>
    </row>
    <row r="544" spans="1:32" ht="15.75" x14ac:dyDescent="0.25">
      <c r="A544" s="44"/>
      <c r="B544" s="23"/>
      <c r="C544" s="23"/>
      <c r="D544" s="36"/>
      <c r="E544" s="23"/>
      <c r="F544" s="23"/>
      <c r="G544" s="23"/>
      <c r="H544" s="23"/>
      <c r="I544" s="23"/>
      <c r="J544" s="23"/>
      <c r="K544" s="23"/>
      <c r="L544" s="23"/>
      <c r="M544" s="36"/>
      <c r="N544" s="23"/>
      <c r="O544" s="23"/>
      <c r="P544" s="23"/>
      <c r="Q544" s="23"/>
      <c r="R544" s="23"/>
      <c r="S544" s="23"/>
      <c r="T544" s="23"/>
      <c r="U544" s="23"/>
      <c r="V544" s="36"/>
      <c r="W544" s="42"/>
      <c r="X544" s="42"/>
      <c r="Y544" s="23"/>
      <c r="Z544" s="42"/>
      <c r="AA544" s="42"/>
      <c r="AB544" s="23"/>
      <c r="AC544" s="23"/>
      <c r="AD544" s="23"/>
      <c r="AE544" s="36"/>
      <c r="AF544" s="23"/>
    </row>
    <row r="545" spans="1:32" ht="15.75" x14ac:dyDescent="0.25">
      <c r="A545" s="44"/>
      <c r="B545" s="23"/>
      <c r="C545" s="23"/>
      <c r="D545" s="36"/>
      <c r="E545" s="23"/>
      <c r="F545" s="23"/>
      <c r="G545" s="23"/>
      <c r="H545" s="23"/>
      <c r="I545" s="23"/>
      <c r="J545" s="23"/>
      <c r="K545" s="23"/>
      <c r="L545" s="23"/>
      <c r="M545" s="36"/>
      <c r="N545" s="23"/>
      <c r="O545" s="23"/>
      <c r="P545" s="23"/>
      <c r="Q545" s="23"/>
      <c r="R545" s="23"/>
      <c r="S545" s="23"/>
      <c r="T545" s="23"/>
      <c r="U545" s="23"/>
      <c r="V545" s="36"/>
      <c r="W545" s="42"/>
      <c r="X545" s="42"/>
      <c r="Y545" s="23"/>
      <c r="Z545" s="42"/>
      <c r="AA545" s="42"/>
      <c r="AB545" s="23"/>
      <c r="AC545" s="23"/>
      <c r="AD545" s="23"/>
      <c r="AE545" s="36"/>
      <c r="AF545" s="23"/>
    </row>
    <row r="546" spans="1:32" ht="15.75" x14ac:dyDescent="0.25">
      <c r="A546" s="44"/>
      <c r="B546" s="23"/>
      <c r="C546" s="23"/>
      <c r="D546" s="36"/>
      <c r="E546" s="23"/>
      <c r="F546" s="23"/>
      <c r="G546" s="23"/>
      <c r="H546" s="23"/>
      <c r="I546" s="23"/>
      <c r="J546" s="23"/>
      <c r="K546" s="23"/>
      <c r="L546" s="23"/>
      <c r="M546" s="36"/>
      <c r="N546" s="23"/>
      <c r="O546" s="23"/>
      <c r="P546" s="23"/>
      <c r="Q546" s="23"/>
      <c r="R546" s="23"/>
      <c r="S546" s="23"/>
      <c r="T546" s="23"/>
      <c r="U546" s="23"/>
      <c r="V546" s="36"/>
      <c r="W546" s="42"/>
      <c r="X546" s="42"/>
      <c r="Y546" s="23"/>
      <c r="Z546" s="42"/>
      <c r="AA546" s="42"/>
      <c r="AB546" s="23"/>
      <c r="AC546" s="23"/>
      <c r="AD546" s="23"/>
      <c r="AE546" s="36"/>
      <c r="AF546" s="23"/>
    </row>
    <row r="547" spans="1:32" ht="15.75" x14ac:dyDescent="0.25">
      <c r="A547" s="44"/>
      <c r="B547" s="23"/>
      <c r="C547" s="23"/>
      <c r="D547" s="36"/>
      <c r="E547" s="23"/>
      <c r="F547" s="23"/>
      <c r="G547" s="23"/>
      <c r="H547" s="23"/>
      <c r="I547" s="23"/>
      <c r="J547" s="23"/>
      <c r="K547" s="23"/>
      <c r="L547" s="23"/>
      <c r="M547" s="36"/>
      <c r="N547" s="23"/>
      <c r="O547" s="23"/>
      <c r="P547" s="23"/>
      <c r="Q547" s="23"/>
      <c r="R547" s="23"/>
      <c r="S547" s="23"/>
      <c r="T547" s="23"/>
      <c r="U547" s="23"/>
      <c r="V547" s="36"/>
      <c r="W547" s="42"/>
      <c r="X547" s="42"/>
      <c r="Y547" s="23"/>
      <c r="Z547" s="42"/>
      <c r="AA547" s="42"/>
      <c r="AB547" s="23"/>
      <c r="AC547" s="23"/>
      <c r="AD547" s="23"/>
      <c r="AE547" s="36"/>
      <c r="AF547" s="23"/>
    </row>
    <row r="548" spans="1:32" ht="15.75" x14ac:dyDescent="0.25">
      <c r="A548" s="44"/>
      <c r="B548" s="23"/>
      <c r="C548" s="23"/>
      <c r="D548" s="36"/>
      <c r="E548" s="23"/>
      <c r="F548" s="23"/>
      <c r="G548" s="23"/>
      <c r="H548" s="23"/>
      <c r="I548" s="23"/>
      <c r="J548" s="23"/>
      <c r="K548" s="23"/>
      <c r="L548" s="23"/>
      <c r="M548" s="36"/>
      <c r="N548" s="23"/>
      <c r="O548" s="23"/>
      <c r="P548" s="23"/>
      <c r="Q548" s="23"/>
      <c r="R548" s="23"/>
      <c r="S548" s="23"/>
      <c r="T548" s="23"/>
      <c r="U548" s="23"/>
      <c r="V548" s="36"/>
      <c r="W548" s="42"/>
      <c r="X548" s="42"/>
      <c r="Y548" s="23"/>
      <c r="Z548" s="42"/>
      <c r="AA548" s="42"/>
      <c r="AB548" s="23"/>
      <c r="AC548" s="23"/>
      <c r="AD548" s="23"/>
      <c r="AE548" s="36"/>
      <c r="AF548" s="23"/>
    </row>
    <row r="549" spans="1:32" ht="15.75" x14ac:dyDescent="0.25">
      <c r="A549" s="44"/>
      <c r="B549" s="23"/>
      <c r="C549" s="23"/>
      <c r="D549" s="36"/>
      <c r="E549" s="23"/>
      <c r="F549" s="23"/>
      <c r="G549" s="23"/>
      <c r="H549" s="23"/>
      <c r="I549" s="23"/>
      <c r="J549" s="23"/>
      <c r="K549" s="23"/>
      <c r="L549" s="23"/>
      <c r="M549" s="36"/>
      <c r="N549" s="23"/>
      <c r="O549" s="23"/>
      <c r="P549" s="23"/>
      <c r="Q549" s="23"/>
      <c r="R549" s="23"/>
      <c r="S549" s="23"/>
      <c r="T549" s="23"/>
      <c r="U549" s="23"/>
      <c r="V549" s="36"/>
      <c r="W549" s="42"/>
      <c r="X549" s="42"/>
      <c r="Y549" s="23"/>
      <c r="Z549" s="42"/>
      <c r="AA549" s="42"/>
      <c r="AB549" s="23"/>
      <c r="AC549" s="23"/>
      <c r="AD549" s="23"/>
      <c r="AE549" s="36"/>
      <c r="AF549" s="23"/>
    </row>
    <row r="550" spans="1:32" ht="15.75" x14ac:dyDescent="0.25">
      <c r="A550" s="44"/>
      <c r="B550" s="23"/>
      <c r="C550" s="23"/>
      <c r="D550" s="36"/>
      <c r="E550" s="23"/>
      <c r="F550" s="23"/>
      <c r="G550" s="23"/>
      <c r="H550" s="23"/>
      <c r="I550" s="23"/>
      <c r="J550" s="23"/>
      <c r="K550" s="23"/>
      <c r="L550" s="23"/>
      <c r="M550" s="36"/>
      <c r="N550" s="23"/>
      <c r="O550" s="23"/>
      <c r="P550" s="23"/>
      <c r="Q550" s="23"/>
      <c r="R550" s="23"/>
      <c r="S550" s="23"/>
      <c r="T550" s="23"/>
      <c r="U550" s="23"/>
      <c r="V550" s="36"/>
      <c r="W550" s="42"/>
      <c r="X550" s="42"/>
      <c r="Y550" s="23"/>
      <c r="Z550" s="42"/>
      <c r="AA550" s="42"/>
      <c r="AB550" s="23"/>
      <c r="AC550" s="23"/>
      <c r="AD550" s="23"/>
      <c r="AE550" s="36"/>
      <c r="AF550" s="23"/>
    </row>
    <row r="551" spans="1:32" ht="15.75" x14ac:dyDescent="0.25">
      <c r="A551" s="44"/>
      <c r="B551" s="23"/>
      <c r="C551" s="23"/>
      <c r="D551" s="36"/>
      <c r="E551" s="23"/>
      <c r="F551" s="23"/>
      <c r="G551" s="23"/>
      <c r="H551" s="23"/>
      <c r="I551" s="23"/>
      <c r="J551" s="23"/>
      <c r="K551" s="23"/>
      <c r="L551" s="23"/>
      <c r="M551" s="36"/>
      <c r="N551" s="23"/>
      <c r="O551" s="23"/>
      <c r="P551" s="23"/>
      <c r="Q551" s="23"/>
      <c r="R551" s="23"/>
      <c r="S551" s="23"/>
      <c r="T551" s="23"/>
      <c r="U551" s="23"/>
      <c r="V551" s="36"/>
      <c r="W551" s="42"/>
      <c r="X551" s="42"/>
      <c r="Y551" s="23"/>
      <c r="Z551" s="42"/>
      <c r="AA551" s="42"/>
      <c r="AB551" s="23"/>
      <c r="AC551" s="23"/>
      <c r="AD551" s="23"/>
      <c r="AE551" s="36"/>
      <c r="AF551" s="23"/>
    </row>
    <row r="552" spans="1:32" ht="15.75" x14ac:dyDescent="0.25">
      <c r="A552" s="44"/>
      <c r="B552" s="23"/>
      <c r="C552" s="23"/>
      <c r="D552" s="36"/>
      <c r="E552" s="23"/>
      <c r="F552" s="23"/>
      <c r="G552" s="23"/>
      <c r="H552" s="23"/>
      <c r="I552" s="23"/>
      <c r="J552" s="23"/>
      <c r="K552" s="23"/>
      <c r="L552" s="23"/>
      <c r="M552" s="36"/>
      <c r="N552" s="23"/>
      <c r="O552" s="23"/>
      <c r="P552" s="23"/>
      <c r="Q552" s="23"/>
      <c r="R552" s="23"/>
      <c r="S552" s="23"/>
      <c r="T552" s="23"/>
      <c r="U552" s="23"/>
      <c r="V552" s="36"/>
      <c r="W552" s="42"/>
      <c r="X552" s="42"/>
      <c r="Y552" s="23"/>
      <c r="Z552" s="42"/>
      <c r="AA552" s="42"/>
      <c r="AB552" s="23"/>
      <c r="AC552" s="23"/>
      <c r="AD552" s="23"/>
      <c r="AE552" s="36"/>
      <c r="AF552" s="23"/>
    </row>
    <row r="553" spans="1:32" ht="15.75" x14ac:dyDescent="0.25">
      <c r="A553" s="44"/>
      <c r="B553" s="23"/>
      <c r="C553" s="23"/>
      <c r="D553" s="36"/>
      <c r="E553" s="23"/>
      <c r="F553" s="23"/>
      <c r="G553" s="23"/>
      <c r="H553" s="23"/>
      <c r="I553" s="23"/>
      <c r="J553" s="23"/>
      <c r="K553" s="23"/>
      <c r="L553" s="23"/>
      <c r="M553" s="36"/>
      <c r="N553" s="23"/>
      <c r="O553" s="23"/>
      <c r="P553" s="23"/>
      <c r="Q553" s="23"/>
      <c r="R553" s="23"/>
      <c r="S553" s="23"/>
      <c r="T553" s="23"/>
      <c r="U553" s="23"/>
      <c r="V553" s="36"/>
      <c r="W553" s="42"/>
      <c r="X553" s="42"/>
      <c r="Y553" s="23"/>
      <c r="Z553" s="42"/>
      <c r="AA553" s="42"/>
      <c r="AB553" s="23"/>
      <c r="AC553" s="23"/>
      <c r="AD553" s="23"/>
      <c r="AE553" s="36"/>
      <c r="AF553" s="23"/>
    </row>
    <row r="554" spans="1:32" ht="15.75" x14ac:dyDescent="0.25">
      <c r="A554" s="44"/>
      <c r="B554" s="23"/>
      <c r="C554" s="23"/>
      <c r="D554" s="36"/>
      <c r="E554" s="23"/>
      <c r="F554" s="23"/>
      <c r="G554" s="23"/>
      <c r="H554" s="23"/>
      <c r="I554" s="23"/>
      <c r="J554" s="23"/>
      <c r="K554" s="23"/>
      <c r="L554" s="23"/>
      <c r="M554" s="36"/>
      <c r="N554" s="23"/>
      <c r="O554" s="23"/>
      <c r="P554" s="23"/>
      <c r="Q554" s="23"/>
      <c r="R554" s="23"/>
      <c r="S554" s="23"/>
      <c r="T554" s="23"/>
      <c r="U554" s="23"/>
      <c r="V554" s="36"/>
      <c r="W554" s="42"/>
      <c r="X554" s="42"/>
      <c r="Y554" s="23"/>
      <c r="Z554" s="42"/>
      <c r="AA554" s="42"/>
      <c r="AB554" s="23"/>
      <c r="AC554" s="23"/>
      <c r="AD554" s="23"/>
      <c r="AE554" s="36"/>
      <c r="AF554" s="23"/>
    </row>
    <row r="555" spans="1:32" ht="15.75" x14ac:dyDescent="0.25">
      <c r="A555" s="44"/>
      <c r="B555" s="23"/>
      <c r="C555" s="23"/>
      <c r="D555" s="36"/>
      <c r="E555" s="23"/>
      <c r="F555" s="23"/>
      <c r="G555" s="23"/>
      <c r="H555" s="23"/>
      <c r="I555" s="23"/>
      <c r="J555" s="23"/>
      <c r="K555" s="23"/>
      <c r="L555" s="23"/>
      <c r="M555" s="36"/>
      <c r="N555" s="23"/>
      <c r="O555" s="23"/>
      <c r="P555" s="23"/>
      <c r="Q555" s="23"/>
      <c r="R555" s="23"/>
      <c r="S555" s="23"/>
      <c r="T555" s="23"/>
      <c r="U555" s="23"/>
      <c r="V555" s="36"/>
      <c r="W555" s="42"/>
      <c r="X555" s="42"/>
      <c r="Y555" s="23"/>
      <c r="Z555" s="42"/>
      <c r="AA555" s="42"/>
      <c r="AB555" s="23"/>
      <c r="AC555" s="23"/>
      <c r="AD555" s="23"/>
      <c r="AE555" s="36"/>
      <c r="AF555" s="23"/>
    </row>
    <row r="556" spans="1:32" ht="15.75" x14ac:dyDescent="0.25">
      <c r="A556" s="44"/>
      <c r="B556" s="23"/>
      <c r="C556" s="23"/>
      <c r="D556" s="36"/>
      <c r="E556" s="23"/>
      <c r="F556" s="23"/>
      <c r="G556" s="23"/>
      <c r="H556" s="23"/>
      <c r="I556" s="23"/>
      <c r="J556" s="23"/>
      <c r="K556" s="23"/>
      <c r="L556" s="23"/>
      <c r="M556" s="36"/>
      <c r="N556" s="23"/>
      <c r="O556" s="23"/>
      <c r="P556" s="23"/>
      <c r="Q556" s="23"/>
      <c r="R556" s="23"/>
      <c r="S556" s="23"/>
      <c r="T556" s="23"/>
      <c r="U556" s="23"/>
      <c r="V556" s="36"/>
      <c r="W556" s="42"/>
      <c r="X556" s="42"/>
      <c r="Y556" s="23"/>
      <c r="Z556" s="42"/>
      <c r="AA556" s="42"/>
      <c r="AB556" s="23"/>
      <c r="AC556" s="23"/>
      <c r="AD556" s="23"/>
      <c r="AE556" s="36"/>
      <c r="AF556" s="23"/>
    </row>
    <row r="557" spans="1:32" ht="15.75" x14ac:dyDescent="0.25">
      <c r="A557" s="44"/>
      <c r="B557" s="23"/>
      <c r="C557" s="23"/>
      <c r="D557" s="36"/>
      <c r="E557" s="23"/>
      <c r="F557" s="23"/>
      <c r="G557" s="23"/>
      <c r="H557" s="23"/>
      <c r="I557" s="23"/>
      <c r="J557" s="23"/>
      <c r="K557" s="23"/>
      <c r="L557" s="23"/>
      <c r="M557" s="36"/>
      <c r="N557" s="23"/>
      <c r="O557" s="23"/>
      <c r="P557" s="23"/>
      <c r="Q557" s="23"/>
      <c r="R557" s="23"/>
      <c r="S557" s="23"/>
      <c r="T557" s="23"/>
      <c r="U557" s="23"/>
      <c r="V557" s="36"/>
      <c r="W557" s="42"/>
      <c r="X557" s="42"/>
      <c r="Y557" s="23"/>
      <c r="Z557" s="42"/>
      <c r="AA557" s="42"/>
      <c r="AB557" s="23"/>
      <c r="AC557" s="23"/>
      <c r="AD557" s="23"/>
      <c r="AE557" s="36"/>
      <c r="AF557" s="23"/>
    </row>
    <row r="558" spans="1:32" ht="15.75" x14ac:dyDescent="0.25">
      <c r="A558" s="44"/>
      <c r="B558" s="23"/>
      <c r="C558" s="23"/>
      <c r="D558" s="36"/>
      <c r="E558" s="23"/>
      <c r="F558" s="23"/>
      <c r="G558" s="23"/>
      <c r="H558" s="23"/>
      <c r="I558" s="23"/>
      <c r="J558" s="23"/>
      <c r="K558" s="23"/>
      <c r="L558" s="23"/>
      <c r="M558" s="36"/>
      <c r="N558" s="23"/>
      <c r="O558" s="23"/>
      <c r="P558" s="23"/>
      <c r="Q558" s="23"/>
      <c r="R558" s="23"/>
      <c r="S558" s="23"/>
      <c r="T558" s="23"/>
      <c r="U558" s="23"/>
      <c r="V558" s="36"/>
      <c r="W558" s="42"/>
      <c r="X558" s="42"/>
      <c r="Y558" s="23"/>
      <c r="Z558" s="42"/>
      <c r="AA558" s="42"/>
      <c r="AB558" s="23"/>
      <c r="AC558" s="23"/>
      <c r="AD558" s="23"/>
      <c r="AE558" s="36"/>
      <c r="AF558" s="23"/>
    </row>
    <row r="559" spans="1:32" ht="15.75" x14ac:dyDescent="0.25">
      <c r="A559" s="44"/>
      <c r="B559" s="23"/>
      <c r="C559" s="23"/>
      <c r="D559" s="36"/>
      <c r="E559" s="23"/>
      <c r="F559" s="23"/>
      <c r="G559" s="23"/>
      <c r="H559" s="23"/>
      <c r="I559" s="23"/>
      <c r="J559" s="23"/>
      <c r="K559" s="23"/>
      <c r="L559" s="23"/>
      <c r="M559" s="36"/>
      <c r="N559" s="23"/>
      <c r="O559" s="23"/>
      <c r="P559" s="23"/>
      <c r="Q559" s="23"/>
      <c r="R559" s="23"/>
      <c r="S559" s="23"/>
      <c r="T559" s="23"/>
      <c r="U559" s="23"/>
      <c r="V559" s="36"/>
      <c r="W559" s="42"/>
      <c r="X559" s="42"/>
      <c r="Y559" s="23"/>
      <c r="Z559" s="42"/>
      <c r="AA559" s="42"/>
      <c r="AB559" s="23"/>
      <c r="AC559" s="23"/>
      <c r="AD559" s="23"/>
      <c r="AE559" s="36"/>
      <c r="AF559" s="23"/>
    </row>
    <row r="560" spans="1:32" ht="15.75" x14ac:dyDescent="0.25">
      <c r="A560" s="44"/>
      <c r="B560" s="23"/>
      <c r="C560" s="23"/>
      <c r="D560" s="36"/>
      <c r="E560" s="23"/>
      <c r="F560" s="23"/>
      <c r="G560" s="23"/>
      <c r="H560" s="23"/>
      <c r="I560" s="23"/>
      <c r="J560" s="23"/>
      <c r="K560" s="23"/>
      <c r="L560" s="23"/>
      <c r="M560" s="36"/>
      <c r="N560" s="23"/>
      <c r="O560" s="23"/>
      <c r="P560" s="23"/>
      <c r="Q560" s="23"/>
      <c r="R560" s="23"/>
      <c r="S560" s="23"/>
      <c r="T560" s="23"/>
      <c r="U560" s="23"/>
      <c r="V560" s="36"/>
      <c r="W560" s="42"/>
      <c r="X560" s="42"/>
      <c r="Y560" s="23"/>
      <c r="Z560" s="42"/>
      <c r="AA560" s="42"/>
      <c r="AB560" s="23"/>
      <c r="AC560" s="23"/>
      <c r="AD560" s="23"/>
      <c r="AE560" s="36"/>
      <c r="AF560" s="23"/>
    </row>
    <row r="561" spans="1:32" ht="15.75" x14ac:dyDescent="0.25">
      <c r="A561" s="44"/>
      <c r="B561" s="23"/>
      <c r="C561" s="23"/>
      <c r="D561" s="36"/>
      <c r="E561" s="23"/>
      <c r="F561" s="23"/>
      <c r="G561" s="23"/>
      <c r="H561" s="23"/>
      <c r="I561" s="23"/>
      <c r="J561" s="23"/>
      <c r="K561" s="23"/>
      <c r="L561" s="23"/>
      <c r="M561" s="36"/>
      <c r="N561" s="23"/>
      <c r="O561" s="23"/>
      <c r="P561" s="23"/>
      <c r="Q561" s="23"/>
      <c r="R561" s="23"/>
      <c r="S561" s="23"/>
      <c r="T561" s="23"/>
      <c r="U561" s="23"/>
      <c r="V561" s="36"/>
      <c r="W561" s="42"/>
      <c r="X561" s="42"/>
      <c r="Y561" s="23"/>
      <c r="Z561" s="42"/>
      <c r="AA561" s="42"/>
      <c r="AB561" s="23"/>
      <c r="AC561" s="23"/>
      <c r="AD561" s="23"/>
      <c r="AE561" s="36"/>
      <c r="AF561" s="23"/>
    </row>
    <row r="562" spans="1:32" ht="15.75" x14ac:dyDescent="0.25">
      <c r="A562" s="44"/>
      <c r="B562" s="23"/>
      <c r="C562" s="23"/>
      <c r="D562" s="36"/>
      <c r="E562" s="23"/>
      <c r="F562" s="23"/>
      <c r="G562" s="23"/>
      <c r="H562" s="23"/>
      <c r="I562" s="23"/>
      <c r="J562" s="23"/>
      <c r="K562" s="23"/>
      <c r="L562" s="23"/>
      <c r="M562" s="36"/>
      <c r="N562" s="23"/>
      <c r="O562" s="23"/>
      <c r="P562" s="23"/>
      <c r="Q562" s="23"/>
      <c r="R562" s="23"/>
      <c r="S562" s="23"/>
      <c r="T562" s="23"/>
      <c r="U562" s="23"/>
      <c r="V562" s="36"/>
      <c r="W562" s="42"/>
      <c r="X562" s="42"/>
      <c r="Y562" s="23"/>
      <c r="Z562" s="42"/>
      <c r="AA562" s="42"/>
      <c r="AB562" s="23"/>
      <c r="AC562" s="23"/>
      <c r="AD562" s="23"/>
      <c r="AE562" s="36"/>
      <c r="AF562" s="23"/>
    </row>
    <row r="563" spans="1:32" ht="15.75" x14ac:dyDescent="0.25">
      <c r="A563" s="44"/>
      <c r="B563" s="23"/>
      <c r="C563" s="23"/>
      <c r="D563" s="36"/>
      <c r="E563" s="23"/>
      <c r="F563" s="23"/>
      <c r="G563" s="23"/>
      <c r="H563" s="23"/>
      <c r="I563" s="23"/>
      <c r="J563" s="23"/>
      <c r="K563" s="23"/>
      <c r="L563" s="23"/>
      <c r="M563" s="36"/>
      <c r="N563" s="23"/>
      <c r="O563" s="23"/>
      <c r="P563" s="23"/>
      <c r="Q563" s="23"/>
      <c r="R563" s="23"/>
      <c r="S563" s="23"/>
      <c r="T563" s="23"/>
      <c r="U563" s="23"/>
      <c r="V563" s="36"/>
      <c r="W563" s="42"/>
      <c r="X563" s="42"/>
      <c r="Y563" s="23"/>
      <c r="Z563" s="42"/>
      <c r="AA563" s="42"/>
      <c r="AB563" s="23"/>
      <c r="AC563" s="23"/>
      <c r="AD563" s="23"/>
      <c r="AE563" s="36"/>
      <c r="AF563" s="23"/>
    </row>
    <row r="564" spans="1:32" ht="15.75" x14ac:dyDescent="0.25">
      <c r="A564" s="44"/>
      <c r="B564" s="23"/>
      <c r="C564" s="23"/>
      <c r="D564" s="36"/>
      <c r="E564" s="23"/>
      <c r="F564" s="23"/>
      <c r="G564" s="23"/>
      <c r="H564" s="23"/>
      <c r="I564" s="23"/>
      <c r="J564" s="23"/>
      <c r="K564" s="23"/>
      <c r="L564" s="23"/>
      <c r="M564" s="36"/>
      <c r="N564" s="23"/>
      <c r="O564" s="23"/>
      <c r="P564" s="23"/>
      <c r="Q564" s="23"/>
      <c r="R564" s="23"/>
      <c r="S564" s="23"/>
      <c r="T564" s="23"/>
      <c r="U564" s="23"/>
      <c r="V564" s="36"/>
      <c r="W564" s="42"/>
      <c r="X564" s="42"/>
      <c r="Y564" s="23"/>
      <c r="Z564" s="42"/>
      <c r="AA564" s="42"/>
      <c r="AB564" s="23"/>
      <c r="AC564" s="23"/>
      <c r="AD564" s="23"/>
      <c r="AE564" s="36"/>
      <c r="AF564" s="23"/>
    </row>
    <row r="565" spans="1:32" ht="15.75" x14ac:dyDescent="0.25">
      <c r="A565" s="44"/>
      <c r="B565" s="23"/>
      <c r="C565" s="23"/>
      <c r="D565" s="36"/>
      <c r="E565" s="23"/>
      <c r="F565" s="23"/>
      <c r="G565" s="23"/>
      <c r="H565" s="23"/>
      <c r="I565" s="23"/>
      <c r="J565" s="23"/>
      <c r="K565" s="23"/>
      <c r="L565" s="23"/>
      <c r="M565" s="36"/>
      <c r="N565" s="23"/>
      <c r="O565" s="23"/>
      <c r="P565" s="23"/>
      <c r="Q565" s="23"/>
      <c r="R565" s="23"/>
      <c r="S565" s="23"/>
      <c r="T565" s="23"/>
      <c r="U565" s="23"/>
      <c r="V565" s="36"/>
      <c r="W565" s="42"/>
      <c r="X565" s="42"/>
      <c r="Y565" s="23"/>
      <c r="Z565" s="42"/>
      <c r="AA565" s="42"/>
      <c r="AB565" s="23"/>
      <c r="AC565" s="23"/>
      <c r="AD565" s="23"/>
      <c r="AE565" s="36"/>
      <c r="AF565" s="23"/>
    </row>
    <row r="566" spans="1:32" ht="15.75" x14ac:dyDescent="0.25">
      <c r="A566" s="44"/>
      <c r="B566" s="23"/>
      <c r="C566" s="23"/>
      <c r="D566" s="36"/>
      <c r="E566" s="23"/>
      <c r="F566" s="23"/>
      <c r="G566" s="23"/>
      <c r="H566" s="23"/>
      <c r="I566" s="23"/>
      <c r="J566" s="23"/>
      <c r="K566" s="23"/>
      <c r="L566" s="23"/>
      <c r="M566" s="36"/>
      <c r="N566" s="23"/>
      <c r="O566" s="23"/>
      <c r="P566" s="23"/>
      <c r="Q566" s="23"/>
      <c r="R566" s="23"/>
      <c r="S566" s="23"/>
      <c r="T566" s="23"/>
      <c r="U566" s="23"/>
      <c r="V566" s="36"/>
      <c r="W566" s="42"/>
      <c r="X566" s="42"/>
      <c r="Y566" s="23"/>
      <c r="Z566" s="42"/>
      <c r="AA566" s="42"/>
      <c r="AB566" s="23"/>
      <c r="AC566" s="23"/>
      <c r="AD566" s="23"/>
      <c r="AE566" s="36"/>
      <c r="AF566" s="23"/>
    </row>
    <row r="567" spans="1:32" ht="15.75" x14ac:dyDescent="0.25">
      <c r="A567" s="44"/>
      <c r="B567" s="23"/>
      <c r="C567" s="23"/>
      <c r="D567" s="36"/>
      <c r="E567" s="23"/>
      <c r="F567" s="23"/>
      <c r="G567" s="23"/>
      <c r="H567" s="23"/>
      <c r="I567" s="23"/>
      <c r="J567" s="23"/>
      <c r="K567" s="23"/>
      <c r="L567" s="23"/>
      <c r="M567" s="36"/>
      <c r="N567" s="23"/>
      <c r="O567" s="23"/>
      <c r="P567" s="23"/>
      <c r="Q567" s="23"/>
      <c r="R567" s="23"/>
      <c r="S567" s="23"/>
      <c r="T567" s="23"/>
      <c r="U567" s="23"/>
      <c r="V567" s="36"/>
      <c r="W567" s="42"/>
      <c r="X567" s="42"/>
      <c r="Y567" s="23"/>
      <c r="Z567" s="42"/>
      <c r="AA567" s="42"/>
      <c r="AB567" s="23"/>
      <c r="AC567" s="23"/>
      <c r="AD567" s="23"/>
      <c r="AE567" s="36"/>
      <c r="AF567" s="23"/>
    </row>
    <row r="568" spans="1:32" ht="15.75" x14ac:dyDescent="0.25">
      <c r="A568" s="44"/>
      <c r="B568" s="23"/>
      <c r="C568" s="23"/>
      <c r="D568" s="36"/>
      <c r="E568" s="23"/>
      <c r="F568" s="23"/>
      <c r="G568" s="23"/>
      <c r="H568" s="23"/>
      <c r="I568" s="23"/>
      <c r="J568" s="23"/>
      <c r="K568" s="23"/>
      <c r="L568" s="23"/>
      <c r="M568" s="36"/>
      <c r="N568" s="23"/>
      <c r="O568" s="23"/>
      <c r="P568" s="23"/>
      <c r="Q568" s="23"/>
      <c r="R568" s="23"/>
      <c r="S568" s="23"/>
      <c r="T568" s="23"/>
      <c r="U568" s="23"/>
      <c r="V568" s="36"/>
      <c r="W568" s="42"/>
      <c r="X568" s="42"/>
      <c r="Y568" s="23"/>
      <c r="Z568" s="42"/>
      <c r="AA568" s="42"/>
      <c r="AB568" s="23"/>
      <c r="AC568" s="23"/>
      <c r="AD568" s="23"/>
      <c r="AE568" s="36"/>
      <c r="AF568" s="23"/>
    </row>
    <row r="569" spans="1:32" ht="15.75" x14ac:dyDescent="0.25">
      <c r="A569" s="44"/>
      <c r="B569" s="23"/>
      <c r="C569" s="23"/>
      <c r="D569" s="36"/>
      <c r="E569" s="23"/>
      <c r="F569" s="23"/>
      <c r="G569" s="23"/>
      <c r="H569" s="23"/>
      <c r="I569" s="23"/>
      <c r="J569" s="23"/>
      <c r="K569" s="23"/>
      <c r="L569" s="23"/>
      <c r="M569" s="36"/>
      <c r="N569" s="23"/>
      <c r="O569" s="23"/>
      <c r="P569" s="23"/>
      <c r="Q569" s="23"/>
      <c r="R569" s="23"/>
      <c r="S569" s="23"/>
      <c r="T569" s="23"/>
      <c r="U569" s="23"/>
      <c r="V569" s="36"/>
      <c r="W569" s="42"/>
      <c r="X569" s="42"/>
      <c r="Y569" s="23"/>
      <c r="Z569" s="42"/>
      <c r="AA569" s="42"/>
      <c r="AB569" s="23"/>
      <c r="AC569" s="23"/>
      <c r="AD569" s="23"/>
      <c r="AE569" s="36"/>
      <c r="AF569" s="23"/>
    </row>
    <row r="570" spans="1:32" ht="15.75" x14ac:dyDescent="0.25">
      <c r="A570" s="44"/>
      <c r="B570" s="23"/>
      <c r="C570" s="23"/>
      <c r="D570" s="36"/>
      <c r="E570" s="23"/>
      <c r="F570" s="23"/>
      <c r="G570" s="23"/>
      <c r="H570" s="23"/>
      <c r="I570" s="23"/>
      <c r="J570" s="23"/>
      <c r="K570" s="23"/>
      <c r="L570" s="23"/>
      <c r="M570" s="36"/>
      <c r="N570" s="23"/>
      <c r="O570" s="23"/>
      <c r="P570" s="23"/>
      <c r="Q570" s="23"/>
      <c r="R570" s="23"/>
      <c r="S570" s="23"/>
      <c r="T570" s="23"/>
      <c r="U570" s="23"/>
      <c r="V570" s="36"/>
      <c r="W570" s="42"/>
      <c r="X570" s="42"/>
      <c r="Y570" s="23"/>
      <c r="Z570" s="42"/>
      <c r="AA570" s="42"/>
      <c r="AB570" s="23"/>
      <c r="AC570" s="23"/>
      <c r="AD570" s="23"/>
      <c r="AE570" s="36"/>
      <c r="AF570" s="23"/>
    </row>
    <row r="571" spans="1:32" ht="15.75" x14ac:dyDescent="0.25">
      <c r="A571" s="44"/>
      <c r="B571" s="23"/>
      <c r="C571" s="23"/>
      <c r="D571" s="36"/>
      <c r="E571" s="23"/>
      <c r="F571" s="23"/>
      <c r="G571" s="23"/>
      <c r="H571" s="23"/>
      <c r="I571" s="23"/>
      <c r="J571" s="23"/>
      <c r="K571" s="23"/>
      <c r="L571" s="23"/>
      <c r="M571" s="36"/>
      <c r="N571" s="23"/>
      <c r="O571" s="23"/>
      <c r="P571" s="23"/>
      <c r="Q571" s="23"/>
      <c r="R571" s="23"/>
      <c r="S571" s="23"/>
      <c r="T571" s="23"/>
      <c r="U571" s="23"/>
      <c r="V571" s="36"/>
      <c r="W571" s="42"/>
      <c r="X571" s="42"/>
      <c r="Y571" s="23"/>
      <c r="Z571" s="42"/>
      <c r="AA571" s="42"/>
      <c r="AB571" s="23"/>
      <c r="AC571" s="23"/>
      <c r="AD571" s="23"/>
      <c r="AE571" s="36"/>
      <c r="AF571" s="23"/>
    </row>
    <row r="572" spans="1:32" ht="15.75" x14ac:dyDescent="0.25">
      <c r="A572" s="44"/>
      <c r="B572" s="23"/>
      <c r="C572" s="23"/>
      <c r="D572" s="36"/>
      <c r="E572" s="23"/>
      <c r="F572" s="23"/>
      <c r="G572" s="23"/>
      <c r="H572" s="23"/>
      <c r="I572" s="23"/>
      <c r="J572" s="23"/>
      <c r="K572" s="23"/>
      <c r="L572" s="23"/>
      <c r="M572" s="36"/>
      <c r="N572" s="23"/>
      <c r="O572" s="23"/>
      <c r="P572" s="23"/>
      <c r="Q572" s="23"/>
      <c r="R572" s="23"/>
      <c r="S572" s="23"/>
      <c r="T572" s="23"/>
      <c r="U572" s="23"/>
      <c r="V572" s="36"/>
      <c r="W572" s="42"/>
      <c r="X572" s="42"/>
      <c r="Y572" s="23"/>
      <c r="Z572" s="42"/>
      <c r="AA572" s="42"/>
      <c r="AB572" s="23"/>
      <c r="AC572" s="23"/>
      <c r="AD572" s="23"/>
      <c r="AE572" s="36"/>
      <c r="AF572" s="23"/>
    </row>
    <row r="573" spans="1:32" ht="15.75" x14ac:dyDescent="0.25">
      <c r="A573" s="44"/>
      <c r="B573" s="23"/>
      <c r="C573" s="23"/>
      <c r="D573" s="36"/>
      <c r="E573" s="23"/>
      <c r="F573" s="23"/>
      <c r="G573" s="23"/>
      <c r="H573" s="23"/>
      <c r="I573" s="23"/>
      <c r="J573" s="23"/>
      <c r="K573" s="23"/>
      <c r="L573" s="23"/>
      <c r="M573" s="36"/>
      <c r="N573" s="23"/>
      <c r="O573" s="23"/>
      <c r="P573" s="23"/>
      <c r="Q573" s="23"/>
      <c r="R573" s="23"/>
      <c r="S573" s="23"/>
      <c r="T573" s="23"/>
      <c r="U573" s="23"/>
      <c r="V573" s="36"/>
      <c r="W573" s="42"/>
      <c r="X573" s="42"/>
      <c r="Y573" s="23"/>
      <c r="Z573" s="42"/>
      <c r="AA573" s="42"/>
      <c r="AB573" s="23"/>
      <c r="AC573" s="23"/>
      <c r="AD573" s="23"/>
      <c r="AE573" s="36"/>
      <c r="AF573" s="23"/>
    </row>
    <row r="574" spans="1:32" ht="15.75" x14ac:dyDescent="0.25">
      <c r="A574" s="44"/>
      <c r="B574" s="23"/>
      <c r="C574" s="23"/>
      <c r="D574" s="36"/>
      <c r="E574" s="23"/>
      <c r="F574" s="23"/>
      <c r="G574" s="23"/>
      <c r="H574" s="23"/>
      <c r="I574" s="23"/>
      <c r="J574" s="23"/>
      <c r="K574" s="23"/>
      <c r="L574" s="23"/>
      <c r="M574" s="36"/>
      <c r="N574" s="23"/>
      <c r="O574" s="23"/>
      <c r="P574" s="23"/>
      <c r="Q574" s="23"/>
      <c r="R574" s="23"/>
      <c r="S574" s="23"/>
      <c r="T574" s="23"/>
      <c r="U574" s="23"/>
      <c r="V574" s="36"/>
      <c r="W574" s="42"/>
      <c r="X574" s="42"/>
      <c r="Y574" s="23"/>
      <c r="Z574" s="42"/>
      <c r="AA574" s="42"/>
      <c r="AB574" s="23"/>
      <c r="AC574" s="23"/>
      <c r="AD574" s="23"/>
      <c r="AE574" s="36"/>
      <c r="AF574" s="23"/>
    </row>
    <row r="575" spans="1:32" ht="15.75" x14ac:dyDescent="0.25">
      <c r="A575" s="44"/>
      <c r="B575" s="23"/>
      <c r="C575" s="23"/>
      <c r="D575" s="36"/>
      <c r="E575" s="23"/>
      <c r="F575" s="23"/>
      <c r="G575" s="23"/>
      <c r="H575" s="23"/>
      <c r="I575" s="23"/>
      <c r="J575" s="23"/>
      <c r="K575" s="23"/>
      <c r="L575" s="23"/>
      <c r="M575" s="36"/>
      <c r="N575" s="23"/>
      <c r="O575" s="23"/>
      <c r="P575" s="23"/>
      <c r="Q575" s="23"/>
      <c r="R575" s="23"/>
      <c r="S575" s="23"/>
      <c r="T575" s="23"/>
      <c r="U575" s="23"/>
      <c r="V575" s="36"/>
      <c r="W575" s="42"/>
      <c r="X575" s="42"/>
      <c r="Y575" s="23"/>
      <c r="Z575" s="42"/>
      <c r="AA575" s="42"/>
      <c r="AB575" s="23"/>
      <c r="AC575" s="23"/>
      <c r="AD575" s="23"/>
      <c r="AE575" s="36"/>
      <c r="AF575" s="23"/>
    </row>
    <row r="576" spans="1:32" ht="15.75" x14ac:dyDescent="0.25">
      <c r="A576" s="44"/>
      <c r="B576" s="23"/>
      <c r="C576" s="23"/>
      <c r="D576" s="36"/>
      <c r="E576" s="23"/>
      <c r="F576" s="23"/>
      <c r="G576" s="23"/>
      <c r="H576" s="23"/>
      <c r="I576" s="23"/>
      <c r="J576" s="23"/>
      <c r="K576" s="23"/>
      <c r="L576" s="23"/>
      <c r="M576" s="36"/>
      <c r="N576" s="23"/>
      <c r="O576" s="23"/>
      <c r="P576" s="23"/>
      <c r="Q576" s="23"/>
      <c r="R576" s="23"/>
      <c r="S576" s="23"/>
      <c r="T576" s="23"/>
      <c r="U576" s="23"/>
      <c r="V576" s="36"/>
      <c r="W576" s="42"/>
      <c r="X576" s="42"/>
      <c r="Y576" s="23"/>
      <c r="Z576" s="42"/>
      <c r="AA576" s="42"/>
      <c r="AB576" s="23"/>
      <c r="AC576" s="23"/>
      <c r="AD576" s="23"/>
      <c r="AE576" s="36"/>
      <c r="AF576" s="23"/>
    </row>
    <row r="577" spans="1:32" ht="15.75" x14ac:dyDescent="0.25">
      <c r="A577" s="44"/>
      <c r="B577" s="23"/>
      <c r="C577" s="23"/>
      <c r="D577" s="36"/>
      <c r="E577" s="23"/>
      <c r="F577" s="23"/>
      <c r="G577" s="23"/>
      <c r="H577" s="23"/>
      <c r="I577" s="23"/>
      <c r="J577" s="23"/>
      <c r="K577" s="23"/>
      <c r="L577" s="23"/>
      <c r="M577" s="36"/>
      <c r="N577" s="23"/>
      <c r="O577" s="23"/>
      <c r="P577" s="23"/>
      <c r="Q577" s="23"/>
      <c r="R577" s="23"/>
      <c r="S577" s="23"/>
      <c r="T577" s="23"/>
      <c r="U577" s="23"/>
      <c r="V577" s="36"/>
      <c r="W577" s="42"/>
      <c r="X577" s="42"/>
      <c r="Y577" s="23"/>
      <c r="Z577" s="42"/>
      <c r="AA577" s="42"/>
      <c r="AB577" s="23"/>
      <c r="AC577" s="23"/>
      <c r="AD577" s="23"/>
      <c r="AE577" s="36"/>
      <c r="AF577" s="23"/>
    </row>
    <row r="578" spans="1:32" ht="15.75" x14ac:dyDescent="0.25">
      <c r="A578" s="44"/>
      <c r="B578" s="23"/>
      <c r="C578" s="23"/>
      <c r="D578" s="36"/>
      <c r="E578" s="23"/>
      <c r="F578" s="23"/>
      <c r="G578" s="23"/>
      <c r="H578" s="23"/>
      <c r="I578" s="23"/>
      <c r="J578" s="23"/>
      <c r="K578" s="23"/>
      <c r="L578" s="23"/>
      <c r="M578" s="36"/>
      <c r="N578" s="23"/>
      <c r="O578" s="23"/>
      <c r="P578" s="23"/>
      <c r="Q578" s="23"/>
      <c r="R578" s="23"/>
      <c r="S578" s="23"/>
      <c r="T578" s="23"/>
      <c r="U578" s="23"/>
      <c r="V578" s="36"/>
      <c r="W578" s="42"/>
      <c r="X578" s="42"/>
      <c r="Y578" s="23"/>
      <c r="Z578" s="42"/>
      <c r="AA578" s="42"/>
      <c r="AB578" s="23"/>
      <c r="AC578" s="23"/>
      <c r="AD578" s="23"/>
      <c r="AE578" s="36"/>
      <c r="AF578" s="23"/>
    </row>
    <row r="579" spans="1:32" ht="15.75" x14ac:dyDescent="0.25">
      <c r="A579" s="44"/>
      <c r="B579" s="23"/>
      <c r="C579" s="23"/>
      <c r="D579" s="36"/>
      <c r="E579" s="23"/>
      <c r="F579" s="23"/>
      <c r="G579" s="23"/>
      <c r="H579" s="23"/>
      <c r="I579" s="23"/>
      <c r="J579" s="23"/>
      <c r="K579" s="23"/>
      <c r="L579" s="23"/>
      <c r="M579" s="36"/>
      <c r="N579" s="23"/>
      <c r="O579" s="23"/>
      <c r="P579" s="23"/>
      <c r="Q579" s="23"/>
      <c r="R579" s="23"/>
      <c r="S579" s="23"/>
      <c r="T579" s="23"/>
      <c r="U579" s="23"/>
      <c r="V579" s="36"/>
      <c r="W579" s="42"/>
      <c r="X579" s="42"/>
      <c r="Y579" s="23"/>
      <c r="Z579" s="42"/>
      <c r="AA579" s="42"/>
      <c r="AB579" s="23"/>
      <c r="AC579" s="23"/>
      <c r="AD579" s="23"/>
      <c r="AE579" s="36"/>
      <c r="AF579" s="23"/>
    </row>
    <row r="580" spans="1:32" ht="15.75" x14ac:dyDescent="0.25">
      <c r="A580" s="44"/>
      <c r="B580" s="23"/>
      <c r="C580" s="23"/>
      <c r="D580" s="36"/>
      <c r="E580" s="23"/>
      <c r="F580" s="23"/>
      <c r="G580" s="23"/>
      <c r="H580" s="23"/>
      <c r="I580" s="23"/>
      <c r="J580" s="23"/>
      <c r="K580" s="23"/>
      <c r="L580" s="23"/>
      <c r="M580" s="36"/>
      <c r="N580" s="23"/>
      <c r="O580" s="23"/>
      <c r="P580" s="23"/>
      <c r="Q580" s="23"/>
      <c r="R580" s="23"/>
      <c r="S580" s="23"/>
      <c r="T580" s="23"/>
      <c r="U580" s="23"/>
      <c r="V580" s="36"/>
      <c r="W580" s="42"/>
      <c r="X580" s="42"/>
      <c r="Y580" s="23"/>
      <c r="Z580" s="42"/>
      <c r="AA580" s="42"/>
      <c r="AB580" s="23"/>
      <c r="AC580" s="23"/>
      <c r="AD580" s="23"/>
      <c r="AE580" s="36"/>
      <c r="AF580" s="23"/>
    </row>
    <row r="581" spans="1:32" ht="15.75" x14ac:dyDescent="0.25">
      <c r="A581" s="44"/>
      <c r="B581" s="23"/>
      <c r="C581" s="23"/>
      <c r="D581" s="36"/>
      <c r="E581" s="23"/>
      <c r="F581" s="23"/>
      <c r="G581" s="23"/>
      <c r="H581" s="23"/>
      <c r="I581" s="23"/>
      <c r="J581" s="23"/>
      <c r="K581" s="23"/>
      <c r="L581" s="23"/>
      <c r="M581" s="36"/>
      <c r="N581" s="23"/>
      <c r="O581" s="23"/>
      <c r="P581" s="23"/>
      <c r="Q581" s="23"/>
      <c r="R581" s="23"/>
      <c r="S581" s="23"/>
      <c r="T581" s="23"/>
      <c r="U581" s="23"/>
      <c r="V581" s="36"/>
      <c r="W581" s="42"/>
      <c r="X581" s="42"/>
      <c r="Y581" s="23"/>
      <c r="Z581" s="42"/>
      <c r="AA581" s="42"/>
      <c r="AB581" s="23"/>
      <c r="AC581" s="23"/>
      <c r="AD581" s="23"/>
      <c r="AE581" s="36"/>
      <c r="AF581" s="23"/>
    </row>
    <row r="582" spans="1:32" ht="15.75" x14ac:dyDescent="0.25">
      <c r="A582" s="44"/>
      <c r="B582" s="23"/>
      <c r="C582" s="23"/>
      <c r="D582" s="36"/>
      <c r="E582" s="23"/>
      <c r="F582" s="23"/>
      <c r="G582" s="23"/>
      <c r="H582" s="23"/>
      <c r="I582" s="23"/>
      <c r="J582" s="23"/>
      <c r="K582" s="23"/>
      <c r="L582" s="23"/>
      <c r="M582" s="36"/>
      <c r="N582" s="23"/>
      <c r="O582" s="23"/>
      <c r="P582" s="23"/>
      <c r="Q582" s="23"/>
      <c r="R582" s="23"/>
      <c r="S582" s="23"/>
      <c r="T582" s="23"/>
      <c r="U582" s="23"/>
      <c r="V582" s="36"/>
      <c r="W582" s="42"/>
      <c r="X582" s="42"/>
      <c r="Y582" s="23"/>
      <c r="Z582" s="42"/>
      <c r="AA582" s="42"/>
      <c r="AB582" s="23"/>
      <c r="AC582" s="23"/>
      <c r="AD582" s="23"/>
      <c r="AE582" s="36"/>
      <c r="AF582" s="23"/>
    </row>
    <row r="583" spans="1:32" ht="15.75" x14ac:dyDescent="0.25">
      <c r="A583" s="44"/>
      <c r="B583" s="23"/>
      <c r="C583" s="23"/>
      <c r="D583" s="36"/>
      <c r="E583" s="23"/>
      <c r="F583" s="23"/>
      <c r="G583" s="23"/>
      <c r="H583" s="23"/>
      <c r="I583" s="23"/>
      <c r="J583" s="23"/>
      <c r="K583" s="23"/>
      <c r="L583" s="23"/>
      <c r="M583" s="36"/>
      <c r="N583" s="23"/>
      <c r="O583" s="23"/>
      <c r="P583" s="23"/>
      <c r="Q583" s="23"/>
      <c r="R583" s="23"/>
      <c r="S583" s="23"/>
      <c r="T583" s="23"/>
      <c r="U583" s="23"/>
      <c r="V583" s="36"/>
      <c r="W583" s="42"/>
      <c r="X583" s="42"/>
      <c r="Y583" s="23"/>
      <c r="Z583" s="42"/>
      <c r="AA583" s="42"/>
      <c r="AB583" s="23"/>
      <c r="AC583" s="23"/>
      <c r="AD583" s="23"/>
      <c r="AE583" s="36"/>
      <c r="AF583" s="23"/>
    </row>
    <row r="584" spans="1:32" ht="15.75" x14ac:dyDescent="0.25">
      <c r="A584" s="44"/>
      <c r="B584" s="23"/>
      <c r="C584" s="23"/>
      <c r="D584" s="36"/>
      <c r="E584" s="23"/>
      <c r="F584" s="23"/>
      <c r="G584" s="23"/>
      <c r="H584" s="23"/>
      <c r="I584" s="23"/>
      <c r="J584" s="23"/>
      <c r="K584" s="23"/>
      <c r="L584" s="23"/>
      <c r="M584" s="36"/>
      <c r="N584" s="23"/>
      <c r="O584" s="23"/>
      <c r="P584" s="23"/>
      <c r="Q584" s="23"/>
      <c r="R584" s="23"/>
      <c r="S584" s="23"/>
      <c r="T584" s="23"/>
      <c r="U584" s="23"/>
      <c r="V584" s="36"/>
      <c r="W584" s="42"/>
      <c r="X584" s="42"/>
      <c r="Y584" s="23"/>
      <c r="Z584" s="42"/>
      <c r="AA584" s="42"/>
      <c r="AB584" s="23"/>
      <c r="AC584" s="23"/>
      <c r="AD584" s="23"/>
      <c r="AE584" s="36"/>
      <c r="AF584" s="23"/>
    </row>
    <row r="585" spans="1:32" ht="15.75" x14ac:dyDescent="0.25">
      <c r="A585" s="44"/>
      <c r="B585" s="23"/>
      <c r="C585" s="23"/>
      <c r="D585" s="36"/>
      <c r="E585" s="23"/>
      <c r="F585" s="23"/>
      <c r="G585" s="23"/>
      <c r="H585" s="23"/>
      <c r="I585" s="23"/>
      <c r="J585" s="23"/>
      <c r="K585" s="23"/>
      <c r="L585" s="23"/>
      <c r="M585" s="36"/>
      <c r="N585" s="23"/>
      <c r="O585" s="23"/>
      <c r="P585" s="23"/>
      <c r="Q585" s="23"/>
      <c r="R585" s="23"/>
      <c r="S585" s="23"/>
      <c r="T585" s="23"/>
      <c r="U585" s="23"/>
      <c r="V585" s="36"/>
      <c r="W585" s="42"/>
      <c r="X585" s="42"/>
      <c r="Y585" s="23"/>
      <c r="Z585" s="42"/>
      <c r="AA585" s="42"/>
      <c r="AB585" s="23"/>
      <c r="AC585" s="23"/>
      <c r="AD585" s="23"/>
      <c r="AE585" s="36"/>
      <c r="AF585" s="23"/>
    </row>
    <row r="586" spans="1:32" ht="15.75" x14ac:dyDescent="0.25">
      <c r="A586" s="44"/>
      <c r="B586" s="23"/>
      <c r="C586" s="23"/>
      <c r="D586" s="36"/>
      <c r="E586" s="23"/>
      <c r="F586" s="23"/>
      <c r="G586" s="23"/>
      <c r="H586" s="23"/>
      <c r="I586" s="23"/>
      <c r="J586" s="23"/>
      <c r="K586" s="23"/>
      <c r="L586" s="23"/>
      <c r="M586" s="36"/>
      <c r="N586" s="23"/>
      <c r="O586" s="23"/>
      <c r="P586" s="23"/>
      <c r="Q586" s="23"/>
      <c r="R586" s="23"/>
      <c r="S586" s="23"/>
      <c r="T586" s="23"/>
      <c r="U586" s="23"/>
      <c r="V586" s="36"/>
      <c r="W586" s="42"/>
      <c r="X586" s="42"/>
      <c r="Y586" s="23"/>
      <c r="Z586" s="42"/>
      <c r="AA586" s="42"/>
      <c r="AB586" s="23"/>
      <c r="AC586" s="23"/>
      <c r="AD586" s="23"/>
      <c r="AE586" s="36"/>
      <c r="AF586" s="23"/>
    </row>
    <row r="587" spans="1:32" ht="15.75" x14ac:dyDescent="0.25">
      <c r="A587" s="44"/>
      <c r="B587" s="23"/>
      <c r="C587" s="23"/>
      <c r="D587" s="36"/>
      <c r="E587" s="23"/>
      <c r="F587" s="23"/>
      <c r="G587" s="23"/>
      <c r="H587" s="23"/>
      <c r="I587" s="23"/>
      <c r="J587" s="23"/>
      <c r="K587" s="23"/>
      <c r="L587" s="23"/>
      <c r="M587" s="36"/>
      <c r="N587" s="23"/>
      <c r="O587" s="23"/>
      <c r="P587" s="23"/>
      <c r="Q587" s="23"/>
      <c r="R587" s="23"/>
      <c r="S587" s="23"/>
      <c r="T587" s="23"/>
      <c r="U587" s="23"/>
      <c r="V587" s="36"/>
      <c r="W587" s="42"/>
      <c r="X587" s="42"/>
      <c r="Y587" s="23"/>
      <c r="Z587" s="42"/>
      <c r="AA587" s="42"/>
      <c r="AB587" s="23"/>
      <c r="AC587" s="23"/>
      <c r="AD587" s="23"/>
      <c r="AE587" s="36"/>
      <c r="AF587" s="23"/>
    </row>
    <row r="588" spans="1:32" ht="15.75" x14ac:dyDescent="0.25">
      <c r="A588" s="44"/>
      <c r="B588" s="23"/>
      <c r="C588" s="23"/>
      <c r="D588" s="36"/>
      <c r="E588" s="23"/>
      <c r="F588" s="23"/>
      <c r="G588" s="23"/>
      <c r="H588" s="23"/>
      <c r="I588" s="23"/>
      <c r="J588" s="23"/>
      <c r="K588" s="23"/>
      <c r="L588" s="23"/>
      <c r="M588" s="36"/>
      <c r="N588" s="23"/>
      <c r="O588" s="23"/>
      <c r="P588" s="23"/>
      <c r="Q588" s="23"/>
      <c r="R588" s="23"/>
      <c r="S588" s="23"/>
      <c r="T588" s="23"/>
      <c r="U588" s="23"/>
      <c r="V588" s="36"/>
      <c r="W588" s="42"/>
      <c r="X588" s="42"/>
      <c r="Y588" s="23"/>
      <c r="Z588" s="42"/>
      <c r="AA588" s="42"/>
      <c r="AB588" s="23"/>
      <c r="AC588" s="23"/>
      <c r="AD588" s="23"/>
      <c r="AE588" s="36"/>
      <c r="AF588" s="23"/>
    </row>
    <row r="589" spans="1:32" ht="15.75" x14ac:dyDescent="0.25">
      <c r="A589" s="44"/>
      <c r="B589" s="23"/>
      <c r="C589" s="23"/>
      <c r="D589" s="36"/>
      <c r="E589" s="23"/>
      <c r="F589" s="23"/>
      <c r="G589" s="23"/>
      <c r="H589" s="23"/>
      <c r="I589" s="23"/>
      <c r="J589" s="23"/>
      <c r="K589" s="23"/>
      <c r="L589" s="23"/>
      <c r="M589" s="36"/>
      <c r="N589" s="23"/>
      <c r="O589" s="23"/>
      <c r="P589" s="23"/>
      <c r="Q589" s="23"/>
      <c r="R589" s="23"/>
      <c r="S589" s="23"/>
      <c r="T589" s="23"/>
      <c r="U589" s="23"/>
      <c r="V589" s="36"/>
      <c r="W589" s="42"/>
      <c r="X589" s="42"/>
      <c r="Y589" s="23"/>
      <c r="Z589" s="42"/>
      <c r="AA589" s="42"/>
      <c r="AB589" s="23"/>
      <c r="AC589" s="23"/>
      <c r="AD589" s="23"/>
      <c r="AE589" s="36"/>
      <c r="AF589" s="23"/>
    </row>
    <row r="590" spans="1:32" ht="15.75" x14ac:dyDescent="0.25">
      <c r="A590" s="44"/>
      <c r="B590" s="23"/>
      <c r="C590" s="23"/>
      <c r="D590" s="36"/>
      <c r="E590" s="23"/>
      <c r="F590" s="23"/>
      <c r="G590" s="23"/>
      <c r="H590" s="23"/>
      <c r="I590" s="23"/>
      <c r="J590" s="23"/>
      <c r="K590" s="23"/>
      <c r="L590" s="23"/>
      <c r="M590" s="36"/>
      <c r="N590" s="23"/>
      <c r="O590" s="23"/>
      <c r="P590" s="23"/>
      <c r="Q590" s="23"/>
      <c r="R590" s="23"/>
      <c r="S590" s="23"/>
      <c r="T590" s="23"/>
      <c r="U590" s="23"/>
      <c r="V590" s="36"/>
      <c r="W590" s="42"/>
      <c r="X590" s="42"/>
      <c r="Y590" s="23"/>
      <c r="Z590" s="42"/>
      <c r="AA590" s="42"/>
      <c r="AB590" s="23"/>
      <c r="AC590" s="23"/>
      <c r="AD590" s="23"/>
      <c r="AE590" s="36"/>
      <c r="AF590" s="23"/>
    </row>
    <row r="591" spans="1:32" ht="15.75" x14ac:dyDescent="0.25">
      <c r="A591" s="44"/>
      <c r="B591" s="23"/>
      <c r="C591" s="23"/>
      <c r="D591" s="36"/>
      <c r="E591" s="23"/>
      <c r="F591" s="23"/>
      <c r="G591" s="23"/>
      <c r="H591" s="23"/>
      <c r="I591" s="23"/>
      <c r="J591" s="23"/>
      <c r="K591" s="23"/>
      <c r="L591" s="23"/>
      <c r="M591" s="36"/>
      <c r="N591" s="23"/>
      <c r="O591" s="23"/>
      <c r="P591" s="23"/>
      <c r="Q591" s="23"/>
      <c r="R591" s="23"/>
      <c r="S591" s="23"/>
      <c r="T591" s="23"/>
      <c r="U591" s="23"/>
      <c r="V591" s="36"/>
      <c r="W591" s="42"/>
      <c r="X591" s="42"/>
      <c r="Y591" s="23"/>
      <c r="Z591" s="42"/>
      <c r="AA591" s="42"/>
      <c r="AB591" s="23"/>
      <c r="AC591" s="23"/>
      <c r="AD591" s="23"/>
      <c r="AE591" s="36"/>
      <c r="AF591" s="23"/>
    </row>
    <row r="592" spans="1:32" ht="15.75" x14ac:dyDescent="0.25">
      <c r="A592" s="44"/>
      <c r="B592" s="23"/>
      <c r="C592" s="23"/>
      <c r="D592" s="36"/>
      <c r="E592" s="23"/>
      <c r="F592" s="23"/>
      <c r="G592" s="23"/>
      <c r="H592" s="23"/>
      <c r="I592" s="23"/>
      <c r="J592" s="23"/>
      <c r="K592" s="23"/>
      <c r="L592" s="23"/>
      <c r="M592" s="36"/>
      <c r="N592" s="23"/>
      <c r="O592" s="23"/>
      <c r="P592" s="23"/>
      <c r="Q592" s="23"/>
      <c r="R592" s="23"/>
      <c r="S592" s="23"/>
      <c r="T592" s="23"/>
      <c r="U592" s="23"/>
      <c r="V592" s="36"/>
      <c r="W592" s="42"/>
      <c r="X592" s="42"/>
      <c r="Y592" s="23"/>
      <c r="Z592" s="42"/>
      <c r="AA592" s="42"/>
      <c r="AB592" s="23"/>
      <c r="AC592" s="23"/>
      <c r="AD592" s="23"/>
      <c r="AE592" s="36"/>
      <c r="AF592" s="23"/>
    </row>
    <row r="593" spans="1:32" ht="15.75" x14ac:dyDescent="0.25">
      <c r="A593" s="44"/>
      <c r="B593" s="23"/>
      <c r="C593" s="23"/>
      <c r="D593" s="36"/>
      <c r="E593" s="23"/>
      <c r="F593" s="23"/>
      <c r="G593" s="23"/>
      <c r="H593" s="23"/>
      <c r="I593" s="23"/>
      <c r="J593" s="23"/>
      <c r="K593" s="23"/>
      <c r="L593" s="23"/>
      <c r="M593" s="36"/>
      <c r="N593" s="23"/>
      <c r="O593" s="23"/>
      <c r="P593" s="23"/>
      <c r="Q593" s="23"/>
      <c r="R593" s="23"/>
      <c r="S593" s="23"/>
      <c r="T593" s="23"/>
      <c r="U593" s="23"/>
      <c r="V593" s="36"/>
      <c r="W593" s="42"/>
      <c r="X593" s="42"/>
      <c r="Y593" s="23"/>
      <c r="Z593" s="42"/>
      <c r="AA593" s="42"/>
      <c r="AB593" s="23"/>
      <c r="AC593" s="23"/>
      <c r="AD593" s="23"/>
      <c r="AE593" s="36"/>
      <c r="AF593" s="23"/>
    </row>
    <row r="594" spans="1:32" ht="15.75" x14ac:dyDescent="0.25">
      <c r="A594" s="44"/>
      <c r="B594" s="23"/>
      <c r="C594" s="23"/>
      <c r="D594" s="36"/>
      <c r="E594" s="23"/>
      <c r="F594" s="23"/>
      <c r="G594" s="23"/>
      <c r="H594" s="23"/>
      <c r="I594" s="23"/>
      <c r="J594" s="23"/>
      <c r="K594" s="23"/>
      <c r="L594" s="23"/>
      <c r="M594" s="36"/>
      <c r="N594" s="23"/>
      <c r="O594" s="23"/>
      <c r="P594" s="23"/>
      <c r="Q594" s="23"/>
      <c r="R594" s="23"/>
      <c r="S594" s="23"/>
      <c r="T594" s="23"/>
      <c r="U594" s="23"/>
      <c r="V594" s="36"/>
      <c r="W594" s="42"/>
      <c r="X594" s="42"/>
      <c r="Y594" s="23"/>
      <c r="Z594" s="42"/>
      <c r="AA594" s="42"/>
      <c r="AB594" s="23"/>
      <c r="AC594" s="23"/>
      <c r="AD594" s="23"/>
      <c r="AE594" s="36"/>
      <c r="AF594" s="23"/>
    </row>
    <row r="595" spans="1:32" ht="15.75" x14ac:dyDescent="0.25">
      <c r="A595" s="44"/>
      <c r="B595" s="23"/>
      <c r="C595" s="23"/>
      <c r="D595" s="36"/>
      <c r="E595" s="23"/>
      <c r="F595" s="23"/>
      <c r="G595" s="23"/>
      <c r="H595" s="23"/>
      <c r="I595" s="23"/>
      <c r="J595" s="23"/>
      <c r="K595" s="23"/>
      <c r="L595" s="23"/>
      <c r="M595" s="36"/>
      <c r="N595" s="23"/>
      <c r="O595" s="23"/>
      <c r="P595" s="23"/>
      <c r="Q595" s="23"/>
      <c r="R595" s="23"/>
      <c r="S595" s="23"/>
      <c r="T595" s="23"/>
      <c r="U595" s="23"/>
      <c r="V595" s="36"/>
      <c r="W595" s="42"/>
      <c r="X595" s="42"/>
      <c r="Y595" s="23"/>
      <c r="Z595" s="42"/>
      <c r="AA595" s="42"/>
      <c r="AB595" s="23"/>
      <c r="AC595" s="23"/>
      <c r="AD595" s="23"/>
      <c r="AE595" s="36"/>
      <c r="AF595" s="23"/>
    </row>
    <row r="596" spans="1:32" ht="15.75" x14ac:dyDescent="0.25">
      <c r="A596" s="44"/>
      <c r="B596" s="23"/>
      <c r="C596" s="23"/>
      <c r="D596" s="36"/>
      <c r="E596" s="23"/>
      <c r="F596" s="23"/>
      <c r="G596" s="23"/>
      <c r="H596" s="23"/>
      <c r="I596" s="23"/>
      <c r="J596" s="23"/>
      <c r="K596" s="23"/>
      <c r="L596" s="23"/>
      <c r="M596" s="36"/>
      <c r="N596" s="23"/>
      <c r="O596" s="23"/>
      <c r="P596" s="23"/>
      <c r="Q596" s="23"/>
      <c r="R596" s="23"/>
      <c r="S596" s="23"/>
      <c r="T596" s="23"/>
      <c r="U596" s="23"/>
      <c r="V596" s="36"/>
      <c r="W596" s="42"/>
      <c r="X596" s="42"/>
      <c r="Y596" s="23"/>
      <c r="Z596" s="42"/>
      <c r="AA596" s="42"/>
      <c r="AB596" s="23"/>
      <c r="AC596" s="23"/>
      <c r="AD596" s="23"/>
      <c r="AE596" s="36"/>
      <c r="AF596" s="23"/>
    </row>
    <row r="597" spans="1:32" ht="15.75" x14ac:dyDescent="0.25">
      <c r="A597" s="44"/>
      <c r="B597" s="23"/>
      <c r="C597" s="23"/>
      <c r="D597" s="36"/>
      <c r="E597" s="23"/>
      <c r="F597" s="23"/>
      <c r="G597" s="23"/>
      <c r="H597" s="23"/>
      <c r="I597" s="23"/>
      <c r="J597" s="23"/>
      <c r="K597" s="23"/>
      <c r="L597" s="23"/>
      <c r="M597" s="36"/>
      <c r="N597" s="23"/>
      <c r="O597" s="23"/>
      <c r="P597" s="23"/>
      <c r="Q597" s="23"/>
      <c r="R597" s="23"/>
      <c r="S597" s="23"/>
      <c r="T597" s="23"/>
      <c r="U597" s="23"/>
      <c r="V597" s="36"/>
      <c r="W597" s="42"/>
      <c r="X597" s="42"/>
      <c r="Y597" s="23"/>
      <c r="Z597" s="42"/>
      <c r="AA597" s="42"/>
      <c r="AB597" s="23"/>
      <c r="AC597" s="23"/>
      <c r="AD597" s="23"/>
      <c r="AE597" s="36"/>
      <c r="AF597" s="23"/>
    </row>
    <row r="598" spans="1:32" ht="15.75" x14ac:dyDescent="0.25">
      <c r="A598" s="44"/>
      <c r="B598" s="23"/>
      <c r="C598" s="23"/>
      <c r="D598" s="36"/>
      <c r="E598" s="23"/>
      <c r="F598" s="23"/>
      <c r="G598" s="23"/>
      <c r="H598" s="23"/>
      <c r="I598" s="23"/>
      <c r="J598" s="23"/>
      <c r="K598" s="23"/>
      <c r="L598" s="23"/>
      <c r="M598" s="36"/>
      <c r="N598" s="23"/>
      <c r="O598" s="23"/>
      <c r="P598" s="23"/>
      <c r="Q598" s="23"/>
      <c r="R598" s="23"/>
      <c r="S598" s="23"/>
      <c r="T598" s="23"/>
      <c r="U598" s="23"/>
      <c r="V598" s="36"/>
      <c r="W598" s="42"/>
      <c r="X598" s="42"/>
      <c r="Y598" s="23"/>
      <c r="Z598" s="42"/>
      <c r="AA598" s="42"/>
      <c r="AB598" s="23"/>
      <c r="AC598" s="23"/>
      <c r="AD598" s="23"/>
      <c r="AE598" s="36"/>
      <c r="AF598" s="23"/>
    </row>
    <row r="599" spans="1:32" ht="15.75" x14ac:dyDescent="0.25">
      <c r="A599" s="44"/>
      <c r="B599" s="23"/>
      <c r="C599" s="23"/>
      <c r="D599" s="36"/>
      <c r="E599" s="23"/>
      <c r="F599" s="23"/>
      <c r="G599" s="23"/>
      <c r="H599" s="23"/>
      <c r="I599" s="23"/>
      <c r="J599" s="23"/>
      <c r="K599" s="23"/>
      <c r="L599" s="23"/>
      <c r="M599" s="36"/>
      <c r="N599" s="23"/>
      <c r="O599" s="23"/>
      <c r="P599" s="23"/>
      <c r="Q599" s="23"/>
      <c r="R599" s="23"/>
      <c r="S599" s="23"/>
      <c r="T599" s="23"/>
      <c r="U599" s="23"/>
      <c r="V599" s="36"/>
      <c r="W599" s="42"/>
      <c r="X599" s="42"/>
      <c r="Y599" s="23"/>
      <c r="Z599" s="42"/>
      <c r="AA599" s="42"/>
      <c r="AB599" s="23"/>
      <c r="AC599" s="23"/>
      <c r="AD599" s="23"/>
      <c r="AE599" s="36"/>
      <c r="AF599" s="23"/>
    </row>
    <row r="600" spans="1:32" ht="15.75" x14ac:dyDescent="0.25">
      <c r="A600" s="44"/>
      <c r="B600" s="23"/>
      <c r="C600" s="23"/>
      <c r="D600" s="36"/>
      <c r="E600" s="23"/>
      <c r="F600" s="23"/>
      <c r="G600" s="23"/>
      <c r="H600" s="23"/>
      <c r="I600" s="23"/>
      <c r="J600" s="23"/>
      <c r="K600" s="23"/>
      <c r="L600" s="23"/>
      <c r="M600" s="36"/>
      <c r="N600" s="23"/>
      <c r="O600" s="23"/>
      <c r="P600" s="23"/>
      <c r="Q600" s="23"/>
      <c r="R600" s="23"/>
      <c r="S600" s="23"/>
      <c r="T600" s="23"/>
      <c r="U600" s="23"/>
      <c r="V600" s="36"/>
      <c r="W600" s="42"/>
      <c r="X600" s="42"/>
      <c r="Y600" s="23"/>
      <c r="Z600" s="42"/>
      <c r="AA600" s="42"/>
      <c r="AB600" s="23"/>
      <c r="AC600" s="23"/>
      <c r="AD600" s="23"/>
      <c r="AE600" s="36"/>
      <c r="AF600" s="23"/>
    </row>
    <row r="601" spans="1:32" ht="15.75" x14ac:dyDescent="0.25">
      <c r="A601" s="44"/>
      <c r="B601" s="23"/>
      <c r="C601" s="23"/>
      <c r="D601" s="36"/>
      <c r="E601" s="23"/>
      <c r="F601" s="23"/>
      <c r="G601" s="23"/>
      <c r="H601" s="23"/>
      <c r="I601" s="23"/>
      <c r="J601" s="23"/>
      <c r="K601" s="23"/>
      <c r="L601" s="23"/>
      <c r="M601" s="36"/>
      <c r="N601" s="23"/>
      <c r="O601" s="23"/>
      <c r="P601" s="23"/>
      <c r="Q601" s="23"/>
      <c r="R601" s="23"/>
      <c r="S601" s="23"/>
      <c r="T601" s="23"/>
      <c r="U601" s="23"/>
      <c r="V601" s="36"/>
      <c r="W601" s="42"/>
      <c r="X601" s="42"/>
      <c r="Y601" s="23"/>
      <c r="Z601" s="42"/>
      <c r="AA601" s="42"/>
      <c r="AB601" s="23"/>
      <c r="AC601" s="23"/>
      <c r="AD601" s="23"/>
      <c r="AE601" s="36"/>
      <c r="AF601" s="23"/>
    </row>
    <row r="602" spans="1:32" ht="15.75" x14ac:dyDescent="0.25">
      <c r="A602" s="44"/>
      <c r="B602" s="23"/>
      <c r="C602" s="23"/>
      <c r="D602" s="36"/>
      <c r="E602" s="23"/>
      <c r="F602" s="23"/>
      <c r="G602" s="23"/>
      <c r="H602" s="23"/>
      <c r="I602" s="23"/>
      <c r="J602" s="23"/>
      <c r="K602" s="23"/>
      <c r="L602" s="23"/>
      <c r="M602" s="36"/>
      <c r="N602" s="23"/>
      <c r="O602" s="23"/>
      <c r="P602" s="23"/>
      <c r="Q602" s="23"/>
      <c r="R602" s="23"/>
      <c r="S602" s="23"/>
      <c r="T602" s="23"/>
      <c r="U602" s="23"/>
      <c r="V602" s="36"/>
      <c r="W602" s="42"/>
      <c r="X602" s="42"/>
      <c r="Y602" s="23"/>
      <c r="Z602" s="42"/>
      <c r="AA602" s="42"/>
      <c r="AB602" s="23"/>
      <c r="AC602" s="23"/>
      <c r="AD602" s="23"/>
      <c r="AE602" s="36"/>
      <c r="AF602" s="23"/>
    </row>
    <row r="603" spans="1:32" ht="15.75" x14ac:dyDescent="0.25">
      <c r="A603" s="44"/>
      <c r="B603" s="23"/>
      <c r="C603" s="23"/>
      <c r="D603" s="36"/>
      <c r="E603" s="23"/>
      <c r="F603" s="23"/>
      <c r="G603" s="23"/>
      <c r="H603" s="23"/>
      <c r="I603" s="23"/>
      <c r="J603" s="23"/>
      <c r="K603" s="23"/>
      <c r="L603" s="23"/>
      <c r="M603" s="36"/>
      <c r="N603" s="23"/>
      <c r="O603" s="23"/>
      <c r="P603" s="23"/>
      <c r="Q603" s="23"/>
      <c r="R603" s="23"/>
      <c r="S603" s="23"/>
      <c r="T603" s="23"/>
      <c r="U603" s="23"/>
      <c r="V603" s="36"/>
      <c r="W603" s="42"/>
      <c r="X603" s="42"/>
      <c r="Y603" s="23"/>
      <c r="Z603" s="42"/>
      <c r="AA603" s="42"/>
      <c r="AB603" s="23"/>
      <c r="AC603" s="23"/>
      <c r="AD603" s="23"/>
      <c r="AE603" s="36"/>
      <c r="AF603" s="23"/>
    </row>
    <row r="604" spans="1:32" ht="15.75" x14ac:dyDescent="0.25">
      <c r="A604" s="44"/>
      <c r="B604" s="23"/>
      <c r="C604" s="23"/>
      <c r="D604" s="36"/>
      <c r="E604" s="23"/>
      <c r="F604" s="23"/>
      <c r="G604" s="23"/>
      <c r="H604" s="23"/>
      <c r="I604" s="23"/>
      <c r="J604" s="23"/>
      <c r="K604" s="23"/>
      <c r="L604" s="23"/>
      <c r="M604" s="36"/>
      <c r="N604" s="23"/>
      <c r="O604" s="23"/>
      <c r="P604" s="23"/>
      <c r="Q604" s="23"/>
      <c r="R604" s="23"/>
      <c r="S604" s="23"/>
      <c r="T604" s="23"/>
      <c r="U604" s="23"/>
      <c r="V604" s="36"/>
      <c r="W604" s="42"/>
      <c r="X604" s="42"/>
      <c r="Y604" s="23"/>
      <c r="Z604" s="42"/>
      <c r="AA604" s="42"/>
      <c r="AB604" s="23"/>
      <c r="AC604" s="23"/>
      <c r="AD604" s="23"/>
      <c r="AE604" s="36"/>
      <c r="AF604" s="23"/>
    </row>
    <row r="605" spans="1:32" ht="15.75" x14ac:dyDescent="0.25">
      <c r="A605" s="44"/>
      <c r="B605" s="23"/>
      <c r="C605" s="23"/>
      <c r="D605" s="36"/>
      <c r="E605" s="23"/>
      <c r="F605" s="23"/>
      <c r="G605" s="23"/>
      <c r="H605" s="23"/>
      <c r="I605" s="23"/>
      <c r="J605" s="23"/>
      <c r="K605" s="23"/>
      <c r="L605" s="23"/>
      <c r="M605" s="36"/>
      <c r="N605" s="23"/>
      <c r="O605" s="23"/>
      <c r="P605" s="23"/>
      <c r="Q605" s="23"/>
      <c r="R605" s="23"/>
      <c r="S605" s="23"/>
      <c r="T605" s="23"/>
      <c r="U605" s="23"/>
      <c r="V605" s="36"/>
      <c r="W605" s="42"/>
      <c r="X605" s="42"/>
      <c r="Y605" s="23"/>
      <c r="Z605" s="42"/>
      <c r="AA605" s="42"/>
      <c r="AB605" s="23"/>
      <c r="AC605" s="23"/>
      <c r="AD605" s="23"/>
      <c r="AE605" s="36"/>
      <c r="AF605" s="23"/>
    </row>
    <row r="606" spans="1:32" ht="15.75" x14ac:dyDescent="0.25">
      <c r="A606" s="44"/>
      <c r="B606" s="23"/>
      <c r="C606" s="23"/>
      <c r="D606" s="36"/>
      <c r="E606" s="23"/>
      <c r="F606" s="23"/>
      <c r="G606" s="23"/>
      <c r="H606" s="23"/>
      <c r="I606" s="23"/>
      <c r="J606" s="23"/>
      <c r="K606" s="23"/>
      <c r="L606" s="23"/>
      <c r="M606" s="36"/>
      <c r="N606" s="23"/>
      <c r="O606" s="23"/>
      <c r="P606" s="23"/>
      <c r="Q606" s="23"/>
      <c r="R606" s="23"/>
      <c r="S606" s="23"/>
      <c r="T606" s="23"/>
      <c r="U606" s="23"/>
      <c r="V606" s="36"/>
      <c r="W606" s="42"/>
      <c r="X606" s="42"/>
      <c r="Y606" s="23"/>
      <c r="Z606" s="42"/>
      <c r="AA606" s="42"/>
      <c r="AB606" s="23"/>
      <c r="AC606" s="23"/>
      <c r="AD606" s="23"/>
      <c r="AE606" s="36"/>
      <c r="AF606" s="23"/>
    </row>
    <row r="607" spans="1:32" ht="15.75" x14ac:dyDescent="0.25">
      <c r="A607" s="44"/>
      <c r="B607" s="23"/>
      <c r="C607" s="23"/>
      <c r="D607" s="36"/>
      <c r="E607" s="23"/>
      <c r="F607" s="23"/>
      <c r="G607" s="23"/>
      <c r="H607" s="23"/>
      <c r="I607" s="23"/>
      <c r="J607" s="23"/>
      <c r="K607" s="23"/>
      <c r="L607" s="23"/>
      <c r="M607" s="36"/>
      <c r="N607" s="23"/>
      <c r="O607" s="23"/>
      <c r="P607" s="23"/>
      <c r="Q607" s="23"/>
      <c r="R607" s="23"/>
      <c r="S607" s="23"/>
      <c r="T607" s="23"/>
      <c r="U607" s="23"/>
      <c r="V607" s="36"/>
      <c r="W607" s="42"/>
      <c r="X607" s="42"/>
      <c r="Y607" s="23"/>
      <c r="Z607" s="42"/>
      <c r="AA607" s="42"/>
      <c r="AB607" s="23"/>
      <c r="AC607" s="23"/>
      <c r="AD607" s="23"/>
      <c r="AE607" s="36"/>
      <c r="AF607" s="23"/>
    </row>
    <row r="608" spans="1:32" ht="15.75" x14ac:dyDescent="0.25">
      <c r="A608" s="44"/>
      <c r="B608" s="23"/>
      <c r="C608" s="23"/>
      <c r="D608" s="36"/>
      <c r="E608" s="23"/>
      <c r="F608" s="23"/>
      <c r="G608" s="23"/>
      <c r="H608" s="23"/>
      <c r="I608" s="23"/>
      <c r="J608" s="23"/>
      <c r="K608" s="23"/>
      <c r="L608" s="23"/>
      <c r="M608" s="36"/>
      <c r="N608" s="23"/>
      <c r="O608" s="23"/>
      <c r="P608" s="23"/>
      <c r="Q608" s="23"/>
      <c r="R608" s="23"/>
      <c r="S608" s="23"/>
      <c r="T608" s="23"/>
      <c r="U608" s="23"/>
      <c r="V608" s="36"/>
      <c r="W608" s="42"/>
      <c r="X608" s="42"/>
      <c r="Y608" s="23"/>
      <c r="Z608" s="42"/>
      <c r="AA608" s="42"/>
      <c r="AB608" s="23"/>
      <c r="AC608" s="23"/>
      <c r="AD608" s="23"/>
      <c r="AE608" s="36"/>
      <c r="AF608" s="23"/>
    </row>
    <row r="609" spans="1:32" ht="15.75" x14ac:dyDescent="0.25">
      <c r="A609" s="44"/>
      <c r="B609" s="23"/>
      <c r="C609" s="23"/>
      <c r="D609" s="36"/>
      <c r="E609" s="23"/>
      <c r="F609" s="23"/>
      <c r="G609" s="23"/>
      <c r="H609" s="23"/>
      <c r="I609" s="23"/>
      <c r="J609" s="23"/>
      <c r="K609" s="23"/>
      <c r="L609" s="23"/>
      <c r="M609" s="36"/>
      <c r="N609" s="23"/>
      <c r="O609" s="23"/>
      <c r="P609" s="23"/>
      <c r="Q609" s="23"/>
      <c r="R609" s="23"/>
      <c r="S609" s="23"/>
      <c r="T609" s="23"/>
      <c r="U609" s="23"/>
      <c r="V609" s="36"/>
      <c r="W609" s="42"/>
      <c r="X609" s="42"/>
      <c r="Y609" s="23"/>
      <c r="Z609" s="42"/>
      <c r="AA609" s="42"/>
      <c r="AB609" s="23"/>
      <c r="AC609" s="23"/>
      <c r="AD609" s="23"/>
      <c r="AE609" s="36"/>
      <c r="AF609" s="23"/>
    </row>
    <row r="610" spans="1:32" ht="15.75" x14ac:dyDescent="0.25">
      <c r="A610" s="44"/>
      <c r="B610" s="23"/>
      <c r="C610" s="23"/>
      <c r="D610" s="36"/>
      <c r="E610" s="23"/>
      <c r="F610" s="23"/>
      <c r="G610" s="23"/>
      <c r="H610" s="23"/>
      <c r="I610" s="23"/>
      <c r="J610" s="23"/>
      <c r="K610" s="23"/>
      <c r="L610" s="23"/>
      <c r="M610" s="36"/>
      <c r="N610" s="23"/>
      <c r="O610" s="23"/>
      <c r="P610" s="23"/>
      <c r="Q610" s="23"/>
      <c r="R610" s="23"/>
      <c r="S610" s="23"/>
      <c r="T610" s="23"/>
      <c r="U610" s="23"/>
      <c r="V610" s="36"/>
      <c r="W610" s="42"/>
      <c r="X610" s="42"/>
      <c r="Y610" s="23"/>
      <c r="Z610" s="42"/>
      <c r="AA610" s="42"/>
      <c r="AB610" s="23"/>
      <c r="AC610" s="23"/>
      <c r="AD610" s="23"/>
      <c r="AE610" s="36"/>
      <c r="AF610" s="23"/>
    </row>
    <row r="611" spans="1:32" ht="15.75" x14ac:dyDescent="0.25">
      <c r="A611" s="44"/>
      <c r="B611" s="23"/>
      <c r="C611" s="23"/>
      <c r="D611" s="36"/>
      <c r="E611" s="23"/>
      <c r="F611" s="23"/>
      <c r="G611" s="23"/>
      <c r="H611" s="23"/>
      <c r="I611" s="23"/>
      <c r="J611" s="23"/>
      <c r="K611" s="23"/>
      <c r="L611" s="23"/>
      <c r="M611" s="36"/>
      <c r="N611" s="23"/>
      <c r="O611" s="23"/>
      <c r="P611" s="23"/>
      <c r="Q611" s="23"/>
      <c r="R611" s="23"/>
      <c r="S611" s="23"/>
      <c r="T611" s="23"/>
      <c r="U611" s="23"/>
      <c r="V611" s="36"/>
      <c r="W611" s="42"/>
      <c r="X611" s="42"/>
      <c r="Y611" s="23"/>
      <c r="Z611" s="42"/>
      <c r="AA611" s="42"/>
      <c r="AB611" s="23"/>
      <c r="AC611" s="23"/>
      <c r="AD611" s="23"/>
      <c r="AE611" s="36"/>
      <c r="AF611" s="23"/>
    </row>
    <row r="612" spans="1:32" ht="15.75" x14ac:dyDescent="0.25">
      <c r="A612" s="44"/>
      <c r="B612" s="23"/>
      <c r="C612" s="23"/>
      <c r="D612" s="36"/>
      <c r="E612" s="23"/>
      <c r="F612" s="23"/>
      <c r="G612" s="23"/>
      <c r="H612" s="23"/>
      <c r="I612" s="23"/>
      <c r="J612" s="23"/>
      <c r="K612" s="23"/>
      <c r="L612" s="23"/>
      <c r="M612" s="36"/>
      <c r="N612" s="23"/>
      <c r="O612" s="23"/>
      <c r="P612" s="23"/>
      <c r="Q612" s="23"/>
      <c r="R612" s="23"/>
      <c r="S612" s="23"/>
      <c r="T612" s="23"/>
      <c r="U612" s="23"/>
      <c r="V612" s="36"/>
      <c r="W612" s="42"/>
      <c r="X612" s="42"/>
      <c r="Y612" s="23"/>
      <c r="Z612" s="42"/>
      <c r="AA612" s="42"/>
      <c r="AB612" s="23"/>
      <c r="AC612" s="23"/>
      <c r="AD612" s="23"/>
      <c r="AE612" s="36"/>
      <c r="AF612" s="23"/>
    </row>
    <row r="613" spans="1:32" ht="15.75" x14ac:dyDescent="0.25">
      <c r="A613" s="44"/>
      <c r="B613" s="23"/>
      <c r="C613" s="23"/>
      <c r="D613" s="36"/>
      <c r="E613" s="23"/>
      <c r="F613" s="23"/>
      <c r="G613" s="23"/>
      <c r="H613" s="23"/>
      <c r="I613" s="23"/>
      <c r="J613" s="23"/>
      <c r="K613" s="23"/>
      <c r="L613" s="23"/>
      <c r="M613" s="36"/>
      <c r="N613" s="23"/>
      <c r="O613" s="23"/>
      <c r="P613" s="23"/>
      <c r="Q613" s="23"/>
      <c r="R613" s="23"/>
      <c r="S613" s="23"/>
      <c r="T613" s="23"/>
      <c r="U613" s="23"/>
      <c r="V613" s="36"/>
      <c r="W613" s="42"/>
      <c r="X613" s="42"/>
      <c r="Y613" s="23"/>
      <c r="Z613" s="42"/>
      <c r="AA613" s="42"/>
      <c r="AB613" s="23"/>
      <c r="AC613" s="23"/>
      <c r="AD613" s="23"/>
      <c r="AE613" s="36"/>
      <c r="AF613" s="23"/>
    </row>
    <row r="614" spans="1:32" ht="15.75" x14ac:dyDescent="0.25">
      <c r="A614" s="44"/>
      <c r="B614" s="23"/>
      <c r="C614" s="23"/>
      <c r="D614" s="36"/>
      <c r="E614" s="23"/>
      <c r="F614" s="23"/>
      <c r="G614" s="23"/>
      <c r="H614" s="23"/>
      <c r="I614" s="23"/>
      <c r="J614" s="23"/>
      <c r="K614" s="23"/>
      <c r="L614" s="23"/>
      <c r="M614" s="36"/>
      <c r="N614" s="23"/>
      <c r="O614" s="23"/>
      <c r="P614" s="23"/>
      <c r="Q614" s="23"/>
      <c r="R614" s="23"/>
      <c r="S614" s="23"/>
      <c r="T614" s="23"/>
      <c r="U614" s="23"/>
      <c r="V614" s="36"/>
      <c r="W614" s="42"/>
      <c r="X614" s="42"/>
      <c r="Y614" s="23"/>
      <c r="Z614" s="42"/>
      <c r="AA614" s="42"/>
      <c r="AB614" s="23"/>
      <c r="AC614" s="23"/>
      <c r="AD614" s="23"/>
      <c r="AE614" s="36"/>
      <c r="AF614" s="23"/>
    </row>
    <row r="615" spans="1:32" ht="15.75" x14ac:dyDescent="0.25">
      <c r="A615" s="44"/>
      <c r="B615" s="23"/>
      <c r="C615" s="23"/>
      <c r="D615" s="36"/>
      <c r="E615" s="23"/>
      <c r="F615" s="23"/>
      <c r="G615" s="23"/>
      <c r="H615" s="23"/>
      <c r="I615" s="23"/>
      <c r="J615" s="23"/>
      <c r="K615" s="23"/>
      <c r="L615" s="23"/>
      <c r="M615" s="36"/>
      <c r="N615" s="23"/>
      <c r="O615" s="23"/>
      <c r="P615" s="23"/>
      <c r="Q615" s="23"/>
      <c r="R615" s="23"/>
      <c r="S615" s="23"/>
      <c r="T615" s="23"/>
      <c r="U615" s="23"/>
      <c r="V615" s="36"/>
      <c r="W615" s="42"/>
      <c r="X615" s="42"/>
      <c r="Y615" s="23"/>
      <c r="Z615" s="42"/>
      <c r="AA615" s="42"/>
      <c r="AB615" s="23"/>
      <c r="AC615" s="23"/>
      <c r="AD615" s="23"/>
      <c r="AE615" s="36"/>
      <c r="AF615" s="23"/>
    </row>
    <row r="616" spans="1:32" ht="15.75" x14ac:dyDescent="0.25">
      <c r="A616" s="44"/>
      <c r="B616" s="23"/>
      <c r="C616" s="23"/>
      <c r="D616" s="36"/>
      <c r="E616" s="23"/>
      <c r="F616" s="23"/>
      <c r="G616" s="23"/>
      <c r="H616" s="23"/>
      <c r="I616" s="23"/>
      <c r="J616" s="23"/>
      <c r="K616" s="23"/>
      <c r="L616" s="23"/>
      <c r="M616" s="36"/>
      <c r="N616" s="23"/>
      <c r="O616" s="23"/>
      <c r="P616" s="23"/>
      <c r="Q616" s="23"/>
      <c r="R616" s="23"/>
      <c r="S616" s="23"/>
      <c r="T616" s="23"/>
      <c r="U616" s="23"/>
      <c r="V616" s="36"/>
      <c r="W616" s="42"/>
      <c r="X616" s="42"/>
      <c r="Y616" s="23"/>
      <c r="Z616" s="42"/>
      <c r="AA616" s="42"/>
      <c r="AB616" s="23"/>
      <c r="AC616" s="23"/>
      <c r="AD616" s="23"/>
      <c r="AE616" s="36"/>
      <c r="AF616" s="23"/>
    </row>
    <row r="617" spans="1:32" ht="15.75" x14ac:dyDescent="0.25">
      <c r="A617" s="44"/>
      <c r="B617" s="23"/>
      <c r="C617" s="23"/>
      <c r="D617" s="36"/>
      <c r="E617" s="23"/>
      <c r="F617" s="23"/>
      <c r="G617" s="23"/>
      <c r="H617" s="23"/>
      <c r="I617" s="23"/>
      <c r="J617" s="23"/>
      <c r="K617" s="23"/>
      <c r="L617" s="23"/>
      <c r="M617" s="36"/>
      <c r="N617" s="23"/>
      <c r="O617" s="23"/>
      <c r="P617" s="23"/>
      <c r="Q617" s="23"/>
      <c r="R617" s="23"/>
      <c r="S617" s="23"/>
      <c r="T617" s="23"/>
      <c r="U617" s="23"/>
      <c r="V617" s="36"/>
      <c r="W617" s="42"/>
      <c r="X617" s="42"/>
      <c r="Y617" s="23"/>
      <c r="Z617" s="42"/>
      <c r="AA617" s="42"/>
      <c r="AB617" s="23"/>
      <c r="AC617" s="23"/>
      <c r="AD617" s="23"/>
      <c r="AE617" s="36"/>
      <c r="AF617" s="23"/>
    </row>
    <row r="618" spans="1:32" ht="15.75" x14ac:dyDescent="0.25">
      <c r="A618" s="44"/>
      <c r="B618" s="23"/>
      <c r="C618" s="23"/>
      <c r="D618" s="36"/>
      <c r="E618" s="23"/>
      <c r="F618" s="23"/>
      <c r="G618" s="23"/>
      <c r="H618" s="23"/>
      <c r="I618" s="23"/>
      <c r="J618" s="23"/>
      <c r="K618" s="23"/>
      <c r="L618" s="23"/>
      <c r="M618" s="36"/>
      <c r="N618" s="23"/>
      <c r="O618" s="23"/>
      <c r="P618" s="23"/>
      <c r="Q618" s="23"/>
      <c r="R618" s="23"/>
      <c r="S618" s="23"/>
      <c r="T618" s="23"/>
      <c r="U618" s="23"/>
      <c r="V618" s="36"/>
      <c r="W618" s="42"/>
      <c r="X618" s="42"/>
      <c r="Y618" s="23"/>
      <c r="Z618" s="42"/>
      <c r="AA618" s="42"/>
      <c r="AB618" s="23"/>
      <c r="AC618" s="23"/>
      <c r="AD618" s="23"/>
      <c r="AE618" s="36"/>
      <c r="AF618" s="23"/>
    </row>
    <row r="619" spans="1:32" ht="15.75" x14ac:dyDescent="0.25">
      <c r="A619" s="44"/>
      <c r="B619" s="23"/>
      <c r="C619" s="23"/>
      <c r="D619" s="36"/>
      <c r="E619" s="23"/>
      <c r="F619" s="23"/>
      <c r="G619" s="23"/>
      <c r="H619" s="23"/>
      <c r="I619" s="23"/>
      <c r="J619" s="23"/>
      <c r="K619" s="23"/>
      <c r="L619" s="23"/>
      <c r="M619" s="36"/>
      <c r="N619" s="23"/>
      <c r="O619" s="23"/>
      <c r="P619" s="23"/>
      <c r="Q619" s="23"/>
      <c r="R619" s="23"/>
      <c r="S619" s="23"/>
      <c r="T619" s="23"/>
      <c r="U619" s="23"/>
      <c r="V619" s="36"/>
      <c r="W619" s="42"/>
      <c r="X619" s="42"/>
      <c r="Y619" s="23"/>
      <c r="Z619" s="42"/>
      <c r="AA619" s="42"/>
      <c r="AB619" s="23"/>
      <c r="AC619" s="23"/>
      <c r="AD619" s="23"/>
      <c r="AE619" s="36"/>
      <c r="AF619" s="23"/>
    </row>
    <row r="620" spans="1:32" ht="15.75" x14ac:dyDescent="0.25">
      <c r="A620" s="44"/>
      <c r="B620" s="23"/>
      <c r="C620" s="23"/>
      <c r="D620" s="36"/>
      <c r="E620" s="23"/>
      <c r="F620" s="23"/>
      <c r="G620" s="23"/>
      <c r="H620" s="23"/>
      <c r="I620" s="23"/>
      <c r="J620" s="23"/>
      <c r="K620" s="23"/>
      <c r="L620" s="23"/>
      <c r="M620" s="36"/>
      <c r="N620" s="23"/>
      <c r="O620" s="23"/>
      <c r="P620" s="23"/>
      <c r="Q620" s="23"/>
      <c r="R620" s="23"/>
      <c r="S620" s="23"/>
      <c r="T620" s="23"/>
      <c r="U620" s="23"/>
      <c r="V620" s="36"/>
      <c r="W620" s="42"/>
      <c r="X620" s="42"/>
      <c r="Y620" s="23"/>
      <c r="Z620" s="42"/>
      <c r="AA620" s="42"/>
      <c r="AB620" s="23"/>
      <c r="AC620" s="23"/>
      <c r="AD620" s="23"/>
      <c r="AE620" s="36"/>
      <c r="AF620" s="23"/>
    </row>
    <row r="621" spans="1:32" ht="15.75" x14ac:dyDescent="0.25">
      <c r="A621" s="44"/>
      <c r="B621" s="23"/>
      <c r="C621" s="23"/>
      <c r="D621" s="36"/>
      <c r="E621" s="23"/>
      <c r="F621" s="23"/>
      <c r="G621" s="23"/>
      <c r="H621" s="23"/>
      <c r="I621" s="23"/>
      <c r="J621" s="23"/>
      <c r="K621" s="23"/>
      <c r="L621" s="23"/>
      <c r="M621" s="36"/>
      <c r="N621" s="23"/>
      <c r="O621" s="23"/>
      <c r="P621" s="23"/>
      <c r="Q621" s="23"/>
      <c r="R621" s="23"/>
      <c r="S621" s="23"/>
      <c r="T621" s="23"/>
      <c r="U621" s="23"/>
      <c r="V621" s="36"/>
      <c r="W621" s="42"/>
      <c r="X621" s="42"/>
      <c r="Y621" s="23"/>
      <c r="Z621" s="42"/>
      <c r="AA621" s="42"/>
      <c r="AB621" s="23"/>
      <c r="AC621" s="23"/>
      <c r="AD621" s="23"/>
      <c r="AE621" s="36"/>
      <c r="AF621" s="23"/>
    </row>
    <row r="622" spans="1:32" ht="15.75" x14ac:dyDescent="0.25">
      <c r="A622" s="44"/>
      <c r="B622" s="23"/>
      <c r="C622" s="23"/>
      <c r="D622" s="36"/>
      <c r="E622" s="23"/>
      <c r="F622" s="23"/>
      <c r="G622" s="23"/>
      <c r="H622" s="23"/>
      <c r="I622" s="23"/>
      <c r="J622" s="23"/>
      <c r="K622" s="23"/>
      <c r="L622" s="23"/>
      <c r="M622" s="36"/>
      <c r="N622" s="23"/>
      <c r="O622" s="23"/>
      <c r="P622" s="23"/>
      <c r="Q622" s="23"/>
      <c r="R622" s="23"/>
      <c r="S622" s="23"/>
      <c r="T622" s="23"/>
      <c r="U622" s="23"/>
      <c r="V622" s="36"/>
      <c r="W622" s="42"/>
      <c r="X622" s="42"/>
      <c r="Y622" s="23"/>
      <c r="Z622" s="42"/>
      <c r="AA622" s="42"/>
      <c r="AB622" s="23"/>
      <c r="AC622" s="23"/>
      <c r="AD622" s="23"/>
      <c r="AE622" s="36"/>
      <c r="AF622" s="23"/>
    </row>
    <row r="623" spans="1:32" ht="15.75" x14ac:dyDescent="0.25">
      <c r="A623" s="44"/>
      <c r="B623" s="23"/>
      <c r="C623" s="23"/>
      <c r="D623" s="36"/>
      <c r="E623" s="23"/>
      <c r="F623" s="23"/>
      <c r="G623" s="23"/>
      <c r="H623" s="23"/>
      <c r="I623" s="23"/>
      <c r="J623" s="23"/>
      <c r="K623" s="23"/>
      <c r="L623" s="23"/>
      <c r="M623" s="36"/>
      <c r="N623" s="23"/>
      <c r="O623" s="23"/>
      <c r="P623" s="23"/>
      <c r="Q623" s="23"/>
      <c r="R623" s="23"/>
      <c r="S623" s="23"/>
      <c r="T623" s="23"/>
      <c r="U623" s="23"/>
      <c r="V623" s="36"/>
      <c r="W623" s="42"/>
      <c r="X623" s="42"/>
      <c r="Y623" s="23"/>
      <c r="Z623" s="42"/>
      <c r="AA623" s="42"/>
      <c r="AB623" s="23"/>
      <c r="AC623" s="23"/>
      <c r="AD623" s="23"/>
      <c r="AE623" s="36"/>
      <c r="AF623" s="23"/>
    </row>
    <row r="624" spans="1:32" ht="15.75" x14ac:dyDescent="0.25">
      <c r="A624" s="44"/>
      <c r="B624" s="23"/>
      <c r="C624" s="23"/>
      <c r="D624" s="36"/>
      <c r="E624" s="23"/>
      <c r="F624" s="23"/>
      <c r="G624" s="23"/>
      <c r="H624" s="23"/>
      <c r="I624" s="23"/>
      <c r="J624" s="23"/>
      <c r="K624" s="23"/>
      <c r="L624" s="23"/>
      <c r="M624" s="36"/>
      <c r="N624" s="23"/>
      <c r="O624" s="23"/>
      <c r="P624" s="23"/>
      <c r="Q624" s="23"/>
      <c r="R624" s="23"/>
      <c r="S624" s="23"/>
      <c r="T624" s="23"/>
      <c r="U624" s="23"/>
      <c r="V624" s="36"/>
      <c r="W624" s="42"/>
      <c r="X624" s="42"/>
      <c r="Y624" s="23"/>
      <c r="Z624" s="42"/>
      <c r="AA624" s="42"/>
      <c r="AB624" s="23"/>
      <c r="AC624" s="23"/>
      <c r="AD624" s="23"/>
      <c r="AE624" s="36"/>
      <c r="AF624" s="23"/>
    </row>
    <row r="625" spans="1:32" ht="15.75" x14ac:dyDescent="0.25">
      <c r="A625" s="44"/>
      <c r="B625" s="23"/>
      <c r="C625" s="23"/>
      <c r="D625" s="36"/>
      <c r="E625" s="23"/>
      <c r="F625" s="23"/>
      <c r="G625" s="23"/>
      <c r="H625" s="23"/>
      <c r="I625" s="23"/>
      <c r="J625" s="23"/>
      <c r="K625" s="23"/>
      <c r="L625" s="23"/>
      <c r="M625" s="36"/>
      <c r="N625" s="23"/>
      <c r="O625" s="23"/>
      <c r="P625" s="23"/>
      <c r="Q625" s="23"/>
      <c r="R625" s="23"/>
      <c r="S625" s="23"/>
      <c r="T625" s="23"/>
      <c r="U625" s="23"/>
      <c r="V625" s="36"/>
      <c r="W625" s="42"/>
      <c r="X625" s="42"/>
      <c r="Y625" s="23"/>
      <c r="Z625" s="42"/>
      <c r="AA625" s="42"/>
      <c r="AB625" s="23"/>
      <c r="AC625" s="23"/>
      <c r="AD625" s="23"/>
      <c r="AE625" s="36"/>
      <c r="AF625" s="23"/>
    </row>
    <row r="626" spans="1:32" ht="15.75" x14ac:dyDescent="0.25">
      <c r="A626" s="44"/>
      <c r="B626" s="23"/>
      <c r="C626" s="23"/>
      <c r="D626" s="36"/>
      <c r="E626" s="23"/>
      <c r="F626" s="23"/>
      <c r="G626" s="23"/>
      <c r="H626" s="23"/>
      <c r="I626" s="23"/>
      <c r="J626" s="23"/>
      <c r="K626" s="23"/>
      <c r="L626" s="23"/>
      <c r="M626" s="36"/>
      <c r="N626" s="23"/>
      <c r="O626" s="23"/>
      <c r="P626" s="23"/>
      <c r="Q626" s="23"/>
      <c r="R626" s="23"/>
      <c r="S626" s="23"/>
      <c r="T626" s="23"/>
      <c r="U626" s="23"/>
      <c r="V626" s="36"/>
      <c r="W626" s="42"/>
      <c r="X626" s="42"/>
      <c r="Y626" s="23"/>
      <c r="Z626" s="42"/>
      <c r="AA626" s="42"/>
      <c r="AB626" s="23"/>
      <c r="AC626" s="23"/>
      <c r="AD626" s="23"/>
      <c r="AE626" s="36"/>
      <c r="AF626" s="23"/>
    </row>
    <row r="627" spans="1:32" ht="15.75" x14ac:dyDescent="0.25">
      <c r="A627" s="44"/>
      <c r="B627" s="23"/>
      <c r="C627" s="23"/>
      <c r="D627" s="36"/>
      <c r="E627" s="23"/>
      <c r="F627" s="23"/>
      <c r="G627" s="23"/>
      <c r="H627" s="23"/>
      <c r="I627" s="23"/>
      <c r="J627" s="23"/>
      <c r="K627" s="23"/>
      <c r="L627" s="23"/>
      <c r="M627" s="36"/>
      <c r="N627" s="23"/>
      <c r="O627" s="23"/>
      <c r="P627" s="23"/>
      <c r="Q627" s="23"/>
      <c r="R627" s="23"/>
      <c r="S627" s="23"/>
      <c r="T627" s="23"/>
      <c r="U627" s="23"/>
      <c r="V627" s="36"/>
      <c r="W627" s="42"/>
      <c r="X627" s="42"/>
      <c r="Y627" s="23"/>
      <c r="Z627" s="42"/>
      <c r="AA627" s="42"/>
      <c r="AB627" s="23"/>
      <c r="AC627" s="23"/>
      <c r="AD627" s="23"/>
      <c r="AE627" s="36"/>
      <c r="AF627" s="23"/>
    </row>
    <row r="628" spans="1:32" ht="15.75" x14ac:dyDescent="0.25">
      <c r="A628" s="44"/>
      <c r="B628" s="23"/>
      <c r="C628" s="23"/>
      <c r="D628" s="36"/>
      <c r="E628" s="23"/>
      <c r="F628" s="23"/>
      <c r="G628" s="23"/>
      <c r="H628" s="23"/>
      <c r="I628" s="23"/>
      <c r="J628" s="23"/>
      <c r="K628" s="23"/>
      <c r="L628" s="23"/>
      <c r="M628" s="36"/>
      <c r="N628" s="23"/>
      <c r="O628" s="23"/>
      <c r="P628" s="23"/>
      <c r="Q628" s="23"/>
      <c r="R628" s="23"/>
      <c r="S628" s="23"/>
      <c r="T628" s="23"/>
      <c r="U628" s="23"/>
      <c r="V628" s="36"/>
      <c r="W628" s="42"/>
      <c r="X628" s="42"/>
      <c r="Y628" s="23"/>
      <c r="Z628" s="42"/>
      <c r="AA628" s="42"/>
      <c r="AB628" s="23"/>
      <c r="AC628" s="23"/>
      <c r="AD628" s="23"/>
      <c r="AE628" s="36"/>
      <c r="AF628" s="23"/>
    </row>
    <row r="629" spans="1:32" ht="15.75" x14ac:dyDescent="0.25">
      <c r="A629" s="44"/>
      <c r="B629" s="23"/>
      <c r="C629" s="23"/>
      <c r="D629" s="36"/>
      <c r="E629" s="23"/>
      <c r="F629" s="23"/>
      <c r="G629" s="23"/>
      <c r="H629" s="23"/>
      <c r="I629" s="23"/>
      <c r="J629" s="23"/>
      <c r="K629" s="23"/>
      <c r="L629" s="23"/>
      <c r="M629" s="36"/>
      <c r="N629" s="23"/>
      <c r="O629" s="23"/>
      <c r="P629" s="23"/>
      <c r="Q629" s="23"/>
      <c r="R629" s="23"/>
      <c r="S629" s="23"/>
      <c r="T629" s="23"/>
      <c r="U629" s="23"/>
      <c r="V629" s="36"/>
      <c r="W629" s="42"/>
      <c r="X629" s="42"/>
      <c r="Y629" s="23"/>
      <c r="Z629" s="42"/>
      <c r="AA629" s="42"/>
      <c r="AB629" s="23"/>
      <c r="AC629" s="23"/>
      <c r="AD629" s="23"/>
      <c r="AE629" s="36"/>
      <c r="AF629" s="23"/>
    </row>
    <row r="630" spans="1:32" ht="15.75" x14ac:dyDescent="0.25">
      <c r="A630" s="44"/>
      <c r="B630" s="23"/>
      <c r="C630" s="23"/>
      <c r="D630" s="36"/>
      <c r="E630" s="23"/>
      <c r="F630" s="23"/>
      <c r="G630" s="23"/>
      <c r="H630" s="23"/>
      <c r="I630" s="23"/>
      <c r="J630" s="23"/>
      <c r="K630" s="23"/>
      <c r="L630" s="23"/>
      <c r="M630" s="36"/>
      <c r="N630" s="23"/>
      <c r="O630" s="23"/>
      <c r="P630" s="23"/>
      <c r="Q630" s="23"/>
      <c r="R630" s="23"/>
      <c r="S630" s="23"/>
      <c r="T630" s="23"/>
      <c r="U630" s="23"/>
      <c r="V630" s="36"/>
      <c r="W630" s="42"/>
      <c r="X630" s="42"/>
      <c r="Y630" s="23"/>
      <c r="Z630" s="42"/>
      <c r="AA630" s="42"/>
      <c r="AB630" s="23"/>
      <c r="AC630" s="23"/>
      <c r="AD630" s="23"/>
      <c r="AE630" s="36"/>
      <c r="AF630" s="23"/>
    </row>
    <row r="631" spans="1:32" ht="15.75" x14ac:dyDescent="0.25">
      <c r="A631" s="44"/>
      <c r="B631" s="23"/>
      <c r="C631" s="23"/>
      <c r="D631" s="36"/>
      <c r="E631" s="23"/>
      <c r="F631" s="23"/>
      <c r="G631" s="23"/>
      <c r="H631" s="23"/>
      <c r="I631" s="23"/>
      <c r="J631" s="23"/>
      <c r="K631" s="23"/>
      <c r="L631" s="23"/>
      <c r="M631" s="36"/>
      <c r="N631" s="23"/>
      <c r="O631" s="23"/>
      <c r="P631" s="23"/>
      <c r="Q631" s="23"/>
      <c r="R631" s="23"/>
      <c r="S631" s="23"/>
      <c r="T631" s="23"/>
      <c r="U631" s="23"/>
      <c r="V631" s="36"/>
      <c r="W631" s="42"/>
      <c r="X631" s="42"/>
      <c r="Y631" s="23"/>
      <c r="Z631" s="42"/>
      <c r="AA631" s="42"/>
      <c r="AB631" s="23"/>
      <c r="AC631" s="23"/>
      <c r="AD631" s="23"/>
      <c r="AE631" s="36"/>
      <c r="AF631" s="23"/>
    </row>
    <row r="632" spans="1:32" ht="15.75" x14ac:dyDescent="0.25">
      <c r="A632" s="44"/>
      <c r="B632" s="23"/>
      <c r="C632" s="23"/>
      <c r="D632" s="36"/>
      <c r="E632" s="23"/>
      <c r="F632" s="23"/>
      <c r="G632" s="23"/>
      <c r="H632" s="23"/>
      <c r="I632" s="23"/>
      <c r="J632" s="23"/>
      <c r="K632" s="23"/>
      <c r="L632" s="23"/>
      <c r="M632" s="36"/>
      <c r="N632" s="23"/>
      <c r="O632" s="23"/>
      <c r="P632" s="23"/>
      <c r="Q632" s="23"/>
      <c r="R632" s="23"/>
      <c r="S632" s="23"/>
      <c r="T632" s="23"/>
      <c r="U632" s="23"/>
      <c r="V632" s="36"/>
      <c r="W632" s="42"/>
      <c r="X632" s="42"/>
      <c r="Y632" s="23"/>
      <c r="Z632" s="42"/>
      <c r="AA632" s="42"/>
      <c r="AB632" s="23"/>
      <c r="AC632" s="23"/>
      <c r="AD632" s="23"/>
      <c r="AE632" s="36"/>
      <c r="AF632" s="23"/>
    </row>
    <row r="633" spans="1:32" ht="15.75" x14ac:dyDescent="0.25">
      <c r="A633" s="44"/>
      <c r="B633" s="23"/>
      <c r="C633" s="23"/>
      <c r="D633" s="36"/>
      <c r="E633" s="23"/>
      <c r="F633" s="23"/>
      <c r="G633" s="23"/>
      <c r="H633" s="23"/>
      <c r="I633" s="23"/>
      <c r="J633" s="23"/>
      <c r="K633" s="23"/>
      <c r="L633" s="23"/>
      <c r="M633" s="36"/>
      <c r="N633" s="23"/>
      <c r="O633" s="23"/>
      <c r="P633" s="23"/>
      <c r="Q633" s="23"/>
      <c r="R633" s="23"/>
      <c r="S633" s="23"/>
      <c r="T633" s="23"/>
      <c r="U633" s="23"/>
      <c r="V633" s="36"/>
      <c r="W633" s="42"/>
      <c r="X633" s="42"/>
      <c r="Y633" s="23"/>
      <c r="Z633" s="42"/>
      <c r="AA633" s="42"/>
      <c r="AB633" s="23"/>
      <c r="AC633" s="23"/>
      <c r="AD633" s="23"/>
      <c r="AE633" s="36"/>
      <c r="AF633" s="23"/>
    </row>
    <row r="634" spans="1:32" ht="15.75" x14ac:dyDescent="0.25">
      <c r="A634" s="44"/>
      <c r="B634" s="23"/>
      <c r="C634" s="23"/>
      <c r="D634" s="36"/>
      <c r="E634" s="23"/>
      <c r="F634" s="23"/>
      <c r="G634" s="23"/>
      <c r="H634" s="23"/>
      <c r="I634" s="23"/>
      <c r="J634" s="23"/>
      <c r="K634" s="23"/>
      <c r="L634" s="23"/>
      <c r="M634" s="36"/>
      <c r="N634" s="23"/>
      <c r="O634" s="23"/>
      <c r="P634" s="23"/>
      <c r="Q634" s="23"/>
      <c r="R634" s="23"/>
      <c r="S634" s="23"/>
      <c r="T634" s="23"/>
      <c r="U634" s="23"/>
      <c r="V634" s="36"/>
      <c r="W634" s="42"/>
      <c r="X634" s="42"/>
      <c r="Y634" s="23"/>
      <c r="Z634" s="42"/>
      <c r="AA634" s="42"/>
      <c r="AB634" s="23"/>
      <c r="AC634" s="23"/>
      <c r="AD634" s="23"/>
      <c r="AE634" s="36"/>
      <c r="AF634" s="23"/>
    </row>
    <row r="635" spans="1:32" ht="15.75" x14ac:dyDescent="0.25">
      <c r="A635" s="44"/>
      <c r="B635" s="23"/>
      <c r="C635" s="23"/>
      <c r="D635" s="36"/>
      <c r="E635" s="23"/>
      <c r="F635" s="23"/>
      <c r="G635" s="23"/>
      <c r="H635" s="23"/>
      <c r="I635" s="23"/>
      <c r="J635" s="23"/>
      <c r="K635" s="23"/>
      <c r="L635" s="23"/>
      <c r="M635" s="36"/>
      <c r="N635" s="23"/>
      <c r="O635" s="23"/>
      <c r="P635" s="23"/>
      <c r="Q635" s="23"/>
      <c r="R635" s="23"/>
      <c r="S635" s="23"/>
      <c r="T635" s="23"/>
      <c r="U635" s="23"/>
      <c r="V635" s="36"/>
      <c r="W635" s="42"/>
      <c r="X635" s="42"/>
      <c r="Y635" s="23"/>
      <c r="Z635" s="42"/>
      <c r="AA635" s="42"/>
      <c r="AB635" s="23"/>
      <c r="AC635" s="23"/>
      <c r="AD635" s="23"/>
      <c r="AE635" s="36"/>
      <c r="AF635" s="23"/>
    </row>
    <row r="636" spans="1:32" ht="15.75" x14ac:dyDescent="0.25">
      <c r="A636" s="44"/>
      <c r="B636" s="23"/>
      <c r="C636" s="23"/>
      <c r="D636" s="36"/>
      <c r="E636" s="23"/>
      <c r="F636" s="23"/>
      <c r="G636" s="23"/>
      <c r="H636" s="23"/>
      <c r="I636" s="23"/>
      <c r="J636" s="23"/>
      <c r="K636" s="23"/>
      <c r="L636" s="23"/>
      <c r="M636" s="36"/>
      <c r="N636" s="23"/>
      <c r="O636" s="23"/>
      <c r="P636" s="23"/>
      <c r="Q636" s="23"/>
      <c r="R636" s="23"/>
      <c r="S636" s="23"/>
      <c r="T636" s="23"/>
      <c r="U636" s="23"/>
      <c r="V636" s="36"/>
      <c r="W636" s="42"/>
      <c r="X636" s="42"/>
      <c r="Y636" s="23"/>
      <c r="Z636" s="42"/>
      <c r="AA636" s="42"/>
      <c r="AB636" s="23"/>
      <c r="AC636" s="23"/>
      <c r="AD636" s="23"/>
      <c r="AE636" s="36"/>
      <c r="AF636" s="23"/>
    </row>
    <row r="637" spans="1:32" ht="15.75" x14ac:dyDescent="0.25">
      <c r="A637" s="44"/>
      <c r="B637" s="23"/>
      <c r="C637" s="23"/>
      <c r="D637" s="36"/>
      <c r="E637" s="23"/>
      <c r="F637" s="23"/>
      <c r="G637" s="23"/>
      <c r="H637" s="23"/>
      <c r="I637" s="23"/>
      <c r="J637" s="23"/>
      <c r="K637" s="23"/>
      <c r="L637" s="23"/>
      <c r="M637" s="36"/>
      <c r="N637" s="23"/>
      <c r="O637" s="23"/>
      <c r="P637" s="23"/>
      <c r="Q637" s="23"/>
      <c r="R637" s="23"/>
      <c r="S637" s="23"/>
      <c r="T637" s="23"/>
      <c r="U637" s="23"/>
      <c r="V637" s="36"/>
      <c r="W637" s="42"/>
      <c r="X637" s="42"/>
      <c r="Y637" s="23"/>
      <c r="Z637" s="42"/>
      <c r="AA637" s="42"/>
      <c r="AB637" s="23"/>
      <c r="AC637" s="23"/>
      <c r="AD637" s="23"/>
      <c r="AE637" s="36"/>
      <c r="AF637" s="23"/>
    </row>
    <row r="638" spans="1:32" ht="15.75" x14ac:dyDescent="0.25">
      <c r="A638" s="44"/>
      <c r="B638" s="23"/>
      <c r="C638" s="23"/>
      <c r="D638" s="36"/>
      <c r="E638" s="23"/>
      <c r="F638" s="23"/>
      <c r="G638" s="23"/>
      <c r="H638" s="23"/>
      <c r="I638" s="23"/>
      <c r="J638" s="23"/>
      <c r="K638" s="23"/>
      <c r="L638" s="23"/>
      <c r="M638" s="36"/>
      <c r="N638" s="23"/>
      <c r="O638" s="23"/>
      <c r="P638" s="23"/>
      <c r="Q638" s="23"/>
      <c r="R638" s="23"/>
      <c r="S638" s="23"/>
      <c r="T638" s="23"/>
      <c r="U638" s="23"/>
      <c r="V638" s="36"/>
      <c r="W638" s="42"/>
      <c r="X638" s="42"/>
      <c r="Y638" s="23"/>
      <c r="Z638" s="42"/>
      <c r="AA638" s="42"/>
      <c r="AB638" s="23"/>
      <c r="AC638" s="23"/>
      <c r="AD638" s="23"/>
      <c r="AE638" s="36"/>
      <c r="AF638" s="23"/>
    </row>
    <row r="639" spans="1:32" ht="15.75" x14ac:dyDescent="0.25">
      <c r="A639" s="44"/>
      <c r="B639" s="23"/>
      <c r="C639" s="23"/>
      <c r="D639" s="36"/>
      <c r="E639" s="23"/>
      <c r="F639" s="23"/>
      <c r="G639" s="23"/>
      <c r="H639" s="23"/>
      <c r="I639" s="23"/>
      <c r="J639" s="23"/>
      <c r="K639" s="23"/>
      <c r="L639" s="23"/>
      <c r="M639" s="36"/>
      <c r="N639" s="23"/>
      <c r="O639" s="23"/>
      <c r="P639" s="23"/>
      <c r="Q639" s="23"/>
      <c r="R639" s="23"/>
      <c r="S639" s="23"/>
      <c r="T639" s="23"/>
      <c r="U639" s="23"/>
      <c r="V639" s="36"/>
      <c r="W639" s="42"/>
      <c r="X639" s="42"/>
      <c r="Y639" s="23"/>
      <c r="Z639" s="42"/>
      <c r="AA639" s="42"/>
      <c r="AB639" s="23"/>
      <c r="AC639" s="23"/>
      <c r="AD639" s="23"/>
      <c r="AE639" s="36"/>
      <c r="AF639" s="23"/>
    </row>
    <row r="640" spans="1:32" ht="15.75" x14ac:dyDescent="0.25">
      <c r="A640" s="44"/>
      <c r="B640" s="23"/>
      <c r="C640" s="23"/>
      <c r="D640" s="36"/>
      <c r="E640" s="23"/>
      <c r="F640" s="23"/>
      <c r="G640" s="23"/>
      <c r="H640" s="23"/>
      <c r="I640" s="23"/>
      <c r="J640" s="23"/>
      <c r="K640" s="23"/>
      <c r="L640" s="23"/>
      <c r="M640" s="36"/>
      <c r="N640" s="23"/>
      <c r="O640" s="23"/>
      <c r="P640" s="23"/>
      <c r="Q640" s="23"/>
      <c r="R640" s="23"/>
      <c r="S640" s="23"/>
      <c r="T640" s="23"/>
      <c r="U640" s="23"/>
      <c r="V640" s="36"/>
      <c r="W640" s="42"/>
      <c r="X640" s="42"/>
      <c r="Y640" s="23"/>
      <c r="Z640" s="42"/>
      <c r="AA640" s="42"/>
      <c r="AB640" s="23"/>
      <c r="AC640" s="23"/>
      <c r="AD640" s="23"/>
      <c r="AE640" s="36"/>
      <c r="AF640" s="23"/>
    </row>
    <row r="641" spans="1:32" ht="15.75" x14ac:dyDescent="0.25">
      <c r="A641" s="44"/>
      <c r="B641" s="23"/>
      <c r="C641" s="23"/>
      <c r="D641" s="36"/>
      <c r="E641" s="23"/>
      <c r="F641" s="23"/>
      <c r="G641" s="23"/>
      <c r="H641" s="23"/>
      <c r="I641" s="23"/>
      <c r="J641" s="23"/>
      <c r="K641" s="23"/>
      <c r="L641" s="23"/>
      <c r="M641" s="36"/>
      <c r="N641" s="23"/>
      <c r="O641" s="23"/>
      <c r="P641" s="23"/>
      <c r="Q641" s="23"/>
      <c r="R641" s="23"/>
      <c r="S641" s="23"/>
      <c r="T641" s="23"/>
      <c r="U641" s="23"/>
      <c r="V641" s="36"/>
      <c r="W641" s="42"/>
      <c r="X641" s="42"/>
      <c r="Y641" s="23"/>
      <c r="Z641" s="42"/>
      <c r="AA641" s="42"/>
      <c r="AB641" s="23"/>
      <c r="AC641" s="23"/>
      <c r="AD641" s="23"/>
      <c r="AE641" s="36"/>
      <c r="AF641" s="23"/>
    </row>
    <row r="642" spans="1:32" ht="15.75" x14ac:dyDescent="0.25">
      <c r="A642" s="44"/>
      <c r="B642" s="23"/>
      <c r="C642" s="23"/>
      <c r="D642" s="36"/>
      <c r="E642" s="23"/>
      <c r="F642" s="23"/>
      <c r="G642" s="23"/>
      <c r="H642" s="23"/>
      <c r="I642" s="23"/>
      <c r="J642" s="23"/>
      <c r="K642" s="23"/>
      <c r="L642" s="23"/>
      <c r="M642" s="36"/>
      <c r="N642" s="23"/>
      <c r="O642" s="23"/>
      <c r="P642" s="23"/>
      <c r="Q642" s="23"/>
      <c r="R642" s="23"/>
      <c r="S642" s="23"/>
      <c r="T642" s="23"/>
      <c r="U642" s="23"/>
      <c r="V642" s="36"/>
      <c r="W642" s="42"/>
      <c r="X642" s="42"/>
      <c r="Y642" s="23"/>
      <c r="Z642" s="42"/>
      <c r="AA642" s="42"/>
      <c r="AB642" s="23"/>
      <c r="AC642" s="23"/>
      <c r="AD642" s="23"/>
      <c r="AE642" s="36"/>
      <c r="AF642" s="23"/>
    </row>
    <row r="643" spans="1:32" ht="15.75" x14ac:dyDescent="0.25">
      <c r="A643" s="44"/>
      <c r="B643" s="23"/>
      <c r="C643" s="23"/>
      <c r="D643" s="36"/>
      <c r="E643" s="23"/>
      <c r="F643" s="23"/>
      <c r="G643" s="23"/>
      <c r="H643" s="23"/>
      <c r="I643" s="23"/>
      <c r="J643" s="23"/>
      <c r="K643" s="23"/>
      <c r="L643" s="23"/>
      <c r="M643" s="36"/>
      <c r="N643" s="23"/>
      <c r="O643" s="23"/>
      <c r="P643" s="23"/>
      <c r="Q643" s="23"/>
      <c r="R643" s="23"/>
      <c r="S643" s="23"/>
      <c r="T643" s="23"/>
      <c r="U643" s="23"/>
      <c r="V643" s="36"/>
      <c r="W643" s="42"/>
      <c r="X643" s="42"/>
      <c r="Y643" s="23"/>
      <c r="Z643" s="42"/>
      <c r="AA643" s="42"/>
      <c r="AB643" s="23"/>
      <c r="AC643" s="23"/>
      <c r="AD643" s="23"/>
      <c r="AE643" s="36"/>
      <c r="AF643" s="23"/>
    </row>
    <row r="644" spans="1:32" ht="15.75" x14ac:dyDescent="0.25">
      <c r="A644" s="44"/>
      <c r="B644" s="23"/>
      <c r="C644" s="23"/>
      <c r="D644" s="36"/>
      <c r="E644" s="23"/>
      <c r="F644" s="23"/>
      <c r="G644" s="23"/>
      <c r="H644" s="23"/>
      <c r="I644" s="23"/>
      <c r="J644" s="23"/>
      <c r="K644" s="23"/>
      <c r="L644" s="23"/>
      <c r="M644" s="36"/>
      <c r="N644" s="23"/>
      <c r="O644" s="23"/>
      <c r="P644" s="23"/>
      <c r="Q644" s="23"/>
      <c r="R644" s="23"/>
      <c r="S644" s="23"/>
      <c r="T644" s="23"/>
      <c r="U644" s="23"/>
      <c r="V644" s="36"/>
      <c r="W644" s="42"/>
      <c r="X644" s="42"/>
      <c r="Y644" s="23"/>
      <c r="Z644" s="42"/>
      <c r="AA644" s="42"/>
      <c r="AB644" s="23"/>
      <c r="AC644" s="23"/>
      <c r="AD644" s="23"/>
      <c r="AE644" s="36"/>
      <c r="AF644" s="23"/>
    </row>
    <row r="645" spans="1:32" ht="15.75" x14ac:dyDescent="0.25">
      <c r="A645" s="44"/>
      <c r="B645" s="23"/>
      <c r="C645" s="23"/>
      <c r="D645" s="36"/>
      <c r="E645" s="23"/>
      <c r="F645" s="23"/>
      <c r="G645" s="23"/>
      <c r="H645" s="23"/>
      <c r="I645" s="23"/>
      <c r="J645" s="23"/>
      <c r="K645" s="23"/>
      <c r="L645" s="23"/>
      <c r="M645" s="36"/>
      <c r="N645" s="23"/>
      <c r="O645" s="23"/>
      <c r="P645" s="23"/>
      <c r="Q645" s="23"/>
      <c r="R645" s="23"/>
      <c r="S645" s="23"/>
      <c r="T645" s="23"/>
      <c r="U645" s="23"/>
      <c r="V645" s="36"/>
      <c r="W645" s="42"/>
      <c r="X645" s="42"/>
      <c r="Y645" s="23"/>
      <c r="Z645" s="42"/>
      <c r="AA645" s="42"/>
      <c r="AB645" s="23"/>
      <c r="AC645" s="23"/>
      <c r="AD645" s="23"/>
      <c r="AE645" s="36"/>
      <c r="AF645" s="23"/>
    </row>
    <row r="646" spans="1:32" ht="15.75" x14ac:dyDescent="0.25">
      <c r="A646" s="44"/>
      <c r="B646" s="23"/>
      <c r="C646" s="23"/>
      <c r="D646" s="36"/>
      <c r="E646" s="23"/>
      <c r="F646" s="23"/>
      <c r="G646" s="23"/>
      <c r="H646" s="23"/>
      <c r="I646" s="23"/>
      <c r="J646" s="23"/>
      <c r="K646" s="23"/>
      <c r="L646" s="23"/>
      <c r="M646" s="36"/>
      <c r="N646" s="23"/>
      <c r="O646" s="23"/>
      <c r="P646" s="23"/>
      <c r="Q646" s="23"/>
      <c r="R646" s="23"/>
      <c r="S646" s="23"/>
      <c r="T646" s="23"/>
      <c r="U646" s="23"/>
      <c r="V646" s="36"/>
      <c r="W646" s="42"/>
      <c r="X646" s="42"/>
      <c r="Y646" s="23"/>
      <c r="Z646" s="42"/>
      <c r="AA646" s="42"/>
      <c r="AB646" s="23"/>
      <c r="AC646" s="23"/>
      <c r="AD646" s="23"/>
      <c r="AE646" s="36"/>
      <c r="AF646" s="23"/>
    </row>
    <row r="647" spans="1:32" ht="15.75" x14ac:dyDescent="0.25">
      <c r="A647" s="44"/>
      <c r="B647" s="23"/>
      <c r="C647" s="23"/>
      <c r="D647" s="36"/>
      <c r="E647" s="23"/>
      <c r="F647" s="23"/>
      <c r="G647" s="23"/>
      <c r="H647" s="23"/>
      <c r="I647" s="23"/>
      <c r="J647" s="23"/>
      <c r="K647" s="23"/>
      <c r="L647" s="23"/>
      <c r="M647" s="36"/>
      <c r="N647" s="23"/>
      <c r="O647" s="23"/>
      <c r="P647" s="23"/>
      <c r="Q647" s="23"/>
      <c r="R647" s="23"/>
      <c r="S647" s="23"/>
      <c r="T647" s="23"/>
      <c r="U647" s="23"/>
      <c r="V647" s="36"/>
      <c r="W647" s="42"/>
      <c r="X647" s="42"/>
      <c r="Y647" s="23"/>
      <c r="Z647" s="42"/>
      <c r="AA647" s="42"/>
      <c r="AB647" s="23"/>
      <c r="AC647" s="23"/>
      <c r="AD647" s="23"/>
      <c r="AE647" s="36"/>
      <c r="AF647" s="23"/>
    </row>
    <row r="648" spans="1:32" ht="15.75" x14ac:dyDescent="0.25">
      <c r="A648" s="44"/>
      <c r="B648" s="23"/>
      <c r="C648" s="23"/>
      <c r="D648" s="36"/>
      <c r="E648" s="23"/>
      <c r="F648" s="23"/>
      <c r="G648" s="23"/>
      <c r="H648" s="23"/>
      <c r="I648" s="23"/>
      <c r="J648" s="23"/>
      <c r="K648" s="23"/>
      <c r="L648" s="23"/>
      <c r="M648" s="36"/>
      <c r="N648" s="23"/>
      <c r="O648" s="23"/>
      <c r="P648" s="23"/>
      <c r="Q648" s="23"/>
      <c r="R648" s="23"/>
      <c r="S648" s="23"/>
      <c r="T648" s="23"/>
      <c r="U648" s="23"/>
      <c r="V648" s="36"/>
      <c r="W648" s="42"/>
      <c r="X648" s="42"/>
      <c r="Y648" s="23"/>
      <c r="Z648" s="42"/>
      <c r="AA648" s="42"/>
      <c r="AB648" s="23"/>
      <c r="AC648" s="23"/>
      <c r="AD648" s="23"/>
      <c r="AE648" s="36"/>
      <c r="AF648" s="23"/>
    </row>
    <row r="649" spans="1:32" ht="15.75" x14ac:dyDescent="0.25">
      <c r="A649" s="44"/>
      <c r="B649" s="23"/>
      <c r="C649" s="23"/>
      <c r="D649" s="36"/>
      <c r="E649" s="23"/>
      <c r="F649" s="23"/>
      <c r="G649" s="23"/>
      <c r="H649" s="23"/>
      <c r="I649" s="23"/>
      <c r="J649" s="23"/>
      <c r="K649" s="23"/>
      <c r="L649" s="23"/>
      <c r="M649" s="36"/>
      <c r="N649" s="23"/>
      <c r="O649" s="23"/>
      <c r="P649" s="23"/>
      <c r="Q649" s="23"/>
      <c r="R649" s="23"/>
      <c r="S649" s="23"/>
      <c r="T649" s="23"/>
      <c r="U649" s="23"/>
      <c r="V649" s="36"/>
      <c r="W649" s="42"/>
      <c r="X649" s="42"/>
      <c r="Y649" s="23"/>
      <c r="Z649" s="42"/>
      <c r="AA649" s="42"/>
      <c r="AB649" s="23"/>
      <c r="AC649" s="23"/>
      <c r="AD649" s="23"/>
      <c r="AE649" s="36"/>
      <c r="AF649" s="23"/>
    </row>
    <row r="650" spans="1:32" ht="15.75" x14ac:dyDescent="0.25">
      <c r="A650" s="44"/>
      <c r="B650" s="23"/>
      <c r="C650" s="23"/>
      <c r="D650" s="36"/>
      <c r="E650" s="23"/>
      <c r="F650" s="23"/>
      <c r="G650" s="23"/>
      <c r="H650" s="23"/>
      <c r="I650" s="23"/>
      <c r="J650" s="23"/>
      <c r="K650" s="23"/>
      <c r="L650" s="23"/>
      <c r="M650" s="36"/>
      <c r="N650" s="23"/>
      <c r="O650" s="23"/>
      <c r="P650" s="23"/>
      <c r="Q650" s="23"/>
      <c r="R650" s="23"/>
      <c r="S650" s="23"/>
      <c r="T650" s="23"/>
      <c r="U650" s="23"/>
      <c r="V650" s="36"/>
      <c r="W650" s="42"/>
      <c r="X650" s="42"/>
      <c r="Y650" s="23"/>
      <c r="Z650" s="42"/>
      <c r="AA650" s="42"/>
      <c r="AB650" s="23"/>
      <c r="AC650" s="23"/>
      <c r="AD650" s="23"/>
      <c r="AE650" s="36"/>
      <c r="AF650" s="23"/>
    </row>
    <row r="651" spans="1:32" ht="15.75" x14ac:dyDescent="0.25">
      <c r="A651" s="44"/>
      <c r="B651" s="23"/>
      <c r="C651" s="23"/>
      <c r="D651" s="36"/>
      <c r="E651" s="23"/>
      <c r="F651" s="23"/>
      <c r="G651" s="23"/>
      <c r="H651" s="23"/>
      <c r="I651" s="23"/>
      <c r="J651" s="23"/>
      <c r="K651" s="23"/>
      <c r="L651" s="23"/>
      <c r="M651" s="36"/>
      <c r="N651" s="23"/>
      <c r="O651" s="23"/>
      <c r="P651" s="23"/>
      <c r="Q651" s="23"/>
      <c r="R651" s="23"/>
      <c r="S651" s="23"/>
      <c r="T651" s="23"/>
      <c r="U651" s="23"/>
      <c r="V651" s="36"/>
      <c r="W651" s="42"/>
      <c r="X651" s="42"/>
      <c r="Y651" s="23"/>
      <c r="Z651" s="42"/>
      <c r="AA651" s="42"/>
      <c r="AB651" s="23"/>
      <c r="AC651" s="23"/>
      <c r="AD651" s="23"/>
      <c r="AE651" s="36"/>
      <c r="AF651" s="23"/>
    </row>
    <row r="652" spans="1:32" ht="15.75" x14ac:dyDescent="0.25">
      <c r="A652" s="44"/>
      <c r="B652" s="23"/>
      <c r="C652" s="23"/>
      <c r="D652" s="36"/>
      <c r="E652" s="23"/>
      <c r="F652" s="23"/>
      <c r="G652" s="23"/>
      <c r="H652" s="23"/>
      <c r="I652" s="23"/>
      <c r="J652" s="23"/>
      <c r="K652" s="23"/>
      <c r="L652" s="23"/>
      <c r="M652" s="36"/>
      <c r="N652" s="23"/>
      <c r="O652" s="23"/>
      <c r="P652" s="23"/>
      <c r="Q652" s="23"/>
      <c r="R652" s="23"/>
      <c r="S652" s="23"/>
      <c r="T652" s="23"/>
      <c r="U652" s="23"/>
      <c r="V652" s="36"/>
      <c r="W652" s="42"/>
      <c r="X652" s="42"/>
      <c r="Y652" s="23"/>
      <c r="Z652" s="42"/>
      <c r="AA652" s="42"/>
      <c r="AB652" s="23"/>
      <c r="AC652" s="23"/>
      <c r="AD652" s="23"/>
      <c r="AE652" s="36"/>
      <c r="AF652" s="23"/>
    </row>
    <row r="653" spans="1:32" ht="15.75" x14ac:dyDescent="0.25">
      <c r="A653" s="44"/>
      <c r="B653" s="23"/>
      <c r="C653" s="23"/>
      <c r="D653" s="36"/>
      <c r="E653" s="23"/>
      <c r="F653" s="23"/>
      <c r="G653" s="23"/>
      <c r="H653" s="23"/>
      <c r="I653" s="23"/>
      <c r="J653" s="23"/>
      <c r="K653" s="23"/>
      <c r="L653" s="23"/>
      <c r="M653" s="36"/>
      <c r="N653" s="23"/>
      <c r="O653" s="23"/>
      <c r="P653" s="23"/>
      <c r="Q653" s="23"/>
      <c r="R653" s="23"/>
      <c r="S653" s="23"/>
      <c r="T653" s="23"/>
      <c r="U653" s="23"/>
      <c r="V653" s="36"/>
      <c r="W653" s="42"/>
      <c r="X653" s="42"/>
      <c r="Y653" s="23"/>
      <c r="Z653" s="42"/>
      <c r="AA653" s="42"/>
      <c r="AB653" s="23"/>
      <c r="AC653" s="23"/>
      <c r="AD653" s="23"/>
      <c r="AE653" s="36"/>
      <c r="AF653" s="23"/>
    </row>
    <row r="654" spans="1:32" ht="15.75" x14ac:dyDescent="0.25">
      <c r="A654" s="44"/>
      <c r="B654" s="23"/>
      <c r="C654" s="23"/>
      <c r="D654" s="36"/>
      <c r="E654" s="23"/>
      <c r="F654" s="23"/>
      <c r="G654" s="23"/>
      <c r="H654" s="23"/>
      <c r="I654" s="23"/>
      <c r="J654" s="23"/>
      <c r="K654" s="23"/>
      <c r="L654" s="23"/>
      <c r="M654" s="36"/>
      <c r="N654" s="23"/>
      <c r="O654" s="23"/>
      <c r="P654" s="23"/>
      <c r="Q654" s="23"/>
      <c r="R654" s="23"/>
      <c r="S654" s="23"/>
      <c r="T654" s="23"/>
      <c r="U654" s="23"/>
      <c r="V654" s="36"/>
      <c r="W654" s="42"/>
      <c r="X654" s="42"/>
      <c r="Y654" s="23"/>
      <c r="Z654" s="42"/>
      <c r="AA654" s="42"/>
      <c r="AB654" s="23"/>
      <c r="AC654" s="23"/>
      <c r="AD654" s="23"/>
      <c r="AE654" s="36"/>
      <c r="AF654" s="23"/>
    </row>
    <row r="655" spans="1:32" ht="15.75" x14ac:dyDescent="0.25">
      <c r="A655" s="44"/>
      <c r="B655" s="23"/>
      <c r="C655" s="23"/>
      <c r="D655" s="36"/>
      <c r="E655" s="23"/>
      <c r="F655" s="23"/>
      <c r="G655" s="23"/>
      <c r="H655" s="23"/>
      <c r="I655" s="23"/>
      <c r="J655" s="23"/>
      <c r="K655" s="23"/>
      <c r="L655" s="23"/>
      <c r="M655" s="36"/>
      <c r="N655" s="23"/>
      <c r="O655" s="23"/>
      <c r="P655" s="23"/>
      <c r="Q655" s="23"/>
      <c r="R655" s="23"/>
      <c r="S655" s="23"/>
      <c r="T655" s="23"/>
      <c r="U655" s="23"/>
      <c r="V655" s="36"/>
      <c r="W655" s="42"/>
      <c r="X655" s="42"/>
      <c r="Y655" s="23"/>
      <c r="Z655" s="42"/>
      <c r="AA655" s="42"/>
      <c r="AB655" s="23"/>
      <c r="AC655" s="23"/>
      <c r="AD655" s="23"/>
      <c r="AE655" s="36"/>
      <c r="AF655" s="23"/>
    </row>
    <row r="656" spans="1:32" ht="15.75" x14ac:dyDescent="0.25">
      <c r="A656" s="44"/>
      <c r="B656" s="23"/>
      <c r="C656" s="23"/>
      <c r="D656" s="36"/>
      <c r="E656" s="23"/>
      <c r="F656" s="23"/>
      <c r="G656" s="23"/>
      <c r="H656" s="23"/>
      <c r="I656" s="23"/>
      <c r="J656" s="23"/>
      <c r="K656" s="23"/>
      <c r="L656" s="23"/>
      <c r="M656" s="36"/>
      <c r="N656" s="23"/>
      <c r="O656" s="23"/>
      <c r="P656" s="23"/>
      <c r="Q656" s="23"/>
      <c r="R656" s="23"/>
      <c r="S656" s="23"/>
      <c r="T656" s="23"/>
      <c r="U656" s="23"/>
      <c r="V656" s="36"/>
      <c r="W656" s="42"/>
      <c r="X656" s="42"/>
      <c r="Y656" s="23"/>
      <c r="Z656" s="42"/>
      <c r="AA656" s="42"/>
      <c r="AB656" s="23"/>
      <c r="AC656" s="23"/>
      <c r="AD656" s="23"/>
      <c r="AE656" s="36"/>
      <c r="AF656" s="23"/>
    </row>
    <row r="657" spans="1:32" ht="15.75" x14ac:dyDescent="0.25">
      <c r="A657" s="44"/>
      <c r="B657" s="23"/>
      <c r="C657" s="23"/>
      <c r="D657" s="36"/>
      <c r="E657" s="23"/>
      <c r="F657" s="23"/>
      <c r="G657" s="23"/>
      <c r="H657" s="23"/>
      <c r="I657" s="23"/>
      <c r="J657" s="23"/>
      <c r="K657" s="23"/>
      <c r="L657" s="23"/>
      <c r="M657" s="36"/>
      <c r="N657" s="23"/>
      <c r="O657" s="23"/>
      <c r="P657" s="23"/>
      <c r="Q657" s="23"/>
      <c r="R657" s="23"/>
      <c r="S657" s="23"/>
      <c r="T657" s="23"/>
      <c r="U657" s="23"/>
      <c r="V657" s="36"/>
      <c r="W657" s="42"/>
      <c r="X657" s="42"/>
      <c r="Y657" s="23"/>
      <c r="Z657" s="42"/>
      <c r="AA657" s="42"/>
      <c r="AB657" s="23"/>
      <c r="AC657" s="23"/>
      <c r="AD657" s="23"/>
      <c r="AE657" s="36"/>
      <c r="AF657" s="23"/>
    </row>
    <row r="658" spans="1:32" ht="15.75" x14ac:dyDescent="0.25">
      <c r="A658" s="44"/>
      <c r="B658" s="23"/>
      <c r="C658" s="23"/>
      <c r="D658" s="36"/>
      <c r="E658" s="23"/>
      <c r="F658" s="23"/>
      <c r="G658" s="23"/>
      <c r="H658" s="23"/>
      <c r="I658" s="23"/>
      <c r="J658" s="23"/>
      <c r="K658" s="23"/>
      <c r="L658" s="23"/>
      <c r="M658" s="36"/>
      <c r="N658" s="23"/>
      <c r="O658" s="23"/>
      <c r="P658" s="23"/>
      <c r="Q658" s="23"/>
      <c r="R658" s="23"/>
      <c r="S658" s="23"/>
      <c r="T658" s="23"/>
      <c r="U658" s="23"/>
      <c r="V658" s="36"/>
      <c r="W658" s="42"/>
      <c r="X658" s="42"/>
      <c r="Y658" s="23"/>
      <c r="Z658" s="42"/>
      <c r="AA658" s="42"/>
      <c r="AB658" s="23"/>
      <c r="AC658" s="23"/>
      <c r="AD658" s="23"/>
      <c r="AE658" s="36"/>
      <c r="AF658" s="23"/>
    </row>
    <row r="659" spans="1:32" ht="15.75" x14ac:dyDescent="0.25">
      <c r="A659" s="44"/>
      <c r="B659" s="23"/>
      <c r="C659" s="23"/>
      <c r="D659" s="36"/>
      <c r="E659" s="23"/>
      <c r="F659" s="23"/>
      <c r="G659" s="23"/>
      <c r="H659" s="23"/>
      <c r="I659" s="23"/>
      <c r="J659" s="23"/>
      <c r="K659" s="23"/>
      <c r="L659" s="23"/>
      <c r="M659" s="36"/>
      <c r="N659" s="23"/>
      <c r="O659" s="23"/>
      <c r="P659" s="23"/>
      <c r="Q659" s="23"/>
      <c r="R659" s="23"/>
      <c r="S659" s="23"/>
      <c r="T659" s="23"/>
      <c r="U659" s="23"/>
      <c r="V659" s="36"/>
      <c r="W659" s="42"/>
      <c r="X659" s="42"/>
      <c r="Y659" s="23"/>
      <c r="Z659" s="42"/>
      <c r="AA659" s="42"/>
      <c r="AB659" s="23"/>
      <c r="AC659" s="23"/>
      <c r="AD659" s="23"/>
      <c r="AE659" s="36"/>
      <c r="AF659" s="23"/>
    </row>
    <row r="660" spans="1:32" ht="15.75" x14ac:dyDescent="0.25">
      <c r="A660" s="44"/>
      <c r="B660" s="23"/>
      <c r="C660" s="23"/>
      <c r="D660" s="36"/>
      <c r="E660" s="23"/>
      <c r="F660" s="23"/>
      <c r="G660" s="23"/>
      <c r="H660" s="23"/>
      <c r="I660" s="23"/>
      <c r="J660" s="23"/>
      <c r="K660" s="23"/>
      <c r="L660" s="23"/>
      <c r="M660" s="36"/>
      <c r="N660" s="23"/>
      <c r="O660" s="23"/>
      <c r="P660" s="23"/>
      <c r="Q660" s="23"/>
      <c r="R660" s="23"/>
      <c r="S660" s="23"/>
      <c r="T660" s="23"/>
      <c r="U660" s="23"/>
      <c r="V660" s="36"/>
      <c r="W660" s="42"/>
      <c r="X660" s="42"/>
      <c r="Y660" s="23"/>
      <c r="Z660" s="42"/>
      <c r="AA660" s="42"/>
      <c r="AB660" s="23"/>
      <c r="AC660" s="23"/>
      <c r="AD660" s="23"/>
      <c r="AE660" s="36"/>
      <c r="AF660" s="23"/>
    </row>
    <row r="661" spans="1:32" ht="15.75" x14ac:dyDescent="0.25">
      <c r="A661" s="44"/>
      <c r="B661" s="23"/>
      <c r="C661" s="23"/>
      <c r="D661" s="36"/>
      <c r="E661" s="23"/>
      <c r="F661" s="23"/>
      <c r="G661" s="23"/>
      <c r="H661" s="23"/>
      <c r="I661" s="23"/>
      <c r="J661" s="23"/>
      <c r="K661" s="23"/>
      <c r="L661" s="23"/>
      <c r="M661" s="36"/>
      <c r="N661" s="23"/>
      <c r="O661" s="23"/>
      <c r="P661" s="23"/>
      <c r="Q661" s="23"/>
      <c r="R661" s="23"/>
      <c r="S661" s="23"/>
      <c r="T661" s="23"/>
      <c r="U661" s="23"/>
      <c r="V661" s="36"/>
      <c r="W661" s="42"/>
      <c r="X661" s="42"/>
      <c r="Y661" s="23"/>
      <c r="Z661" s="42"/>
      <c r="AA661" s="42"/>
      <c r="AB661" s="23"/>
      <c r="AC661" s="23"/>
      <c r="AD661" s="23"/>
      <c r="AE661" s="36"/>
      <c r="AF661" s="23"/>
    </row>
    <row r="662" spans="1:32" ht="15.75" x14ac:dyDescent="0.25">
      <c r="A662" s="44"/>
      <c r="B662" s="23"/>
      <c r="C662" s="23"/>
      <c r="D662" s="36"/>
      <c r="E662" s="23"/>
      <c r="F662" s="23"/>
      <c r="G662" s="23"/>
      <c r="H662" s="23"/>
      <c r="I662" s="23"/>
      <c r="J662" s="23"/>
      <c r="K662" s="23"/>
      <c r="L662" s="23"/>
      <c r="M662" s="36"/>
      <c r="N662" s="23"/>
      <c r="O662" s="23"/>
      <c r="P662" s="23"/>
      <c r="Q662" s="23"/>
      <c r="R662" s="23"/>
      <c r="S662" s="23"/>
      <c r="T662" s="23"/>
      <c r="U662" s="23"/>
      <c r="V662" s="36"/>
      <c r="W662" s="42"/>
      <c r="X662" s="42"/>
      <c r="Y662" s="23"/>
      <c r="Z662" s="42"/>
      <c r="AA662" s="42"/>
      <c r="AB662" s="23"/>
      <c r="AC662" s="23"/>
      <c r="AD662" s="23"/>
      <c r="AE662" s="36"/>
      <c r="AF662" s="23"/>
    </row>
    <row r="663" spans="1:32" ht="15.75" x14ac:dyDescent="0.25">
      <c r="A663" s="44"/>
      <c r="B663" s="23"/>
      <c r="C663" s="23"/>
      <c r="D663" s="36"/>
      <c r="E663" s="23"/>
      <c r="F663" s="23"/>
      <c r="G663" s="23"/>
      <c r="H663" s="23"/>
      <c r="I663" s="23"/>
      <c r="J663" s="23"/>
      <c r="K663" s="23"/>
      <c r="L663" s="23"/>
      <c r="M663" s="36"/>
      <c r="N663" s="23"/>
      <c r="O663" s="23"/>
      <c r="P663" s="23"/>
      <c r="Q663" s="23"/>
      <c r="R663" s="23"/>
      <c r="S663" s="23"/>
      <c r="T663" s="23"/>
      <c r="U663" s="23"/>
      <c r="V663" s="36"/>
      <c r="W663" s="42"/>
      <c r="X663" s="42"/>
      <c r="Y663" s="23"/>
      <c r="Z663" s="42"/>
      <c r="AA663" s="42"/>
      <c r="AB663" s="23"/>
      <c r="AC663" s="23"/>
      <c r="AD663" s="23"/>
      <c r="AE663" s="36"/>
      <c r="AF663" s="23"/>
    </row>
    <row r="664" spans="1:32" ht="15.75" x14ac:dyDescent="0.25">
      <c r="A664" s="44"/>
      <c r="B664" s="23"/>
      <c r="C664" s="23"/>
      <c r="D664" s="36"/>
      <c r="E664" s="23"/>
      <c r="F664" s="23"/>
      <c r="G664" s="23"/>
      <c r="H664" s="23"/>
      <c r="I664" s="23"/>
      <c r="J664" s="23"/>
      <c r="K664" s="23"/>
      <c r="L664" s="23"/>
      <c r="M664" s="36"/>
      <c r="N664" s="23"/>
      <c r="O664" s="23"/>
      <c r="P664" s="23"/>
      <c r="Q664" s="23"/>
      <c r="R664" s="23"/>
      <c r="S664" s="23"/>
      <c r="T664" s="23"/>
      <c r="U664" s="23"/>
      <c r="V664" s="36"/>
      <c r="W664" s="42"/>
      <c r="X664" s="42"/>
      <c r="Y664" s="23"/>
      <c r="Z664" s="42"/>
      <c r="AA664" s="42"/>
      <c r="AB664" s="23"/>
      <c r="AC664" s="23"/>
      <c r="AD664" s="23"/>
      <c r="AE664" s="36"/>
      <c r="AF664" s="23"/>
    </row>
    <row r="665" spans="1:32" ht="15.75" x14ac:dyDescent="0.25">
      <c r="A665" s="44"/>
      <c r="B665" s="23"/>
      <c r="C665" s="23"/>
      <c r="D665" s="36"/>
      <c r="E665" s="23"/>
      <c r="F665" s="23"/>
      <c r="G665" s="23"/>
      <c r="H665" s="23"/>
      <c r="I665" s="23"/>
      <c r="J665" s="23"/>
      <c r="K665" s="23"/>
      <c r="L665" s="23"/>
      <c r="M665" s="36"/>
      <c r="N665" s="23"/>
      <c r="O665" s="23"/>
      <c r="P665" s="23"/>
      <c r="Q665" s="23"/>
      <c r="R665" s="23"/>
      <c r="S665" s="23"/>
      <c r="T665" s="23"/>
      <c r="U665" s="23"/>
      <c r="V665" s="36"/>
      <c r="W665" s="42"/>
      <c r="X665" s="42"/>
      <c r="Y665" s="23"/>
      <c r="Z665" s="42"/>
      <c r="AA665" s="42"/>
      <c r="AB665" s="23"/>
      <c r="AC665" s="23"/>
      <c r="AD665" s="23"/>
      <c r="AE665" s="36"/>
      <c r="AF665" s="23"/>
    </row>
    <row r="666" spans="1:32" ht="15.75" x14ac:dyDescent="0.25">
      <c r="A666" s="44"/>
      <c r="B666" s="23"/>
      <c r="C666" s="23"/>
      <c r="D666" s="36"/>
      <c r="E666" s="23"/>
      <c r="F666" s="23"/>
      <c r="G666" s="23"/>
      <c r="H666" s="23"/>
      <c r="I666" s="23"/>
      <c r="J666" s="23"/>
      <c r="K666" s="23"/>
      <c r="L666" s="23"/>
      <c r="M666" s="36"/>
      <c r="N666" s="23"/>
      <c r="O666" s="23"/>
      <c r="P666" s="23"/>
      <c r="Q666" s="23"/>
      <c r="R666" s="23"/>
      <c r="S666" s="23"/>
      <c r="T666" s="23"/>
      <c r="U666" s="23"/>
      <c r="V666" s="36"/>
      <c r="W666" s="42"/>
      <c r="X666" s="42"/>
      <c r="Y666" s="23"/>
      <c r="Z666" s="42"/>
      <c r="AA666" s="42"/>
      <c r="AB666" s="23"/>
      <c r="AC666" s="23"/>
      <c r="AD666" s="23"/>
      <c r="AE666" s="36"/>
      <c r="AF666" s="23"/>
    </row>
    <row r="667" spans="1:32" ht="15.75" x14ac:dyDescent="0.25">
      <c r="A667" s="44"/>
      <c r="B667" s="23"/>
      <c r="C667" s="23"/>
      <c r="D667" s="36"/>
      <c r="E667" s="23"/>
      <c r="F667" s="23"/>
      <c r="G667" s="23"/>
      <c r="H667" s="23"/>
      <c r="I667" s="23"/>
      <c r="J667" s="23"/>
      <c r="K667" s="23"/>
      <c r="L667" s="23"/>
      <c r="M667" s="36"/>
      <c r="N667" s="23"/>
      <c r="O667" s="23"/>
      <c r="P667" s="23"/>
      <c r="Q667" s="23"/>
      <c r="R667" s="23"/>
      <c r="S667" s="23"/>
      <c r="T667" s="23"/>
      <c r="U667" s="23"/>
      <c r="V667" s="36"/>
      <c r="W667" s="42"/>
      <c r="X667" s="42"/>
      <c r="Y667" s="23"/>
      <c r="Z667" s="42"/>
      <c r="AA667" s="42"/>
      <c r="AB667" s="23"/>
      <c r="AC667" s="23"/>
      <c r="AD667" s="23"/>
      <c r="AE667" s="36"/>
      <c r="AF667" s="23"/>
    </row>
    <row r="668" spans="1:32" ht="15.75" x14ac:dyDescent="0.25">
      <c r="A668" s="44"/>
      <c r="B668" s="23"/>
      <c r="C668" s="23"/>
      <c r="D668" s="36"/>
      <c r="E668" s="23"/>
      <c r="F668" s="23"/>
      <c r="G668" s="23"/>
      <c r="H668" s="23"/>
      <c r="I668" s="23"/>
      <c r="J668" s="23"/>
      <c r="K668" s="23"/>
      <c r="L668" s="23"/>
      <c r="M668" s="36"/>
      <c r="N668" s="23"/>
      <c r="O668" s="23"/>
      <c r="P668" s="23"/>
      <c r="Q668" s="23"/>
      <c r="R668" s="23"/>
      <c r="S668" s="23"/>
      <c r="T668" s="23"/>
      <c r="U668" s="23"/>
      <c r="V668" s="36"/>
      <c r="W668" s="42"/>
      <c r="X668" s="42"/>
      <c r="Y668" s="23"/>
      <c r="Z668" s="42"/>
      <c r="AA668" s="42"/>
      <c r="AB668" s="23"/>
      <c r="AC668" s="23"/>
      <c r="AD668" s="23"/>
      <c r="AE668" s="36"/>
      <c r="AF668" s="23"/>
    </row>
    <row r="669" spans="1:32" ht="15.75" x14ac:dyDescent="0.25">
      <c r="A669" s="44"/>
      <c r="B669" s="23"/>
      <c r="C669" s="23"/>
      <c r="D669" s="36"/>
      <c r="E669" s="23"/>
      <c r="F669" s="23"/>
      <c r="G669" s="23"/>
      <c r="H669" s="23"/>
      <c r="I669" s="23"/>
      <c r="J669" s="23"/>
      <c r="K669" s="23"/>
      <c r="L669" s="23"/>
      <c r="M669" s="36"/>
      <c r="N669" s="23"/>
      <c r="O669" s="23"/>
      <c r="P669" s="23"/>
      <c r="Q669" s="23"/>
      <c r="R669" s="23"/>
      <c r="S669" s="23"/>
      <c r="T669" s="23"/>
      <c r="U669" s="23"/>
      <c r="V669" s="36"/>
      <c r="W669" s="42"/>
      <c r="X669" s="42"/>
      <c r="Y669" s="23"/>
      <c r="Z669" s="42"/>
      <c r="AA669" s="42"/>
      <c r="AB669" s="23"/>
      <c r="AC669" s="23"/>
      <c r="AD669" s="23"/>
      <c r="AE669" s="36"/>
      <c r="AF669" s="23"/>
    </row>
    <row r="670" spans="1:32" ht="15.75" x14ac:dyDescent="0.25">
      <c r="A670" s="44"/>
      <c r="B670" s="23"/>
      <c r="C670" s="23"/>
      <c r="D670" s="36"/>
      <c r="E670" s="23"/>
      <c r="F670" s="23"/>
      <c r="G670" s="23"/>
      <c r="H670" s="23"/>
      <c r="I670" s="23"/>
      <c r="J670" s="23"/>
      <c r="K670" s="23"/>
      <c r="L670" s="23"/>
      <c r="M670" s="36"/>
      <c r="N670" s="23"/>
      <c r="O670" s="23"/>
      <c r="P670" s="23"/>
      <c r="Q670" s="23"/>
      <c r="R670" s="23"/>
      <c r="S670" s="23"/>
      <c r="T670" s="23"/>
      <c r="U670" s="23"/>
      <c r="V670" s="36"/>
      <c r="W670" s="42"/>
      <c r="X670" s="42"/>
      <c r="Y670" s="23"/>
      <c r="Z670" s="42"/>
      <c r="AA670" s="42"/>
      <c r="AB670" s="23"/>
      <c r="AC670" s="23"/>
      <c r="AD670" s="23"/>
      <c r="AE670" s="36"/>
      <c r="AF670" s="23"/>
    </row>
    <row r="671" spans="1:32" ht="15.75" x14ac:dyDescent="0.25">
      <c r="A671" s="44"/>
      <c r="B671" s="23"/>
      <c r="C671" s="23"/>
      <c r="D671" s="36"/>
      <c r="E671" s="23"/>
      <c r="F671" s="23"/>
      <c r="G671" s="23"/>
      <c r="H671" s="23"/>
      <c r="I671" s="23"/>
      <c r="J671" s="23"/>
      <c r="K671" s="23"/>
      <c r="L671" s="23"/>
      <c r="M671" s="36"/>
      <c r="N671" s="23"/>
      <c r="O671" s="23"/>
      <c r="P671" s="23"/>
      <c r="Q671" s="23"/>
      <c r="R671" s="23"/>
      <c r="S671" s="23"/>
      <c r="T671" s="23"/>
      <c r="U671" s="23"/>
      <c r="V671" s="36"/>
      <c r="W671" s="42"/>
      <c r="X671" s="42"/>
      <c r="Y671" s="23"/>
      <c r="Z671" s="42"/>
      <c r="AA671" s="42"/>
      <c r="AB671" s="23"/>
      <c r="AC671" s="23"/>
      <c r="AD671" s="23"/>
      <c r="AE671" s="36"/>
      <c r="AF671" s="23"/>
    </row>
    <row r="672" spans="1:32" ht="15.75" x14ac:dyDescent="0.25">
      <c r="A672" s="44"/>
      <c r="B672" s="23"/>
      <c r="C672" s="23"/>
      <c r="D672" s="36"/>
      <c r="E672" s="23"/>
      <c r="F672" s="23"/>
      <c r="G672" s="23"/>
      <c r="H672" s="23"/>
      <c r="I672" s="23"/>
      <c r="J672" s="23"/>
      <c r="K672" s="23"/>
      <c r="L672" s="23"/>
      <c r="M672" s="36"/>
      <c r="N672" s="23"/>
      <c r="O672" s="23"/>
      <c r="P672" s="23"/>
      <c r="Q672" s="23"/>
      <c r="R672" s="23"/>
      <c r="S672" s="23"/>
      <c r="T672" s="23"/>
      <c r="U672" s="23"/>
      <c r="V672" s="36"/>
      <c r="W672" s="42"/>
      <c r="X672" s="42"/>
      <c r="Y672" s="23"/>
      <c r="Z672" s="42"/>
      <c r="AA672" s="42"/>
      <c r="AB672" s="23"/>
      <c r="AC672" s="23"/>
      <c r="AD672" s="23"/>
      <c r="AE672" s="36"/>
      <c r="AF672" s="23"/>
    </row>
    <row r="673" spans="1:32" ht="15.75" x14ac:dyDescent="0.25">
      <c r="A673" s="44"/>
      <c r="B673" s="23"/>
      <c r="C673" s="23"/>
      <c r="D673" s="36"/>
      <c r="E673" s="23"/>
      <c r="F673" s="23"/>
      <c r="G673" s="23"/>
      <c r="H673" s="23"/>
      <c r="I673" s="23"/>
      <c r="J673" s="23"/>
      <c r="K673" s="23"/>
      <c r="L673" s="23"/>
      <c r="M673" s="36"/>
      <c r="N673" s="23"/>
      <c r="O673" s="23"/>
      <c r="P673" s="23"/>
      <c r="Q673" s="23"/>
      <c r="R673" s="23"/>
      <c r="S673" s="23"/>
      <c r="T673" s="23"/>
      <c r="U673" s="23"/>
      <c r="V673" s="36"/>
      <c r="W673" s="42"/>
      <c r="X673" s="42"/>
      <c r="Y673" s="23"/>
      <c r="Z673" s="42"/>
      <c r="AA673" s="42"/>
      <c r="AB673" s="23"/>
      <c r="AC673" s="23"/>
      <c r="AD673" s="23"/>
      <c r="AE673" s="36"/>
      <c r="AF673" s="23"/>
    </row>
    <row r="674" spans="1:32" ht="15.75" x14ac:dyDescent="0.25">
      <c r="A674" s="44"/>
      <c r="B674" s="23"/>
      <c r="C674" s="23"/>
      <c r="D674" s="36"/>
      <c r="E674" s="23"/>
      <c r="F674" s="23"/>
      <c r="G674" s="23"/>
      <c r="H674" s="23"/>
      <c r="I674" s="23"/>
      <c r="J674" s="23"/>
      <c r="K674" s="23"/>
      <c r="L674" s="23"/>
      <c r="M674" s="36"/>
      <c r="N674" s="23"/>
      <c r="O674" s="23"/>
      <c r="P674" s="23"/>
      <c r="Q674" s="23"/>
      <c r="R674" s="23"/>
      <c r="S674" s="23"/>
      <c r="T674" s="23"/>
      <c r="U674" s="23"/>
      <c r="V674" s="36"/>
      <c r="W674" s="42"/>
      <c r="X674" s="42"/>
      <c r="Y674" s="23"/>
      <c r="Z674" s="42"/>
      <c r="AA674" s="42"/>
      <c r="AB674" s="23"/>
      <c r="AC674" s="23"/>
      <c r="AD674" s="23"/>
      <c r="AE674" s="36"/>
      <c r="AF674" s="23"/>
    </row>
    <row r="675" spans="1:32" ht="15.75" x14ac:dyDescent="0.25">
      <c r="A675" s="44"/>
      <c r="B675" s="23"/>
      <c r="C675" s="23"/>
      <c r="D675" s="36"/>
      <c r="E675" s="23"/>
      <c r="F675" s="23"/>
      <c r="G675" s="23"/>
      <c r="H675" s="23"/>
      <c r="I675" s="23"/>
      <c r="J675" s="23"/>
      <c r="K675" s="23"/>
      <c r="L675" s="23"/>
      <c r="M675" s="36"/>
      <c r="N675" s="23"/>
      <c r="O675" s="23"/>
      <c r="P675" s="23"/>
      <c r="Q675" s="23"/>
      <c r="R675" s="23"/>
      <c r="S675" s="23"/>
      <c r="T675" s="23"/>
      <c r="U675" s="23"/>
      <c r="V675" s="36"/>
      <c r="W675" s="42"/>
      <c r="X675" s="42"/>
      <c r="Y675" s="23"/>
      <c r="Z675" s="42"/>
      <c r="AA675" s="42"/>
      <c r="AB675" s="23"/>
      <c r="AC675" s="23"/>
      <c r="AD675" s="23"/>
      <c r="AE675" s="36"/>
      <c r="AF675" s="23"/>
    </row>
    <row r="676" spans="1:32" ht="15.75" x14ac:dyDescent="0.25">
      <c r="A676" s="44"/>
      <c r="B676" s="23"/>
      <c r="C676" s="23"/>
      <c r="D676" s="36"/>
      <c r="E676" s="23"/>
      <c r="F676" s="23"/>
      <c r="G676" s="23"/>
      <c r="H676" s="23"/>
      <c r="I676" s="23"/>
      <c r="J676" s="23"/>
      <c r="K676" s="23"/>
      <c r="L676" s="23"/>
      <c r="M676" s="36"/>
      <c r="N676" s="23"/>
      <c r="O676" s="23"/>
      <c r="P676" s="23"/>
      <c r="Q676" s="23"/>
      <c r="R676" s="23"/>
      <c r="S676" s="23"/>
      <c r="T676" s="23"/>
      <c r="U676" s="23"/>
      <c r="V676" s="36"/>
      <c r="W676" s="42"/>
      <c r="X676" s="42"/>
      <c r="Y676" s="23"/>
      <c r="Z676" s="42"/>
      <c r="AA676" s="42"/>
      <c r="AB676" s="23"/>
      <c r="AC676" s="23"/>
      <c r="AD676" s="23"/>
      <c r="AE676" s="36"/>
      <c r="AF676" s="23"/>
    </row>
    <row r="677" spans="1:32" ht="15.75" x14ac:dyDescent="0.25">
      <c r="A677" s="44"/>
      <c r="B677" s="23"/>
      <c r="C677" s="23"/>
      <c r="D677" s="36"/>
      <c r="E677" s="23"/>
      <c r="F677" s="23"/>
      <c r="G677" s="23"/>
      <c r="H677" s="23"/>
      <c r="I677" s="23"/>
      <c r="J677" s="23"/>
      <c r="K677" s="23"/>
      <c r="L677" s="23"/>
      <c r="M677" s="36"/>
      <c r="N677" s="23"/>
      <c r="O677" s="23"/>
      <c r="P677" s="23"/>
      <c r="Q677" s="23"/>
      <c r="R677" s="23"/>
      <c r="S677" s="23"/>
      <c r="T677" s="23"/>
      <c r="U677" s="23"/>
      <c r="V677" s="36"/>
      <c r="W677" s="42"/>
      <c r="X677" s="42"/>
      <c r="Y677" s="23"/>
      <c r="Z677" s="42"/>
      <c r="AA677" s="42"/>
      <c r="AB677" s="23"/>
      <c r="AC677" s="23"/>
      <c r="AD677" s="23"/>
      <c r="AE677" s="36"/>
      <c r="AF677" s="23"/>
    </row>
    <row r="678" spans="1:32" ht="15.75" x14ac:dyDescent="0.25">
      <c r="A678" s="44"/>
      <c r="B678" s="23"/>
      <c r="C678" s="23"/>
      <c r="D678" s="36"/>
      <c r="E678" s="23"/>
      <c r="F678" s="23"/>
      <c r="G678" s="23"/>
      <c r="H678" s="23"/>
      <c r="I678" s="23"/>
      <c r="J678" s="23"/>
      <c r="K678" s="23"/>
      <c r="L678" s="23"/>
      <c r="M678" s="36"/>
      <c r="N678" s="23"/>
      <c r="O678" s="23"/>
      <c r="P678" s="23"/>
      <c r="Q678" s="23"/>
      <c r="R678" s="23"/>
      <c r="S678" s="23"/>
      <c r="T678" s="23"/>
      <c r="U678" s="23"/>
      <c r="V678" s="36"/>
      <c r="W678" s="42"/>
      <c r="X678" s="42"/>
      <c r="Y678" s="23"/>
      <c r="Z678" s="42"/>
      <c r="AA678" s="42"/>
      <c r="AB678" s="23"/>
      <c r="AC678" s="23"/>
      <c r="AD678" s="23"/>
      <c r="AE678" s="36"/>
      <c r="AF678" s="23"/>
    </row>
    <row r="679" spans="1:32" ht="15.75" x14ac:dyDescent="0.25">
      <c r="A679" s="44"/>
      <c r="B679" s="23"/>
      <c r="C679" s="23"/>
      <c r="D679" s="36"/>
      <c r="E679" s="23"/>
      <c r="F679" s="23"/>
      <c r="G679" s="23"/>
      <c r="H679" s="23"/>
      <c r="I679" s="23"/>
      <c r="J679" s="23"/>
      <c r="K679" s="23"/>
      <c r="L679" s="23"/>
      <c r="M679" s="36"/>
      <c r="N679" s="23"/>
      <c r="O679" s="23"/>
      <c r="P679" s="23"/>
      <c r="Q679" s="23"/>
      <c r="R679" s="23"/>
      <c r="S679" s="23"/>
      <c r="T679" s="23"/>
      <c r="U679" s="23"/>
      <c r="V679" s="36"/>
      <c r="W679" s="42"/>
      <c r="X679" s="42"/>
      <c r="Y679" s="23"/>
      <c r="Z679" s="42"/>
      <c r="AA679" s="42"/>
      <c r="AB679" s="23"/>
      <c r="AC679" s="23"/>
      <c r="AD679" s="23"/>
      <c r="AE679" s="36"/>
      <c r="AF679" s="23"/>
    </row>
    <row r="680" spans="1:32" ht="15.75" x14ac:dyDescent="0.25">
      <c r="A680" s="44"/>
      <c r="B680" s="23"/>
      <c r="C680" s="23"/>
      <c r="D680" s="36"/>
      <c r="E680" s="23"/>
      <c r="F680" s="23"/>
      <c r="G680" s="23"/>
      <c r="H680" s="23"/>
      <c r="I680" s="23"/>
      <c r="J680" s="23"/>
      <c r="K680" s="23"/>
      <c r="L680" s="23"/>
      <c r="M680" s="36"/>
      <c r="N680" s="23"/>
      <c r="O680" s="23"/>
      <c r="P680" s="23"/>
      <c r="Q680" s="23"/>
      <c r="R680" s="23"/>
      <c r="S680" s="23"/>
      <c r="T680" s="23"/>
      <c r="U680" s="23"/>
      <c r="V680" s="36"/>
      <c r="W680" s="42"/>
      <c r="X680" s="42"/>
      <c r="Y680" s="23"/>
      <c r="Z680" s="42"/>
      <c r="AA680" s="42"/>
      <c r="AB680" s="23"/>
      <c r="AC680" s="23"/>
      <c r="AD680" s="23"/>
      <c r="AE680" s="36"/>
      <c r="AF680" s="23"/>
    </row>
    <row r="681" spans="1:32" ht="15.75" x14ac:dyDescent="0.25">
      <c r="A681" s="44"/>
      <c r="B681" s="23"/>
      <c r="C681" s="23"/>
      <c r="D681" s="36"/>
      <c r="E681" s="23"/>
      <c r="F681" s="23"/>
      <c r="G681" s="23"/>
      <c r="H681" s="23"/>
      <c r="I681" s="23"/>
      <c r="J681" s="23"/>
      <c r="K681" s="23"/>
      <c r="L681" s="23"/>
      <c r="M681" s="36"/>
      <c r="N681" s="23"/>
      <c r="O681" s="23"/>
      <c r="P681" s="23"/>
      <c r="Q681" s="23"/>
      <c r="R681" s="23"/>
      <c r="S681" s="23"/>
      <c r="T681" s="23"/>
      <c r="U681" s="23"/>
      <c r="V681" s="36"/>
      <c r="W681" s="42"/>
      <c r="X681" s="42"/>
      <c r="Y681" s="23"/>
      <c r="Z681" s="42"/>
      <c r="AA681" s="42"/>
      <c r="AB681" s="23"/>
      <c r="AC681" s="23"/>
      <c r="AD681" s="23"/>
      <c r="AE681" s="36"/>
      <c r="AF681" s="23"/>
    </row>
    <row r="682" spans="1:32" ht="15.75" x14ac:dyDescent="0.25">
      <c r="A682" s="44"/>
      <c r="B682" s="23"/>
      <c r="C682" s="23"/>
      <c r="D682" s="36"/>
      <c r="E682" s="23"/>
      <c r="F682" s="23"/>
      <c r="G682" s="23"/>
      <c r="H682" s="23"/>
      <c r="I682" s="23"/>
      <c r="J682" s="23"/>
      <c r="K682" s="23"/>
      <c r="L682" s="23"/>
      <c r="M682" s="36"/>
      <c r="N682" s="23"/>
      <c r="O682" s="23"/>
      <c r="P682" s="23"/>
      <c r="Q682" s="23"/>
      <c r="R682" s="23"/>
      <c r="S682" s="23"/>
      <c r="T682" s="23"/>
      <c r="U682" s="23"/>
      <c r="V682" s="36"/>
      <c r="W682" s="42"/>
      <c r="X682" s="42"/>
      <c r="Y682" s="23"/>
      <c r="Z682" s="42"/>
      <c r="AA682" s="42"/>
      <c r="AB682" s="23"/>
      <c r="AC682" s="23"/>
      <c r="AD682" s="23"/>
      <c r="AE682" s="36"/>
      <c r="AF682" s="23"/>
    </row>
    <row r="683" spans="1:32" ht="15.75" x14ac:dyDescent="0.25">
      <c r="A683" s="44"/>
      <c r="B683" s="23"/>
      <c r="C683" s="23"/>
      <c r="D683" s="36"/>
      <c r="E683" s="23"/>
      <c r="F683" s="23"/>
      <c r="G683" s="23"/>
      <c r="H683" s="23"/>
      <c r="I683" s="23"/>
      <c r="J683" s="23"/>
      <c r="K683" s="23"/>
      <c r="L683" s="23"/>
      <c r="M683" s="36"/>
      <c r="N683" s="23"/>
      <c r="O683" s="23"/>
      <c r="P683" s="23"/>
      <c r="Q683" s="23"/>
      <c r="R683" s="23"/>
      <c r="S683" s="23"/>
      <c r="T683" s="23"/>
      <c r="U683" s="23"/>
      <c r="V683" s="36"/>
      <c r="W683" s="42"/>
      <c r="X683" s="42"/>
      <c r="Y683" s="23"/>
      <c r="Z683" s="42"/>
      <c r="AA683" s="42"/>
      <c r="AB683" s="23"/>
      <c r="AC683" s="23"/>
      <c r="AD683" s="23"/>
      <c r="AE683" s="36"/>
      <c r="AF683" s="23"/>
    </row>
    <row r="684" spans="1:32" ht="15.75" x14ac:dyDescent="0.25">
      <c r="A684" s="44"/>
      <c r="B684" s="23"/>
      <c r="C684" s="23"/>
      <c r="D684" s="36"/>
      <c r="E684" s="23"/>
      <c r="F684" s="23"/>
      <c r="G684" s="23"/>
      <c r="H684" s="23"/>
      <c r="I684" s="23"/>
      <c r="J684" s="23"/>
      <c r="K684" s="23"/>
      <c r="L684" s="23"/>
      <c r="M684" s="36"/>
      <c r="N684" s="23"/>
      <c r="O684" s="23"/>
      <c r="P684" s="23"/>
      <c r="Q684" s="23"/>
      <c r="R684" s="23"/>
      <c r="S684" s="23"/>
      <c r="T684" s="23"/>
      <c r="U684" s="23"/>
      <c r="V684" s="36"/>
      <c r="W684" s="42"/>
      <c r="X684" s="42"/>
      <c r="Y684" s="23"/>
      <c r="Z684" s="42"/>
      <c r="AA684" s="42"/>
      <c r="AB684" s="23"/>
      <c r="AC684" s="23"/>
      <c r="AD684" s="23"/>
      <c r="AE684" s="36"/>
      <c r="AF684" s="23"/>
    </row>
    <row r="685" spans="1:32" ht="15.75" x14ac:dyDescent="0.25">
      <c r="A685" s="44"/>
      <c r="B685" s="23"/>
      <c r="C685" s="23"/>
      <c r="D685" s="36"/>
      <c r="E685" s="23"/>
      <c r="F685" s="23"/>
      <c r="G685" s="23"/>
      <c r="H685" s="23"/>
      <c r="I685" s="23"/>
      <c r="J685" s="23"/>
      <c r="K685" s="23"/>
      <c r="L685" s="23"/>
      <c r="M685" s="36"/>
      <c r="N685" s="23"/>
      <c r="O685" s="23"/>
      <c r="P685" s="23"/>
      <c r="Q685" s="23"/>
      <c r="R685" s="23"/>
      <c r="S685" s="23"/>
      <c r="T685" s="23"/>
      <c r="U685" s="23"/>
      <c r="V685" s="36"/>
      <c r="W685" s="42"/>
      <c r="X685" s="42"/>
      <c r="Y685" s="23"/>
      <c r="Z685" s="42"/>
      <c r="AA685" s="42"/>
      <c r="AB685" s="23"/>
      <c r="AC685" s="23"/>
      <c r="AD685" s="23"/>
      <c r="AE685" s="36"/>
      <c r="AF685" s="23"/>
    </row>
    <row r="686" spans="1:32" ht="15.75" x14ac:dyDescent="0.25">
      <c r="A686" s="44"/>
      <c r="B686" s="23"/>
      <c r="C686" s="23"/>
      <c r="D686" s="36"/>
      <c r="E686" s="23"/>
      <c r="F686" s="23"/>
      <c r="G686" s="23"/>
      <c r="H686" s="23"/>
      <c r="I686" s="23"/>
      <c r="J686" s="23"/>
      <c r="K686" s="23"/>
      <c r="L686" s="23"/>
      <c r="M686" s="36"/>
      <c r="N686" s="23"/>
      <c r="O686" s="23"/>
      <c r="P686" s="23"/>
      <c r="Q686" s="23"/>
      <c r="R686" s="23"/>
      <c r="S686" s="23"/>
      <c r="T686" s="23"/>
      <c r="U686" s="23"/>
      <c r="V686" s="36"/>
      <c r="W686" s="42"/>
      <c r="X686" s="42"/>
      <c r="Y686" s="23"/>
      <c r="Z686" s="42"/>
      <c r="AA686" s="42"/>
      <c r="AB686" s="23"/>
      <c r="AC686" s="23"/>
      <c r="AD686" s="23"/>
      <c r="AE686" s="36"/>
      <c r="AF686" s="23"/>
    </row>
    <row r="687" spans="1:32" ht="15.75" x14ac:dyDescent="0.25">
      <c r="A687" s="44"/>
      <c r="B687" s="23"/>
      <c r="C687" s="23"/>
      <c r="D687" s="36"/>
      <c r="E687" s="23"/>
      <c r="F687" s="23"/>
      <c r="G687" s="23"/>
      <c r="H687" s="23"/>
      <c r="I687" s="23"/>
      <c r="J687" s="23"/>
      <c r="K687" s="23"/>
      <c r="L687" s="23"/>
      <c r="M687" s="36"/>
      <c r="N687" s="23"/>
      <c r="O687" s="23"/>
      <c r="P687" s="23"/>
      <c r="Q687" s="23"/>
      <c r="R687" s="23"/>
      <c r="S687" s="23"/>
      <c r="T687" s="23"/>
      <c r="U687" s="23"/>
      <c r="V687" s="36"/>
      <c r="W687" s="42"/>
      <c r="X687" s="42"/>
      <c r="Y687" s="23"/>
      <c r="Z687" s="42"/>
      <c r="AA687" s="42"/>
      <c r="AB687" s="23"/>
      <c r="AC687" s="23"/>
      <c r="AD687" s="23"/>
      <c r="AE687" s="36"/>
      <c r="AF687" s="23"/>
    </row>
    <row r="688" spans="1:32" ht="15.75" x14ac:dyDescent="0.25">
      <c r="A688" s="44"/>
      <c r="B688" s="23"/>
      <c r="C688" s="23"/>
      <c r="D688" s="36"/>
      <c r="E688" s="23"/>
      <c r="F688" s="23"/>
      <c r="G688" s="23"/>
      <c r="H688" s="23"/>
      <c r="I688" s="23"/>
      <c r="J688" s="23"/>
      <c r="K688" s="23"/>
      <c r="L688" s="23"/>
      <c r="M688" s="36"/>
      <c r="N688" s="23"/>
      <c r="O688" s="23"/>
      <c r="P688" s="23"/>
      <c r="Q688" s="23"/>
      <c r="R688" s="23"/>
      <c r="S688" s="23"/>
      <c r="T688" s="23"/>
      <c r="U688" s="23"/>
      <c r="V688" s="36"/>
      <c r="W688" s="42"/>
      <c r="X688" s="42"/>
      <c r="Y688" s="23"/>
      <c r="Z688" s="42"/>
      <c r="AA688" s="42"/>
      <c r="AB688" s="23"/>
      <c r="AC688" s="23"/>
      <c r="AD688" s="23"/>
      <c r="AE688" s="36"/>
      <c r="AF688" s="23"/>
    </row>
    <row r="689" spans="1:32" ht="15.75" x14ac:dyDescent="0.25">
      <c r="A689" s="44"/>
      <c r="B689" s="23"/>
      <c r="C689" s="23"/>
      <c r="D689" s="36"/>
      <c r="E689" s="23"/>
      <c r="F689" s="23"/>
      <c r="G689" s="23"/>
      <c r="H689" s="23"/>
      <c r="I689" s="23"/>
      <c r="J689" s="23"/>
      <c r="K689" s="23"/>
      <c r="L689" s="23"/>
      <c r="M689" s="36"/>
      <c r="N689" s="23"/>
      <c r="O689" s="23"/>
      <c r="P689" s="23"/>
      <c r="Q689" s="23"/>
      <c r="R689" s="23"/>
      <c r="S689" s="23"/>
      <c r="T689" s="23"/>
      <c r="U689" s="23"/>
      <c r="V689" s="36"/>
      <c r="W689" s="42"/>
      <c r="X689" s="42"/>
      <c r="Y689" s="23"/>
      <c r="Z689" s="42"/>
      <c r="AA689" s="42"/>
      <c r="AB689" s="23"/>
      <c r="AC689" s="23"/>
      <c r="AD689" s="23"/>
      <c r="AE689" s="36"/>
      <c r="AF689" s="23"/>
    </row>
    <row r="690" spans="1:32" ht="15.75" x14ac:dyDescent="0.25">
      <c r="A690" s="44"/>
      <c r="B690" s="23"/>
      <c r="C690" s="23"/>
      <c r="D690" s="36"/>
      <c r="E690" s="23"/>
      <c r="F690" s="23"/>
      <c r="G690" s="23"/>
      <c r="H690" s="23"/>
      <c r="I690" s="23"/>
      <c r="J690" s="23"/>
      <c r="K690" s="23"/>
      <c r="L690" s="23"/>
      <c r="M690" s="36"/>
      <c r="N690" s="23"/>
      <c r="O690" s="23"/>
      <c r="P690" s="23"/>
      <c r="Q690" s="23"/>
      <c r="R690" s="23"/>
      <c r="S690" s="23"/>
      <c r="T690" s="23"/>
      <c r="U690" s="23"/>
      <c r="V690" s="36"/>
      <c r="W690" s="42"/>
      <c r="X690" s="42"/>
      <c r="Y690" s="23"/>
      <c r="Z690" s="42"/>
      <c r="AA690" s="42"/>
      <c r="AB690" s="23"/>
      <c r="AC690" s="23"/>
      <c r="AD690" s="23"/>
      <c r="AE690" s="36"/>
      <c r="AF690" s="23"/>
    </row>
    <row r="691" spans="1:32" ht="15.75" x14ac:dyDescent="0.25">
      <c r="A691" s="44"/>
      <c r="B691" s="23"/>
      <c r="C691" s="23"/>
      <c r="D691" s="36"/>
      <c r="E691" s="23"/>
      <c r="F691" s="23"/>
      <c r="G691" s="23"/>
      <c r="H691" s="23"/>
      <c r="I691" s="23"/>
      <c r="J691" s="23"/>
      <c r="K691" s="23"/>
      <c r="L691" s="23"/>
      <c r="M691" s="36"/>
      <c r="N691" s="23"/>
      <c r="O691" s="23"/>
      <c r="P691" s="23"/>
      <c r="Q691" s="23"/>
      <c r="R691" s="23"/>
      <c r="S691" s="23"/>
      <c r="T691" s="23"/>
      <c r="U691" s="23"/>
      <c r="V691" s="36"/>
      <c r="W691" s="42"/>
      <c r="X691" s="42"/>
      <c r="Y691" s="23"/>
      <c r="Z691" s="42"/>
      <c r="AA691" s="42"/>
      <c r="AB691" s="23"/>
      <c r="AC691" s="23"/>
      <c r="AD691" s="23"/>
      <c r="AE691" s="36"/>
      <c r="AF691" s="23"/>
    </row>
    <row r="692" spans="1:32" ht="15.75" x14ac:dyDescent="0.25">
      <c r="A692" s="44"/>
      <c r="B692" s="23"/>
      <c r="C692" s="23"/>
      <c r="D692" s="36"/>
      <c r="E692" s="23"/>
      <c r="F692" s="23"/>
      <c r="G692" s="23"/>
      <c r="H692" s="23"/>
      <c r="I692" s="23"/>
      <c r="J692" s="23"/>
      <c r="K692" s="23"/>
      <c r="L692" s="23"/>
      <c r="M692" s="36"/>
      <c r="N692" s="23"/>
      <c r="O692" s="23"/>
      <c r="P692" s="23"/>
      <c r="Q692" s="23"/>
      <c r="R692" s="23"/>
      <c r="S692" s="23"/>
      <c r="T692" s="23"/>
      <c r="U692" s="23"/>
      <c r="V692" s="36"/>
      <c r="W692" s="42"/>
      <c r="X692" s="42"/>
      <c r="Y692" s="23"/>
      <c r="Z692" s="42"/>
      <c r="AA692" s="42"/>
      <c r="AB692" s="23"/>
      <c r="AC692" s="23"/>
      <c r="AD692" s="23"/>
      <c r="AE692" s="36"/>
      <c r="AF692" s="23"/>
    </row>
    <row r="693" spans="1:32" ht="15.75" x14ac:dyDescent="0.25">
      <c r="A693" s="44"/>
      <c r="B693" s="23"/>
      <c r="C693" s="23"/>
      <c r="D693" s="36"/>
      <c r="E693" s="23"/>
      <c r="F693" s="23"/>
      <c r="G693" s="23"/>
      <c r="H693" s="23"/>
      <c r="I693" s="23"/>
      <c r="J693" s="23"/>
      <c r="K693" s="23"/>
      <c r="L693" s="23"/>
      <c r="M693" s="36"/>
      <c r="N693" s="23"/>
      <c r="O693" s="23"/>
      <c r="P693" s="23"/>
      <c r="Q693" s="23"/>
      <c r="R693" s="23"/>
      <c r="S693" s="23"/>
      <c r="T693" s="23"/>
      <c r="U693" s="23"/>
      <c r="V693" s="36"/>
      <c r="W693" s="42"/>
      <c r="X693" s="42"/>
      <c r="Y693" s="23"/>
      <c r="Z693" s="42"/>
      <c r="AA693" s="42"/>
      <c r="AB693" s="23"/>
      <c r="AC693" s="23"/>
      <c r="AD693" s="23"/>
      <c r="AE693" s="36"/>
      <c r="AF693" s="23"/>
    </row>
    <row r="694" spans="1:32" ht="15.75" x14ac:dyDescent="0.25">
      <c r="A694" s="44"/>
      <c r="B694" s="23"/>
      <c r="C694" s="23"/>
      <c r="D694" s="36"/>
      <c r="E694" s="23"/>
      <c r="F694" s="23"/>
      <c r="G694" s="23"/>
      <c r="H694" s="23"/>
      <c r="I694" s="23"/>
      <c r="J694" s="23"/>
      <c r="K694" s="23"/>
      <c r="L694" s="23"/>
      <c r="M694" s="36"/>
      <c r="N694" s="23"/>
      <c r="O694" s="23"/>
      <c r="P694" s="23"/>
      <c r="Q694" s="23"/>
      <c r="R694" s="23"/>
      <c r="S694" s="23"/>
      <c r="T694" s="23"/>
      <c r="U694" s="23"/>
      <c r="V694" s="36"/>
      <c r="W694" s="42"/>
      <c r="X694" s="42"/>
      <c r="Y694" s="23"/>
      <c r="Z694" s="42"/>
      <c r="AA694" s="42"/>
      <c r="AB694" s="23"/>
      <c r="AC694" s="23"/>
      <c r="AD694" s="23"/>
      <c r="AE694" s="36"/>
      <c r="AF694" s="23"/>
    </row>
    <row r="695" spans="1:32" ht="15.75" x14ac:dyDescent="0.25">
      <c r="A695" s="44"/>
      <c r="B695" s="23"/>
      <c r="C695" s="23"/>
      <c r="D695" s="36"/>
      <c r="E695" s="23"/>
      <c r="F695" s="23"/>
      <c r="G695" s="23"/>
      <c r="H695" s="23"/>
      <c r="I695" s="23"/>
      <c r="J695" s="23"/>
      <c r="K695" s="23"/>
      <c r="L695" s="23"/>
      <c r="M695" s="36"/>
      <c r="N695" s="23"/>
      <c r="O695" s="23"/>
      <c r="P695" s="23"/>
      <c r="Q695" s="23"/>
      <c r="R695" s="23"/>
      <c r="S695" s="23"/>
      <c r="T695" s="23"/>
      <c r="U695" s="23"/>
      <c r="V695" s="36"/>
      <c r="W695" s="42"/>
      <c r="X695" s="42"/>
      <c r="Y695" s="23"/>
      <c r="Z695" s="42"/>
      <c r="AA695" s="42"/>
      <c r="AB695" s="23"/>
      <c r="AC695" s="23"/>
      <c r="AD695" s="23"/>
      <c r="AE695" s="36"/>
      <c r="AF695" s="23"/>
    </row>
    <row r="696" spans="1:32" ht="15.75" x14ac:dyDescent="0.25">
      <c r="A696" s="44"/>
      <c r="B696" s="23"/>
      <c r="C696" s="23"/>
      <c r="D696" s="36"/>
      <c r="E696" s="23"/>
      <c r="F696" s="23"/>
      <c r="G696" s="23"/>
      <c r="H696" s="23"/>
      <c r="I696" s="23"/>
      <c r="J696" s="23"/>
      <c r="K696" s="23"/>
      <c r="L696" s="23"/>
      <c r="M696" s="36"/>
      <c r="N696" s="23"/>
      <c r="O696" s="23"/>
      <c r="P696" s="23"/>
      <c r="Q696" s="23"/>
      <c r="R696" s="23"/>
      <c r="S696" s="23"/>
      <c r="T696" s="23"/>
      <c r="U696" s="23"/>
      <c r="V696" s="36"/>
      <c r="W696" s="42"/>
      <c r="X696" s="42"/>
      <c r="Y696" s="23"/>
      <c r="Z696" s="42"/>
      <c r="AA696" s="42"/>
      <c r="AB696" s="23"/>
      <c r="AC696" s="23"/>
      <c r="AD696" s="23"/>
      <c r="AE696" s="36"/>
      <c r="AF696" s="23"/>
    </row>
    <row r="697" spans="1:32" ht="15.75" x14ac:dyDescent="0.25">
      <c r="A697" s="44"/>
      <c r="B697" s="23"/>
      <c r="C697" s="23"/>
      <c r="D697" s="36"/>
      <c r="E697" s="23"/>
      <c r="F697" s="23"/>
      <c r="G697" s="23"/>
      <c r="H697" s="23"/>
      <c r="I697" s="23"/>
      <c r="J697" s="23"/>
      <c r="K697" s="23"/>
      <c r="L697" s="23"/>
      <c r="M697" s="36"/>
      <c r="N697" s="23"/>
      <c r="O697" s="23"/>
      <c r="P697" s="23"/>
      <c r="Q697" s="23"/>
      <c r="R697" s="23"/>
      <c r="S697" s="23"/>
      <c r="T697" s="23"/>
      <c r="U697" s="23"/>
      <c r="V697" s="36"/>
      <c r="W697" s="42"/>
      <c r="X697" s="42"/>
      <c r="Y697" s="23"/>
      <c r="Z697" s="42"/>
      <c r="AA697" s="42"/>
      <c r="AB697" s="23"/>
      <c r="AC697" s="23"/>
      <c r="AD697" s="23"/>
      <c r="AE697" s="36"/>
      <c r="AF697" s="23"/>
    </row>
    <row r="698" spans="1:32" ht="15.75" x14ac:dyDescent="0.25">
      <c r="A698" s="44"/>
      <c r="B698" s="23"/>
      <c r="C698" s="23"/>
      <c r="D698" s="36"/>
      <c r="E698" s="23"/>
      <c r="F698" s="23"/>
      <c r="G698" s="23"/>
      <c r="H698" s="23"/>
      <c r="I698" s="23"/>
      <c r="J698" s="23"/>
      <c r="K698" s="23"/>
      <c r="L698" s="23"/>
      <c r="M698" s="36"/>
      <c r="N698" s="23"/>
      <c r="O698" s="23"/>
      <c r="P698" s="23"/>
      <c r="Q698" s="23"/>
      <c r="R698" s="23"/>
      <c r="S698" s="23"/>
      <c r="T698" s="23"/>
      <c r="U698" s="23"/>
      <c r="V698" s="36"/>
      <c r="W698" s="42"/>
      <c r="X698" s="42"/>
      <c r="Y698" s="23"/>
      <c r="Z698" s="42"/>
      <c r="AA698" s="42"/>
      <c r="AB698" s="23"/>
      <c r="AC698" s="23"/>
      <c r="AD698" s="23"/>
      <c r="AE698" s="36"/>
      <c r="AF698" s="23"/>
    </row>
    <row r="699" spans="1:32" ht="15.75" x14ac:dyDescent="0.25">
      <c r="A699" s="44"/>
      <c r="B699" s="23"/>
      <c r="C699" s="23"/>
      <c r="D699" s="36"/>
      <c r="E699" s="23"/>
      <c r="F699" s="23"/>
      <c r="G699" s="23"/>
      <c r="H699" s="23"/>
      <c r="I699" s="23"/>
      <c r="J699" s="23"/>
      <c r="K699" s="23"/>
      <c r="L699" s="23"/>
      <c r="M699" s="36"/>
      <c r="N699" s="23"/>
      <c r="O699" s="23"/>
      <c r="P699" s="23"/>
      <c r="Q699" s="23"/>
      <c r="R699" s="23"/>
      <c r="S699" s="23"/>
      <c r="T699" s="23"/>
      <c r="U699" s="23"/>
      <c r="V699" s="36"/>
      <c r="W699" s="42"/>
      <c r="X699" s="42"/>
      <c r="Y699" s="23"/>
      <c r="Z699" s="42"/>
      <c r="AA699" s="42"/>
      <c r="AB699" s="23"/>
      <c r="AC699" s="23"/>
      <c r="AD699" s="23"/>
      <c r="AE699" s="36"/>
      <c r="AF699" s="23"/>
    </row>
    <row r="700" spans="1:32" ht="15.75" x14ac:dyDescent="0.25">
      <c r="A700" s="44"/>
      <c r="B700" s="23"/>
      <c r="C700" s="23"/>
      <c r="D700" s="36"/>
      <c r="E700" s="23"/>
      <c r="F700" s="23"/>
      <c r="G700" s="23"/>
      <c r="H700" s="23"/>
      <c r="I700" s="23"/>
      <c r="J700" s="23"/>
      <c r="K700" s="23"/>
      <c r="L700" s="23"/>
      <c r="M700" s="36"/>
      <c r="N700" s="23"/>
      <c r="O700" s="23"/>
      <c r="P700" s="23"/>
      <c r="Q700" s="23"/>
      <c r="R700" s="23"/>
      <c r="S700" s="23"/>
      <c r="T700" s="23"/>
      <c r="U700" s="23"/>
      <c r="V700" s="36"/>
      <c r="W700" s="42"/>
      <c r="X700" s="42"/>
      <c r="Y700" s="23"/>
      <c r="Z700" s="42"/>
      <c r="AA700" s="42"/>
      <c r="AB700" s="23"/>
      <c r="AC700" s="23"/>
      <c r="AD700" s="23"/>
      <c r="AE700" s="36"/>
      <c r="AF700" s="23"/>
    </row>
    <row r="701" spans="1:32" ht="15.75" x14ac:dyDescent="0.25">
      <c r="A701" s="44"/>
      <c r="B701" s="23"/>
      <c r="C701" s="23"/>
      <c r="D701" s="36"/>
      <c r="E701" s="23"/>
      <c r="F701" s="23"/>
      <c r="G701" s="23"/>
      <c r="H701" s="23"/>
      <c r="I701" s="23"/>
      <c r="J701" s="23"/>
      <c r="K701" s="23"/>
      <c r="L701" s="23"/>
      <c r="M701" s="36"/>
      <c r="N701" s="23"/>
      <c r="O701" s="23"/>
      <c r="P701" s="23"/>
      <c r="Q701" s="23"/>
      <c r="R701" s="23"/>
      <c r="S701" s="23"/>
      <c r="T701" s="23"/>
      <c r="U701" s="23"/>
      <c r="V701" s="36"/>
      <c r="W701" s="42"/>
      <c r="X701" s="42"/>
      <c r="Y701" s="23"/>
      <c r="Z701" s="42"/>
      <c r="AA701" s="42"/>
      <c r="AB701" s="23"/>
      <c r="AC701" s="23"/>
      <c r="AD701" s="23"/>
      <c r="AE701" s="36"/>
      <c r="AF701" s="23"/>
    </row>
    <row r="702" spans="1:32" ht="15.75" x14ac:dyDescent="0.25">
      <c r="A702" s="44"/>
      <c r="B702" s="23"/>
      <c r="C702" s="23"/>
      <c r="D702" s="36"/>
      <c r="E702" s="23"/>
      <c r="F702" s="23"/>
      <c r="G702" s="23"/>
      <c r="H702" s="23"/>
      <c r="I702" s="23"/>
      <c r="J702" s="23"/>
      <c r="K702" s="23"/>
      <c r="L702" s="23"/>
      <c r="M702" s="36"/>
      <c r="N702" s="23"/>
      <c r="O702" s="23"/>
      <c r="P702" s="23"/>
      <c r="Q702" s="23"/>
      <c r="R702" s="23"/>
      <c r="S702" s="23"/>
      <c r="T702" s="23"/>
      <c r="U702" s="23"/>
      <c r="V702" s="36"/>
      <c r="W702" s="42"/>
      <c r="X702" s="42"/>
      <c r="Y702" s="23"/>
      <c r="Z702" s="42"/>
      <c r="AA702" s="42"/>
      <c r="AB702" s="23"/>
      <c r="AC702" s="23"/>
      <c r="AD702" s="23"/>
      <c r="AE702" s="36"/>
      <c r="AF702" s="23"/>
    </row>
    <row r="703" spans="1:32" ht="15.75" x14ac:dyDescent="0.25">
      <c r="A703" s="44"/>
      <c r="B703" s="23"/>
      <c r="C703" s="23"/>
      <c r="D703" s="36"/>
      <c r="E703" s="23"/>
      <c r="F703" s="23"/>
      <c r="G703" s="23"/>
      <c r="H703" s="23"/>
      <c r="I703" s="23"/>
      <c r="J703" s="23"/>
      <c r="K703" s="23"/>
      <c r="L703" s="23"/>
      <c r="M703" s="36"/>
      <c r="N703" s="23"/>
      <c r="O703" s="23"/>
      <c r="P703" s="23"/>
      <c r="Q703" s="23"/>
      <c r="R703" s="23"/>
      <c r="S703" s="23"/>
      <c r="T703" s="23"/>
      <c r="U703" s="23"/>
      <c r="V703" s="36"/>
      <c r="W703" s="42"/>
      <c r="X703" s="42"/>
      <c r="Y703" s="23"/>
      <c r="Z703" s="42"/>
      <c r="AA703" s="42"/>
      <c r="AB703" s="23"/>
      <c r="AC703" s="23"/>
      <c r="AD703" s="23"/>
      <c r="AE703" s="36"/>
      <c r="AF703" s="23"/>
    </row>
    <row r="704" spans="1:32" ht="15.75" x14ac:dyDescent="0.25">
      <c r="A704" s="44"/>
      <c r="B704" s="23"/>
      <c r="C704" s="23"/>
      <c r="D704" s="36"/>
      <c r="E704" s="23"/>
      <c r="F704" s="23"/>
      <c r="G704" s="23"/>
      <c r="H704" s="23"/>
      <c r="I704" s="23"/>
      <c r="J704" s="23"/>
      <c r="K704" s="23"/>
      <c r="L704" s="23"/>
      <c r="M704" s="36"/>
      <c r="N704" s="23"/>
      <c r="O704" s="23"/>
      <c r="P704" s="23"/>
      <c r="Q704" s="23"/>
      <c r="R704" s="23"/>
      <c r="S704" s="23"/>
      <c r="T704" s="23"/>
      <c r="U704" s="23"/>
      <c r="V704" s="36"/>
      <c r="W704" s="42"/>
      <c r="X704" s="42"/>
      <c r="Y704" s="23"/>
      <c r="Z704" s="42"/>
      <c r="AA704" s="42"/>
      <c r="AB704" s="23"/>
      <c r="AC704" s="23"/>
      <c r="AD704" s="23"/>
      <c r="AE704" s="36"/>
      <c r="AF704" s="23"/>
    </row>
    <row r="705" spans="1:32" ht="15.75" x14ac:dyDescent="0.25">
      <c r="A705" s="44"/>
      <c r="B705" s="23"/>
      <c r="C705" s="23"/>
      <c r="D705" s="36"/>
      <c r="E705" s="23"/>
      <c r="F705" s="23"/>
      <c r="G705" s="23"/>
      <c r="H705" s="23"/>
      <c r="I705" s="23"/>
      <c r="J705" s="23"/>
      <c r="K705" s="23"/>
      <c r="L705" s="23"/>
      <c r="M705" s="36"/>
      <c r="N705" s="23"/>
      <c r="O705" s="23"/>
      <c r="P705" s="23"/>
      <c r="Q705" s="23"/>
      <c r="R705" s="23"/>
      <c r="S705" s="23"/>
      <c r="T705" s="23"/>
      <c r="U705" s="23"/>
      <c r="V705" s="36"/>
      <c r="W705" s="42"/>
      <c r="X705" s="42"/>
      <c r="Y705" s="23"/>
      <c r="Z705" s="42"/>
      <c r="AA705" s="42"/>
      <c r="AB705" s="23"/>
      <c r="AC705" s="23"/>
      <c r="AD705" s="23"/>
      <c r="AE705" s="36"/>
      <c r="AF705" s="23"/>
    </row>
    <row r="706" spans="1:32" ht="15.75" x14ac:dyDescent="0.25">
      <c r="A706" s="44"/>
      <c r="B706" s="23"/>
      <c r="C706" s="23"/>
      <c r="D706" s="36"/>
      <c r="E706" s="23"/>
      <c r="F706" s="23"/>
      <c r="G706" s="23"/>
      <c r="H706" s="23"/>
      <c r="I706" s="23"/>
      <c r="J706" s="23"/>
      <c r="K706" s="23"/>
      <c r="L706" s="23"/>
      <c r="M706" s="36"/>
      <c r="N706" s="23"/>
      <c r="O706" s="23"/>
      <c r="P706" s="23"/>
      <c r="Q706" s="23"/>
      <c r="R706" s="23"/>
      <c r="S706" s="23"/>
      <c r="T706" s="23"/>
      <c r="U706" s="23"/>
      <c r="V706" s="36"/>
      <c r="W706" s="42"/>
      <c r="X706" s="42"/>
      <c r="Y706" s="23"/>
      <c r="Z706" s="42"/>
      <c r="AA706" s="42"/>
      <c r="AB706" s="23"/>
      <c r="AC706" s="23"/>
      <c r="AD706" s="23"/>
      <c r="AE706" s="36"/>
      <c r="AF706" s="23"/>
    </row>
    <row r="707" spans="1:32" ht="15.75" x14ac:dyDescent="0.25">
      <c r="A707" s="44"/>
      <c r="B707" s="23"/>
      <c r="C707" s="23"/>
      <c r="D707" s="36"/>
      <c r="E707" s="23"/>
      <c r="F707" s="23"/>
      <c r="G707" s="23"/>
      <c r="H707" s="23"/>
      <c r="I707" s="23"/>
      <c r="J707" s="23"/>
      <c r="K707" s="23"/>
      <c r="L707" s="23"/>
      <c r="M707" s="36"/>
      <c r="N707" s="23"/>
      <c r="O707" s="23"/>
      <c r="P707" s="23"/>
      <c r="Q707" s="23"/>
      <c r="R707" s="23"/>
      <c r="S707" s="23"/>
      <c r="T707" s="23"/>
      <c r="U707" s="23"/>
      <c r="V707" s="36"/>
      <c r="W707" s="42"/>
      <c r="X707" s="42"/>
      <c r="Y707" s="23"/>
      <c r="Z707" s="42"/>
      <c r="AA707" s="42"/>
      <c r="AB707" s="23"/>
      <c r="AC707" s="23"/>
      <c r="AD707" s="23"/>
      <c r="AE707" s="36"/>
      <c r="AF707" s="23"/>
    </row>
    <row r="708" spans="1:32" ht="15.75" x14ac:dyDescent="0.25">
      <c r="A708" s="44"/>
      <c r="B708" s="23"/>
      <c r="C708" s="23"/>
      <c r="D708" s="36"/>
      <c r="E708" s="23"/>
      <c r="F708" s="23"/>
      <c r="G708" s="23"/>
      <c r="H708" s="23"/>
      <c r="I708" s="23"/>
      <c r="J708" s="23"/>
      <c r="K708" s="23"/>
      <c r="L708" s="23"/>
      <c r="M708" s="36"/>
      <c r="N708" s="23"/>
      <c r="O708" s="23"/>
      <c r="P708" s="23"/>
      <c r="Q708" s="23"/>
      <c r="R708" s="23"/>
      <c r="S708" s="23"/>
      <c r="T708" s="23"/>
      <c r="U708" s="23"/>
      <c r="V708" s="36"/>
      <c r="W708" s="42"/>
      <c r="X708" s="42"/>
      <c r="Y708" s="23"/>
      <c r="Z708" s="42"/>
      <c r="AA708" s="42"/>
      <c r="AB708" s="23"/>
      <c r="AC708" s="23"/>
      <c r="AD708" s="23"/>
      <c r="AE708" s="36"/>
      <c r="AF708" s="23"/>
    </row>
    <row r="709" spans="1:32" ht="15.75" x14ac:dyDescent="0.25">
      <c r="A709" s="44"/>
      <c r="B709" s="23"/>
      <c r="C709" s="23"/>
      <c r="D709" s="36"/>
      <c r="E709" s="23"/>
      <c r="F709" s="23"/>
      <c r="G709" s="23"/>
      <c r="H709" s="23"/>
      <c r="I709" s="23"/>
      <c r="J709" s="23"/>
      <c r="K709" s="23"/>
      <c r="L709" s="23"/>
      <c r="M709" s="36"/>
      <c r="N709" s="23"/>
      <c r="O709" s="23"/>
      <c r="P709" s="23"/>
      <c r="Q709" s="23"/>
      <c r="R709" s="23"/>
      <c r="S709" s="23"/>
      <c r="T709" s="23"/>
      <c r="U709" s="23"/>
      <c r="V709" s="36"/>
      <c r="W709" s="42"/>
      <c r="X709" s="42"/>
      <c r="Y709" s="23"/>
      <c r="Z709" s="42"/>
      <c r="AA709" s="42"/>
      <c r="AB709" s="23"/>
      <c r="AC709" s="23"/>
      <c r="AD709" s="23"/>
      <c r="AE709" s="36"/>
      <c r="AF709" s="23"/>
    </row>
    <row r="710" spans="1:32" ht="15.75" x14ac:dyDescent="0.25">
      <c r="A710" s="44"/>
      <c r="B710" s="23"/>
      <c r="C710" s="23"/>
      <c r="D710" s="36"/>
      <c r="E710" s="23"/>
      <c r="F710" s="23"/>
      <c r="G710" s="23"/>
      <c r="H710" s="23"/>
      <c r="I710" s="23"/>
      <c r="J710" s="23"/>
      <c r="K710" s="23"/>
      <c r="L710" s="23"/>
      <c r="M710" s="36"/>
      <c r="N710" s="23"/>
      <c r="O710" s="23"/>
      <c r="P710" s="23"/>
      <c r="Q710" s="23"/>
      <c r="R710" s="23"/>
      <c r="S710" s="23"/>
      <c r="T710" s="23"/>
      <c r="U710" s="23"/>
      <c r="V710" s="36"/>
      <c r="W710" s="42"/>
      <c r="X710" s="42"/>
      <c r="Y710" s="23"/>
      <c r="Z710" s="42"/>
      <c r="AA710" s="42"/>
      <c r="AB710" s="23"/>
      <c r="AC710" s="23"/>
      <c r="AD710" s="23"/>
      <c r="AE710" s="36"/>
      <c r="AF710" s="23"/>
    </row>
    <row r="711" spans="1:32" ht="15.75" x14ac:dyDescent="0.25">
      <c r="A711" s="44"/>
      <c r="B711" s="23"/>
      <c r="C711" s="23"/>
      <c r="D711" s="36"/>
      <c r="E711" s="23"/>
      <c r="F711" s="23"/>
      <c r="G711" s="23"/>
      <c r="H711" s="23"/>
      <c r="I711" s="23"/>
      <c r="J711" s="23"/>
      <c r="K711" s="23"/>
      <c r="L711" s="23"/>
      <c r="M711" s="36"/>
      <c r="N711" s="23"/>
      <c r="O711" s="23"/>
      <c r="P711" s="23"/>
      <c r="Q711" s="23"/>
      <c r="R711" s="23"/>
      <c r="S711" s="23"/>
      <c r="T711" s="23"/>
      <c r="U711" s="23"/>
      <c r="V711" s="36"/>
      <c r="W711" s="42"/>
      <c r="X711" s="42"/>
      <c r="Y711" s="23"/>
      <c r="Z711" s="42"/>
      <c r="AA711" s="42"/>
      <c r="AB711" s="23"/>
      <c r="AC711" s="23"/>
      <c r="AD711" s="23"/>
      <c r="AE711" s="36"/>
      <c r="AF711" s="23"/>
    </row>
    <row r="712" spans="1:32" ht="15.75" x14ac:dyDescent="0.25">
      <c r="A712" s="44"/>
      <c r="B712" s="23"/>
      <c r="C712" s="23"/>
      <c r="D712" s="36"/>
      <c r="E712" s="23"/>
      <c r="F712" s="23"/>
      <c r="G712" s="23"/>
      <c r="H712" s="23"/>
      <c r="I712" s="23"/>
      <c r="J712" s="23"/>
      <c r="K712" s="23"/>
      <c r="L712" s="23"/>
      <c r="M712" s="36"/>
      <c r="N712" s="23"/>
      <c r="O712" s="23"/>
      <c r="P712" s="23"/>
      <c r="Q712" s="23"/>
      <c r="R712" s="23"/>
      <c r="S712" s="23"/>
      <c r="T712" s="23"/>
      <c r="U712" s="23"/>
      <c r="V712" s="36"/>
      <c r="W712" s="42"/>
      <c r="X712" s="42"/>
      <c r="Y712" s="23"/>
      <c r="Z712" s="42"/>
      <c r="AA712" s="42"/>
      <c r="AB712" s="23"/>
      <c r="AC712" s="23"/>
      <c r="AD712" s="23"/>
      <c r="AE712" s="36"/>
      <c r="AF712" s="23"/>
    </row>
    <row r="713" spans="1:32" ht="15.75" x14ac:dyDescent="0.25">
      <c r="A713" s="44"/>
      <c r="B713" s="23"/>
      <c r="C713" s="23"/>
      <c r="D713" s="36"/>
      <c r="E713" s="23"/>
      <c r="F713" s="23"/>
      <c r="G713" s="23"/>
      <c r="H713" s="23"/>
      <c r="I713" s="23"/>
      <c r="J713" s="23"/>
      <c r="K713" s="23"/>
      <c r="L713" s="23"/>
      <c r="M713" s="36"/>
      <c r="N713" s="23"/>
      <c r="O713" s="23"/>
      <c r="P713" s="23"/>
      <c r="Q713" s="23"/>
      <c r="R713" s="23"/>
      <c r="S713" s="23"/>
      <c r="T713" s="23"/>
      <c r="U713" s="23"/>
      <c r="V713" s="36"/>
      <c r="W713" s="42"/>
      <c r="X713" s="42"/>
      <c r="Y713" s="23"/>
      <c r="Z713" s="42"/>
      <c r="AA713" s="42"/>
      <c r="AB713" s="23"/>
      <c r="AC713" s="23"/>
      <c r="AD713" s="23"/>
      <c r="AE713" s="36"/>
      <c r="AF713" s="23"/>
    </row>
    <row r="714" spans="1:32" ht="15.75" x14ac:dyDescent="0.25">
      <c r="A714" s="44"/>
      <c r="B714" s="23"/>
      <c r="C714" s="23"/>
      <c r="D714" s="36"/>
      <c r="E714" s="23"/>
      <c r="F714" s="23"/>
      <c r="G714" s="23"/>
      <c r="H714" s="23"/>
      <c r="I714" s="23"/>
      <c r="J714" s="23"/>
      <c r="K714" s="23"/>
      <c r="L714" s="23"/>
      <c r="M714" s="36"/>
      <c r="N714" s="23"/>
      <c r="O714" s="23"/>
      <c r="P714" s="23"/>
      <c r="Q714" s="23"/>
      <c r="R714" s="23"/>
      <c r="S714" s="23"/>
      <c r="T714" s="23"/>
      <c r="U714" s="23"/>
      <c r="V714" s="36"/>
      <c r="W714" s="42"/>
      <c r="X714" s="42"/>
      <c r="Y714" s="23"/>
      <c r="Z714" s="42"/>
      <c r="AA714" s="42"/>
      <c r="AB714" s="23"/>
      <c r="AC714" s="23"/>
      <c r="AD714" s="23"/>
      <c r="AE714" s="36"/>
      <c r="AF714" s="23"/>
    </row>
    <row r="715" spans="1:32" ht="15.75" x14ac:dyDescent="0.25">
      <c r="A715" s="44"/>
      <c r="B715" s="23"/>
      <c r="C715" s="23"/>
      <c r="D715" s="36"/>
      <c r="E715" s="23"/>
      <c r="F715" s="23"/>
      <c r="G715" s="23"/>
      <c r="H715" s="23"/>
      <c r="I715" s="23"/>
      <c r="J715" s="23"/>
      <c r="K715" s="23"/>
      <c r="L715" s="23"/>
      <c r="M715" s="36"/>
      <c r="N715" s="23"/>
      <c r="O715" s="23"/>
      <c r="P715" s="23"/>
      <c r="Q715" s="23"/>
      <c r="R715" s="23"/>
      <c r="S715" s="23"/>
      <c r="T715" s="23"/>
      <c r="U715" s="23"/>
      <c r="V715" s="36"/>
      <c r="W715" s="42"/>
      <c r="X715" s="42"/>
      <c r="Y715" s="23"/>
      <c r="Z715" s="42"/>
      <c r="AA715" s="42"/>
      <c r="AB715" s="23"/>
      <c r="AC715" s="23"/>
      <c r="AD715" s="23"/>
      <c r="AE715" s="36"/>
      <c r="AF715" s="23"/>
    </row>
    <row r="716" spans="1:32" ht="15.75" x14ac:dyDescent="0.25">
      <c r="A716" s="44"/>
      <c r="B716" s="23"/>
      <c r="C716" s="23"/>
      <c r="D716" s="36"/>
      <c r="E716" s="23"/>
      <c r="F716" s="23"/>
      <c r="G716" s="23"/>
      <c r="H716" s="23"/>
      <c r="I716" s="23"/>
      <c r="J716" s="23"/>
      <c r="K716" s="23"/>
      <c r="L716" s="23"/>
      <c r="M716" s="36"/>
      <c r="N716" s="23"/>
      <c r="O716" s="23"/>
      <c r="P716" s="23"/>
      <c r="Q716" s="23"/>
      <c r="R716" s="23"/>
      <c r="S716" s="23"/>
      <c r="T716" s="23"/>
      <c r="U716" s="23"/>
      <c r="V716" s="36"/>
      <c r="W716" s="42"/>
      <c r="X716" s="42"/>
      <c r="Y716" s="23"/>
      <c r="Z716" s="42"/>
      <c r="AA716" s="42"/>
      <c r="AB716" s="23"/>
      <c r="AC716" s="23"/>
      <c r="AD716" s="23"/>
      <c r="AE716" s="36"/>
      <c r="AF716" s="23"/>
    </row>
    <row r="717" spans="1:32" ht="15.75" x14ac:dyDescent="0.25">
      <c r="A717" s="44"/>
      <c r="B717" s="23"/>
      <c r="C717" s="23"/>
      <c r="D717" s="36"/>
      <c r="E717" s="23"/>
      <c r="F717" s="23"/>
      <c r="G717" s="23"/>
      <c r="H717" s="23"/>
      <c r="I717" s="23"/>
      <c r="J717" s="23"/>
      <c r="K717" s="23"/>
      <c r="L717" s="23"/>
      <c r="M717" s="36"/>
      <c r="N717" s="23"/>
      <c r="O717" s="23"/>
      <c r="P717" s="23"/>
      <c r="Q717" s="23"/>
      <c r="R717" s="23"/>
      <c r="S717" s="23"/>
      <c r="T717" s="23"/>
      <c r="U717" s="23"/>
      <c r="V717" s="36"/>
      <c r="W717" s="42"/>
      <c r="X717" s="42"/>
      <c r="Y717" s="23"/>
      <c r="Z717" s="42"/>
      <c r="AA717" s="42"/>
      <c r="AB717" s="23"/>
      <c r="AC717" s="23"/>
      <c r="AD717" s="23"/>
      <c r="AE717" s="36"/>
      <c r="AF717" s="23"/>
    </row>
    <row r="718" spans="1:32" ht="15.75" x14ac:dyDescent="0.25">
      <c r="A718" s="44"/>
      <c r="B718" s="23"/>
      <c r="C718" s="23"/>
      <c r="D718" s="36"/>
      <c r="E718" s="23"/>
      <c r="F718" s="23"/>
      <c r="G718" s="23"/>
      <c r="H718" s="23"/>
      <c r="I718" s="23"/>
      <c r="J718" s="23"/>
      <c r="K718" s="23"/>
      <c r="L718" s="23"/>
      <c r="M718" s="36"/>
      <c r="N718" s="23"/>
      <c r="O718" s="23"/>
      <c r="P718" s="23"/>
      <c r="Q718" s="23"/>
      <c r="R718" s="23"/>
      <c r="S718" s="23"/>
      <c r="T718" s="23"/>
      <c r="U718" s="23"/>
      <c r="V718" s="36"/>
      <c r="W718" s="42"/>
      <c r="X718" s="42"/>
      <c r="Y718" s="23"/>
      <c r="Z718" s="42"/>
      <c r="AA718" s="42"/>
      <c r="AB718" s="23"/>
      <c r="AC718" s="23"/>
      <c r="AD718" s="23"/>
      <c r="AE718" s="36"/>
      <c r="AF718" s="23"/>
    </row>
    <row r="719" spans="1:32" ht="15.75" x14ac:dyDescent="0.25">
      <c r="A719" s="44"/>
      <c r="B719" s="23"/>
      <c r="C719" s="23"/>
      <c r="D719" s="36"/>
      <c r="E719" s="23"/>
      <c r="F719" s="23"/>
      <c r="G719" s="23"/>
      <c r="H719" s="23"/>
      <c r="I719" s="23"/>
      <c r="J719" s="23"/>
      <c r="K719" s="23"/>
      <c r="L719" s="23"/>
      <c r="M719" s="36"/>
      <c r="N719" s="23"/>
      <c r="O719" s="23"/>
      <c r="P719" s="23"/>
      <c r="Q719" s="23"/>
      <c r="R719" s="23"/>
      <c r="S719" s="23"/>
      <c r="T719" s="23"/>
      <c r="U719" s="23"/>
      <c r="V719" s="36"/>
      <c r="W719" s="42"/>
      <c r="X719" s="42"/>
      <c r="Y719" s="23"/>
      <c r="Z719" s="42"/>
      <c r="AA719" s="42"/>
      <c r="AB719" s="23"/>
      <c r="AC719" s="23"/>
      <c r="AD719" s="23"/>
      <c r="AE719" s="36"/>
      <c r="AF719" s="23"/>
    </row>
    <row r="720" spans="1:32" ht="15.75" x14ac:dyDescent="0.25">
      <c r="A720" s="44"/>
      <c r="B720" s="23"/>
      <c r="C720" s="23"/>
      <c r="D720" s="36"/>
      <c r="E720" s="23"/>
      <c r="F720" s="23"/>
      <c r="G720" s="23"/>
      <c r="H720" s="23"/>
      <c r="I720" s="23"/>
      <c r="J720" s="23"/>
      <c r="K720" s="23"/>
      <c r="L720" s="23"/>
      <c r="M720" s="36"/>
      <c r="N720" s="23"/>
      <c r="O720" s="23"/>
      <c r="P720" s="23"/>
      <c r="Q720" s="23"/>
      <c r="R720" s="23"/>
      <c r="S720" s="23"/>
      <c r="T720" s="23"/>
      <c r="U720" s="23"/>
      <c r="V720" s="36"/>
      <c r="W720" s="42"/>
      <c r="X720" s="42"/>
      <c r="Y720" s="23"/>
      <c r="Z720" s="42"/>
      <c r="AA720" s="42"/>
      <c r="AB720" s="23"/>
      <c r="AC720" s="23"/>
      <c r="AD720" s="23"/>
      <c r="AE720" s="36"/>
      <c r="AF720" s="23"/>
    </row>
    <row r="721" spans="1:32" ht="15.75" x14ac:dyDescent="0.25">
      <c r="A721" s="44"/>
      <c r="B721" s="23"/>
      <c r="C721" s="23"/>
      <c r="D721" s="36"/>
      <c r="E721" s="23"/>
      <c r="F721" s="23"/>
      <c r="G721" s="23"/>
      <c r="H721" s="23"/>
      <c r="I721" s="23"/>
      <c r="J721" s="23"/>
      <c r="K721" s="23"/>
      <c r="L721" s="23"/>
      <c r="M721" s="36"/>
      <c r="N721" s="23"/>
      <c r="O721" s="23"/>
      <c r="P721" s="23"/>
      <c r="Q721" s="23"/>
      <c r="R721" s="23"/>
      <c r="S721" s="23"/>
      <c r="T721" s="23"/>
      <c r="U721" s="23"/>
      <c r="V721" s="36"/>
      <c r="W721" s="42"/>
      <c r="X721" s="42"/>
      <c r="Y721" s="23"/>
      <c r="Z721" s="42"/>
      <c r="AA721" s="42"/>
      <c r="AB721" s="23"/>
      <c r="AC721" s="23"/>
      <c r="AD721" s="23"/>
      <c r="AE721" s="36"/>
      <c r="AF721" s="23"/>
    </row>
    <row r="722" spans="1:32" ht="15.75" x14ac:dyDescent="0.25">
      <c r="A722" s="44"/>
      <c r="B722" s="23"/>
      <c r="C722" s="23"/>
      <c r="D722" s="36"/>
      <c r="E722" s="23"/>
      <c r="F722" s="23"/>
      <c r="G722" s="23"/>
      <c r="H722" s="23"/>
      <c r="I722" s="23"/>
      <c r="J722" s="23"/>
      <c r="K722" s="23"/>
      <c r="L722" s="23"/>
      <c r="M722" s="36"/>
      <c r="N722" s="23"/>
      <c r="O722" s="23"/>
      <c r="P722" s="23"/>
      <c r="Q722" s="23"/>
      <c r="R722" s="23"/>
      <c r="S722" s="23"/>
      <c r="T722" s="23"/>
      <c r="U722" s="23"/>
      <c r="V722" s="36"/>
      <c r="W722" s="42"/>
      <c r="X722" s="42"/>
      <c r="Y722" s="23"/>
      <c r="Z722" s="42"/>
      <c r="AA722" s="42"/>
      <c r="AB722" s="23"/>
      <c r="AC722" s="23"/>
      <c r="AD722" s="23"/>
      <c r="AE722" s="36"/>
      <c r="AF722" s="23"/>
    </row>
    <row r="723" spans="1:32" ht="15.75" x14ac:dyDescent="0.25">
      <c r="A723" s="44"/>
      <c r="B723" s="23"/>
      <c r="C723" s="23"/>
      <c r="D723" s="36"/>
      <c r="E723" s="23"/>
      <c r="F723" s="23"/>
      <c r="G723" s="23"/>
      <c r="H723" s="23"/>
      <c r="I723" s="23"/>
      <c r="J723" s="23"/>
      <c r="K723" s="23"/>
      <c r="L723" s="23"/>
      <c r="M723" s="36"/>
      <c r="N723" s="23"/>
      <c r="O723" s="23"/>
      <c r="P723" s="23"/>
      <c r="Q723" s="23"/>
      <c r="R723" s="23"/>
      <c r="S723" s="23"/>
      <c r="T723" s="23"/>
      <c r="U723" s="23"/>
      <c r="V723" s="36"/>
      <c r="W723" s="42"/>
      <c r="X723" s="42"/>
      <c r="Y723" s="23"/>
      <c r="Z723" s="42"/>
      <c r="AA723" s="42"/>
      <c r="AB723" s="23"/>
      <c r="AC723" s="23"/>
      <c r="AD723" s="23"/>
      <c r="AE723" s="36"/>
      <c r="AF723" s="23"/>
    </row>
    <row r="724" spans="1:32" ht="15.75" x14ac:dyDescent="0.25">
      <c r="A724" s="44"/>
      <c r="B724" s="23"/>
      <c r="C724" s="23"/>
      <c r="D724" s="36"/>
      <c r="E724" s="23"/>
      <c r="F724" s="23"/>
      <c r="G724" s="23"/>
      <c r="H724" s="23"/>
      <c r="I724" s="23"/>
      <c r="J724" s="23"/>
      <c r="K724" s="23"/>
      <c r="L724" s="23"/>
      <c r="M724" s="36"/>
      <c r="N724" s="23"/>
      <c r="O724" s="23"/>
      <c r="P724" s="23"/>
      <c r="Q724" s="23"/>
      <c r="R724" s="23"/>
      <c r="S724" s="23"/>
      <c r="T724" s="23"/>
      <c r="U724" s="23"/>
      <c r="V724" s="36"/>
      <c r="W724" s="42"/>
      <c r="X724" s="42"/>
      <c r="Y724" s="23"/>
      <c r="Z724" s="42"/>
      <c r="AA724" s="42"/>
      <c r="AB724" s="23"/>
      <c r="AC724" s="23"/>
      <c r="AD724" s="23"/>
      <c r="AE724" s="36"/>
      <c r="AF724" s="23"/>
    </row>
    <row r="725" spans="1:32" ht="15.75" x14ac:dyDescent="0.25">
      <c r="A725" s="44"/>
      <c r="B725" s="23"/>
      <c r="C725" s="23"/>
      <c r="D725" s="36"/>
      <c r="E725" s="23"/>
      <c r="F725" s="23"/>
      <c r="G725" s="23"/>
      <c r="H725" s="23"/>
      <c r="I725" s="23"/>
      <c r="J725" s="23"/>
      <c r="K725" s="23"/>
      <c r="L725" s="23"/>
      <c r="M725" s="36"/>
      <c r="N725" s="23"/>
      <c r="O725" s="23"/>
      <c r="P725" s="23"/>
      <c r="Q725" s="23"/>
      <c r="R725" s="23"/>
      <c r="S725" s="23"/>
      <c r="T725" s="23"/>
      <c r="U725" s="23"/>
      <c r="V725" s="36"/>
      <c r="W725" s="42"/>
      <c r="X725" s="42"/>
      <c r="Y725" s="23"/>
      <c r="Z725" s="42"/>
      <c r="AA725" s="42"/>
      <c r="AB725" s="23"/>
      <c r="AC725" s="23"/>
      <c r="AD725" s="23"/>
      <c r="AE725" s="36"/>
      <c r="AF725" s="23"/>
    </row>
    <row r="726" spans="1:32" ht="15.75" x14ac:dyDescent="0.25">
      <c r="A726" s="44"/>
      <c r="B726" s="23"/>
      <c r="C726" s="23"/>
      <c r="D726" s="36"/>
      <c r="E726" s="23"/>
      <c r="F726" s="23"/>
      <c r="G726" s="23"/>
      <c r="H726" s="23"/>
      <c r="I726" s="23"/>
      <c r="J726" s="23"/>
      <c r="K726" s="23"/>
      <c r="L726" s="23"/>
      <c r="M726" s="36"/>
      <c r="N726" s="23"/>
      <c r="O726" s="23"/>
      <c r="P726" s="23"/>
      <c r="Q726" s="23"/>
      <c r="R726" s="23"/>
      <c r="S726" s="23"/>
      <c r="T726" s="23"/>
      <c r="U726" s="23"/>
      <c r="V726" s="36"/>
      <c r="W726" s="42"/>
      <c r="X726" s="42"/>
      <c r="Y726" s="23"/>
      <c r="Z726" s="42"/>
      <c r="AA726" s="42"/>
      <c r="AB726" s="23"/>
      <c r="AC726" s="23"/>
      <c r="AD726" s="23"/>
      <c r="AE726" s="36"/>
      <c r="AF726" s="23"/>
    </row>
    <row r="727" spans="1:32" ht="15.75" x14ac:dyDescent="0.25">
      <c r="A727" s="44"/>
      <c r="B727" s="23"/>
      <c r="C727" s="23"/>
      <c r="D727" s="36"/>
      <c r="E727" s="23"/>
      <c r="F727" s="23"/>
      <c r="G727" s="23"/>
      <c r="H727" s="23"/>
      <c r="I727" s="23"/>
      <c r="J727" s="23"/>
      <c r="K727" s="23"/>
      <c r="L727" s="23"/>
      <c r="M727" s="36"/>
      <c r="N727" s="23"/>
      <c r="O727" s="23"/>
      <c r="P727" s="23"/>
      <c r="Q727" s="23"/>
      <c r="R727" s="23"/>
      <c r="S727" s="23"/>
      <c r="T727" s="23"/>
      <c r="U727" s="23"/>
      <c r="V727" s="36"/>
      <c r="W727" s="42"/>
      <c r="X727" s="42"/>
      <c r="Y727" s="23"/>
      <c r="Z727" s="42"/>
      <c r="AA727" s="42"/>
      <c r="AB727" s="23"/>
      <c r="AC727" s="23"/>
      <c r="AD727" s="23"/>
      <c r="AE727" s="36"/>
      <c r="AF727" s="23"/>
    </row>
    <row r="728" spans="1:32" ht="15.75" x14ac:dyDescent="0.25">
      <c r="A728" s="44"/>
      <c r="B728" s="23"/>
      <c r="C728" s="23"/>
      <c r="D728" s="36"/>
      <c r="E728" s="23"/>
      <c r="F728" s="23"/>
      <c r="G728" s="23"/>
      <c r="H728" s="23"/>
      <c r="I728" s="23"/>
      <c r="J728" s="23"/>
      <c r="K728" s="23"/>
      <c r="L728" s="23"/>
      <c r="M728" s="36"/>
      <c r="N728" s="23"/>
      <c r="O728" s="23"/>
      <c r="P728" s="23"/>
      <c r="Q728" s="23"/>
      <c r="R728" s="23"/>
      <c r="S728" s="23"/>
      <c r="T728" s="23"/>
      <c r="U728" s="23"/>
      <c r="V728" s="36"/>
      <c r="W728" s="42"/>
      <c r="X728" s="42"/>
      <c r="Y728" s="23"/>
      <c r="Z728" s="42"/>
      <c r="AA728" s="42"/>
      <c r="AB728" s="23"/>
      <c r="AC728" s="23"/>
      <c r="AD728" s="23"/>
      <c r="AE728" s="36"/>
      <c r="AF728" s="23"/>
    </row>
    <row r="729" spans="1:32" ht="15.75" x14ac:dyDescent="0.25">
      <c r="A729" s="44"/>
      <c r="B729" s="23"/>
      <c r="C729" s="23"/>
      <c r="D729" s="36"/>
      <c r="E729" s="23"/>
      <c r="F729" s="23"/>
      <c r="G729" s="23"/>
      <c r="H729" s="23"/>
      <c r="I729" s="23"/>
      <c r="J729" s="23"/>
      <c r="K729" s="23"/>
      <c r="L729" s="23"/>
      <c r="M729" s="36"/>
      <c r="N729" s="23"/>
      <c r="O729" s="23"/>
      <c r="P729" s="23"/>
      <c r="Q729" s="23"/>
      <c r="R729" s="23"/>
      <c r="S729" s="23"/>
      <c r="T729" s="23"/>
      <c r="U729" s="23"/>
      <c r="V729" s="36"/>
      <c r="W729" s="42"/>
      <c r="X729" s="42"/>
      <c r="Y729" s="23"/>
      <c r="Z729" s="42"/>
      <c r="AA729" s="42"/>
      <c r="AB729" s="23"/>
      <c r="AC729" s="23"/>
      <c r="AD729" s="23"/>
      <c r="AE729" s="36"/>
      <c r="AF729" s="23"/>
    </row>
    <row r="730" spans="1:32" ht="15.75" x14ac:dyDescent="0.25">
      <c r="A730" s="44"/>
      <c r="B730" s="23"/>
      <c r="C730" s="23"/>
      <c r="D730" s="36"/>
      <c r="E730" s="23"/>
      <c r="F730" s="23"/>
      <c r="G730" s="23"/>
      <c r="H730" s="23"/>
      <c r="I730" s="23"/>
      <c r="J730" s="23"/>
      <c r="K730" s="23"/>
      <c r="L730" s="23"/>
      <c r="M730" s="36"/>
      <c r="N730" s="23"/>
      <c r="O730" s="23"/>
      <c r="P730" s="23"/>
      <c r="Q730" s="23"/>
      <c r="R730" s="23"/>
      <c r="S730" s="23"/>
      <c r="T730" s="23"/>
      <c r="U730" s="23"/>
      <c r="V730" s="36"/>
      <c r="W730" s="42"/>
      <c r="X730" s="42"/>
      <c r="Y730" s="23"/>
      <c r="Z730" s="42"/>
      <c r="AA730" s="42"/>
      <c r="AB730" s="23"/>
      <c r="AC730" s="23"/>
      <c r="AD730" s="23"/>
      <c r="AE730" s="36"/>
      <c r="AF730" s="23"/>
    </row>
    <row r="731" spans="1:32" ht="15.75" x14ac:dyDescent="0.25">
      <c r="A731" s="44"/>
      <c r="B731" s="23"/>
      <c r="C731" s="23"/>
      <c r="D731" s="36"/>
      <c r="E731" s="23"/>
      <c r="F731" s="23"/>
      <c r="G731" s="23"/>
      <c r="H731" s="23"/>
      <c r="I731" s="23"/>
      <c r="J731" s="23"/>
      <c r="K731" s="23"/>
      <c r="L731" s="23"/>
      <c r="M731" s="36"/>
      <c r="N731" s="23"/>
      <c r="O731" s="23"/>
      <c r="P731" s="23"/>
      <c r="Q731" s="23"/>
      <c r="R731" s="23"/>
      <c r="S731" s="23"/>
      <c r="T731" s="23"/>
      <c r="U731" s="23"/>
      <c r="V731" s="36"/>
      <c r="W731" s="42"/>
      <c r="X731" s="42"/>
      <c r="Y731" s="23"/>
      <c r="Z731" s="42"/>
      <c r="AA731" s="42"/>
      <c r="AB731" s="23"/>
      <c r="AC731" s="23"/>
      <c r="AD731" s="23"/>
      <c r="AE731" s="36"/>
      <c r="AF731" s="23"/>
    </row>
    <row r="732" spans="1:32" ht="15.75" x14ac:dyDescent="0.25">
      <c r="A732" s="44"/>
      <c r="B732" s="23"/>
      <c r="C732" s="23"/>
      <c r="D732" s="36"/>
      <c r="E732" s="23"/>
      <c r="F732" s="23"/>
      <c r="G732" s="23"/>
      <c r="H732" s="23"/>
      <c r="I732" s="23"/>
      <c r="J732" s="23"/>
      <c r="K732" s="23"/>
      <c r="L732" s="23"/>
      <c r="M732" s="36"/>
      <c r="N732" s="23"/>
      <c r="O732" s="23"/>
      <c r="P732" s="23"/>
      <c r="Q732" s="23"/>
      <c r="R732" s="23"/>
      <c r="S732" s="23"/>
      <c r="T732" s="23"/>
      <c r="U732" s="23"/>
      <c r="V732" s="36"/>
      <c r="W732" s="42"/>
      <c r="X732" s="42"/>
      <c r="Y732" s="23"/>
      <c r="Z732" s="42"/>
      <c r="AA732" s="42"/>
      <c r="AB732" s="23"/>
      <c r="AC732" s="23"/>
      <c r="AD732" s="23"/>
      <c r="AE732" s="36"/>
      <c r="AF732" s="23"/>
    </row>
    <row r="733" spans="1:32" ht="15.75" x14ac:dyDescent="0.25">
      <c r="A733" s="44"/>
      <c r="B733" s="23"/>
      <c r="C733" s="23"/>
      <c r="D733" s="36"/>
      <c r="E733" s="23"/>
      <c r="F733" s="23"/>
      <c r="G733" s="23"/>
      <c r="H733" s="23"/>
      <c r="I733" s="23"/>
      <c r="J733" s="23"/>
      <c r="K733" s="23"/>
      <c r="L733" s="23"/>
      <c r="M733" s="36"/>
      <c r="N733" s="23"/>
      <c r="O733" s="23"/>
      <c r="P733" s="23"/>
      <c r="Q733" s="23"/>
      <c r="R733" s="23"/>
      <c r="S733" s="23"/>
      <c r="T733" s="23"/>
      <c r="U733" s="23"/>
      <c r="V733" s="36"/>
      <c r="W733" s="42"/>
      <c r="X733" s="42"/>
      <c r="Y733" s="23"/>
      <c r="Z733" s="42"/>
      <c r="AA733" s="42"/>
      <c r="AB733" s="23"/>
      <c r="AC733" s="23"/>
      <c r="AD733" s="23"/>
      <c r="AE733" s="36"/>
      <c r="AF733" s="23"/>
    </row>
    <row r="734" spans="1:32" ht="15.75" x14ac:dyDescent="0.25">
      <c r="A734" s="44"/>
      <c r="B734" s="23"/>
      <c r="C734" s="23"/>
      <c r="D734" s="36"/>
      <c r="E734" s="23"/>
      <c r="F734" s="23"/>
      <c r="G734" s="23"/>
      <c r="H734" s="23"/>
      <c r="I734" s="23"/>
      <c r="J734" s="23"/>
      <c r="K734" s="23"/>
      <c r="L734" s="23"/>
      <c r="M734" s="36"/>
      <c r="N734" s="23"/>
      <c r="O734" s="23"/>
      <c r="P734" s="23"/>
      <c r="Q734" s="23"/>
      <c r="R734" s="23"/>
      <c r="S734" s="23"/>
      <c r="T734" s="23"/>
      <c r="U734" s="23"/>
      <c r="V734" s="36"/>
      <c r="W734" s="42"/>
      <c r="X734" s="42"/>
      <c r="Y734" s="23"/>
      <c r="Z734" s="42"/>
      <c r="AA734" s="42"/>
      <c r="AB734" s="23"/>
      <c r="AC734" s="23"/>
      <c r="AD734" s="23"/>
      <c r="AE734" s="36"/>
      <c r="AF734" s="23"/>
    </row>
    <row r="735" spans="1:32" ht="15.75" x14ac:dyDescent="0.25">
      <c r="A735" s="44"/>
      <c r="B735" s="23"/>
      <c r="C735" s="23"/>
      <c r="D735" s="36"/>
      <c r="E735" s="23"/>
      <c r="F735" s="23"/>
      <c r="G735" s="23"/>
      <c r="H735" s="23"/>
      <c r="I735" s="23"/>
      <c r="J735" s="23"/>
      <c r="K735" s="23"/>
      <c r="L735" s="23"/>
      <c r="M735" s="36"/>
      <c r="N735" s="23"/>
      <c r="O735" s="23"/>
      <c r="P735" s="23"/>
      <c r="Q735" s="23"/>
      <c r="R735" s="23"/>
      <c r="S735" s="23"/>
      <c r="T735" s="23"/>
      <c r="U735" s="23"/>
      <c r="V735" s="36"/>
      <c r="W735" s="42"/>
      <c r="X735" s="42"/>
      <c r="Y735" s="23"/>
      <c r="Z735" s="42"/>
      <c r="AA735" s="42"/>
      <c r="AB735" s="23"/>
      <c r="AC735" s="23"/>
      <c r="AD735" s="23"/>
      <c r="AE735" s="36"/>
      <c r="AF735" s="23"/>
    </row>
    <row r="736" spans="1:32" ht="15.75" x14ac:dyDescent="0.25">
      <c r="A736" s="44"/>
      <c r="B736" s="23"/>
      <c r="C736" s="23"/>
      <c r="D736" s="36"/>
      <c r="E736" s="23"/>
      <c r="F736" s="23"/>
      <c r="G736" s="23"/>
      <c r="H736" s="23"/>
      <c r="I736" s="23"/>
      <c r="J736" s="23"/>
      <c r="K736" s="23"/>
      <c r="L736" s="23"/>
      <c r="M736" s="36"/>
      <c r="N736" s="23"/>
      <c r="O736" s="23"/>
      <c r="P736" s="23"/>
      <c r="Q736" s="23"/>
      <c r="R736" s="23"/>
      <c r="S736" s="23"/>
      <c r="T736" s="23"/>
      <c r="U736" s="23"/>
      <c r="V736" s="36"/>
      <c r="W736" s="42"/>
      <c r="X736" s="42"/>
      <c r="Y736" s="23"/>
      <c r="Z736" s="42"/>
      <c r="AA736" s="42"/>
      <c r="AB736" s="23"/>
      <c r="AC736" s="23"/>
      <c r="AD736" s="23"/>
      <c r="AE736" s="36"/>
      <c r="AF736" s="23"/>
    </row>
    <row r="737" spans="1:32" ht="15.75" x14ac:dyDescent="0.25">
      <c r="A737" s="44"/>
      <c r="B737" s="23"/>
      <c r="C737" s="23"/>
      <c r="D737" s="36"/>
      <c r="E737" s="23"/>
      <c r="F737" s="23"/>
      <c r="G737" s="23"/>
      <c r="H737" s="23"/>
      <c r="I737" s="23"/>
      <c r="J737" s="23"/>
      <c r="K737" s="23"/>
      <c r="L737" s="23"/>
      <c r="M737" s="36"/>
      <c r="N737" s="23"/>
      <c r="O737" s="23"/>
      <c r="P737" s="23"/>
      <c r="Q737" s="23"/>
      <c r="R737" s="23"/>
      <c r="S737" s="23"/>
      <c r="T737" s="23"/>
      <c r="U737" s="23"/>
      <c r="V737" s="36"/>
      <c r="W737" s="42"/>
      <c r="X737" s="42"/>
      <c r="Y737" s="23"/>
      <c r="Z737" s="42"/>
      <c r="AA737" s="42"/>
      <c r="AB737" s="23"/>
      <c r="AC737" s="23"/>
      <c r="AD737" s="23"/>
      <c r="AE737" s="36"/>
      <c r="AF737" s="23"/>
    </row>
    <row r="738" spans="1:32" ht="15.75" x14ac:dyDescent="0.25">
      <c r="A738" s="44"/>
      <c r="B738" s="23"/>
      <c r="C738" s="23"/>
      <c r="D738" s="36"/>
      <c r="E738" s="23"/>
      <c r="F738" s="23"/>
      <c r="G738" s="23"/>
      <c r="H738" s="23"/>
      <c r="I738" s="23"/>
      <c r="J738" s="23"/>
      <c r="K738" s="23"/>
      <c r="L738" s="23"/>
      <c r="M738" s="36"/>
      <c r="N738" s="23"/>
      <c r="O738" s="23"/>
      <c r="P738" s="23"/>
      <c r="Q738" s="23"/>
      <c r="R738" s="23"/>
      <c r="S738" s="23"/>
      <c r="T738" s="23"/>
      <c r="U738" s="23"/>
      <c r="V738" s="36"/>
      <c r="W738" s="42"/>
      <c r="X738" s="42"/>
      <c r="Y738" s="23"/>
      <c r="Z738" s="42"/>
      <c r="AA738" s="42"/>
      <c r="AB738" s="23"/>
      <c r="AC738" s="23"/>
      <c r="AD738" s="23"/>
      <c r="AE738" s="36"/>
      <c r="AF738" s="23"/>
    </row>
    <row r="739" spans="1:32" ht="15.75" x14ac:dyDescent="0.25">
      <c r="A739" s="44"/>
      <c r="B739" s="23"/>
      <c r="C739" s="23"/>
      <c r="D739" s="36"/>
      <c r="E739" s="23"/>
      <c r="F739" s="23"/>
      <c r="G739" s="23"/>
      <c r="H739" s="23"/>
      <c r="I739" s="23"/>
      <c r="J739" s="23"/>
      <c r="K739" s="23"/>
      <c r="L739" s="23"/>
      <c r="M739" s="36"/>
      <c r="N739" s="23"/>
      <c r="O739" s="23"/>
      <c r="P739" s="23"/>
      <c r="Q739" s="23"/>
      <c r="R739" s="23"/>
      <c r="S739" s="23"/>
      <c r="T739" s="23"/>
      <c r="U739" s="23"/>
      <c r="V739" s="36"/>
      <c r="W739" s="42"/>
      <c r="X739" s="42"/>
      <c r="Y739" s="23"/>
      <c r="Z739" s="42"/>
      <c r="AA739" s="42"/>
      <c r="AB739" s="23"/>
      <c r="AC739" s="23"/>
      <c r="AD739" s="23"/>
      <c r="AE739" s="36"/>
      <c r="AF739" s="23"/>
    </row>
    <row r="740" spans="1:32" ht="15.75" x14ac:dyDescent="0.25">
      <c r="A740" s="44"/>
      <c r="B740" s="23"/>
      <c r="C740" s="23"/>
      <c r="D740" s="36"/>
      <c r="E740" s="23"/>
      <c r="F740" s="23"/>
      <c r="G740" s="23"/>
      <c r="H740" s="23"/>
      <c r="I740" s="23"/>
      <c r="J740" s="23"/>
      <c r="K740" s="23"/>
      <c r="L740" s="23"/>
      <c r="M740" s="36"/>
      <c r="N740" s="23"/>
      <c r="O740" s="23"/>
      <c r="P740" s="23"/>
      <c r="Q740" s="23"/>
      <c r="R740" s="23"/>
      <c r="S740" s="23"/>
      <c r="T740" s="23"/>
      <c r="U740" s="23"/>
      <c r="V740" s="36"/>
      <c r="W740" s="42"/>
      <c r="X740" s="42"/>
      <c r="Y740" s="23"/>
      <c r="Z740" s="42"/>
      <c r="AA740" s="42"/>
      <c r="AB740" s="23"/>
      <c r="AC740" s="23"/>
      <c r="AD740" s="23"/>
      <c r="AE740" s="36"/>
      <c r="AF740" s="23"/>
    </row>
    <row r="741" spans="1:32" ht="15.75" x14ac:dyDescent="0.25">
      <c r="A741" s="44"/>
      <c r="B741" s="23"/>
      <c r="C741" s="23"/>
      <c r="D741" s="36"/>
      <c r="E741" s="23"/>
      <c r="F741" s="23"/>
      <c r="G741" s="23"/>
      <c r="H741" s="23"/>
      <c r="I741" s="23"/>
      <c r="J741" s="23"/>
      <c r="K741" s="23"/>
      <c r="L741" s="23"/>
      <c r="M741" s="36"/>
      <c r="N741" s="23"/>
      <c r="O741" s="23"/>
      <c r="P741" s="23"/>
      <c r="Q741" s="23"/>
      <c r="R741" s="23"/>
      <c r="S741" s="23"/>
      <c r="T741" s="23"/>
      <c r="U741" s="23"/>
      <c r="V741" s="36"/>
      <c r="W741" s="42"/>
      <c r="X741" s="42"/>
      <c r="Y741" s="23"/>
      <c r="Z741" s="42"/>
      <c r="AA741" s="42"/>
      <c r="AB741" s="23"/>
      <c r="AC741" s="23"/>
      <c r="AD741" s="23"/>
      <c r="AE741" s="36"/>
      <c r="AF741" s="23"/>
    </row>
    <row r="742" spans="1:32" ht="15.75" x14ac:dyDescent="0.25">
      <c r="A742" s="44"/>
      <c r="B742" s="23"/>
      <c r="C742" s="23"/>
      <c r="D742" s="36"/>
      <c r="E742" s="23"/>
      <c r="F742" s="23"/>
      <c r="G742" s="23"/>
      <c r="H742" s="23"/>
      <c r="I742" s="23"/>
      <c r="J742" s="23"/>
      <c r="K742" s="23"/>
      <c r="L742" s="23"/>
      <c r="M742" s="36"/>
      <c r="N742" s="23"/>
      <c r="O742" s="23"/>
      <c r="P742" s="23"/>
      <c r="Q742" s="23"/>
      <c r="R742" s="23"/>
      <c r="S742" s="23"/>
      <c r="T742" s="23"/>
      <c r="U742" s="23"/>
      <c r="V742" s="36"/>
      <c r="W742" s="42"/>
      <c r="X742" s="42"/>
      <c r="Y742" s="23"/>
      <c r="Z742" s="42"/>
      <c r="AA742" s="42"/>
      <c r="AB742" s="23"/>
      <c r="AC742" s="23"/>
      <c r="AD742" s="23"/>
      <c r="AE742" s="36"/>
      <c r="AF742" s="23"/>
    </row>
    <row r="743" spans="1:32" ht="15.75" x14ac:dyDescent="0.25">
      <c r="A743" s="44"/>
      <c r="B743" s="23"/>
      <c r="C743" s="23"/>
      <c r="D743" s="36"/>
      <c r="E743" s="23"/>
      <c r="F743" s="23"/>
      <c r="G743" s="23"/>
      <c r="H743" s="23"/>
      <c r="I743" s="23"/>
      <c r="J743" s="23"/>
      <c r="K743" s="23"/>
      <c r="L743" s="23"/>
      <c r="M743" s="36"/>
      <c r="N743" s="23"/>
      <c r="O743" s="23"/>
      <c r="P743" s="23"/>
      <c r="Q743" s="23"/>
      <c r="R743" s="23"/>
      <c r="S743" s="23"/>
      <c r="T743" s="23"/>
      <c r="U743" s="23"/>
      <c r="V743" s="36"/>
      <c r="W743" s="42"/>
      <c r="X743" s="42"/>
      <c r="Y743" s="23"/>
      <c r="Z743" s="42"/>
      <c r="AA743" s="42"/>
      <c r="AB743" s="23"/>
      <c r="AC743" s="23"/>
      <c r="AD743" s="23"/>
      <c r="AE743" s="36"/>
      <c r="AF743" s="23"/>
    </row>
    <row r="744" spans="1:32" ht="15.75" x14ac:dyDescent="0.25">
      <c r="A744" s="44"/>
      <c r="B744" s="23"/>
      <c r="C744" s="23"/>
      <c r="D744" s="36"/>
      <c r="E744" s="23"/>
      <c r="F744" s="23"/>
      <c r="G744" s="23"/>
      <c r="H744" s="23"/>
      <c r="I744" s="23"/>
      <c r="J744" s="23"/>
      <c r="K744" s="23"/>
      <c r="L744" s="23"/>
      <c r="M744" s="36"/>
      <c r="N744" s="23"/>
      <c r="O744" s="23"/>
      <c r="P744" s="23"/>
      <c r="Q744" s="23"/>
      <c r="R744" s="23"/>
      <c r="S744" s="23"/>
      <c r="T744" s="23"/>
      <c r="U744" s="23"/>
      <c r="V744" s="36"/>
      <c r="W744" s="42"/>
      <c r="X744" s="42"/>
      <c r="Y744" s="23"/>
      <c r="Z744" s="42"/>
      <c r="AA744" s="42"/>
      <c r="AB744" s="23"/>
      <c r="AC744" s="23"/>
      <c r="AD744" s="23"/>
      <c r="AE744" s="36"/>
      <c r="AF744" s="23"/>
    </row>
    <row r="745" spans="1:32" ht="15.75" x14ac:dyDescent="0.25">
      <c r="A745" s="44"/>
      <c r="B745" s="23"/>
      <c r="C745" s="23"/>
      <c r="D745" s="36"/>
      <c r="E745" s="23"/>
      <c r="F745" s="23"/>
      <c r="G745" s="23"/>
      <c r="H745" s="23"/>
      <c r="I745" s="23"/>
      <c r="J745" s="23"/>
      <c r="K745" s="23"/>
      <c r="L745" s="23"/>
      <c r="M745" s="36"/>
      <c r="N745" s="23"/>
      <c r="O745" s="23"/>
      <c r="P745" s="23"/>
      <c r="Q745" s="23"/>
      <c r="R745" s="23"/>
      <c r="S745" s="23"/>
      <c r="T745" s="23"/>
      <c r="U745" s="23"/>
      <c r="V745" s="36"/>
      <c r="W745" s="42"/>
      <c r="X745" s="42"/>
      <c r="Y745" s="23"/>
      <c r="Z745" s="42"/>
      <c r="AA745" s="42"/>
      <c r="AB745" s="23"/>
      <c r="AC745" s="23"/>
      <c r="AD745" s="23"/>
      <c r="AE745" s="36"/>
      <c r="AF745" s="23"/>
    </row>
    <row r="746" spans="1:32" ht="15.75" x14ac:dyDescent="0.25">
      <c r="A746" s="44"/>
      <c r="B746" s="23"/>
      <c r="C746" s="23"/>
      <c r="D746" s="36"/>
      <c r="E746" s="23"/>
      <c r="F746" s="23"/>
      <c r="G746" s="23"/>
      <c r="H746" s="23"/>
      <c r="I746" s="23"/>
      <c r="J746" s="23"/>
      <c r="K746" s="23"/>
      <c r="L746" s="23"/>
      <c r="M746" s="36"/>
      <c r="N746" s="23"/>
      <c r="O746" s="23"/>
      <c r="P746" s="23"/>
      <c r="Q746" s="23"/>
      <c r="R746" s="23"/>
      <c r="S746" s="23"/>
      <c r="T746" s="23"/>
      <c r="U746" s="23"/>
      <c r="V746" s="36"/>
      <c r="W746" s="42"/>
      <c r="X746" s="42"/>
      <c r="Y746" s="23"/>
      <c r="Z746" s="42"/>
      <c r="AA746" s="42"/>
      <c r="AB746" s="23"/>
      <c r="AC746" s="23"/>
      <c r="AD746" s="23"/>
      <c r="AE746" s="36"/>
      <c r="AF746" s="23"/>
    </row>
    <row r="747" spans="1:32" ht="15.75" x14ac:dyDescent="0.25">
      <c r="A747" s="44"/>
      <c r="B747" s="23"/>
      <c r="C747" s="23"/>
      <c r="D747" s="36"/>
      <c r="E747" s="23"/>
      <c r="F747" s="23"/>
      <c r="G747" s="23"/>
      <c r="H747" s="23"/>
      <c r="I747" s="23"/>
      <c r="J747" s="23"/>
      <c r="K747" s="23"/>
      <c r="L747" s="23"/>
      <c r="M747" s="36"/>
      <c r="N747" s="23"/>
      <c r="O747" s="23"/>
      <c r="P747" s="23"/>
      <c r="Q747" s="23"/>
      <c r="R747" s="23"/>
      <c r="S747" s="23"/>
      <c r="T747" s="23"/>
      <c r="U747" s="23"/>
      <c r="V747" s="36"/>
      <c r="W747" s="42"/>
      <c r="X747" s="42"/>
      <c r="Y747" s="23"/>
      <c r="Z747" s="42"/>
      <c r="AA747" s="42"/>
      <c r="AB747" s="23"/>
      <c r="AC747" s="23"/>
      <c r="AD747" s="23"/>
      <c r="AE747" s="36"/>
      <c r="AF747" s="23"/>
    </row>
    <row r="748" spans="1:32" ht="15.75" x14ac:dyDescent="0.25">
      <c r="A748" s="44"/>
      <c r="B748" s="23"/>
      <c r="C748" s="23"/>
      <c r="D748" s="36"/>
      <c r="E748" s="23"/>
      <c r="F748" s="23"/>
      <c r="G748" s="23"/>
      <c r="H748" s="23"/>
      <c r="I748" s="23"/>
      <c r="J748" s="23"/>
      <c r="K748" s="23"/>
      <c r="L748" s="23"/>
      <c r="M748" s="36"/>
      <c r="N748" s="23"/>
      <c r="O748" s="23"/>
      <c r="P748" s="23"/>
      <c r="Q748" s="23"/>
      <c r="R748" s="23"/>
      <c r="S748" s="23"/>
      <c r="T748" s="23"/>
      <c r="U748" s="23"/>
      <c r="V748" s="36"/>
      <c r="W748" s="42"/>
      <c r="X748" s="42"/>
      <c r="Y748" s="23"/>
      <c r="Z748" s="42"/>
      <c r="AA748" s="42"/>
      <c r="AB748" s="23"/>
      <c r="AC748" s="23"/>
      <c r="AD748" s="23"/>
      <c r="AE748" s="36"/>
      <c r="AF748" s="23"/>
    </row>
    <row r="749" spans="1:32" ht="15.75" x14ac:dyDescent="0.25">
      <c r="A749" s="44"/>
      <c r="B749" s="23"/>
      <c r="C749" s="23"/>
      <c r="D749" s="36"/>
      <c r="E749" s="23"/>
      <c r="F749" s="23"/>
      <c r="G749" s="23"/>
      <c r="H749" s="23"/>
      <c r="I749" s="23"/>
      <c r="J749" s="23"/>
      <c r="K749" s="23"/>
      <c r="L749" s="23"/>
      <c r="M749" s="36"/>
      <c r="N749" s="23"/>
      <c r="O749" s="23"/>
      <c r="P749" s="23"/>
      <c r="Q749" s="23"/>
      <c r="R749" s="23"/>
      <c r="S749" s="23"/>
      <c r="T749" s="23"/>
      <c r="U749" s="23"/>
      <c r="V749" s="36"/>
      <c r="W749" s="42"/>
      <c r="X749" s="42"/>
      <c r="Y749" s="23"/>
      <c r="Z749" s="42"/>
      <c r="AA749" s="42"/>
      <c r="AB749" s="23"/>
      <c r="AC749" s="23"/>
      <c r="AD749" s="23"/>
      <c r="AE749" s="36"/>
      <c r="AF749" s="23"/>
    </row>
    <row r="750" spans="1:32" ht="15.75" x14ac:dyDescent="0.25">
      <c r="A750" s="44"/>
      <c r="B750" s="23"/>
      <c r="C750" s="23"/>
      <c r="D750" s="36"/>
      <c r="E750" s="23"/>
      <c r="F750" s="23"/>
      <c r="G750" s="23"/>
      <c r="H750" s="23"/>
      <c r="I750" s="23"/>
      <c r="J750" s="23"/>
      <c r="K750" s="23"/>
      <c r="L750" s="23"/>
      <c r="M750" s="36"/>
      <c r="N750" s="23"/>
      <c r="O750" s="23"/>
      <c r="P750" s="23"/>
      <c r="Q750" s="23"/>
      <c r="R750" s="23"/>
      <c r="S750" s="23"/>
      <c r="T750" s="23"/>
      <c r="U750" s="23"/>
      <c r="V750" s="36"/>
      <c r="W750" s="42"/>
      <c r="X750" s="42"/>
      <c r="Y750" s="23"/>
      <c r="Z750" s="42"/>
      <c r="AA750" s="42"/>
      <c r="AB750" s="23"/>
      <c r="AC750" s="23"/>
      <c r="AD750" s="23"/>
      <c r="AE750" s="36"/>
      <c r="AF750" s="23"/>
    </row>
    <row r="751" spans="1:32" ht="15.75" x14ac:dyDescent="0.25">
      <c r="A751" s="44"/>
      <c r="B751" s="23"/>
      <c r="C751" s="23"/>
      <c r="D751" s="36"/>
      <c r="E751" s="23"/>
      <c r="F751" s="23"/>
      <c r="G751" s="23"/>
      <c r="H751" s="23"/>
      <c r="I751" s="23"/>
      <c r="J751" s="23"/>
      <c r="K751" s="23"/>
      <c r="L751" s="23"/>
      <c r="M751" s="36"/>
      <c r="N751" s="23"/>
      <c r="O751" s="23"/>
      <c r="P751" s="23"/>
      <c r="Q751" s="23"/>
      <c r="R751" s="23"/>
      <c r="S751" s="23"/>
      <c r="T751" s="23"/>
      <c r="U751" s="23"/>
      <c r="V751" s="36"/>
      <c r="W751" s="42"/>
      <c r="X751" s="42"/>
      <c r="Y751" s="23"/>
      <c r="Z751" s="42"/>
      <c r="AA751" s="42"/>
      <c r="AB751" s="23"/>
      <c r="AC751" s="23"/>
      <c r="AD751" s="23"/>
      <c r="AE751" s="36"/>
      <c r="AF751" s="23"/>
    </row>
    <row r="752" spans="1:32" ht="15.75" x14ac:dyDescent="0.25">
      <c r="A752" s="44"/>
      <c r="B752" s="23"/>
      <c r="C752" s="23"/>
      <c r="D752" s="36"/>
      <c r="E752" s="23"/>
      <c r="F752" s="23"/>
      <c r="G752" s="23"/>
      <c r="H752" s="23"/>
      <c r="I752" s="23"/>
      <c r="J752" s="23"/>
      <c r="K752" s="23"/>
      <c r="L752" s="23"/>
      <c r="M752" s="36"/>
      <c r="N752" s="23"/>
      <c r="O752" s="23"/>
      <c r="P752" s="23"/>
      <c r="Q752" s="23"/>
      <c r="R752" s="23"/>
      <c r="S752" s="23"/>
      <c r="T752" s="23"/>
      <c r="U752" s="23"/>
      <c r="V752" s="36"/>
      <c r="W752" s="42"/>
      <c r="X752" s="42"/>
      <c r="Y752" s="23"/>
      <c r="Z752" s="42"/>
      <c r="AA752" s="42"/>
      <c r="AB752" s="23"/>
      <c r="AC752" s="23"/>
      <c r="AD752" s="23"/>
      <c r="AE752" s="36"/>
      <c r="AF752" s="23"/>
    </row>
    <row r="753" spans="1:32" ht="15.75" x14ac:dyDescent="0.25">
      <c r="A753" s="44"/>
      <c r="B753" s="23"/>
      <c r="C753" s="23"/>
      <c r="D753" s="36"/>
      <c r="E753" s="23"/>
      <c r="F753" s="23"/>
      <c r="G753" s="23"/>
      <c r="H753" s="23"/>
      <c r="I753" s="23"/>
      <c r="J753" s="23"/>
      <c r="K753" s="23"/>
      <c r="L753" s="23"/>
      <c r="M753" s="36"/>
      <c r="N753" s="23"/>
      <c r="O753" s="23"/>
      <c r="P753" s="23"/>
      <c r="Q753" s="23"/>
      <c r="R753" s="23"/>
      <c r="S753" s="23"/>
      <c r="T753" s="23"/>
      <c r="U753" s="23"/>
      <c r="V753" s="36"/>
      <c r="W753" s="42"/>
      <c r="X753" s="42"/>
      <c r="Y753" s="23"/>
      <c r="Z753" s="42"/>
      <c r="AA753" s="42"/>
      <c r="AB753" s="23"/>
      <c r="AC753" s="23"/>
      <c r="AD753" s="23"/>
      <c r="AE753" s="36"/>
      <c r="AF753" s="23"/>
    </row>
    <row r="754" spans="1:32" ht="15.75" x14ac:dyDescent="0.25">
      <c r="A754" s="44"/>
      <c r="B754" s="23"/>
      <c r="C754" s="23"/>
      <c r="D754" s="36"/>
      <c r="E754" s="23"/>
      <c r="F754" s="23"/>
      <c r="G754" s="23"/>
      <c r="H754" s="23"/>
      <c r="I754" s="23"/>
      <c r="J754" s="23"/>
      <c r="K754" s="23"/>
      <c r="L754" s="23"/>
      <c r="M754" s="36"/>
      <c r="N754" s="23"/>
      <c r="O754" s="23"/>
      <c r="P754" s="23"/>
      <c r="Q754" s="23"/>
      <c r="R754" s="23"/>
      <c r="S754" s="23"/>
      <c r="T754" s="23"/>
      <c r="U754" s="23"/>
      <c r="V754" s="36"/>
      <c r="W754" s="42"/>
      <c r="X754" s="42"/>
      <c r="Y754" s="23"/>
      <c r="Z754" s="42"/>
      <c r="AA754" s="42"/>
      <c r="AB754" s="23"/>
      <c r="AC754" s="23"/>
      <c r="AD754" s="23"/>
      <c r="AE754" s="36"/>
      <c r="AF754" s="23"/>
    </row>
    <row r="755" spans="1:32" ht="15.75" x14ac:dyDescent="0.25">
      <c r="A755" s="44"/>
      <c r="B755" s="23"/>
      <c r="C755" s="23"/>
      <c r="D755" s="36"/>
      <c r="E755" s="23"/>
      <c r="F755" s="23"/>
      <c r="G755" s="23"/>
      <c r="H755" s="23"/>
      <c r="I755" s="23"/>
      <c r="J755" s="23"/>
      <c r="K755" s="23"/>
      <c r="L755" s="23"/>
      <c r="M755" s="36"/>
      <c r="N755" s="23"/>
      <c r="O755" s="23"/>
      <c r="P755" s="23"/>
      <c r="Q755" s="23"/>
      <c r="R755" s="23"/>
      <c r="S755" s="23"/>
      <c r="T755" s="23"/>
      <c r="U755" s="23"/>
      <c r="V755" s="36"/>
      <c r="W755" s="42"/>
      <c r="X755" s="42"/>
      <c r="Y755" s="23"/>
      <c r="Z755" s="42"/>
      <c r="AA755" s="42"/>
      <c r="AB755" s="23"/>
      <c r="AC755" s="23"/>
      <c r="AD755" s="23"/>
      <c r="AE755" s="36"/>
      <c r="AF755" s="23"/>
    </row>
    <row r="756" spans="1:32" ht="15.75" x14ac:dyDescent="0.25">
      <c r="A756" s="44"/>
      <c r="B756" s="23"/>
      <c r="C756" s="23"/>
      <c r="D756" s="36"/>
      <c r="E756" s="23"/>
      <c r="F756" s="23"/>
      <c r="G756" s="23"/>
      <c r="H756" s="23"/>
      <c r="I756" s="23"/>
      <c r="J756" s="23"/>
      <c r="K756" s="23"/>
      <c r="L756" s="23"/>
      <c r="M756" s="36"/>
      <c r="N756" s="23"/>
      <c r="O756" s="23"/>
      <c r="P756" s="23"/>
      <c r="Q756" s="23"/>
      <c r="R756" s="23"/>
      <c r="S756" s="23"/>
      <c r="T756" s="23"/>
      <c r="U756" s="23"/>
      <c r="V756" s="36"/>
      <c r="W756" s="42"/>
      <c r="X756" s="42"/>
      <c r="Y756" s="23"/>
      <c r="Z756" s="42"/>
      <c r="AA756" s="42"/>
      <c r="AB756" s="23"/>
      <c r="AC756" s="23"/>
      <c r="AD756" s="23"/>
      <c r="AE756" s="36"/>
      <c r="AF756" s="23"/>
    </row>
    <row r="757" spans="1:32" ht="15.75" x14ac:dyDescent="0.25">
      <c r="A757" s="44"/>
      <c r="B757" s="23"/>
      <c r="C757" s="23"/>
      <c r="D757" s="36"/>
      <c r="E757" s="23"/>
      <c r="F757" s="23"/>
      <c r="G757" s="23"/>
      <c r="H757" s="23"/>
      <c r="I757" s="23"/>
      <c r="J757" s="23"/>
      <c r="K757" s="23"/>
      <c r="L757" s="23"/>
      <c r="M757" s="36"/>
      <c r="N757" s="23"/>
      <c r="O757" s="23"/>
      <c r="P757" s="23"/>
      <c r="Q757" s="23"/>
      <c r="R757" s="23"/>
      <c r="S757" s="23"/>
      <c r="T757" s="23"/>
      <c r="U757" s="23"/>
      <c r="V757" s="36"/>
      <c r="W757" s="42"/>
      <c r="X757" s="42"/>
      <c r="Y757" s="23"/>
      <c r="Z757" s="42"/>
      <c r="AA757" s="42"/>
      <c r="AB757" s="23"/>
      <c r="AC757" s="23"/>
      <c r="AD757" s="23"/>
      <c r="AE757" s="36"/>
      <c r="AF757" s="23"/>
    </row>
    <row r="758" spans="1:32" ht="15.75" x14ac:dyDescent="0.25">
      <c r="A758" s="44"/>
      <c r="B758" s="23"/>
      <c r="C758" s="23"/>
      <c r="D758" s="36"/>
      <c r="E758" s="23"/>
      <c r="F758" s="23"/>
      <c r="G758" s="23"/>
      <c r="H758" s="23"/>
      <c r="I758" s="23"/>
      <c r="J758" s="23"/>
      <c r="K758" s="23"/>
      <c r="L758" s="23"/>
      <c r="M758" s="36"/>
      <c r="N758" s="23"/>
      <c r="O758" s="23"/>
      <c r="P758" s="23"/>
      <c r="Q758" s="23"/>
      <c r="R758" s="23"/>
      <c r="S758" s="23"/>
      <c r="T758" s="23"/>
      <c r="U758" s="23"/>
      <c r="V758" s="36"/>
      <c r="W758" s="42"/>
      <c r="X758" s="42"/>
      <c r="Y758" s="23"/>
      <c r="Z758" s="42"/>
      <c r="AA758" s="42"/>
      <c r="AB758" s="23"/>
      <c r="AC758" s="23"/>
      <c r="AD758" s="23"/>
      <c r="AE758" s="36"/>
      <c r="AF758" s="23"/>
    </row>
    <row r="759" spans="1:32" ht="15.75" x14ac:dyDescent="0.25">
      <c r="A759" s="44"/>
      <c r="B759" s="23"/>
      <c r="C759" s="23"/>
      <c r="D759" s="36"/>
      <c r="E759" s="23"/>
      <c r="F759" s="23"/>
      <c r="G759" s="23"/>
      <c r="H759" s="23"/>
      <c r="I759" s="23"/>
      <c r="J759" s="23"/>
      <c r="K759" s="23"/>
      <c r="L759" s="23"/>
      <c r="M759" s="36"/>
      <c r="N759" s="23"/>
      <c r="O759" s="23"/>
      <c r="P759" s="23"/>
      <c r="Q759" s="23"/>
      <c r="R759" s="23"/>
      <c r="S759" s="23"/>
      <c r="T759" s="23"/>
      <c r="U759" s="23"/>
      <c r="V759" s="36"/>
      <c r="W759" s="42"/>
      <c r="X759" s="42"/>
      <c r="Y759" s="23"/>
      <c r="Z759" s="42"/>
      <c r="AA759" s="42"/>
      <c r="AB759" s="23"/>
      <c r="AC759" s="23"/>
      <c r="AD759" s="23"/>
      <c r="AE759" s="36"/>
      <c r="AF759" s="23"/>
    </row>
    <row r="760" spans="1:32" ht="15.75" x14ac:dyDescent="0.25">
      <c r="A760" s="44"/>
      <c r="B760" s="23"/>
      <c r="C760" s="23"/>
      <c r="D760" s="36"/>
      <c r="E760" s="23"/>
      <c r="F760" s="23"/>
      <c r="G760" s="23"/>
      <c r="H760" s="23"/>
      <c r="I760" s="23"/>
      <c r="J760" s="23"/>
      <c r="K760" s="23"/>
      <c r="L760" s="23"/>
      <c r="M760" s="36"/>
      <c r="N760" s="23"/>
      <c r="O760" s="23"/>
      <c r="P760" s="23"/>
      <c r="Q760" s="23"/>
      <c r="R760" s="23"/>
      <c r="S760" s="23"/>
      <c r="T760" s="23"/>
      <c r="U760" s="23"/>
      <c r="V760" s="36"/>
      <c r="W760" s="42"/>
      <c r="X760" s="42"/>
      <c r="Y760" s="23"/>
      <c r="Z760" s="42"/>
      <c r="AA760" s="42"/>
      <c r="AB760" s="23"/>
      <c r="AC760" s="23"/>
      <c r="AD760" s="23"/>
      <c r="AE760" s="36"/>
      <c r="AF760" s="23"/>
    </row>
    <row r="761" spans="1:32" ht="15.75" x14ac:dyDescent="0.25">
      <c r="A761" s="44"/>
      <c r="B761" s="23"/>
      <c r="C761" s="23"/>
      <c r="D761" s="36"/>
      <c r="E761" s="23"/>
      <c r="F761" s="23"/>
      <c r="G761" s="23"/>
      <c r="H761" s="23"/>
      <c r="I761" s="23"/>
      <c r="J761" s="23"/>
      <c r="K761" s="23"/>
      <c r="L761" s="23"/>
      <c r="M761" s="36"/>
      <c r="N761" s="23"/>
      <c r="O761" s="23"/>
      <c r="P761" s="23"/>
      <c r="Q761" s="23"/>
      <c r="R761" s="23"/>
      <c r="S761" s="23"/>
      <c r="T761" s="23"/>
      <c r="U761" s="23"/>
      <c r="V761" s="36"/>
      <c r="W761" s="42"/>
      <c r="X761" s="42"/>
      <c r="Y761" s="23"/>
      <c r="Z761" s="42"/>
      <c r="AA761" s="42"/>
      <c r="AB761" s="23"/>
      <c r="AC761" s="23"/>
      <c r="AD761" s="23"/>
      <c r="AE761" s="36"/>
      <c r="AF761" s="23"/>
    </row>
    <row r="762" spans="1:32" ht="15.75" x14ac:dyDescent="0.25">
      <c r="A762" s="44"/>
      <c r="B762" s="23"/>
      <c r="C762" s="23"/>
      <c r="D762" s="36"/>
      <c r="E762" s="23"/>
      <c r="F762" s="23"/>
      <c r="G762" s="23"/>
      <c r="H762" s="23"/>
      <c r="I762" s="23"/>
      <c r="J762" s="23"/>
      <c r="K762" s="23"/>
      <c r="L762" s="23"/>
      <c r="M762" s="36"/>
      <c r="N762" s="23"/>
      <c r="O762" s="23"/>
      <c r="P762" s="23"/>
      <c r="Q762" s="23"/>
      <c r="R762" s="23"/>
      <c r="S762" s="23"/>
      <c r="T762" s="23"/>
      <c r="U762" s="23"/>
      <c r="V762" s="36"/>
      <c r="W762" s="42"/>
      <c r="X762" s="42"/>
      <c r="Y762" s="23"/>
      <c r="Z762" s="42"/>
      <c r="AA762" s="42"/>
      <c r="AB762" s="23"/>
      <c r="AC762" s="23"/>
      <c r="AD762" s="23"/>
      <c r="AE762" s="36"/>
      <c r="AF762" s="23"/>
    </row>
    <row r="763" spans="1:32" ht="15.75" x14ac:dyDescent="0.25">
      <c r="A763" s="44"/>
      <c r="B763" s="23"/>
      <c r="C763" s="23"/>
      <c r="D763" s="36"/>
      <c r="E763" s="23"/>
      <c r="F763" s="23"/>
      <c r="G763" s="23"/>
      <c r="H763" s="23"/>
      <c r="I763" s="23"/>
      <c r="J763" s="23"/>
      <c r="K763" s="23"/>
      <c r="L763" s="23"/>
      <c r="M763" s="36"/>
      <c r="N763" s="23"/>
      <c r="O763" s="23"/>
      <c r="P763" s="23"/>
      <c r="Q763" s="23"/>
      <c r="R763" s="23"/>
      <c r="S763" s="23"/>
      <c r="T763" s="23"/>
      <c r="U763" s="23"/>
      <c r="V763" s="36"/>
      <c r="W763" s="42"/>
      <c r="X763" s="42"/>
      <c r="Y763" s="23"/>
      <c r="Z763" s="42"/>
      <c r="AA763" s="42"/>
      <c r="AB763" s="23"/>
      <c r="AC763" s="23"/>
      <c r="AD763" s="23"/>
      <c r="AE763" s="36"/>
      <c r="AF763" s="23"/>
    </row>
    <row r="764" spans="1:32" ht="15.75" x14ac:dyDescent="0.25">
      <c r="A764" s="44"/>
      <c r="B764" s="23"/>
      <c r="C764" s="23"/>
      <c r="D764" s="36"/>
      <c r="E764" s="23"/>
      <c r="F764" s="23"/>
      <c r="G764" s="23"/>
      <c r="H764" s="23"/>
      <c r="I764" s="23"/>
      <c r="J764" s="23"/>
      <c r="K764" s="23"/>
      <c r="L764" s="23"/>
      <c r="M764" s="36"/>
      <c r="N764" s="23"/>
      <c r="O764" s="23"/>
      <c r="P764" s="23"/>
      <c r="Q764" s="23"/>
      <c r="R764" s="23"/>
      <c r="S764" s="23"/>
      <c r="T764" s="23"/>
      <c r="U764" s="23"/>
      <c r="V764" s="36"/>
      <c r="W764" s="42"/>
      <c r="X764" s="42"/>
      <c r="Y764" s="23"/>
      <c r="Z764" s="42"/>
      <c r="AA764" s="42"/>
      <c r="AB764" s="23"/>
      <c r="AC764" s="23"/>
      <c r="AD764" s="23"/>
      <c r="AE764" s="36"/>
      <c r="AF764" s="23"/>
    </row>
    <row r="765" spans="1:32" ht="15.75" x14ac:dyDescent="0.25">
      <c r="A765" s="44"/>
      <c r="B765" s="23"/>
      <c r="C765" s="23"/>
      <c r="D765" s="36"/>
      <c r="E765" s="23"/>
      <c r="F765" s="23"/>
      <c r="G765" s="23"/>
      <c r="H765" s="23"/>
      <c r="I765" s="23"/>
      <c r="J765" s="23"/>
      <c r="K765" s="23"/>
      <c r="L765" s="23"/>
      <c r="M765" s="36"/>
      <c r="N765" s="23"/>
      <c r="O765" s="23"/>
      <c r="P765" s="23"/>
      <c r="Q765" s="23"/>
      <c r="R765" s="23"/>
      <c r="S765" s="23"/>
      <c r="T765" s="23"/>
      <c r="U765" s="23"/>
      <c r="V765" s="36"/>
      <c r="W765" s="42"/>
      <c r="X765" s="42"/>
      <c r="Y765" s="23"/>
      <c r="Z765" s="42"/>
      <c r="AA765" s="42"/>
      <c r="AB765" s="23"/>
      <c r="AC765" s="23"/>
      <c r="AD765" s="23"/>
      <c r="AE765" s="36"/>
      <c r="AF765" s="23"/>
    </row>
    <row r="766" spans="1:32" ht="15.75" x14ac:dyDescent="0.25">
      <c r="A766" s="44"/>
      <c r="B766" s="23"/>
      <c r="C766" s="23"/>
      <c r="D766" s="36"/>
      <c r="E766" s="23"/>
      <c r="F766" s="23"/>
      <c r="G766" s="23"/>
      <c r="H766" s="23"/>
      <c r="I766" s="23"/>
      <c r="J766" s="23"/>
      <c r="K766" s="23"/>
      <c r="L766" s="23"/>
      <c r="M766" s="36"/>
      <c r="N766" s="23"/>
      <c r="O766" s="23"/>
      <c r="P766" s="23"/>
      <c r="Q766" s="23"/>
      <c r="R766" s="23"/>
      <c r="S766" s="23"/>
      <c r="T766" s="23"/>
      <c r="U766" s="23"/>
      <c r="V766" s="36"/>
      <c r="W766" s="42"/>
      <c r="X766" s="42"/>
      <c r="Y766" s="23"/>
      <c r="Z766" s="42"/>
      <c r="AA766" s="42"/>
      <c r="AB766" s="23"/>
      <c r="AC766" s="23"/>
      <c r="AD766" s="23"/>
      <c r="AE766" s="36"/>
      <c r="AF766" s="23"/>
    </row>
    <row r="767" spans="1:32" ht="15.75" x14ac:dyDescent="0.25">
      <c r="A767" s="44"/>
      <c r="B767" s="23"/>
      <c r="C767" s="23"/>
      <c r="D767" s="36"/>
      <c r="E767" s="23"/>
      <c r="F767" s="23"/>
      <c r="G767" s="23"/>
      <c r="H767" s="23"/>
      <c r="I767" s="23"/>
      <c r="J767" s="23"/>
      <c r="K767" s="23"/>
      <c r="L767" s="23"/>
      <c r="M767" s="36"/>
      <c r="N767" s="23"/>
      <c r="O767" s="23"/>
      <c r="P767" s="23"/>
      <c r="Q767" s="23"/>
      <c r="R767" s="23"/>
      <c r="S767" s="23"/>
      <c r="T767" s="23"/>
      <c r="U767" s="23"/>
      <c r="V767" s="36"/>
      <c r="W767" s="42"/>
      <c r="X767" s="42"/>
      <c r="Y767" s="23"/>
      <c r="Z767" s="42"/>
      <c r="AA767" s="42"/>
      <c r="AB767" s="23"/>
      <c r="AC767" s="23"/>
      <c r="AD767" s="23"/>
      <c r="AE767" s="36"/>
      <c r="AF767" s="23"/>
    </row>
    <row r="768" spans="1:32" ht="15.75" x14ac:dyDescent="0.25">
      <c r="A768" s="44"/>
      <c r="B768" s="23"/>
      <c r="C768" s="23"/>
      <c r="D768" s="36"/>
      <c r="E768" s="23"/>
      <c r="F768" s="23"/>
      <c r="G768" s="23"/>
      <c r="H768" s="23"/>
      <c r="I768" s="23"/>
      <c r="J768" s="23"/>
      <c r="K768" s="23"/>
      <c r="L768" s="23"/>
      <c r="M768" s="36"/>
      <c r="N768" s="23"/>
      <c r="O768" s="23"/>
      <c r="P768" s="23"/>
      <c r="Q768" s="23"/>
      <c r="R768" s="23"/>
      <c r="S768" s="23"/>
      <c r="T768" s="23"/>
      <c r="U768" s="23"/>
      <c r="V768" s="36"/>
      <c r="W768" s="42"/>
      <c r="X768" s="42"/>
      <c r="Y768" s="23"/>
      <c r="Z768" s="42"/>
      <c r="AA768" s="42"/>
      <c r="AB768" s="23"/>
      <c r="AC768" s="23"/>
      <c r="AD768" s="23"/>
      <c r="AE768" s="36"/>
      <c r="AF768" s="23"/>
    </row>
    <row r="769" spans="1:32" ht="15.75" x14ac:dyDescent="0.25">
      <c r="A769" s="44"/>
      <c r="B769" s="23"/>
      <c r="C769" s="23"/>
      <c r="D769" s="36"/>
      <c r="E769" s="23"/>
      <c r="F769" s="23"/>
      <c r="G769" s="23"/>
      <c r="H769" s="23"/>
      <c r="I769" s="23"/>
      <c r="J769" s="23"/>
      <c r="K769" s="23"/>
      <c r="L769" s="23"/>
      <c r="M769" s="36"/>
      <c r="N769" s="23"/>
      <c r="O769" s="23"/>
      <c r="P769" s="23"/>
      <c r="Q769" s="23"/>
      <c r="R769" s="23"/>
      <c r="S769" s="23"/>
      <c r="T769" s="23"/>
      <c r="U769" s="23"/>
      <c r="V769" s="36"/>
      <c r="W769" s="42"/>
      <c r="X769" s="42"/>
      <c r="Y769" s="23"/>
      <c r="Z769" s="42"/>
      <c r="AA769" s="42"/>
      <c r="AB769" s="23"/>
      <c r="AC769" s="23"/>
      <c r="AD769" s="23"/>
      <c r="AE769" s="36"/>
      <c r="AF769" s="23"/>
    </row>
    <row r="770" spans="1:32" ht="15.75" x14ac:dyDescent="0.25">
      <c r="A770" s="44"/>
      <c r="B770" s="23"/>
      <c r="C770" s="23"/>
      <c r="D770" s="36"/>
      <c r="E770" s="23"/>
      <c r="F770" s="23"/>
      <c r="G770" s="23"/>
      <c r="H770" s="23"/>
      <c r="I770" s="23"/>
      <c r="J770" s="23"/>
      <c r="K770" s="23"/>
      <c r="L770" s="23"/>
      <c r="M770" s="36"/>
      <c r="N770" s="23"/>
      <c r="O770" s="23"/>
      <c r="P770" s="23"/>
      <c r="Q770" s="23"/>
      <c r="R770" s="23"/>
      <c r="S770" s="23"/>
      <c r="T770" s="23"/>
      <c r="U770" s="23"/>
      <c r="V770" s="36"/>
      <c r="W770" s="42"/>
      <c r="X770" s="42"/>
      <c r="Y770" s="23"/>
      <c r="Z770" s="42"/>
      <c r="AA770" s="42"/>
      <c r="AB770" s="23"/>
      <c r="AC770" s="23"/>
      <c r="AD770" s="23"/>
      <c r="AE770" s="36"/>
      <c r="AF770" s="23"/>
    </row>
    <row r="771" spans="1:32" ht="15.75" x14ac:dyDescent="0.25">
      <c r="A771" s="44"/>
      <c r="B771" s="23"/>
      <c r="C771" s="23"/>
      <c r="D771" s="36"/>
      <c r="E771" s="23"/>
      <c r="F771" s="23"/>
      <c r="G771" s="23"/>
      <c r="H771" s="23"/>
      <c r="I771" s="23"/>
      <c r="J771" s="23"/>
      <c r="K771" s="23"/>
      <c r="L771" s="23"/>
      <c r="M771" s="36"/>
      <c r="N771" s="23"/>
      <c r="O771" s="23"/>
      <c r="P771" s="23"/>
      <c r="Q771" s="23"/>
      <c r="R771" s="23"/>
      <c r="S771" s="23"/>
      <c r="T771" s="23"/>
      <c r="U771" s="23"/>
      <c r="V771" s="36"/>
      <c r="W771" s="42"/>
      <c r="X771" s="42"/>
      <c r="Y771" s="23"/>
      <c r="Z771" s="42"/>
      <c r="AA771" s="42"/>
      <c r="AB771" s="23"/>
      <c r="AC771" s="23"/>
      <c r="AD771" s="23"/>
      <c r="AE771" s="36"/>
      <c r="AF771" s="23"/>
    </row>
    <row r="772" spans="1:32" ht="15.75" x14ac:dyDescent="0.25">
      <c r="A772" s="44"/>
      <c r="B772" s="23"/>
      <c r="C772" s="23"/>
      <c r="D772" s="36"/>
      <c r="E772" s="23"/>
      <c r="F772" s="23"/>
      <c r="G772" s="23"/>
      <c r="H772" s="23"/>
      <c r="I772" s="23"/>
      <c r="J772" s="23"/>
      <c r="K772" s="23"/>
      <c r="L772" s="23"/>
      <c r="M772" s="36"/>
      <c r="N772" s="23"/>
      <c r="O772" s="23"/>
      <c r="P772" s="23"/>
      <c r="Q772" s="23"/>
      <c r="R772" s="23"/>
      <c r="S772" s="23"/>
      <c r="T772" s="23"/>
      <c r="U772" s="23"/>
      <c r="V772" s="36"/>
      <c r="W772" s="42"/>
      <c r="X772" s="42"/>
      <c r="Y772" s="23"/>
      <c r="Z772" s="42"/>
      <c r="AA772" s="42"/>
      <c r="AB772" s="23"/>
      <c r="AC772" s="23"/>
      <c r="AD772" s="23"/>
      <c r="AE772" s="36"/>
      <c r="AF772" s="23"/>
    </row>
    <row r="773" spans="1:32" ht="15.75" x14ac:dyDescent="0.25">
      <c r="A773" s="44"/>
      <c r="B773" s="23"/>
      <c r="C773" s="23"/>
      <c r="D773" s="36"/>
      <c r="E773" s="23"/>
      <c r="F773" s="23"/>
      <c r="G773" s="23"/>
      <c r="H773" s="23"/>
      <c r="I773" s="23"/>
      <c r="J773" s="23"/>
      <c r="K773" s="23"/>
      <c r="L773" s="23"/>
      <c r="M773" s="36"/>
      <c r="N773" s="23"/>
      <c r="O773" s="23"/>
      <c r="P773" s="23"/>
      <c r="Q773" s="23"/>
      <c r="R773" s="23"/>
      <c r="S773" s="23"/>
      <c r="T773" s="23"/>
      <c r="U773" s="23"/>
      <c r="V773" s="36"/>
      <c r="W773" s="42"/>
      <c r="X773" s="42"/>
      <c r="Y773" s="23"/>
      <c r="Z773" s="42"/>
      <c r="AA773" s="42"/>
      <c r="AB773" s="23"/>
      <c r="AC773" s="23"/>
      <c r="AD773" s="23"/>
      <c r="AE773" s="36"/>
      <c r="AF773" s="23"/>
    </row>
    <row r="774" spans="1:32" ht="15.75" x14ac:dyDescent="0.25">
      <c r="A774" s="44"/>
      <c r="B774" s="23"/>
      <c r="C774" s="23"/>
      <c r="D774" s="36"/>
      <c r="E774" s="23"/>
      <c r="F774" s="23"/>
      <c r="G774" s="23"/>
      <c r="H774" s="23"/>
      <c r="I774" s="23"/>
      <c r="J774" s="23"/>
      <c r="K774" s="23"/>
      <c r="L774" s="23"/>
      <c r="M774" s="36"/>
      <c r="N774" s="23"/>
      <c r="O774" s="23"/>
      <c r="P774" s="23"/>
      <c r="Q774" s="23"/>
      <c r="R774" s="23"/>
      <c r="S774" s="23"/>
      <c r="T774" s="23"/>
      <c r="U774" s="23"/>
      <c r="V774" s="36"/>
      <c r="W774" s="42"/>
      <c r="X774" s="42"/>
      <c r="Y774" s="23"/>
      <c r="Z774" s="42"/>
      <c r="AA774" s="42"/>
      <c r="AB774" s="23"/>
      <c r="AC774" s="23"/>
      <c r="AD774" s="23"/>
      <c r="AE774" s="36"/>
      <c r="AF774" s="23"/>
    </row>
    <row r="775" spans="1:32" ht="15.75" x14ac:dyDescent="0.25">
      <c r="A775" s="44"/>
      <c r="B775" s="23"/>
      <c r="C775" s="23"/>
      <c r="D775" s="36"/>
      <c r="E775" s="23"/>
      <c r="F775" s="23"/>
      <c r="G775" s="23"/>
      <c r="H775" s="23"/>
      <c r="I775" s="23"/>
      <c r="J775" s="23"/>
      <c r="K775" s="23"/>
      <c r="L775" s="23"/>
      <c r="M775" s="36"/>
      <c r="N775" s="23"/>
      <c r="O775" s="23"/>
      <c r="P775" s="23"/>
      <c r="Q775" s="23"/>
      <c r="R775" s="23"/>
      <c r="S775" s="23"/>
      <c r="T775" s="23"/>
      <c r="U775" s="23"/>
      <c r="V775" s="36"/>
      <c r="W775" s="42"/>
      <c r="X775" s="42"/>
      <c r="Y775" s="23"/>
      <c r="Z775" s="42"/>
      <c r="AA775" s="42"/>
      <c r="AB775" s="23"/>
      <c r="AC775" s="23"/>
      <c r="AD775" s="23"/>
      <c r="AE775" s="36"/>
      <c r="AF775" s="23"/>
    </row>
    <row r="776" spans="1:32" ht="15.75" x14ac:dyDescent="0.25">
      <c r="A776" s="44"/>
      <c r="B776" s="23"/>
      <c r="C776" s="23"/>
      <c r="D776" s="36"/>
      <c r="E776" s="23"/>
      <c r="F776" s="23"/>
      <c r="G776" s="23"/>
      <c r="H776" s="23"/>
      <c r="I776" s="23"/>
      <c r="J776" s="23"/>
      <c r="K776" s="23"/>
      <c r="L776" s="23"/>
      <c r="M776" s="36"/>
      <c r="N776" s="23"/>
      <c r="O776" s="23"/>
      <c r="P776" s="23"/>
      <c r="Q776" s="23"/>
      <c r="R776" s="23"/>
      <c r="S776" s="23"/>
      <c r="T776" s="23"/>
      <c r="U776" s="23"/>
      <c r="V776" s="36"/>
      <c r="W776" s="42"/>
      <c r="X776" s="42"/>
      <c r="Y776" s="23"/>
      <c r="Z776" s="42"/>
      <c r="AA776" s="42"/>
      <c r="AB776" s="23"/>
      <c r="AC776" s="23"/>
      <c r="AD776" s="23"/>
      <c r="AE776" s="36"/>
      <c r="AF776" s="23"/>
    </row>
    <row r="777" spans="1:32" ht="15.75" x14ac:dyDescent="0.25">
      <c r="A777" s="44"/>
      <c r="B777" s="23"/>
      <c r="C777" s="23"/>
      <c r="D777" s="36"/>
      <c r="E777" s="23"/>
      <c r="F777" s="23"/>
      <c r="G777" s="23"/>
      <c r="H777" s="23"/>
      <c r="I777" s="23"/>
      <c r="J777" s="23"/>
      <c r="K777" s="23"/>
      <c r="L777" s="23"/>
      <c r="M777" s="36"/>
      <c r="N777" s="23"/>
      <c r="O777" s="23"/>
      <c r="P777" s="23"/>
      <c r="Q777" s="23"/>
      <c r="R777" s="23"/>
      <c r="S777" s="23"/>
      <c r="T777" s="23"/>
      <c r="U777" s="23"/>
      <c r="V777" s="36"/>
      <c r="W777" s="42"/>
      <c r="X777" s="42"/>
      <c r="Y777" s="23"/>
      <c r="Z777" s="42"/>
      <c r="AA777" s="42"/>
      <c r="AB777" s="23"/>
      <c r="AC777" s="23"/>
      <c r="AD777" s="23"/>
      <c r="AE777" s="36"/>
      <c r="AF777" s="23"/>
    </row>
    <row r="778" spans="1:32" ht="15.75" x14ac:dyDescent="0.25">
      <c r="A778" s="44"/>
      <c r="B778" s="23"/>
      <c r="C778" s="23"/>
      <c r="D778" s="36"/>
      <c r="E778" s="23"/>
      <c r="F778" s="23"/>
      <c r="G778" s="23"/>
      <c r="H778" s="23"/>
      <c r="I778" s="23"/>
      <c r="J778" s="23"/>
      <c r="K778" s="23"/>
      <c r="L778" s="23"/>
      <c r="M778" s="36"/>
      <c r="N778" s="23"/>
      <c r="O778" s="23"/>
      <c r="P778" s="23"/>
      <c r="Q778" s="23"/>
      <c r="R778" s="23"/>
      <c r="S778" s="23"/>
      <c r="T778" s="23"/>
      <c r="U778" s="23"/>
      <c r="V778" s="36"/>
      <c r="W778" s="42"/>
      <c r="X778" s="42"/>
      <c r="Y778" s="23"/>
      <c r="Z778" s="42"/>
      <c r="AA778" s="42"/>
      <c r="AB778" s="23"/>
      <c r="AC778" s="23"/>
      <c r="AD778" s="23"/>
      <c r="AE778" s="36"/>
      <c r="AF778" s="23"/>
    </row>
    <row r="779" spans="1:32" ht="15.75" x14ac:dyDescent="0.25">
      <c r="A779" s="44"/>
      <c r="B779" s="23"/>
      <c r="C779" s="23"/>
      <c r="D779" s="36"/>
      <c r="E779" s="23"/>
      <c r="F779" s="23"/>
      <c r="G779" s="23"/>
      <c r="H779" s="23"/>
      <c r="I779" s="23"/>
      <c r="J779" s="23"/>
      <c r="K779" s="23"/>
      <c r="L779" s="23"/>
      <c r="M779" s="36"/>
      <c r="N779" s="23"/>
      <c r="O779" s="23"/>
      <c r="P779" s="23"/>
      <c r="Q779" s="23"/>
      <c r="R779" s="23"/>
      <c r="S779" s="23"/>
      <c r="T779" s="23"/>
      <c r="U779" s="23"/>
      <c r="V779" s="36"/>
      <c r="W779" s="42"/>
      <c r="X779" s="42"/>
      <c r="Y779" s="23"/>
      <c r="Z779" s="42"/>
      <c r="AA779" s="42"/>
      <c r="AB779" s="23"/>
      <c r="AC779" s="23"/>
      <c r="AD779" s="23"/>
      <c r="AE779" s="36"/>
      <c r="AF779" s="23"/>
    </row>
    <row r="780" spans="1:32" ht="15.75" x14ac:dyDescent="0.25">
      <c r="A780" s="44"/>
      <c r="B780" s="23"/>
      <c r="C780" s="23"/>
      <c r="D780" s="36"/>
      <c r="E780" s="23"/>
      <c r="F780" s="23"/>
      <c r="G780" s="23"/>
      <c r="H780" s="23"/>
      <c r="I780" s="23"/>
      <c r="J780" s="23"/>
      <c r="K780" s="23"/>
      <c r="L780" s="23"/>
      <c r="M780" s="36"/>
      <c r="N780" s="23"/>
      <c r="O780" s="23"/>
      <c r="P780" s="23"/>
      <c r="Q780" s="23"/>
      <c r="R780" s="23"/>
      <c r="S780" s="23"/>
      <c r="T780" s="23"/>
      <c r="U780" s="23"/>
      <c r="V780" s="36"/>
      <c r="W780" s="42"/>
      <c r="X780" s="42"/>
      <c r="Y780" s="23"/>
      <c r="Z780" s="42"/>
      <c r="AA780" s="42"/>
      <c r="AB780" s="23"/>
      <c r="AC780" s="23"/>
      <c r="AD780" s="23"/>
      <c r="AE780" s="36"/>
      <c r="AF780" s="23"/>
    </row>
    <row r="781" spans="1:32" ht="15.75" x14ac:dyDescent="0.25">
      <c r="A781" s="44"/>
      <c r="B781" s="23"/>
      <c r="C781" s="23"/>
      <c r="D781" s="36"/>
      <c r="E781" s="23"/>
      <c r="F781" s="23"/>
      <c r="G781" s="23"/>
      <c r="H781" s="23"/>
      <c r="I781" s="23"/>
      <c r="J781" s="23"/>
      <c r="K781" s="23"/>
      <c r="L781" s="23"/>
      <c r="M781" s="36"/>
      <c r="N781" s="23"/>
      <c r="O781" s="23"/>
      <c r="P781" s="23"/>
      <c r="Q781" s="23"/>
      <c r="R781" s="23"/>
      <c r="S781" s="23"/>
      <c r="T781" s="23"/>
      <c r="U781" s="23"/>
      <c r="V781" s="36"/>
      <c r="W781" s="42"/>
      <c r="X781" s="42"/>
      <c r="Y781" s="23"/>
      <c r="Z781" s="42"/>
      <c r="AA781" s="42"/>
      <c r="AB781" s="23"/>
      <c r="AC781" s="23"/>
      <c r="AD781" s="23"/>
      <c r="AE781" s="36"/>
      <c r="AF781" s="23"/>
    </row>
    <row r="782" spans="1:32" ht="15.75" x14ac:dyDescent="0.25">
      <c r="A782" s="44"/>
      <c r="B782" s="23"/>
      <c r="C782" s="23"/>
      <c r="D782" s="36"/>
      <c r="E782" s="23"/>
      <c r="F782" s="23"/>
      <c r="G782" s="23"/>
      <c r="H782" s="23"/>
      <c r="I782" s="23"/>
      <c r="J782" s="23"/>
      <c r="K782" s="23"/>
      <c r="L782" s="23"/>
      <c r="M782" s="36"/>
      <c r="N782" s="23"/>
      <c r="O782" s="23"/>
      <c r="P782" s="23"/>
      <c r="Q782" s="23"/>
      <c r="R782" s="23"/>
      <c r="S782" s="23"/>
      <c r="T782" s="23"/>
      <c r="U782" s="23"/>
      <c r="V782" s="36"/>
      <c r="W782" s="42"/>
      <c r="X782" s="42"/>
      <c r="Y782" s="23"/>
      <c r="Z782" s="42"/>
      <c r="AA782" s="42"/>
      <c r="AB782" s="23"/>
      <c r="AC782" s="23"/>
      <c r="AD782" s="23"/>
      <c r="AE782" s="36"/>
      <c r="AF782" s="23"/>
    </row>
    <row r="783" spans="1:32" ht="15.75" x14ac:dyDescent="0.25">
      <c r="A783" s="44"/>
      <c r="B783" s="23"/>
      <c r="C783" s="23"/>
      <c r="D783" s="36"/>
      <c r="E783" s="23"/>
      <c r="F783" s="23"/>
      <c r="G783" s="23"/>
      <c r="H783" s="23"/>
      <c r="I783" s="23"/>
      <c r="J783" s="23"/>
      <c r="K783" s="23"/>
      <c r="L783" s="23"/>
      <c r="M783" s="36"/>
      <c r="N783" s="23"/>
      <c r="O783" s="23"/>
      <c r="P783" s="23"/>
      <c r="Q783" s="23"/>
      <c r="R783" s="23"/>
      <c r="S783" s="23"/>
      <c r="T783" s="23"/>
      <c r="U783" s="23"/>
      <c r="V783" s="36"/>
      <c r="W783" s="42"/>
      <c r="X783" s="42"/>
      <c r="Y783" s="23"/>
      <c r="Z783" s="42"/>
      <c r="AA783" s="42"/>
      <c r="AB783" s="23"/>
      <c r="AC783" s="23"/>
      <c r="AD783" s="23"/>
      <c r="AE783" s="36"/>
      <c r="AF783" s="23"/>
    </row>
    <row r="784" spans="1:32" ht="15.75" x14ac:dyDescent="0.25">
      <c r="A784" s="44"/>
      <c r="B784" s="23"/>
      <c r="C784" s="23"/>
      <c r="D784" s="36"/>
      <c r="E784" s="23"/>
      <c r="F784" s="23"/>
      <c r="G784" s="23"/>
      <c r="H784" s="23"/>
      <c r="I784" s="23"/>
      <c r="J784" s="23"/>
      <c r="K784" s="23"/>
      <c r="L784" s="23"/>
      <c r="M784" s="36"/>
      <c r="N784" s="23"/>
      <c r="O784" s="23"/>
      <c r="P784" s="23"/>
      <c r="Q784" s="23"/>
      <c r="R784" s="23"/>
      <c r="S784" s="23"/>
      <c r="T784" s="23"/>
      <c r="U784" s="23"/>
      <c r="V784" s="36"/>
      <c r="W784" s="42"/>
      <c r="X784" s="42"/>
      <c r="Y784" s="23"/>
      <c r="Z784" s="42"/>
      <c r="AA784" s="42"/>
      <c r="AB784" s="23"/>
      <c r="AC784" s="23"/>
      <c r="AD784" s="23"/>
      <c r="AE784" s="36"/>
      <c r="AF784" s="23"/>
    </row>
    <row r="785" spans="1:32" ht="15.75" x14ac:dyDescent="0.25">
      <c r="A785" s="44"/>
      <c r="B785" s="23"/>
      <c r="C785" s="23"/>
      <c r="D785" s="36"/>
      <c r="E785" s="23"/>
      <c r="F785" s="23"/>
      <c r="G785" s="23"/>
      <c r="H785" s="23"/>
      <c r="I785" s="23"/>
      <c r="J785" s="23"/>
      <c r="K785" s="23"/>
      <c r="L785" s="23"/>
      <c r="M785" s="36"/>
      <c r="N785" s="23"/>
      <c r="O785" s="23"/>
      <c r="P785" s="23"/>
      <c r="Q785" s="23"/>
      <c r="R785" s="23"/>
      <c r="S785" s="23"/>
      <c r="T785" s="23"/>
      <c r="U785" s="23"/>
      <c r="V785" s="36"/>
      <c r="W785" s="42"/>
      <c r="X785" s="42"/>
      <c r="Y785" s="23"/>
      <c r="Z785" s="42"/>
      <c r="AA785" s="42"/>
      <c r="AB785" s="23"/>
      <c r="AC785" s="23"/>
      <c r="AD785" s="23"/>
      <c r="AE785" s="36"/>
      <c r="AF785" s="23"/>
    </row>
    <row r="786" spans="1:32" ht="15.75" x14ac:dyDescent="0.25">
      <c r="A786" s="44"/>
      <c r="B786" s="23"/>
      <c r="C786" s="23"/>
      <c r="D786" s="36"/>
      <c r="E786" s="23"/>
      <c r="F786" s="23"/>
      <c r="G786" s="23"/>
      <c r="H786" s="23"/>
      <c r="I786" s="23"/>
      <c r="J786" s="23"/>
      <c r="K786" s="23"/>
      <c r="L786" s="23"/>
      <c r="M786" s="36"/>
      <c r="N786" s="23"/>
      <c r="O786" s="23"/>
      <c r="P786" s="23"/>
      <c r="Q786" s="23"/>
      <c r="R786" s="23"/>
      <c r="S786" s="23"/>
      <c r="T786" s="23"/>
      <c r="U786" s="23"/>
      <c r="V786" s="36"/>
      <c r="W786" s="42"/>
      <c r="X786" s="42"/>
      <c r="Y786" s="23"/>
      <c r="Z786" s="42"/>
      <c r="AA786" s="42"/>
      <c r="AB786" s="23"/>
      <c r="AC786" s="23"/>
      <c r="AD786" s="23"/>
      <c r="AE786" s="36"/>
      <c r="AF786" s="23"/>
    </row>
    <row r="787" spans="1:32" ht="15.75" x14ac:dyDescent="0.25">
      <c r="A787" s="44"/>
      <c r="B787" s="23"/>
      <c r="C787" s="23"/>
      <c r="D787" s="36"/>
      <c r="E787" s="23"/>
      <c r="F787" s="23"/>
      <c r="G787" s="23"/>
      <c r="H787" s="23"/>
      <c r="I787" s="23"/>
      <c r="J787" s="23"/>
      <c r="K787" s="23"/>
      <c r="L787" s="23"/>
      <c r="M787" s="36"/>
      <c r="N787" s="23"/>
      <c r="O787" s="23"/>
      <c r="P787" s="23"/>
      <c r="Q787" s="23"/>
      <c r="R787" s="23"/>
      <c r="S787" s="23"/>
      <c r="T787" s="23"/>
      <c r="U787" s="23"/>
      <c r="V787" s="36"/>
      <c r="W787" s="42"/>
      <c r="X787" s="42"/>
      <c r="Y787" s="23"/>
      <c r="Z787" s="42"/>
      <c r="AA787" s="42"/>
      <c r="AB787" s="23"/>
      <c r="AC787" s="23"/>
      <c r="AD787" s="23"/>
      <c r="AE787" s="36"/>
      <c r="AF787" s="23"/>
    </row>
    <row r="788" spans="1:32" ht="15.75" x14ac:dyDescent="0.25">
      <c r="A788" s="44"/>
      <c r="B788" s="23"/>
      <c r="C788" s="23"/>
      <c r="D788" s="36"/>
      <c r="E788" s="23"/>
      <c r="F788" s="23"/>
      <c r="G788" s="23"/>
      <c r="H788" s="23"/>
      <c r="I788" s="23"/>
      <c r="J788" s="23"/>
      <c r="K788" s="23"/>
      <c r="L788" s="23"/>
      <c r="M788" s="36"/>
      <c r="N788" s="23"/>
      <c r="O788" s="23"/>
      <c r="P788" s="23"/>
      <c r="Q788" s="23"/>
      <c r="R788" s="23"/>
      <c r="S788" s="23"/>
      <c r="T788" s="23"/>
      <c r="U788" s="23"/>
      <c r="V788" s="36"/>
      <c r="W788" s="42"/>
      <c r="X788" s="42"/>
      <c r="Y788" s="23"/>
      <c r="Z788" s="42"/>
      <c r="AA788" s="42"/>
      <c r="AB788" s="23"/>
      <c r="AC788" s="23"/>
      <c r="AD788" s="23"/>
      <c r="AE788" s="36"/>
      <c r="AF788" s="23"/>
    </row>
    <row r="789" spans="1:32" ht="15.75" x14ac:dyDescent="0.25">
      <c r="A789" s="44"/>
      <c r="B789" s="23"/>
      <c r="C789" s="23"/>
      <c r="D789" s="36"/>
      <c r="E789" s="23"/>
      <c r="F789" s="23"/>
      <c r="G789" s="23"/>
      <c r="H789" s="23"/>
      <c r="I789" s="23"/>
      <c r="J789" s="23"/>
      <c r="K789" s="23"/>
      <c r="L789" s="23"/>
      <c r="M789" s="36"/>
      <c r="N789" s="23"/>
      <c r="O789" s="23"/>
      <c r="P789" s="23"/>
      <c r="Q789" s="23"/>
      <c r="R789" s="23"/>
      <c r="S789" s="23"/>
      <c r="T789" s="23"/>
      <c r="U789" s="23"/>
      <c r="V789" s="36"/>
      <c r="W789" s="42"/>
      <c r="X789" s="42"/>
      <c r="Y789" s="23"/>
      <c r="Z789" s="42"/>
      <c r="AA789" s="42"/>
      <c r="AB789" s="23"/>
      <c r="AC789" s="23"/>
      <c r="AD789" s="23"/>
      <c r="AE789" s="36"/>
      <c r="AF789" s="23"/>
    </row>
    <row r="790" spans="1:32" ht="15.75" x14ac:dyDescent="0.25">
      <c r="A790" s="44"/>
      <c r="B790" s="23"/>
      <c r="C790" s="23"/>
      <c r="D790" s="36"/>
      <c r="E790" s="23"/>
      <c r="F790" s="23"/>
      <c r="G790" s="23"/>
      <c r="H790" s="23"/>
      <c r="I790" s="23"/>
      <c r="J790" s="23"/>
      <c r="K790" s="23"/>
      <c r="L790" s="23"/>
      <c r="M790" s="36"/>
      <c r="N790" s="23"/>
      <c r="O790" s="23"/>
      <c r="P790" s="23"/>
      <c r="Q790" s="23"/>
      <c r="R790" s="23"/>
      <c r="S790" s="23"/>
      <c r="T790" s="23"/>
      <c r="U790" s="23"/>
      <c r="V790" s="36"/>
      <c r="W790" s="42"/>
      <c r="X790" s="42"/>
      <c r="Y790" s="23"/>
      <c r="Z790" s="42"/>
      <c r="AA790" s="42"/>
      <c r="AB790" s="23"/>
      <c r="AC790" s="23"/>
      <c r="AD790" s="23"/>
      <c r="AE790" s="36"/>
      <c r="AF790" s="23"/>
    </row>
    <row r="791" spans="1:32" ht="15.75" x14ac:dyDescent="0.25">
      <c r="A791" s="44"/>
      <c r="B791" s="23"/>
      <c r="C791" s="23"/>
      <c r="D791" s="36"/>
      <c r="E791" s="23"/>
      <c r="F791" s="23"/>
      <c r="G791" s="23"/>
      <c r="H791" s="23"/>
      <c r="I791" s="23"/>
      <c r="J791" s="23"/>
      <c r="K791" s="23"/>
      <c r="L791" s="23"/>
      <c r="M791" s="36"/>
      <c r="N791" s="23"/>
      <c r="O791" s="23"/>
      <c r="P791" s="23"/>
      <c r="Q791" s="23"/>
      <c r="R791" s="23"/>
      <c r="S791" s="23"/>
      <c r="T791" s="23"/>
      <c r="U791" s="23"/>
      <c r="V791" s="36"/>
      <c r="W791" s="42"/>
      <c r="X791" s="42"/>
      <c r="Y791" s="23"/>
      <c r="Z791" s="42"/>
      <c r="AA791" s="42"/>
      <c r="AB791" s="23"/>
      <c r="AC791" s="23"/>
      <c r="AD791" s="23"/>
      <c r="AE791" s="36"/>
      <c r="AF791" s="23"/>
    </row>
    <row r="792" spans="1:32" ht="15.75" x14ac:dyDescent="0.25">
      <c r="A792" s="44"/>
      <c r="B792" s="23"/>
      <c r="C792" s="23"/>
      <c r="D792" s="36"/>
      <c r="E792" s="23"/>
      <c r="F792" s="23"/>
      <c r="G792" s="23"/>
      <c r="H792" s="23"/>
      <c r="I792" s="23"/>
      <c r="J792" s="23"/>
      <c r="K792" s="23"/>
      <c r="L792" s="23"/>
      <c r="M792" s="36"/>
      <c r="N792" s="23"/>
      <c r="O792" s="23"/>
      <c r="P792" s="23"/>
      <c r="Q792" s="23"/>
      <c r="R792" s="23"/>
      <c r="S792" s="23"/>
      <c r="T792" s="23"/>
      <c r="U792" s="23"/>
      <c r="V792" s="36"/>
      <c r="W792" s="42"/>
      <c r="X792" s="42"/>
      <c r="Y792" s="23"/>
      <c r="Z792" s="42"/>
      <c r="AA792" s="42"/>
      <c r="AB792" s="23"/>
      <c r="AC792" s="23"/>
      <c r="AD792" s="23"/>
      <c r="AE792" s="36"/>
      <c r="AF792" s="23"/>
    </row>
    <row r="793" spans="1:32" ht="15.75" x14ac:dyDescent="0.25">
      <c r="A793" s="44"/>
      <c r="B793" s="23"/>
      <c r="C793" s="23"/>
      <c r="D793" s="36"/>
      <c r="E793" s="23"/>
      <c r="F793" s="23"/>
      <c r="G793" s="23"/>
      <c r="H793" s="23"/>
      <c r="I793" s="23"/>
      <c r="J793" s="23"/>
      <c r="K793" s="23"/>
      <c r="L793" s="23"/>
      <c r="M793" s="36"/>
      <c r="N793" s="23"/>
      <c r="O793" s="23"/>
      <c r="P793" s="23"/>
      <c r="Q793" s="23"/>
      <c r="R793" s="23"/>
      <c r="S793" s="23"/>
      <c r="T793" s="23"/>
      <c r="U793" s="23"/>
      <c r="V793" s="36"/>
      <c r="W793" s="42"/>
      <c r="X793" s="42"/>
      <c r="Y793" s="23"/>
      <c r="Z793" s="42"/>
      <c r="AA793" s="42"/>
      <c r="AB793" s="23"/>
      <c r="AC793" s="23"/>
      <c r="AD793" s="23"/>
      <c r="AE793" s="36"/>
      <c r="AF793" s="23"/>
    </row>
    <row r="794" spans="1:32" ht="15.75" x14ac:dyDescent="0.25">
      <c r="A794" s="44"/>
      <c r="B794" s="23"/>
      <c r="C794" s="23"/>
      <c r="D794" s="36"/>
      <c r="E794" s="23"/>
      <c r="F794" s="23"/>
      <c r="G794" s="23"/>
      <c r="H794" s="23"/>
      <c r="I794" s="23"/>
      <c r="J794" s="23"/>
      <c r="K794" s="23"/>
      <c r="L794" s="23"/>
      <c r="M794" s="36"/>
      <c r="N794" s="23"/>
      <c r="O794" s="23"/>
      <c r="P794" s="23"/>
      <c r="Q794" s="23"/>
      <c r="R794" s="23"/>
      <c r="S794" s="23"/>
      <c r="T794" s="23"/>
      <c r="U794" s="23"/>
      <c r="V794" s="36"/>
      <c r="W794" s="42"/>
      <c r="X794" s="42"/>
      <c r="Y794" s="23"/>
      <c r="Z794" s="42"/>
      <c r="AA794" s="42"/>
      <c r="AB794" s="23"/>
      <c r="AC794" s="23"/>
      <c r="AD794" s="23"/>
      <c r="AE794" s="36"/>
      <c r="AF794" s="23"/>
    </row>
    <row r="795" spans="1:32" ht="15.75" x14ac:dyDescent="0.25">
      <c r="A795" s="44"/>
      <c r="B795" s="23"/>
      <c r="C795" s="23"/>
      <c r="D795" s="36"/>
      <c r="E795" s="23"/>
      <c r="F795" s="23"/>
      <c r="G795" s="23"/>
      <c r="H795" s="23"/>
      <c r="I795" s="23"/>
      <c r="J795" s="23"/>
      <c r="K795" s="23"/>
      <c r="L795" s="23"/>
      <c r="M795" s="36"/>
      <c r="N795" s="23"/>
      <c r="O795" s="23"/>
      <c r="P795" s="23"/>
      <c r="Q795" s="23"/>
      <c r="R795" s="23"/>
      <c r="S795" s="23"/>
      <c r="T795" s="23"/>
      <c r="U795" s="23"/>
      <c r="V795" s="36"/>
      <c r="W795" s="42"/>
      <c r="X795" s="42"/>
      <c r="Y795" s="23"/>
      <c r="Z795" s="42"/>
      <c r="AA795" s="42"/>
      <c r="AB795" s="23"/>
      <c r="AC795" s="23"/>
      <c r="AD795" s="23"/>
      <c r="AE795" s="36"/>
      <c r="AF795" s="23"/>
    </row>
    <row r="796" spans="1:32" ht="15.75" x14ac:dyDescent="0.25">
      <c r="A796" s="44"/>
      <c r="B796" s="23"/>
      <c r="C796" s="23"/>
      <c r="D796" s="36"/>
      <c r="E796" s="23"/>
      <c r="F796" s="23"/>
      <c r="G796" s="23"/>
      <c r="H796" s="23"/>
      <c r="I796" s="23"/>
      <c r="J796" s="23"/>
      <c r="K796" s="23"/>
      <c r="L796" s="23"/>
      <c r="M796" s="36"/>
      <c r="N796" s="23"/>
      <c r="O796" s="23"/>
      <c r="P796" s="23"/>
      <c r="Q796" s="23"/>
      <c r="R796" s="23"/>
      <c r="S796" s="23"/>
      <c r="T796" s="23"/>
      <c r="U796" s="23"/>
      <c r="V796" s="36"/>
      <c r="W796" s="42"/>
      <c r="X796" s="42"/>
      <c r="Y796" s="23"/>
      <c r="Z796" s="42"/>
      <c r="AA796" s="42"/>
      <c r="AB796" s="23"/>
      <c r="AC796" s="23"/>
      <c r="AD796" s="23"/>
      <c r="AE796" s="36"/>
      <c r="AF796" s="23"/>
    </row>
    <row r="797" spans="1:32" ht="15.75" x14ac:dyDescent="0.25">
      <c r="A797" s="44"/>
      <c r="B797" s="23"/>
      <c r="C797" s="23"/>
      <c r="D797" s="36"/>
      <c r="E797" s="23"/>
      <c r="F797" s="23"/>
      <c r="G797" s="23"/>
      <c r="H797" s="23"/>
      <c r="I797" s="23"/>
      <c r="J797" s="23"/>
      <c r="K797" s="23"/>
      <c r="L797" s="23"/>
      <c r="M797" s="36"/>
      <c r="N797" s="23"/>
      <c r="O797" s="23"/>
      <c r="P797" s="23"/>
      <c r="Q797" s="23"/>
      <c r="R797" s="23"/>
      <c r="S797" s="23"/>
      <c r="T797" s="23"/>
      <c r="U797" s="23"/>
      <c r="V797" s="36"/>
      <c r="W797" s="42"/>
      <c r="X797" s="42"/>
      <c r="Y797" s="23"/>
      <c r="Z797" s="42"/>
      <c r="AA797" s="42"/>
      <c r="AB797" s="23"/>
      <c r="AC797" s="23"/>
      <c r="AD797" s="23"/>
      <c r="AE797" s="36"/>
      <c r="AF797" s="23"/>
    </row>
    <row r="798" spans="1:32" ht="15.75" x14ac:dyDescent="0.25">
      <c r="A798" s="44"/>
      <c r="B798" s="23"/>
      <c r="C798" s="23"/>
      <c r="D798" s="36"/>
      <c r="E798" s="23"/>
      <c r="F798" s="23"/>
      <c r="G798" s="23"/>
      <c r="H798" s="23"/>
      <c r="I798" s="23"/>
      <c r="J798" s="23"/>
      <c r="K798" s="23"/>
      <c r="L798" s="23"/>
      <c r="M798" s="36"/>
      <c r="N798" s="23"/>
      <c r="O798" s="23"/>
      <c r="P798" s="23"/>
      <c r="Q798" s="23"/>
      <c r="R798" s="23"/>
      <c r="S798" s="23"/>
      <c r="T798" s="23"/>
      <c r="U798" s="23"/>
      <c r="V798" s="36"/>
      <c r="W798" s="42"/>
      <c r="X798" s="42"/>
      <c r="Y798" s="23"/>
      <c r="Z798" s="42"/>
      <c r="AA798" s="42"/>
      <c r="AB798" s="23"/>
      <c r="AC798" s="23"/>
      <c r="AD798" s="23"/>
      <c r="AE798" s="36"/>
      <c r="AF798" s="23"/>
    </row>
    <row r="799" spans="1:32" ht="15.75" x14ac:dyDescent="0.25">
      <c r="A799" s="44"/>
      <c r="B799" s="23"/>
      <c r="C799" s="23"/>
      <c r="D799" s="36"/>
      <c r="E799" s="23"/>
      <c r="F799" s="23"/>
      <c r="G799" s="23"/>
      <c r="H799" s="23"/>
      <c r="I799" s="23"/>
      <c r="J799" s="23"/>
      <c r="K799" s="23"/>
      <c r="L799" s="23"/>
      <c r="M799" s="36"/>
      <c r="N799" s="23"/>
      <c r="O799" s="23"/>
      <c r="P799" s="23"/>
      <c r="Q799" s="23"/>
      <c r="R799" s="23"/>
      <c r="S799" s="23"/>
      <c r="T799" s="23"/>
      <c r="U799" s="23"/>
      <c r="V799" s="36"/>
      <c r="W799" s="42"/>
      <c r="X799" s="42"/>
      <c r="Y799" s="23"/>
      <c r="Z799" s="42"/>
      <c r="AA799" s="42"/>
      <c r="AB799" s="23"/>
      <c r="AC799" s="23"/>
      <c r="AD799" s="23"/>
      <c r="AE799" s="36"/>
      <c r="AF799" s="23"/>
    </row>
    <row r="800" spans="1:32" ht="15.75" x14ac:dyDescent="0.25">
      <c r="A800" s="44"/>
      <c r="B800" s="23"/>
      <c r="C800" s="23"/>
      <c r="D800" s="36"/>
      <c r="E800" s="23"/>
      <c r="F800" s="23"/>
      <c r="G800" s="23"/>
      <c r="H800" s="23"/>
      <c r="I800" s="23"/>
      <c r="J800" s="23"/>
      <c r="K800" s="23"/>
      <c r="L800" s="23"/>
      <c r="M800" s="36"/>
      <c r="N800" s="23"/>
      <c r="O800" s="23"/>
      <c r="P800" s="23"/>
      <c r="Q800" s="23"/>
      <c r="R800" s="23"/>
      <c r="S800" s="23"/>
      <c r="T800" s="23"/>
      <c r="U800" s="23"/>
      <c r="V800" s="36"/>
      <c r="W800" s="42"/>
      <c r="X800" s="42"/>
      <c r="Y800" s="23"/>
      <c r="Z800" s="42"/>
      <c r="AA800" s="42"/>
      <c r="AB800" s="23"/>
      <c r="AC800" s="23"/>
      <c r="AD800" s="23"/>
      <c r="AE800" s="36"/>
      <c r="AF800" s="23"/>
    </row>
    <row r="801" spans="1:32" ht="15.75" x14ac:dyDescent="0.25">
      <c r="A801" s="44"/>
      <c r="B801" s="23"/>
      <c r="C801" s="23"/>
      <c r="D801" s="36"/>
      <c r="E801" s="23"/>
      <c r="F801" s="23"/>
      <c r="G801" s="23"/>
      <c r="H801" s="23"/>
      <c r="I801" s="23"/>
      <c r="J801" s="23"/>
      <c r="K801" s="23"/>
      <c r="L801" s="23"/>
      <c r="M801" s="36"/>
      <c r="N801" s="23"/>
      <c r="O801" s="23"/>
      <c r="P801" s="23"/>
      <c r="Q801" s="23"/>
      <c r="R801" s="23"/>
      <c r="S801" s="23"/>
      <c r="T801" s="23"/>
      <c r="U801" s="23"/>
      <c r="V801" s="36"/>
      <c r="W801" s="42"/>
      <c r="X801" s="42"/>
      <c r="Y801" s="23"/>
      <c r="Z801" s="42"/>
      <c r="AA801" s="42"/>
      <c r="AB801" s="23"/>
      <c r="AC801" s="23"/>
      <c r="AD801" s="23"/>
      <c r="AE801" s="36"/>
      <c r="AF801" s="23"/>
    </row>
    <row r="802" spans="1:32" ht="15.75" x14ac:dyDescent="0.25">
      <c r="A802" s="44"/>
      <c r="B802" s="23"/>
      <c r="C802" s="23"/>
      <c r="D802" s="36"/>
      <c r="E802" s="23"/>
      <c r="F802" s="23"/>
      <c r="G802" s="23"/>
      <c r="H802" s="23"/>
      <c r="I802" s="23"/>
      <c r="J802" s="23"/>
      <c r="K802" s="23"/>
      <c r="L802" s="23"/>
      <c r="M802" s="36"/>
      <c r="N802" s="23"/>
      <c r="O802" s="23"/>
      <c r="P802" s="23"/>
      <c r="Q802" s="23"/>
      <c r="R802" s="23"/>
      <c r="S802" s="23"/>
      <c r="T802" s="23"/>
      <c r="U802" s="23"/>
      <c r="V802" s="36"/>
      <c r="W802" s="42"/>
      <c r="X802" s="42"/>
      <c r="Y802" s="23"/>
      <c r="Z802" s="42"/>
      <c r="AA802" s="42"/>
      <c r="AB802" s="23"/>
      <c r="AC802" s="23"/>
      <c r="AD802" s="23"/>
      <c r="AE802" s="36"/>
      <c r="AF802" s="23"/>
    </row>
    <row r="803" spans="1:32" ht="15.75" x14ac:dyDescent="0.25">
      <c r="A803" s="44"/>
      <c r="B803" s="23"/>
      <c r="C803" s="23"/>
      <c r="D803" s="36"/>
      <c r="E803" s="23"/>
      <c r="F803" s="23"/>
      <c r="G803" s="23"/>
      <c r="H803" s="23"/>
      <c r="I803" s="23"/>
      <c r="J803" s="23"/>
      <c r="K803" s="23"/>
      <c r="L803" s="23"/>
      <c r="M803" s="36"/>
      <c r="N803" s="23"/>
      <c r="O803" s="23"/>
      <c r="P803" s="23"/>
      <c r="Q803" s="23"/>
      <c r="R803" s="23"/>
      <c r="S803" s="23"/>
      <c r="T803" s="23"/>
      <c r="U803" s="23"/>
      <c r="V803" s="36"/>
      <c r="W803" s="42"/>
      <c r="X803" s="42"/>
      <c r="Y803" s="23"/>
      <c r="Z803" s="42"/>
      <c r="AA803" s="42"/>
      <c r="AB803" s="23"/>
      <c r="AC803" s="23"/>
      <c r="AD803" s="23"/>
      <c r="AE803" s="36"/>
      <c r="AF803" s="23"/>
    </row>
    <row r="804" spans="1:32" ht="15.75" x14ac:dyDescent="0.25">
      <c r="A804" s="44"/>
      <c r="B804" s="23"/>
      <c r="C804" s="23"/>
      <c r="D804" s="36"/>
      <c r="E804" s="23"/>
      <c r="F804" s="23"/>
      <c r="G804" s="23"/>
      <c r="H804" s="23"/>
      <c r="I804" s="23"/>
      <c r="J804" s="23"/>
      <c r="K804" s="23"/>
      <c r="L804" s="23"/>
      <c r="M804" s="36"/>
      <c r="N804" s="23"/>
      <c r="O804" s="23"/>
      <c r="P804" s="23"/>
      <c r="Q804" s="23"/>
      <c r="R804" s="23"/>
      <c r="S804" s="23"/>
      <c r="T804" s="23"/>
      <c r="U804" s="23"/>
      <c r="V804" s="36"/>
      <c r="W804" s="42"/>
      <c r="X804" s="42"/>
      <c r="Y804" s="23"/>
      <c r="Z804" s="42"/>
      <c r="AA804" s="42"/>
      <c r="AB804" s="23"/>
      <c r="AC804" s="23"/>
      <c r="AD804" s="23"/>
      <c r="AE804" s="36"/>
      <c r="AF804" s="23"/>
    </row>
    <row r="805" spans="1:32" ht="15.75" x14ac:dyDescent="0.25">
      <c r="A805" s="44"/>
      <c r="B805" s="23"/>
      <c r="C805" s="23"/>
      <c r="D805" s="36"/>
      <c r="E805" s="23"/>
      <c r="F805" s="23"/>
      <c r="G805" s="23"/>
      <c r="H805" s="23"/>
      <c r="I805" s="23"/>
      <c r="J805" s="23"/>
      <c r="K805" s="23"/>
      <c r="L805" s="23"/>
      <c r="M805" s="36"/>
      <c r="N805" s="23"/>
      <c r="O805" s="23"/>
      <c r="P805" s="23"/>
      <c r="Q805" s="23"/>
      <c r="R805" s="23"/>
      <c r="S805" s="23"/>
      <c r="T805" s="23"/>
      <c r="U805" s="23"/>
      <c r="V805" s="36"/>
      <c r="W805" s="42"/>
      <c r="X805" s="42"/>
      <c r="Y805" s="23"/>
      <c r="Z805" s="42"/>
      <c r="AA805" s="42"/>
      <c r="AB805" s="23"/>
      <c r="AC805" s="23"/>
      <c r="AD805" s="23"/>
      <c r="AE805" s="36"/>
      <c r="AF805" s="23"/>
    </row>
    <row r="806" spans="1:32" ht="15.75" x14ac:dyDescent="0.25">
      <c r="A806" s="44"/>
      <c r="B806" s="23"/>
      <c r="C806" s="23"/>
      <c r="D806" s="36"/>
      <c r="E806" s="23"/>
      <c r="F806" s="23"/>
      <c r="G806" s="23"/>
      <c r="H806" s="23"/>
      <c r="I806" s="23"/>
      <c r="J806" s="23"/>
      <c r="K806" s="23"/>
      <c r="L806" s="23"/>
      <c r="M806" s="36"/>
      <c r="N806" s="23"/>
      <c r="O806" s="23"/>
      <c r="P806" s="23"/>
      <c r="Q806" s="23"/>
      <c r="R806" s="23"/>
      <c r="S806" s="23"/>
      <c r="T806" s="23"/>
      <c r="U806" s="23"/>
      <c r="V806" s="36"/>
      <c r="W806" s="42"/>
      <c r="X806" s="42"/>
      <c r="Y806" s="23"/>
      <c r="Z806" s="42"/>
      <c r="AA806" s="42"/>
      <c r="AB806" s="23"/>
      <c r="AC806" s="23"/>
      <c r="AD806" s="23"/>
      <c r="AE806" s="36"/>
      <c r="AF806" s="23"/>
    </row>
    <row r="807" spans="1:32" ht="15.75" x14ac:dyDescent="0.25">
      <c r="A807" s="44"/>
      <c r="B807" s="23"/>
      <c r="C807" s="23"/>
      <c r="D807" s="36"/>
      <c r="E807" s="23"/>
      <c r="F807" s="23"/>
      <c r="G807" s="23"/>
      <c r="H807" s="23"/>
      <c r="I807" s="23"/>
      <c r="J807" s="23"/>
      <c r="K807" s="23"/>
      <c r="L807" s="23"/>
      <c r="M807" s="36"/>
      <c r="N807" s="23"/>
      <c r="O807" s="23"/>
      <c r="P807" s="23"/>
      <c r="Q807" s="23"/>
      <c r="R807" s="23"/>
      <c r="S807" s="23"/>
      <c r="T807" s="23"/>
      <c r="U807" s="23"/>
      <c r="V807" s="36"/>
      <c r="W807" s="42"/>
      <c r="X807" s="42"/>
      <c r="Y807" s="23"/>
      <c r="Z807" s="42"/>
      <c r="AA807" s="42"/>
      <c r="AB807" s="23"/>
      <c r="AC807" s="23"/>
      <c r="AD807" s="23"/>
      <c r="AE807" s="36"/>
      <c r="AF807" s="23"/>
    </row>
    <row r="808" spans="1:32" ht="15.75" x14ac:dyDescent="0.25">
      <c r="A808" s="44"/>
      <c r="B808" s="23"/>
      <c r="C808" s="23"/>
      <c r="D808" s="36"/>
      <c r="E808" s="23"/>
      <c r="F808" s="23"/>
      <c r="G808" s="23"/>
      <c r="H808" s="23"/>
      <c r="I808" s="23"/>
      <c r="J808" s="23"/>
      <c r="K808" s="23"/>
      <c r="L808" s="23"/>
      <c r="M808" s="36"/>
      <c r="N808" s="23"/>
      <c r="O808" s="23"/>
      <c r="P808" s="23"/>
      <c r="Q808" s="23"/>
      <c r="R808" s="23"/>
      <c r="S808" s="23"/>
      <c r="T808" s="23"/>
      <c r="U808" s="23"/>
      <c r="V808" s="36"/>
      <c r="W808" s="42"/>
      <c r="X808" s="42"/>
      <c r="Y808" s="23"/>
      <c r="Z808" s="42"/>
      <c r="AA808" s="42"/>
      <c r="AB808" s="23"/>
      <c r="AC808" s="23"/>
      <c r="AD808" s="23"/>
      <c r="AE808" s="36"/>
      <c r="AF808" s="23"/>
    </row>
    <row r="809" spans="1:32" ht="15.75" x14ac:dyDescent="0.25">
      <c r="A809" s="44"/>
      <c r="B809" s="23"/>
      <c r="C809" s="23"/>
      <c r="D809" s="36"/>
      <c r="E809" s="23"/>
      <c r="F809" s="23"/>
      <c r="G809" s="23"/>
      <c r="H809" s="23"/>
      <c r="I809" s="23"/>
      <c r="J809" s="23"/>
      <c r="K809" s="23"/>
      <c r="L809" s="23"/>
      <c r="M809" s="36"/>
      <c r="N809" s="23"/>
      <c r="O809" s="23"/>
      <c r="P809" s="23"/>
      <c r="Q809" s="23"/>
      <c r="R809" s="23"/>
      <c r="S809" s="23"/>
      <c r="T809" s="23"/>
      <c r="U809" s="23"/>
      <c r="V809" s="36"/>
      <c r="W809" s="42"/>
      <c r="X809" s="42"/>
      <c r="Y809" s="23"/>
      <c r="Z809" s="42"/>
      <c r="AA809" s="42"/>
      <c r="AB809" s="23"/>
      <c r="AC809" s="23"/>
      <c r="AD809" s="23"/>
      <c r="AE809" s="36"/>
      <c r="AF809" s="23"/>
    </row>
    <row r="810" spans="1:32" ht="15.75" x14ac:dyDescent="0.25">
      <c r="A810" s="44"/>
      <c r="B810" s="23"/>
      <c r="C810" s="23"/>
      <c r="D810" s="36"/>
      <c r="E810" s="23"/>
      <c r="F810" s="23"/>
      <c r="G810" s="23"/>
      <c r="H810" s="23"/>
      <c r="I810" s="23"/>
      <c r="J810" s="23"/>
      <c r="K810" s="23"/>
      <c r="L810" s="23"/>
      <c r="M810" s="36"/>
      <c r="N810" s="23"/>
      <c r="O810" s="23"/>
      <c r="P810" s="23"/>
      <c r="Q810" s="23"/>
      <c r="R810" s="23"/>
      <c r="S810" s="23"/>
      <c r="T810" s="23"/>
      <c r="U810" s="23"/>
      <c r="V810" s="36"/>
      <c r="W810" s="42"/>
      <c r="X810" s="42"/>
      <c r="Y810" s="23"/>
      <c r="Z810" s="42"/>
      <c r="AA810" s="42"/>
      <c r="AB810" s="23"/>
      <c r="AC810" s="23"/>
      <c r="AD810" s="23"/>
      <c r="AE810" s="36"/>
      <c r="AF810" s="23"/>
    </row>
    <row r="811" spans="1:32" ht="15.75" x14ac:dyDescent="0.25">
      <c r="A811" s="44"/>
      <c r="B811" s="23"/>
      <c r="C811" s="23"/>
      <c r="D811" s="36"/>
      <c r="E811" s="23"/>
      <c r="F811" s="23"/>
      <c r="G811" s="23"/>
      <c r="H811" s="23"/>
      <c r="I811" s="23"/>
      <c r="J811" s="23"/>
      <c r="K811" s="23"/>
      <c r="L811" s="23"/>
      <c r="M811" s="36"/>
      <c r="N811" s="23"/>
      <c r="O811" s="23"/>
      <c r="P811" s="23"/>
      <c r="Q811" s="23"/>
      <c r="R811" s="23"/>
      <c r="S811" s="23"/>
      <c r="T811" s="23"/>
      <c r="U811" s="23"/>
      <c r="V811" s="36"/>
      <c r="W811" s="42"/>
      <c r="X811" s="42"/>
      <c r="Y811" s="23"/>
      <c r="Z811" s="42"/>
      <c r="AA811" s="42"/>
      <c r="AB811" s="23"/>
      <c r="AC811" s="23"/>
      <c r="AD811" s="23"/>
      <c r="AE811" s="36"/>
      <c r="AF811" s="23"/>
    </row>
    <row r="812" spans="1:32" ht="15.75" x14ac:dyDescent="0.25">
      <c r="A812" s="44"/>
      <c r="B812" s="23"/>
      <c r="C812" s="23"/>
      <c r="D812" s="36"/>
      <c r="E812" s="23"/>
      <c r="F812" s="23"/>
      <c r="G812" s="23"/>
      <c r="H812" s="23"/>
      <c r="I812" s="23"/>
      <c r="J812" s="23"/>
      <c r="K812" s="23"/>
      <c r="L812" s="23"/>
      <c r="M812" s="36"/>
      <c r="N812" s="23"/>
      <c r="O812" s="23"/>
      <c r="P812" s="23"/>
      <c r="Q812" s="23"/>
      <c r="R812" s="23"/>
      <c r="S812" s="23"/>
      <c r="T812" s="23"/>
      <c r="U812" s="23"/>
      <c r="V812" s="36"/>
      <c r="W812" s="42"/>
      <c r="X812" s="42"/>
      <c r="Y812" s="23"/>
      <c r="Z812" s="42"/>
      <c r="AA812" s="42"/>
      <c r="AB812" s="23"/>
      <c r="AC812" s="23"/>
      <c r="AD812" s="23"/>
      <c r="AE812" s="36"/>
      <c r="AF812" s="23"/>
    </row>
    <row r="813" spans="1:32" ht="15.75" x14ac:dyDescent="0.25">
      <c r="A813" s="44"/>
      <c r="B813" s="23"/>
      <c r="C813" s="23"/>
      <c r="D813" s="36"/>
      <c r="E813" s="23"/>
      <c r="F813" s="23"/>
      <c r="G813" s="23"/>
      <c r="H813" s="23"/>
      <c r="I813" s="23"/>
      <c r="J813" s="23"/>
      <c r="K813" s="23"/>
      <c r="L813" s="23"/>
      <c r="M813" s="36"/>
      <c r="N813" s="23"/>
      <c r="O813" s="23"/>
      <c r="P813" s="23"/>
      <c r="Q813" s="23"/>
      <c r="R813" s="23"/>
      <c r="S813" s="23"/>
      <c r="T813" s="23"/>
      <c r="U813" s="23"/>
      <c r="V813" s="36"/>
      <c r="W813" s="42"/>
      <c r="X813" s="42"/>
      <c r="Y813" s="23"/>
      <c r="Z813" s="42"/>
      <c r="AA813" s="42"/>
      <c r="AB813" s="23"/>
      <c r="AC813" s="23"/>
      <c r="AD813" s="23"/>
      <c r="AE813" s="36"/>
      <c r="AF813" s="23"/>
    </row>
    <row r="814" spans="1:32" ht="15.75" x14ac:dyDescent="0.25">
      <c r="A814" s="44"/>
      <c r="B814" s="23"/>
      <c r="C814" s="23"/>
      <c r="D814" s="36"/>
      <c r="E814" s="23"/>
      <c r="F814" s="23"/>
      <c r="G814" s="23"/>
      <c r="H814" s="23"/>
      <c r="I814" s="23"/>
      <c r="J814" s="23"/>
      <c r="K814" s="23"/>
      <c r="L814" s="23"/>
      <c r="M814" s="36"/>
      <c r="N814" s="23"/>
      <c r="O814" s="23"/>
      <c r="P814" s="23"/>
      <c r="Q814" s="23"/>
      <c r="R814" s="23"/>
      <c r="S814" s="23"/>
      <c r="T814" s="23"/>
      <c r="U814" s="23"/>
      <c r="V814" s="36"/>
      <c r="W814" s="42"/>
      <c r="X814" s="42"/>
      <c r="Y814" s="23"/>
      <c r="Z814" s="42"/>
      <c r="AA814" s="42"/>
      <c r="AB814" s="23"/>
      <c r="AC814" s="23"/>
      <c r="AD814" s="23"/>
      <c r="AE814" s="36"/>
      <c r="AF814" s="23"/>
    </row>
    <row r="815" spans="1:32" ht="15.75" x14ac:dyDescent="0.25">
      <c r="A815" s="44"/>
      <c r="B815" s="23"/>
      <c r="C815" s="23"/>
      <c r="D815" s="36"/>
      <c r="E815" s="23"/>
      <c r="F815" s="23"/>
      <c r="G815" s="23"/>
      <c r="H815" s="23"/>
      <c r="I815" s="23"/>
      <c r="J815" s="23"/>
      <c r="K815" s="23"/>
      <c r="L815" s="23"/>
      <c r="M815" s="36"/>
      <c r="N815" s="23"/>
      <c r="O815" s="23"/>
      <c r="P815" s="23"/>
      <c r="Q815" s="23"/>
      <c r="R815" s="23"/>
      <c r="S815" s="23"/>
      <c r="T815" s="23"/>
      <c r="U815" s="23"/>
      <c r="V815" s="36"/>
      <c r="W815" s="42"/>
      <c r="X815" s="42"/>
      <c r="Y815" s="23"/>
      <c r="Z815" s="42"/>
      <c r="AA815" s="42"/>
      <c r="AB815" s="23"/>
      <c r="AC815" s="23"/>
      <c r="AD815" s="23"/>
      <c r="AE815" s="36"/>
      <c r="AF815" s="23"/>
    </row>
    <row r="816" spans="1:32" ht="15.75" x14ac:dyDescent="0.25">
      <c r="A816" s="44"/>
      <c r="B816" s="23"/>
      <c r="C816" s="23"/>
      <c r="D816" s="36"/>
      <c r="E816" s="23"/>
      <c r="F816" s="23"/>
      <c r="G816" s="23"/>
      <c r="H816" s="23"/>
      <c r="I816" s="23"/>
      <c r="J816" s="23"/>
      <c r="K816" s="23"/>
      <c r="L816" s="23"/>
      <c r="M816" s="36"/>
      <c r="N816" s="23"/>
      <c r="O816" s="23"/>
      <c r="P816" s="23"/>
      <c r="Q816" s="23"/>
      <c r="R816" s="23"/>
      <c r="S816" s="23"/>
      <c r="T816" s="23"/>
      <c r="U816" s="23"/>
      <c r="V816" s="36"/>
      <c r="W816" s="42"/>
      <c r="X816" s="42"/>
      <c r="Y816" s="23"/>
      <c r="Z816" s="42"/>
      <c r="AA816" s="42"/>
      <c r="AB816" s="23"/>
      <c r="AC816" s="23"/>
      <c r="AD816" s="23"/>
      <c r="AE816" s="36"/>
      <c r="AF816" s="23"/>
    </row>
    <row r="817" spans="1:32" ht="15.75" x14ac:dyDescent="0.25">
      <c r="A817" s="44"/>
      <c r="B817" s="23"/>
      <c r="C817" s="23"/>
      <c r="D817" s="36"/>
      <c r="E817" s="23"/>
      <c r="F817" s="23"/>
      <c r="G817" s="23"/>
      <c r="H817" s="23"/>
      <c r="I817" s="23"/>
      <c r="J817" s="23"/>
      <c r="K817" s="23"/>
      <c r="L817" s="23"/>
      <c r="M817" s="36"/>
      <c r="N817" s="23"/>
      <c r="O817" s="23"/>
      <c r="P817" s="23"/>
      <c r="Q817" s="23"/>
      <c r="R817" s="23"/>
      <c r="S817" s="23"/>
      <c r="T817" s="23"/>
      <c r="U817" s="23"/>
      <c r="V817" s="36"/>
      <c r="W817" s="42"/>
      <c r="X817" s="42"/>
      <c r="Y817" s="23"/>
      <c r="Z817" s="42"/>
      <c r="AA817" s="42"/>
      <c r="AB817" s="23"/>
      <c r="AC817" s="23"/>
      <c r="AD817" s="23"/>
      <c r="AE817" s="36"/>
      <c r="AF817" s="23"/>
    </row>
    <row r="818" spans="1:32" ht="15.75" x14ac:dyDescent="0.25">
      <c r="A818" s="44"/>
      <c r="B818" s="23"/>
      <c r="C818" s="23"/>
      <c r="D818" s="36"/>
      <c r="E818" s="23"/>
      <c r="F818" s="23"/>
      <c r="G818" s="23"/>
      <c r="H818" s="23"/>
      <c r="I818" s="23"/>
      <c r="J818" s="23"/>
      <c r="K818" s="23"/>
      <c r="L818" s="23"/>
      <c r="M818" s="36"/>
      <c r="N818" s="23"/>
      <c r="O818" s="23"/>
      <c r="P818" s="23"/>
      <c r="Q818" s="23"/>
      <c r="R818" s="23"/>
      <c r="S818" s="23"/>
      <c r="T818" s="23"/>
      <c r="U818" s="23"/>
      <c r="V818" s="36"/>
      <c r="W818" s="42"/>
      <c r="X818" s="42"/>
      <c r="Y818" s="23"/>
      <c r="Z818" s="42"/>
      <c r="AA818" s="42"/>
      <c r="AB818" s="23"/>
      <c r="AC818" s="23"/>
      <c r="AD818" s="23"/>
      <c r="AE818" s="36"/>
      <c r="AF818" s="23"/>
    </row>
    <row r="819" spans="1:32" ht="15.75" x14ac:dyDescent="0.25">
      <c r="A819" s="44"/>
      <c r="B819" s="23"/>
      <c r="C819" s="23"/>
      <c r="D819" s="36"/>
      <c r="E819" s="23"/>
      <c r="F819" s="23"/>
      <c r="G819" s="23"/>
      <c r="H819" s="23"/>
      <c r="I819" s="23"/>
      <c r="J819" s="23"/>
      <c r="K819" s="23"/>
      <c r="L819" s="23"/>
      <c r="M819" s="36"/>
      <c r="N819" s="23"/>
      <c r="O819" s="23"/>
      <c r="P819" s="23"/>
      <c r="Q819" s="23"/>
      <c r="R819" s="23"/>
      <c r="S819" s="23"/>
      <c r="T819" s="23"/>
      <c r="U819" s="23"/>
      <c r="V819" s="36"/>
      <c r="W819" s="42"/>
      <c r="X819" s="42"/>
      <c r="Y819" s="23"/>
      <c r="Z819" s="42"/>
      <c r="AA819" s="42"/>
      <c r="AB819" s="23"/>
      <c r="AC819" s="23"/>
      <c r="AD819" s="23"/>
      <c r="AE819" s="36"/>
      <c r="AF819" s="23"/>
    </row>
    <row r="820" spans="1:32" ht="15.75" x14ac:dyDescent="0.25">
      <c r="A820" s="44"/>
      <c r="B820" s="23"/>
      <c r="C820" s="23"/>
      <c r="D820" s="36"/>
      <c r="E820" s="23"/>
      <c r="F820" s="23"/>
      <c r="G820" s="23"/>
      <c r="H820" s="23"/>
      <c r="I820" s="23"/>
      <c r="J820" s="23"/>
      <c r="K820" s="23"/>
      <c r="L820" s="23"/>
      <c r="M820" s="36"/>
      <c r="N820" s="23"/>
      <c r="O820" s="23"/>
      <c r="P820" s="23"/>
      <c r="Q820" s="23"/>
      <c r="R820" s="23"/>
      <c r="S820" s="23"/>
      <c r="T820" s="23"/>
      <c r="U820" s="23"/>
      <c r="V820" s="36"/>
      <c r="W820" s="42"/>
      <c r="X820" s="42"/>
      <c r="Y820" s="23"/>
      <c r="Z820" s="42"/>
      <c r="AA820" s="42"/>
      <c r="AB820" s="23"/>
      <c r="AC820" s="23"/>
      <c r="AD820" s="23"/>
      <c r="AE820" s="36"/>
      <c r="AF820" s="23"/>
    </row>
    <row r="821" spans="1:32" ht="15.75" x14ac:dyDescent="0.25">
      <c r="A821" s="44"/>
      <c r="B821" s="23"/>
      <c r="C821" s="23"/>
      <c r="D821" s="36"/>
      <c r="E821" s="23"/>
      <c r="F821" s="23"/>
      <c r="G821" s="23"/>
      <c r="H821" s="23"/>
      <c r="I821" s="23"/>
      <c r="J821" s="23"/>
      <c r="K821" s="23"/>
      <c r="L821" s="23"/>
      <c r="M821" s="36"/>
      <c r="N821" s="23"/>
      <c r="O821" s="23"/>
      <c r="P821" s="23"/>
      <c r="Q821" s="23"/>
      <c r="R821" s="23"/>
      <c r="S821" s="23"/>
      <c r="T821" s="23"/>
      <c r="U821" s="23"/>
      <c r="V821" s="36"/>
      <c r="W821" s="42"/>
      <c r="X821" s="42"/>
      <c r="Y821" s="23"/>
      <c r="Z821" s="42"/>
      <c r="AA821" s="42"/>
      <c r="AB821" s="23"/>
      <c r="AC821" s="23"/>
      <c r="AD821" s="23"/>
      <c r="AE821" s="36"/>
      <c r="AF821" s="23"/>
    </row>
    <row r="822" spans="1:32" ht="15.75" x14ac:dyDescent="0.25">
      <c r="A822" s="44"/>
      <c r="B822" s="23"/>
      <c r="C822" s="23"/>
      <c r="D822" s="36"/>
      <c r="E822" s="23"/>
      <c r="F822" s="23"/>
      <c r="G822" s="23"/>
      <c r="H822" s="23"/>
      <c r="I822" s="23"/>
      <c r="J822" s="23"/>
      <c r="K822" s="23"/>
      <c r="L822" s="23"/>
      <c r="M822" s="36"/>
      <c r="N822" s="23"/>
      <c r="O822" s="23"/>
      <c r="P822" s="23"/>
      <c r="Q822" s="23"/>
      <c r="R822" s="23"/>
      <c r="S822" s="23"/>
      <c r="T822" s="23"/>
      <c r="U822" s="23"/>
      <c r="V822" s="36"/>
      <c r="W822" s="42"/>
      <c r="X822" s="42"/>
      <c r="Y822" s="23"/>
      <c r="Z822" s="42"/>
      <c r="AA822" s="42"/>
      <c r="AB822" s="23"/>
      <c r="AC822" s="23"/>
      <c r="AD822" s="23"/>
      <c r="AE822" s="36"/>
      <c r="AF822" s="23"/>
    </row>
    <row r="823" spans="1:32" ht="15.75" x14ac:dyDescent="0.25">
      <c r="A823" s="44"/>
      <c r="B823" s="23"/>
      <c r="C823" s="23"/>
      <c r="D823" s="36"/>
      <c r="E823" s="23"/>
      <c r="F823" s="23"/>
      <c r="G823" s="23"/>
      <c r="H823" s="23"/>
      <c r="I823" s="23"/>
      <c r="J823" s="23"/>
      <c r="K823" s="23"/>
      <c r="L823" s="23"/>
      <c r="M823" s="36"/>
      <c r="N823" s="23"/>
      <c r="O823" s="23"/>
      <c r="P823" s="23"/>
      <c r="Q823" s="23"/>
      <c r="R823" s="23"/>
      <c r="S823" s="23"/>
      <c r="T823" s="23"/>
      <c r="U823" s="23"/>
      <c r="V823" s="36"/>
      <c r="W823" s="42"/>
      <c r="X823" s="42"/>
      <c r="Y823" s="23"/>
      <c r="Z823" s="42"/>
      <c r="AA823" s="42"/>
      <c r="AB823" s="23"/>
      <c r="AC823" s="23"/>
      <c r="AD823" s="23"/>
      <c r="AE823" s="36"/>
      <c r="AF823" s="23"/>
    </row>
    <row r="824" spans="1:32" ht="15.75" x14ac:dyDescent="0.25">
      <c r="A824" s="44"/>
      <c r="B824" s="23"/>
      <c r="C824" s="23"/>
      <c r="D824" s="36"/>
      <c r="E824" s="23"/>
      <c r="F824" s="23"/>
      <c r="G824" s="23"/>
      <c r="H824" s="23"/>
      <c r="I824" s="23"/>
      <c r="J824" s="23"/>
      <c r="K824" s="23"/>
      <c r="L824" s="23"/>
      <c r="M824" s="36"/>
      <c r="N824" s="23"/>
      <c r="O824" s="23"/>
      <c r="P824" s="23"/>
      <c r="Q824" s="23"/>
      <c r="R824" s="23"/>
      <c r="S824" s="23"/>
      <c r="T824" s="23"/>
      <c r="U824" s="23"/>
      <c r="V824" s="36"/>
      <c r="W824" s="42"/>
      <c r="X824" s="42"/>
      <c r="Y824" s="23"/>
      <c r="Z824" s="42"/>
      <c r="AA824" s="42"/>
      <c r="AB824" s="23"/>
      <c r="AC824" s="23"/>
      <c r="AD824" s="23"/>
      <c r="AE824" s="36"/>
      <c r="AF824" s="23"/>
    </row>
    <row r="825" spans="1:32" ht="15.75" x14ac:dyDescent="0.25">
      <c r="A825" s="44"/>
      <c r="B825" s="23"/>
      <c r="C825" s="23"/>
      <c r="D825" s="36"/>
      <c r="E825" s="23"/>
      <c r="F825" s="23"/>
      <c r="G825" s="23"/>
      <c r="H825" s="23"/>
      <c r="I825" s="23"/>
      <c r="J825" s="23"/>
      <c r="K825" s="23"/>
      <c r="L825" s="23"/>
      <c r="M825" s="36"/>
      <c r="N825" s="23"/>
      <c r="O825" s="23"/>
      <c r="P825" s="23"/>
      <c r="Q825" s="23"/>
      <c r="R825" s="23"/>
      <c r="S825" s="23"/>
      <c r="T825" s="23"/>
      <c r="U825" s="23"/>
      <c r="V825" s="36"/>
      <c r="W825" s="42"/>
      <c r="X825" s="42"/>
      <c r="Y825" s="23"/>
      <c r="Z825" s="42"/>
      <c r="AA825" s="42"/>
      <c r="AB825" s="23"/>
      <c r="AC825" s="23"/>
      <c r="AD825" s="23"/>
      <c r="AE825" s="36"/>
      <c r="AF825" s="23"/>
    </row>
    <row r="826" spans="1:32" ht="15.75" x14ac:dyDescent="0.25">
      <c r="A826" s="44"/>
      <c r="B826" s="23"/>
      <c r="C826" s="23"/>
      <c r="D826" s="36"/>
      <c r="E826" s="23"/>
      <c r="F826" s="23"/>
      <c r="G826" s="23"/>
      <c r="H826" s="23"/>
      <c r="I826" s="23"/>
      <c r="J826" s="23"/>
      <c r="K826" s="23"/>
      <c r="L826" s="23"/>
      <c r="M826" s="36"/>
      <c r="N826" s="23"/>
      <c r="O826" s="23"/>
      <c r="P826" s="23"/>
      <c r="Q826" s="23"/>
      <c r="R826" s="23"/>
      <c r="S826" s="23"/>
      <c r="T826" s="23"/>
      <c r="U826" s="23"/>
      <c r="V826" s="36"/>
      <c r="W826" s="42"/>
      <c r="X826" s="42"/>
      <c r="Y826" s="23"/>
      <c r="Z826" s="42"/>
      <c r="AA826" s="42"/>
      <c r="AB826" s="23"/>
      <c r="AC826" s="23"/>
      <c r="AD826" s="23"/>
      <c r="AE826" s="36"/>
      <c r="AF826" s="23"/>
    </row>
    <row r="827" spans="1:32" ht="15.75" x14ac:dyDescent="0.25">
      <c r="A827" s="44"/>
      <c r="B827" s="23"/>
      <c r="C827" s="23"/>
      <c r="D827" s="36"/>
      <c r="E827" s="23"/>
      <c r="F827" s="23"/>
      <c r="G827" s="23"/>
      <c r="H827" s="23"/>
      <c r="I827" s="23"/>
      <c r="J827" s="23"/>
      <c r="K827" s="23"/>
      <c r="L827" s="23"/>
      <c r="M827" s="36"/>
      <c r="N827" s="23"/>
      <c r="O827" s="23"/>
      <c r="P827" s="23"/>
      <c r="Q827" s="23"/>
      <c r="R827" s="23"/>
      <c r="S827" s="23"/>
      <c r="T827" s="23"/>
      <c r="U827" s="23"/>
      <c r="V827" s="36"/>
      <c r="W827" s="42"/>
      <c r="X827" s="42"/>
      <c r="Y827" s="23"/>
      <c r="Z827" s="42"/>
      <c r="AA827" s="42"/>
      <c r="AB827" s="23"/>
      <c r="AC827" s="23"/>
      <c r="AD827" s="23"/>
      <c r="AE827" s="36"/>
      <c r="AF827" s="23"/>
    </row>
    <row r="828" spans="1:32" ht="15.75" x14ac:dyDescent="0.25">
      <c r="A828" s="44"/>
      <c r="B828" s="23"/>
      <c r="C828" s="23"/>
      <c r="D828" s="36"/>
      <c r="E828" s="23"/>
      <c r="F828" s="23"/>
      <c r="G828" s="23"/>
      <c r="H828" s="23"/>
      <c r="I828" s="23"/>
      <c r="J828" s="23"/>
      <c r="K828" s="23"/>
      <c r="L828" s="23"/>
      <c r="M828" s="36"/>
      <c r="N828" s="23"/>
      <c r="O828" s="23"/>
      <c r="P828" s="23"/>
      <c r="Q828" s="23"/>
      <c r="R828" s="23"/>
      <c r="S828" s="23"/>
      <c r="T828" s="23"/>
      <c r="U828" s="23"/>
      <c r="V828" s="36"/>
      <c r="W828" s="42"/>
      <c r="X828" s="42"/>
      <c r="Y828" s="23"/>
      <c r="Z828" s="42"/>
      <c r="AA828" s="42"/>
      <c r="AB828" s="23"/>
      <c r="AC828" s="23"/>
      <c r="AD828" s="23"/>
      <c r="AE828" s="36"/>
      <c r="AF828" s="23"/>
    </row>
    <row r="829" spans="1:32" ht="15.75" x14ac:dyDescent="0.25">
      <c r="A829" s="44"/>
      <c r="B829" s="23"/>
      <c r="C829" s="23"/>
      <c r="D829" s="36"/>
      <c r="E829" s="23"/>
      <c r="F829" s="23"/>
      <c r="G829" s="23"/>
      <c r="H829" s="23"/>
      <c r="I829" s="23"/>
      <c r="J829" s="23"/>
      <c r="K829" s="23"/>
      <c r="L829" s="23"/>
      <c r="M829" s="36"/>
      <c r="N829" s="23"/>
      <c r="O829" s="23"/>
      <c r="P829" s="23"/>
      <c r="Q829" s="23"/>
      <c r="R829" s="23"/>
      <c r="S829" s="23"/>
      <c r="T829" s="23"/>
      <c r="U829" s="23"/>
      <c r="V829" s="36"/>
      <c r="W829" s="42"/>
      <c r="X829" s="42"/>
      <c r="Y829" s="23"/>
      <c r="Z829" s="42"/>
      <c r="AA829" s="42"/>
      <c r="AB829" s="23"/>
      <c r="AC829" s="23"/>
      <c r="AD829" s="23"/>
      <c r="AE829" s="36"/>
      <c r="AF829" s="23"/>
    </row>
    <row r="830" spans="1:32" ht="15.75" x14ac:dyDescent="0.25">
      <c r="A830" s="44"/>
      <c r="B830" s="23"/>
      <c r="C830" s="23"/>
      <c r="D830" s="36"/>
      <c r="E830" s="23"/>
      <c r="F830" s="23"/>
      <c r="G830" s="23"/>
      <c r="H830" s="23"/>
      <c r="I830" s="23"/>
      <c r="J830" s="23"/>
      <c r="K830" s="23"/>
      <c r="L830" s="23"/>
      <c r="M830" s="36"/>
      <c r="N830" s="23"/>
      <c r="O830" s="23"/>
      <c r="P830" s="23"/>
      <c r="Q830" s="23"/>
      <c r="R830" s="23"/>
      <c r="S830" s="23"/>
      <c r="T830" s="23"/>
      <c r="U830" s="23"/>
      <c r="V830" s="36"/>
      <c r="W830" s="42"/>
      <c r="X830" s="42"/>
      <c r="Y830" s="23"/>
      <c r="Z830" s="42"/>
      <c r="AA830" s="42"/>
      <c r="AB830" s="23"/>
      <c r="AC830" s="23"/>
      <c r="AD830" s="23"/>
      <c r="AE830" s="36"/>
      <c r="AF830" s="23"/>
    </row>
    <row r="831" spans="1:32" ht="15.75" x14ac:dyDescent="0.25">
      <c r="A831" s="44"/>
      <c r="B831" s="23"/>
      <c r="C831" s="23"/>
      <c r="D831" s="36"/>
      <c r="E831" s="23"/>
      <c r="F831" s="23"/>
      <c r="G831" s="23"/>
      <c r="H831" s="23"/>
      <c r="I831" s="23"/>
      <c r="J831" s="23"/>
      <c r="K831" s="23"/>
      <c r="L831" s="23"/>
      <c r="M831" s="36"/>
      <c r="N831" s="23"/>
      <c r="O831" s="23"/>
      <c r="P831" s="23"/>
      <c r="Q831" s="23"/>
      <c r="R831" s="23"/>
      <c r="S831" s="23"/>
      <c r="T831" s="23"/>
      <c r="U831" s="23"/>
      <c r="V831" s="36"/>
      <c r="W831" s="42"/>
      <c r="X831" s="42"/>
      <c r="Y831" s="23"/>
      <c r="Z831" s="42"/>
      <c r="AA831" s="42"/>
      <c r="AB831" s="23"/>
      <c r="AC831" s="23"/>
      <c r="AD831" s="23"/>
      <c r="AE831" s="36"/>
      <c r="AF831" s="23"/>
    </row>
    <row r="832" spans="1:32" ht="15.75" x14ac:dyDescent="0.25">
      <c r="A832" s="44"/>
      <c r="B832" s="23"/>
      <c r="C832" s="23"/>
      <c r="D832" s="36"/>
      <c r="E832" s="23"/>
      <c r="F832" s="23"/>
      <c r="G832" s="23"/>
      <c r="H832" s="23"/>
      <c r="I832" s="23"/>
      <c r="J832" s="23"/>
      <c r="K832" s="23"/>
      <c r="L832" s="23"/>
      <c r="M832" s="36"/>
      <c r="N832" s="23"/>
      <c r="O832" s="23"/>
      <c r="P832" s="23"/>
      <c r="Q832" s="23"/>
      <c r="R832" s="23"/>
      <c r="S832" s="23"/>
      <c r="T832" s="23"/>
      <c r="U832" s="23"/>
      <c r="V832" s="36"/>
      <c r="W832" s="42"/>
      <c r="X832" s="42"/>
      <c r="Y832" s="23"/>
      <c r="Z832" s="42"/>
      <c r="AA832" s="42"/>
      <c r="AB832" s="23"/>
      <c r="AC832" s="23"/>
      <c r="AD832" s="23"/>
      <c r="AE832" s="36"/>
      <c r="AF832" s="23"/>
    </row>
    <row r="833" spans="1:32" ht="15.75" x14ac:dyDescent="0.25">
      <c r="A833" s="44"/>
      <c r="B833" s="23"/>
      <c r="C833" s="23"/>
      <c r="D833" s="36"/>
      <c r="E833" s="23"/>
      <c r="F833" s="23"/>
      <c r="G833" s="23"/>
      <c r="H833" s="23"/>
      <c r="I833" s="23"/>
      <c r="J833" s="23"/>
      <c r="K833" s="23"/>
      <c r="L833" s="23"/>
      <c r="M833" s="36"/>
      <c r="N833" s="23"/>
      <c r="O833" s="23"/>
      <c r="P833" s="23"/>
      <c r="Q833" s="23"/>
      <c r="R833" s="23"/>
      <c r="S833" s="23"/>
      <c r="T833" s="23"/>
      <c r="U833" s="23"/>
      <c r="V833" s="36"/>
      <c r="W833" s="42"/>
      <c r="X833" s="42"/>
      <c r="Y833" s="23"/>
      <c r="Z833" s="42"/>
      <c r="AA833" s="42"/>
      <c r="AB833" s="23"/>
      <c r="AC833" s="23"/>
      <c r="AD833" s="23"/>
      <c r="AE833" s="36"/>
      <c r="AF833" s="23"/>
    </row>
    <row r="834" spans="1:32" ht="15.75" x14ac:dyDescent="0.25">
      <c r="A834" s="44"/>
      <c r="B834" s="23"/>
      <c r="C834" s="23"/>
      <c r="D834" s="36"/>
      <c r="E834" s="23"/>
      <c r="F834" s="23"/>
      <c r="G834" s="23"/>
      <c r="H834" s="23"/>
      <c r="I834" s="23"/>
      <c r="J834" s="23"/>
      <c r="K834" s="23"/>
      <c r="L834" s="23"/>
      <c r="M834" s="36"/>
      <c r="N834" s="23"/>
      <c r="O834" s="23"/>
      <c r="P834" s="23"/>
      <c r="Q834" s="23"/>
      <c r="R834" s="23"/>
      <c r="S834" s="23"/>
      <c r="T834" s="23"/>
      <c r="U834" s="23"/>
      <c r="V834" s="36"/>
      <c r="W834" s="42"/>
      <c r="X834" s="42"/>
      <c r="Y834" s="23"/>
      <c r="Z834" s="42"/>
      <c r="AA834" s="42"/>
      <c r="AB834" s="23"/>
      <c r="AC834" s="23"/>
      <c r="AD834" s="23"/>
      <c r="AE834" s="36"/>
      <c r="AF834" s="23"/>
    </row>
    <row r="835" spans="1:32" ht="15.75" x14ac:dyDescent="0.25">
      <c r="A835" s="44"/>
      <c r="B835" s="23"/>
      <c r="C835" s="23"/>
      <c r="D835" s="36"/>
      <c r="E835" s="23"/>
      <c r="F835" s="23"/>
      <c r="G835" s="23"/>
      <c r="H835" s="23"/>
      <c r="I835" s="23"/>
      <c r="J835" s="23"/>
      <c r="K835" s="23"/>
      <c r="L835" s="23"/>
      <c r="M835" s="36"/>
      <c r="N835" s="23"/>
      <c r="O835" s="23"/>
      <c r="P835" s="23"/>
      <c r="Q835" s="23"/>
      <c r="R835" s="23"/>
      <c r="S835" s="23"/>
      <c r="T835" s="23"/>
      <c r="U835" s="23"/>
      <c r="V835" s="36"/>
      <c r="W835" s="42"/>
      <c r="X835" s="42"/>
      <c r="Y835" s="23"/>
      <c r="Z835" s="42"/>
      <c r="AA835" s="42"/>
      <c r="AB835" s="23"/>
      <c r="AC835" s="23"/>
      <c r="AD835" s="23"/>
      <c r="AE835" s="36"/>
      <c r="AF835" s="23"/>
    </row>
    <row r="836" spans="1:32" ht="15.75" x14ac:dyDescent="0.25">
      <c r="A836" s="44"/>
      <c r="B836" s="23"/>
      <c r="C836" s="23"/>
      <c r="D836" s="36"/>
      <c r="E836" s="23"/>
      <c r="F836" s="23"/>
      <c r="G836" s="23"/>
      <c r="H836" s="23"/>
      <c r="I836" s="23"/>
      <c r="J836" s="23"/>
      <c r="K836" s="23"/>
      <c r="L836" s="23"/>
      <c r="M836" s="36"/>
      <c r="N836" s="23"/>
      <c r="O836" s="23"/>
      <c r="P836" s="23"/>
      <c r="Q836" s="23"/>
      <c r="R836" s="23"/>
      <c r="S836" s="23"/>
      <c r="T836" s="23"/>
      <c r="U836" s="23"/>
      <c r="V836" s="36"/>
      <c r="W836" s="42"/>
      <c r="X836" s="42"/>
      <c r="Y836" s="23"/>
      <c r="Z836" s="42"/>
      <c r="AA836" s="42"/>
      <c r="AB836" s="23"/>
      <c r="AC836" s="23"/>
      <c r="AD836" s="23"/>
      <c r="AE836" s="36"/>
      <c r="AF836" s="23"/>
    </row>
    <row r="837" spans="1:32" ht="15.75" x14ac:dyDescent="0.25">
      <c r="A837" s="44"/>
      <c r="B837" s="23"/>
      <c r="C837" s="23"/>
      <c r="D837" s="36"/>
      <c r="E837" s="23"/>
      <c r="F837" s="23"/>
      <c r="G837" s="23"/>
      <c r="H837" s="23"/>
      <c r="I837" s="23"/>
      <c r="J837" s="23"/>
      <c r="K837" s="23"/>
      <c r="L837" s="23"/>
      <c r="M837" s="36"/>
      <c r="N837" s="23"/>
      <c r="O837" s="23"/>
      <c r="P837" s="23"/>
      <c r="Q837" s="23"/>
      <c r="R837" s="23"/>
      <c r="S837" s="23"/>
      <c r="T837" s="23"/>
      <c r="U837" s="23"/>
      <c r="V837" s="36"/>
      <c r="W837" s="42"/>
      <c r="X837" s="42"/>
      <c r="Y837" s="23"/>
      <c r="Z837" s="42"/>
      <c r="AA837" s="42"/>
      <c r="AB837" s="23"/>
      <c r="AC837" s="23"/>
      <c r="AD837" s="23"/>
      <c r="AE837" s="36"/>
      <c r="AF837" s="23"/>
    </row>
    <row r="838" spans="1:32" ht="15.75" x14ac:dyDescent="0.25">
      <c r="A838" s="44"/>
      <c r="B838" s="23"/>
      <c r="C838" s="23"/>
      <c r="D838" s="36"/>
      <c r="E838" s="23"/>
      <c r="F838" s="23"/>
      <c r="G838" s="23"/>
      <c r="H838" s="23"/>
      <c r="I838" s="23"/>
      <c r="J838" s="23"/>
      <c r="K838" s="23"/>
      <c r="L838" s="23"/>
      <c r="M838" s="36"/>
      <c r="N838" s="23"/>
      <c r="O838" s="23"/>
      <c r="P838" s="23"/>
      <c r="Q838" s="23"/>
      <c r="R838" s="23"/>
      <c r="S838" s="23"/>
      <c r="T838" s="23"/>
      <c r="U838" s="23"/>
      <c r="V838" s="36"/>
      <c r="W838" s="42"/>
      <c r="X838" s="42"/>
      <c r="Y838" s="23"/>
      <c r="Z838" s="42"/>
      <c r="AA838" s="42"/>
      <c r="AB838" s="23"/>
      <c r="AC838" s="23"/>
      <c r="AD838" s="23"/>
      <c r="AE838" s="36"/>
      <c r="AF838" s="23"/>
    </row>
    <row r="839" spans="1:32" ht="15.75" x14ac:dyDescent="0.25">
      <c r="A839" s="44"/>
      <c r="B839" s="23"/>
      <c r="C839" s="23"/>
      <c r="D839" s="36"/>
      <c r="E839" s="23"/>
      <c r="F839" s="23"/>
      <c r="G839" s="23"/>
      <c r="H839" s="23"/>
      <c r="I839" s="23"/>
      <c r="J839" s="23"/>
      <c r="K839" s="23"/>
      <c r="L839" s="23"/>
      <c r="M839" s="36"/>
      <c r="N839" s="23"/>
      <c r="O839" s="23"/>
      <c r="P839" s="23"/>
      <c r="Q839" s="23"/>
      <c r="R839" s="23"/>
      <c r="S839" s="23"/>
      <c r="T839" s="23"/>
      <c r="U839" s="23"/>
      <c r="V839" s="36"/>
      <c r="W839" s="42"/>
      <c r="X839" s="42"/>
      <c r="Y839" s="23"/>
      <c r="Z839" s="42"/>
      <c r="AA839" s="42"/>
      <c r="AB839" s="23"/>
      <c r="AC839" s="23"/>
      <c r="AD839" s="23"/>
      <c r="AE839" s="36"/>
      <c r="AF839" s="23"/>
    </row>
    <row r="840" spans="1:32" ht="15.75" x14ac:dyDescent="0.25">
      <c r="A840" s="44"/>
      <c r="B840" s="23"/>
      <c r="C840" s="23"/>
      <c r="D840" s="36"/>
      <c r="E840" s="23"/>
      <c r="F840" s="23"/>
      <c r="G840" s="23"/>
      <c r="H840" s="23"/>
      <c r="I840" s="23"/>
      <c r="J840" s="23"/>
      <c r="K840" s="23"/>
      <c r="L840" s="23"/>
      <c r="M840" s="36"/>
      <c r="N840" s="23"/>
      <c r="O840" s="23"/>
      <c r="P840" s="23"/>
      <c r="Q840" s="23"/>
      <c r="R840" s="23"/>
      <c r="S840" s="23"/>
      <c r="T840" s="23"/>
      <c r="U840" s="23"/>
      <c r="V840" s="36"/>
      <c r="W840" s="42"/>
      <c r="X840" s="42"/>
      <c r="Y840" s="23"/>
      <c r="Z840" s="42"/>
      <c r="AA840" s="42"/>
      <c r="AB840" s="23"/>
      <c r="AC840" s="23"/>
      <c r="AD840" s="23"/>
      <c r="AE840" s="36"/>
      <c r="AF840" s="23"/>
    </row>
    <row r="841" spans="1:32" ht="15.75" x14ac:dyDescent="0.25">
      <c r="A841" s="44"/>
      <c r="B841" s="23"/>
      <c r="C841" s="23"/>
      <c r="D841" s="36"/>
      <c r="E841" s="23"/>
      <c r="F841" s="23"/>
      <c r="G841" s="23"/>
      <c r="H841" s="23"/>
      <c r="I841" s="23"/>
      <c r="J841" s="23"/>
      <c r="K841" s="23"/>
      <c r="L841" s="23"/>
      <c r="M841" s="36"/>
      <c r="N841" s="23"/>
      <c r="O841" s="23"/>
      <c r="P841" s="23"/>
      <c r="Q841" s="23"/>
      <c r="R841" s="23"/>
      <c r="S841" s="23"/>
      <c r="T841" s="23"/>
      <c r="U841" s="23"/>
      <c r="V841" s="36"/>
      <c r="W841" s="42"/>
      <c r="X841" s="42"/>
      <c r="Y841" s="23"/>
      <c r="Z841" s="42"/>
      <c r="AA841" s="42"/>
      <c r="AB841" s="23"/>
      <c r="AC841" s="23"/>
      <c r="AD841" s="23"/>
      <c r="AE841" s="36"/>
      <c r="AF841" s="23"/>
    </row>
    <row r="842" spans="1:32" ht="15.75" x14ac:dyDescent="0.25">
      <c r="A842" s="44"/>
      <c r="B842" s="23"/>
      <c r="C842" s="23"/>
      <c r="D842" s="36"/>
      <c r="E842" s="23"/>
      <c r="F842" s="23"/>
      <c r="G842" s="23"/>
      <c r="H842" s="23"/>
      <c r="I842" s="23"/>
      <c r="J842" s="23"/>
      <c r="K842" s="23"/>
      <c r="L842" s="23"/>
      <c r="M842" s="36"/>
      <c r="N842" s="23"/>
      <c r="O842" s="23"/>
      <c r="P842" s="23"/>
      <c r="Q842" s="23"/>
      <c r="R842" s="23"/>
      <c r="S842" s="23"/>
      <c r="T842" s="23"/>
      <c r="U842" s="23"/>
      <c r="V842" s="36"/>
      <c r="W842" s="42"/>
      <c r="X842" s="42"/>
      <c r="Y842" s="23"/>
      <c r="Z842" s="42"/>
      <c r="AA842" s="42"/>
      <c r="AB842" s="23"/>
      <c r="AC842" s="23"/>
      <c r="AD842" s="23"/>
      <c r="AE842" s="36"/>
      <c r="AF842" s="23"/>
    </row>
    <row r="843" spans="1:32" ht="15.75" x14ac:dyDescent="0.25">
      <c r="A843" s="44"/>
      <c r="B843" s="23"/>
      <c r="C843" s="23"/>
      <c r="D843" s="36"/>
      <c r="E843" s="23"/>
      <c r="F843" s="23"/>
      <c r="G843" s="23"/>
      <c r="H843" s="23"/>
      <c r="I843" s="23"/>
      <c r="J843" s="23"/>
      <c r="K843" s="23"/>
      <c r="L843" s="23"/>
      <c r="M843" s="36"/>
      <c r="N843" s="23"/>
      <c r="O843" s="23"/>
      <c r="P843" s="23"/>
      <c r="Q843" s="23"/>
      <c r="R843" s="23"/>
      <c r="S843" s="23"/>
      <c r="T843" s="23"/>
      <c r="U843" s="23"/>
      <c r="V843" s="36"/>
      <c r="W843" s="42"/>
      <c r="X843" s="42"/>
      <c r="Y843" s="23"/>
      <c r="Z843" s="42"/>
      <c r="AA843" s="42"/>
      <c r="AB843" s="23"/>
      <c r="AC843" s="23"/>
      <c r="AD843" s="23"/>
      <c r="AE843" s="36"/>
      <c r="AF843" s="23"/>
    </row>
    <row r="844" spans="1:32" ht="15.75" x14ac:dyDescent="0.25">
      <c r="A844" s="44"/>
      <c r="B844" s="23"/>
      <c r="C844" s="23"/>
      <c r="D844" s="36"/>
      <c r="E844" s="23"/>
      <c r="F844" s="23"/>
      <c r="G844" s="23"/>
      <c r="H844" s="23"/>
      <c r="I844" s="23"/>
      <c r="J844" s="23"/>
      <c r="K844" s="23"/>
      <c r="L844" s="23"/>
      <c r="M844" s="36"/>
      <c r="N844" s="23"/>
      <c r="O844" s="23"/>
      <c r="P844" s="23"/>
      <c r="Q844" s="23"/>
      <c r="R844" s="23"/>
      <c r="S844" s="23"/>
      <c r="T844" s="23"/>
      <c r="U844" s="23"/>
      <c r="V844" s="36"/>
      <c r="W844" s="42"/>
      <c r="X844" s="42"/>
      <c r="Y844" s="23"/>
      <c r="Z844" s="42"/>
      <c r="AA844" s="42"/>
      <c r="AB844" s="23"/>
      <c r="AC844" s="23"/>
      <c r="AD844" s="23"/>
      <c r="AE844" s="36"/>
      <c r="AF844" s="23"/>
    </row>
    <row r="845" spans="1:32" ht="15.75" x14ac:dyDescent="0.25">
      <c r="A845" s="44"/>
      <c r="B845" s="23"/>
      <c r="C845" s="23"/>
      <c r="D845" s="36"/>
      <c r="E845" s="23"/>
      <c r="F845" s="23"/>
      <c r="G845" s="23"/>
      <c r="H845" s="23"/>
      <c r="I845" s="23"/>
      <c r="J845" s="23"/>
      <c r="K845" s="23"/>
      <c r="L845" s="23"/>
      <c r="M845" s="36"/>
      <c r="N845" s="23"/>
      <c r="O845" s="23"/>
      <c r="P845" s="23"/>
      <c r="Q845" s="23"/>
      <c r="R845" s="23"/>
      <c r="S845" s="23"/>
      <c r="T845" s="23"/>
      <c r="U845" s="23"/>
      <c r="V845" s="36"/>
      <c r="W845" s="42"/>
      <c r="X845" s="42"/>
      <c r="Y845" s="23"/>
      <c r="Z845" s="42"/>
      <c r="AA845" s="42"/>
      <c r="AB845" s="23"/>
      <c r="AC845" s="23"/>
      <c r="AD845" s="23"/>
      <c r="AE845" s="36"/>
      <c r="AF845" s="23"/>
    </row>
    <row r="846" spans="1:32" ht="15.75" x14ac:dyDescent="0.25">
      <c r="A846" s="44"/>
      <c r="B846" s="23"/>
      <c r="C846" s="23"/>
      <c r="D846" s="36"/>
      <c r="E846" s="23"/>
      <c r="F846" s="23"/>
      <c r="G846" s="23"/>
      <c r="H846" s="23"/>
      <c r="I846" s="23"/>
      <c r="J846" s="23"/>
      <c r="K846" s="23"/>
      <c r="L846" s="23"/>
      <c r="M846" s="36"/>
      <c r="N846" s="23"/>
      <c r="O846" s="23"/>
      <c r="P846" s="23"/>
      <c r="Q846" s="23"/>
      <c r="R846" s="23"/>
      <c r="S846" s="23"/>
      <c r="T846" s="23"/>
      <c r="U846" s="23"/>
      <c r="V846" s="36"/>
      <c r="W846" s="42"/>
      <c r="X846" s="42"/>
      <c r="Y846" s="23"/>
      <c r="Z846" s="42"/>
      <c r="AA846" s="42"/>
      <c r="AB846" s="23"/>
      <c r="AC846" s="23"/>
      <c r="AD846" s="23"/>
      <c r="AE846" s="36"/>
      <c r="AF846" s="23"/>
    </row>
    <row r="847" spans="1:32" ht="15.75" x14ac:dyDescent="0.25">
      <c r="A847" s="44"/>
      <c r="B847" s="23"/>
      <c r="C847" s="23"/>
      <c r="D847" s="36"/>
      <c r="E847" s="23"/>
      <c r="F847" s="23"/>
      <c r="G847" s="23"/>
      <c r="H847" s="23"/>
      <c r="I847" s="23"/>
      <c r="J847" s="23"/>
      <c r="K847" s="23"/>
      <c r="L847" s="23"/>
      <c r="M847" s="36"/>
      <c r="N847" s="23"/>
      <c r="O847" s="23"/>
      <c r="P847" s="23"/>
      <c r="Q847" s="23"/>
      <c r="R847" s="23"/>
      <c r="S847" s="23"/>
      <c r="T847" s="23"/>
      <c r="U847" s="23"/>
      <c r="V847" s="36"/>
      <c r="W847" s="42"/>
      <c r="X847" s="42"/>
      <c r="Y847" s="23"/>
      <c r="Z847" s="42"/>
      <c r="AA847" s="42"/>
      <c r="AB847" s="23"/>
      <c r="AC847" s="23"/>
      <c r="AD847" s="23"/>
      <c r="AE847" s="36"/>
      <c r="AF847" s="23"/>
    </row>
    <row r="848" spans="1:32" ht="15.75" x14ac:dyDescent="0.25">
      <c r="A848" s="44"/>
      <c r="B848" s="23"/>
      <c r="C848" s="23"/>
      <c r="D848" s="36"/>
      <c r="E848" s="23"/>
      <c r="F848" s="23"/>
      <c r="G848" s="23"/>
      <c r="H848" s="23"/>
      <c r="I848" s="23"/>
      <c r="J848" s="23"/>
      <c r="K848" s="23"/>
      <c r="L848" s="23"/>
      <c r="M848" s="36"/>
      <c r="N848" s="23"/>
      <c r="O848" s="23"/>
      <c r="P848" s="23"/>
      <c r="Q848" s="23"/>
      <c r="R848" s="23"/>
      <c r="S848" s="23"/>
      <c r="T848" s="23"/>
      <c r="U848" s="23"/>
      <c r="V848" s="36"/>
      <c r="W848" s="42"/>
      <c r="X848" s="42"/>
      <c r="Y848" s="23"/>
      <c r="Z848" s="42"/>
      <c r="AA848" s="42"/>
      <c r="AB848" s="23"/>
      <c r="AC848" s="23"/>
      <c r="AD848" s="23"/>
      <c r="AE848" s="36"/>
      <c r="AF848" s="23"/>
    </row>
    <row r="849" spans="1:32" ht="15.75" x14ac:dyDescent="0.25">
      <c r="A849" s="44"/>
      <c r="B849" s="23"/>
      <c r="C849" s="23"/>
      <c r="D849" s="36"/>
      <c r="E849" s="23"/>
      <c r="F849" s="23"/>
      <c r="G849" s="23"/>
      <c r="H849" s="23"/>
      <c r="I849" s="23"/>
      <c r="J849" s="23"/>
      <c r="K849" s="23"/>
      <c r="L849" s="23"/>
      <c r="M849" s="36"/>
      <c r="N849" s="23"/>
      <c r="O849" s="23"/>
      <c r="P849" s="23"/>
      <c r="Q849" s="23"/>
      <c r="R849" s="23"/>
      <c r="S849" s="23"/>
      <c r="T849" s="23"/>
      <c r="U849" s="23"/>
      <c r="V849" s="36"/>
      <c r="W849" s="42"/>
      <c r="X849" s="42"/>
      <c r="Y849" s="23"/>
      <c r="Z849" s="42"/>
      <c r="AA849" s="42"/>
      <c r="AB849" s="23"/>
      <c r="AC849" s="23"/>
      <c r="AD849" s="23"/>
      <c r="AE849" s="36"/>
      <c r="AF849" s="23"/>
    </row>
    <row r="850" spans="1:32" ht="15.75" x14ac:dyDescent="0.25">
      <c r="A850" s="44"/>
      <c r="B850" s="23"/>
      <c r="C850" s="23"/>
      <c r="D850" s="36"/>
      <c r="E850" s="23"/>
      <c r="F850" s="23"/>
      <c r="G850" s="23"/>
      <c r="H850" s="23"/>
      <c r="I850" s="23"/>
      <c r="J850" s="23"/>
      <c r="K850" s="23"/>
      <c r="L850" s="23"/>
      <c r="M850" s="36"/>
      <c r="N850" s="23"/>
      <c r="O850" s="23"/>
      <c r="P850" s="23"/>
      <c r="Q850" s="23"/>
      <c r="R850" s="23"/>
      <c r="S850" s="23"/>
      <c r="T850" s="23"/>
      <c r="U850" s="23"/>
      <c r="V850" s="36"/>
      <c r="W850" s="42"/>
      <c r="X850" s="42"/>
      <c r="Y850" s="23"/>
      <c r="Z850" s="42"/>
      <c r="AA850" s="42"/>
      <c r="AB850" s="23"/>
      <c r="AC850" s="23"/>
      <c r="AD850" s="23"/>
      <c r="AE850" s="36"/>
      <c r="AF850" s="23"/>
    </row>
    <row r="851" spans="1:32" ht="15.75" x14ac:dyDescent="0.25">
      <c r="A851" s="44"/>
      <c r="B851" s="23"/>
      <c r="C851" s="23"/>
      <c r="D851" s="36"/>
      <c r="E851" s="23"/>
      <c r="F851" s="23"/>
      <c r="G851" s="23"/>
      <c r="H851" s="23"/>
      <c r="I851" s="23"/>
      <c r="J851" s="23"/>
      <c r="K851" s="23"/>
      <c r="L851" s="23"/>
      <c r="M851" s="36"/>
      <c r="N851" s="23"/>
      <c r="O851" s="23"/>
      <c r="P851" s="23"/>
      <c r="Q851" s="23"/>
      <c r="R851" s="23"/>
      <c r="S851" s="23"/>
      <c r="T851" s="23"/>
      <c r="U851" s="23"/>
      <c r="V851" s="36"/>
      <c r="W851" s="42"/>
      <c r="X851" s="42"/>
      <c r="Y851" s="23"/>
      <c r="Z851" s="42"/>
      <c r="AA851" s="42"/>
      <c r="AB851" s="23"/>
      <c r="AC851" s="23"/>
      <c r="AD851" s="23"/>
      <c r="AE851" s="36"/>
      <c r="AF851" s="23"/>
    </row>
    <row r="852" spans="1:32" ht="15.75" x14ac:dyDescent="0.25">
      <c r="A852" s="44"/>
      <c r="B852" s="23"/>
      <c r="C852" s="23"/>
      <c r="D852" s="36"/>
      <c r="E852" s="23"/>
      <c r="F852" s="23"/>
      <c r="G852" s="23"/>
      <c r="H852" s="23"/>
      <c r="I852" s="23"/>
      <c r="J852" s="23"/>
      <c r="K852" s="23"/>
      <c r="L852" s="23"/>
      <c r="M852" s="36"/>
      <c r="N852" s="23"/>
      <c r="O852" s="23"/>
      <c r="P852" s="23"/>
      <c r="Q852" s="23"/>
      <c r="R852" s="23"/>
      <c r="S852" s="23"/>
      <c r="T852" s="23"/>
      <c r="U852" s="23"/>
      <c r="V852" s="36"/>
      <c r="W852" s="42"/>
      <c r="X852" s="42"/>
      <c r="Y852" s="23"/>
      <c r="Z852" s="42"/>
      <c r="AA852" s="42"/>
      <c r="AB852" s="23"/>
      <c r="AC852" s="23"/>
      <c r="AD852" s="23"/>
      <c r="AE852" s="36"/>
      <c r="AF852" s="23"/>
    </row>
    <row r="853" spans="1:32" ht="15.75" x14ac:dyDescent="0.25">
      <c r="A853" s="44"/>
      <c r="B853" s="23"/>
      <c r="C853" s="23"/>
      <c r="D853" s="36"/>
      <c r="E853" s="23"/>
      <c r="F853" s="23"/>
      <c r="G853" s="23"/>
      <c r="H853" s="23"/>
      <c r="I853" s="23"/>
      <c r="J853" s="23"/>
      <c r="K853" s="23"/>
      <c r="L853" s="23"/>
      <c r="M853" s="36"/>
      <c r="N853" s="23"/>
      <c r="O853" s="23"/>
      <c r="P853" s="23"/>
      <c r="Q853" s="23"/>
      <c r="R853" s="23"/>
      <c r="S853" s="23"/>
      <c r="T853" s="23"/>
      <c r="U853" s="23"/>
      <c r="V853" s="36"/>
      <c r="W853" s="42"/>
      <c r="X853" s="42"/>
      <c r="Y853" s="23"/>
      <c r="Z853" s="42"/>
      <c r="AA853" s="42"/>
      <c r="AB853" s="23"/>
      <c r="AC853" s="23"/>
      <c r="AD853" s="23"/>
      <c r="AE853" s="36"/>
      <c r="AF853" s="23"/>
    </row>
    <row r="854" spans="1:32" ht="15.75" x14ac:dyDescent="0.25">
      <c r="A854" s="44"/>
      <c r="B854" s="23"/>
      <c r="C854" s="23"/>
      <c r="D854" s="36"/>
      <c r="E854" s="23"/>
      <c r="F854" s="23"/>
      <c r="G854" s="23"/>
      <c r="H854" s="23"/>
      <c r="I854" s="23"/>
      <c r="J854" s="23"/>
      <c r="K854" s="23"/>
      <c r="L854" s="23"/>
      <c r="M854" s="36"/>
      <c r="N854" s="23"/>
      <c r="O854" s="23"/>
      <c r="P854" s="23"/>
      <c r="Q854" s="23"/>
      <c r="R854" s="23"/>
      <c r="S854" s="23"/>
      <c r="T854" s="23"/>
      <c r="U854" s="23"/>
      <c r="V854" s="36"/>
      <c r="W854" s="42"/>
      <c r="X854" s="42"/>
      <c r="Y854" s="23"/>
      <c r="Z854" s="42"/>
      <c r="AA854" s="42"/>
      <c r="AB854" s="23"/>
      <c r="AC854" s="23"/>
      <c r="AD854" s="23"/>
      <c r="AE854" s="36"/>
      <c r="AF854" s="23"/>
    </row>
    <row r="855" spans="1:32" ht="15.75" x14ac:dyDescent="0.25">
      <c r="A855" s="44"/>
      <c r="B855" s="23"/>
      <c r="C855" s="23"/>
      <c r="D855" s="36"/>
      <c r="E855" s="23"/>
      <c r="F855" s="23"/>
      <c r="G855" s="23"/>
      <c r="H855" s="23"/>
      <c r="I855" s="23"/>
      <c r="J855" s="23"/>
      <c r="K855" s="23"/>
      <c r="L855" s="23"/>
      <c r="M855" s="36"/>
      <c r="N855" s="23"/>
      <c r="O855" s="23"/>
      <c r="P855" s="23"/>
      <c r="Q855" s="23"/>
      <c r="R855" s="23"/>
      <c r="S855" s="23"/>
      <c r="T855" s="23"/>
      <c r="U855" s="23"/>
      <c r="V855" s="36"/>
      <c r="W855" s="42"/>
      <c r="X855" s="42"/>
      <c r="Y855" s="23"/>
      <c r="Z855" s="42"/>
      <c r="AA855" s="42"/>
      <c r="AB855" s="23"/>
      <c r="AC855" s="23"/>
      <c r="AD855" s="23"/>
      <c r="AE855" s="36"/>
      <c r="AF855" s="23"/>
    </row>
    <row r="856" spans="1:32" ht="15.75" x14ac:dyDescent="0.25">
      <c r="A856" s="44"/>
      <c r="B856" s="23"/>
      <c r="C856" s="23"/>
      <c r="D856" s="36"/>
      <c r="E856" s="23"/>
      <c r="F856" s="23"/>
      <c r="G856" s="23"/>
      <c r="H856" s="23"/>
      <c r="I856" s="23"/>
      <c r="J856" s="23"/>
      <c r="K856" s="23"/>
      <c r="L856" s="23"/>
      <c r="M856" s="36"/>
      <c r="N856" s="23"/>
      <c r="O856" s="23"/>
      <c r="P856" s="23"/>
      <c r="Q856" s="23"/>
      <c r="R856" s="23"/>
      <c r="S856" s="23"/>
      <c r="T856" s="23"/>
      <c r="U856" s="23"/>
      <c r="V856" s="36"/>
      <c r="W856" s="42"/>
      <c r="X856" s="42"/>
      <c r="Y856" s="23"/>
      <c r="Z856" s="42"/>
      <c r="AA856" s="42"/>
      <c r="AB856" s="23"/>
      <c r="AC856" s="23"/>
      <c r="AD856" s="23"/>
      <c r="AE856" s="36"/>
      <c r="AF856" s="23"/>
    </row>
    <row r="857" spans="1:32" ht="15.75" x14ac:dyDescent="0.25">
      <c r="A857" s="44"/>
      <c r="B857" s="23"/>
      <c r="C857" s="23"/>
      <c r="D857" s="36"/>
      <c r="E857" s="23"/>
      <c r="F857" s="23"/>
      <c r="G857" s="23"/>
      <c r="H857" s="23"/>
      <c r="I857" s="23"/>
      <c r="J857" s="23"/>
      <c r="K857" s="23"/>
      <c r="L857" s="23"/>
      <c r="M857" s="36"/>
      <c r="N857" s="23"/>
      <c r="O857" s="23"/>
      <c r="P857" s="23"/>
      <c r="Q857" s="23"/>
      <c r="R857" s="23"/>
      <c r="S857" s="23"/>
      <c r="T857" s="23"/>
      <c r="U857" s="23"/>
      <c r="V857" s="36"/>
      <c r="W857" s="42"/>
      <c r="X857" s="42"/>
      <c r="Y857" s="23"/>
      <c r="Z857" s="42"/>
      <c r="AA857" s="42"/>
      <c r="AB857" s="23"/>
      <c r="AC857" s="23"/>
      <c r="AD857" s="23"/>
      <c r="AE857" s="36"/>
      <c r="AF857" s="23"/>
    </row>
    <row r="858" spans="1:32" ht="15.75" x14ac:dyDescent="0.25">
      <c r="A858" s="44"/>
      <c r="B858" s="23"/>
      <c r="C858" s="23"/>
      <c r="D858" s="36"/>
      <c r="E858" s="23"/>
      <c r="F858" s="23"/>
      <c r="G858" s="23"/>
      <c r="H858" s="23"/>
      <c r="I858" s="23"/>
      <c r="J858" s="23"/>
      <c r="K858" s="23"/>
      <c r="L858" s="23"/>
      <c r="M858" s="36"/>
      <c r="N858" s="23"/>
      <c r="O858" s="23"/>
      <c r="P858" s="23"/>
      <c r="Q858" s="23"/>
      <c r="R858" s="23"/>
      <c r="S858" s="23"/>
      <c r="T858" s="23"/>
      <c r="U858" s="23"/>
      <c r="V858" s="36"/>
      <c r="W858" s="42"/>
      <c r="X858" s="42"/>
      <c r="Y858" s="23"/>
      <c r="Z858" s="42"/>
      <c r="AA858" s="42"/>
      <c r="AB858" s="23"/>
      <c r="AC858" s="23"/>
      <c r="AD858" s="23"/>
      <c r="AE858" s="36"/>
      <c r="AF858" s="23"/>
    </row>
    <row r="859" spans="1:32" ht="15.75" x14ac:dyDescent="0.25">
      <c r="A859" s="44"/>
      <c r="B859" s="23"/>
      <c r="C859" s="23"/>
      <c r="D859" s="36"/>
      <c r="E859" s="23"/>
      <c r="F859" s="23"/>
      <c r="G859" s="23"/>
      <c r="H859" s="23"/>
      <c r="I859" s="23"/>
      <c r="J859" s="23"/>
      <c r="K859" s="23"/>
      <c r="L859" s="23"/>
      <c r="M859" s="36"/>
      <c r="N859" s="23"/>
      <c r="O859" s="23"/>
      <c r="P859" s="23"/>
      <c r="Q859" s="23"/>
      <c r="R859" s="23"/>
      <c r="S859" s="23"/>
      <c r="T859" s="23"/>
      <c r="U859" s="23"/>
      <c r="V859" s="36"/>
      <c r="W859" s="42"/>
      <c r="X859" s="42"/>
      <c r="Y859" s="23"/>
      <c r="Z859" s="42"/>
      <c r="AA859" s="42"/>
      <c r="AB859" s="23"/>
      <c r="AC859" s="23"/>
      <c r="AD859" s="23"/>
      <c r="AE859" s="36"/>
      <c r="AF859" s="23"/>
    </row>
    <row r="860" spans="1:32" ht="15.75" x14ac:dyDescent="0.25">
      <c r="A860" s="44"/>
      <c r="B860" s="23"/>
      <c r="C860" s="23"/>
      <c r="D860" s="36"/>
      <c r="E860" s="23"/>
      <c r="F860" s="23"/>
      <c r="G860" s="23"/>
      <c r="H860" s="23"/>
      <c r="I860" s="23"/>
      <c r="J860" s="23"/>
      <c r="K860" s="23"/>
      <c r="L860" s="23"/>
      <c r="M860" s="36"/>
      <c r="N860" s="23"/>
      <c r="O860" s="23"/>
      <c r="P860" s="23"/>
      <c r="Q860" s="23"/>
      <c r="R860" s="23"/>
      <c r="S860" s="23"/>
      <c r="T860" s="23"/>
      <c r="U860" s="23"/>
      <c r="V860" s="36"/>
      <c r="W860" s="42"/>
      <c r="X860" s="42"/>
      <c r="Y860" s="23"/>
      <c r="Z860" s="42"/>
      <c r="AA860" s="42"/>
      <c r="AB860" s="23"/>
      <c r="AC860" s="23"/>
      <c r="AD860" s="23"/>
      <c r="AE860" s="36"/>
      <c r="AF860" s="23"/>
    </row>
    <row r="861" spans="1:32" ht="15.75" x14ac:dyDescent="0.25">
      <c r="A861" s="44"/>
      <c r="B861" s="23"/>
      <c r="C861" s="23"/>
      <c r="D861" s="36"/>
      <c r="E861" s="23"/>
      <c r="F861" s="23"/>
      <c r="G861" s="23"/>
      <c r="H861" s="23"/>
      <c r="I861" s="23"/>
      <c r="J861" s="23"/>
      <c r="K861" s="23"/>
      <c r="L861" s="23"/>
      <c r="M861" s="36"/>
      <c r="N861" s="23"/>
      <c r="O861" s="23"/>
      <c r="P861" s="23"/>
      <c r="Q861" s="23"/>
      <c r="R861" s="23"/>
      <c r="S861" s="23"/>
      <c r="T861" s="23"/>
      <c r="U861" s="23"/>
      <c r="V861" s="36"/>
      <c r="W861" s="42"/>
      <c r="X861" s="42"/>
      <c r="Y861" s="23"/>
      <c r="Z861" s="42"/>
      <c r="AA861" s="42"/>
      <c r="AB861" s="23"/>
      <c r="AC861" s="23"/>
      <c r="AD861" s="23"/>
      <c r="AE861" s="36"/>
      <c r="AF861" s="23"/>
    </row>
    <row r="862" spans="1:32" ht="15.75" x14ac:dyDescent="0.25">
      <c r="A862" s="44"/>
      <c r="B862" s="23"/>
      <c r="C862" s="23"/>
      <c r="D862" s="36"/>
      <c r="E862" s="23"/>
      <c r="F862" s="23"/>
      <c r="G862" s="23"/>
      <c r="H862" s="23"/>
      <c r="I862" s="23"/>
      <c r="J862" s="23"/>
      <c r="K862" s="23"/>
      <c r="L862" s="23"/>
      <c r="M862" s="36"/>
      <c r="N862" s="23"/>
      <c r="O862" s="23"/>
      <c r="P862" s="23"/>
      <c r="Q862" s="23"/>
      <c r="R862" s="23"/>
      <c r="S862" s="23"/>
      <c r="T862" s="23"/>
      <c r="U862" s="23"/>
      <c r="V862" s="36"/>
      <c r="W862" s="42"/>
      <c r="X862" s="42"/>
      <c r="Y862" s="23"/>
      <c r="Z862" s="42"/>
      <c r="AA862" s="42"/>
      <c r="AB862" s="23"/>
      <c r="AC862" s="23"/>
      <c r="AD862" s="23"/>
      <c r="AE862" s="36"/>
      <c r="AF862" s="23"/>
    </row>
    <row r="863" spans="1:32" ht="15.75" x14ac:dyDescent="0.25">
      <c r="A863" s="44"/>
      <c r="B863" s="23"/>
      <c r="C863" s="23"/>
      <c r="D863" s="36"/>
      <c r="E863" s="23"/>
      <c r="F863" s="23"/>
      <c r="G863" s="23"/>
      <c r="H863" s="23"/>
      <c r="I863" s="23"/>
      <c r="J863" s="23"/>
      <c r="K863" s="23"/>
      <c r="L863" s="23"/>
      <c r="M863" s="36"/>
      <c r="N863" s="23"/>
      <c r="O863" s="23"/>
      <c r="P863" s="23"/>
      <c r="Q863" s="23"/>
      <c r="R863" s="23"/>
      <c r="S863" s="23"/>
      <c r="T863" s="23"/>
      <c r="U863" s="23"/>
      <c r="V863" s="36"/>
      <c r="W863" s="42"/>
      <c r="X863" s="42"/>
      <c r="Y863" s="23"/>
      <c r="Z863" s="42"/>
      <c r="AA863" s="42"/>
      <c r="AB863" s="23"/>
      <c r="AC863" s="23"/>
      <c r="AD863" s="23"/>
      <c r="AE863" s="36"/>
      <c r="AF863" s="23"/>
    </row>
    <row r="864" spans="1:32" ht="15.75" x14ac:dyDescent="0.25">
      <c r="A864" s="44"/>
      <c r="B864" s="23"/>
      <c r="C864" s="23"/>
      <c r="D864" s="36"/>
      <c r="E864" s="23"/>
      <c r="F864" s="23"/>
      <c r="G864" s="23"/>
      <c r="H864" s="23"/>
      <c r="I864" s="23"/>
      <c r="J864" s="23"/>
      <c r="K864" s="23"/>
      <c r="L864" s="23"/>
      <c r="M864" s="36"/>
      <c r="N864" s="23"/>
      <c r="O864" s="23"/>
      <c r="P864" s="23"/>
      <c r="Q864" s="23"/>
      <c r="R864" s="23"/>
      <c r="S864" s="23"/>
      <c r="T864" s="23"/>
      <c r="U864" s="23"/>
      <c r="V864" s="36"/>
      <c r="W864" s="42"/>
      <c r="X864" s="42"/>
      <c r="Y864" s="23"/>
      <c r="Z864" s="42"/>
      <c r="AA864" s="42"/>
      <c r="AB864" s="23"/>
      <c r="AC864" s="23"/>
      <c r="AD864" s="23"/>
      <c r="AE864" s="36"/>
      <c r="AF864" s="23"/>
    </row>
    <row r="865" spans="1:32" ht="15.75" x14ac:dyDescent="0.25">
      <c r="A865" s="44"/>
      <c r="B865" s="23"/>
      <c r="C865" s="23"/>
      <c r="D865" s="36"/>
      <c r="E865" s="23"/>
      <c r="F865" s="23"/>
      <c r="G865" s="23"/>
      <c r="H865" s="23"/>
      <c r="I865" s="23"/>
      <c r="J865" s="23"/>
      <c r="K865" s="23"/>
      <c r="L865" s="23"/>
      <c r="M865" s="36"/>
      <c r="N865" s="23"/>
      <c r="O865" s="23"/>
      <c r="P865" s="23"/>
      <c r="Q865" s="23"/>
      <c r="R865" s="23"/>
      <c r="S865" s="23"/>
      <c r="T865" s="23"/>
      <c r="U865" s="23"/>
      <c r="V865" s="36"/>
      <c r="W865" s="42"/>
      <c r="X865" s="42"/>
      <c r="Y865" s="23"/>
      <c r="Z865" s="42"/>
      <c r="AA865" s="42"/>
      <c r="AB865" s="23"/>
      <c r="AC865" s="23"/>
      <c r="AD865" s="23"/>
      <c r="AE865" s="36"/>
      <c r="AF865" s="23"/>
    </row>
    <row r="866" spans="1:32" ht="15.75" x14ac:dyDescent="0.25">
      <c r="A866" s="44"/>
      <c r="B866" s="23"/>
      <c r="C866" s="23"/>
      <c r="D866" s="36"/>
      <c r="E866" s="23"/>
      <c r="F866" s="23"/>
      <c r="G866" s="23"/>
      <c r="H866" s="23"/>
      <c r="I866" s="23"/>
      <c r="J866" s="23"/>
      <c r="K866" s="23"/>
      <c r="L866" s="23"/>
      <c r="M866" s="36"/>
      <c r="N866" s="23"/>
      <c r="O866" s="23"/>
      <c r="P866" s="23"/>
      <c r="Q866" s="23"/>
      <c r="R866" s="23"/>
      <c r="S866" s="23"/>
      <c r="T866" s="23"/>
      <c r="U866" s="23"/>
      <c r="V866" s="36"/>
      <c r="W866" s="42"/>
      <c r="X866" s="42"/>
      <c r="Y866" s="23"/>
      <c r="Z866" s="42"/>
      <c r="AA866" s="42"/>
      <c r="AB866" s="23"/>
      <c r="AC866" s="23"/>
      <c r="AD866" s="23"/>
      <c r="AE866" s="36"/>
      <c r="AF866" s="23"/>
    </row>
    <row r="867" spans="1:32" ht="15.75" x14ac:dyDescent="0.25">
      <c r="A867" s="44"/>
      <c r="B867" s="23"/>
      <c r="C867" s="23"/>
      <c r="D867" s="36"/>
      <c r="E867" s="23"/>
      <c r="F867" s="23"/>
      <c r="G867" s="23"/>
      <c r="H867" s="23"/>
      <c r="I867" s="23"/>
      <c r="J867" s="23"/>
      <c r="K867" s="23"/>
      <c r="L867" s="23"/>
      <c r="M867" s="36"/>
      <c r="N867" s="23"/>
      <c r="O867" s="23"/>
      <c r="P867" s="23"/>
      <c r="Q867" s="23"/>
      <c r="R867" s="23"/>
      <c r="S867" s="23"/>
      <c r="T867" s="23"/>
      <c r="U867" s="23"/>
      <c r="V867" s="36"/>
      <c r="W867" s="42"/>
      <c r="X867" s="42"/>
      <c r="Y867" s="23"/>
      <c r="Z867" s="42"/>
      <c r="AA867" s="42"/>
      <c r="AB867" s="23"/>
      <c r="AC867" s="23"/>
      <c r="AD867" s="23"/>
      <c r="AE867" s="36"/>
      <c r="AF867" s="23"/>
    </row>
    <row r="868" spans="1:32" ht="15.75" x14ac:dyDescent="0.25">
      <c r="A868" s="44"/>
      <c r="B868" s="23"/>
      <c r="C868" s="23"/>
      <c r="D868" s="36"/>
      <c r="E868" s="23"/>
      <c r="F868" s="23"/>
      <c r="G868" s="23"/>
      <c r="H868" s="23"/>
      <c r="I868" s="23"/>
      <c r="J868" s="23"/>
      <c r="K868" s="23"/>
      <c r="L868" s="23"/>
      <c r="M868" s="36"/>
      <c r="N868" s="23"/>
      <c r="O868" s="23"/>
      <c r="P868" s="23"/>
      <c r="Q868" s="23"/>
      <c r="R868" s="23"/>
      <c r="S868" s="23"/>
      <c r="T868" s="23"/>
      <c r="U868" s="23"/>
      <c r="V868" s="36"/>
      <c r="W868" s="42"/>
      <c r="X868" s="42"/>
      <c r="Y868" s="23"/>
      <c r="Z868" s="42"/>
      <c r="AA868" s="42"/>
      <c r="AB868" s="23"/>
      <c r="AC868" s="23"/>
      <c r="AD868" s="23"/>
      <c r="AE868" s="36"/>
      <c r="AF868" s="23"/>
    </row>
    <row r="869" spans="1:32" ht="15.75" x14ac:dyDescent="0.25">
      <c r="A869" s="44"/>
      <c r="B869" s="23"/>
      <c r="C869" s="23"/>
      <c r="D869" s="36"/>
      <c r="E869" s="23"/>
      <c r="F869" s="23"/>
      <c r="G869" s="23"/>
      <c r="H869" s="23"/>
      <c r="I869" s="23"/>
      <c r="J869" s="23"/>
      <c r="K869" s="23"/>
      <c r="L869" s="23"/>
      <c r="M869" s="36"/>
      <c r="N869" s="23"/>
      <c r="O869" s="23"/>
      <c r="P869" s="23"/>
      <c r="Q869" s="23"/>
      <c r="R869" s="23"/>
      <c r="S869" s="23"/>
      <c r="T869" s="23"/>
      <c r="U869" s="23"/>
      <c r="V869" s="36"/>
      <c r="W869" s="42"/>
      <c r="X869" s="42"/>
      <c r="Y869" s="23"/>
      <c r="Z869" s="42"/>
      <c r="AA869" s="42"/>
      <c r="AB869" s="23"/>
      <c r="AC869" s="23"/>
      <c r="AD869" s="23"/>
      <c r="AE869" s="36"/>
      <c r="AF869" s="23"/>
    </row>
    <row r="870" spans="1:32" ht="15.75" x14ac:dyDescent="0.25">
      <c r="A870" s="44"/>
      <c r="B870" s="23"/>
      <c r="C870" s="23"/>
      <c r="D870" s="36"/>
      <c r="E870" s="23"/>
      <c r="F870" s="23"/>
      <c r="G870" s="23"/>
      <c r="H870" s="23"/>
      <c r="I870" s="23"/>
      <c r="J870" s="23"/>
      <c r="K870" s="23"/>
      <c r="L870" s="23"/>
      <c r="M870" s="36"/>
      <c r="N870" s="23"/>
      <c r="O870" s="23"/>
      <c r="P870" s="23"/>
      <c r="Q870" s="23"/>
      <c r="R870" s="23"/>
      <c r="S870" s="23"/>
      <c r="T870" s="23"/>
      <c r="U870" s="23"/>
      <c r="V870" s="36"/>
      <c r="W870" s="42"/>
      <c r="X870" s="42"/>
      <c r="Y870" s="23"/>
      <c r="Z870" s="42"/>
      <c r="AA870" s="42"/>
      <c r="AB870" s="23"/>
      <c r="AC870" s="23"/>
      <c r="AD870" s="23"/>
      <c r="AE870" s="36"/>
      <c r="AF870" s="23"/>
    </row>
    <row r="871" spans="1:32" ht="15.75" x14ac:dyDescent="0.25">
      <c r="A871" s="44"/>
      <c r="B871" s="23"/>
      <c r="C871" s="23"/>
      <c r="D871" s="36"/>
      <c r="E871" s="23"/>
      <c r="F871" s="23"/>
      <c r="G871" s="23"/>
      <c r="H871" s="23"/>
      <c r="I871" s="23"/>
      <c r="J871" s="23"/>
      <c r="K871" s="23"/>
      <c r="L871" s="23"/>
      <c r="M871" s="36"/>
      <c r="N871" s="23"/>
      <c r="O871" s="23"/>
      <c r="P871" s="23"/>
      <c r="Q871" s="23"/>
      <c r="R871" s="23"/>
      <c r="S871" s="23"/>
      <c r="T871" s="23"/>
      <c r="U871" s="23"/>
      <c r="V871" s="36"/>
      <c r="W871" s="42"/>
      <c r="X871" s="42"/>
      <c r="Y871" s="23"/>
      <c r="Z871" s="42"/>
      <c r="AA871" s="42"/>
      <c r="AB871" s="23"/>
      <c r="AC871" s="23"/>
      <c r="AD871" s="23"/>
      <c r="AE871" s="36"/>
      <c r="AF871" s="23"/>
    </row>
    <row r="872" spans="1:32" ht="15.75" x14ac:dyDescent="0.25">
      <c r="A872" s="44"/>
      <c r="B872" s="23"/>
      <c r="C872" s="23"/>
      <c r="D872" s="36"/>
      <c r="E872" s="23"/>
      <c r="F872" s="23"/>
      <c r="G872" s="23"/>
      <c r="H872" s="23"/>
      <c r="I872" s="23"/>
      <c r="J872" s="23"/>
      <c r="K872" s="23"/>
      <c r="L872" s="23"/>
      <c r="M872" s="36"/>
      <c r="N872" s="23"/>
      <c r="O872" s="23"/>
      <c r="P872" s="23"/>
      <c r="Q872" s="23"/>
      <c r="R872" s="23"/>
      <c r="S872" s="23"/>
      <c r="T872" s="23"/>
      <c r="U872" s="23"/>
      <c r="V872" s="36"/>
      <c r="W872" s="42"/>
      <c r="X872" s="42"/>
      <c r="Y872" s="23"/>
      <c r="Z872" s="42"/>
      <c r="AA872" s="42"/>
      <c r="AB872" s="23"/>
      <c r="AC872" s="23"/>
      <c r="AD872" s="23"/>
      <c r="AE872" s="36"/>
      <c r="AF872" s="23"/>
    </row>
    <row r="873" spans="1:32" ht="15.75" x14ac:dyDescent="0.25">
      <c r="A873" s="44"/>
      <c r="B873" s="23"/>
      <c r="C873" s="23"/>
      <c r="D873" s="36"/>
      <c r="E873" s="23"/>
      <c r="F873" s="23"/>
      <c r="G873" s="23"/>
      <c r="H873" s="23"/>
      <c r="I873" s="23"/>
      <c r="J873" s="23"/>
      <c r="K873" s="23"/>
      <c r="L873" s="23"/>
      <c r="M873" s="36"/>
      <c r="N873" s="23"/>
      <c r="O873" s="23"/>
      <c r="P873" s="23"/>
      <c r="Q873" s="23"/>
      <c r="R873" s="23"/>
      <c r="S873" s="23"/>
      <c r="T873" s="23"/>
      <c r="U873" s="23"/>
      <c r="V873" s="36"/>
      <c r="W873" s="42"/>
      <c r="X873" s="42"/>
      <c r="Y873" s="23"/>
      <c r="Z873" s="42"/>
      <c r="AA873" s="42"/>
      <c r="AB873" s="23"/>
      <c r="AC873" s="23"/>
      <c r="AD873" s="23"/>
      <c r="AE873" s="36"/>
      <c r="AF873" s="23"/>
    </row>
    <row r="874" spans="1:32" ht="15.75" x14ac:dyDescent="0.25">
      <c r="A874" s="44"/>
      <c r="B874" s="23"/>
      <c r="C874" s="23"/>
      <c r="D874" s="36"/>
      <c r="E874" s="23"/>
      <c r="F874" s="23"/>
      <c r="G874" s="23"/>
      <c r="H874" s="23"/>
      <c r="I874" s="23"/>
      <c r="J874" s="23"/>
      <c r="K874" s="23"/>
      <c r="L874" s="23"/>
      <c r="M874" s="36"/>
      <c r="N874" s="23"/>
      <c r="O874" s="23"/>
      <c r="P874" s="23"/>
      <c r="Q874" s="23"/>
      <c r="R874" s="23"/>
      <c r="S874" s="23"/>
      <c r="T874" s="23"/>
      <c r="U874" s="23"/>
      <c r="V874" s="36"/>
      <c r="W874" s="42"/>
      <c r="X874" s="42"/>
      <c r="Y874" s="23"/>
      <c r="Z874" s="42"/>
      <c r="AA874" s="42"/>
      <c r="AB874" s="23"/>
      <c r="AC874" s="23"/>
      <c r="AD874" s="23"/>
      <c r="AE874" s="36"/>
      <c r="AF874" s="23"/>
    </row>
    <row r="875" spans="1:32" ht="15.75" x14ac:dyDescent="0.25">
      <c r="A875" s="44"/>
      <c r="B875" s="23"/>
      <c r="C875" s="23"/>
      <c r="D875" s="36"/>
      <c r="E875" s="23"/>
      <c r="F875" s="23"/>
      <c r="G875" s="23"/>
      <c r="H875" s="23"/>
      <c r="I875" s="23"/>
      <c r="J875" s="23"/>
      <c r="K875" s="23"/>
      <c r="L875" s="23"/>
      <c r="M875" s="36"/>
      <c r="N875" s="23"/>
      <c r="O875" s="23"/>
      <c r="P875" s="23"/>
      <c r="Q875" s="23"/>
      <c r="R875" s="23"/>
      <c r="S875" s="23"/>
      <c r="T875" s="23"/>
      <c r="U875" s="23"/>
      <c r="V875" s="36"/>
      <c r="W875" s="42"/>
      <c r="X875" s="42"/>
      <c r="Y875" s="23"/>
      <c r="Z875" s="42"/>
      <c r="AA875" s="42"/>
      <c r="AB875" s="23"/>
      <c r="AC875" s="23"/>
      <c r="AD875" s="23"/>
      <c r="AE875" s="36"/>
      <c r="AF875" s="23"/>
    </row>
    <row r="876" spans="1:32" ht="15.75" x14ac:dyDescent="0.25">
      <c r="A876" s="44"/>
      <c r="B876" s="23"/>
      <c r="C876" s="23"/>
      <c r="D876" s="36"/>
      <c r="E876" s="23"/>
      <c r="F876" s="23"/>
      <c r="G876" s="23"/>
      <c r="H876" s="23"/>
      <c r="I876" s="23"/>
      <c r="J876" s="23"/>
      <c r="K876" s="23"/>
      <c r="L876" s="23"/>
      <c r="M876" s="36"/>
      <c r="N876" s="23"/>
      <c r="O876" s="23"/>
      <c r="P876" s="23"/>
      <c r="Q876" s="23"/>
      <c r="R876" s="23"/>
      <c r="S876" s="23"/>
      <c r="T876" s="23"/>
      <c r="U876" s="23"/>
      <c r="V876" s="36"/>
      <c r="W876" s="42"/>
      <c r="X876" s="42"/>
      <c r="Y876" s="23"/>
      <c r="Z876" s="42"/>
      <c r="AA876" s="42"/>
      <c r="AB876" s="23"/>
      <c r="AC876" s="23"/>
      <c r="AD876" s="23"/>
      <c r="AE876" s="36"/>
      <c r="AF876" s="23"/>
    </row>
    <row r="877" spans="1:32" ht="15.75" x14ac:dyDescent="0.25">
      <c r="A877" s="44"/>
      <c r="B877" s="23"/>
      <c r="C877" s="23"/>
      <c r="D877" s="36"/>
      <c r="E877" s="23"/>
      <c r="F877" s="23"/>
      <c r="G877" s="23"/>
      <c r="H877" s="23"/>
      <c r="I877" s="23"/>
      <c r="J877" s="23"/>
      <c r="K877" s="23"/>
      <c r="L877" s="23"/>
      <c r="M877" s="36"/>
      <c r="N877" s="23"/>
      <c r="O877" s="23"/>
      <c r="P877" s="23"/>
      <c r="Q877" s="23"/>
      <c r="R877" s="23"/>
      <c r="S877" s="23"/>
      <c r="T877" s="23"/>
      <c r="U877" s="23"/>
      <c r="V877" s="36"/>
      <c r="W877" s="42"/>
      <c r="X877" s="42"/>
      <c r="Y877" s="23"/>
      <c r="Z877" s="42"/>
      <c r="AA877" s="42"/>
      <c r="AB877" s="23"/>
      <c r="AC877" s="23"/>
      <c r="AD877" s="23"/>
      <c r="AE877" s="36"/>
      <c r="AF877" s="23"/>
    </row>
    <row r="878" spans="1:32" ht="15.75" x14ac:dyDescent="0.25">
      <c r="A878" s="44"/>
      <c r="B878" s="23"/>
      <c r="C878" s="23"/>
      <c r="D878" s="36"/>
      <c r="E878" s="23"/>
      <c r="F878" s="23"/>
      <c r="G878" s="23"/>
      <c r="H878" s="23"/>
      <c r="I878" s="23"/>
      <c r="J878" s="23"/>
      <c r="K878" s="23"/>
      <c r="L878" s="23"/>
      <c r="M878" s="36"/>
      <c r="N878" s="23"/>
      <c r="O878" s="23"/>
      <c r="P878" s="23"/>
      <c r="Q878" s="23"/>
      <c r="R878" s="23"/>
      <c r="S878" s="23"/>
      <c r="T878" s="23"/>
      <c r="U878" s="23"/>
      <c r="V878" s="36"/>
      <c r="W878" s="42"/>
      <c r="X878" s="42"/>
      <c r="Y878" s="23"/>
      <c r="Z878" s="42"/>
      <c r="AA878" s="42"/>
      <c r="AB878" s="23"/>
      <c r="AC878" s="23"/>
      <c r="AD878" s="23"/>
      <c r="AE878" s="36"/>
      <c r="AF878" s="23"/>
    </row>
    <row r="879" spans="1:32" ht="15.75" x14ac:dyDescent="0.25">
      <c r="A879" s="44"/>
      <c r="B879" s="23"/>
      <c r="C879" s="23"/>
      <c r="D879" s="36"/>
      <c r="E879" s="23"/>
      <c r="F879" s="23"/>
      <c r="G879" s="23"/>
      <c r="H879" s="23"/>
      <c r="I879" s="23"/>
      <c r="J879" s="23"/>
      <c r="K879" s="23"/>
      <c r="L879" s="23"/>
      <c r="M879" s="36"/>
      <c r="N879" s="23"/>
      <c r="O879" s="23"/>
      <c r="P879" s="23"/>
      <c r="Q879" s="23"/>
      <c r="R879" s="23"/>
      <c r="S879" s="23"/>
      <c r="T879" s="23"/>
      <c r="U879" s="23"/>
      <c r="V879" s="36"/>
      <c r="W879" s="42"/>
      <c r="X879" s="42"/>
      <c r="Y879" s="23"/>
      <c r="Z879" s="42"/>
      <c r="AA879" s="42"/>
      <c r="AB879" s="23"/>
      <c r="AC879" s="23"/>
      <c r="AD879" s="23"/>
      <c r="AE879" s="36"/>
      <c r="AF879" s="23"/>
    </row>
    <row r="880" spans="1:32" ht="15.75" x14ac:dyDescent="0.25">
      <c r="A880" s="44"/>
      <c r="B880" s="23"/>
      <c r="C880" s="23"/>
      <c r="D880" s="36"/>
      <c r="E880" s="23"/>
      <c r="F880" s="23"/>
      <c r="G880" s="23"/>
      <c r="H880" s="23"/>
      <c r="I880" s="23"/>
      <c r="J880" s="23"/>
      <c r="K880" s="23"/>
      <c r="L880" s="23"/>
      <c r="M880" s="36"/>
      <c r="N880" s="23"/>
      <c r="O880" s="23"/>
      <c r="P880" s="23"/>
      <c r="Q880" s="23"/>
      <c r="R880" s="23"/>
      <c r="S880" s="23"/>
      <c r="T880" s="23"/>
      <c r="U880" s="23"/>
      <c r="V880" s="36"/>
      <c r="W880" s="42"/>
      <c r="X880" s="42"/>
      <c r="Y880" s="23"/>
      <c r="Z880" s="42"/>
      <c r="AA880" s="42"/>
      <c r="AB880" s="23"/>
      <c r="AC880" s="23"/>
      <c r="AD880" s="23"/>
      <c r="AE880" s="36"/>
      <c r="AF880" s="23"/>
    </row>
    <row r="881" spans="1:32" ht="15.75" x14ac:dyDescent="0.25">
      <c r="A881" s="44"/>
      <c r="B881" s="23"/>
      <c r="C881" s="23"/>
      <c r="D881" s="36"/>
      <c r="E881" s="23"/>
      <c r="F881" s="23"/>
      <c r="G881" s="23"/>
      <c r="H881" s="23"/>
      <c r="I881" s="23"/>
      <c r="J881" s="23"/>
      <c r="K881" s="23"/>
      <c r="L881" s="23"/>
      <c r="M881" s="36"/>
      <c r="N881" s="23"/>
      <c r="O881" s="23"/>
      <c r="P881" s="23"/>
      <c r="Q881" s="23"/>
      <c r="R881" s="23"/>
      <c r="S881" s="23"/>
      <c r="T881" s="23"/>
      <c r="U881" s="23"/>
      <c r="V881" s="36"/>
      <c r="W881" s="42"/>
      <c r="X881" s="42"/>
      <c r="Y881" s="23"/>
      <c r="Z881" s="42"/>
      <c r="AA881" s="42"/>
      <c r="AB881" s="23"/>
      <c r="AC881" s="23"/>
      <c r="AD881" s="23"/>
      <c r="AE881" s="36"/>
      <c r="AF881" s="23"/>
    </row>
    <row r="882" spans="1:32" ht="15.75" x14ac:dyDescent="0.25">
      <c r="A882" s="44"/>
      <c r="B882" s="23"/>
      <c r="C882" s="23"/>
      <c r="D882" s="36"/>
      <c r="E882" s="23"/>
      <c r="F882" s="23"/>
      <c r="G882" s="23"/>
      <c r="H882" s="23"/>
      <c r="I882" s="23"/>
      <c r="J882" s="23"/>
      <c r="K882" s="23"/>
      <c r="L882" s="23"/>
      <c r="M882" s="36"/>
      <c r="N882" s="23"/>
      <c r="O882" s="23"/>
      <c r="P882" s="23"/>
      <c r="Q882" s="23"/>
      <c r="R882" s="23"/>
      <c r="S882" s="23"/>
      <c r="T882" s="23"/>
      <c r="U882" s="23"/>
      <c r="V882" s="36"/>
      <c r="W882" s="42"/>
      <c r="X882" s="42"/>
      <c r="Y882" s="23"/>
      <c r="Z882" s="42"/>
      <c r="AA882" s="42"/>
      <c r="AB882" s="23"/>
      <c r="AC882" s="23"/>
      <c r="AD882" s="23"/>
      <c r="AE882" s="36"/>
      <c r="AF882" s="23"/>
    </row>
    <row r="883" spans="1:32" ht="15.75" x14ac:dyDescent="0.25">
      <c r="A883" s="44"/>
      <c r="B883" s="23"/>
      <c r="C883" s="23"/>
      <c r="D883" s="36"/>
      <c r="E883" s="23"/>
      <c r="F883" s="23"/>
      <c r="G883" s="23"/>
      <c r="H883" s="23"/>
      <c r="I883" s="23"/>
      <c r="J883" s="23"/>
      <c r="K883" s="23"/>
      <c r="L883" s="23"/>
      <c r="M883" s="36"/>
      <c r="N883" s="23"/>
      <c r="O883" s="23"/>
      <c r="P883" s="23"/>
      <c r="Q883" s="23"/>
      <c r="R883" s="23"/>
      <c r="S883" s="23"/>
      <c r="T883" s="23"/>
      <c r="U883" s="23"/>
      <c r="V883" s="36"/>
      <c r="W883" s="42"/>
      <c r="X883" s="42"/>
      <c r="Y883" s="23"/>
      <c r="Z883" s="42"/>
      <c r="AA883" s="42"/>
      <c r="AB883" s="23"/>
      <c r="AC883" s="23"/>
      <c r="AD883" s="23"/>
      <c r="AE883" s="36"/>
      <c r="AF883" s="23"/>
    </row>
    <row r="884" spans="1:32" ht="15.75" x14ac:dyDescent="0.25">
      <c r="A884" s="44"/>
      <c r="B884" s="23"/>
      <c r="C884" s="23"/>
      <c r="D884" s="36"/>
      <c r="E884" s="23"/>
      <c r="F884" s="23"/>
      <c r="G884" s="23"/>
      <c r="H884" s="23"/>
      <c r="I884" s="23"/>
      <c r="J884" s="23"/>
      <c r="K884" s="23"/>
      <c r="L884" s="23"/>
      <c r="M884" s="36"/>
      <c r="N884" s="23"/>
      <c r="O884" s="23"/>
      <c r="P884" s="23"/>
      <c r="Q884" s="23"/>
      <c r="R884" s="23"/>
      <c r="S884" s="23"/>
      <c r="T884" s="23"/>
      <c r="U884" s="23"/>
      <c r="V884" s="36"/>
      <c r="W884" s="42"/>
      <c r="X884" s="42"/>
      <c r="Y884" s="23"/>
      <c r="Z884" s="42"/>
      <c r="AA884" s="42"/>
      <c r="AB884" s="23"/>
      <c r="AC884" s="23"/>
      <c r="AD884" s="23"/>
      <c r="AE884" s="36"/>
      <c r="AF884" s="23"/>
    </row>
    <row r="885" spans="1:32" ht="15.75" x14ac:dyDescent="0.25">
      <c r="A885" s="44"/>
      <c r="B885" s="23"/>
      <c r="C885" s="23"/>
      <c r="D885" s="36"/>
      <c r="E885" s="23"/>
      <c r="F885" s="23"/>
      <c r="G885" s="23"/>
      <c r="H885" s="23"/>
      <c r="I885" s="23"/>
      <c r="J885" s="23"/>
      <c r="K885" s="23"/>
      <c r="L885" s="23"/>
      <c r="M885" s="36"/>
      <c r="N885" s="23"/>
      <c r="O885" s="23"/>
      <c r="P885" s="23"/>
      <c r="Q885" s="23"/>
      <c r="R885" s="23"/>
      <c r="S885" s="23"/>
      <c r="T885" s="23"/>
      <c r="U885" s="23"/>
      <c r="V885" s="36"/>
      <c r="W885" s="42"/>
      <c r="X885" s="42"/>
      <c r="Y885" s="23"/>
      <c r="Z885" s="42"/>
      <c r="AA885" s="42"/>
      <c r="AB885" s="23"/>
      <c r="AC885" s="23"/>
      <c r="AD885" s="23"/>
      <c r="AE885" s="36"/>
      <c r="AF885" s="23"/>
    </row>
    <row r="886" spans="1:32" ht="15.75" x14ac:dyDescent="0.25">
      <c r="A886" s="44"/>
      <c r="B886" s="23"/>
      <c r="C886" s="23"/>
      <c r="D886" s="36"/>
      <c r="E886" s="23"/>
      <c r="F886" s="23"/>
      <c r="G886" s="23"/>
      <c r="H886" s="23"/>
      <c r="I886" s="23"/>
      <c r="J886" s="23"/>
      <c r="K886" s="23"/>
      <c r="L886" s="23"/>
      <c r="M886" s="36"/>
      <c r="N886" s="23"/>
      <c r="O886" s="23"/>
      <c r="P886" s="23"/>
      <c r="Q886" s="23"/>
      <c r="R886" s="23"/>
      <c r="S886" s="23"/>
      <c r="T886" s="23"/>
      <c r="U886" s="23"/>
      <c r="V886" s="36"/>
      <c r="W886" s="42"/>
      <c r="X886" s="42"/>
      <c r="Y886" s="23"/>
      <c r="Z886" s="42"/>
      <c r="AA886" s="42"/>
      <c r="AB886" s="23"/>
      <c r="AC886" s="23"/>
      <c r="AD886" s="23"/>
      <c r="AE886" s="36"/>
      <c r="AF886" s="23"/>
    </row>
    <row r="887" spans="1:32" ht="15.75" x14ac:dyDescent="0.25">
      <c r="A887" s="44"/>
      <c r="B887" s="23"/>
      <c r="C887" s="23"/>
      <c r="D887" s="36"/>
      <c r="E887" s="23"/>
      <c r="F887" s="23"/>
      <c r="G887" s="23"/>
      <c r="H887" s="23"/>
      <c r="I887" s="23"/>
      <c r="J887" s="23"/>
      <c r="K887" s="23"/>
      <c r="L887" s="23"/>
      <c r="M887" s="36"/>
      <c r="N887" s="23"/>
      <c r="O887" s="23"/>
      <c r="P887" s="23"/>
      <c r="Q887" s="23"/>
      <c r="R887" s="23"/>
      <c r="S887" s="23"/>
      <c r="T887" s="23"/>
      <c r="U887" s="23"/>
      <c r="V887" s="36"/>
      <c r="W887" s="42"/>
      <c r="X887" s="42"/>
      <c r="Y887" s="23"/>
      <c r="Z887" s="42"/>
      <c r="AA887" s="42"/>
      <c r="AB887" s="23"/>
      <c r="AC887" s="23"/>
      <c r="AD887" s="23"/>
      <c r="AE887" s="36"/>
      <c r="AF887" s="23"/>
    </row>
    <row r="888" spans="1:32" ht="15.75" x14ac:dyDescent="0.25">
      <c r="A888" s="44"/>
      <c r="B888" s="23"/>
      <c r="C888" s="23"/>
      <c r="D888" s="36"/>
      <c r="E888" s="23"/>
      <c r="F888" s="23"/>
      <c r="G888" s="23"/>
      <c r="H888" s="23"/>
      <c r="I888" s="23"/>
      <c r="J888" s="23"/>
      <c r="K888" s="23"/>
      <c r="L888" s="23"/>
      <c r="M888" s="36"/>
      <c r="N888" s="23"/>
      <c r="O888" s="23"/>
      <c r="P888" s="23"/>
      <c r="Q888" s="23"/>
      <c r="R888" s="23"/>
      <c r="S888" s="23"/>
      <c r="T888" s="23"/>
      <c r="U888" s="23"/>
      <c r="V888" s="36"/>
      <c r="W888" s="42"/>
      <c r="X888" s="42"/>
      <c r="Y888" s="23"/>
      <c r="Z888" s="42"/>
      <c r="AA888" s="42"/>
      <c r="AB888" s="23"/>
      <c r="AC888" s="23"/>
      <c r="AD888" s="23"/>
      <c r="AE888" s="36"/>
      <c r="AF888" s="23"/>
    </row>
    <row r="889" spans="1:32" ht="15.75" x14ac:dyDescent="0.25">
      <c r="A889" s="44"/>
      <c r="B889" s="23"/>
      <c r="C889" s="23"/>
      <c r="D889" s="36"/>
      <c r="E889" s="23"/>
      <c r="F889" s="23"/>
      <c r="G889" s="23"/>
      <c r="H889" s="23"/>
      <c r="I889" s="23"/>
      <c r="J889" s="23"/>
      <c r="K889" s="23"/>
      <c r="L889" s="23"/>
      <c r="M889" s="36"/>
      <c r="N889" s="23"/>
      <c r="O889" s="23"/>
      <c r="P889" s="23"/>
      <c r="Q889" s="23"/>
      <c r="R889" s="23"/>
      <c r="S889" s="23"/>
      <c r="T889" s="23"/>
      <c r="U889" s="23"/>
      <c r="V889" s="36"/>
      <c r="W889" s="42"/>
      <c r="X889" s="42"/>
      <c r="Y889" s="23"/>
      <c r="Z889" s="42"/>
      <c r="AA889" s="42"/>
      <c r="AB889" s="23"/>
      <c r="AC889" s="23"/>
      <c r="AD889" s="23"/>
      <c r="AE889" s="36"/>
      <c r="AF889" s="23"/>
    </row>
    <row r="890" spans="1:32" ht="15.75" x14ac:dyDescent="0.25">
      <c r="A890" s="44"/>
      <c r="B890" s="23"/>
      <c r="C890" s="23"/>
      <c r="D890" s="36"/>
      <c r="E890" s="23"/>
      <c r="F890" s="23"/>
      <c r="G890" s="23"/>
      <c r="H890" s="23"/>
      <c r="I890" s="23"/>
      <c r="J890" s="23"/>
      <c r="K890" s="23"/>
      <c r="L890" s="23"/>
      <c r="M890" s="36"/>
      <c r="N890" s="23"/>
      <c r="O890" s="23"/>
      <c r="P890" s="23"/>
      <c r="Q890" s="23"/>
      <c r="R890" s="23"/>
      <c r="S890" s="23"/>
      <c r="T890" s="23"/>
      <c r="U890" s="23"/>
      <c r="V890" s="36"/>
      <c r="W890" s="42"/>
      <c r="X890" s="42"/>
      <c r="Y890" s="23"/>
      <c r="Z890" s="42"/>
      <c r="AA890" s="42"/>
      <c r="AB890" s="23"/>
      <c r="AC890" s="23"/>
      <c r="AD890" s="23"/>
      <c r="AE890" s="36"/>
      <c r="AF890" s="23"/>
    </row>
    <row r="891" spans="1:32" ht="15.75" x14ac:dyDescent="0.25">
      <c r="A891" s="44"/>
      <c r="B891" s="23"/>
      <c r="C891" s="23"/>
      <c r="D891" s="36"/>
      <c r="E891" s="23"/>
      <c r="F891" s="23"/>
      <c r="G891" s="23"/>
      <c r="H891" s="23"/>
      <c r="I891" s="23"/>
      <c r="J891" s="23"/>
      <c r="K891" s="23"/>
      <c r="L891" s="23"/>
      <c r="M891" s="36"/>
      <c r="N891" s="23"/>
      <c r="O891" s="23"/>
      <c r="P891" s="23"/>
      <c r="Q891" s="23"/>
      <c r="R891" s="23"/>
      <c r="S891" s="23"/>
      <c r="T891" s="23"/>
      <c r="U891" s="23"/>
      <c r="V891" s="36"/>
      <c r="W891" s="42"/>
      <c r="X891" s="42"/>
      <c r="Y891" s="23"/>
      <c r="Z891" s="42"/>
      <c r="AA891" s="42"/>
      <c r="AB891" s="23"/>
      <c r="AC891" s="23"/>
      <c r="AD891" s="23"/>
      <c r="AE891" s="36"/>
      <c r="AF891" s="23"/>
    </row>
    <row r="892" spans="1:32" ht="15.75" x14ac:dyDescent="0.25">
      <c r="A892" s="44"/>
      <c r="B892" s="23"/>
      <c r="C892" s="23"/>
      <c r="D892" s="36"/>
      <c r="E892" s="23"/>
      <c r="F892" s="23"/>
      <c r="G892" s="23"/>
      <c r="H892" s="23"/>
      <c r="I892" s="23"/>
      <c r="J892" s="23"/>
      <c r="K892" s="23"/>
      <c r="L892" s="23"/>
      <c r="M892" s="36"/>
      <c r="N892" s="23"/>
      <c r="O892" s="23"/>
      <c r="P892" s="23"/>
      <c r="Q892" s="23"/>
      <c r="R892" s="23"/>
      <c r="S892" s="23"/>
      <c r="T892" s="23"/>
      <c r="U892" s="23"/>
      <c r="V892" s="36"/>
      <c r="W892" s="42"/>
      <c r="X892" s="42"/>
      <c r="Y892" s="23"/>
      <c r="Z892" s="42"/>
      <c r="AA892" s="42"/>
      <c r="AB892" s="23"/>
      <c r="AC892" s="23"/>
      <c r="AD892" s="23"/>
      <c r="AE892" s="36"/>
      <c r="AF892" s="23"/>
    </row>
    <row r="893" spans="1:32" ht="15.75" x14ac:dyDescent="0.25">
      <c r="A893" s="44"/>
      <c r="B893" s="23"/>
      <c r="C893" s="23"/>
      <c r="D893" s="36"/>
      <c r="E893" s="23"/>
      <c r="F893" s="23"/>
      <c r="G893" s="23"/>
      <c r="H893" s="23"/>
      <c r="I893" s="23"/>
      <c r="J893" s="23"/>
      <c r="K893" s="23"/>
      <c r="L893" s="23"/>
      <c r="M893" s="36"/>
      <c r="N893" s="23"/>
      <c r="O893" s="23"/>
      <c r="P893" s="23"/>
      <c r="Q893" s="23"/>
      <c r="R893" s="23"/>
      <c r="S893" s="23"/>
      <c r="T893" s="23"/>
      <c r="U893" s="23"/>
      <c r="V893" s="36"/>
      <c r="W893" s="42"/>
      <c r="X893" s="42"/>
      <c r="Y893" s="23"/>
      <c r="Z893" s="42"/>
      <c r="AA893" s="42"/>
      <c r="AB893" s="23"/>
      <c r="AC893" s="23"/>
      <c r="AD893" s="23"/>
      <c r="AE893" s="36"/>
      <c r="AF893" s="23"/>
    </row>
    <row r="894" spans="1:32" ht="15.75" x14ac:dyDescent="0.25">
      <c r="A894" s="44"/>
      <c r="B894" s="23"/>
      <c r="C894" s="23"/>
      <c r="D894" s="36"/>
      <c r="E894" s="23"/>
      <c r="F894" s="23"/>
      <c r="G894" s="23"/>
      <c r="H894" s="23"/>
      <c r="I894" s="23"/>
      <c r="J894" s="23"/>
      <c r="K894" s="23"/>
      <c r="L894" s="23"/>
      <c r="M894" s="36"/>
      <c r="N894" s="23"/>
      <c r="O894" s="23"/>
      <c r="P894" s="23"/>
      <c r="Q894" s="23"/>
      <c r="R894" s="23"/>
      <c r="S894" s="23"/>
      <c r="T894" s="23"/>
      <c r="U894" s="23"/>
      <c r="V894" s="36"/>
      <c r="W894" s="42"/>
      <c r="X894" s="42"/>
      <c r="Y894" s="23"/>
      <c r="Z894" s="42"/>
      <c r="AA894" s="42"/>
      <c r="AB894" s="23"/>
      <c r="AC894" s="23"/>
      <c r="AD894" s="23"/>
      <c r="AE894" s="36"/>
      <c r="AF894" s="23"/>
    </row>
    <row r="895" spans="1:32" ht="15.75" x14ac:dyDescent="0.25">
      <c r="A895" s="44"/>
      <c r="B895" s="23"/>
      <c r="C895" s="23"/>
      <c r="D895" s="36"/>
      <c r="E895" s="23"/>
      <c r="F895" s="23"/>
      <c r="G895" s="23"/>
      <c r="H895" s="23"/>
      <c r="I895" s="23"/>
      <c r="J895" s="23"/>
      <c r="K895" s="23"/>
      <c r="L895" s="23"/>
      <c r="M895" s="36"/>
      <c r="N895" s="23"/>
      <c r="O895" s="23"/>
      <c r="P895" s="23"/>
      <c r="Q895" s="23"/>
      <c r="R895" s="23"/>
      <c r="S895" s="23"/>
      <c r="T895" s="23"/>
      <c r="U895" s="23"/>
      <c r="V895" s="36"/>
      <c r="W895" s="42"/>
      <c r="X895" s="42"/>
      <c r="Y895" s="23"/>
      <c r="Z895" s="42"/>
      <c r="AA895" s="42"/>
      <c r="AB895" s="23"/>
      <c r="AC895" s="23"/>
      <c r="AD895" s="23"/>
      <c r="AE895" s="36"/>
      <c r="AF895" s="23"/>
    </row>
    <row r="896" spans="1:32" ht="15.75" x14ac:dyDescent="0.25">
      <c r="A896" s="44"/>
      <c r="B896" s="23"/>
      <c r="C896" s="23"/>
      <c r="D896" s="36"/>
      <c r="E896" s="23"/>
      <c r="F896" s="23"/>
      <c r="G896" s="23"/>
      <c r="H896" s="23"/>
      <c r="I896" s="23"/>
      <c r="J896" s="23"/>
      <c r="K896" s="23"/>
      <c r="L896" s="23"/>
      <c r="M896" s="36"/>
      <c r="N896" s="23"/>
      <c r="O896" s="23"/>
      <c r="P896" s="23"/>
      <c r="Q896" s="23"/>
      <c r="R896" s="23"/>
      <c r="S896" s="23"/>
      <c r="T896" s="23"/>
      <c r="U896" s="23"/>
      <c r="V896" s="36"/>
      <c r="W896" s="42"/>
      <c r="X896" s="42"/>
      <c r="Y896" s="23"/>
      <c r="Z896" s="42"/>
      <c r="AA896" s="42"/>
      <c r="AB896" s="23"/>
      <c r="AC896" s="23"/>
      <c r="AD896" s="23"/>
      <c r="AE896" s="36"/>
      <c r="AF896" s="23"/>
    </row>
    <row r="897" spans="1:32" ht="15.75" x14ac:dyDescent="0.25">
      <c r="A897" s="44"/>
      <c r="B897" s="23"/>
      <c r="C897" s="23"/>
      <c r="D897" s="36"/>
      <c r="E897" s="23"/>
      <c r="F897" s="23"/>
      <c r="G897" s="23"/>
      <c r="H897" s="23"/>
      <c r="I897" s="23"/>
      <c r="J897" s="23"/>
      <c r="K897" s="23"/>
      <c r="L897" s="23"/>
      <c r="M897" s="36"/>
      <c r="N897" s="23"/>
      <c r="O897" s="23"/>
      <c r="P897" s="23"/>
      <c r="Q897" s="23"/>
      <c r="R897" s="23"/>
      <c r="S897" s="23"/>
      <c r="T897" s="23"/>
      <c r="U897" s="23"/>
      <c r="V897" s="36"/>
      <c r="W897" s="42"/>
      <c r="X897" s="42"/>
      <c r="Y897" s="23"/>
      <c r="Z897" s="42"/>
      <c r="AA897" s="42"/>
      <c r="AB897" s="23"/>
      <c r="AC897" s="23"/>
      <c r="AD897" s="23"/>
      <c r="AE897" s="36"/>
      <c r="AF897" s="23"/>
    </row>
    <row r="898" spans="1:32" ht="15.75" x14ac:dyDescent="0.25">
      <c r="A898" s="44"/>
      <c r="B898" s="23"/>
      <c r="C898" s="23"/>
      <c r="D898" s="36"/>
      <c r="E898" s="23"/>
      <c r="F898" s="23"/>
      <c r="G898" s="23"/>
      <c r="H898" s="23"/>
      <c r="I898" s="23"/>
      <c r="J898" s="23"/>
      <c r="K898" s="23"/>
      <c r="L898" s="23"/>
      <c r="M898" s="36"/>
      <c r="N898" s="23"/>
      <c r="O898" s="23"/>
      <c r="P898" s="23"/>
      <c r="Q898" s="23"/>
      <c r="R898" s="23"/>
      <c r="S898" s="23"/>
      <c r="T898" s="23"/>
      <c r="U898" s="23"/>
      <c r="V898" s="36"/>
      <c r="W898" s="42"/>
      <c r="X898" s="42"/>
      <c r="Y898" s="23"/>
      <c r="Z898" s="42"/>
      <c r="AA898" s="42"/>
      <c r="AB898" s="23"/>
      <c r="AC898" s="23"/>
      <c r="AD898" s="23"/>
      <c r="AE898" s="36"/>
      <c r="AF898" s="23"/>
    </row>
    <row r="899" spans="1:32" ht="15.75" x14ac:dyDescent="0.25">
      <c r="A899" s="44"/>
      <c r="B899" s="23"/>
      <c r="C899" s="23"/>
      <c r="D899" s="36"/>
      <c r="E899" s="23"/>
      <c r="F899" s="23"/>
      <c r="G899" s="23"/>
      <c r="H899" s="23"/>
      <c r="I899" s="23"/>
      <c r="J899" s="23"/>
      <c r="K899" s="23"/>
      <c r="L899" s="23"/>
      <c r="M899" s="36"/>
      <c r="N899" s="23"/>
      <c r="O899" s="23"/>
      <c r="P899" s="23"/>
      <c r="Q899" s="23"/>
      <c r="R899" s="23"/>
      <c r="S899" s="23"/>
      <c r="T899" s="23"/>
      <c r="U899" s="23"/>
      <c r="V899" s="36"/>
      <c r="W899" s="42"/>
      <c r="X899" s="42"/>
      <c r="Y899" s="23"/>
      <c r="Z899" s="42"/>
      <c r="AA899" s="42"/>
      <c r="AB899" s="23"/>
      <c r="AC899" s="23"/>
      <c r="AD899" s="23"/>
      <c r="AE899" s="36"/>
      <c r="AF899" s="23"/>
    </row>
    <row r="900" spans="1:32" ht="15.75" x14ac:dyDescent="0.25">
      <c r="A900" s="44"/>
      <c r="B900" s="23"/>
      <c r="C900" s="23"/>
      <c r="D900" s="36"/>
      <c r="E900" s="23"/>
      <c r="F900" s="23"/>
      <c r="G900" s="23"/>
      <c r="H900" s="23"/>
      <c r="I900" s="23"/>
      <c r="J900" s="23"/>
      <c r="K900" s="23"/>
      <c r="L900" s="23"/>
      <c r="M900" s="36"/>
      <c r="N900" s="23"/>
      <c r="O900" s="23"/>
      <c r="P900" s="23"/>
      <c r="Q900" s="23"/>
      <c r="R900" s="23"/>
      <c r="S900" s="23"/>
      <c r="T900" s="23"/>
      <c r="U900" s="23"/>
      <c r="V900" s="36"/>
      <c r="W900" s="42"/>
      <c r="X900" s="42"/>
      <c r="Y900" s="23"/>
      <c r="Z900" s="42"/>
      <c r="AA900" s="42"/>
      <c r="AB900" s="23"/>
      <c r="AC900" s="23"/>
      <c r="AD900" s="23"/>
      <c r="AE900" s="36"/>
      <c r="AF900" s="23"/>
    </row>
    <row r="901" spans="1:32" ht="15.75" x14ac:dyDescent="0.25">
      <c r="A901" s="44"/>
      <c r="B901" s="23"/>
      <c r="C901" s="23"/>
      <c r="D901" s="36"/>
      <c r="E901" s="23"/>
      <c r="F901" s="23"/>
      <c r="G901" s="23"/>
      <c r="H901" s="23"/>
      <c r="I901" s="23"/>
      <c r="J901" s="23"/>
      <c r="K901" s="23"/>
      <c r="L901" s="23"/>
      <c r="M901" s="36"/>
      <c r="N901" s="23"/>
      <c r="O901" s="23"/>
      <c r="P901" s="23"/>
      <c r="Q901" s="23"/>
      <c r="R901" s="23"/>
      <c r="S901" s="23"/>
      <c r="T901" s="23"/>
      <c r="U901" s="23"/>
      <c r="V901" s="36"/>
      <c r="W901" s="42"/>
      <c r="X901" s="42"/>
      <c r="Y901" s="23"/>
      <c r="Z901" s="42"/>
      <c r="AA901" s="42"/>
      <c r="AB901" s="23"/>
      <c r="AC901" s="23"/>
      <c r="AD901" s="23"/>
      <c r="AE901" s="36"/>
      <c r="AF901" s="23"/>
    </row>
    <row r="902" spans="1:32" ht="15.75" x14ac:dyDescent="0.25">
      <c r="A902" s="44"/>
      <c r="B902" s="23"/>
      <c r="C902" s="23"/>
      <c r="D902" s="36"/>
      <c r="E902" s="23"/>
      <c r="F902" s="23"/>
      <c r="G902" s="23"/>
      <c r="H902" s="23"/>
      <c r="I902" s="23"/>
      <c r="J902" s="23"/>
      <c r="K902" s="23"/>
      <c r="L902" s="23"/>
      <c r="M902" s="36"/>
      <c r="N902" s="23"/>
      <c r="O902" s="23"/>
      <c r="P902" s="23"/>
      <c r="Q902" s="23"/>
      <c r="R902" s="23"/>
      <c r="S902" s="23"/>
      <c r="T902" s="23"/>
      <c r="U902" s="23"/>
      <c r="V902" s="36"/>
      <c r="W902" s="42"/>
      <c r="X902" s="42"/>
      <c r="Y902" s="23"/>
      <c r="Z902" s="42"/>
      <c r="AA902" s="42"/>
      <c r="AB902" s="23"/>
      <c r="AC902" s="23"/>
      <c r="AD902" s="23"/>
      <c r="AE902" s="36"/>
      <c r="AF902" s="23"/>
    </row>
    <row r="903" spans="1:32" ht="15.75" x14ac:dyDescent="0.25">
      <c r="A903" s="44"/>
      <c r="B903" s="23"/>
      <c r="C903" s="23"/>
      <c r="D903" s="36"/>
      <c r="E903" s="23"/>
      <c r="F903" s="23"/>
      <c r="G903" s="23"/>
      <c r="H903" s="23"/>
      <c r="I903" s="23"/>
      <c r="J903" s="23"/>
      <c r="K903" s="23"/>
      <c r="L903" s="23"/>
      <c r="M903" s="36"/>
      <c r="N903" s="23"/>
      <c r="O903" s="23"/>
      <c r="P903" s="23"/>
      <c r="Q903" s="23"/>
      <c r="R903" s="23"/>
      <c r="S903" s="23"/>
      <c r="T903" s="23"/>
      <c r="U903" s="23"/>
      <c r="V903" s="36"/>
      <c r="W903" s="42"/>
      <c r="X903" s="42"/>
      <c r="Y903" s="23"/>
      <c r="Z903" s="42"/>
      <c r="AA903" s="42"/>
      <c r="AB903" s="23"/>
      <c r="AC903" s="23"/>
      <c r="AD903" s="23"/>
      <c r="AE903" s="36"/>
      <c r="AF903" s="23"/>
    </row>
    <row r="904" spans="1:32" ht="15.75" x14ac:dyDescent="0.25">
      <c r="A904" s="44"/>
      <c r="B904" s="23"/>
      <c r="C904" s="23"/>
      <c r="D904" s="36"/>
      <c r="E904" s="23"/>
      <c r="F904" s="23"/>
      <c r="G904" s="23"/>
      <c r="H904" s="23"/>
      <c r="I904" s="23"/>
      <c r="J904" s="23"/>
      <c r="K904" s="23"/>
      <c r="L904" s="23"/>
      <c r="M904" s="36"/>
      <c r="N904" s="23"/>
      <c r="O904" s="23"/>
      <c r="P904" s="23"/>
      <c r="Q904" s="23"/>
      <c r="R904" s="23"/>
      <c r="S904" s="23"/>
      <c r="T904" s="23"/>
      <c r="U904" s="23"/>
      <c r="V904" s="36"/>
      <c r="W904" s="42"/>
      <c r="X904" s="42"/>
      <c r="Y904" s="23"/>
      <c r="Z904" s="42"/>
      <c r="AA904" s="42"/>
      <c r="AB904" s="23"/>
      <c r="AC904" s="23"/>
      <c r="AD904" s="23"/>
      <c r="AE904" s="36"/>
      <c r="AF904" s="23"/>
    </row>
    <row r="905" spans="1:32" ht="15.75" x14ac:dyDescent="0.25">
      <c r="A905" s="44"/>
      <c r="B905" s="23"/>
      <c r="C905" s="23"/>
      <c r="D905" s="36"/>
      <c r="E905" s="23"/>
      <c r="F905" s="23"/>
      <c r="G905" s="23"/>
      <c r="H905" s="23"/>
      <c r="I905" s="23"/>
      <c r="J905" s="23"/>
      <c r="K905" s="23"/>
      <c r="L905" s="23"/>
      <c r="M905" s="36"/>
      <c r="N905" s="23"/>
      <c r="O905" s="23"/>
      <c r="P905" s="23"/>
      <c r="Q905" s="23"/>
      <c r="R905" s="23"/>
      <c r="S905" s="23"/>
      <c r="T905" s="23"/>
      <c r="U905" s="23"/>
      <c r="V905" s="36"/>
      <c r="W905" s="42"/>
      <c r="X905" s="42"/>
      <c r="Y905" s="23"/>
      <c r="Z905" s="42"/>
      <c r="AA905" s="42"/>
      <c r="AB905" s="23"/>
      <c r="AC905" s="23"/>
      <c r="AD905" s="23"/>
      <c r="AE905" s="36"/>
      <c r="AF905" s="23"/>
    </row>
    <row r="906" spans="1:32" ht="15.75" x14ac:dyDescent="0.25">
      <c r="A906" s="44"/>
      <c r="B906" s="23"/>
      <c r="C906" s="23"/>
      <c r="D906" s="36"/>
      <c r="E906" s="23"/>
      <c r="F906" s="23"/>
      <c r="G906" s="23"/>
      <c r="H906" s="23"/>
      <c r="I906" s="23"/>
      <c r="J906" s="23"/>
      <c r="K906" s="23"/>
      <c r="L906" s="23"/>
      <c r="M906" s="36"/>
      <c r="N906" s="23"/>
      <c r="O906" s="23"/>
      <c r="P906" s="23"/>
      <c r="Q906" s="23"/>
      <c r="R906" s="23"/>
      <c r="S906" s="23"/>
      <c r="T906" s="23"/>
      <c r="U906" s="23"/>
      <c r="V906" s="36"/>
      <c r="W906" s="42"/>
      <c r="X906" s="42"/>
      <c r="Y906" s="23"/>
      <c r="Z906" s="42"/>
      <c r="AA906" s="42"/>
      <c r="AB906" s="23"/>
      <c r="AC906" s="23"/>
      <c r="AD906" s="23"/>
      <c r="AE906" s="36"/>
      <c r="AF906" s="23"/>
    </row>
    <row r="907" spans="1:32" ht="15.75" x14ac:dyDescent="0.25">
      <c r="A907" s="44"/>
      <c r="B907" s="23"/>
      <c r="C907" s="23"/>
      <c r="D907" s="36"/>
      <c r="E907" s="23"/>
      <c r="F907" s="23"/>
      <c r="G907" s="23"/>
      <c r="H907" s="23"/>
      <c r="I907" s="23"/>
      <c r="J907" s="23"/>
      <c r="K907" s="23"/>
      <c r="L907" s="23"/>
      <c r="M907" s="36"/>
      <c r="N907" s="23"/>
      <c r="O907" s="23"/>
      <c r="P907" s="23"/>
      <c r="Q907" s="23"/>
      <c r="R907" s="23"/>
      <c r="S907" s="23"/>
      <c r="T907" s="23"/>
      <c r="U907" s="23"/>
      <c r="V907" s="36"/>
      <c r="W907" s="42"/>
      <c r="X907" s="42"/>
      <c r="Y907" s="23"/>
      <c r="Z907" s="42"/>
      <c r="AA907" s="42"/>
      <c r="AB907" s="23"/>
      <c r="AC907" s="23"/>
      <c r="AD907" s="23"/>
      <c r="AE907" s="36"/>
      <c r="AF907" s="23"/>
    </row>
    <row r="908" spans="1:32" ht="15.75" x14ac:dyDescent="0.25">
      <c r="A908" s="44"/>
      <c r="B908" s="23"/>
      <c r="C908" s="23"/>
      <c r="D908" s="36"/>
      <c r="E908" s="23"/>
      <c r="F908" s="23"/>
      <c r="G908" s="23"/>
      <c r="H908" s="23"/>
      <c r="I908" s="23"/>
      <c r="J908" s="23"/>
      <c r="K908" s="23"/>
      <c r="L908" s="23"/>
      <c r="M908" s="36"/>
      <c r="N908" s="23"/>
      <c r="O908" s="23"/>
      <c r="P908" s="23"/>
      <c r="Q908" s="23"/>
      <c r="R908" s="23"/>
      <c r="S908" s="23"/>
      <c r="T908" s="23"/>
      <c r="U908" s="23"/>
      <c r="V908" s="36"/>
      <c r="W908" s="42"/>
      <c r="X908" s="42"/>
      <c r="Y908" s="23"/>
      <c r="Z908" s="42"/>
      <c r="AA908" s="42"/>
      <c r="AB908" s="23"/>
      <c r="AC908" s="23"/>
      <c r="AD908" s="23"/>
      <c r="AE908" s="36"/>
      <c r="AF908" s="23"/>
    </row>
    <row r="909" spans="1:32" ht="15.75" x14ac:dyDescent="0.25">
      <c r="A909" s="44"/>
      <c r="B909" s="23"/>
      <c r="C909" s="23"/>
      <c r="D909" s="36"/>
      <c r="E909" s="23"/>
      <c r="F909" s="23"/>
      <c r="G909" s="23"/>
      <c r="H909" s="23"/>
      <c r="I909" s="23"/>
      <c r="J909" s="23"/>
      <c r="K909" s="23"/>
      <c r="L909" s="23"/>
      <c r="M909" s="36"/>
      <c r="N909" s="23"/>
      <c r="O909" s="23"/>
      <c r="P909" s="23"/>
      <c r="Q909" s="23"/>
      <c r="R909" s="23"/>
      <c r="S909" s="23"/>
      <c r="T909" s="23"/>
      <c r="U909" s="23"/>
      <c r="V909" s="36"/>
      <c r="W909" s="42"/>
      <c r="X909" s="42"/>
      <c r="Y909" s="23"/>
      <c r="Z909" s="42"/>
      <c r="AA909" s="42"/>
      <c r="AB909" s="23"/>
      <c r="AC909" s="23"/>
      <c r="AD909" s="23"/>
      <c r="AE909" s="36"/>
      <c r="AF909" s="23"/>
    </row>
    <row r="910" spans="1:32" ht="15.75" x14ac:dyDescent="0.25">
      <c r="A910" s="44"/>
      <c r="B910" s="23"/>
      <c r="C910" s="23"/>
      <c r="D910" s="36"/>
      <c r="E910" s="23"/>
      <c r="F910" s="23"/>
      <c r="G910" s="23"/>
      <c r="H910" s="23"/>
      <c r="I910" s="23"/>
      <c r="J910" s="23"/>
      <c r="K910" s="23"/>
      <c r="L910" s="23"/>
      <c r="M910" s="36"/>
      <c r="N910" s="23"/>
      <c r="O910" s="23"/>
      <c r="P910" s="23"/>
      <c r="Q910" s="23"/>
      <c r="R910" s="23"/>
      <c r="S910" s="23"/>
      <c r="T910" s="23"/>
      <c r="U910" s="23"/>
      <c r="V910" s="36"/>
      <c r="W910" s="42"/>
      <c r="X910" s="42"/>
      <c r="Y910" s="23"/>
      <c r="Z910" s="42"/>
      <c r="AA910" s="42"/>
      <c r="AB910" s="23"/>
      <c r="AC910" s="23"/>
      <c r="AD910" s="23"/>
      <c r="AE910" s="36"/>
      <c r="AF910" s="23"/>
    </row>
    <row r="911" spans="1:32" ht="15.75" x14ac:dyDescent="0.25">
      <c r="A911" s="44"/>
      <c r="B911" s="23"/>
      <c r="C911" s="23"/>
      <c r="D911" s="36"/>
      <c r="E911" s="23"/>
      <c r="F911" s="23"/>
      <c r="G911" s="23"/>
      <c r="H911" s="23"/>
      <c r="I911" s="23"/>
      <c r="J911" s="23"/>
      <c r="K911" s="23"/>
      <c r="L911" s="23"/>
      <c r="M911" s="36"/>
      <c r="N911" s="23"/>
      <c r="O911" s="23"/>
      <c r="P911" s="23"/>
      <c r="Q911" s="23"/>
      <c r="R911" s="23"/>
      <c r="S911" s="23"/>
      <c r="T911" s="23"/>
      <c r="U911" s="23"/>
      <c r="V911" s="36"/>
      <c r="W911" s="42"/>
      <c r="X911" s="42"/>
      <c r="Y911" s="23"/>
      <c r="Z911" s="42"/>
      <c r="AA911" s="42"/>
      <c r="AB911" s="23"/>
      <c r="AC911" s="23"/>
      <c r="AD911" s="23"/>
      <c r="AE911" s="36"/>
      <c r="AF911" s="23"/>
    </row>
    <row r="912" spans="1:32" ht="15.75" x14ac:dyDescent="0.25">
      <c r="A912" s="44"/>
      <c r="B912" s="23"/>
      <c r="C912" s="23"/>
      <c r="D912" s="36"/>
      <c r="E912" s="23"/>
      <c r="F912" s="23"/>
      <c r="G912" s="23"/>
      <c r="H912" s="23"/>
      <c r="I912" s="23"/>
      <c r="J912" s="23"/>
      <c r="K912" s="23"/>
      <c r="L912" s="23"/>
      <c r="M912" s="36"/>
      <c r="N912" s="23"/>
      <c r="O912" s="23"/>
      <c r="P912" s="23"/>
      <c r="Q912" s="23"/>
      <c r="R912" s="23"/>
      <c r="S912" s="23"/>
      <c r="T912" s="23"/>
      <c r="U912" s="23"/>
      <c r="V912" s="36"/>
      <c r="W912" s="42"/>
      <c r="X912" s="42"/>
      <c r="Y912" s="23"/>
      <c r="Z912" s="42"/>
      <c r="AA912" s="42"/>
      <c r="AB912" s="23"/>
      <c r="AC912" s="23"/>
      <c r="AD912" s="23"/>
      <c r="AE912" s="36"/>
      <c r="AF912" s="23"/>
    </row>
    <row r="913" spans="1:32" ht="15.75" x14ac:dyDescent="0.25">
      <c r="A913" s="44"/>
      <c r="B913" s="23"/>
      <c r="C913" s="23"/>
      <c r="D913" s="36"/>
      <c r="E913" s="23"/>
      <c r="F913" s="23"/>
      <c r="G913" s="23"/>
      <c r="H913" s="23"/>
      <c r="I913" s="23"/>
      <c r="J913" s="23"/>
      <c r="K913" s="23"/>
      <c r="L913" s="23"/>
      <c r="M913" s="36"/>
      <c r="N913" s="23"/>
      <c r="O913" s="23"/>
      <c r="P913" s="23"/>
      <c r="Q913" s="23"/>
      <c r="R913" s="23"/>
      <c r="S913" s="23"/>
      <c r="T913" s="23"/>
      <c r="U913" s="23"/>
      <c r="V913" s="36"/>
      <c r="W913" s="42"/>
      <c r="X913" s="42"/>
      <c r="Y913" s="23"/>
      <c r="Z913" s="42"/>
      <c r="AA913" s="42"/>
      <c r="AB913" s="23"/>
      <c r="AC913" s="23"/>
      <c r="AD913" s="23"/>
      <c r="AE913" s="36"/>
      <c r="AF913" s="23"/>
    </row>
    <row r="914" spans="1:32" ht="15.75" x14ac:dyDescent="0.25">
      <c r="A914" s="44"/>
      <c r="B914" s="23"/>
      <c r="C914" s="23"/>
      <c r="D914" s="36"/>
      <c r="E914" s="23"/>
      <c r="F914" s="23"/>
      <c r="G914" s="23"/>
      <c r="H914" s="23"/>
      <c r="I914" s="23"/>
      <c r="J914" s="23"/>
      <c r="K914" s="23"/>
      <c r="L914" s="23"/>
      <c r="M914" s="36"/>
      <c r="N914" s="23"/>
      <c r="O914" s="23"/>
      <c r="P914" s="23"/>
      <c r="Q914" s="23"/>
      <c r="R914" s="23"/>
      <c r="S914" s="23"/>
      <c r="T914" s="23"/>
      <c r="U914" s="23"/>
      <c r="V914" s="36"/>
      <c r="W914" s="42"/>
      <c r="X914" s="42"/>
      <c r="Y914" s="23"/>
      <c r="Z914" s="42"/>
      <c r="AA914" s="42"/>
      <c r="AB914" s="23"/>
      <c r="AC914" s="23"/>
      <c r="AD914" s="23"/>
      <c r="AE914" s="36"/>
      <c r="AF914" s="23"/>
    </row>
    <row r="915" spans="1:32" ht="15.75" x14ac:dyDescent="0.25">
      <c r="A915" s="44"/>
      <c r="B915" s="23"/>
      <c r="C915" s="23"/>
      <c r="D915" s="36"/>
      <c r="E915" s="23"/>
      <c r="F915" s="23"/>
      <c r="G915" s="23"/>
      <c r="H915" s="23"/>
      <c r="I915" s="23"/>
      <c r="J915" s="23"/>
      <c r="K915" s="23"/>
      <c r="L915" s="23"/>
      <c r="M915" s="36"/>
      <c r="N915" s="23"/>
      <c r="O915" s="23"/>
      <c r="P915" s="23"/>
      <c r="Q915" s="23"/>
      <c r="R915" s="23"/>
      <c r="S915" s="23"/>
      <c r="T915" s="23"/>
      <c r="U915" s="23"/>
      <c r="V915" s="36"/>
      <c r="W915" s="42"/>
      <c r="X915" s="42"/>
      <c r="Y915" s="23"/>
      <c r="Z915" s="42"/>
      <c r="AA915" s="42"/>
      <c r="AB915" s="23"/>
      <c r="AC915" s="23"/>
      <c r="AD915" s="23"/>
      <c r="AE915" s="36"/>
      <c r="AF915" s="23"/>
    </row>
    <row r="916" spans="1:32" ht="15.75" x14ac:dyDescent="0.25">
      <c r="A916" s="44"/>
      <c r="B916" s="23"/>
      <c r="C916" s="23"/>
      <c r="D916" s="36"/>
      <c r="E916" s="23"/>
      <c r="F916" s="23"/>
      <c r="G916" s="23"/>
      <c r="H916" s="23"/>
      <c r="I916" s="23"/>
      <c r="J916" s="23"/>
      <c r="K916" s="23"/>
      <c r="L916" s="23"/>
      <c r="M916" s="36"/>
      <c r="N916" s="23"/>
      <c r="O916" s="23"/>
      <c r="P916" s="23"/>
      <c r="Q916" s="23"/>
      <c r="R916" s="23"/>
      <c r="S916" s="23"/>
      <c r="T916" s="23"/>
      <c r="U916" s="23"/>
      <c r="V916" s="36"/>
      <c r="W916" s="42"/>
      <c r="X916" s="42"/>
      <c r="Y916" s="23"/>
      <c r="Z916" s="42"/>
      <c r="AA916" s="42"/>
      <c r="AB916" s="23"/>
      <c r="AC916" s="23"/>
      <c r="AD916" s="23"/>
      <c r="AE916" s="36"/>
      <c r="AF916" s="23"/>
    </row>
    <row r="917" spans="1:32" ht="15.75" x14ac:dyDescent="0.25">
      <c r="A917" s="44"/>
      <c r="B917" s="23"/>
      <c r="C917" s="23"/>
      <c r="D917" s="36"/>
      <c r="E917" s="23"/>
      <c r="F917" s="23"/>
      <c r="G917" s="23"/>
      <c r="H917" s="23"/>
      <c r="I917" s="23"/>
      <c r="J917" s="23"/>
      <c r="K917" s="23"/>
      <c r="L917" s="23"/>
      <c r="M917" s="36"/>
      <c r="N917" s="23"/>
      <c r="O917" s="23"/>
      <c r="P917" s="23"/>
      <c r="Q917" s="23"/>
      <c r="R917" s="23"/>
      <c r="S917" s="23"/>
      <c r="T917" s="23"/>
      <c r="U917" s="23"/>
      <c r="V917" s="36"/>
      <c r="W917" s="42"/>
      <c r="X917" s="42"/>
      <c r="Y917" s="23"/>
      <c r="Z917" s="42"/>
      <c r="AA917" s="42"/>
      <c r="AB917" s="23"/>
      <c r="AC917" s="23"/>
      <c r="AD917" s="23"/>
      <c r="AE917" s="36"/>
      <c r="AF917" s="23"/>
    </row>
    <row r="918" spans="1:32" ht="15.75" x14ac:dyDescent="0.25">
      <c r="A918" s="44"/>
      <c r="B918" s="23"/>
      <c r="C918" s="23"/>
      <c r="D918" s="36"/>
      <c r="E918" s="23"/>
      <c r="F918" s="23"/>
      <c r="G918" s="23"/>
      <c r="H918" s="23"/>
      <c r="I918" s="23"/>
      <c r="J918" s="23"/>
      <c r="K918" s="23"/>
      <c r="L918" s="23"/>
      <c r="M918" s="36"/>
      <c r="N918" s="23"/>
      <c r="O918" s="23"/>
      <c r="P918" s="23"/>
      <c r="Q918" s="23"/>
      <c r="R918" s="23"/>
      <c r="S918" s="23"/>
      <c r="T918" s="23"/>
      <c r="U918" s="23"/>
      <c r="V918" s="36"/>
      <c r="W918" s="42"/>
      <c r="X918" s="42"/>
      <c r="Y918" s="23"/>
      <c r="Z918" s="42"/>
      <c r="AA918" s="42"/>
      <c r="AB918" s="23"/>
      <c r="AC918" s="23"/>
      <c r="AD918" s="23"/>
      <c r="AE918" s="36"/>
      <c r="AF918" s="23"/>
    </row>
    <row r="919" spans="1:32" ht="15.75" x14ac:dyDescent="0.25">
      <c r="A919" s="44"/>
      <c r="B919" s="23"/>
      <c r="C919" s="23"/>
      <c r="D919" s="36"/>
      <c r="E919" s="23"/>
      <c r="F919" s="23"/>
      <c r="G919" s="23"/>
      <c r="H919" s="23"/>
      <c r="I919" s="23"/>
      <c r="J919" s="23"/>
      <c r="K919" s="23"/>
      <c r="L919" s="23"/>
      <c r="M919" s="36"/>
      <c r="N919" s="23"/>
      <c r="O919" s="23"/>
      <c r="P919" s="23"/>
      <c r="Q919" s="23"/>
      <c r="R919" s="23"/>
      <c r="S919" s="23"/>
      <c r="T919" s="23"/>
      <c r="U919" s="23"/>
      <c r="V919" s="36"/>
      <c r="W919" s="42"/>
      <c r="X919" s="42"/>
      <c r="Y919" s="23"/>
      <c r="Z919" s="42"/>
      <c r="AA919" s="42"/>
      <c r="AB919" s="23"/>
      <c r="AC919" s="23"/>
      <c r="AD919" s="23"/>
      <c r="AE919" s="36"/>
      <c r="AF919" s="23"/>
    </row>
    <row r="920" spans="1:32" ht="15.75" x14ac:dyDescent="0.25">
      <c r="A920" s="44"/>
      <c r="B920" s="23"/>
      <c r="C920" s="23"/>
      <c r="D920" s="36"/>
      <c r="E920" s="23"/>
      <c r="F920" s="23"/>
      <c r="G920" s="23"/>
      <c r="H920" s="23"/>
      <c r="I920" s="23"/>
      <c r="J920" s="23"/>
      <c r="K920" s="23"/>
      <c r="L920" s="23"/>
      <c r="M920" s="36"/>
      <c r="N920" s="23"/>
      <c r="O920" s="23"/>
      <c r="P920" s="23"/>
      <c r="Q920" s="23"/>
      <c r="R920" s="23"/>
      <c r="S920" s="23"/>
      <c r="T920" s="23"/>
      <c r="U920" s="23"/>
      <c r="V920" s="36"/>
      <c r="W920" s="42"/>
      <c r="X920" s="42"/>
      <c r="Y920" s="23"/>
      <c r="Z920" s="42"/>
      <c r="AA920" s="42"/>
      <c r="AB920" s="23"/>
      <c r="AC920" s="23"/>
      <c r="AD920" s="23"/>
      <c r="AE920" s="36"/>
      <c r="AF920" s="23"/>
    </row>
    <row r="921" spans="1:32" ht="15.75" x14ac:dyDescent="0.25">
      <c r="A921" s="44"/>
      <c r="B921" s="23"/>
      <c r="C921" s="23"/>
      <c r="D921" s="36"/>
      <c r="E921" s="23"/>
      <c r="F921" s="23"/>
      <c r="G921" s="23"/>
      <c r="H921" s="23"/>
      <c r="I921" s="23"/>
      <c r="J921" s="23"/>
      <c r="K921" s="23"/>
      <c r="L921" s="23"/>
      <c r="M921" s="36"/>
      <c r="N921" s="23"/>
      <c r="O921" s="23"/>
      <c r="P921" s="23"/>
      <c r="Q921" s="23"/>
      <c r="R921" s="23"/>
      <c r="S921" s="23"/>
      <c r="T921" s="23"/>
      <c r="U921" s="23"/>
      <c r="V921" s="36"/>
      <c r="W921" s="42"/>
      <c r="X921" s="42"/>
      <c r="Y921" s="23"/>
      <c r="Z921" s="42"/>
      <c r="AA921" s="42"/>
      <c r="AB921" s="23"/>
      <c r="AC921" s="23"/>
      <c r="AD921" s="23"/>
      <c r="AE921" s="36"/>
      <c r="AF921" s="23"/>
    </row>
    <row r="922" spans="1:32" ht="15.75" x14ac:dyDescent="0.25">
      <c r="A922" s="44"/>
      <c r="B922" s="23"/>
      <c r="C922" s="23"/>
      <c r="D922" s="36"/>
      <c r="E922" s="23"/>
      <c r="F922" s="23"/>
      <c r="G922" s="23"/>
      <c r="H922" s="23"/>
      <c r="I922" s="23"/>
      <c r="J922" s="23"/>
      <c r="K922" s="23"/>
      <c r="L922" s="23"/>
      <c r="M922" s="36"/>
      <c r="N922" s="23"/>
      <c r="O922" s="23"/>
      <c r="P922" s="23"/>
      <c r="Q922" s="23"/>
      <c r="R922" s="23"/>
      <c r="S922" s="23"/>
      <c r="T922" s="23"/>
      <c r="U922" s="23"/>
      <c r="V922" s="36"/>
      <c r="W922" s="42"/>
      <c r="X922" s="42"/>
      <c r="Y922" s="23"/>
      <c r="Z922" s="42"/>
      <c r="AA922" s="42"/>
      <c r="AB922" s="23"/>
      <c r="AC922" s="23"/>
      <c r="AD922" s="23"/>
      <c r="AE922" s="36"/>
      <c r="AF922" s="23"/>
    </row>
    <row r="923" spans="1:32" ht="15.75" x14ac:dyDescent="0.25">
      <c r="A923" s="44"/>
      <c r="B923" s="23"/>
      <c r="C923" s="23"/>
      <c r="D923" s="36"/>
      <c r="E923" s="23"/>
      <c r="F923" s="23"/>
      <c r="G923" s="23"/>
      <c r="H923" s="23"/>
      <c r="I923" s="23"/>
      <c r="J923" s="23"/>
      <c r="K923" s="23"/>
      <c r="L923" s="23"/>
      <c r="M923" s="36"/>
      <c r="N923" s="23"/>
      <c r="O923" s="23"/>
      <c r="P923" s="23"/>
      <c r="Q923" s="23"/>
      <c r="R923" s="23"/>
      <c r="S923" s="23"/>
      <c r="T923" s="23"/>
      <c r="U923" s="23"/>
      <c r="V923" s="36"/>
      <c r="W923" s="42"/>
      <c r="X923" s="42"/>
      <c r="Y923" s="23"/>
      <c r="Z923" s="42"/>
      <c r="AA923" s="42"/>
      <c r="AB923" s="23"/>
      <c r="AC923" s="23"/>
      <c r="AD923" s="23"/>
      <c r="AE923" s="36"/>
      <c r="AF923" s="23"/>
    </row>
    <row r="924" spans="1:32" ht="15.75" x14ac:dyDescent="0.25">
      <c r="A924" s="44"/>
      <c r="B924" s="23"/>
      <c r="C924" s="23"/>
      <c r="D924" s="36"/>
      <c r="E924" s="23"/>
      <c r="F924" s="23"/>
      <c r="G924" s="23"/>
      <c r="H924" s="23"/>
      <c r="I924" s="23"/>
      <c r="J924" s="23"/>
      <c r="K924" s="23"/>
      <c r="L924" s="23"/>
      <c r="M924" s="36"/>
      <c r="N924" s="23"/>
      <c r="O924" s="23"/>
      <c r="P924" s="23"/>
      <c r="Q924" s="23"/>
      <c r="R924" s="23"/>
      <c r="S924" s="23"/>
      <c r="T924" s="23"/>
      <c r="U924" s="23"/>
      <c r="V924" s="36"/>
      <c r="W924" s="42"/>
      <c r="X924" s="42"/>
      <c r="Y924" s="23"/>
      <c r="Z924" s="42"/>
      <c r="AA924" s="42"/>
      <c r="AB924" s="23"/>
      <c r="AC924" s="23"/>
      <c r="AD924" s="23"/>
      <c r="AE924" s="36"/>
      <c r="AF924" s="23"/>
    </row>
    <row r="925" spans="1:32" ht="15.75" x14ac:dyDescent="0.25">
      <c r="A925" s="44"/>
      <c r="B925" s="23"/>
      <c r="C925" s="23"/>
      <c r="D925" s="36"/>
      <c r="E925" s="23"/>
      <c r="F925" s="23"/>
      <c r="G925" s="23"/>
      <c r="H925" s="23"/>
      <c r="I925" s="23"/>
      <c r="J925" s="23"/>
      <c r="K925" s="23"/>
      <c r="L925" s="23"/>
      <c r="M925" s="36"/>
      <c r="N925" s="23"/>
      <c r="O925" s="23"/>
      <c r="P925" s="23"/>
      <c r="Q925" s="23"/>
      <c r="R925" s="23"/>
      <c r="S925" s="23"/>
      <c r="T925" s="23"/>
      <c r="U925" s="23"/>
      <c r="V925" s="36"/>
      <c r="W925" s="42"/>
      <c r="X925" s="42"/>
      <c r="Y925" s="23"/>
      <c r="Z925" s="42"/>
      <c r="AA925" s="42"/>
      <c r="AB925" s="23"/>
      <c r="AC925" s="23"/>
      <c r="AD925" s="23"/>
      <c r="AE925" s="36"/>
      <c r="AF925" s="23"/>
    </row>
    <row r="926" spans="1:32" ht="15.75" x14ac:dyDescent="0.25">
      <c r="A926" s="44"/>
      <c r="B926" s="23"/>
      <c r="C926" s="23"/>
      <c r="D926" s="36"/>
      <c r="E926" s="23"/>
      <c r="F926" s="23"/>
      <c r="G926" s="23"/>
      <c r="H926" s="23"/>
      <c r="I926" s="23"/>
      <c r="J926" s="23"/>
      <c r="K926" s="23"/>
      <c r="L926" s="23"/>
      <c r="M926" s="36"/>
      <c r="N926" s="23"/>
      <c r="O926" s="23"/>
      <c r="P926" s="23"/>
      <c r="Q926" s="23"/>
      <c r="R926" s="23"/>
      <c r="S926" s="23"/>
      <c r="T926" s="23"/>
      <c r="U926" s="23"/>
      <c r="V926" s="36"/>
      <c r="W926" s="42"/>
      <c r="X926" s="42"/>
      <c r="Y926" s="23"/>
      <c r="Z926" s="42"/>
      <c r="AA926" s="42"/>
      <c r="AB926" s="23"/>
      <c r="AC926" s="23"/>
      <c r="AD926" s="23"/>
      <c r="AE926" s="36"/>
      <c r="AF926" s="23"/>
    </row>
    <row r="927" spans="1:32" ht="15.75" x14ac:dyDescent="0.25">
      <c r="A927" s="44"/>
      <c r="B927" s="23"/>
      <c r="C927" s="23"/>
      <c r="D927" s="36"/>
      <c r="E927" s="23"/>
      <c r="F927" s="23"/>
      <c r="G927" s="23"/>
      <c r="H927" s="23"/>
      <c r="I927" s="23"/>
      <c r="J927" s="23"/>
      <c r="K927" s="23"/>
      <c r="L927" s="23"/>
      <c r="M927" s="36"/>
      <c r="N927" s="23"/>
      <c r="O927" s="23"/>
      <c r="P927" s="23"/>
      <c r="Q927" s="23"/>
      <c r="R927" s="23"/>
      <c r="S927" s="23"/>
      <c r="T927" s="23"/>
      <c r="U927" s="23"/>
      <c r="V927" s="36"/>
      <c r="W927" s="42"/>
      <c r="X927" s="42"/>
      <c r="Y927" s="23"/>
      <c r="Z927" s="42"/>
      <c r="AA927" s="42"/>
      <c r="AB927" s="23"/>
      <c r="AC927" s="23"/>
      <c r="AD927" s="23"/>
      <c r="AE927" s="36"/>
      <c r="AF927" s="23"/>
    </row>
    <row r="928" spans="1:32" ht="15.75" x14ac:dyDescent="0.25">
      <c r="A928" s="44"/>
      <c r="B928" s="23"/>
      <c r="C928" s="23"/>
      <c r="D928" s="36"/>
      <c r="E928" s="23"/>
      <c r="F928" s="23"/>
      <c r="G928" s="23"/>
      <c r="H928" s="23"/>
      <c r="I928" s="23"/>
      <c r="J928" s="23"/>
      <c r="K928" s="23"/>
      <c r="L928" s="23"/>
      <c r="M928" s="36"/>
      <c r="N928" s="23"/>
      <c r="O928" s="23"/>
      <c r="P928" s="23"/>
      <c r="Q928" s="23"/>
      <c r="R928" s="23"/>
      <c r="S928" s="23"/>
      <c r="T928" s="23"/>
      <c r="U928" s="23"/>
      <c r="V928" s="36"/>
      <c r="W928" s="42"/>
      <c r="X928" s="42"/>
      <c r="Y928" s="23"/>
      <c r="Z928" s="42"/>
      <c r="AA928" s="42"/>
      <c r="AB928" s="23"/>
      <c r="AC928" s="23"/>
      <c r="AD928" s="23"/>
      <c r="AE928" s="36"/>
      <c r="AF928" s="23"/>
    </row>
    <row r="929" spans="1:32" ht="15.75" x14ac:dyDescent="0.25">
      <c r="A929" s="44"/>
      <c r="B929" s="23"/>
      <c r="C929" s="23"/>
      <c r="D929" s="36"/>
      <c r="E929" s="23"/>
      <c r="F929" s="23"/>
      <c r="G929" s="23"/>
      <c r="H929" s="23"/>
      <c r="I929" s="23"/>
      <c r="J929" s="23"/>
      <c r="K929" s="23"/>
      <c r="L929" s="23"/>
      <c r="M929" s="36"/>
      <c r="N929" s="23"/>
      <c r="O929" s="23"/>
      <c r="P929" s="23"/>
      <c r="Q929" s="23"/>
      <c r="R929" s="23"/>
      <c r="S929" s="23"/>
      <c r="T929" s="23"/>
      <c r="U929" s="23"/>
      <c r="V929" s="36"/>
      <c r="W929" s="42"/>
      <c r="X929" s="42"/>
      <c r="Y929" s="23"/>
      <c r="Z929" s="42"/>
      <c r="AA929" s="42"/>
      <c r="AB929" s="23"/>
      <c r="AC929" s="23"/>
      <c r="AD929" s="23"/>
      <c r="AE929" s="36"/>
      <c r="AF929" s="23"/>
    </row>
    <row r="930" spans="1:32" ht="15.75" x14ac:dyDescent="0.25">
      <c r="A930" s="44"/>
      <c r="B930" s="23"/>
      <c r="C930" s="23"/>
      <c r="D930" s="36"/>
      <c r="E930" s="23"/>
      <c r="F930" s="23"/>
      <c r="G930" s="23"/>
      <c r="H930" s="23"/>
      <c r="I930" s="23"/>
      <c r="J930" s="23"/>
      <c r="K930" s="23"/>
      <c r="L930" s="23"/>
      <c r="M930" s="36"/>
      <c r="N930" s="23"/>
      <c r="O930" s="23"/>
      <c r="P930" s="23"/>
      <c r="Q930" s="23"/>
      <c r="R930" s="23"/>
      <c r="S930" s="23"/>
      <c r="T930" s="23"/>
      <c r="U930" s="23"/>
      <c r="V930" s="36"/>
      <c r="W930" s="42"/>
      <c r="X930" s="42"/>
      <c r="Y930" s="23"/>
      <c r="Z930" s="42"/>
      <c r="AA930" s="42"/>
      <c r="AB930" s="23"/>
      <c r="AC930" s="23"/>
      <c r="AD930" s="23"/>
      <c r="AE930" s="36"/>
      <c r="AF930" s="23"/>
    </row>
    <row r="931" spans="1:32" ht="15.75" x14ac:dyDescent="0.25">
      <c r="A931" s="44"/>
      <c r="B931" s="23"/>
      <c r="C931" s="23"/>
      <c r="D931" s="36"/>
      <c r="E931" s="23"/>
      <c r="F931" s="23"/>
      <c r="G931" s="23"/>
      <c r="H931" s="23"/>
      <c r="I931" s="23"/>
      <c r="J931" s="23"/>
      <c r="K931" s="23"/>
      <c r="L931" s="23"/>
      <c r="M931" s="36"/>
      <c r="N931" s="23"/>
      <c r="O931" s="23"/>
      <c r="P931" s="23"/>
      <c r="Q931" s="23"/>
      <c r="R931" s="23"/>
      <c r="S931" s="23"/>
      <c r="T931" s="23"/>
      <c r="U931" s="23"/>
      <c r="V931" s="36"/>
      <c r="W931" s="42"/>
      <c r="X931" s="42"/>
      <c r="Y931" s="23"/>
      <c r="Z931" s="42"/>
      <c r="AA931" s="42"/>
      <c r="AB931" s="23"/>
      <c r="AC931" s="23"/>
      <c r="AD931" s="23"/>
      <c r="AE931" s="36"/>
      <c r="AF931" s="23"/>
    </row>
    <row r="932" spans="1:32" ht="15.75" x14ac:dyDescent="0.25">
      <c r="A932" s="44"/>
      <c r="B932" s="23"/>
      <c r="C932" s="23"/>
      <c r="D932" s="36"/>
      <c r="E932" s="23"/>
      <c r="F932" s="23"/>
      <c r="G932" s="23"/>
      <c r="H932" s="23"/>
      <c r="I932" s="23"/>
      <c r="J932" s="23"/>
      <c r="K932" s="23"/>
      <c r="L932" s="23"/>
      <c r="M932" s="36"/>
      <c r="N932" s="23"/>
      <c r="O932" s="23"/>
      <c r="P932" s="23"/>
      <c r="Q932" s="23"/>
      <c r="R932" s="23"/>
      <c r="S932" s="23"/>
      <c r="T932" s="23"/>
      <c r="U932" s="23"/>
      <c r="V932" s="36"/>
      <c r="W932" s="42"/>
      <c r="X932" s="42"/>
      <c r="Y932" s="23"/>
      <c r="Z932" s="42"/>
      <c r="AA932" s="42"/>
      <c r="AB932" s="23"/>
      <c r="AC932" s="23"/>
      <c r="AD932" s="23"/>
      <c r="AE932" s="36"/>
      <c r="AF932" s="23"/>
    </row>
    <row r="933" spans="1:32" ht="15.75" x14ac:dyDescent="0.25">
      <c r="A933" s="44"/>
      <c r="B933" s="23"/>
      <c r="C933" s="23"/>
      <c r="D933" s="36"/>
      <c r="E933" s="23"/>
      <c r="F933" s="23"/>
      <c r="G933" s="23"/>
      <c r="H933" s="23"/>
      <c r="I933" s="23"/>
      <c r="J933" s="23"/>
      <c r="K933" s="23"/>
      <c r="L933" s="23"/>
      <c r="M933" s="36"/>
      <c r="N933" s="23"/>
      <c r="O933" s="23"/>
      <c r="P933" s="23"/>
      <c r="Q933" s="23"/>
      <c r="R933" s="23"/>
      <c r="S933" s="23"/>
      <c r="T933" s="23"/>
      <c r="U933" s="23"/>
      <c r="V933" s="36"/>
      <c r="W933" s="42"/>
      <c r="X933" s="42"/>
      <c r="Y933" s="23"/>
      <c r="Z933" s="42"/>
      <c r="AA933" s="42"/>
      <c r="AB933" s="23"/>
      <c r="AC933" s="23"/>
      <c r="AD933" s="23"/>
      <c r="AE933" s="36"/>
      <c r="AF933" s="23"/>
    </row>
    <row r="934" spans="1:32" ht="15.75" x14ac:dyDescent="0.25">
      <c r="A934" s="44"/>
      <c r="B934" s="23"/>
      <c r="C934" s="23"/>
      <c r="D934" s="36"/>
      <c r="E934" s="23"/>
      <c r="F934" s="23"/>
      <c r="G934" s="23"/>
      <c r="H934" s="23"/>
      <c r="I934" s="23"/>
      <c r="J934" s="23"/>
      <c r="K934" s="23"/>
      <c r="L934" s="23"/>
      <c r="M934" s="36"/>
      <c r="N934" s="23"/>
      <c r="O934" s="23"/>
      <c r="P934" s="23"/>
      <c r="Q934" s="23"/>
      <c r="R934" s="23"/>
      <c r="S934" s="23"/>
      <c r="T934" s="23"/>
      <c r="U934" s="23"/>
      <c r="V934" s="36"/>
      <c r="W934" s="42"/>
      <c r="X934" s="42"/>
      <c r="Y934" s="23"/>
      <c r="Z934" s="42"/>
      <c r="AA934" s="42"/>
      <c r="AB934" s="23"/>
      <c r="AC934" s="23"/>
      <c r="AD934" s="23"/>
      <c r="AE934" s="36"/>
      <c r="AF934" s="23"/>
    </row>
    <row r="935" spans="1:32" ht="15.75" x14ac:dyDescent="0.25">
      <c r="A935" s="44"/>
      <c r="B935" s="23"/>
      <c r="C935" s="23"/>
      <c r="D935" s="36"/>
      <c r="E935" s="23"/>
      <c r="F935" s="23"/>
      <c r="G935" s="23"/>
      <c r="H935" s="23"/>
      <c r="I935" s="23"/>
      <c r="J935" s="23"/>
      <c r="K935" s="23"/>
      <c r="L935" s="23"/>
      <c r="M935" s="36"/>
      <c r="N935" s="23"/>
      <c r="O935" s="23"/>
      <c r="P935" s="23"/>
      <c r="Q935" s="23"/>
      <c r="R935" s="23"/>
      <c r="S935" s="23"/>
      <c r="T935" s="23"/>
      <c r="U935" s="23"/>
      <c r="V935" s="36"/>
      <c r="W935" s="42"/>
      <c r="X935" s="42"/>
      <c r="Y935" s="23"/>
      <c r="Z935" s="42"/>
      <c r="AA935" s="42"/>
      <c r="AB935" s="23"/>
      <c r="AC935" s="23"/>
      <c r="AD935" s="23"/>
      <c r="AE935" s="36"/>
      <c r="AF935" s="23"/>
    </row>
    <row r="936" spans="1:32" ht="15.75" x14ac:dyDescent="0.25">
      <c r="A936" s="44"/>
      <c r="B936" s="23"/>
      <c r="C936" s="23"/>
      <c r="D936" s="36"/>
      <c r="E936" s="23"/>
      <c r="F936" s="23"/>
      <c r="G936" s="23"/>
      <c r="H936" s="23"/>
      <c r="I936" s="23"/>
      <c r="J936" s="23"/>
      <c r="K936" s="23"/>
      <c r="L936" s="23"/>
      <c r="M936" s="36"/>
      <c r="N936" s="23"/>
      <c r="O936" s="23"/>
      <c r="P936" s="23"/>
      <c r="Q936" s="23"/>
      <c r="R936" s="23"/>
      <c r="S936" s="23"/>
      <c r="T936" s="23"/>
      <c r="U936" s="23"/>
      <c r="V936" s="36"/>
      <c r="W936" s="42"/>
      <c r="X936" s="42"/>
      <c r="Y936" s="23"/>
      <c r="Z936" s="42"/>
      <c r="AA936" s="42"/>
      <c r="AB936" s="23"/>
      <c r="AC936" s="23"/>
      <c r="AD936" s="23"/>
      <c r="AE936" s="36"/>
      <c r="AF936" s="23"/>
    </row>
    <row r="937" spans="1:32" ht="15.75" x14ac:dyDescent="0.25">
      <c r="A937" s="44"/>
      <c r="B937" s="23"/>
      <c r="C937" s="23"/>
      <c r="D937" s="36"/>
      <c r="E937" s="23"/>
      <c r="F937" s="23"/>
      <c r="G937" s="23"/>
      <c r="H937" s="23"/>
      <c r="I937" s="23"/>
      <c r="J937" s="23"/>
      <c r="K937" s="23"/>
      <c r="L937" s="23"/>
      <c r="M937" s="36"/>
      <c r="N937" s="23"/>
      <c r="O937" s="23"/>
      <c r="P937" s="23"/>
      <c r="Q937" s="23"/>
      <c r="R937" s="23"/>
      <c r="S937" s="23"/>
      <c r="T937" s="23"/>
      <c r="U937" s="23"/>
      <c r="V937" s="36"/>
      <c r="W937" s="42"/>
      <c r="X937" s="42"/>
      <c r="Y937" s="23"/>
      <c r="Z937" s="42"/>
      <c r="AA937" s="42"/>
      <c r="AB937" s="23"/>
      <c r="AC937" s="23"/>
      <c r="AD937" s="23"/>
      <c r="AE937" s="36"/>
      <c r="AF937" s="23"/>
    </row>
    <row r="938" spans="1:32" ht="15.75" x14ac:dyDescent="0.25">
      <c r="A938" s="44"/>
      <c r="B938" s="23"/>
      <c r="C938" s="23"/>
      <c r="D938" s="36"/>
      <c r="E938" s="23"/>
      <c r="F938" s="23"/>
      <c r="G938" s="23"/>
      <c r="H938" s="23"/>
      <c r="I938" s="23"/>
      <c r="J938" s="23"/>
      <c r="K938" s="23"/>
      <c r="L938" s="23"/>
      <c r="M938" s="36"/>
      <c r="N938" s="23"/>
      <c r="O938" s="23"/>
      <c r="P938" s="23"/>
      <c r="Q938" s="23"/>
      <c r="R938" s="23"/>
      <c r="S938" s="23"/>
      <c r="T938" s="23"/>
      <c r="U938" s="23"/>
      <c r="V938" s="36"/>
      <c r="W938" s="42"/>
      <c r="X938" s="42"/>
      <c r="Y938" s="23"/>
      <c r="Z938" s="42"/>
      <c r="AA938" s="42"/>
      <c r="AB938" s="23"/>
      <c r="AC938" s="23"/>
      <c r="AD938" s="23"/>
      <c r="AE938" s="36"/>
      <c r="AF938" s="23"/>
    </row>
    <row r="939" spans="1:32" ht="15.75" x14ac:dyDescent="0.25">
      <c r="A939" s="44"/>
      <c r="B939" s="23"/>
      <c r="C939" s="23"/>
      <c r="D939" s="36"/>
      <c r="E939" s="23"/>
      <c r="F939" s="23"/>
      <c r="G939" s="23"/>
      <c r="H939" s="23"/>
      <c r="I939" s="23"/>
      <c r="J939" s="23"/>
      <c r="K939" s="23"/>
      <c r="L939" s="23"/>
      <c r="M939" s="36"/>
      <c r="N939" s="23"/>
      <c r="O939" s="23"/>
      <c r="P939" s="23"/>
      <c r="Q939" s="23"/>
      <c r="R939" s="23"/>
      <c r="S939" s="23"/>
      <c r="T939" s="23"/>
      <c r="U939" s="23"/>
      <c r="V939" s="36"/>
      <c r="W939" s="42"/>
      <c r="X939" s="42"/>
      <c r="Y939" s="23"/>
      <c r="Z939" s="42"/>
      <c r="AA939" s="42"/>
      <c r="AB939" s="23"/>
      <c r="AC939" s="23"/>
      <c r="AD939" s="23"/>
      <c r="AE939" s="36"/>
      <c r="AF939" s="23"/>
    </row>
    <row r="940" spans="1:32" ht="15.75" x14ac:dyDescent="0.25">
      <c r="A940" s="44"/>
      <c r="B940" s="23"/>
      <c r="C940" s="23"/>
      <c r="D940" s="36"/>
      <c r="E940" s="23"/>
      <c r="F940" s="23"/>
      <c r="G940" s="23"/>
      <c r="H940" s="23"/>
      <c r="I940" s="23"/>
      <c r="J940" s="23"/>
      <c r="K940" s="23"/>
      <c r="L940" s="23"/>
      <c r="M940" s="36"/>
      <c r="N940" s="23"/>
      <c r="O940" s="23"/>
      <c r="P940" s="23"/>
      <c r="Q940" s="23"/>
      <c r="R940" s="23"/>
      <c r="S940" s="23"/>
      <c r="T940" s="23"/>
      <c r="U940" s="23"/>
      <c r="V940" s="36"/>
      <c r="W940" s="42"/>
      <c r="X940" s="42"/>
      <c r="Y940" s="23"/>
      <c r="Z940" s="42"/>
      <c r="AA940" s="42"/>
      <c r="AB940" s="23"/>
      <c r="AC940" s="23"/>
      <c r="AD940" s="23"/>
      <c r="AE940" s="36"/>
      <c r="AF940" s="23"/>
    </row>
    <row r="941" spans="1:32" ht="15.75" x14ac:dyDescent="0.25">
      <c r="A941" s="44"/>
      <c r="B941" s="23"/>
      <c r="C941" s="23"/>
      <c r="D941" s="36"/>
      <c r="E941" s="23"/>
      <c r="F941" s="23"/>
      <c r="G941" s="23"/>
      <c r="H941" s="23"/>
      <c r="I941" s="23"/>
      <c r="J941" s="23"/>
      <c r="K941" s="23"/>
      <c r="L941" s="23"/>
      <c r="M941" s="36"/>
      <c r="N941" s="23"/>
      <c r="O941" s="23"/>
      <c r="P941" s="23"/>
      <c r="Q941" s="23"/>
      <c r="R941" s="23"/>
      <c r="S941" s="23"/>
      <c r="T941" s="23"/>
      <c r="U941" s="23"/>
      <c r="V941" s="36"/>
      <c r="W941" s="42"/>
      <c r="X941" s="42"/>
      <c r="Y941" s="23"/>
      <c r="Z941" s="42"/>
      <c r="AA941" s="42"/>
      <c r="AB941" s="23"/>
      <c r="AC941" s="23"/>
      <c r="AD941" s="23"/>
      <c r="AE941" s="36"/>
      <c r="AF941" s="23"/>
    </row>
    <row r="942" spans="1:32" ht="15.75" x14ac:dyDescent="0.25">
      <c r="A942" s="44"/>
      <c r="B942" s="23"/>
      <c r="C942" s="23"/>
      <c r="D942" s="36"/>
      <c r="E942" s="23"/>
      <c r="F942" s="23"/>
      <c r="G942" s="23"/>
      <c r="H942" s="23"/>
      <c r="I942" s="23"/>
      <c r="J942" s="23"/>
      <c r="K942" s="23"/>
      <c r="L942" s="23"/>
      <c r="M942" s="36"/>
      <c r="N942" s="23"/>
      <c r="O942" s="23"/>
      <c r="P942" s="23"/>
      <c r="Q942" s="23"/>
      <c r="R942" s="23"/>
      <c r="S942" s="23"/>
      <c r="T942" s="23"/>
      <c r="U942" s="23"/>
      <c r="V942" s="36"/>
      <c r="W942" s="42"/>
      <c r="X942" s="42"/>
      <c r="Y942" s="23"/>
      <c r="Z942" s="42"/>
      <c r="AA942" s="42"/>
      <c r="AB942" s="23"/>
      <c r="AC942" s="23"/>
      <c r="AD942" s="23"/>
      <c r="AE942" s="36"/>
      <c r="AF942" s="23"/>
    </row>
    <row r="943" spans="1:32" ht="15.75" x14ac:dyDescent="0.25">
      <c r="A943" s="44"/>
      <c r="B943" s="23"/>
      <c r="C943" s="23"/>
      <c r="D943" s="36"/>
      <c r="E943" s="23"/>
      <c r="F943" s="23"/>
      <c r="G943" s="23"/>
      <c r="H943" s="23"/>
      <c r="I943" s="23"/>
      <c r="J943" s="23"/>
      <c r="K943" s="23"/>
      <c r="L943" s="23"/>
      <c r="M943" s="36"/>
      <c r="N943" s="23"/>
      <c r="O943" s="23"/>
      <c r="P943" s="23"/>
      <c r="Q943" s="23"/>
      <c r="R943" s="23"/>
      <c r="S943" s="23"/>
      <c r="T943" s="23"/>
      <c r="U943" s="23"/>
      <c r="V943" s="36"/>
      <c r="W943" s="42"/>
      <c r="X943" s="42"/>
      <c r="Y943" s="23"/>
      <c r="Z943" s="42"/>
      <c r="AA943" s="42"/>
      <c r="AB943" s="23"/>
      <c r="AC943" s="23"/>
      <c r="AD943" s="23"/>
      <c r="AE943" s="36"/>
      <c r="AF943" s="23"/>
    </row>
    <row r="944" spans="1:32" ht="15.75" x14ac:dyDescent="0.25">
      <c r="A944" s="44"/>
      <c r="B944" s="23"/>
      <c r="C944" s="23"/>
      <c r="D944" s="36"/>
      <c r="E944" s="23"/>
      <c r="F944" s="23"/>
      <c r="G944" s="23"/>
      <c r="H944" s="23"/>
      <c r="I944" s="23"/>
      <c r="J944" s="23"/>
      <c r="K944" s="23"/>
      <c r="L944" s="23"/>
      <c r="M944" s="36"/>
      <c r="N944" s="23"/>
      <c r="O944" s="23"/>
      <c r="P944" s="23"/>
      <c r="Q944" s="23"/>
      <c r="R944" s="23"/>
      <c r="S944" s="23"/>
      <c r="T944" s="23"/>
      <c r="U944" s="23"/>
      <c r="V944" s="36"/>
      <c r="W944" s="42"/>
      <c r="X944" s="42"/>
      <c r="Y944" s="23"/>
      <c r="Z944" s="42"/>
      <c r="AA944" s="42"/>
      <c r="AB944" s="23"/>
      <c r="AC944" s="23"/>
      <c r="AD944" s="23"/>
      <c r="AE944" s="36"/>
      <c r="AF944" s="23"/>
    </row>
    <row r="945" spans="1:32" ht="15.75" x14ac:dyDescent="0.25">
      <c r="A945" s="44"/>
      <c r="B945" s="23"/>
      <c r="C945" s="23"/>
      <c r="D945" s="36"/>
      <c r="E945" s="23"/>
      <c r="F945" s="23"/>
      <c r="G945" s="23"/>
      <c r="H945" s="23"/>
      <c r="I945" s="23"/>
      <c r="J945" s="23"/>
      <c r="K945" s="23"/>
      <c r="L945" s="23"/>
      <c r="M945" s="36"/>
      <c r="N945" s="23"/>
      <c r="O945" s="23"/>
      <c r="P945" s="23"/>
      <c r="Q945" s="23"/>
      <c r="R945" s="23"/>
      <c r="S945" s="23"/>
      <c r="T945" s="23"/>
      <c r="U945" s="23"/>
      <c r="V945" s="36"/>
      <c r="W945" s="42"/>
      <c r="X945" s="42"/>
      <c r="Y945" s="23"/>
      <c r="Z945" s="42"/>
      <c r="AA945" s="42"/>
      <c r="AB945" s="23"/>
      <c r="AC945" s="23"/>
      <c r="AD945" s="23"/>
      <c r="AE945" s="36"/>
      <c r="AF945" s="23"/>
    </row>
    <row r="946" spans="1:32" ht="15.75" x14ac:dyDescent="0.25">
      <c r="A946" s="44"/>
      <c r="B946" s="23"/>
      <c r="C946" s="23"/>
      <c r="D946" s="36"/>
      <c r="E946" s="23"/>
      <c r="F946" s="23"/>
      <c r="G946" s="23"/>
      <c r="H946" s="23"/>
      <c r="I946" s="23"/>
      <c r="J946" s="23"/>
      <c r="K946" s="23"/>
      <c r="L946" s="23"/>
      <c r="M946" s="36"/>
      <c r="N946" s="23"/>
      <c r="O946" s="23"/>
      <c r="P946" s="23"/>
      <c r="Q946" s="23"/>
      <c r="R946" s="23"/>
      <c r="S946" s="23"/>
      <c r="T946" s="23"/>
      <c r="U946" s="23"/>
      <c r="V946" s="36"/>
      <c r="W946" s="42"/>
      <c r="X946" s="42"/>
      <c r="Y946" s="23"/>
      <c r="Z946" s="42"/>
      <c r="AA946" s="42"/>
      <c r="AB946" s="23"/>
      <c r="AC946" s="23"/>
      <c r="AD946" s="23"/>
      <c r="AE946" s="36"/>
      <c r="AF946" s="23"/>
    </row>
    <row r="947" spans="1:32" ht="15.75" x14ac:dyDescent="0.25">
      <c r="A947" s="44"/>
      <c r="B947" s="23"/>
      <c r="C947" s="23"/>
      <c r="D947" s="36"/>
      <c r="E947" s="23"/>
      <c r="F947" s="23"/>
      <c r="G947" s="23"/>
      <c r="H947" s="23"/>
      <c r="I947" s="23"/>
      <c r="J947" s="23"/>
      <c r="K947" s="23"/>
      <c r="L947" s="23"/>
      <c r="M947" s="36"/>
      <c r="N947" s="23"/>
      <c r="O947" s="23"/>
      <c r="P947" s="23"/>
      <c r="Q947" s="23"/>
      <c r="R947" s="23"/>
      <c r="S947" s="23"/>
      <c r="T947" s="23"/>
      <c r="U947" s="23"/>
      <c r="V947" s="36"/>
      <c r="W947" s="42"/>
      <c r="X947" s="42"/>
      <c r="Y947" s="23"/>
      <c r="Z947" s="42"/>
      <c r="AA947" s="42"/>
      <c r="AB947" s="23"/>
      <c r="AC947" s="23"/>
      <c r="AD947" s="23"/>
      <c r="AE947" s="36"/>
      <c r="AF947" s="23"/>
    </row>
    <row r="948" spans="1:32" ht="15.75" x14ac:dyDescent="0.25">
      <c r="A948" s="44"/>
      <c r="B948" s="23"/>
      <c r="C948" s="23"/>
      <c r="D948" s="36"/>
      <c r="E948" s="23"/>
      <c r="F948" s="23"/>
      <c r="G948" s="23"/>
      <c r="H948" s="23"/>
      <c r="I948" s="23"/>
      <c r="J948" s="23"/>
      <c r="K948" s="23"/>
      <c r="L948" s="23"/>
      <c r="M948" s="36"/>
      <c r="N948" s="23"/>
      <c r="O948" s="23"/>
      <c r="P948" s="23"/>
      <c r="Q948" s="23"/>
      <c r="R948" s="23"/>
      <c r="S948" s="23"/>
      <c r="T948" s="23"/>
      <c r="U948" s="23"/>
      <c r="V948" s="36"/>
      <c r="W948" s="42"/>
      <c r="X948" s="42"/>
      <c r="Y948" s="23"/>
      <c r="Z948" s="42"/>
      <c r="AA948" s="42"/>
      <c r="AB948" s="23"/>
      <c r="AC948" s="23"/>
      <c r="AD948" s="23"/>
      <c r="AE948" s="36"/>
      <c r="AF948" s="23"/>
    </row>
    <row r="949" spans="1:32" ht="15.75" x14ac:dyDescent="0.25">
      <c r="A949" s="44"/>
      <c r="B949" s="23"/>
      <c r="C949" s="23"/>
      <c r="D949" s="36"/>
      <c r="E949" s="23"/>
      <c r="F949" s="23"/>
      <c r="G949" s="23"/>
      <c r="H949" s="23"/>
      <c r="I949" s="23"/>
      <c r="J949" s="23"/>
      <c r="K949" s="23"/>
      <c r="L949" s="23"/>
      <c r="M949" s="36"/>
      <c r="N949" s="23"/>
      <c r="O949" s="23"/>
      <c r="P949" s="23"/>
      <c r="Q949" s="23"/>
      <c r="R949" s="23"/>
      <c r="S949" s="23"/>
      <c r="T949" s="23"/>
      <c r="U949" s="23"/>
      <c r="V949" s="36"/>
      <c r="W949" s="42"/>
      <c r="X949" s="42"/>
      <c r="Y949" s="23"/>
      <c r="Z949" s="42"/>
      <c r="AA949" s="42"/>
      <c r="AB949" s="23"/>
      <c r="AC949" s="23"/>
      <c r="AD949" s="23"/>
      <c r="AE949" s="36"/>
      <c r="AF949" s="23"/>
    </row>
    <row r="950" spans="1:32" ht="15.75" x14ac:dyDescent="0.25">
      <c r="A950" s="44"/>
      <c r="B950" s="23"/>
      <c r="C950" s="23"/>
      <c r="D950" s="36"/>
      <c r="E950" s="23"/>
      <c r="F950" s="23"/>
      <c r="G950" s="23"/>
      <c r="H950" s="23"/>
      <c r="I950" s="23"/>
      <c r="J950" s="23"/>
      <c r="K950" s="23"/>
      <c r="L950" s="23"/>
      <c r="M950" s="36"/>
      <c r="N950" s="23"/>
      <c r="O950" s="23"/>
      <c r="P950" s="23"/>
      <c r="Q950" s="23"/>
      <c r="R950" s="23"/>
      <c r="S950" s="23"/>
      <c r="T950" s="23"/>
      <c r="U950" s="23"/>
      <c r="V950" s="36"/>
      <c r="W950" s="42"/>
      <c r="X950" s="42"/>
      <c r="Y950" s="23"/>
      <c r="Z950" s="42"/>
      <c r="AA950" s="42"/>
      <c r="AB950" s="23"/>
      <c r="AC950" s="23"/>
      <c r="AD950" s="23"/>
      <c r="AE950" s="36"/>
      <c r="AF950" s="23"/>
    </row>
    <row r="951" spans="1:32" ht="15.75" x14ac:dyDescent="0.25">
      <c r="A951" s="44"/>
      <c r="B951" s="23"/>
      <c r="C951" s="23"/>
      <c r="D951" s="36"/>
      <c r="E951" s="23"/>
      <c r="F951" s="23"/>
      <c r="G951" s="23"/>
      <c r="H951" s="23"/>
      <c r="I951" s="23"/>
      <c r="J951" s="23"/>
      <c r="K951" s="23"/>
      <c r="L951" s="23"/>
      <c r="M951" s="36"/>
      <c r="N951" s="23"/>
      <c r="O951" s="23"/>
      <c r="P951" s="23"/>
      <c r="Q951" s="23"/>
      <c r="R951" s="23"/>
      <c r="S951" s="23"/>
      <c r="T951" s="23"/>
      <c r="U951" s="23"/>
      <c r="V951" s="36"/>
      <c r="W951" s="42"/>
      <c r="X951" s="42"/>
      <c r="Y951" s="23"/>
      <c r="Z951" s="42"/>
      <c r="AA951" s="42"/>
      <c r="AB951" s="23"/>
      <c r="AC951" s="23"/>
      <c r="AD951" s="23"/>
      <c r="AE951" s="36"/>
      <c r="AF951" s="23"/>
    </row>
    <row r="952" spans="1:32" ht="15.75" x14ac:dyDescent="0.25">
      <c r="A952" s="44"/>
      <c r="B952" s="23"/>
      <c r="C952" s="23"/>
      <c r="D952" s="36"/>
      <c r="E952" s="23"/>
      <c r="F952" s="23"/>
      <c r="G952" s="23"/>
      <c r="H952" s="23"/>
      <c r="I952" s="23"/>
      <c r="J952" s="23"/>
      <c r="K952" s="23"/>
      <c r="L952" s="23"/>
      <c r="M952" s="36"/>
      <c r="N952" s="23"/>
      <c r="O952" s="23"/>
      <c r="P952" s="23"/>
      <c r="Q952" s="23"/>
      <c r="R952" s="23"/>
      <c r="S952" s="23"/>
      <c r="T952" s="23"/>
      <c r="U952" s="23"/>
      <c r="V952" s="36"/>
      <c r="W952" s="42"/>
      <c r="X952" s="42"/>
      <c r="Y952" s="23"/>
      <c r="Z952" s="42"/>
      <c r="AA952" s="42"/>
      <c r="AB952" s="23"/>
      <c r="AC952" s="23"/>
      <c r="AD952" s="23"/>
      <c r="AE952" s="36"/>
      <c r="AF952" s="23"/>
    </row>
    <row r="953" spans="1:32" ht="15.75" x14ac:dyDescent="0.25">
      <c r="A953" s="44"/>
      <c r="B953" s="23"/>
      <c r="C953" s="23"/>
      <c r="D953" s="36"/>
      <c r="E953" s="23"/>
      <c r="F953" s="23"/>
      <c r="G953" s="23"/>
      <c r="H953" s="23"/>
      <c r="I953" s="23"/>
      <c r="J953" s="23"/>
      <c r="K953" s="23"/>
      <c r="L953" s="23"/>
      <c r="M953" s="36"/>
      <c r="N953" s="23"/>
      <c r="O953" s="23"/>
      <c r="P953" s="23"/>
      <c r="Q953" s="23"/>
      <c r="R953" s="23"/>
      <c r="S953" s="23"/>
      <c r="T953" s="23"/>
      <c r="U953" s="23"/>
      <c r="V953" s="36"/>
      <c r="W953" s="42"/>
      <c r="X953" s="42"/>
      <c r="Y953" s="23"/>
      <c r="Z953" s="42"/>
      <c r="AA953" s="42"/>
      <c r="AB953" s="23"/>
      <c r="AC953" s="23"/>
      <c r="AD953" s="23"/>
      <c r="AE953" s="36"/>
      <c r="AF953" s="23"/>
    </row>
    <row r="954" spans="1:32" ht="15.75" x14ac:dyDescent="0.25">
      <c r="A954" s="44"/>
      <c r="B954" s="23"/>
      <c r="C954" s="23"/>
      <c r="D954" s="36"/>
      <c r="E954" s="23"/>
      <c r="F954" s="23"/>
      <c r="G954" s="23"/>
      <c r="H954" s="23"/>
      <c r="I954" s="23"/>
      <c r="J954" s="23"/>
      <c r="K954" s="23"/>
      <c r="L954" s="23"/>
      <c r="M954" s="36"/>
      <c r="N954" s="23"/>
      <c r="O954" s="23"/>
      <c r="P954" s="23"/>
      <c r="Q954" s="23"/>
      <c r="R954" s="23"/>
      <c r="S954" s="23"/>
      <c r="T954" s="23"/>
      <c r="U954" s="23"/>
      <c r="V954" s="36"/>
      <c r="W954" s="42"/>
      <c r="X954" s="42"/>
      <c r="Y954" s="23"/>
      <c r="Z954" s="42"/>
      <c r="AA954" s="42"/>
      <c r="AB954" s="23"/>
      <c r="AC954" s="23"/>
      <c r="AD954" s="23"/>
      <c r="AE954" s="36"/>
      <c r="AF954" s="23"/>
    </row>
    <row r="955" spans="1:32" ht="15.75" x14ac:dyDescent="0.25">
      <c r="A955" s="44"/>
      <c r="B955" s="23"/>
      <c r="C955" s="23"/>
      <c r="D955" s="36"/>
      <c r="E955" s="23"/>
      <c r="F955" s="23"/>
      <c r="G955" s="23"/>
      <c r="H955" s="23"/>
      <c r="I955" s="23"/>
      <c r="J955" s="23"/>
      <c r="K955" s="23"/>
      <c r="L955" s="23"/>
      <c r="M955" s="36"/>
      <c r="N955" s="23"/>
      <c r="O955" s="23"/>
      <c r="P955" s="23"/>
      <c r="Q955" s="23"/>
      <c r="R955" s="23"/>
      <c r="S955" s="23"/>
      <c r="T955" s="23"/>
      <c r="U955" s="23"/>
      <c r="V955" s="36"/>
      <c r="W955" s="42"/>
      <c r="X955" s="42"/>
      <c r="Y955" s="23"/>
      <c r="Z955" s="42"/>
      <c r="AA955" s="42"/>
      <c r="AB955" s="23"/>
      <c r="AC955" s="23"/>
      <c r="AD955" s="23"/>
      <c r="AE955" s="36"/>
      <c r="AF955" s="23"/>
    </row>
    <row r="956" spans="1:32" ht="15.75" x14ac:dyDescent="0.25">
      <c r="A956" s="44"/>
      <c r="B956" s="23"/>
      <c r="C956" s="23"/>
      <c r="D956" s="36"/>
      <c r="E956" s="23"/>
      <c r="F956" s="23"/>
      <c r="G956" s="23"/>
      <c r="H956" s="23"/>
      <c r="I956" s="23"/>
      <c r="J956" s="23"/>
      <c r="K956" s="23"/>
      <c r="L956" s="23"/>
      <c r="M956" s="36"/>
      <c r="N956" s="23"/>
      <c r="O956" s="23"/>
      <c r="P956" s="23"/>
      <c r="Q956" s="23"/>
      <c r="R956" s="23"/>
      <c r="S956" s="23"/>
      <c r="T956" s="23"/>
      <c r="U956" s="23"/>
      <c r="V956" s="36"/>
      <c r="W956" s="42"/>
      <c r="X956" s="42"/>
      <c r="Y956" s="23"/>
      <c r="Z956" s="42"/>
      <c r="AA956" s="42"/>
      <c r="AB956" s="23"/>
      <c r="AC956" s="23"/>
      <c r="AD956" s="23"/>
      <c r="AE956" s="36"/>
      <c r="AF956" s="23"/>
    </row>
    <row r="957" spans="1:32" ht="15.75" x14ac:dyDescent="0.25">
      <c r="A957" s="44"/>
      <c r="B957" s="23"/>
      <c r="C957" s="23"/>
      <c r="D957" s="36"/>
      <c r="E957" s="23"/>
      <c r="F957" s="23"/>
      <c r="G957" s="23"/>
      <c r="H957" s="23"/>
      <c r="I957" s="23"/>
      <c r="J957" s="23"/>
      <c r="K957" s="23"/>
      <c r="L957" s="23"/>
      <c r="M957" s="36"/>
      <c r="N957" s="23"/>
      <c r="O957" s="23"/>
      <c r="P957" s="23"/>
      <c r="Q957" s="23"/>
      <c r="R957" s="23"/>
      <c r="S957" s="23"/>
      <c r="T957" s="23"/>
      <c r="U957" s="23"/>
      <c r="V957" s="36"/>
      <c r="W957" s="42"/>
      <c r="X957" s="42"/>
      <c r="Y957" s="23"/>
      <c r="Z957" s="42"/>
      <c r="AA957" s="42"/>
      <c r="AB957" s="23"/>
      <c r="AC957" s="23"/>
      <c r="AD957" s="23"/>
      <c r="AE957" s="36"/>
      <c r="AF957" s="23"/>
    </row>
    <row r="958" spans="1:32" ht="15.75" x14ac:dyDescent="0.25">
      <c r="A958" s="44"/>
      <c r="B958" s="23"/>
      <c r="C958" s="23"/>
      <c r="D958" s="36"/>
      <c r="E958" s="23"/>
      <c r="F958" s="23"/>
      <c r="G958" s="23"/>
      <c r="H958" s="23"/>
      <c r="I958" s="23"/>
      <c r="J958" s="23"/>
      <c r="K958" s="23"/>
      <c r="L958" s="23"/>
      <c r="M958" s="36"/>
      <c r="N958" s="23"/>
      <c r="O958" s="23"/>
      <c r="P958" s="23"/>
      <c r="Q958" s="23"/>
      <c r="R958" s="23"/>
      <c r="S958" s="23"/>
      <c r="T958" s="23"/>
      <c r="U958" s="23"/>
      <c r="V958" s="36"/>
      <c r="W958" s="42"/>
      <c r="X958" s="42"/>
      <c r="Y958" s="23"/>
      <c r="Z958" s="42"/>
      <c r="AA958" s="42"/>
      <c r="AB958" s="23"/>
      <c r="AC958" s="23"/>
      <c r="AD958" s="23"/>
      <c r="AE958" s="36"/>
      <c r="AF958" s="23"/>
    </row>
    <row r="959" spans="1:32" ht="15.75" x14ac:dyDescent="0.25">
      <c r="A959" s="44"/>
      <c r="B959" s="23"/>
      <c r="C959" s="23"/>
      <c r="D959" s="36"/>
      <c r="E959" s="23"/>
      <c r="F959" s="23"/>
      <c r="G959" s="23"/>
      <c r="H959" s="23"/>
      <c r="I959" s="23"/>
      <c r="J959" s="23"/>
      <c r="K959" s="23"/>
      <c r="L959" s="23"/>
      <c r="M959" s="36"/>
      <c r="N959" s="23"/>
      <c r="O959" s="23"/>
      <c r="P959" s="23"/>
      <c r="Q959" s="23"/>
      <c r="R959" s="23"/>
      <c r="S959" s="23"/>
      <c r="T959" s="23"/>
      <c r="U959" s="23"/>
      <c r="V959" s="36"/>
      <c r="W959" s="42"/>
      <c r="X959" s="42"/>
      <c r="Y959" s="23"/>
      <c r="Z959" s="42"/>
      <c r="AA959" s="42"/>
      <c r="AB959" s="23"/>
      <c r="AC959" s="23"/>
      <c r="AD959" s="23"/>
      <c r="AE959" s="36"/>
      <c r="AF959" s="23"/>
    </row>
    <row r="960" spans="1:32" ht="15.75" x14ac:dyDescent="0.25">
      <c r="A960" s="44"/>
      <c r="B960" s="23"/>
      <c r="C960" s="23"/>
      <c r="D960" s="36"/>
      <c r="E960" s="23"/>
      <c r="F960" s="23"/>
      <c r="G960" s="23"/>
      <c r="H960" s="23"/>
      <c r="I960" s="23"/>
      <c r="J960" s="23"/>
      <c r="K960" s="23"/>
      <c r="L960" s="23"/>
      <c r="M960" s="36"/>
      <c r="N960" s="23"/>
      <c r="O960" s="23"/>
      <c r="P960" s="23"/>
      <c r="Q960" s="23"/>
      <c r="R960" s="23"/>
      <c r="S960" s="23"/>
      <c r="T960" s="23"/>
      <c r="U960" s="23"/>
      <c r="V960" s="36"/>
      <c r="W960" s="42"/>
      <c r="X960" s="42"/>
      <c r="Y960" s="23"/>
      <c r="Z960" s="42"/>
      <c r="AA960" s="42"/>
      <c r="AB960" s="23"/>
      <c r="AC960" s="23"/>
      <c r="AD960" s="23"/>
      <c r="AE960" s="36"/>
      <c r="AF960" s="23"/>
    </row>
    <row r="961" spans="1:32" ht="15.75" x14ac:dyDescent="0.25">
      <c r="A961" s="44"/>
      <c r="B961" s="23"/>
      <c r="C961" s="23"/>
      <c r="D961" s="36"/>
      <c r="E961" s="23"/>
      <c r="F961" s="23"/>
      <c r="G961" s="23"/>
      <c r="H961" s="23"/>
      <c r="I961" s="23"/>
      <c r="J961" s="23"/>
      <c r="K961" s="23"/>
      <c r="L961" s="23"/>
      <c r="M961" s="36"/>
      <c r="N961" s="23"/>
      <c r="O961" s="23"/>
      <c r="P961" s="23"/>
      <c r="Q961" s="23"/>
      <c r="R961" s="23"/>
      <c r="S961" s="23"/>
      <c r="T961" s="23"/>
      <c r="U961" s="23"/>
      <c r="V961" s="36"/>
      <c r="W961" s="42"/>
      <c r="X961" s="42"/>
      <c r="Y961" s="23"/>
      <c r="Z961" s="42"/>
      <c r="AA961" s="42"/>
      <c r="AB961" s="23"/>
      <c r="AC961" s="23"/>
      <c r="AD961" s="23"/>
      <c r="AE961" s="36"/>
      <c r="AF961" s="23"/>
    </row>
    <row r="962" spans="1:32" ht="15.75" x14ac:dyDescent="0.25">
      <c r="A962" s="44"/>
      <c r="B962" s="23"/>
      <c r="C962" s="23"/>
      <c r="D962" s="36"/>
      <c r="E962" s="23"/>
      <c r="F962" s="23"/>
      <c r="G962" s="23"/>
      <c r="H962" s="23"/>
      <c r="I962" s="23"/>
      <c r="J962" s="23"/>
      <c r="K962" s="23"/>
      <c r="L962" s="23"/>
      <c r="M962" s="36"/>
      <c r="N962" s="23"/>
      <c r="O962" s="23"/>
      <c r="P962" s="23"/>
      <c r="Q962" s="23"/>
      <c r="R962" s="23"/>
      <c r="S962" s="23"/>
      <c r="T962" s="23"/>
      <c r="U962" s="23"/>
      <c r="V962" s="36"/>
      <c r="W962" s="42"/>
      <c r="X962" s="42"/>
      <c r="Y962" s="23"/>
      <c r="Z962" s="42"/>
      <c r="AA962" s="42"/>
      <c r="AB962" s="23"/>
      <c r="AC962" s="23"/>
      <c r="AD962" s="23"/>
      <c r="AE962" s="36"/>
      <c r="AF962" s="23"/>
    </row>
    <row r="963" spans="1:32" ht="15.75" x14ac:dyDescent="0.25">
      <c r="A963" s="44"/>
      <c r="B963" s="23"/>
      <c r="C963" s="23"/>
      <c r="D963" s="36"/>
      <c r="E963" s="23"/>
      <c r="F963" s="23"/>
      <c r="G963" s="23"/>
      <c r="H963" s="23"/>
      <c r="I963" s="23"/>
      <c r="J963" s="23"/>
      <c r="K963" s="23"/>
      <c r="L963" s="23"/>
      <c r="M963" s="36"/>
      <c r="N963" s="23"/>
      <c r="O963" s="23"/>
      <c r="P963" s="23"/>
      <c r="Q963" s="23"/>
      <c r="R963" s="23"/>
      <c r="S963" s="23"/>
      <c r="T963" s="23"/>
      <c r="U963" s="23"/>
      <c r="V963" s="36"/>
      <c r="W963" s="42"/>
      <c r="X963" s="42"/>
      <c r="Y963" s="23"/>
      <c r="Z963" s="42"/>
      <c r="AA963" s="42"/>
      <c r="AB963" s="23"/>
      <c r="AC963" s="23"/>
      <c r="AD963" s="23"/>
      <c r="AE963" s="36"/>
      <c r="AF963" s="23"/>
    </row>
    <row r="964" spans="1:32" ht="15.75" x14ac:dyDescent="0.25">
      <c r="A964" s="44"/>
      <c r="B964" s="23"/>
      <c r="C964" s="23"/>
      <c r="D964" s="36"/>
      <c r="E964" s="23"/>
      <c r="F964" s="23"/>
      <c r="G964" s="23"/>
      <c r="H964" s="23"/>
      <c r="I964" s="23"/>
      <c r="J964" s="23"/>
      <c r="K964" s="23"/>
      <c r="L964" s="23"/>
      <c r="M964" s="36"/>
      <c r="N964" s="23"/>
      <c r="O964" s="23"/>
      <c r="P964" s="23"/>
      <c r="Q964" s="23"/>
      <c r="R964" s="23"/>
      <c r="S964" s="23"/>
      <c r="T964" s="23"/>
      <c r="U964" s="23"/>
      <c r="V964" s="36"/>
      <c r="W964" s="42"/>
      <c r="X964" s="42"/>
      <c r="Y964" s="23"/>
      <c r="Z964" s="42"/>
      <c r="AA964" s="42"/>
      <c r="AB964" s="23"/>
      <c r="AC964" s="23"/>
      <c r="AD964" s="23"/>
      <c r="AE964" s="36"/>
      <c r="AF964" s="23"/>
    </row>
    <row r="965" spans="1:32" ht="15.75" x14ac:dyDescent="0.25">
      <c r="A965" s="44"/>
      <c r="B965" s="23"/>
      <c r="C965" s="23"/>
      <c r="D965" s="36"/>
      <c r="E965" s="23"/>
      <c r="F965" s="23"/>
      <c r="G965" s="23"/>
      <c r="H965" s="23"/>
      <c r="I965" s="23"/>
      <c r="J965" s="23"/>
      <c r="K965" s="23"/>
      <c r="L965" s="23"/>
      <c r="M965" s="36"/>
      <c r="N965" s="23"/>
      <c r="O965" s="23"/>
      <c r="P965" s="23"/>
      <c r="Q965" s="23"/>
      <c r="R965" s="23"/>
      <c r="S965" s="23"/>
      <c r="T965" s="23"/>
      <c r="U965" s="23"/>
      <c r="V965" s="36"/>
      <c r="W965" s="42"/>
      <c r="X965" s="42"/>
      <c r="Y965" s="23"/>
      <c r="Z965" s="42"/>
      <c r="AA965" s="42"/>
      <c r="AB965" s="23"/>
      <c r="AC965" s="23"/>
      <c r="AD965" s="23"/>
      <c r="AE965" s="36"/>
      <c r="AF965" s="23"/>
    </row>
    <row r="966" spans="1:32" ht="15.75" x14ac:dyDescent="0.25">
      <c r="A966" s="44"/>
      <c r="B966" s="23"/>
      <c r="C966" s="23"/>
      <c r="D966" s="36"/>
      <c r="E966" s="23"/>
      <c r="F966" s="23"/>
      <c r="G966" s="23"/>
      <c r="H966" s="23"/>
      <c r="I966" s="23"/>
      <c r="J966" s="23"/>
      <c r="K966" s="23"/>
      <c r="L966" s="23"/>
      <c r="M966" s="36"/>
      <c r="N966" s="23"/>
      <c r="O966" s="23"/>
      <c r="P966" s="23"/>
      <c r="Q966" s="23"/>
      <c r="R966" s="23"/>
      <c r="S966" s="23"/>
      <c r="T966" s="23"/>
      <c r="U966" s="23"/>
      <c r="V966" s="36"/>
      <c r="W966" s="42"/>
      <c r="X966" s="42"/>
      <c r="Y966" s="23"/>
      <c r="Z966" s="42"/>
      <c r="AA966" s="42"/>
      <c r="AB966" s="23"/>
      <c r="AC966" s="23"/>
      <c r="AD966" s="23"/>
      <c r="AE966" s="36"/>
      <c r="AF966" s="23"/>
    </row>
    <row r="967" spans="1:32" ht="15.75" x14ac:dyDescent="0.25">
      <c r="A967" s="44"/>
      <c r="B967" s="23"/>
      <c r="C967" s="23"/>
      <c r="D967" s="36"/>
      <c r="E967" s="23"/>
      <c r="F967" s="23"/>
      <c r="G967" s="23"/>
      <c r="H967" s="23"/>
      <c r="I967" s="23"/>
      <c r="J967" s="23"/>
      <c r="K967" s="23"/>
      <c r="L967" s="23"/>
      <c r="M967" s="36"/>
      <c r="N967" s="23"/>
      <c r="O967" s="23"/>
      <c r="P967" s="23"/>
      <c r="Q967" s="23"/>
      <c r="R967" s="23"/>
      <c r="S967" s="23"/>
      <c r="T967" s="23"/>
      <c r="U967" s="23"/>
      <c r="V967" s="36"/>
      <c r="W967" s="42"/>
      <c r="X967" s="42"/>
      <c r="Y967" s="23"/>
      <c r="Z967" s="42"/>
      <c r="AA967" s="42"/>
      <c r="AB967" s="23"/>
      <c r="AC967" s="23"/>
      <c r="AD967" s="23"/>
      <c r="AE967" s="36"/>
      <c r="AF967" s="23"/>
    </row>
    <row r="968" spans="1:32" ht="15.75" x14ac:dyDescent="0.25">
      <c r="A968" s="44"/>
      <c r="B968" s="23"/>
      <c r="C968" s="23"/>
      <c r="D968" s="36"/>
      <c r="E968" s="23"/>
      <c r="F968" s="23"/>
      <c r="G968" s="23"/>
      <c r="H968" s="23"/>
      <c r="I968" s="23"/>
      <c r="J968" s="23"/>
      <c r="K968" s="23"/>
      <c r="L968" s="23"/>
      <c r="M968" s="36"/>
      <c r="N968" s="23"/>
      <c r="O968" s="23"/>
      <c r="P968" s="23"/>
      <c r="Q968" s="23"/>
      <c r="R968" s="23"/>
      <c r="S968" s="23"/>
      <c r="T968" s="23"/>
      <c r="U968" s="23"/>
      <c r="V968" s="36"/>
      <c r="W968" s="42"/>
      <c r="X968" s="42"/>
      <c r="Y968" s="23"/>
      <c r="Z968" s="42"/>
      <c r="AA968" s="42"/>
      <c r="AB968" s="23"/>
      <c r="AC968" s="23"/>
      <c r="AD968" s="23"/>
      <c r="AE968" s="36"/>
      <c r="AF968" s="23"/>
    </row>
    <row r="969" spans="1:32" ht="15.75" x14ac:dyDescent="0.25">
      <c r="A969" s="44"/>
      <c r="B969" s="23"/>
      <c r="C969" s="23"/>
      <c r="D969" s="36"/>
      <c r="E969" s="23"/>
      <c r="F969" s="23"/>
      <c r="G969" s="23"/>
      <c r="H969" s="23"/>
      <c r="I969" s="23"/>
      <c r="J969" s="23"/>
      <c r="K969" s="23"/>
      <c r="L969" s="23"/>
      <c r="M969" s="36"/>
      <c r="N969" s="23"/>
      <c r="O969" s="23"/>
      <c r="P969" s="23"/>
      <c r="Q969" s="23"/>
      <c r="R969" s="23"/>
      <c r="S969" s="23"/>
      <c r="T969" s="23"/>
      <c r="U969" s="23"/>
      <c r="V969" s="36"/>
      <c r="W969" s="42"/>
      <c r="X969" s="42"/>
      <c r="Y969" s="23"/>
      <c r="Z969" s="42"/>
      <c r="AA969" s="42"/>
      <c r="AB969" s="23"/>
      <c r="AC969" s="23"/>
      <c r="AD969" s="23"/>
      <c r="AE969" s="36"/>
      <c r="AF969" s="23"/>
    </row>
    <row r="970" spans="1:32" ht="15.75" x14ac:dyDescent="0.25">
      <c r="A970" s="44"/>
      <c r="B970" s="23"/>
      <c r="C970" s="23"/>
      <c r="D970" s="36"/>
      <c r="E970" s="23"/>
      <c r="F970" s="23"/>
      <c r="G970" s="23"/>
      <c r="H970" s="23"/>
      <c r="I970" s="23"/>
      <c r="J970" s="23"/>
      <c r="K970" s="23"/>
      <c r="L970" s="23"/>
      <c r="M970" s="36"/>
      <c r="N970" s="23"/>
      <c r="O970" s="23"/>
      <c r="P970" s="23"/>
      <c r="Q970" s="23"/>
      <c r="R970" s="23"/>
      <c r="S970" s="23"/>
      <c r="T970" s="23"/>
      <c r="U970" s="23"/>
      <c r="V970" s="36"/>
      <c r="W970" s="42"/>
      <c r="X970" s="42"/>
      <c r="Y970" s="23"/>
      <c r="Z970" s="42"/>
      <c r="AA970" s="42"/>
      <c r="AB970" s="23"/>
      <c r="AC970" s="23"/>
      <c r="AD970" s="23"/>
      <c r="AE970" s="36"/>
      <c r="AF970" s="23"/>
    </row>
    <row r="971" spans="1:32" ht="15.75" x14ac:dyDescent="0.25">
      <c r="A971" s="44"/>
      <c r="B971" s="23"/>
      <c r="C971" s="23"/>
      <c r="D971" s="36"/>
      <c r="E971" s="23"/>
      <c r="F971" s="23"/>
      <c r="G971" s="23"/>
      <c r="H971" s="23"/>
      <c r="I971" s="23"/>
      <c r="J971" s="23"/>
      <c r="K971" s="23"/>
      <c r="L971" s="23"/>
      <c r="M971" s="36"/>
      <c r="N971" s="23"/>
      <c r="O971" s="23"/>
      <c r="P971" s="23"/>
      <c r="Q971" s="23"/>
      <c r="R971" s="23"/>
      <c r="S971" s="23"/>
      <c r="T971" s="23"/>
      <c r="U971" s="23"/>
      <c r="V971" s="36"/>
      <c r="W971" s="42"/>
      <c r="X971" s="42"/>
      <c r="Y971" s="23"/>
      <c r="Z971" s="42"/>
      <c r="AA971" s="42"/>
      <c r="AB971" s="23"/>
      <c r="AC971" s="23"/>
      <c r="AD971" s="23"/>
      <c r="AE971" s="36"/>
      <c r="AF971" s="23"/>
    </row>
    <row r="972" spans="1:32" ht="15.75" x14ac:dyDescent="0.25">
      <c r="A972" s="44"/>
      <c r="B972" s="23"/>
      <c r="C972" s="23"/>
      <c r="D972" s="36"/>
      <c r="E972" s="23"/>
      <c r="F972" s="23"/>
      <c r="G972" s="23"/>
      <c r="H972" s="23"/>
      <c r="I972" s="23"/>
      <c r="J972" s="23"/>
      <c r="K972" s="23"/>
      <c r="L972" s="23"/>
      <c r="M972" s="36"/>
      <c r="N972" s="23"/>
      <c r="O972" s="23"/>
      <c r="P972" s="23"/>
      <c r="Q972" s="23"/>
      <c r="R972" s="23"/>
      <c r="S972" s="23"/>
      <c r="T972" s="23"/>
      <c r="U972" s="23"/>
      <c r="V972" s="36"/>
      <c r="W972" s="42"/>
      <c r="X972" s="42"/>
      <c r="Y972" s="23"/>
      <c r="Z972" s="42"/>
      <c r="AA972" s="42"/>
      <c r="AB972" s="23"/>
      <c r="AC972" s="23"/>
      <c r="AD972" s="23"/>
      <c r="AE972" s="36"/>
      <c r="AF972" s="23"/>
    </row>
    <row r="973" spans="1:32" ht="15.75" x14ac:dyDescent="0.25">
      <c r="A973" s="44"/>
      <c r="B973" s="23"/>
      <c r="C973" s="23"/>
      <c r="D973" s="36"/>
      <c r="E973" s="23"/>
      <c r="F973" s="23"/>
      <c r="G973" s="23"/>
      <c r="H973" s="23"/>
      <c r="I973" s="23"/>
      <c r="J973" s="23"/>
      <c r="K973" s="23"/>
      <c r="L973" s="23"/>
      <c r="M973" s="36"/>
      <c r="N973" s="23"/>
      <c r="O973" s="23"/>
      <c r="P973" s="23"/>
      <c r="Q973" s="23"/>
      <c r="R973" s="23"/>
      <c r="S973" s="23"/>
      <c r="T973" s="23"/>
      <c r="U973" s="23"/>
      <c r="V973" s="36"/>
      <c r="W973" s="42"/>
      <c r="X973" s="42"/>
      <c r="Y973" s="23"/>
      <c r="Z973" s="42"/>
      <c r="AA973" s="42"/>
      <c r="AB973" s="23"/>
      <c r="AC973" s="23"/>
      <c r="AD973" s="23"/>
      <c r="AE973" s="36"/>
      <c r="AF973" s="23"/>
    </row>
    <row r="974" spans="1:32" ht="15.75" x14ac:dyDescent="0.25">
      <c r="A974" s="44"/>
      <c r="B974" s="23"/>
      <c r="C974" s="23"/>
      <c r="D974" s="36"/>
      <c r="E974" s="23"/>
      <c r="F974" s="23"/>
      <c r="G974" s="23"/>
      <c r="H974" s="23"/>
      <c r="I974" s="23"/>
      <c r="J974" s="23"/>
      <c r="K974" s="23"/>
      <c r="L974" s="23"/>
      <c r="M974" s="36"/>
      <c r="N974" s="23"/>
      <c r="O974" s="23"/>
      <c r="P974" s="23"/>
      <c r="Q974" s="23"/>
      <c r="R974" s="23"/>
      <c r="S974" s="23"/>
      <c r="T974" s="23"/>
      <c r="U974" s="23"/>
      <c r="V974" s="36"/>
      <c r="W974" s="42"/>
      <c r="X974" s="42"/>
      <c r="Y974" s="23"/>
      <c r="Z974" s="42"/>
      <c r="AA974" s="42"/>
      <c r="AB974" s="23"/>
      <c r="AC974" s="23"/>
      <c r="AD974" s="23"/>
      <c r="AE974" s="36"/>
      <c r="AF974" s="23"/>
    </row>
    <row r="975" spans="1:32" ht="15.75" x14ac:dyDescent="0.25">
      <c r="A975" s="44"/>
      <c r="B975" s="23"/>
      <c r="C975" s="23"/>
      <c r="D975" s="36"/>
      <c r="E975" s="23"/>
      <c r="F975" s="23"/>
      <c r="G975" s="23"/>
      <c r="H975" s="23"/>
      <c r="I975" s="23"/>
      <c r="J975" s="23"/>
      <c r="K975" s="23"/>
      <c r="L975" s="23"/>
      <c r="M975" s="36"/>
      <c r="N975" s="23"/>
      <c r="O975" s="23"/>
      <c r="P975" s="23"/>
      <c r="Q975" s="23"/>
      <c r="R975" s="23"/>
      <c r="S975" s="23"/>
      <c r="T975" s="23"/>
      <c r="U975" s="23"/>
      <c r="V975" s="36"/>
      <c r="W975" s="42"/>
      <c r="X975" s="42"/>
      <c r="Y975" s="23"/>
      <c r="Z975" s="42"/>
      <c r="AA975" s="42"/>
      <c r="AB975" s="23"/>
      <c r="AC975" s="23"/>
      <c r="AD975" s="23"/>
      <c r="AE975" s="36"/>
      <c r="AF975" s="23"/>
    </row>
    <row r="976" spans="1:32" ht="15.75" x14ac:dyDescent="0.25">
      <c r="A976" s="44"/>
      <c r="B976" s="23"/>
      <c r="C976" s="23"/>
      <c r="D976" s="36"/>
      <c r="E976" s="23"/>
      <c r="F976" s="23"/>
      <c r="G976" s="23"/>
      <c r="H976" s="23"/>
      <c r="I976" s="23"/>
      <c r="J976" s="23"/>
      <c r="K976" s="23"/>
      <c r="L976" s="23"/>
      <c r="M976" s="36"/>
      <c r="N976" s="23"/>
      <c r="O976" s="23"/>
      <c r="P976" s="23"/>
      <c r="Q976" s="23"/>
      <c r="R976" s="23"/>
      <c r="S976" s="23"/>
      <c r="T976" s="23"/>
      <c r="U976" s="23"/>
      <c r="V976" s="36"/>
      <c r="W976" s="42"/>
      <c r="X976" s="42"/>
      <c r="Y976" s="23"/>
      <c r="Z976" s="42"/>
      <c r="AA976" s="42"/>
      <c r="AB976" s="23"/>
      <c r="AC976" s="23"/>
      <c r="AD976" s="23"/>
      <c r="AE976" s="36"/>
      <c r="AF976" s="23"/>
    </row>
    <row r="977" spans="1:32" ht="15.75" x14ac:dyDescent="0.25">
      <c r="A977" s="44"/>
      <c r="B977" s="23"/>
      <c r="C977" s="23"/>
      <c r="D977" s="36"/>
      <c r="E977" s="23"/>
      <c r="F977" s="23"/>
      <c r="G977" s="23"/>
      <c r="H977" s="23"/>
      <c r="I977" s="23"/>
      <c r="J977" s="23"/>
      <c r="K977" s="23"/>
      <c r="L977" s="23"/>
      <c r="M977" s="36"/>
      <c r="N977" s="23"/>
      <c r="O977" s="23"/>
      <c r="P977" s="23"/>
      <c r="Q977" s="23"/>
      <c r="R977" s="23"/>
      <c r="S977" s="23"/>
      <c r="T977" s="23"/>
      <c r="U977" s="23"/>
      <c r="V977" s="36"/>
      <c r="W977" s="42"/>
      <c r="X977" s="42"/>
      <c r="Y977" s="23"/>
      <c r="Z977" s="42"/>
      <c r="AA977" s="42"/>
      <c r="AB977" s="23"/>
      <c r="AC977" s="23"/>
      <c r="AD977" s="23"/>
      <c r="AE977" s="36"/>
      <c r="AF977" s="23"/>
    </row>
    <row r="978" spans="1:32" ht="15.75" x14ac:dyDescent="0.25">
      <c r="A978" s="44"/>
      <c r="B978" s="23"/>
      <c r="C978" s="23"/>
      <c r="D978" s="36"/>
      <c r="E978" s="23"/>
      <c r="F978" s="23"/>
      <c r="G978" s="23"/>
      <c r="H978" s="23"/>
      <c r="I978" s="23"/>
      <c r="J978" s="23"/>
      <c r="K978" s="23"/>
      <c r="L978" s="23"/>
      <c r="M978" s="36"/>
      <c r="N978" s="23"/>
      <c r="O978" s="23"/>
      <c r="P978" s="23"/>
      <c r="Q978" s="23"/>
      <c r="R978" s="23"/>
      <c r="S978" s="23"/>
      <c r="T978" s="23"/>
      <c r="U978" s="23"/>
      <c r="V978" s="36"/>
      <c r="W978" s="42"/>
      <c r="X978" s="42"/>
      <c r="Y978" s="23"/>
      <c r="Z978" s="42"/>
      <c r="AA978" s="42"/>
      <c r="AB978" s="23"/>
      <c r="AC978" s="23"/>
      <c r="AD978" s="23"/>
      <c r="AE978" s="36"/>
      <c r="AF978" s="23"/>
    </row>
    <row r="979" spans="1:32" ht="15.75" x14ac:dyDescent="0.25">
      <c r="A979" s="44"/>
      <c r="B979" s="23"/>
      <c r="C979" s="23"/>
      <c r="D979" s="36"/>
      <c r="E979" s="23"/>
      <c r="F979" s="23"/>
      <c r="G979" s="23"/>
      <c r="H979" s="23"/>
      <c r="I979" s="23"/>
      <c r="J979" s="23"/>
      <c r="K979" s="23"/>
      <c r="L979" s="23"/>
      <c r="M979" s="36"/>
      <c r="N979" s="23"/>
      <c r="O979" s="23"/>
      <c r="P979" s="23"/>
      <c r="Q979" s="23"/>
      <c r="R979" s="23"/>
      <c r="S979" s="23"/>
      <c r="T979" s="23"/>
      <c r="U979" s="23"/>
      <c r="V979" s="36"/>
      <c r="W979" s="42"/>
      <c r="X979" s="42"/>
      <c r="Y979" s="23"/>
      <c r="Z979" s="42"/>
      <c r="AA979" s="42"/>
      <c r="AB979" s="23"/>
      <c r="AC979" s="23"/>
      <c r="AD979" s="23"/>
      <c r="AE979" s="36"/>
      <c r="AF979" s="23"/>
    </row>
    <row r="980" spans="1:32" ht="15.75" x14ac:dyDescent="0.25">
      <c r="A980" s="44"/>
      <c r="B980" s="23"/>
      <c r="C980" s="23"/>
      <c r="D980" s="36"/>
      <c r="E980" s="23"/>
      <c r="F980" s="23"/>
      <c r="G980" s="23"/>
      <c r="H980" s="23"/>
      <c r="I980" s="23"/>
      <c r="J980" s="23"/>
      <c r="K980" s="23"/>
      <c r="L980" s="23"/>
      <c r="M980" s="36"/>
      <c r="N980" s="23"/>
      <c r="O980" s="23"/>
      <c r="P980" s="23"/>
      <c r="Q980" s="23"/>
      <c r="R980" s="23"/>
      <c r="S980" s="23"/>
      <c r="T980" s="23"/>
      <c r="U980" s="23"/>
      <c r="V980" s="36"/>
      <c r="W980" s="42"/>
      <c r="X980" s="42"/>
      <c r="Y980" s="23"/>
      <c r="Z980" s="42"/>
      <c r="AA980" s="42"/>
      <c r="AB980" s="23"/>
      <c r="AC980" s="23"/>
      <c r="AD980" s="23"/>
      <c r="AE980" s="36"/>
      <c r="AF980" s="23"/>
    </row>
    <row r="981" spans="1:32" ht="15.75" x14ac:dyDescent="0.25">
      <c r="A981" s="44"/>
      <c r="B981" s="23"/>
      <c r="C981" s="23"/>
      <c r="D981" s="36"/>
      <c r="E981" s="23"/>
      <c r="F981" s="23"/>
      <c r="G981" s="23"/>
      <c r="H981" s="23"/>
      <c r="I981" s="23"/>
      <c r="J981" s="23"/>
      <c r="K981" s="23"/>
      <c r="L981" s="23"/>
      <c r="M981" s="36"/>
      <c r="N981" s="23"/>
      <c r="O981" s="23"/>
      <c r="P981" s="23"/>
      <c r="Q981" s="23"/>
      <c r="R981" s="23"/>
      <c r="S981" s="23"/>
      <c r="T981" s="23"/>
      <c r="U981" s="23"/>
      <c r="V981" s="36"/>
      <c r="W981" s="42"/>
      <c r="X981" s="42"/>
      <c r="Y981" s="23"/>
      <c r="Z981" s="42"/>
      <c r="AA981" s="42"/>
      <c r="AB981" s="23"/>
      <c r="AC981" s="23"/>
      <c r="AD981" s="23"/>
      <c r="AE981" s="36"/>
      <c r="AF981" s="23"/>
    </row>
    <row r="982" spans="1:32" ht="15.75" x14ac:dyDescent="0.25">
      <c r="A982" s="44"/>
      <c r="B982" s="23"/>
      <c r="C982" s="23"/>
      <c r="D982" s="36"/>
      <c r="E982" s="23"/>
      <c r="F982" s="23"/>
      <c r="G982" s="23"/>
      <c r="H982" s="23"/>
      <c r="I982" s="23"/>
      <c r="J982" s="23"/>
      <c r="K982" s="23"/>
      <c r="L982" s="23"/>
      <c r="M982" s="36"/>
      <c r="N982" s="23"/>
      <c r="O982" s="23"/>
      <c r="P982" s="23"/>
      <c r="Q982" s="23"/>
      <c r="R982" s="23"/>
      <c r="S982" s="23"/>
      <c r="T982" s="23"/>
      <c r="U982" s="23"/>
      <c r="V982" s="36"/>
      <c r="W982" s="42"/>
      <c r="X982" s="42"/>
      <c r="Y982" s="23"/>
      <c r="Z982" s="42"/>
      <c r="AA982" s="42"/>
      <c r="AB982" s="23"/>
      <c r="AC982" s="23"/>
      <c r="AD982" s="23"/>
      <c r="AE982" s="36"/>
      <c r="AF982" s="23"/>
    </row>
    <row r="983" spans="1:32" ht="15.75" x14ac:dyDescent="0.25">
      <c r="A983" s="44"/>
      <c r="B983" s="23"/>
      <c r="C983" s="23"/>
      <c r="D983" s="36"/>
      <c r="E983" s="23"/>
      <c r="F983" s="23"/>
      <c r="G983" s="23"/>
      <c r="H983" s="23"/>
      <c r="I983" s="23"/>
      <c r="J983" s="23"/>
      <c r="K983" s="23"/>
      <c r="L983" s="23"/>
      <c r="M983" s="36"/>
      <c r="N983" s="23"/>
      <c r="O983" s="23"/>
      <c r="P983" s="23"/>
      <c r="Q983" s="23"/>
      <c r="R983" s="23"/>
      <c r="S983" s="23"/>
      <c r="T983" s="23"/>
      <c r="U983" s="23"/>
      <c r="V983" s="36"/>
      <c r="W983" s="42"/>
      <c r="X983" s="42"/>
      <c r="Y983" s="23"/>
      <c r="Z983" s="42"/>
      <c r="AA983" s="42"/>
      <c r="AB983" s="23"/>
      <c r="AC983" s="23"/>
      <c r="AD983" s="23"/>
      <c r="AE983" s="36"/>
      <c r="AF983" s="23"/>
    </row>
    <row r="984" spans="1:32" ht="15.75" x14ac:dyDescent="0.25">
      <c r="A984" s="44"/>
      <c r="B984" s="23"/>
      <c r="C984" s="23"/>
      <c r="D984" s="36"/>
      <c r="E984" s="23"/>
      <c r="F984" s="23"/>
      <c r="G984" s="23"/>
      <c r="H984" s="23"/>
      <c r="I984" s="23"/>
      <c r="J984" s="23"/>
      <c r="K984" s="23"/>
      <c r="L984" s="23"/>
      <c r="M984" s="36"/>
      <c r="N984" s="23"/>
      <c r="O984" s="23"/>
      <c r="P984" s="23"/>
      <c r="Q984" s="23"/>
      <c r="R984" s="23"/>
      <c r="S984" s="23"/>
      <c r="T984" s="23"/>
      <c r="U984" s="23"/>
      <c r="V984" s="36"/>
      <c r="W984" s="42"/>
      <c r="X984" s="42"/>
      <c r="Y984" s="23"/>
      <c r="Z984" s="42"/>
      <c r="AA984" s="42"/>
      <c r="AB984" s="23"/>
      <c r="AC984" s="23"/>
      <c r="AD984" s="23"/>
      <c r="AE984" s="36"/>
      <c r="AF984" s="23"/>
    </row>
    <row r="985" spans="1:32" ht="15.75" x14ac:dyDescent="0.25">
      <c r="A985" s="44"/>
      <c r="B985" s="23"/>
      <c r="C985" s="23"/>
      <c r="D985" s="36"/>
      <c r="E985" s="23"/>
      <c r="F985" s="23"/>
      <c r="G985" s="23"/>
      <c r="H985" s="23"/>
      <c r="I985" s="23"/>
      <c r="J985" s="23"/>
      <c r="K985" s="23"/>
      <c r="L985" s="23"/>
      <c r="M985" s="36"/>
      <c r="N985" s="23"/>
      <c r="O985" s="23"/>
      <c r="P985" s="23"/>
      <c r="Q985" s="23"/>
      <c r="R985" s="23"/>
      <c r="S985" s="23"/>
      <c r="T985" s="23"/>
      <c r="U985" s="23"/>
      <c r="V985" s="36"/>
      <c r="W985" s="42"/>
      <c r="X985" s="42"/>
      <c r="Y985" s="23"/>
      <c r="Z985" s="42"/>
      <c r="AA985" s="42"/>
      <c r="AB985" s="23"/>
      <c r="AC985" s="23"/>
      <c r="AD985" s="23"/>
      <c r="AE985" s="36"/>
      <c r="AF985" s="23"/>
    </row>
    <row r="986" spans="1:32" ht="15.75" x14ac:dyDescent="0.25">
      <c r="A986" s="44"/>
      <c r="B986" s="23"/>
      <c r="C986" s="23"/>
      <c r="D986" s="36"/>
      <c r="E986" s="23"/>
      <c r="F986" s="23"/>
      <c r="G986" s="23"/>
      <c r="H986" s="23"/>
      <c r="I986" s="23"/>
      <c r="J986" s="23"/>
      <c r="K986" s="23"/>
      <c r="L986" s="23"/>
      <c r="M986" s="36"/>
      <c r="N986" s="23"/>
      <c r="O986" s="23"/>
      <c r="P986" s="23"/>
      <c r="Q986" s="23"/>
      <c r="R986" s="23"/>
      <c r="S986" s="23"/>
      <c r="T986" s="23"/>
      <c r="U986" s="23"/>
      <c r="V986" s="36"/>
      <c r="W986" s="42"/>
      <c r="X986" s="42"/>
      <c r="Y986" s="23"/>
      <c r="Z986" s="42"/>
      <c r="AA986" s="42"/>
      <c r="AB986" s="23"/>
      <c r="AC986" s="23"/>
      <c r="AD986" s="23"/>
      <c r="AE986" s="36"/>
      <c r="AF986" s="23"/>
    </row>
    <row r="987" spans="1:32" ht="15.75" x14ac:dyDescent="0.25">
      <c r="A987" s="44"/>
      <c r="B987" s="23"/>
      <c r="C987" s="23"/>
      <c r="D987" s="36"/>
      <c r="E987" s="23"/>
      <c r="F987" s="23"/>
      <c r="G987" s="23"/>
      <c r="H987" s="23"/>
      <c r="I987" s="23"/>
      <c r="J987" s="23"/>
      <c r="K987" s="23"/>
      <c r="L987" s="23"/>
      <c r="M987" s="36"/>
      <c r="N987" s="23"/>
      <c r="O987" s="23"/>
      <c r="P987" s="23"/>
      <c r="Q987" s="23"/>
      <c r="R987" s="23"/>
      <c r="S987" s="23"/>
      <c r="T987" s="23"/>
      <c r="U987" s="23"/>
      <c r="V987" s="36"/>
      <c r="W987" s="42"/>
      <c r="X987" s="42"/>
      <c r="Y987" s="23"/>
      <c r="Z987" s="42"/>
      <c r="AA987" s="42"/>
      <c r="AB987" s="23"/>
      <c r="AC987" s="23"/>
      <c r="AD987" s="23"/>
      <c r="AE987" s="36"/>
      <c r="AF987" s="23"/>
    </row>
    <row r="988" spans="1:32" ht="15.75" x14ac:dyDescent="0.25">
      <c r="A988" s="44"/>
      <c r="B988" s="23"/>
      <c r="C988" s="23"/>
      <c r="D988" s="36"/>
      <c r="E988" s="23"/>
      <c r="F988" s="23"/>
      <c r="G988" s="23"/>
      <c r="H988" s="23"/>
      <c r="I988" s="23"/>
      <c r="J988" s="23"/>
      <c r="K988" s="23"/>
      <c r="L988" s="23"/>
      <c r="M988" s="36"/>
      <c r="N988" s="23"/>
      <c r="O988" s="23"/>
      <c r="P988" s="23"/>
      <c r="Q988" s="23"/>
      <c r="R988" s="23"/>
      <c r="S988" s="23"/>
      <c r="T988" s="23"/>
      <c r="U988" s="23"/>
      <c r="V988" s="36"/>
      <c r="W988" s="42"/>
      <c r="X988" s="42"/>
      <c r="Y988" s="23"/>
      <c r="Z988" s="42"/>
      <c r="AA988" s="42"/>
      <c r="AB988" s="23"/>
      <c r="AC988" s="23"/>
      <c r="AD988" s="23"/>
      <c r="AE988" s="36"/>
      <c r="AF988" s="23"/>
    </row>
    <row r="989" spans="1:32" ht="15.75" x14ac:dyDescent="0.25">
      <c r="A989" s="44"/>
      <c r="B989" s="23"/>
      <c r="C989" s="23"/>
      <c r="D989" s="36"/>
      <c r="E989" s="23"/>
      <c r="F989" s="23"/>
      <c r="G989" s="23"/>
      <c r="H989" s="23"/>
      <c r="I989" s="23"/>
      <c r="J989" s="23"/>
      <c r="K989" s="23"/>
      <c r="L989" s="23"/>
      <c r="M989" s="36"/>
      <c r="N989" s="23"/>
      <c r="O989" s="23"/>
      <c r="P989" s="23"/>
      <c r="Q989" s="23"/>
      <c r="R989" s="23"/>
      <c r="S989" s="23"/>
      <c r="T989" s="23"/>
      <c r="U989" s="23"/>
      <c r="V989" s="36"/>
      <c r="W989" s="42"/>
      <c r="X989" s="42"/>
      <c r="Y989" s="23"/>
      <c r="Z989" s="42"/>
      <c r="AA989" s="42"/>
      <c r="AB989" s="23"/>
      <c r="AC989" s="23"/>
      <c r="AD989" s="23"/>
      <c r="AE989" s="36"/>
      <c r="AF989" s="23"/>
    </row>
    <row r="990" spans="1:32" ht="15.75" x14ac:dyDescent="0.25">
      <c r="A990" s="44"/>
      <c r="B990" s="23"/>
      <c r="C990" s="23"/>
      <c r="D990" s="36"/>
      <c r="E990" s="23"/>
      <c r="F990" s="23"/>
      <c r="G990" s="23"/>
      <c r="H990" s="23"/>
      <c r="I990" s="23"/>
      <c r="J990" s="23"/>
      <c r="K990" s="23"/>
      <c r="L990" s="23"/>
      <c r="M990" s="36"/>
      <c r="N990" s="23"/>
      <c r="O990" s="23"/>
      <c r="P990" s="23"/>
      <c r="Q990" s="23"/>
      <c r="R990" s="23"/>
      <c r="S990" s="23"/>
      <c r="T990" s="23"/>
      <c r="U990" s="23"/>
      <c r="V990" s="36"/>
      <c r="W990" s="42"/>
      <c r="X990" s="42"/>
      <c r="Y990" s="23"/>
      <c r="Z990" s="42"/>
      <c r="AA990" s="42"/>
      <c r="AB990" s="23"/>
      <c r="AC990" s="23"/>
      <c r="AD990" s="23"/>
      <c r="AE990" s="36"/>
      <c r="AF990" s="23"/>
    </row>
    <row r="991" spans="1:32" ht="15.75" x14ac:dyDescent="0.25">
      <c r="A991" s="44"/>
      <c r="B991" s="23"/>
      <c r="C991" s="23"/>
      <c r="D991" s="36"/>
      <c r="E991" s="23"/>
      <c r="F991" s="23"/>
      <c r="G991" s="23"/>
      <c r="H991" s="23"/>
      <c r="I991" s="23"/>
      <c r="J991" s="23"/>
      <c r="K991" s="23"/>
      <c r="L991" s="23"/>
      <c r="M991" s="36"/>
      <c r="N991" s="23"/>
      <c r="O991" s="23"/>
      <c r="P991" s="23"/>
      <c r="Q991" s="23"/>
      <c r="R991" s="23"/>
      <c r="S991" s="23"/>
      <c r="T991" s="23"/>
      <c r="U991" s="23"/>
      <c r="V991" s="36"/>
      <c r="W991" s="42"/>
      <c r="X991" s="42"/>
      <c r="Y991" s="23"/>
      <c r="Z991" s="42"/>
      <c r="AA991" s="42"/>
      <c r="AB991" s="23"/>
      <c r="AC991" s="23"/>
      <c r="AD991" s="23"/>
      <c r="AE991" s="36"/>
      <c r="AF991" s="23"/>
    </row>
    <row r="992" spans="1:32" ht="15.75" x14ac:dyDescent="0.25">
      <c r="A992" s="44"/>
      <c r="B992" s="23"/>
      <c r="C992" s="23"/>
      <c r="D992" s="36"/>
      <c r="E992" s="23"/>
      <c r="F992" s="23"/>
      <c r="G992" s="23"/>
      <c r="H992" s="23"/>
      <c r="I992" s="23"/>
      <c r="J992" s="23"/>
      <c r="K992" s="23"/>
      <c r="L992" s="23"/>
      <c r="M992" s="36"/>
      <c r="N992" s="23"/>
      <c r="O992" s="23"/>
      <c r="P992" s="23"/>
      <c r="Q992" s="23"/>
      <c r="R992" s="23"/>
      <c r="S992" s="23"/>
      <c r="T992" s="23"/>
      <c r="U992" s="23"/>
      <c r="V992" s="36"/>
      <c r="W992" s="42"/>
      <c r="X992" s="42"/>
      <c r="Y992" s="23"/>
      <c r="Z992" s="42"/>
      <c r="AA992" s="42"/>
      <c r="AB992" s="23"/>
      <c r="AC992" s="23"/>
      <c r="AD992" s="23"/>
      <c r="AE992" s="36"/>
      <c r="AF992" s="23"/>
    </row>
    <row r="993" spans="1:32" ht="15.75" x14ac:dyDescent="0.25">
      <c r="A993" s="44"/>
      <c r="B993" s="23"/>
      <c r="C993" s="23"/>
      <c r="D993" s="36"/>
      <c r="E993" s="23"/>
      <c r="F993" s="23"/>
      <c r="G993" s="23"/>
      <c r="H993" s="23"/>
      <c r="I993" s="23"/>
      <c r="J993" s="23"/>
      <c r="K993" s="23"/>
      <c r="L993" s="23"/>
      <c r="M993" s="36"/>
      <c r="N993" s="23"/>
      <c r="O993" s="23"/>
      <c r="P993" s="23"/>
      <c r="Q993" s="23"/>
      <c r="R993" s="23"/>
      <c r="S993" s="23"/>
      <c r="T993" s="23"/>
      <c r="U993" s="23"/>
      <c r="V993" s="36"/>
      <c r="W993" s="42"/>
      <c r="X993" s="42"/>
      <c r="Y993" s="23"/>
      <c r="Z993" s="42"/>
      <c r="AA993" s="42"/>
      <c r="AB993" s="23"/>
      <c r="AC993" s="23"/>
      <c r="AD993" s="23"/>
      <c r="AE993" s="36"/>
      <c r="AF993" s="23"/>
    </row>
    <row r="994" spans="1:32" ht="15.75" x14ac:dyDescent="0.25">
      <c r="A994" s="44"/>
      <c r="B994" s="23"/>
      <c r="C994" s="23"/>
      <c r="D994" s="36"/>
      <c r="E994" s="23"/>
      <c r="F994" s="23"/>
      <c r="G994" s="23"/>
      <c r="H994" s="23"/>
      <c r="I994" s="23"/>
      <c r="J994" s="23"/>
      <c r="K994" s="23"/>
      <c r="L994" s="23"/>
      <c r="M994" s="36"/>
      <c r="N994" s="23"/>
      <c r="O994" s="23"/>
      <c r="P994" s="23"/>
      <c r="Q994" s="23"/>
      <c r="R994" s="23"/>
      <c r="S994" s="23"/>
      <c r="T994" s="23"/>
      <c r="U994" s="23"/>
      <c r="V994" s="36"/>
      <c r="W994" s="42"/>
      <c r="X994" s="42"/>
      <c r="Y994" s="23"/>
      <c r="Z994" s="42"/>
      <c r="AA994" s="42"/>
      <c r="AB994" s="23"/>
      <c r="AC994" s="23"/>
      <c r="AD994" s="23"/>
      <c r="AE994" s="36"/>
      <c r="AF994" s="23"/>
    </row>
    <row r="995" spans="1:32" ht="15.75" x14ac:dyDescent="0.25">
      <c r="A995" s="44"/>
      <c r="B995" s="23"/>
      <c r="C995" s="23"/>
      <c r="D995" s="36"/>
      <c r="E995" s="23"/>
      <c r="F995" s="23"/>
      <c r="G995" s="23"/>
      <c r="H995" s="23"/>
      <c r="I995" s="23"/>
      <c r="J995" s="23"/>
      <c r="K995" s="23"/>
      <c r="L995" s="23"/>
      <c r="M995" s="36"/>
      <c r="N995" s="23"/>
      <c r="O995" s="23"/>
      <c r="P995" s="23"/>
      <c r="Q995" s="23"/>
      <c r="R995" s="23"/>
      <c r="S995" s="23"/>
      <c r="T995" s="23"/>
      <c r="U995" s="23"/>
      <c r="V995" s="36"/>
      <c r="W995" s="42"/>
      <c r="X995" s="42"/>
      <c r="Y995" s="23"/>
      <c r="Z995" s="42"/>
      <c r="AA995" s="42"/>
      <c r="AB995" s="23"/>
      <c r="AC995" s="23"/>
      <c r="AD995" s="23"/>
      <c r="AE995" s="36"/>
      <c r="AF995" s="23"/>
    </row>
    <row r="996" spans="1:32" ht="15.75" x14ac:dyDescent="0.25">
      <c r="A996" s="44"/>
      <c r="B996" s="23"/>
      <c r="C996" s="23"/>
      <c r="D996" s="36"/>
      <c r="E996" s="23"/>
      <c r="F996" s="23"/>
      <c r="G996" s="23"/>
      <c r="H996" s="23"/>
      <c r="I996" s="23"/>
      <c r="J996" s="23"/>
      <c r="K996" s="23"/>
      <c r="L996" s="23"/>
      <c r="M996" s="36"/>
      <c r="N996" s="23"/>
      <c r="O996" s="23"/>
      <c r="P996" s="23"/>
      <c r="Q996" s="23"/>
      <c r="R996" s="23"/>
      <c r="S996" s="23"/>
      <c r="T996" s="23"/>
      <c r="U996" s="23"/>
      <c r="V996" s="36"/>
      <c r="W996" s="42"/>
      <c r="X996" s="42"/>
      <c r="Y996" s="23"/>
      <c r="Z996" s="42"/>
      <c r="AA996" s="42"/>
      <c r="AB996" s="23"/>
      <c r="AC996" s="23"/>
      <c r="AD996" s="23"/>
      <c r="AE996" s="36"/>
      <c r="AF996" s="23"/>
    </row>
    <row r="997" spans="1:32" ht="15.75" x14ac:dyDescent="0.25">
      <c r="A997" s="44"/>
      <c r="B997" s="23"/>
      <c r="C997" s="23"/>
      <c r="D997" s="36"/>
      <c r="E997" s="23"/>
      <c r="F997" s="23"/>
      <c r="G997" s="23"/>
      <c r="H997" s="23"/>
      <c r="I997" s="23"/>
      <c r="J997" s="23"/>
      <c r="K997" s="23"/>
      <c r="L997" s="23"/>
      <c r="M997" s="36"/>
      <c r="N997" s="23"/>
      <c r="O997" s="23"/>
      <c r="P997" s="23"/>
      <c r="Q997" s="23"/>
      <c r="R997" s="23"/>
      <c r="S997" s="23"/>
      <c r="T997" s="23"/>
      <c r="U997" s="23"/>
      <c r="V997" s="36"/>
      <c r="W997" s="42"/>
      <c r="X997" s="42"/>
      <c r="Y997" s="23"/>
      <c r="Z997" s="42"/>
      <c r="AA997" s="42"/>
      <c r="AB997" s="23"/>
      <c r="AC997" s="23"/>
      <c r="AD997" s="23"/>
      <c r="AE997" s="36"/>
      <c r="AF997" s="23"/>
    </row>
    <row r="998" spans="1:32" ht="15.75" x14ac:dyDescent="0.25">
      <c r="A998" s="44"/>
      <c r="B998" s="23"/>
      <c r="C998" s="23"/>
      <c r="D998" s="36"/>
      <c r="E998" s="23"/>
      <c r="F998" s="23"/>
      <c r="G998" s="23"/>
      <c r="H998" s="23"/>
      <c r="I998" s="23"/>
      <c r="J998" s="23"/>
      <c r="K998" s="23"/>
      <c r="L998" s="23"/>
      <c r="M998" s="36"/>
      <c r="N998" s="23"/>
      <c r="O998" s="23"/>
      <c r="P998" s="23"/>
      <c r="Q998" s="23"/>
      <c r="R998" s="23"/>
      <c r="S998" s="23"/>
      <c r="T998" s="23"/>
      <c r="U998" s="23"/>
      <c r="V998" s="36"/>
      <c r="W998" s="42"/>
      <c r="X998" s="42"/>
      <c r="Y998" s="23"/>
      <c r="Z998" s="42"/>
      <c r="AA998" s="42"/>
      <c r="AB998" s="23"/>
      <c r="AC998" s="23"/>
      <c r="AD998" s="23"/>
      <c r="AE998" s="36"/>
      <c r="AF998" s="23"/>
    </row>
    <row r="999" spans="1:32" ht="15.75" x14ac:dyDescent="0.25">
      <c r="A999" s="44"/>
      <c r="B999" s="23"/>
      <c r="C999" s="23"/>
      <c r="D999" s="36"/>
      <c r="E999" s="23"/>
      <c r="F999" s="23"/>
      <c r="G999" s="23"/>
      <c r="H999" s="23"/>
      <c r="I999" s="23"/>
      <c r="J999" s="23"/>
      <c r="K999" s="23"/>
      <c r="L999" s="23"/>
      <c r="M999" s="36"/>
      <c r="N999" s="23"/>
      <c r="O999" s="23"/>
      <c r="P999" s="23"/>
      <c r="Q999" s="23"/>
      <c r="R999" s="23"/>
      <c r="S999" s="23"/>
      <c r="T999" s="23"/>
      <c r="U999" s="23"/>
      <c r="V999" s="36"/>
      <c r="W999" s="42"/>
      <c r="X999" s="42"/>
      <c r="Y999" s="23"/>
      <c r="Z999" s="42"/>
      <c r="AA999" s="42"/>
      <c r="AB999" s="23"/>
      <c r="AC999" s="23"/>
      <c r="AD999" s="23"/>
      <c r="AE999" s="36"/>
      <c r="AF999" s="23"/>
    </row>
    <row r="1000" spans="1:32" ht="15.75" x14ac:dyDescent="0.25">
      <c r="A1000" s="44"/>
      <c r="B1000" s="23"/>
      <c r="C1000" s="23"/>
      <c r="D1000" s="36"/>
      <c r="E1000" s="23"/>
      <c r="F1000" s="23"/>
      <c r="G1000" s="23"/>
      <c r="H1000" s="23"/>
      <c r="I1000" s="23"/>
      <c r="J1000" s="23"/>
      <c r="K1000" s="23"/>
      <c r="L1000" s="23"/>
      <c r="M1000" s="36"/>
      <c r="N1000" s="23"/>
      <c r="O1000" s="23"/>
      <c r="P1000" s="23"/>
      <c r="Q1000" s="23"/>
      <c r="R1000" s="23"/>
      <c r="S1000" s="23"/>
      <c r="T1000" s="23"/>
      <c r="U1000" s="23"/>
      <c r="V1000" s="36"/>
      <c r="W1000" s="42"/>
      <c r="X1000" s="42"/>
      <c r="Y1000" s="23"/>
      <c r="Z1000" s="42"/>
      <c r="AA1000" s="42"/>
      <c r="AB1000" s="23"/>
      <c r="AC1000" s="23"/>
      <c r="AD1000" s="23"/>
      <c r="AE1000" s="36"/>
      <c r="AF1000" s="23"/>
    </row>
    <row r="1001" spans="1:32" ht="15.75" x14ac:dyDescent="0.25">
      <c r="A1001" s="44"/>
      <c r="B1001" s="23"/>
      <c r="C1001" s="23"/>
      <c r="D1001" s="36"/>
      <c r="E1001" s="23"/>
      <c r="F1001" s="23"/>
      <c r="G1001" s="23"/>
      <c r="H1001" s="23"/>
      <c r="I1001" s="23"/>
      <c r="J1001" s="23"/>
      <c r="K1001" s="23"/>
      <c r="L1001" s="23"/>
      <c r="M1001" s="36"/>
      <c r="N1001" s="23"/>
      <c r="O1001" s="23"/>
      <c r="P1001" s="23"/>
      <c r="Q1001" s="23"/>
      <c r="R1001" s="23"/>
      <c r="S1001" s="23"/>
      <c r="T1001" s="23"/>
      <c r="U1001" s="23"/>
      <c r="V1001" s="36"/>
      <c r="W1001" s="42"/>
      <c r="X1001" s="42"/>
      <c r="Y1001" s="23"/>
      <c r="Z1001" s="42"/>
      <c r="AA1001" s="42"/>
      <c r="AB1001" s="23"/>
      <c r="AC1001" s="23"/>
      <c r="AD1001" s="23"/>
      <c r="AE1001" s="36"/>
      <c r="AF1001" s="23"/>
    </row>
    <row r="1002" spans="1:32" ht="15.75" x14ac:dyDescent="0.25">
      <c r="A1002" s="44"/>
      <c r="B1002" s="23"/>
      <c r="C1002" s="23"/>
      <c r="D1002" s="36"/>
      <c r="E1002" s="23"/>
      <c r="F1002" s="23"/>
      <c r="G1002" s="23"/>
      <c r="H1002" s="23"/>
      <c r="I1002" s="23"/>
      <c r="J1002" s="23"/>
      <c r="K1002" s="23"/>
      <c r="L1002" s="23"/>
      <c r="M1002" s="36"/>
      <c r="N1002" s="23"/>
      <c r="O1002" s="23"/>
      <c r="P1002" s="23"/>
      <c r="Q1002" s="23"/>
      <c r="R1002" s="23"/>
      <c r="S1002" s="23"/>
      <c r="T1002" s="23"/>
      <c r="U1002" s="23"/>
      <c r="V1002" s="36"/>
      <c r="W1002" s="42"/>
      <c r="X1002" s="42"/>
      <c r="Y1002" s="23"/>
      <c r="Z1002" s="42"/>
      <c r="AA1002" s="42"/>
      <c r="AB1002" s="23"/>
      <c r="AC1002" s="23"/>
      <c r="AD1002" s="23"/>
      <c r="AE1002" s="36"/>
      <c r="AF1002" s="23"/>
    </row>
    <row r="1003" spans="1:32" ht="15.75" x14ac:dyDescent="0.25">
      <c r="A1003" s="44"/>
      <c r="B1003" s="23"/>
      <c r="C1003" s="23"/>
      <c r="D1003" s="36"/>
      <c r="E1003" s="23"/>
      <c r="F1003" s="23"/>
      <c r="G1003" s="23"/>
      <c r="H1003" s="23"/>
      <c r="I1003" s="23"/>
      <c r="J1003" s="23"/>
      <c r="K1003" s="23"/>
      <c r="L1003" s="23"/>
      <c r="M1003" s="36"/>
      <c r="N1003" s="23"/>
      <c r="O1003" s="23"/>
      <c r="P1003" s="23"/>
      <c r="Q1003" s="23"/>
      <c r="R1003" s="23"/>
      <c r="S1003" s="23"/>
      <c r="T1003" s="23"/>
      <c r="U1003" s="23"/>
      <c r="V1003" s="36"/>
      <c r="W1003" s="42"/>
      <c r="X1003" s="42"/>
      <c r="Y1003" s="23"/>
      <c r="Z1003" s="42"/>
      <c r="AA1003" s="42"/>
      <c r="AB1003" s="23"/>
      <c r="AC1003" s="23"/>
      <c r="AD1003" s="23"/>
      <c r="AE1003" s="36"/>
      <c r="AF1003" s="23"/>
    </row>
    <row r="1004" spans="1:32" ht="15.75" x14ac:dyDescent="0.25">
      <c r="A1004" s="44"/>
      <c r="B1004" s="23"/>
      <c r="C1004" s="23"/>
      <c r="D1004" s="36"/>
      <c r="E1004" s="23"/>
      <c r="F1004" s="23"/>
      <c r="G1004" s="23"/>
      <c r="H1004" s="23"/>
      <c r="I1004" s="23"/>
      <c r="J1004" s="23"/>
      <c r="K1004" s="23"/>
      <c r="L1004" s="23"/>
      <c r="M1004" s="36"/>
      <c r="N1004" s="23"/>
      <c r="O1004" s="23"/>
      <c r="P1004" s="23"/>
      <c r="Q1004" s="23"/>
      <c r="R1004" s="23"/>
      <c r="S1004" s="23"/>
      <c r="T1004" s="23"/>
      <c r="U1004" s="23"/>
      <c r="V1004" s="36"/>
      <c r="W1004" s="42"/>
      <c r="X1004" s="42"/>
      <c r="Y1004" s="23"/>
      <c r="Z1004" s="42"/>
      <c r="AA1004" s="42"/>
      <c r="AB1004" s="23"/>
      <c r="AC1004" s="23"/>
      <c r="AD1004" s="23"/>
      <c r="AE1004" s="36"/>
      <c r="AF1004" s="23"/>
    </row>
    <row r="1005" spans="1:32" ht="15.75" x14ac:dyDescent="0.25">
      <c r="A1005" s="44"/>
      <c r="B1005" s="23"/>
      <c r="C1005" s="23"/>
      <c r="D1005" s="36"/>
      <c r="E1005" s="23"/>
      <c r="F1005" s="23"/>
      <c r="G1005" s="23"/>
      <c r="H1005" s="23"/>
      <c r="I1005" s="23"/>
      <c r="J1005" s="23"/>
      <c r="K1005" s="23"/>
      <c r="L1005" s="23"/>
      <c r="M1005" s="36"/>
      <c r="N1005" s="23"/>
      <c r="O1005" s="23"/>
      <c r="P1005" s="23"/>
      <c r="Q1005" s="23"/>
      <c r="R1005" s="23"/>
      <c r="S1005" s="23"/>
      <c r="T1005" s="23"/>
      <c r="U1005" s="23"/>
      <c r="V1005" s="36"/>
      <c r="W1005" s="42"/>
      <c r="X1005" s="42"/>
      <c r="Y1005" s="23"/>
      <c r="Z1005" s="42"/>
      <c r="AA1005" s="42"/>
      <c r="AB1005" s="23"/>
      <c r="AC1005" s="23"/>
      <c r="AD1005" s="23"/>
      <c r="AE1005" s="36"/>
      <c r="AF1005" s="23"/>
    </row>
    <row r="1006" spans="1:32" ht="15.75" x14ac:dyDescent="0.25">
      <c r="A1006" s="44"/>
      <c r="B1006" s="23"/>
      <c r="C1006" s="23"/>
      <c r="D1006" s="36"/>
      <c r="E1006" s="23"/>
      <c r="F1006" s="23"/>
      <c r="G1006" s="23"/>
      <c r="H1006" s="23"/>
      <c r="I1006" s="23"/>
      <c r="J1006" s="23"/>
      <c r="K1006" s="23"/>
      <c r="L1006" s="23"/>
      <c r="M1006" s="36"/>
      <c r="N1006" s="23"/>
      <c r="O1006" s="23"/>
      <c r="P1006" s="23"/>
      <c r="Q1006" s="23"/>
      <c r="R1006" s="23"/>
      <c r="S1006" s="23"/>
      <c r="T1006" s="23"/>
      <c r="U1006" s="23"/>
      <c r="V1006" s="36"/>
      <c r="W1006" s="42"/>
      <c r="X1006" s="42"/>
      <c r="Y1006" s="23"/>
      <c r="Z1006" s="42"/>
      <c r="AA1006" s="42"/>
      <c r="AB1006" s="23"/>
      <c r="AC1006" s="23"/>
      <c r="AD1006" s="23"/>
      <c r="AE1006" s="36"/>
      <c r="AF1006" s="23"/>
    </row>
    <row r="1007" spans="1:32" ht="15.75" x14ac:dyDescent="0.25">
      <c r="A1007" s="44"/>
      <c r="B1007" s="23"/>
      <c r="C1007" s="23"/>
      <c r="D1007" s="36"/>
      <c r="E1007" s="23"/>
      <c r="F1007" s="23"/>
      <c r="G1007" s="23"/>
      <c r="H1007" s="23"/>
      <c r="I1007" s="23"/>
      <c r="J1007" s="23"/>
      <c r="K1007" s="23"/>
      <c r="L1007" s="23"/>
      <c r="M1007" s="36"/>
      <c r="N1007" s="23"/>
      <c r="O1007" s="23"/>
      <c r="P1007" s="23"/>
      <c r="Q1007" s="23"/>
      <c r="R1007" s="23"/>
      <c r="S1007" s="23"/>
      <c r="T1007" s="23"/>
      <c r="U1007" s="23"/>
      <c r="V1007" s="36"/>
      <c r="W1007" s="42"/>
      <c r="X1007" s="42"/>
      <c r="Y1007" s="23"/>
      <c r="Z1007" s="42"/>
      <c r="AA1007" s="42"/>
      <c r="AB1007" s="23"/>
      <c r="AC1007" s="23"/>
      <c r="AD1007" s="23"/>
      <c r="AE1007" s="36"/>
      <c r="AF1007" s="23"/>
    </row>
    <row r="1008" spans="1:32" ht="15.75" x14ac:dyDescent="0.25">
      <c r="A1008" s="44"/>
      <c r="B1008" s="23"/>
      <c r="C1008" s="23"/>
      <c r="D1008" s="36"/>
      <c r="E1008" s="23"/>
      <c r="F1008" s="23"/>
      <c r="G1008" s="23"/>
      <c r="H1008" s="23"/>
      <c r="I1008" s="23"/>
      <c r="J1008" s="23"/>
      <c r="K1008" s="23"/>
      <c r="L1008" s="23"/>
      <c r="M1008" s="36"/>
      <c r="N1008" s="23"/>
      <c r="O1008" s="23"/>
      <c r="P1008" s="23"/>
      <c r="Q1008" s="23"/>
      <c r="R1008" s="23"/>
      <c r="S1008" s="23"/>
      <c r="T1008" s="23"/>
      <c r="U1008" s="23"/>
      <c r="V1008" s="36"/>
      <c r="W1008" s="42"/>
      <c r="X1008" s="42"/>
      <c r="Y1008" s="23"/>
      <c r="Z1008" s="42"/>
      <c r="AA1008" s="42"/>
      <c r="AB1008" s="23"/>
      <c r="AC1008" s="23"/>
      <c r="AD1008" s="23"/>
      <c r="AE1008" s="36"/>
      <c r="AF1008" s="23"/>
    </row>
    <row r="1009" spans="1:32" ht="15.75" x14ac:dyDescent="0.25">
      <c r="A1009" s="44"/>
      <c r="B1009" s="23"/>
      <c r="C1009" s="23"/>
      <c r="D1009" s="36"/>
      <c r="E1009" s="23"/>
      <c r="F1009" s="23"/>
      <c r="G1009" s="23"/>
      <c r="H1009" s="23"/>
      <c r="I1009" s="23"/>
      <c r="J1009" s="23"/>
      <c r="K1009" s="23"/>
      <c r="L1009" s="23"/>
      <c r="M1009" s="36"/>
      <c r="N1009" s="23"/>
      <c r="O1009" s="23"/>
      <c r="P1009" s="23"/>
      <c r="Q1009" s="23"/>
      <c r="R1009" s="23"/>
      <c r="S1009" s="23"/>
      <c r="T1009" s="23"/>
      <c r="U1009" s="23"/>
      <c r="V1009" s="36"/>
      <c r="W1009" s="42"/>
      <c r="X1009" s="42"/>
      <c r="Y1009" s="23"/>
      <c r="Z1009" s="42"/>
      <c r="AA1009" s="42"/>
      <c r="AB1009" s="23"/>
      <c r="AC1009" s="23"/>
      <c r="AD1009" s="23"/>
      <c r="AE1009" s="36"/>
      <c r="AF1009" s="23"/>
    </row>
    <row r="1010" spans="1:32" ht="15.75" x14ac:dyDescent="0.25">
      <c r="A1010" s="44"/>
      <c r="B1010" s="23"/>
      <c r="C1010" s="23"/>
      <c r="D1010" s="36"/>
      <c r="E1010" s="23"/>
      <c r="F1010" s="23"/>
      <c r="G1010" s="23"/>
      <c r="H1010" s="23"/>
      <c r="I1010" s="23"/>
      <c r="J1010" s="23"/>
      <c r="K1010" s="23"/>
      <c r="L1010" s="23"/>
      <c r="M1010" s="36"/>
      <c r="N1010" s="23"/>
      <c r="O1010" s="23"/>
      <c r="P1010" s="23"/>
      <c r="Q1010" s="23"/>
      <c r="R1010" s="23"/>
      <c r="S1010" s="23"/>
      <c r="T1010" s="23"/>
      <c r="U1010" s="23"/>
      <c r="V1010" s="36"/>
      <c r="W1010" s="42"/>
      <c r="X1010" s="42"/>
      <c r="Y1010" s="23"/>
      <c r="Z1010" s="42"/>
      <c r="AA1010" s="42"/>
      <c r="AB1010" s="23"/>
      <c r="AC1010" s="23"/>
      <c r="AD1010" s="23"/>
      <c r="AE1010" s="36"/>
      <c r="AF1010" s="23"/>
    </row>
    <row r="1011" spans="1:32" ht="15.75" x14ac:dyDescent="0.25">
      <c r="A1011" s="44"/>
      <c r="B1011" s="23"/>
      <c r="C1011" s="23"/>
      <c r="D1011" s="36"/>
      <c r="E1011" s="23"/>
      <c r="F1011" s="23"/>
      <c r="G1011" s="23"/>
      <c r="H1011" s="23"/>
      <c r="I1011" s="23"/>
      <c r="J1011" s="23"/>
      <c r="K1011" s="23"/>
      <c r="L1011" s="23"/>
      <c r="M1011" s="36"/>
      <c r="N1011" s="23"/>
      <c r="O1011" s="23"/>
      <c r="P1011" s="23"/>
      <c r="Q1011" s="23"/>
      <c r="R1011" s="23"/>
      <c r="S1011" s="23"/>
      <c r="T1011" s="23"/>
      <c r="U1011" s="23"/>
      <c r="V1011" s="36"/>
      <c r="W1011" s="42"/>
      <c r="X1011" s="42"/>
      <c r="Y1011" s="23"/>
      <c r="Z1011" s="42"/>
      <c r="AA1011" s="42"/>
      <c r="AB1011" s="23"/>
      <c r="AC1011" s="23"/>
      <c r="AD1011" s="23"/>
      <c r="AE1011" s="36"/>
      <c r="AF1011" s="23"/>
    </row>
    <row r="1012" spans="1:32" ht="15.75" x14ac:dyDescent="0.25">
      <c r="A1012" s="44"/>
      <c r="B1012" s="23"/>
      <c r="C1012" s="23"/>
      <c r="D1012" s="36"/>
      <c r="E1012" s="23"/>
      <c r="F1012" s="23"/>
      <c r="G1012" s="23"/>
      <c r="H1012" s="23"/>
      <c r="I1012" s="23"/>
      <c r="J1012" s="23"/>
      <c r="K1012" s="23"/>
      <c r="L1012" s="23"/>
      <c r="M1012" s="36"/>
      <c r="N1012" s="23"/>
      <c r="O1012" s="23"/>
      <c r="P1012" s="23"/>
      <c r="Q1012" s="23"/>
      <c r="R1012" s="23"/>
      <c r="S1012" s="23"/>
      <c r="T1012" s="23"/>
      <c r="U1012" s="23"/>
      <c r="V1012" s="36"/>
      <c r="W1012" s="42"/>
      <c r="X1012" s="42"/>
      <c r="Y1012" s="23"/>
      <c r="Z1012" s="42"/>
      <c r="AA1012" s="42"/>
      <c r="AB1012" s="23"/>
      <c r="AC1012" s="23"/>
      <c r="AD1012" s="23"/>
      <c r="AE1012" s="36"/>
      <c r="AF1012" s="23"/>
    </row>
    <row r="1013" spans="1:32" ht="15.75" x14ac:dyDescent="0.25">
      <c r="A1013" s="44"/>
      <c r="B1013" s="23"/>
      <c r="C1013" s="23"/>
      <c r="D1013" s="36"/>
      <c r="E1013" s="23"/>
      <c r="F1013" s="23"/>
      <c r="G1013" s="23"/>
      <c r="H1013" s="23"/>
      <c r="I1013" s="23"/>
      <c r="J1013" s="23"/>
      <c r="K1013" s="23"/>
      <c r="L1013" s="23"/>
      <c r="M1013" s="36"/>
      <c r="N1013" s="23"/>
      <c r="O1013" s="23"/>
      <c r="P1013" s="23"/>
      <c r="Q1013" s="23"/>
      <c r="R1013" s="23"/>
      <c r="S1013" s="23"/>
      <c r="T1013" s="23"/>
      <c r="U1013" s="23"/>
      <c r="V1013" s="36"/>
      <c r="W1013" s="42"/>
      <c r="X1013" s="42"/>
      <c r="Y1013" s="23"/>
      <c r="Z1013" s="42"/>
      <c r="AA1013" s="42"/>
      <c r="AB1013" s="23"/>
      <c r="AC1013" s="23"/>
      <c r="AD1013" s="23"/>
      <c r="AE1013" s="36"/>
      <c r="AF1013" s="23"/>
    </row>
    <row r="1014" spans="1:32" ht="15.75" x14ac:dyDescent="0.25">
      <c r="A1014" s="44"/>
      <c r="B1014" s="23"/>
      <c r="C1014" s="23"/>
      <c r="D1014" s="36"/>
      <c r="E1014" s="23"/>
      <c r="F1014" s="23"/>
      <c r="G1014" s="23"/>
      <c r="H1014" s="23"/>
      <c r="I1014" s="23"/>
      <c r="J1014" s="23"/>
      <c r="K1014" s="23"/>
      <c r="L1014" s="23"/>
      <c r="M1014" s="36"/>
      <c r="N1014" s="23"/>
      <c r="O1014" s="23"/>
      <c r="P1014" s="23"/>
      <c r="Q1014" s="23"/>
      <c r="R1014" s="23"/>
      <c r="S1014" s="23"/>
      <c r="T1014" s="23"/>
      <c r="U1014" s="23"/>
      <c r="V1014" s="36"/>
      <c r="W1014" s="42"/>
      <c r="X1014" s="42"/>
      <c r="Y1014" s="23"/>
      <c r="Z1014" s="42"/>
      <c r="AA1014" s="42"/>
      <c r="AB1014" s="23"/>
      <c r="AC1014" s="23"/>
      <c r="AD1014" s="23"/>
      <c r="AE1014" s="36"/>
      <c r="AF1014" s="23"/>
    </row>
    <row r="1015" spans="1:32" ht="15.75" x14ac:dyDescent="0.25">
      <c r="A1015" s="44"/>
      <c r="B1015" s="23"/>
      <c r="C1015" s="23"/>
      <c r="D1015" s="36"/>
      <c r="E1015" s="23"/>
      <c r="F1015" s="23"/>
      <c r="G1015" s="23"/>
      <c r="H1015" s="23"/>
      <c r="I1015" s="23"/>
      <c r="J1015" s="23"/>
      <c r="K1015" s="23"/>
      <c r="L1015" s="23"/>
      <c r="M1015" s="36"/>
      <c r="N1015" s="23"/>
      <c r="O1015" s="23"/>
      <c r="P1015" s="23"/>
      <c r="Q1015" s="23"/>
      <c r="R1015" s="23"/>
      <c r="S1015" s="23"/>
      <c r="T1015" s="23"/>
      <c r="U1015" s="23"/>
      <c r="V1015" s="36"/>
      <c r="W1015" s="42"/>
      <c r="X1015" s="42"/>
      <c r="Y1015" s="23"/>
      <c r="Z1015" s="42"/>
      <c r="AA1015" s="42"/>
      <c r="AB1015" s="23"/>
      <c r="AC1015" s="23"/>
      <c r="AD1015" s="23"/>
      <c r="AE1015" s="36"/>
      <c r="AF1015" s="23"/>
    </row>
    <row r="1016" spans="1:32" ht="15.75" x14ac:dyDescent="0.25">
      <c r="A1016" s="44"/>
      <c r="B1016" s="23"/>
      <c r="C1016" s="23"/>
      <c r="D1016" s="36"/>
      <c r="E1016" s="23"/>
      <c r="F1016" s="23"/>
      <c r="G1016" s="23"/>
      <c r="H1016" s="23"/>
      <c r="I1016" s="23"/>
      <c r="J1016" s="23"/>
      <c r="K1016" s="23"/>
      <c r="L1016" s="23"/>
      <c r="M1016" s="36"/>
      <c r="N1016" s="23"/>
      <c r="O1016" s="23"/>
      <c r="P1016" s="23"/>
      <c r="Q1016" s="23"/>
      <c r="R1016" s="23"/>
      <c r="S1016" s="23"/>
      <c r="T1016" s="23"/>
      <c r="U1016" s="23"/>
      <c r="V1016" s="36"/>
      <c r="W1016" s="42"/>
      <c r="X1016" s="42"/>
      <c r="Y1016" s="23"/>
      <c r="Z1016" s="42"/>
      <c r="AA1016" s="42"/>
      <c r="AB1016" s="23"/>
      <c r="AC1016" s="23"/>
      <c r="AD1016" s="23"/>
      <c r="AE1016" s="36"/>
      <c r="AF1016" s="23"/>
    </row>
    <row r="1017" spans="1:32" ht="15.75" x14ac:dyDescent="0.25">
      <c r="A1017" s="44"/>
      <c r="B1017" s="23"/>
      <c r="C1017" s="23"/>
      <c r="D1017" s="36"/>
      <c r="E1017" s="23"/>
      <c r="F1017" s="23"/>
      <c r="G1017" s="23"/>
      <c r="H1017" s="23"/>
      <c r="I1017" s="23"/>
      <c r="J1017" s="23"/>
      <c r="K1017" s="23"/>
      <c r="L1017" s="23"/>
      <c r="M1017" s="36"/>
      <c r="N1017" s="23"/>
      <c r="O1017" s="23"/>
      <c r="P1017" s="23"/>
      <c r="Q1017" s="23"/>
      <c r="R1017" s="23"/>
      <c r="S1017" s="23"/>
      <c r="T1017" s="23"/>
      <c r="U1017" s="23"/>
      <c r="V1017" s="36"/>
      <c r="W1017" s="42"/>
      <c r="X1017" s="42"/>
      <c r="Y1017" s="23"/>
      <c r="Z1017" s="42"/>
      <c r="AA1017" s="42"/>
      <c r="AB1017" s="23"/>
      <c r="AC1017" s="23"/>
      <c r="AD1017" s="23"/>
      <c r="AE1017" s="36"/>
      <c r="AF1017" s="23"/>
    </row>
    <row r="1018" spans="1:32" ht="15.75" x14ac:dyDescent="0.25">
      <c r="A1018" s="44"/>
      <c r="B1018" s="23"/>
      <c r="C1018" s="23"/>
      <c r="D1018" s="36"/>
      <c r="E1018" s="23"/>
      <c r="F1018" s="23"/>
      <c r="G1018" s="23"/>
      <c r="H1018" s="23"/>
      <c r="I1018" s="23"/>
      <c r="J1018" s="23"/>
      <c r="K1018" s="23"/>
      <c r="L1018" s="23"/>
      <c r="M1018" s="36"/>
      <c r="N1018" s="23"/>
      <c r="O1018" s="23"/>
      <c r="P1018" s="23"/>
      <c r="Q1018" s="23"/>
      <c r="R1018" s="23"/>
      <c r="S1018" s="23"/>
      <c r="T1018" s="23"/>
      <c r="U1018" s="23"/>
      <c r="V1018" s="36"/>
      <c r="W1018" s="42"/>
      <c r="X1018" s="42"/>
      <c r="Y1018" s="23"/>
      <c r="Z1018" s="42"/>
      <c r="AA1018" s="42"/>
      <c r="AB1018" s="23"/>
      <c r="AC1018" s="23"/>
      <c r="AD1018" s="23"/>
      <c r="AE1018" s="36"/>
      <c r="AF1018" s="23"/>
    </row>
    <row r="1019" spans="1:32" ht="15.75" x14ac:dyDescent="0.25">
      <c r="A1019" s="44"/>
      <c r="B1019" s="23"/>
      <c r="C1019" s="23"/>
      <c r="D1019" s="36"/>
      <c r="E1019" s="23"/>
      <c r="F1019" s="23"/>
      <c r="G1019" s="23"/>
      <c r="H1019" s="23"/>
      <c r="I1019" s="23"/>
      <c r="J1019" s="23"/>
      <c r="K1019" s="23"/>
      <c r="L1019" s="23"/>
      <c r="M1019" s="36"/>
      <c r="N1019" s="23"/>
      <c r="O1019" s="23"/>
      <c r="P1019" s="23"/>
      <c r="Q1019" s="23"/>
      <c r="R1019" s="23"/>
      <c r="S1019" s="23"/>
      <c r="T1019" s="23"/>
      <c r="U1019" s="23"/>
      <c r="V1019" s="36"/>
      <c r="W1019" s="42"/>
      <c r="X1019" s="42"/>
      <c r="Y1019" s="23"/>
      <c r="Z1019" s="42"/>
      <c r="AA1019" s="42"/>
      <c r="AB1019" s="23"/>
      <c r="AC1019" s="23"/>
      <c r="AD1019" s="23"/>
      <c r="AE1019" s="36"/>
      <c r="AF1019" s="23"/>
    </row>
    <row r="1020" spans="1:32" ht="15.75" x14ac:dyDescent="0.25">
      <c r="A1020" s="44"/>
      <c r="B1020" s="23"/>
      <c r="C1020" s="23"/>
      <c r="D1020" s="36"/>
      <c r="E1020" s="23"/>
      <c r="F1020" s="23"/>
      <c r="G1020" s="23"/>
      <c r="H1020" s="23"/>
      <c r="I1020" s="23"/>
      <c r="J1020" s="23"/>
      <c r="K1020" s="23"/>
      <c r="L1020" s="23"/>
      <c r="M1020" s="36"/>
      <c r="N1020" s="23"/>
      <c r="O1020" s="23"/>
      <c r="P1020" s="23"/>
      <c r="Q1020" s="23"/>
      <c r="R1020" s="23"/>
      <c r="S1020" s="23"/>
      <c r="T1020" s="23"/>
      <c r="U1020" s="23"/>
      <c r="V1020" s="36"/>
      <c r="W1020" s="42"/>
      <c r="X1020" s="42"/>
      <c r="Y1020" s="23"/>
      <c r="Z1020" s="42"/>
      <c r="AA1020" s="42"/>
      <c r="AB1020" s="23"/>
      <c r="AC1020" s="23"/>
      <c r="AD1020" s="23"/>
      <c r="AE1020" s="36"/>
      <c r="AF1020" s="23"/>
    </row>
    <row r="1021" spans="1:32" ht="15.75" x14ac:dyDescent="0.25">
      <c r="A1021" s="44"/>
      <c r="B1021" s="23"/>
      <c r="C1021" s="23"/>
      <c r="D1021" s="36"/>
      <c r="E1021" s="23"/>
      <c r="F1021" s="23"/>
      <c r="G1021" s="23"/>
      <c r="H1021" s="23"/>
      <c r="I1021" s="23"/>
      <c r="J1021" s="23"/>
      <c r="K1021" s="23"/>
      <c r="L1021" s="23"/>
      <c r="M1021" s="36"/>
      <c r="N1021" s="23"/>
      <c r="O1021" s="23"/>
      <c r="P1021" s="23"/>
      <c r="Q1021" s="23"/>
      <c r="R1021" s="23"/>
      <c r="S1021" s="23"/>
      <c r="T1021" s="23"/>
      <c r="U1021" s="23"/>
      <c r="V1021" s="36"/>
      <c r="W1021" s="42"/>
      <c r="X1021" s="42"/>
      <c r="Y1021" s="23"/>
      <c r="Z1021" s="42"/>
      <c r="AA1021" s="42"/>
      <c r="AB1021" s="23"/>
      <c r="AC1021" s="23"/>
      <c r="AD1021" s="23"/>
      <c r="AE1021" s="36"/>
      <c r="AF1021" s="23"/>
    </row>
    <row r="1022" spans="1:32" ht="15.75" x14ac:dyDescent="0.25">
      <c r="A1022" s="44"/>
      <c r="B1022" s="23"/>
      <c r="C1022" s="23"/>
      <c r="D1022" s="36"/>
      <c r="E1022" s="23"/>
      <c r="F1022" s="23"/>
      <c r="G1022" s="23"/>
      <c r="H1022" s="23"/>
      <c r="I1022" s="23"/>
      <c r="J1022" s="23"/>
      <c r="K1022" s="23"/>
      <c r="L1022" s="23"/>
      <c r="M1022" s="36"/>
      <c r="N1022" s="23"/>
      <c r="O1022" s="23"/>
      <c r="P1022" s="23"/>
      <c r="Q1022" s="23"/>
      <c r="R1022" s="23"/>
      <c r="S1022" s="23"/>
      <c r="T1022" s="23"/>
      <c r="U1022" s="23"/>
      <c r="V1022" s="36"/>
      <c r="W1022" s="42"/>
      <c r="X1022" s="42"/>
      <c r="Y1022" s="23"/>
      <c r="Z1022" s="42"/>
      <c r="AA1022" s="42"/>
      <c r="AB1022" s="23"/>
      <c r="AC1022" s="23"/>
      <c r="AD1022" s="23"/>
      <c r="AE1022" s="36"/>
      <c r="AF1022" s="23"/>
    </row>
    <row r="1023" spans="1:32" ht="15.75" x14ac:dyDescent="0.25">
      <c r="A1023" s="44"/>
      <c r="B1023" s="23"/>
      <c r="C1023" s="23"/>
      <c r="D1023" s="36"/>
      <c r="E1023" s="23"/>
      <c r="F1023" s="23"/>
      <c r="G1023" s="23"/>
      <c r="H1023" s="23"/>
      <c r="I1023" s="23"/>
      <c r="J1023" s="23"/>
      <c r="K1023" s="23"/>
      <c r="L1023" s="23"/>
      <c r="M1023" s="36"/>
      <c r="N1023" s="23"/>
      <c r="O1023" s="23"/>
      <c r="P1023" s="23"/>
      <c r="Q1023" s="23"/>
      <c r="R1023" s="23"/>
      <c r="S1023" s="23"/>
      <c r="T1023" s="23"/>
      <c r="U1023" s="23"/>
      <c r="V1023" s="36"/>
      <c r="W1023" s="42"/>
      <c r="X1023" s="42"/>
      <c r="Y1023" s="23"/>
      <c r="Z1023" s="42"/>
      <c r="AA1023" s="42"/>
      <c r="AB1023" s="23"/>
      <c r="AC1023" s="23"/>
      <c r="AD1023" s="23"/>
      <c r="AE1023" s="36"/>
      <c r="AF1023" s="23"/>
    </row>
    <row r="1024" spans="1:32" ht="15.75" x14ac:dyDescent="0.25">
      <c r="A1024" s="44"/>
      <c r="B1024" s="23"/>
      <c r="C1024" s="23"/>
      <c r="D1024" s="36"/>
      <c r="E1024" s="23"/>
      <c r="F1024" s="23"/>
      <c r="G1024" s="23"/>
      <c r="H1024" s="23"/>
      <c r="I1024" s="23"/>
      <c r="J1024" s="23"/>
      <c r="K1024" s="23"/>
      <c r="L1024" s="23"/>
      <c r="M1024" s="36"/>
      <c r="N1024" s="23"/>
      <c r="O1024" s="23"/>
      <c r="P1024" s="23"/>
      <c r="Q1024" s="23"/>
      <c r="R1024" s="23"/>
      <c r="S1024" s="23"/>
      <c r="T1024" s="23"/>
      <c r="U1024" s="23"/>
      <c r="V1024" s="36"/>
      <c r="W1024" s="42"/>
      <c r="X1024" s="42"/>
      <c r="Y1024" s="23"/>
      <c r="Z1024" s="42"/>
      <c r="AA1024" s="42"/>
      <c r="AB1024" s="23"/>
      <c r="AC1024" s="23"/>
      <c r="AD1024" s="23"/>
      <c r="AE1024" s="36"/>
      <c r="AF1024" s="23"/>
    </row>
    <row r="1025" spans="1:32" ht="15.75" x14ac:dyDescent="0.25">
      <c r="A1025" s="44"/>
      <c r="B1025" s="23"/>
      <c r="C1025" s="23"/>
      <c r="D1025" s="36"/>
      <c r="E1025" s="23"/>
      <c r="F1025" s="23"/>
      <c r="G1025" s="23"/>
      <c r="H1025" s="23"/>
      <c r="I1025" s="23"/>
      <c r="J1025" s="23"/>
      <c r="K1025" s="23"/>
      <c r="L1025" s="23"/>
      <c r="M1025" s="36"/>
      <c r="N1025" s="23"/>
      <c r="O1025" s="23"/>
      <c r="P1025" s="23"/>
      <c r="Q1025" s="23"/>
      <c r="R1025" s="23"/>
      <c r="S1025" s="23"/>
      <c r="T1025" s="23"/>
      <c r="U1025" s="23"/>
      <c r="V1025" s="36"/>
      <c r="W1025" s="42"/>
      <c r="X1025" s="42"/>
      <c r="Y1025" s="23"/>
      <c r="Z1025" s="42"/>
      <c r="AA1025" s="42"/>
      <c r="AB1025" s="23"/>
      <c r="AC1025" s="23"/>
      <c r="AD1025" s="23"/>
      <c r="AE1025" s="36"/>
      <c r="AF1025" s="23"/>
    </row>
    <row r="1026" spans="1:32" ht="15.75" x14ac:dyDescent="0.25">
      <c r="A1026" s="44"/>
      <c r="B1026" s="23"/>
      <c r="C1026" s="23"/>
      <c r="D1026" s="36"/>
      <c r="E1026" s="23"/>
      <c r="F1026" s="23"/>
      <c r="G1026" s="23"/>
      <c r="H1026" s="23"/>
      <c r="I1026" s="23"/>
      <c r="J1026" s="23"/>
      <c r="K1026" s="23"/>
      <c r="L1026" s="23"/>
      <c r="M1026" s="36"/>
      <c r="N1026" s="23"/>
      <c r="O1026" s="23"/>
      <c r="P1026" s="23"/>
      <c r="Q1026" s="23"/>
      <c r="R1026" s="23"/>
      <c r="S1026" s="23"/>
      <c r="T1026" s="23"/>
      <c r="U1026" s="23"/>
      <c r="V1026" s="36"/>
      <c r="W1026" s="42"/>
      <c r="X1026" s="42"/>
      <c r="Y1026" s="23"/>
      <c r="Z1026" s="42"/>
      <c r="AA1026" s="42"/>
      <c r="AB1026" s="23"/>
      <c r="AC1026" s="23"/>
      <c r="AD1026" s="23"/>
      <c r="AE1026" s="36"/>
      <c r="AF1026" s="23"/>
    </row>
    <row r="1027" spans="1:32" ht="15.75" x14ac:dyDescent="0.25">
      <c r="A1027" s="44"/>
      <c r="B1027" s="23"/>
      <c r="C1027" s="23"/>
      <c r="D1027" s="36"/>
      <c r="E1027" s="23"/>
      <c r="F1027" s="23"/>
      <c r="G1027" s="23"/>
      <c r="H1027" s="23"/>
      <c r="I1027" s="23"/>
      <c r="J1027" s="23"/>
      <c r="K1027" s="23"/>
      <c r="L1027" s="23"/>
      <c r="M1027" s="36"/>
      <c r="N1027" s="23"/>
      <c r="O1027" s="23"/>
      <c r="P1027" s="23"/>
      <c r="Q1027" s="23"/>
      <c r="R1027" s="23"/>
      <c r="S1027" s="23"/>
      <c r="T1027" s="23"/>
      <c r="U1027" s="23"/>
      <c r="V1027" s="36"/>
      <c r="W1027" s="42"/>
      <c r="X1027" s="42"/>
      <c r="Y1027" s="23"/>
      <c r="Z1027" s="42"/>
      <c r="AA1027" s="42"/>
      <c r="AB1027" s="23"/>
      <c r="AC1027" s="23"/>
      <c r="AD1027" s="23"/>
      <c r="AE1027" s="36"/>
      <c r="AF1027" s="23"/>
    </row>
    <row r="1028" spans="1:32" ht="15.75" x14ac:dyDescent="0.25">
      <c r="A1028" s="44"/>
      <c r="B1028" s="23"/>
      <c r="C1028" s="23"/>
      <c r="D1028" s="36"/>
      <c r="E1028" s="23"/>
      <c r="F1028" s="23"/>
      <c r="G1028" s="23"/>
      <c r="H1028" s="23"/>
      <c r="I1028" s="23"/>
      <c r="J1028" s="23"/>
      <c r="K1028" s="23"/>
      <c r="L1028" s="23"/>
      <c r="M1028" s="36"/>
      <c r="N1028" s="23"/>
      <c r="O1028" s="23"/>
      <c r="P1028" s="23"/>
      <c r="Q1028" s="23"/>
      <c r="R1028" s="23"/>
      <c r="S1028" s="23"/>
      <c r="T1028" s="23"/>
      <c r="U1028" s="23"/>
      <c r="V1028" s="36"/>
      <c r="W1028" s="42"/>
      <c r="X1028" s="42"/>
      <c r="Y1028" s="23"/>
      <c r="Z1028" s="42"/>
      <c r="AA1028" s="42"/>
      <c r="AB1028" s="23"/>
      <c r="AC1028" s="23"/>
      <c r="AD1028" s="23"/>
      <c r="AE1028" s="36"/>
      <c r="AF1028" s="23"/>
    </row>
    <row r="1029" spans="1:32" ht="15.75" x14ac:dyDescent="0.25">
      <c r="A1029" s="44"/>
      <c r="B1029" s="23"/>
      <c r="C1029" s="23"/>
      <c r="D1029" s="36"/>
      <c r="E1029" s="23"/>
      <c r="F1029" s="23"/>
      <c r="G1029" s="23"/>
      <c r="H1029" s="23"/>
      <c r="I1029" s="23"/>
      <c r="J1029" s="23"/>
      <c r="K1029" s="23"/>
      <c r="L1029" s="23"/>
      <c r="M1029" s="36"/>
      <c r="N1029" s="23"/>
      <c r="O1029" s="23"/>
      <c r="P1029" s="23"/>
      <c r="Q1029" s="23"/>
      <c r="R1029" s="23"/>
      <c r="S1029" s="23"/>
      <c r="T1029" s="23"/>
      <c r="U1029" s="23"/>
      <c r="V1029" s="36"/>
      <c r="W1029" s="42"/>
      <c r="X1029" s="42"/>
      <c r="Y1029" s="23"/>
      <c r="Z1029" s="42"/>
      <c r="AA1029" s="42"/>
      <c r="AB1029" s="23"/>
      <c r="AC1029" s="23"/>
      <c r="AD1029" s="23"/>
      <c r="AE1029" s="36"/>
      <c r="AF1029" s="23"/>
    </row>
    <row r="1030" spans="1:32" ht="15.75" x14ac:dyDescent="0.25">
      <c r="A1030" s="44"/>
      <c r="B1030" s="23"/>
      <c r="C1030" s="23"/>
      <c r="D1030" s="36"/>
      <c r="E1030" s="23"/>
      <c r="F1030" s="23"/>
      <c r="G1030" s="23"/>
      <c r="H1030" s="23"/>
      <c r="I1030" s="23"/>
      <c r="J1030" s="23"/>
      <c r="K1030" s="23"/>
      <c r="L1030" s="23"/>
      <c r="M1030" s="36"/>
      <c r="N1030" s="23"/>
      <c r="O1030" s="23"/>
      <c r="P1030" s="23"/>
      <c r="Q1030" s="23"/>
      <c r="R1030" s="23"/>
      <c r="S1030" s="23"/>
      <c r="T1030" s="23"/>
      <c r="U1030" s="23"/>
      <c r="V1030" s="36"/>
      <c r="W1030" s="42"/>
      <c r="X1030" s="42"/>
      <c r="Y1030" s="23"/>
      <c r="Z1030" s="42"/>
      <c r="AA1030" s="42"/>
      <c r="AB1030" s="23"/>
      <c r="AC1030" s="23"/>
      <c r="AD1030" s="23"/>
      <c r="AE1030" s="36"/>
      <c r="AF1030" s="23"/>
    </row>
    <row r="1031" spans="1:32" ht="15.75" x14ac:dyDescent="0.25">
      <c r="A1031" s="44"/>
      <c r="B1031" s="23"/>
      <c r="C1031" s="23"/>
      <c r="D1031" s="36"/>
      <c r="E1031" s="23"/>
      <c r="F1031" s="23"/>
      <c r="G1031" s="23"/>
      <c r="H1031" s="23"/>
      <c r="I1031" s="23"/>
      <c r="J1031" s="23"/>
      <c r="K1031" s="23"/>
      <c r="L1031" s="23"/>
      <c r="M1031" s="36"/>
      <c r="N1031" s="23"/>
      <c r="O1031" s="23"/>
      <c r="P1031" s="23"/>
      <c r="Q1031" s="23"/>
      <c r="R1031" s="23"/>
      <c r="S1031" s="23"/>
      <c r="T1031" s="23"/>
      <c r="U1031" s="23"/>
      <c r="V1031" s="36"/>
      <c r="W1031" s="42"/>
      <c r="X1031" s="42"/>
      <c r="Y1031" s="23"/>
      <c r="Z1031" s="42"/>
      <c r="AA1031" s="42"/>
      <c r="AB1031" s="23"/>
      <c r="AC1031" s="23"/>
      <c r="AD1031" s="23"/>
      <c r="AE1031" s="36"/>
      <c r="AF1031" s="23"/>
    </row>
    <row r="1032" spans="1:32" ht="15.75" x14ac:dyDescent="0.25">
      <c r="A1032" s="44"/>
      <c r="B1032" s="23"/>
      <c r="C1032" s="23"/>
      <c r="D1032" s="36"/>
      <c r="E1032" s="23"/>
      <c r="F1032" s="23"/>
      <c r="G1032" s="23"/>
      <c r="H1032" s="23"/>
      <c r="I1032" s="23"/>
      <c r="J1032" s="23"/>
      <c r="K1032" s="23"/>
      <c r="L1032" s="23"/>
      <c r="M1032" s="36"/>
      <c r="N1032" s="23"/>
      <c r="O1032" s="23"/>
      <c r="P1032" s="23"/>
      <c r="Q1032" s="23"/>
      <c r="R1032" s="23"/>
      <c r="S1032" s="23"/>
      <c r="T1032" s="23"/>
      <c r="U1032" s="23"/>
      <c r="V1032" s="36"/>
      <c r="W1032" s="42"/>
      <c r="X1032" s="42"/>
      <c r="Y1032" s="23"/>
      <c r="Z1032" s="42"/>
      <c r="AA1032" s="42"/>
      <c r="AB1032" s="23"/>
      <c r="AC1032" s="23"/>
      <c r="AD1032" s="23"/>
      <c r="AE1032" s="36"/>
      <c r="AF1032" s="23"/>
    </row>
    <row r="1033" spans="1:32" ht="15.75" x14ac:dyDescent="0.25">
      <c r="A1033" s="44"/>
      <c r="B1033" s="23"/>
      <c r="C1033" s="23"/>
      <c r="D1033" s="36"/>
      <c r="E1033" s="23"/>
      <c r="F1033" s="23"/>
      <c r="G1033" s="23"/>
      <c r="H1033" s="23"/>
      <c r="I1033" s="23"/>
      <c r="J1033" s="23"/>
      <c r="K1033" s="23"/>
      <c r="L1033" s="23"/>
      <c r="M1033" s="36"/>
      <c r="N1033" s="23"/>
      <c r="O1033" s="23"/>
      <c r="P1033" s="23"/>
      <c r="Q1033" s="23"/>
      <c r="R1033" s="23"/>
      <c r="S1033" s="23"/>
      <c r="T1033" s="23"/>
      <c r="U1033" s="23"/>
      <c r="V1033" s="36"/>
      <c r="W1033" s="42"/>
      <c r="X1033" s="42"/>
      <c r="Y1033" s="23"/>
      <c r="Z1033" s="42"/>
      <c r="AA1033" s="42"/>
      <c r="AB1033" s="23"/>
      <c r="AC1033" s="23"/>
      <c r="AD1033" s="23"/>
      <c r="AE1033" s="36"/>
      <c r="AF1033" s="23"/>
    </row>
    <row r="1034" spans="1:32" ht="15.75" x14ac:dyDescent="0.25">
      <c r="A1034" s="44"/>
      <c r="B1034" s="23"/>
      <c r="C1034" s="23"/>
      <c r="D1034" s="36"/>
      <c r="E1034" s="23"/>
      <c r="F1034" s="23"/>
      <c r="G1034" s="23"/>
      <c r="H1034" s="23"/>
      <c r="I1034" s="23"/>
      <c r="J1034" s="23"/>
      <c r="K1034" s="23"/>
      <c r="L1034" s="23"/>
      <c r="M1034" s="36"/>
      <c r="N1034" s="23"/>
      <c r="O1034" s="23"/>
      <c r="P1034" s="23"/>
      <c r="Q1034" s="23"/>
      <c r="R1034" s="23"/>
      <c r="S1034" s="23"/>
      <c r="T1034" s="23"/>
      <c r="U1034" s="23"/>
      <c r="V1034" s="36"/>
      <c r="W1034" s="42"/>
      <c r="X1034" s="42"/>
      <c r="Y1034" s="23"/>
      <c r="Z1034" s="42"/>
      <c r="AA1034" s="42"/>
      <c r="AB1034" s="23"/>
      <c r="AC1034" s="23"/>
      <c r="AD1034" s="23"/>
      <c r="AE1034" s="36"/>
      <c r="AF1034" s="23"/>
    </row>
    <row r="1035" spans="1:32" ht="15.75" x14ac:dyDescent="0.25">
      <c r="A1035" s="44"/>
      <c r="B1035" s="23"/>
      <c r="C1035" s="23"/>
      <c r="D1035" s="36"/>
      <c r="E1035" s="23"/>
      <c r="F1035" s="23"/>
      <c r="G1035" s="23"/>
      <c r="H1035" s="23"/>
      <c r="I1035" s="23"/>
      <c r="J1035" s="23"/>
      <c r="K1035" s="23"/>
      <c r="L1035" s="23"/>
      <c r="M1035" s="36"/>
      <c r="N1035" s="23"/>
      <c r="O1035" s="23"/>
      <c r="P1035" s="23"/>
      <c r="Q1035" s="23"/>
      <c r="R1035" s="23"/>
      <c r="S1035" s="23"/>
      <c r="T1035" s="23"/>
      <c r="U1035" s="23"/>
      <c r="V1035" s="36"/>
      <c r="W1035" s="42"/>
      <c r="X1035" s="42"/>
      <c r="Y1035" s="23"/>
      <c r="Z1035" s="42"/>
      <c r="AA1035" s="42"/>
      <c r="AB1035" s="23"/>
      <c r="AC1035" s="23"/>
      <c r="AD1035" s="23"/>
      <c r="AE1035" s="36"/>
      <c r="AF1035" s="23"/>
    </row>
    <row r="1036" spans="1:32" ht="15.75" x14ac:dyDescent="0.25">
      <c r="A1036" s="44"/>
      <c r="B1036" s="23"/>
      <c r="C1036" s="23"/>
      <c r="D1036" s="36"/>
      <c r="E1036" s="23"/>
      <c r="F1036" s="23"/>
      <c r="G1036" s="23"/>
      <c r="H1036" s="23"/>
      <c r="I1036" s="23"/>
      <c r="J1036" s="23"/>
      <c r="K1036" s="23"/>
      <c r="L1036" s="23"/>
      <c r="M1036" s="36"/>
      <c r="N1036" s="23"/>
      <c r="O1036" s="23"/>
      <c r="P1036" s="23"/>
      <c r="Q1036" s="23"/>
      <c r="R1036" s="23"/>
      <c r="S1036" s="23"/>
      <c r="T1036" s="23"/>
      <c r="U1036" s="23"/>
      <c r="V1036" s="36"/>
      <c r="W1036" s="42"/>
      <c r="X1036" s="42"/>
      <c r="Y1036" s="23"/>
      <c r="Z1036" s="42"/>
      <c r="AA1036" s="42"/>
      <c r="AB1036" s="23"/>
      <c r="AC1036" s="23"/>
      <c r="AD1036" s="23"/>
      <c r="AE1036" s="36"/>
      <c r="AF1036" s="23"/>
    </row>
    <row r="1037" spans="1:32" ht="15.75" x14ac:dyDescent="0.25">
      <c r="A1037" s="44"/>
      <c r="B1037" s="23"/>
      <c r="C1037" s="23"/>
      <c r="D1037" s="36"/>
      <c r="E1037" s="23"/>
      <c r="F1037" s="23"/>
      <c r="G1037" s="23"/>
      <c r="H1037" s="23"/>
      <c r="I1037" s="23"/>
      <c r="J1037" s="23"/>
      <c r="K1037" s="23"/>
      <c r="L1037" s="23"/>
      <c r="M1037" s="36"/>
      <c r="N1037" s="23"/>
      <c r="O1037" s="23"/>
      <c r="P1037" s="23"/>
      <c r="Q1037" s="23"/>
      <c r="R1037" s="23"/>
      <c r="S1037" s="23"/>
      <c r="T1037" s="23"/>
      <c r="U1037" s="23"/>
      <c r="V1037" s="36"/>
      <c r="W1037" s="42"/>
      <c r="X1037" s="42"/>
      <c r="Y1037" s="23"/>
      <c r="Z1037" s="42"/>
      <c r="AA1037" s="42"/>
      <c r="AB1037" s="23"/>
      <c r="AC1037" s="23"/>
      <c r="AD1037" s="23"/>
      <c r="AE1037" s="36"/>
      <c r="AF1037" s="23"/>
    </row>
    <row r="1038" spans="1:32" ht="15.75" x14ac:dyDescent="0.25">
      <c r="A1038" s="44"/>
      <c r="B1038" s="23"/>
      <c r="C1038" s="23"/>
      <c r="D1038" s="36"/>
      <c r="E1038" s="23"/>
      <c r="F1038" s="23"/>
      <c r="G1038" s="23"/>
      <c r="H1038" s="23"/>
      <c r="I1038" s="23"/>
      <c r="J1038" s="23"/>
      <c r="K1038" s="23"/>
      <c r="L1038" s="23"/>
      <c r="M1038" s="36"/>
      <c r="N1038" s="23"/>
      <c r="O1038" s="23"/>
      <c r="P1038" s="23"/>
      <c r="Q1038" s="23"/>
      <c r="R1038" s="23"/>
      <c r="S1038" s="23"/>
      <c r="T1038" s="23"/>
      <c r="U1038" s="23"/>
      <c r="V1038" s="36"/>
      <c r="W1038" s="42"/>
      <c r="X1038" s="42"/>
      <c r="Y1038" s="23"/>
      <c r="Z1038" s="42"/>
      <c r="AA1038" s="42"/>
      <c r="AB1038" s="23"/>
      <c r="AC1038" s="23"/>
      <c r="AD1038" s="23"/>
      <c r="AE1038" s="36"/>
      <c r="AF1038" s="23"/>
    </row>
    <row r="1039" spans="1:32" ht="15.75" x14ac:dyDescent="0.25">
      <c r="A1039" s="44"/>
      <c r="B1039" s="23"/>
      <c r="C1039" s="23"/>
      <c r="D1039" s="36"/>
      <c r="E1039" s="23"/>
      <c r="F1039" s="23"/>
      <c r="G1039" s="23"/>
      <c r="H1039" s="23"/>
      <c r="I1039" s="23"/>
      <c r="J1039" s="23"/>
      <c r="K1039" s="23"/>
      <c r="L1039" s="23"/>
      <c r="M1039" s="36"/>
      <c r="N1039" s="23"/>
      <c r="O1039" s="23"/>
      <c r="P1039" s="23"/>
      <c r="Q1039" s="23"/>
      <c r="R1039" s="23"/>
      <c r="S1039" s="23"/>
      <c r="T1039" s="23"/>
      <c r="U1039" s="23"/>
      <c r="V1039" s="36"/>
      <c r="W1039" s="42"/>
      <c r="X1039" s="42"/>
      <c r="Y1039" s="23"/>
      <c r="Z1039" s="42"/>
      <c r="AA1039" s="42"/>
      <c r="AB1039" s="23"/>
      <c r="AC1039" s="23"/>
      <c r="AD1039" s="23"/>
      <c r="AE1039" s="36"/>
      <c r="AF1039" s="23"/>
    </row>
    <row r="1040" spans="1:32" ht="15.75" x14ac:dyDescent="0.25">
      <c r="A1040" s="44"/>
      <c r="B1040" s="23"/>
      <c r="C1040" s="23"/>
      <c r="D1040" s="36"/>
      <c r="E1040" s="23"/>
      <c r="F1040" s="23"/>
      <c r="G1040" s="23"/>
      <c r="H1040" s="23"/>
      <c r="I1040" s="23"/>
      <c r="J1040" s="23"/>
      <c r="K1040" s="23"/>
      <c r="L1040" s="23"/>
      <c r="M1040" s="36"/>
      <c r="N1040" s="23"/>
      <c r="O1040" s="23"/>
      <c r="P1040" s="23"/>
      <c r="Q1040" s="23"/>
      <c r="R1040" s="23"/>
      <c r="S1040" s="23"/>
      <c r="T1040" s="23"/>
      <c r="U1040" s="23"/>
      <c r="V1040" s="36"/>
      <c r="W1040" s="42"/>
      <c r="X1040" s="42"/>
      <c r="Y1040" s="23"/>
      <c r="Z1040" s="42"/>
      <c r="AA1040" s="42"/>
      <c r="AB1040" s="23"/>
      <c r="AC1040" s="23"/>
      <c r="AD1040" s="23"/>
      <c r="AE1040" s="36"/>
      <c r="AF1040" s="23"/>
    </row>
    <row r="1041" spans="1:32" ht="15.75" x14ac:dyDescent="0.25">
      <c r="A1041" s="44"/>
      <c r="B1041" s="23"/>
      <c r="C1041" s="23"/>
      <c r="D1041" s="36"/>
      <c r="E1041" s="23"/>
      <c r="F1041" s="23"/>
      <c r="G1041" s="23"/>
      <c r="H1041" s="23"/>
      <c r="I1041" s="23"/>
      <c r="J1041" s="23"/>
      <c r="K1041" s="23"/>
      <c r="L1041" s="23"/>
      <c r="M1041" s="36"/>
      <c r="N1041" s="23"/>
      <c r="O1041" s="23"/>
      <c r="P1041" s="23"/>
      <c r="Q1041" s="23"/>
      <c r="R1041" s="23"/>
      <c r="S1041" s="23"/>
      <c r="T1041" s="23"/>
      <c r="U1041" s="23"/>
      <c r="V1041" s="36"/>
      <c r="W1041" s="42"/>
      <c r="X1041" s="42"/>
      <c r="Y1041" s="23"/>
      <c r="Z1041" s="42"/>
      <c r="AA1041" s="42"/>
      <c r="AB1041" s="23"/>
      <c r="AC1041" s="23"/>
      <c r="AD1041" s="23"/>
      <c r="AE1041" s="36"/>
      <c r="AF1041" s="23"/>
    </row>
    <row r="1042" spans="1:32" ht="15.75" x14ac:dyDescent="0.25">
      <c r="A1042" s="44"/>
      <c r="B1042" s="23"/>
      <c r="C1042" s="23"/>
      <c r="D1042" s="36"/>
      <c r="E1042" s="23"/>
      <c r="F1042" s="23"/>
      <c r="G1042" s="23"/>
      <c r="H1042" s="23"/>
      <c r="I1042" s="23"/>
      <c r="J1042" s="23"/>
      <c r="K1042" s="23"/>
      <c r="L1042" s="23"/>
      <c r="M1042" s="36"/>
      <c r="N1042" s="23"/>
      <c r="O1042" s="23"/>
      <c r="P1042" s="23"/>
      <c r="Q1042" s="23"/>
      <c r="R1042" s="23"/>
      <c r="S1042" s="23"/>
      <c r="T1042" s="23"/>
      <c r="U1042" s="23"/>
      <c r="V1042" s="36"/>
      <c r="W1042" s="42"/>
      <c r="X1042" s="42"/>
      <c r="Y1042" s="23"/>
      <c r="Z1042" s="42"/>
      <c r="AA1042" s="42"/>
      <c r="AB1042" s="23"/>
      <c r="AC1042" s="23"/>
      <c r="AD1042" s="23"/>
      <c r="AE1042" s="36"/>
      <c r="AF1042" s="23"/>
    </row>
    <row r="1043" spans="1:32" ht="15.75" x14ac:dyDescent="0.25">
      <c r="A1043" s="44"/>
      <c r="B1043" s="23"/>
      <c r="C1043" s="23"/>
      <c r="D1043" s="36"/>
      <c r="E1043" s="23"/>
      <c r="F1043" s="23"/>
      <c r="G1043" s="23"/>
      <c r="H1043" s="23"/>
      <c r="I1043" s="23"/>
      <c r="J1043" s="23"/>
      <c r="K1043" s="23"/>
      <c r="L1043" s="23"/>
      <c r="M1043" s="36"/>
      <c r="N1043" s="23"/>
      <c r="O1043" s="23"/>
      <c r="P1043" s="23"/>
      <c r="Q1043" s="23"/>
      <c r="R1043" s="23"/>
      <c r="S1043" s="23"/>
      <c r="T1043" s="23"/>
      <c r="U1043" s="23"/>
      <c r="V1043" s="36"/>
      <c r="W1043" s="42"/>
      <c r="X1043" s="42"/>
      <c r="Y1043" s="23"/>
      <c r="Z1043" s="42"/>
      <c r="AA1043" s="42"/>
      <c r="AB1043" s="23"/>
      <c r="AC1043" s="23"/>
      <c r="AD1043" s="23"/>
      <c r="AE1043" s="36"/>
      <c r="AF1043" s="23"/>
    </row>
    <row r="1044" spans="1:32" ht="15.75" x14ac:dyDescent="0.25">
      <c r="A1044" s="44"/>
      <c r="B1044" s="23"/>
      <c r="C1044" s="23"/>
      <c r="D1044" s="36"/>
      <c r="E1044" s="23"/>
      <c r="F1044" s="23"/>
      <c r="G1044" s="23"/>
      <c r="H1044" s="23"/>
      <c r="I1044" s="23"/>
      <c r="J1044" s="23"/>
      <c r="K1044" s="23"/>
      <c r="L1044" s="23"/>
      <c r="M1044" s="36"/>
      <c r="N1044" s="23"/>
      <c r="O1044" s="23"/>
      <c r="P1044" s="23"/>
      <c r="Q1044" s="23"/>
      <c r="R1044" s="23"/>
      <c r="S1044" s="23"/>
      <c r="T1044" s="23"/>
      <c r="U1044" s="23"/>
      <c r="V1044" s="36"/>
      <c r="W1044" s="42"/>
      <c r="X1044" s="42"/>
      <c r="Y1044" s="23"/>
      <c r="Z1044" s="42"/>
      <c r="AA1044" s="42"/>
      <c r="AB1044" s="23"/>
      <c r="AC1044" s="23"/>
      <c r="AD1044" s="23"/>
      <c r="AE1044" s="36"/>
      <c r="AF1044" s="23"/>
    </row>
    <row r="1045" spans="1:32" ht="15.75" x14ac:dyDescent="0.25">
      <c r="A1045" s="44"/>
      <c r="B1045" s="23"/>
      <c r="C1045" s="23"/>
      <c r="D1045" s="36"/>
      <c r="E1045" s="23"/>
      <c r="F1045" s="23"/>
      <c r="G1045" s="23"/>
      <c r="H1045" s="23"/>
      <c r="I1045" s="23"/>
      <c r="J1045" s="23"/>
      <c r="K1045" s="23"/>
      <c r="L1045" s="23"/>
      <c r="M1045" s="36"/>
      <c r="N1045" s="23"/>
      <c r="O1045" s="23"/>
      <c r="P1045" s="23"/>
      <c r="Q1045" s="23"/>
      <c r="R1045" s="23"/>
      <c r="S1045" s="23"/>
      <c r="T1045" s="23"/>
      <c r="U1045" s="23"/>
      <c r="V1045" s="36"/>
      <c r="W1045" s="42"/>
      <c r="X1045" s="42"/>
      <c r="Y1045" s="23"/>
      <c r="Z1045" s="42"/>
      <c r="AA1045" s="42"/>
      <c r="AB1045" s="23"/>
      <c r="AC1045" s="23"/>
      <c r="AD1045" s="23"/>
      <c r="AE1045" s="36"/>
      <c r="AF1045" s="23"/>
    </row>
    <row r="1046" spans="1:32" ht="15.75" x14ac:dyDescent="0.25">
      <c r="A1046" s="44"/>
      <c r="B1046" s="23"/>
      <c r="C1046" s="23"/>
      <c r="D1046" s="36"/>
      <c r="E1046" s="23"/>
      <c r="F1046" s="23"/>
      <c r="G1046" s="23"/>
      <c r="H1046" s="23"/>
      <c r="I1046" s="23"/>
      <c r="J1046" s="23"/>
      <c r="K1046" s="23"/>
      <c r="L1046" s="23"/>
      <c r="M1046" s="36"/>
      <c r="N1046" s="23"/>
      <c r="O1046" s="23"/>
      <c r="P1046" s="23"/>
      <c r="Q1046" s="23"/>
      <c r="R1046" s="23"/>
      <c r="S1046" s="23"/>
      <c r="T1046" s="23"/>
      <c r="U1046" s="23"/>
      <c r="V1046" s="36"/>
      <c r="W1046" s="42"/>
      <c r="X1046" s="42"/>
      <c r="Y1046" s="23"/>
      <c r="Z1046" s="42"/>
      <c r="AA1046" s="42"/>
      <c r="AB1046" s="23"/>
      <c r="AC1046" s="23"/>
      <c r="AD1046" s="23"/>
      <c r="AE1046" s="36"/>
      <c r="AF1046" s="23"/>
    </row>
    <row r="1047" spans="1:32" ht="15.75" x14ac:dyDescent="0.25">
      <c r="A1047" s="44"/>
      <c r="B1047" s="23"/>
      <c r="C1047" s="23"/>
      <c r="D1047" s="36"/>
      <c r="E1047" s="23"/>
      <c r="F1047" s="23"/>
      <c r="G1047" s="23"/>
      <c r="H1047" s="23"/>
      <c r="I1047" s="23"/>
      <c r="J1047" s="23"/>
      <c r="K1047" s="23"/>
      <c r="L1047" s="23"/>
      <c r="M1047" s="36"/>
      <c r="N1047" s="23"/>
      <c r="O1047" s="23"/>
      <c r="P1047" s="23"/>
      <c r="Q1047" s="23"/>
      <c r="R1047" s="23"/>
      <c r="S1047" s="23"/>
      <c r="T1047" s="23"/>
      <c r="U1047" s="23"/>
      <c r="V1047" s="36"/>
      <c r="W1047" s="42"/>
      <c r="X1047" s="42"/>
      <c r="Y1047" s="23"/>
      <c r="Z1047" s="42"/>
      <c r="AA1047" s="42"/>
      <c r="AB1047" s="23"/>
      <c r="AC1047" s="23"/>
      <c r="AD1047" s="23"/>
      <c r="AE1047" s="36"/>
      <c r="AF1047" s="23"/>
    </row>
    <row r="1048" spans="1:32" ht="15.75" x14ac:dyDescent="0.25">
      <c r="A1048" s="44"/>
      <c r="B1048" s="23"/>
      <c r="C1048" s="23"/>
      <c r="D1048" s="36"/>
      <c r="E1048" s="23"/>
      <c r="F1048" s="23"/>
      <c r="G1048" s="23"/>
      <c r="H1048" s="23"/>
      <c r="I1048" s="23"/>
      <c r="J1048" s="23"/>
      <c r="K1048" s="23"/>
      <c r="L1048" s="23"/>
      <c r="M1048" s="36"/>
      <c r="N1048" s="23"/>
      <c r="O1048" s="23"/>
      <c r="P1048" s="23"/>
      <c r="Q1048" s="23"/>
      <c r="R1048" s="23"/>
      <c r="S1048" s="23"/>
      <c r="T1048" s="23"/>
      <c r="U1048" s="23"/>
      <c r="V1048" s="36"/>
      <c r="W1048" s="42"/>
      <c r="X1048" s="42"/>
      <c r="Y1048" s="23"/>
      <c r="Z1048" s="42"/>
      <c r="AA1048" s="42"/>
      <c r="AB1048" s="23"/>
      <c r="AC1048" s="23"/>
      <c r="AD1048" s="23"/>
      <c r="AE1048" s="36"/>
      <c r="AF1048" s="23"/>
    </row>
    <row r="1049" spans="1:32" ht="15.75" x14ac:dyDescent="0.25">
      <c r="A1049" s="44"/>
      <c r="B1049" s="23"/>
      <c r="C1049" s="23"/>
      <c r="D1049" s="36"/>
      <c r="E1049" s="23"/>
      <c r="F1049" s="23"/>
      <c r="G1049" s="23"/>
      <c r="H1049" s="23"/>
      <c r="I1049" s="23"/>
      <c r="J1049" s="23"/>
      <c r="K1049" s="23"/>
      <c r="L1049" s="23"/>
      <c r="M1049" s="36"/>
      <c r="N1049" s="23"/>
      <c r="O1049" s="23"/>
      <c r="P1049" s="23"/>
      <c r="Q1049" s="23"/>
      <c r="R1049" s="23"/>
      <c r="S1049" s="23"/>
      <c r="T1049" s="23"/>
      <c r="U1049" s="23"/>
      <c r="V1049" s="36"/>
      <c r="W1049" s="42"/>
      <c r="X1049" s="42"/>
      <c r="Y1049" s="23"/>
      <c r="Z1049" s="42"/>
      <c r="AA1049" s="42"/>
      <c r="AB1049" s="23"/>
      <c r="AC1049" s="23"/>
      <c r="AD1049" s="23"/>
      <c r="AE1049" s="36"/>
      <c r="AF1049" s="23"/>
    </row>
    <row r="1050" spans="1:32" ht="15.75" x14ac:dyDescent="0.25">
      <c r="A1050" s="44"/>
      <c r="B1050" s="23"/>
      <c r="C1050" s="23"/>
      <c r="D1050" s="36"/>
      <c r="E1050" s="23"/>
      <c r="F1050" s="23"/>
      <c r="G1050" s="23"/>
      <c r="H1050" s="23"/>
      <c r="I1050" s="23"/>
      <c r="J1050" s="23"/>
      <c r="K1050" s="23"/>
      <c r="L1050" s="23"/>
      <c r="M1050" s="36"/>
      <c r="N1050" s="23"/>
      <c r="O1050" s="23"/>
      <c r="P1050" s="23"/>
      <c r="Q1050" s="23"/>
      <c r="R1050" s="23"/>
      <c r="S1050" s="23"/>
      <c r="T1050" s="23"/>
      <c r="U1050" s="23"/>
      <c r="V1050" s="36"/>
      <c r="W1050" s="42"/>
      <c r="X1050" s="42"/>
      <c r="Y1050" s="23"/>
      <c r="Z1050" s="42"/>
      <c r="AA1050" s="42"/>
      <c r="AB1050" s="23"/>
      <c r="AC1050" s="23"/>
      <c r="AD1050" s="23"/>
      <c r="AE1050" s="36"/>
      <c r="AF1050" s="23"/>
    </row>
    <row r="1051" spans="1:32" ht="15.75" x14ac:dyDescent="0.25">
      <c r="A1051" s="44"/>
      <c r="B1051" s="23"/>
      <c r="C1051" s="23"/>
      <c r="D1051" s="36"/>
      <c r="E1051" s="23"/>
      <c r="F1051" s="23"/>
      <c r="G1051" s="23"/>
      <c r="H1051" s="23"/>
      <c r="I1051" s="23"/>
      <c r="J1051" s="23"/>
      <c r="K1051" s="23"/>
      <c r="L1051" s="23"/>
      <c r="M1051" s="36"/>
      <c r="N1051" s="23"/>
      <c r="O1051" s="23"/>
      <c r="P1051" s="23"/>
      <c r="Q1051" s="23"/>
      <c r="R1051" s="23"/>
      <c r="S1051" s="23"/>
      <c r="T1051" s="23"/>
      <c r="U1051" s="23"/>
      <c r="V1051" s="36"/>
      <c r="W1051" s="42"/>
      <c r="X1051" s="42"/>
      <c r="Y1051" s="23"/>
      <c r="Z1051" s="42"/>
      <c r="AA1051" s="42"/>
      <c r="AB1051" s="23"/>
      <c r="AC1051" s="23"/>
      <c r="AD1051" s="23"/>
      <c r="AE1051" s="36"/>
      <c r="AF1051" s="23"/>
    </row>
    <row r="1052" spans="1:32" ht="15.75" x14ac:dyDescent="0.25">
      <c r="A1052" s="44"/>
      <c r="B1052" s="23"/>
      <c r="C1052" s="23"/>
      <c r="D1052" s="36"/>
      <c r="E1052" s="23"/>
      <c r="F1052" s="23"/>
      <c r="G1052" s="23"/>
      <c r="H1052" s="23"/>
      <c r="I1052" s="23"/>
      <c r="J1052" s="23"/>
      <c r="K1052" s="23"/>
      <c r="L1052" s="23"/>
      <c r="M1052" s="36"/>
      <c r="N1052" s="23"/>
      <c r="O1052" s="23"/>
      <c r="P1052" s="23"/>
      <c r="Q1052" s="23"/>
      <c r="R1052" s="23"/>
      <c r="S1052" s="23"/>
      <c r="T1052" s="23"/>
      <c r="U1052" s="23"/>
      <c r="V1052" s="36"/>
      <c r="W1052" s="42"/>
      <c r="X1052" s="42"/>
      <c r="Y1052" s="23"/>
      <c r="Z1052" s="42"/>
      <c r="AA1052" s="42"/>
      <c r="AB1052" s="23"/>
      <c r="AC1052" s="23"/>
      <c r="AD1052" s="23"/>
      <c r="AE1052" s="36"/>
      <c r="AF1052" s="23"/>
    </row>
    <row r="1053" spans="1:32" ht="15.75" x14ac:dyDescent="0.25">
      <c r="A1053" s="44"/>
      <c r="B1053" s="23"/>
      <c r="C1053" s="23"/>
      <c r="D1053" s="36"/>
      <c r="E1053" s="23"/>
      <c r="F1053" s="23"/>
      <c r="G1053" s="23"/>
      <c r="H1053" s="23"/>
      <c r="I1053" s="23"/>
      <c r="J1053" s="23"/>
      <c r="K1053" s="23"/>
      <c r="L1053" s="23"/>
      <c r="M1053" s="36"/>
      <c r="N1053" s="23"/>
      <c r="O1053" s="23"/>
      <c r="P1053" s="23"/>
      <c r="Q1053" s="23"/>
      <c r="R1053" s="23"/>
      <c r="S1053" s="23"/>
      <c r="T1053" s="23"/>
      <c r="U1053" s="23"/>
      <c r="V1053" s="36"/>
      <c r="W1053" s="42"/>
      <c r="X1053" s="42"/>
      <c r="Y1053" s="23"/>
      <c r="Z1053" s="42"/>
      <c r="AA1053" s="42"/>
      <c r="AB1053" s="23"/>
      <c r="AC1053" s="23"/>
      <c r="AD1053" s="23"/>
      <c r="AE1053" s="36"/>
      <c r="AF1053" s="23"/>
    </row>
    <row r="1054" spans="1:32" ht="15.75" x14ac:dyDescent="0.25">
      <c r="A1054" s="44"/>
      <c r="B1054" s="23"/>
      <c r="C1054" s="23"/>
      <c r="D1054" s="36"/>
      <c r="E1054" s="23"/>
      <c r="F1054" s="23"/>
      <c r="G1054" s="23"/>
      <c r="H1054" s="23"/>
      <c r="I1054" s="23"/>
      <c r="J1054" s="23"/>
      <c r="K1054" s="23"/>
      <c r="L1054" s="23"/>
      <c r="M1054" s="36"/>
      <c r="N1054" s="23"/>
      <c r="O1054" s="23"/>
      <c r="P1054" s="23"/>
      <c r="Q1054" s="23"/>
      <c r="R1054" s="23"/>
      <c r="S1054" s="23"/>
      <c r="T1054" s="23"/>
      <c r="U1054" s="23"/>
      <c r="V1054" s="36"/>
      <c r="W1054" s="42"/>
      <c r="X1054" s="42"/>
      <c r="Y1054" s="23"/>
      <c r="Z1054" s="42"/>
      <c r="AA1054" s="42"/>
      <c r="AB1054" s="23"/>
      <c r="AC1054" s="23"/>
      <c r="AD1054" s="23"/>
      <c r="AE1054" s="36"/>
      <c r="AF1054" s="23"/>
    </row>
    <row r="1055" spans="1:32" ht="15.75" x14ac:dyDescent="0.25">
      <c r="A1055" s="44"/>
      <c r="B1055" s="23"/>
      <c r="C1055" s="23"/>
      <c r="D1055" s="36"/>
      <c r="E1055" s="23"/>
      <c r="F1055" s="23"/>
      <c r="G1055" s="23"/>
      <c r="H1055" s="23"/>
      <c r="I1055" s="23"/>
      <c r="J1055" s="23"/>
      <c r="K1055" s="23"/>
      <c r="L1055" s="23"/>
      <c r="M1055" s="36"/>
      <c r="N1055" s="23"/>
      <c r="O1055" s="23"/>
      <c r="P1055" s="23"/>
      <c r="Q1055" s="23"/>
      <c r="R1055" s="23"/>
      <c r="S1055" s="23"/>
      <c r="T1055" s="23"/>
      <c r="U1055" s="23"/>
      <c r="V1055" s="36"/>
      <c r="W1055" s="42"/>
      <c r="X1055" s="42"/>
      <c r="Y1055" s="23"/>
      <c r="Z1055" s="42"/>
      <c r="AA1055" s="42"/>
      <c r="AB1055" s="23"/>
      <c r="AC1055" s="23"/>
      <c r="AD1055" s="23"/>
      <c r="AE1055" s="36"/>
      <c r="AF1055" s="23"/>
    </row>
    <row r="1056" spans="1:32" ht="15.75" x14ac:dyDescent="0.25">
      <c r="A1056" s="44"/>
      <c r="B1056" s="23"/>
      <c r="C1056" s="23"/>
      <c r="D1056" s="36"/>
      <c r="E1056" s="23"/>
      <c r="F1056" s="23"/>
      <c r="G1056" s="23"/>
      <c r="H1056" s="23"/>
      <c r="I1056" s="23"/>
      <c r="J1056" s="23"/>
      <c r="K1056" s="23"/>
      <c r="L1056" s="23"/>
      <c r="M1056" s="36"/>
      <c r="N1056" s="23"/>
      <c r="O1056" s="23"/>
      <c r="P1056" s="23"/>
      <c r="Q1056" s="23"/>
      <c r="R1056" s="23"/>
      <c r="S1056" s="23"/>
      <c r="T1056" s="23"/>
      <c r="U1056" s="23"/>
      <c r="V1056" s="36"/>
      <c r="W1056" s="42"/>
      <c r="X1056" s="42"/>
      <c r="Y1056" s="23"/>
      <c r="Z1056" s="42"/>
      <c r="AA1056" s="42"/>
      <c r="AB1056" s="23"/>
      <c r="AC1056" s="23"/>
      <c r="AD1056" s="23"/>
      <c r="AE1056" s="36"/>
      <c r="AF1056" s="23"/>
    </row>
    <row r="1057" spans="1:32" ht="15.75" x14ac:dyDescent="0.25">
      <c r="A1057" s="44"/>
      <c r="B1057" s="23"/>
      <c r="C1057" s="23"/>
      <c r="D1057" s="36"/>
      <c r="E1057" s="23"/>
      <c r="F1057" s="23"/>
      <c r="G1057" s="23"/>
      <c r="H1057" s="23"/>
      <c r="I1057" s="23"/>
      <c r="J1057" s="23"/>
      <c r="K1057" s="23"/>
      <c r="L1057" s="23"/>
      <c r="M1057" s="36"/>
      <c r="N1057" s="23"/>
      <c r="O1057" s="23"/>
      <c r="P1057" s="23"/>
      <c r="Q1057" s="23"/>
      <c r="R1057" s="23"/>
      <c r="S1057" s="23"/>
      <c r="T1057" s="23"/>
      <c r="U1057" s="23"/>
      <c r="V1057" s="36"/>
      <c r="W1057" s="42"/>
      <c r="X1057" s="42"/>
      <c r="Y1057" s="23"/>
      <c r="Z1057" s="42"/>
      <c r="AA1057" s="42"/>
      <c r="AB1057" s="23"/>
      <c r="AC1057" s="23"/>
      <c r="AD1057" s="23"/>
      <c r="AE1057" s="36"/>
      <c r="AF1057" s="23"/>
    </row>
    <row r="1058" spans="1:32" ht="15.75" x14ac:dyDescent="0.25">
      <c r="A1058" s="44"/>
      <c r="B1058" s="23"/>
      <c r="C1058" s="23"/>
      <c r="D1058" s="36"/>
      <c r="E1058" s="23"/>
      <c r="F1058" s="23"/>
      <c r="G1058" s="23"/>
      <c r="H1058" s="23"/>
      <c r="I1058" s="23"/>
      <c r="J1058" s="23"/>
      <c r="K1058" s="23"/>
      <c r="L1058" s="23"/>
      <c r="M1058" s="36"/>
      <c r="N1058" s="23"/>
      <c r="O1058" s="23"/>
      <c r="P1058" s="23"/>
      <c r="Q1058" s="23"/>
      <c r="R1058" s="23"/>
      <c r="S1058" s="23"/>
      <c r="T1058" s="23"/>
      <c r="U1058" s="23"/>
      <c r="V1058" s="36"/>
      <c r="W1058" s="42"/>
      <c r="X1058" s="42"/>
      <c r="Y1058" s="23"/>
      <c r="Z1058" s="42"/>
      <c r="AA1058" s="42"/>
      <c r="AB1058" s="23"/>
      <c r="AC1058" s="23"/>
      <c r="AD1058" s="23"/>
      <c r="AE1058" s="36"/>
      <c r="AF1058" s="23"/>
    </row>
    <row r="1059" spans="1:32" ht="15.75" x14ac:dyDescent="0.25">
      <c r="A1059" s="44"/>
      <c r="B1059" s="23"/>
      <c r="C1059" s="23"/>
      <c r="D1059" s="36"/>
      <c r="E1059" s="23"/>
      <c r="F1059" s="23"/>
      <c r="G1059" s="23"/>
      <c r="H1059" s="23"/>
      <c r="I1059" s="23"/>
      <c r="J1059" s="23"/>
      <c r="K1059" s="23"/>
      <c r="L1059" s="23"/>
      <c r="M1059" s="36"/>
      <c r="N1059" s="23"/>
      <c r="O1059" s="23"/>
      <c r="P1059" s="23"/>
      <c r="Q1059" s="23"/>
      <c r="R1059" s="23"/>
      <c r="S1059" s="23"/>
      <c r="T1059" s="23"/>
      <c r="U1059" s="23"/>
      <c r="V1059" s="36"/>
      <c r="W1059" s="42"/>
      <c r="X1059" s="42"/>
      <c r="Y1059" s="23"/>
      <c r="Z1059" s="42"/>
      <c r="AA1059" s="42"/>
      <c r="AB1059" s="23"/>
      <c r="AC1059" s="23"/>
      <c r="AD1059" s="23"/>
      <c r="AE1059" s="36"/>
      <c r="AF1059" s="23"/>
    </row>
    <row r="1060" spans="1:32" ht="15.75" x14ac:dyDescent="0.25">
      <c r="A1060" s="44"/>
      <c r="B1060" s="23"/>
      <c r="C1060" s="23"/>
      <c r="D1060" s="36"/>
      <c r="E1060" s="23"/>
      <c r="F1060" s="23"/>
      <c r="G1060" s="23"/>
      <c r="H1060" s="23"/>
      <c r="I1060" s="23"/>
      <c r="J1060" s="23"/>
      <c r="K1060" s="23"/>
      <c r="L1060" s="23"/>
      <c r="M1060" s="36"/>
      <c r="N1060" s="23"/>
      <c r="O1060" s="23"/>
      <c r="P1060" s="23"/>
      <c r="Q1060" s="23"/>
      <c r="R1060" s="23"/>
      <c r="S1060" s="23"/>
      <c r="T1060" s="23"/>
      <c r="U1060" s="23"/>
      <c r="V1060" s="36"/>
      <c r="W1060" s="42"/>
      <c r="X1060" s="42"/>
      <c r="Y1060" s="23"/>
      <c r="Z1060" s="42"/>
      <c r="AA1060" s="42"/>
      <c r="AB1060" s="23"/>
      <c r="AC1060" s="23"/>
      <c r="AD1060" s="23"/>
      <c r="AE1060" s="36"/>
      <c r="AF1060" s="23"/>
    </row>
    <row r="1061" spans="1:32" ht="15.75" x14ac:dyDescent="0.25">
      <c r="A1061" s="44"/>
      <c r="B1061" s="23"/>
      <c r="C1061" s="23"/>
      <c r="D1061" s="36"/>
      <c r="E1061" s="23"/>
      <c r="F1061" s="23"/>
      <c r="G1061" s="23"/>
      <c r="H1061" s="23"/>
      <c r="I1061" s="23"/>
      <c r="J1061" s="23"/>
      <c r="K1061" s="23"/>
      <c r="L1061" s="23"/>
      <c r="M1061" s="36"/>
      <c r="N1061" s="23"/>
      <c r="O1061" s="23"/>
      <c r="P1061" s="23"/>
      <c r="Q1061" s="23"/>
      <c r="R1061" s="23"/>
      <c r="S1061" s="23"/>
      <c r="T1061" s="23"/>
      <c r="U1061" s="23"/>
      <c r="V1061" s="36"/>
      <c r="W1061" s="42"/>
      <c r="X1061" s="42"/>
      <c r="Y1061" s="23"/>
      <c r="Z1061" s="42"/>
      <c r="AA1061" s="42"/>
      <c r="AB1061" s="23"/>
      <c r="AC1061" s="23"/>
      <c r="AD1061" s="23"/>
      <c r="AE1061" s="36"/>
      <c r="AF1061" s="23"/>
    </row>
    <row r="1062" spans="1:32" ht="15.75" x14ac:dyDescent="0.25">
      <c r="A1062" s="44"/>
      <c r="B1062" s="23"/>
      <c r="C1062" s="23"/>
      <c r="D1062" s="36"/>
      <c r="E1062" s="23"/>
      <c r="F1062" s="23"/>
      <c r="G1062" s="23"/>
      <c r="H1062" s="23"/>
      <c r="I1062" s="23"/>
      <c r="J1062" s="23"/>
      <c r="K1062" s="23"/>
      <c r="L1062" s="23"/>
      <c r="M1062" s="36"/>
      <c r="N1062" s="23"/>
      <c r="O1062" s="23"/>
      <c r="P1062" s="23"/>
      <c r="Q1062" s="23"/>
      <c r="R1062" s="23"/>
      <c r="S1062" s="23"/>
      <c r="T1062" s="23"/>
      <c r="U1062" s="23"/>
      <c r="V1062" s="36"/>
      <c r="W1062" s="42"/>
      <c r="X1062" s="42"/>
      <c r="Y1062" s="23"/>
      <c r="Z1062" s="42"/>
      <c r="AA1062" s="42"/>
      <c r="AB1062" s="23"/>
      <c r="AC1062" s="23"/>
      <c r="AD1062" s="23"/>
      <c r="AE1062" s="36"/>
      <c r="AF1062" s="23"/>
    </row>
    <row r="1063" spans="1:32" ht="15.75" x14ac:dyDescent="0.25">
      <c r="A1063" s="44"/>
      <c r="B1063" s="23"/>
      <c r="C1063" s="23"/>
      <c r="D1063" s="36"/>
      <c r="E1063" s="23"/>
      <c r="F1063" s="23"/>
      <c r="G1063" s="23"/>
      <c r="H1063" s="23"/>
      <c r="I1063" s="23"/>
      <c r="J1063" s="23"/>
      <c r="K1063" s="23"/>
      <c r="L1063" s="23"/>
      <c r="M1063" s="36"/>
      <c r="N1063" s="23"/>
      <c r="O1063" s="23"/>
      <c r="P1063" s="23"/>
      <c r="Q1063" s="23"/>
      <c r="R1063" s="23"/>
      <c r="S1063" s="23"/>
      <c r="T1063" s="23"/>
      <c r="U1063" s="23"/>
      <c r="V1063" s="36"/>
      <c r="W1063" s="42"/>
      <c r="X1063" s="42"/>
      <c r="Y1063" s="23"/>
      <c r="Z1063" s="42"/>
      <c r="AA1063" s="42"/>
      <c r="AB1063" s="23"/>
      <c r="AC1063" s="23"/>
      <c r="AD1063" s="23"/>
      <c r="AE1063" s="36"/>
      <c r="AF1063" s="23"/>
    </row>
    <row r="1064" spans="1:32" ht="15.75" x14ac:dyDescent="0.25">
      <c r="A1064" s="44"/>
      <c r="B1064" s="23"/>
      <c r="C1064" s="23"/>
      <c r="D1064" s="36"/>
      <c r="E1064" s="23"/>
      <c r="F1064" s="23"/>
      <c r="G1064" s="23"/>
      <c r="H1064" s="23"/>
      <c r="I1064" s="23"/>
      <c r="J1064" s="23"/>
      <c r="K1064" s="23"/>
      <c r="L1064" s="23"/>
      <c r="M1064" s="36"/>
      <c r="N1064" s="23"/>
      <c r="O1064" s="23"/>
      <c r="P1064" s="23"/>
      <c r="Q1064" s="23"/>
      <c r="R1064" s="23"/>
      <c r="S1064" s="23"/>
      <c r="T1064" s="23"/>
      <c r="U1064" s="23"/>
      <c r="V1064" s="36"/>
      <c r="W1064" s="42"/>
      <c r="X1064" s="42"/>
      <c r="Y1064" s="23"/>
      <c r="Z1064" s="42"/>
      <c r="AA1064" s="42"/>
      <c r="AB1064" s="23"/>
      <c r="AC1064" s="23"/>
      <c r="AD1064" s="23"/>
      <c r="AE1064" s="36"/>
      <c r="AF1064" s="23"/>
    </row>
    <row r="1065" spans="1:32" ht="15.75" x14ac:dyDescent="0.25">
      <c r="A1065" s="44"/>
      <c r="B1065" s="23"/>
      <c r="C1065" s="23"/>
      <c r="D1065" s="36"/>
      <c r="E1065" s="23"/>
      <c r="F1065" s="23"/>
      <c r="G1065" s="23"/>
      <c r="H1065" s="23"/>
      <c r="I1065" s="23"/>
      <c r="J1065" s="23"/>
      <c r="K1065" s="23"/>
      <c r="L1065" s="23"/>
      <c r="M1065" s="36"/>
      <c r="N1065" s="23"/>
      <c r="O1065" s="23"/>
      <c r="P1065" s="23"/>
      <c r="Q1065" s="23"/>
      <c r="R1065" s="23"/>
      <c r="S1065" s="23"/>
      <c r="T1065" s="23"/>
      <c r="U1065" s="23"/>
      <c r="V1065" s="36"/>
      <c r="W1065" s="42"/>
      <c r="X1065" s="42"/>
      <c r="Y1065" s="23"/>
      <c r="Z1065" s="42"/>
      <c r="AA1065" s="42"/>
      <c r="AB1065" s="23"/>
      <c r="AC1065" s="23"/>
      <c r="AD1065" s="23"/>
      <c r="AE1065" s="36"/>
      <c r="AF1065" s="23"/>
    </row>
    <row r="1066" spans="1:32" ht="15.75" x14ac:dyDescent="0.25">
      <c r="A1066" s="44"/>
      <c r="B1066" s="23"/>
      <c r="C1066" s="23"/>
      <c r="D1066" s="36"/>
      <c r="E1066" s="23"/>
      <c r="F1066" s="23"/>
      <c r="G1066" s="23"/>
      <c r="H1066" s="23"/>
      <c r="I1066" s="23"/>
      <c r="J1066" s="23"/>
      <c r="K1066" s="23"/>
      <c r="L1066" s="23"/>
      <c r="M1066" s="36"/>
      <c r="N1066" s="23"/>
      <c r="O1066" s="23"/>
      <c r="P1066" s="23"/>
      <c r="Q1066" s="23"/>
      <c r="R1066" s="23"/>
      <c r="S1066" s="23"/>
      <c r="T1066" s="23"/>
      <c r="U1066" s="23"/>
      <c r="V1066" s="36"/>
      <c r="W1066" s="42"/>
      <c r="X1066" s="42"/>
      <c r="Y1066" s="23"/>
      <c r="Z1066" s="42"/>
      <c r="AA1066" s="42"/>
      <c r="AB1066" s="23"/>
      <c r="AC1066" s="23"/>
      <c r="AD1066" s="23"/>
      <c r="AE1066" s="36"/>
      <c r="AF1066" s="23"/>
    </row>
    <row r="1067" spans="1:32" ht="15.75" x14ac:dyDescent="0.25">
      <c r="A1067" s="44"/>
      <c r="B1067" s="23"/>
      <c r="C1067" s="23"/>
      <c r="D1067" s="36"/>
      <c r="E1067" s="23"/>
      <c r="F1067" s="23"/>
      <c r="G1067" s="23"/>
      <c r="H1067" s="23"/>
      <c r="I1067" s="23"/>
      <c r="J1067" s="23"/>
      <c r="K1067" s="23"/>
      <c r="L1067" s="23"/>
      <c r="M1067" s="36"/>
      <c r="N1067" s="23"/>
      <c r="O1067" s="23"/>
      <c r="P1067" s="23"/>
      <c r="Q1067" s="23"/>
      <c r="R1067" s="23"/>
      <c r="S1067" s="23"/>
      <c r="T1067" s="23"/>
      <c r="U1067" s="23"/>
      <c r="V1067" s="36"/>
      <c r="W1067" s="42"/>
      <c r="X1067" s="42"/>
      <c r="Y1067" s="23"/>
      <c r="Z1067" s="42"/>
      <c r="AA1067" s="42"/>
      <c r="AB1067" s="23"/>
      <c r="AC1067" s="23"/>
      <c r="AD1067" s="23"/>
      <c r="AE1067" s="36"/>
      <c r="AF1067" s="23"/>
    </row>
    <row r="1068" spans="1:32" ht="15.75" x14ac:dyDescent="0.25">
      <c r="A1068" s="44"/>
      <c r="B1068" s="23"/>
      <c r="C1068" s="23"/>
      <c r="D1068" s="36"/>
      <c r="E1068" s="23"/>
      <c r="F1068" s="23"/>
      <c r="G1068" s="23"/>
      <c r="H1068" s="23"/>
      <c r="I1068" s="23"/>
      <c r="J1068" s="23"/>
      <c r="K1068" s="23"/>
      <c r="L1068" s="23"/>
      <c r="M1068" s="36"/>
      <c r="N1068" s="23"/>
      <c r="O1068" s="23"/>
      <c r="P1068" s="23"/>
      <c r="Q1068" s="23"/>
      <c r="R1068" s="23"/>
      <c r="S1068" s="23"/>
      <c r="T1068" s="23"/>
      <c r="U1068" s="23"/>
      <c r="V1068" s="36"/>
      <c r="W1068" s="42"/>
      <c r="X1068" s="42"/>
      <c r="Y1068" s="23"/>
      <c r="Z1068" s="42"/>
      <c r="AA1068" s="42"/>
      <c r="AB1068" s="23"/>
      <c r="AC1068" s="23"/>
      <c r="AD1068" s="23"/>
      <c r="AE1068" s="36"/>
      <c r="AF1068" s="23"/>
    </row>
    <row r="1069" spans="1:32" ht="15.75" x14ac:dyDescent="0.25">
      <c r="A1069" s="44"/>
      <c r="B1069" s="23"/>
      <c r="C1069" s="23"/>
      <c r="D1069" s="36"/>
      <c r="E1069" s="23"/>
      <c r="F1069" s="23"/>
      <c r="G1069" s="23"/>
      <c r="H1069" s="23"/>
      <c r="I1069" s="23"/>
      <c r="J1069" s="23"/>
      <c r="K1069" s="23"/>
      <c r="L1069" s="23"/>
      <c r="M1069" s="36"/>
      <c r="N1069" s="23"/>
      <c r="O1069" s="23"/>
      <c r="P1069" s="23"/>
      <c r="Q1069" s="23"/>
      <c r="R1069" s="23"/>
      <c r="S1069" s="23"/>
      <c r="T1069" s="23"/>
      <c r="U1069" s="23"/>
      <c r="V1069" s="36"/>
      <c r="W1069" s="42"/>
      <c r="X1069" s="42"/>
      <c r="Y1069" s="23"/>
      <c r="Z1069" s="42"/>
      <c r="AA1069" s="42"/>
      <c r="AB1069" s="23"/>
      <c r="AC1069" s="23"/>
      <c r="AD1069" s="23"/>
      <c r="AE1069" s="36"/>
      <c r="AF1069" s="23"/>
    </row>
    <row r="1070" spans="1:32" ht="15.75" x14ac:dyDescent="0.25">
      <c r="A1070" s="44"/>
      <c r="B1070" s="23"/>
      <c r="C1070" s="23"/>
      <c r="D1070" s="36"/>
      <c r="E1070" s="23"/>
      <c r="F1070" s="23"/>
      <c r="G1070" s="23"/>
      <c r="H1070" s="23"/>
      <c r="I1070" s="23"/>
      <c r="J1070" s="23"/>
      <c r="K1070" s="23"/>
      <c r="L1070" s="23"/>
      <c r="M1070" s="36"/>
      <c r="N1070" s="23"/>
      <c r="O1070" s="23"/>
      <c r="P1070" s="23"/>
      <c r="Q1070" s="23"/>
      <c r="R1070" s="23"/>
      <c r="S1070" s="23"/>
      <c r="T1070" s="23"/>
      <c r="U1070" s="23"/>
      <c r="V1070" s="36"/>
      <c r="W1070" s="42"/>
      <c r="X1070" s="42"/>
      <c r="Y1070" s="23"/>
      <c r="Z1070" s="42"/>
      <c r="AA1070" s="42"/>
      <c r="AB1070" s="23"/>
      <c r="AC1070" s="23"/>
      <c r="AD1070" s="23"/>
      <c r="AE1070" s="36"/>
      <c r="AF1070" s="23"/>
    </row>
    <row r="1071" spans="1:32" ht="15.75" x14ac:dyDescent="0.25">
      <c r="A1071" s="44"/>
      <c r="B1071" s="23"/>
      <c r="C1071" s="23"/>
      <c r="D1071" s="36"/>
      <c r="E1071" s="23"/>
      <c r="F1071" s="23"/>
      <c r="G1071" s="23"/>
      <c r="H1071" s="23"/>
      <c r="I1071" s="23"/>
      <c r="J1071" s="23"/>
      <c r="K1071" s="23"/>
      <c r="L1071" s="23"/>
      <c r="M1071" s="36"/>
      <c r="N1071" s="23"/>
      <c r="O1071" s="23"/>
      <c r="P1071" s="23"/>
      <c r="Q1071" s="23"/>
      <c r="R1071" s="23"/>
      <c r="S1071" s="23"/>
      <c r="T1071" s="23"/>
      <c r="U1071" s="23"/>
      <c r="V1071" s="36"/>
      <c r="W1071" s="42"/>
      <c r="X1071" s="42"/>
      <c r="Y1071" s="23"/>
      <c r="Z1071" s="42"/>
      <c r="AA1071" s="42"/>
      <c r="AB1071" s="23"/>
      <c r="AC1071" s="23"/>
      <c r="AD1071" s="23"/>
      <c r="AE1071" s="36"/>
      <c r="AF1071" s="23"/>
    </row>
    <row r="1072" spans="1:32" ht="15.75" x14ac:dyDescent="0.25">
      <c r="A1072" s="44"/>
      <c r="B1072" s="23"/>
      <c r="C1072" s="23"/>
      <c r="D1072" s="36"/>
      <c r="E1072" s="23"/>
      <c r="F1072" s="23"/>
      <c r="G1072" s="23"/>
      <c r="H1072" s="23"/>
      <c r="I1072" s="23"/>
      <c r="J1072" s="23"/>
      <c r="K1072" s="23"/>
      <c r="L1072" s="23"/>
      <c r="M1072" s="36"/>
      <c r="N1072" s="23"/>
      <c r="O1072" s="23"/>
      <c r="P1072" s="23"/>
      <c r="Q1072" s="23"/>
      <c r="R1072" s="23"/>
      <c r="S1072" s="23"/>
      <c r="T1072" s="23"/>
      <c r="U1072" s="23"/>
      <c r="V1072" s="36"/>
      <c r="W1072" s="42"/>
      <c r="X1072" s="42"/>
      <c r="Y1072" s="23"/>
      <c r="Z1072" s="42"/>
      <c r="AA1072" s="42"/>
      <c r="AB1072" s="23"/>
      <c r="AC1072" s="23"/>
      <c r="AD1072" s="23"/>
      <c r="AE1072" s="36"/>
      <c r="AF1072" s="23"/>
    </row>
    <row r="1073" spans="1:32" ht="15.75" x14ac:dyDescent="0.25">
      <c r="A1073" s="44"/>
      <c r="B1073" s="23"/>
      <c r="C1073" s="23"/>
      <c r="D1073" s="36"/>
      <c r="E1073" s="23"/>
      <c r="F1073" s="23"/>
      <c r="G1073" s="23"/>
      <c r="H1073" s="23"/>
      <c r="I1073" s="23"/>
      <c r="J1073" s="23"/>
      <c r="K1073" s="23"/>
      <c r="L1073" s="23"/>
      <c r="M1073" s="36"/>
      <c r="N1073" s="23"/>
      <c r="O1073" s="23"/>
      <c r="P1073" s="23"/>
      <c r="Q1073" s="23"/>
      <c r="R1073" s="23"/>
      <c r="S1073" s="23"/>
      <c r="T1073" s="23"/>
      <c r="U1073" s="23"/>
      <c r="V1073" s="36"/>
      <c r="W1073" s="42"/>
      <c r="X1073" s="42"/>
      <c r="Y1073" s="23"/>
      <c r="Z1073" s="42"/>
      <c r="AA1073" s="42"/>
      <c r="AB1073" s="23"/>
      <c r="AC1073" s="23"/>
      <c r="AD1073" s="23"/>
      <c r="AE1073" s="36"/>
      <c r="AF1073" s="23"/>
    </row>
    <row r="1074" spans="1:32" ht="15.75" x14ac:dyDescent="0.25">
      <c r="A1074" s="44"/>
      <c r="B1074" s="23"/>
      <c r="C1074" s="23"/>
      <c r="D1074" s="36"/>
      <c r="E1074" s="23"/>
      <c r="F1074" s="23"/>
      <c r="G1074" s="23"/>
      <c r="H1074" s="23"/>
      <c r="I1074" s="23"/>
      <c r="J1074" s="23"/>
      <c r="K1074" s="23"/>
      <c r="L1074" s="23"/>
      <c r="M1074" s="36"/>
      <c r="N1074" s="23"/>
      <c r="O1074" s="23"/>
      <c r="P1074" s="23"/>
      <c r="Q1074" s="23"/>
      <c r="R1074" s="23"/>
      <c r="S1074" s="23"/>
      <c r="T1074" s="23"/>
      <c r="U1074" s="23"/>
      <c r="V1074" s="36"/>
      <c r="W1074" s="42"/>
      <c r="X1074" s="42"/>
      <c r="Y1074" s="23"/>
      <c r="Z1074" s="42"/>
      <c r="AA1074" s="42"/>
      <c r="AB1074" s="23"/>
      <c r="AC1074" s="23"/>
      <c r="AD1074" s="23"/>
      <c r="AE1074" s="36"/>
      <c r="AF1074" s="23"/>
    </row>
    <row r="1075" spans="1:32" ht="15.75" x14ac:dyDescent="0.25">
      <c r="A1075" s="44"/>
      <c r="B1075" s="23"/>
      <c r="C1075" s="23"/>
      <c r="D1075" s="36"/>
      <c r="E1075" s="23"/>
      <c r="F1075" s="23"/>
      <c r="G1075" s="23"/>
      <c r="H1075" s="23"/>
      <c r="I1075" s="23"/>
      <c r="J1075" s="23"/>
      <c r="K1075" s="23"/>
      <c r="L1075" s="23"/>
      <c r="M1075" s="36"/>
      <c r="N1075" s="23"/>
      <c r="O1075" s="23"/>
      <c r="P1075" s="23"/>
      <c r="Q1075" s="23"/>
      <c r="R1075" s="23"/>
      <c r="S1075" s="23"/>
      <c r="T1075" s="23"/>
      <c r="U1075" s="23"/>
      <c r="V1075" s="36"/>
      <c r="W1075" s="42"/>
      <c r="X1075" s="42"/>
      <c r="Y1075" s="23"/>
      <c r="Z1075" s="42"/>
      <c r="AA1075" s="42"/>
      <c r="AB1075" s="23"/>
      <c r="AC1075" s="23"/>
      <c r="AD1075" s="23"/>
      <c r="AE1075" s="36"/>
      <c r="AF1075" s="23"/>
    </row>
    <row r="1076" spans="1:32" ht="15.75" x14ac:dyDescent="0.25">
      <c r="A1076" s="44"/>
      <c r="B1076" s="23"/>
      <c r="C1076" s="23"/>
      <c r="D1076" s="36"/>
      <c r="E1076" s="23"/>
      <c r="F1076" s="23"/>
      <c r="G1076" s="23"/>
      <c r="H1076" s="23"/>
      <c r="I1076" s="23"/>
      <c r="J1076" s="23"/>
      <c r="K1076" s="23"/>
      <c r="L1076" s="23"/>
      <c r="M1076" s="36"/>
      <c r="N1076" s="23"/>
      <c r="O1076" s="23"/>
      <c r="P1076" s="23"/>
      <c r="Q1076" s="23"/>
      <c r="R1076" s="23"/>
      <c r="S1076" s="23"/>
      <c r="T1076" s="23"/>
      <c r="U1076" s="23"/>
      <c r="V1076" s="36"/>
      <c r="W1076" s="42"/>
      <c r="X1076" s="42"/>
      <c r="Y1076" s="23"/>
      <c r="Z1076" s="42"/>
      <c r="AA1076" s="42"/>
      <c r="AB1076" s="23"/>
      <c r="AC1076" s="23"/>
      <c r="AD1076" s="23"/>
      <c r="AE1076" s="36"/>
      <c r="AF1076" s="23"/>
    </row>
    <row r="1077" spans="1:32" ht="15.75" x14ac:dyDescent="0.25">
      <c r="A1077" s="44"/>
      <c r="B1077" s="23"/>
      <c r="C1077" s="23"/>
      <c r="D1077" s="36"/>
      <c r="E1077" s="23"/>
      <c r="F1077" s="23"/>
      <c r="G1077" s="23"/>
      <c r="H1077" s="23"/>
      <c r="I1077" s="23"/>
      <c r="J1077" s="23"/>
      <c r="K1077" s="23"/>
      <c r="L1077" s="23"/>
      <c r="M1077" s="36"/>
      <c r="N1077" s="23"/>
      <c r="O1077" s="23"/>
      <c r="P1077" s="23"/>
      <c r="Q1077" s="23"/>
      <c r="R1077" s="23"/>
      <c r="S1077" s="23"/>
      <c r="T1077" s="23"/>
      <c r="U1077" s="23"/>
      <c r="V1077" s="36"/>
      <c r="W1077" s="42"/>
      <c r="X1077" s="42"/>
      <c r="Y1077" s="23"/>
      <c r="Z1077" s="42"/>
      <c r="AA1077" s="42"/>
      <c r="AB1077" s="23"/>
      <c r="AC1077" s="23"/>
      <c r="AD1077" s="23"/>
      <c r="AE1077" s="36"/>
      <c r="AF1077" s="23"/>
    </row>
    <row r="1078" spans="1:32" ht="15.75" x14ac:dyDescent="0.25">
      <c r="A1078" s="44"/>
      <c r="B1078" s="23"/>
      <c r="C1078" s="23"/>
      <c r="D1078" s="36"/>
      <c r="E1078" s="23"/>
      <c r="F1078" s="23"/>
      <c r="G1078" s="23"/>
      <c r="H1078" s="23"/>
      <c r="I1078" s="23"/>
      <c r="J1078" s="23"/>
      <c r="K1078" s="23"/>
      <c r="L1078" s="23"/>
      <c r="M1078" s="36"/>
      <c r="N1078" s="23"/>
      <c r="O1078" s="23"/>
      <c r="P1078" s="23"/>
      <c r="Q1078" s="23"/>
      <c r="R1078" s="23"/>
      <c r="S1078" s="23"/>
      <c r="T1078" s="23"/>
      <c r="U1078" s="23"/>
      <c r="V1078" s="36"/>
      <c r="W1078" s="42"/>
      <c r="X1078" s="42"/>
      <c r="Y1078" s="23"/>
      <c r="Z1078" s="42"/>
      <c r="AA1078" s="42"/>
      <c r="AB1078" s="23"/>
      <c r="AC1078" s="23"/>
      <c r="AD1078" s="23"/>
      <c r="AE1078" s="36"/>
      <c r="AF1078" s="23"/>
    </row>
    <row r="1079" spans="1:32" ht="15.75" x14ac:dyDescent="0.25">
      <c r="A1079" s="44"/>
      <c r="B1079" s="23"/>
      <c r="C1079" s="23"/>
      <c r="D1079" s="36"/>
      <c r="E1079" s="23"/>
      <c r="F1079" s="23"/>
      <c r="G1079" s="23"/>
      <c r="H1079" s="23"/>
      <c r="I1079" s="23"/>
      <c r="J1079" s="23"/>
      <c r="K1079" s="23"/>
      <c r="L1079" s="23"/>
      <c r="M1079" s="36"/>
      <c r="N1079" s="23"/>
      <c r="O1079" s="23"/>
      <c r="P1079" s="23"/>
      <c r="Q1079" s="23"/>
      <c r="R1079" s="23"/>
      <c r="S1079" s="23"/>
      <c r="T1079" s="23"/>
      <c r="U1079" s="23"/>
      <c r="V1079" s="36"/>
      <c r="W1079" s="42"/>
      <c r="X1079" s="42"/>
      <c r="Y1079" s="23"/>
      <c r="Z1079" s="42"/>
      <c r="AA1079" s="42"/>
      <c r="AB1079" s="23"/>
      <c r="AC1079" s="23"/>
      <c r="AD1079" s="23"/>
      <c r="AE1079" s="36"/>
      <c r="AF1079" s="23"/>
    </row>
    <row r="1080" spans="1:32" ht="15.75" x14ac:dyDescent="0.25">
      <c r="A1080" s="44"/>
      <c r="B1080" s="23"/>
      <c r="C1080" s="23"/>
      <c r="D1080" s="36"/>
      <c r="E1080" s="23"/>
      <c r="F1080" s="23"/>
      <c r="G1080" s="23"/>
      <c r="H1080" s="23"/>
      <c r="I1080" s="23"/>
      <c r="J1080" s="23"/>
      <c r="K1080" s="23"/>
      <c r="L1080" s="23"/>
      <c r="M1080" s="36"/>
      <c r="N1080" s="23"/>
      <c r="O1080" s="23"/>
      <c r="P1080" s="23"/>
      <c r="Q1080" s="23"/>
      <c r="R1080" s="23"/>
      <c r="S1080" s="23"/>
      <c r="T1080" s="23"/>
      <c r="U1080" s="23"/>
      <c r="V1080" s="36"/>
      <c r="W1080" s="42"/>
      <c r="X1080" s="42"/>
      <c r="Y1080" s="23"/>
      <c r="Z1080" s="42"/>
      <c r="AA1080" s="42"/>
      <c r="AB1080" s="23"/>
      <c r="AC1080" s="23"/>
      <c r="AD1080" s="23"/>
      <c r="AE1080" s="36"/>
      <c r="AF1080" s="23"/>
    </row>
    <row r="1081" spans="1:32" ht="15.75" x14ac:dyDescent="0.25">
      <c r="A1081" s="44"/>
      <c r="B1081" s="23"/>
      <c r="C1081" s="23"/>
      <c r="D1081" s="36"/>
      <c r="E1081" s="23"/>
      <c r="F1081" s="23"/>
      <c r="G1081" s="23"/>
      <c r="H1081" s="23"/>
      <c r="I1081" s="23"/>
      <c r="J1081" s="23"/>
      <c r="K1081" s="23"/>
      <c r="L1081" s="23"/>
      <c r="M1081" s="36"/>
      <c r="N1081" s="23"/>
      <c r="O1081" s="23"/>
      <c r="P1081" s="23"/>
      <c r="Q1081" s="23"/>
      <c r="R1081" s="23"/>
      <c r="S1081" s="23"/>
      <c r="T1081" s="23"/>
      <c r="U1081" s="23"/>
      <c r="V1081" s="36"/>
      <c r="W1081" s="42"/>
      <c r="X1081" s="42"/>
      <c r="Y1081" s="23"/>
      <c r="Z1081" s="42"/>
      <c r="AA1081" s="42"/>
      <c r="AB1081" s="23"/>
      <c r="AC1081" s="23"/>
      <c r="AD1081" s="23"/>
      <c r="AE1081" s="36"/>
      <c r="AF1081" s="23"/>
    </row>
    <row r="1082" spans="1:32" ht="15.75" x14ac:dyDescent="0.25">
      <c r="A1082" s="44"/>
      <c r="B1082" s="23"/>
      <c r="C1082" s="23"/>
      <c r="D1082" s="36"/>
      <c r="E1082" s="23"/>
      <c r="F1082" s="23"/>
      <c r="G1082" s="23"/>
      <c r="H1082" s="23"/>
      <c r="I1082" s="23"/>
      <c r="J1082" s="23"/>
      <c r="K1082" s="23"/>
      <c r="L1082" s="23"/>
      <c r="M1082" s="36"/>
      <c r="N1082" s="23"/>
      <c r="O1082" s="23"/>
      <c r="P1082" s="23"/>
      <c r="Q1082" s="23"/>
      <c r="R1082" s="23"/>
      <c r="S1082" s="23"/>
      <c r="T1082" s="23"/>
      <c r="U1082" s="23"/>
      <c r="V1082" s="36"/>
      <c r="W1082" s="42"/>
      <c r="X1082" s="42"/>
      <c r="Y1082" s="23"/>
      <c r="Z1082" s="42"/>
      <c r="AA1082" s="42"/>
      <c r="AB1082" s="23"/>
      <c r="AC1082" s="23"/>
      <c r="AD1082" s="23"/>
      <c r="AE1082" s="36"/>
      <c r="AF1082" s="23"/>
    </row>
    <row r="1083" spans="1:32" ht="15.75" x14ac:dyDescent="0.25">
      <c r="A1083" s="44"/>
      <c r="B1083" s="23"/>
      <c r="C1083" s="23"/>
      <c r="D1083" s="36"/>
      <c r="E1083" s="23"/>
      <c r="F1083" s="23"/>
      <c r="G1083" s="23"/>
      <c r="H1083" s="23"/>
      <c r="I1083" s="23"/>
      <c r="J1083" s="23"/>
      <c r="K1083" s="23"/>
      <c r="L1083" s="23"/>
      <c r="M1083" s="36"/>
      <c r="N1083" s="23"/>
      <c r="O1083" s="23"/>
      <c r="P1083" s="23"/>
      <c r="Q1083" s="23"/>
      <c r="R1083" s="23"/>
      <c r="S1083" s="23"/>
      <c r="T1083" s="23"/>
      <c r="U1083" s="23"/>
      <c r="V1083" s="36"/>
      <c r="W1083" s="42"/>
      <c r="X1083" s="42"/>
      <c r="Y1083" s="23"/>
      <c r="Z1083" s="42"/>
      <c r="AA1083" s="42"/>
      <c r="AB1083" s="23"/>
      <c r="AC1083" s="23"/>
      <c r="AD1083" s="23"/>
      <c r="AE1083" s="36"/>
      <c r="AF1083" s="23"/>
    </row>
    <row r="1084" spans="1:32" ht="15.75" x14ac:dyDescent="0.25">
      <c r="A1084" s="44"/>
      <c r="B1084" s="23"/>
      <c r="C1084" s="23"/>
      <c r="D1084" s="36"/>
      <c r="E1084" s="23"/>
      <c r="F1084" s="23"/>
      <c r="G1084" s="23"/>
      <c r="H1084" s="23"/>
      <c r="I1084" s="23"/>
      <c r="J1084" s="23"/>
      <c r="K1084" s="23"/>
      <c r="L1084" s="23"/>
      <c r="M1084" s="36"/>
      <c r="N1084" s="23"/>
      <c r="O1084" s="23"/>
      <c r="P1084" s="23"/>
      <c r="Q1084" s="23"/>
      <c r="R1084" s="23"/>
      <c r="S1084" s="23"/>
      <c r="T1084" s="23"/>
      <c r="U1084" s="23"/>
      <c r="V1084" s="36"/>
      <c r="W1084" s="42"/>
      <c r="X1084" s="42"/>
      <c r="Y1084" s="23"/>
      <c r="Z1084" s="42"/>
      <c r="AA1084" s="42"/>
      <c r="AB1084" s="23"/>
      <c r="AC1084" s="23"/>
      <c r="AD1084" s="23"/>
      <c r="AE1084" s="36"/>
      <c r="AF1084" s="23"/>
    </row>
    <row r="1085" spans="1:32" ht="15.75" x14ac:dyDescent="0.25">
      <c r="A1085" s="44"/>
      <c r="B1085" s="23"/>
      <c r="C1085" s="23"/>
      <c r="D1085" s="36"/>
      <c r="E1085" s="23"/>
      <c r="F1085" s="23"/>
      <c r="G1085" s="23"/>
      <c r="H1085" s="23"/>
      <c r="I1085" s="23"/>
      <c r="J1085" s="23"/>
      <c r="K1085" s="23"/>
      <c r="L1085" s="23"/>
      <c r="M1085" s="36"/>
      <c r="N1085" s="23"/>
      <c r="O1085" s="23"/>
      <c r="P1085" s="23"/>
      <c r="Q1085" s="23"/>
      <c r="R1085" s="23"/>
      <c r="S1085" s="23"/>
      <c r="T1085" s="23"/>
      <c r="U1085" s="23"/>
      <c r="V1085" s="36"/>
      <c r="W1085" s="42"/>
      <c r="X1085" s="42"/>
      <c r="Y1085" s="23"/>
      <c r="Z1085" s="42"/>
      <c r="AA1085" s="42"/>
      <c r="AB1085" s="23"/>
      <c r="AC1085" s="23"/>
      <c r="AD1085" s="23"/>
      <c r="AE1085" s="36"/>
      <c r="AF1085" s="23"/>
    </row>
    <row r="1086" spans="1:32" ht="15.75" x14ac:dyDescent="0.25">
      <c r="A1086" s="44"/>
      <c r="B1086" s="23"/>
      <c r="C1086" s="23"/>
      <c r="D1086" s="36"/>
      <c r="E1086" s="23"/>
      <c r="F1086" s="23"/>
      <c r="G1086" s="23"/>
      <c r="H1086" s="23"/>
      <c r="I1086" s="23"/>
      <c r="J1086" s="23"/>
      <c r="K1086" s="23"/>
      <c r="L1086" s="23"/>
      <c r="M1086" s="36"/>
      <c r="N1086" s="23"/>
      <c r="O1086" s="23"/>
      <c r="P1086" s="23"/>
      <c r="Q1086" s="23"/>
      <c r="R1086" s="23"/>
      <c r="S1086" s="23"/>
      <c r="T1086" s="23"/>
      <c r="U1086" s="23"/>
      <c r="V1086" s="36"/>
      <c r="W1086" s="42"/>
      <c r="X1086" s="42"/>
      <c r="Y1086" s="23"/>
      <c r="Z1086" s="42"/>
      <c r="AA1086" s="42"/>
      <c r="AB1086" s="23"/>
      <c r="AC1086" s="23"/>
      <c r="AD1086" s="23"/>
      <c r="AE1086" s="36"/>
      <c r="AF1086" s="23"/>
    </row>
    <row r="1087" spans="1:32" ht="15.75" x14ac:dyDescent="0.25">
      <c r="A1087" s="44"/>
      <c r="B1087" s="23"/>
      <c r="C1087" s="23"/>
      <c r="D1087" s="36"/>
      <c r="E1087" s="23"/>
      <c r="F1087" s="23"/>
      <c r="G1087" s="23"/>
      <c r="H1087" s="23"/>
      <c r="I1087" s="23"/>
      <c r="J1087" s="23"/>
      <c r="K1087" s="23"/>
      <c r="L1087" s="23"/>
      <c r="M1087" s="36"/>
      <c r="N1087" s="23"/>
      <c r="O1087" s="23"/>
      <c r="P1087" s="23"/>
      <c r="Q1087" s="23"/>
      <c r="R1087" s="23"/>
      <c r="S1087" s="23"/>
      <c r="T1087" s="23"/>
      <c r="U1087" s="23"/>
      <c r="V1087" s="36"/>
      <c r="W1087" s="42"/>
      <c r="X1087" s="42"/>
      <c r="Y1087" s="23"/>
      <c r="Z1087" s="42"/>
      <c r="AA1087" s="42"/>
      <c r="AB1087" s="23"/>
      <c r="AC1087" s="23"/>
      <c r="AD1087" s="23"/>
      <c r="AE1087" s="36"/>
      <c r="AF1087" s="23"/>
    </row>
    <row r="1088" spans="1:32" ht="15.75" x14ac:dyDescent="0.25">
      <c r="A1088" s="44"/>
      <c r="B1088" s="23"/>
      <c r="C1088" s="23"/>
      <c r="D1088" s="36"/>
      <c r="E1088" s="23"/>
      <c r="F1088" s="23"/>
      <c r="G1088" s="23"/>
      <c r="H1088" s="23"/>
      <c r="I1088" s="23"/>
      <c r="J1088" s="23"/>
      <c r="K1088" s="23"/>
      <c r="L1088" s="23"/>
      <c r="M1088" s="36"/>
      <c r="N1088" s="23"/>
      <c r="O1088" s="23"/>
      <c r="P1088" s="23"/>
      <c r="Q1088" s="23"/>
      <c r="R1088" s="23"/>
      <c r="S1088" s="23"/>
      <c r="T1088" s="23"/>
      <c r="U1088" s="23"/>
      <c r="V1088" s="36"/>
      <c r="W1088" s="42"/>
      <c r="X1088" s="42"/>
      <c r="Y1088" s="23"/>
      <c r="Z1088" s="42"/>
      <c r="AA1088" s="42"/>
      <c r="AB1088" s="23"/>
      <c r="AC1088" s="23"/>
      <c r="AD1088" s="23"/>
      <c r="AE1088" s="36"/>
      <c r="AF1088" s="23"/>
    </row>
    <row r="1089" spans="1:32" ht="15.75" x14ac:dyDescent="0.25">
      <c r="A1089" s="44"/>
      <c r="B1089" s="23"/>
      <c r="C1089" s="23"/>
      <c r="D1089" s="36"/>
      <c r="E1089" s="23"/>
      <c r="F1089" s="23"/>
      <c r="G1089" s="23"/>
      <c r="H1089" s="23"/>
      <c r="I1089" s="23"/>
      <c r="J1089" s="23"/>
      <c r="K1089" s="23"/>
      <c r="L1089" s="23"/>
      <c r="M1089" s="36"/>
      <c r="N1089" s="23"/>
      <c r="O1089" s="23"/>
      <c r="P1089" s="23"/>
      <c r="Q1089" s="23"/>
      <c r="R1089" s="23"/>
      <c r="S1089" s="23"/>
      <c r="T1089" s="23"/>
      <c r="U1089" s="23"/>
      <c r="V1089" s="36"/>
      <c r="W1089" s="42"/>
      <c r="X1089" s="42"/>
      <c r="Y1089" s="23"/>
      <c r="Z1089" s="42"/>
      <c r="AA1089" s="42"/>
      <c r="AB1089" s="23"/>
      <c r="AC1089" s="23"/>
      <c r="AD1089" s="23"/>
      <c r="AE1089" s="36"/>
      <c r="AF1089" s="23"/>
    </row>
    <row r="1090" spans="1:32" ht="15.75" x14ac:dyDescent="0.25">
      <c r="A1090" s="44"/>
      <c r="B1090" s="23"/>
      <c r="C1090" s="23"/>
      <c r="D1090" s="36"/>
      <c r="E1090" s="23"/>
      <c r="F1090" s="23"/>
      <c r="G1090" s="23"/>
      <c r="H1090" s="23"/>
      <c r="I1090" s="23"/>
      <c r="J1090" s="23"/>
      <c r="K1090" s="23"/>
      <c r="L1090" s="23"/>
      <c r="M1090" s="36"/>
      <c r="N1090" s="23"/>
      <c r="O1090" s="23"/>
      <c r="P1090" s="23"/>
      <c r="Q1090" s="23"/>
      <c r="R1090" s="23"/>
      <c r="S1090" s="23"/>
      <c r="T1090" s="23"/>
      <c r="U1090" s="23"/>
      <c r="V1090" s="36"/>
      <c r="W1090" s="42"/>
      <c r="X1090" s="42"/>
      <c r="Y1090" s="23"/>
      <c r="Z1090" s="42"/>
      <c r="AA1090" s="42"/>
      <c r="AB1090" s="23"/>
      <c r="AC1090" s="23"/>
      <c r="AD1090" s="23"/>
      <c r="AE1090" s="36"/>
      <c r="AF1090" s="23"/>
    </row>
    <row r="1091" spans="1:32" ht="15.75" x14ac:dyDescent="0.25">
      <c r="A1091" s="44"/>
      <c r="B1091" s="23"/>
      <c r="C1091" s="23"/>
      <c r="D1091" s="36"/>
      <c r="E1091" s="23"/>
      <c r="F1091" s="23"/>
      <c r="G1091" s="23"/>
      <c r="H1091" s="23"/>
      <c r="I1091" s="23"/>
      <c r="J1091" s="23"/>
      <c r="K1091" s="23"/>
      <c r="L1091" s="23"/>
      <c r="M1091" s="36"/>
      <c r="N1091" s="23"/>
      <c r="O1091" s="23"/>
      <c r="P1091" s="23"/>
      <c r="Q1091" s="23"/>
      <c r="R1091" s="23"/>
      <c r="S1091" s="23"/>
      <c r="T1091" s="23"/>
      <c r="U1091" s="23"/>
      <c r="V1091" s="36"/>
      <c r="W1091" s="42"/>
      <c r="X1091" s="42"/>
      <c r="Y1091" s="23"/>
      <c r="Z1091" s="42"/>
      <c r="AA1091" s="42"/>
      <c r="AB1091" s="23"/>
      <c r="AC1091" s="23"/>
      <c r="AD1091" s="23"/>
      <c r="AE1091" s="36"/>
      <c r="AF1091" s="23"/>
    </row>
    <row r="1092" spans="1:32" ht="15.75" x14ac:dyDescent="0.25">
      <c r="A1092" s="44"/>
      <c r="B1092" s="23"/>
      <c r="C1092" s="23"/>
      <c r="D1092" s="36"/>
      <c r="E1092" s="23"/>
      <c r="F1092" s="23"/>
      <c r="G1092" s="23"/>
      <c r="H1092" s="23"/>
      <c r="I1092" s="23"/>
      <c r="J1092" s="23"/>
      <c r="K1092" s="23"/>
      <c r="L1092" s="23"/>
      <c r="M1092" s="36"/>
      <c r="N1092" s="23"/>
      <c r="O1092" s="23"/>
      <c r="P1092" s="23"/>
      <c r="Q1092" s="23"/>
      <c r="R1092" s="23"/>
      <c r="S1092" s="23"/>
      <c r="T1092" s="23"/>
      <c r="U1092" s="23"/>
      <c r="V1092" s="36"/>
      <c r="W1092" s="42"/>
      <c r="X1092" s="42"/>
      <c r="Y1092" s="23"/>
      <c r="Z1092" s="42"/>
      <c r="AA1092" s="42"/>
      <c r="AB1092" s="23"/>
      <c r="AC1092" s="23"/>
      <c r="AD1092" s="23"/>
      <c r="AE1092" s="36"/>
      <c r="AF1092" s="23"/>
    </row>
    <row r="1093" spans="1:32" ht="15.75" x14ac:dyDescent="0.25">
      <c r="A1093" s="44"/>
      <c r="B1093" s="23"/>
      <c r="C1093" s="23"/>
      <c r="D1093" s="36"/>
      <c r="E1093" s="23"/>
      <c r="F1093" s="23"/>
      <c r="G1093" s="23"/>
      <c r="H1093" s="23"/>
      <c r="I1093" s="23"/>
      <c r="J1093" s="23"/>
      <c r="K1093" s="23"/>
      <c r="L1093" s="23"/>
      <c r="M1093" s="36"/>
      <c r="N1093" s="23"/>
      <c r="O1093" s="23"/>
      <c r="P1093" s="23"/>
      <c r="Q1093" s="23"/>
      <c r="R1093" s="23"/>
      <c r="S1093" s="23"/>
      <c r="T1093" s="23"/>
      <c r="U1093" s="23"/>
      <c r="V1093" s="36"/>
      <c r="W1093" s="42"/>
      <c r="X1093" s="42"/>
      <c r="Y1093" s="23"/>
      <c r="Z1093" s="42"/>
      <c r="AA1093" s="42"/>
      <c r="AB1093" s="23"/>
      <c r="AC1093" s="23"/>
      <c r="AD1093" s="23"/>
      <c r="AE1093" s="36"/>
      <c r="AF1093" s="23"/>
    </row>
    <row r="1094" spans="1:32" ht="15.75" x14ac:dyDescent="0.25">
      <c r="A1094" s="44"/>
      <c r="B1094" s="23"/>
      <c r="C1094" s="23"/>
      <c r="D1094" s="36"/>
      <c r="E1094" s="23"/>
      <c r="F1094" s="23"/>
      <c r="G1094" s="23"/>
      <c r="H1094" s="23"/>
      <c r="I1094" s="23"/>
      <c r="J1094" s="23"/>
      <c r="K1094" s="23"/>
      <c r="L1094" s="23"/>
      <c r="M1094" s="36"/>
      <c r="N1094" s="23"/>
      <c r="O1094" s="23"/>
      <c r="P1094" s="23"/>
      <c r="Q1094" s="23"/>
      <c r="R1094" s="23"/>
      <c r="S1094" s="23"/>
      <c r="T1094" s="23"/>
      <c r="U1094" s="23"/>
      <c r="V1094" s="36"/>
      <c r="W1094" s="42"/>
      <c r="X1094" s="42"/>
      <c r="Y1094" s="23"/>
      <c r="Z1094" s="42"/>
      <c r="AA1094" s="42"/>
      <c r="AB1094" s="23"/>
      <c r="AC1094" s="23"/>
      <c r="AD1094" s="23"/>
      <c r="AE1094" s="36"/>
      <c r="AF1094" s="23"/>
    </row>
    <row r="1095" spans="1:32" ht="15.75" x14ac:dyDescent="0.25">
      <c r="A1095" s="44"/>
      <c r="B1095" s="23"/>
      <c r="C1095" s="23"/>
      <c r="D1095" s="36"/>
      <c r="E1095" s="23"/>
      <c r="F1095" s="23"/>
      <c r="G1095" s="23"/>
      <c r="H1095" s="23"/>
      <c r="I1095" s="23"/>
      <c r="J1095" s="23"/>
      <c r="K1095" s="23"/>
      <c r="L1095" s="23"/>
      <c r="M1095" s="36"/>
      <c r="N1095" s="23"/>
      <c r="O1095" s="23"/>
      <c r="P1095" s="23"/>
      <c r="Q1095" s="23"/>
      <c r="R1095" s="23"/>
      <c r="S1095" s="23"/>
      <c r="T1095" s="23"/>
      <c r="U1095" s="23"/>
      <c r="V1095" s="36"/>
      <c r="W1095" s="42"/>
      <c r="X1095" s="42"/>
      <c r="Y1095" s="23"/>
      <c r="Z1095" s="42"/>
      <c r="AA1095" s="42"/>
      <c r="AB1095" s="23"/>
      <c r="AC1095" s="23"/>
      <c r="AD1095" s="23"/>
      <c r="AE1095" s="36"/>
      <c r="AF1095" s="23"/>
    </row>
    <row r="1096" spans="1:32" ht="15.75" x14ac:dyDescent="0.25">
      <c r="A1096" s="44"/>
      <c r="B1096" s="23"/>
      <c r="C1096" s="23"/>
      <c r="D1096" s="36"/>
      <c r="E1096" s="23"/>
      <c r="F1096" s="23"/>
      <c r="G1096" s="23"/>
      <c r="H1096" s="23"/>
      <c r="I1096" s="23"/>
      <c r="J1096" s="23"/>
      <c r="K1096" s="23"/>
      <c r="L1096" s="23"/>
      <c r="M1096" s="36"/>
      <c r="N1096" s="23"/>
      <c r="O1096" s="23"/>
      <c r="P1096" s="23"/>
      <c r="Q1096" s="23"/>
      <c r="R1096" s="23"/>
      <c r="S1096" s="23"/>
      <c r="T1096" s="23"/>
      <c r="U1096" s="23"/>
      <c r="V1096" s="36"/>
      <c r="W1096" s="42"/>
      <c r="X1096" s="42"/>
      <c r="Y1096" s="23"/>
      <c r="Z1096" s="42"/>
      <c r="AA1096" s="42"/>
      <c r="AB1096" s="23"/>
      <c r="AC1096" s="23"/>
      <c r="AD1096" s="23"/>
      <c r="AE1096" s="36"/>
      <c r="AF1096" s="23"/>
    </row>
    <row r="1097" spans="1:32" ht="15.75" x14ac:dyDescent="0.25">
      <c r="A1097" s="44"/>
      <c r="B1097" s="23"/>
      <c r="C1097" s="23"/>
      <c r="D1097" s="36"/>
      <c r="E1097" s="23"/>
      <c r="F1097" s="23"/>
      <c r="G1097" s="23"/>
      <c r="H1097" s="23"/>
      <c r="I1097" s="23"/>
      <c r="J1097" s="23"/>
      <c r="K1097" s="23"/>
      <c r="L1097" s="23"/>
      <c r="M1097" s="36"/>
      <c r="N1097" s="23"/>
      <c r="O1097" s="23"/>
      <c r="P1097" s="23"/>
      <c r="Q1097" s="23"/>
      <c r="R1097" s="23"/>
      <c r="S1097" s="23"/>
      <c r="T1097" s="23"/>
      <c r="U1097" s="23"/>
      <c r="V1097" s="36"/>
      <c r="W1097" s="42"/>
      <c r="X1097" s="42"/>
      <c r="Y1097" s="23"/>
      <c r="Z1097" s="42"/>
      <c r="AA1097" s="42"/>
      <c r="AB1097" s="23"/>
      <c r="AC1097" s="23"/>
      <c r="AD1097" s="23"/>
      <c r="AE1097" s="36"/>
      <c r="AF1097" s="23"/>
    </row>
    <row r="1098" spans="1:32" ht="15.75" x14ac:dyDescent="0.25">
      <c r="A1098" s="44"/>
      <c r="B1098" s="23"/>
      <c r="C1098" s="23"/>
      <c r="D1098" s="36"/>
      <c r="E1098" s="23"/>
      <c r="F1098" s="23"/>
      <c r="G1098" s="23"/>
      <c r="H1098" s="23"/>
      <c r="I1098" s="23"/>
      <c r="J1098" s="23"/>
      <c r="K1098" s="23"/>
      <c r="L1098" s="23"/>
      <c r="M1098" s="36"/>
      <c r="N1098" s="23"/>
      <c r="O1098" s="23"/>
      <c r="P1098" s="23"/>
      <c r="Q1098" s="23"/>
      <c r="R1098" s="23"/>
      <c r="S1098" s="23"/>
      <c r="T1098" s="23"/>
      <c r="U1098" s="23"/>
      <c r="V1098" s="36"/>
      <c r="W1098" s="42"/>
      <c r="X1098" s="42"/>
      <c r="Y1098" s="23"/>
      <c r="Z1098" s="42"/>
      <c r="AA1098" s="42"/>
      <c r="AB1098" s="23"/>
      <c r="AC1098" s="23"/>
      <c r="AD1098" s="23"/>
      <c r="AE1098" s="36"/>
      <c r="AF1098" s="23"/>
    </row>
    <row r="1099" spans="1:32" ht="15.75" x14ac:dyDescent="0.25">
      <c r="A1099" s="44"/>
      <c r="B1099" s="23"/>
      <c r="C1099" s="23"/>
      <c r="D1099" s="36"/>
      <c r="E1099" s="23"/>
      <c r="F1099" s="23"/>
      <c r="G1099" s="23"/>
      <c r="H1099" s="23"/>
      <c r="I1099" s="23"/>
      <c r="J1099" s="23"/>
      <c r="K1099" s="23"/>
      <c r="L1099" s="23"/>
      <c r="M1099" s="36"/>
      <c r="N1099" s="23"/>
      <c r="O1099" s="23"/>
      <c r="P1099" s="23"/>
      <c r="Q1099" s="23"/>
      <c r="R1099" s="23"/>
      <c r="S1099" s="23"/>
      <c r="T1099" s="23"/>
      <c r="U1099" s="23"/>
      <c r="V1099" s="36"/>
      <c r="W1099" s="42"/>
      <c r="X1099" s="42"/>
      <c r="Y1099" s="23"/>
      <c r="Z1099" s="42"/>
      <c r="AA1099" s="42"/>
      <c r="AB1099" s="23"/>
      <c r="AC1099" s="23"/>
      <c r="AD1099" s="23"/>
      <c r="AE1099" s="36"/>
      <c r="AF1099" s="23"/>
    </row>
    <row r="1100" spans="1:32" ht="15.75" x14ac:dyDescent="0.25">
      <c r="A1100" s="44"/>
      <c r="B1100" s="23"/>
      <c r="C1100" s="23"/>
      <c r="D1100" s="36"/>
      <c r="E1100" s="23"/>
      <c r="F1100" s="23"/>
      <c r="G1100" s="23"/>
      <c r="H1100" s="23"/>
      <c r="I1100" s="23"/>
      <c r="J1100" s="23"/>
      <c r="K1100" s="23"/>
      <c r="L1100" s="23"/>
      <c r="M1100" s="36"/>
      <c r="N1100" s="23"/>
      <c r="O1100" s="23"/>
      <c r="P1100" s="23"/>
      <c r="Q1100" s="23"/>
      <c r="R1100" s="23"/>
      <c r="S1100" s="23"/>
      <c r="T1100" s="23"/>
      <c r="U1100" s="23"/>
      <c r="V1100" s="36"/>
      <c r="W1100" s="42"/>
      <c r="X1100" s="42"/>
      <c r="Y1100" s="23"/>
      <c r="Z1100" s="42"/>
      <c r="AA1100" s="42"/>
      <c r="AB1100" s="23"/>
      <c r="AC1100" s="23"/>
      <c r="AD1100" s="23"/>
      <c r="AE1100" s="36"/>
      <c r="AF1100" s="23"/>
    </row>
    <row r="1101" spans="1:32" ht="15.75" x14ac:dyDescent="0.25">
      <c r="A1101" s="44"/>
      <c r="B1101" s="23"/>
      <c r="C1101" s="23"/>
      <c r="D1101" s="36"/>
      <c r="E1101" s="23"/>
      <c r="F1101" s="23"/>
      <c r="G1101" s="23"/>
      <c r="H1101" s="23"/>
      <c r="I1101" s="23"/>
      <c r="J1101" s="23"/>
      <c r="K1101" s="23"/>
      <c r="L1101" s="23"/>
      <c r="M1101" s="36"/>
      <c r="N1101" s="23"/>
      <c r="O1101" s="23"/>
      <c r="P1101" s="23"/>
      <c r="Q1101" s="23"/>
      <c r="R1101" s="23"/>
      <c r="S1101" s="23"/>
      <c r="T1101" s="23"/>
      <c r="U1101" s="23"/>
      <c r="V1101" s="36"/>
      <c r="W1101" s="42"/>
      <c r="X1101" s="42"/>
      <c r="Y1101" s="23"/>
      <c r="Z1101" s="42"/>
      <c r="AA1101" s="42"/>
      <c r="AB1101" s="23"/>
      <c r="AC1101" s="23"/>
      <c r="AD1101" s="23"/>
      <c r="AE1101" s="36"/>
      <c r="AF1101" s="23"/>
    </row>
    <row r="1102" spans="1:32" ht="15.75" x14ac:dyDescent="0.25">
      <c r="A1102" s="44"/>
      <c r="B1102" s="23"/>
      <c r="C1102" s="23"/>
      <c r="D1102" s="36"/>
      <c r="E1102" s="23"/>
      <c r="F1102" s="23"/>
      <c r="G1102" s="23"/>
      <c r="H1102" s="23"/>
      <c r="I1102" s="23"/>
      <c r="J1102" s="23"/>
      <c r="K1102" s="23"/>
      <c r="L1102" s="23"/>
      <c r="M1102" s="36"/>
      <c r="N1102" s="23"/>
      <c r="O1102" s="23"/>
      <c r="P1102" s="23"/>
      <c r="Q1102" s="23"/>
      <c r="R1102" s="23"/>
      <c r="S1102" s="23"/>
      <c r="T1102" s="23"/>
      <c r="U1102" s="23"/>
      <c r="V1102" s="36"/>
      <c r="W1102" s="42"/>
      <c r="X1102" s="42"/>
      <c r="Y1102" s="23"/>
      <c r="Z1102" s="42"/>
      <c r="AA1102" s="42"/>
      <c r="AB1102" s="23"/>
      <c r="AC1102" s="23"/>
      <c r="AD1102" s="23"/>
      <c r="AE1102" s="36"/>
      <c r="AF1102" s="23"/>
    </row>
    <row r="1103" spans="1:32" ht="15.75" x14ac:dyDescent="0.25">
      <c r="A1103" s="44"/>
      <c r="B1103" s="23"/>
      <c r="C1103" s="23"/>
      <c r="D1103" s="36"/>
      <c r="E1103" s="23"/>
      <c r="F1103" s="23"/>
      <c r="G1103" s="23"/>
      <c r="H1103" s="23"/>
      <c r="I1103" s="23"/>
      <c r="J1103" s="23"/>
      <c r="K1103" s="23"/>
      <c r="L1103" s="23"/>
      <c r="M1103" s="36"/>
      <c r="N1103" s="23"/>
      <c r="O1103" s="23"/>
      <c r="P1103" s="23"/>
      <c r="Q1103" s="23"/>
      <c r="R1103" s="23"/>
      <c r="S1103" s="23"/>
      <c r="T1103" s="23"/>
      <c r="U1103" s="23"/>
      <c r="V1103" s="36"/>
      <c r="W1103" s="42"/>
      <c r="X1103" s="42"/>
      <c r="Y1103" s="23"/>
      <c r="Z1103" s="42"/>
      <c r="AA1103" s="42"/>
      <c r="AB1103" s="23"/>
      <c r="AC1103" s="23"/>
      <c r="AD1103" s="23"/>
      <c r="AE1103" s="36"/>
      <c r="AF1103" s="23"/>
    </row>
    <row r="1104" spans="1:32" ht="15.75" x14ac:dyDescent="0.25">
      <c r="A1104" s="44"/>
      <c r="B1104" s="23"/>
      <c r="C1104" s="23"/>
      <c r="D1104" s="36"/>
      <c r="E1104" s="23"/>
      <c r="F1104" s="23"/>
      <c r="G1104" s="23"/>
      <c r="H1104" s="23"/>
      <c r="I1104" s="23"/>
      <c r="J1104" s="23"/>
      <c r="K1104" s="23"/>
      <c r="L1104" s="23"/>
      <c r="M1104" s="36"/>
      <c r="N1104" s="23"/>
      <c r="O1104" s="23"/>
      <c r="P1104" s="23"/>
      <c r="Q1104" s="23"/>
      <c r="R1104" s="23"/>
      <c r="S1104" s="23"/>
      <c r="T1104" s="23"/>
      <c r="U1104" s="23"/>
      <c r="V1104" s="36"/>
      <c r="W1104" s="42"/>
      <c r="X1104" s="42"/>
      <c r="Y1104" s="23"/>
      <c r="Z1104" s="42"/>
      <c r="AA1104" s="42"/>
      <c r="AB1104" s="23"/>
      <c r="AC1104" s="23"/>
      <c r="AD1104" s="23"/>
      <c r="AE1104" s="36"/>
      <c r="AF1104" s="23"/>
    </row>
    <row r="1105" spans="1:32" ht="15.75" x14ac:dyDescent="0.25">
      <c r="A1105" s="44"/>
      <c r="B1105" s="23"/>
      <c r="C1105" s="23"/>
      <c r="D1105" s="36"/>
      <c r="E1105" s="23"/>
      <c r="F1105" s="23"/>
      <c r="G1105" s="23"/>
      <c r="H1105" s="23"/>
      <c r="I1105" s="23"/>
      <c r="J1105" s="23"/>
      <c r="K1105" s="23"/>
      <c r="L1105" s="23"/>
      <c r="M1105" s="36"/>
      <c r="N1105" s="23"/>
      <c r="O1105" s="23"/>
      <c r="P1105" s="23"/>
      <c r="Q1105" s="23"/>
      <c r="R1105" s="23"/>
      <c r="S1105" s="23"/>
      <c r="T1105" s="23"/>
      <c r="U1105" s="23"/>
      <c r="V1105" s="36"/>
      <c r="W1105" s="42"/>
      <c r="X1105" s="42"/>
      <c r="Y1105" s="23"/>
      <c r="Z1105" s="42"/>
      <c r="AA1105" s="42"/>
      <c r="AB1105" s="23"/>
      <c r="AC1105" s="23"/>
      <c r="AD1105" s="23"/>
      <c r="AE1105" s="36"/>
      <c r="AF1105" s="23"/>
    </row>
    <row r="1106" spans="1:32" ht="15.75" x14ac:dyDescent="0.25">
      <c r="A1106" s="44"/>
      <c r="B1106" s="23"/>
      <c r="C1106" s="23"/>
      <c r="D1106" s="36"/>
      <c r="E1106" s="23"/>
      <c r="F1106" s="23"/>
      <c r="G1106" s="23"/>
      <c r="H1106" s="23"/>
      <c r="I1106" s="23"/>
      <c r="J1106" s="23"/>
      <c r="K1106" s="23"/>
      <c r="L1106" s="23"/>
      <c r="M1106" s="36"/>
      <c r="N1106" s="23"/>
      <c r="O1106" s="23"/>
      <c r="P1106" s="23"/>
      <c r="Q1106" s="23"/>
      <c r="R1106" s="23"/>
      <c r="S1106" s="23"/>
      <c r="T1106" s="23"/>
      <c r="U1106" s="23"/>
      <c r="V1106" s="36"/>
      <c r="W1106" s="42"/>
      <c r="X1106" s="42"/>
      <c r="Y1106" s="23"/>
      <c r="Z1106" s="42"/>
      <c r="AA1106" s="42"/>
      <c r="AB1106" s="23"/>
      <c r="AC1106" s="23"/>
      <c r="AD1106" s="23"/>
      <c r="AE1106" s="36"/>
      <c r="AF1106" s="23"/>
    </row>
    <row r="1107" spans="1:32" ht="15.75" x14ac:dyDescent="0.25">
      <c r="A1107" s="44"/>
      <c r="B1107" s="23"/>
      <c r="C1107" s="23"/>
      <c r="D1107" s="36"/>
      <c r="E1107" s="23"/>
      <c r="F1107" s="23"/>
      <c r="G1107" s="23"/>
      <c r="H1107" s="23"/>
      <c r="I1107" s="23"/>
      <c r="J1107" s="23"/>
      <c r="K1107" s="23"/>
      <c r="L1107" s="23"/>
      <c r="M1107" s="36"/>
      <c r="N1107" s="23"/>
      <c r="O1107" s="23"/>
      <c r="P1107" s="23"/>
      <c r="Q1107" s="23"/>
      <c r="R1107" s="23"/>
      <c r="S1107" s="23"/>
      <c r="T1107" s="23"/>
      <c r="U1107" s="23"/>
      <c r="V1107" s="36"/>
      <c r="W1107" s="42"/>
      <c r="X1107" s="42"/>
      <c r="Y1107" s="23"/>
      <c r="Z1107" s="42"/>
      <c r="AA1107" s="42"/>
      <c r="AB1107" s="23"/>
      <c r="AC1107" s="23"/>
      <c r="AD1107" s="23"/>
      <c r="AE1107" s="36"/>
      <c r="AF1107" s="23"/>
    </row>
    <row r="1108" spans="1:32" ht="15.75" x14ac:dyDescent="0.25">
      <c r="A1108" s="44"/>
      <c r="B1108" s="23"/>
      <c r="C1108" s="23"/>
      <c r="D1108" s="36"/>
      <c r="E1108" s="23"/>
      <c r="F1108" s="23"/>
      <c r="G1108" s="23"/>
      <c r="H1108" s="23"/>
      <c r="I1108" s="23"/>
      <c r="J1108" s="23"/>
      <c r="K1108" s="23"/>
      <c r="L1108" s="23"/>
      <c r="M1108" s="36"/>
      <c r="N1108" s="23"/>
      <c r="O1108" s="23"/>
      <c r="P1108" s="23"/>
      <c r="Q1108" s="23"/>
      <c r="R1108" s="23"/>
      <c r="S1108" s="23"/>
      <c r="T1108" s="23"/>
      <c r="U1108" s="23"/>
      <c r="V1108" s="36"/>
      <c r="W1108" s="42"/>
      <c r="X1108" s="42"/>
      <c r="Y1108" s="23"/>
      <c r="Z1108" s="42"/>
      <c r="AA1108" s="42"/>
      <c r="AB1108" s="23"/>
      <c r="AC1108" s="23"/>
      <c r="AD1108" s="23"/>
      <c r="AE1108" s="36"/>
      <c r="AF1108" s="23"/>
    </row>
    <row r="1109" spans="1:32" ht="15.75" x14ac:dyDescent="0.25">
      <c r="A1109" s="44"/>
      <c r="B1109" s="23"/>
      <c r="C1109" s="23"/>
      <c r="D1109" s="36"/>
      <c r="E1109" s="23"/>
      <c r="F1109" s="23"/>
      <c r="G1109" s="23"/>
      <c r="H1109" s="23"/>
      <c r="I1109" s="23"/>
      <c r="J1109" s="23"/>
      <c r="K1109" s="23"/>
      <c r="L1109" s="23"/>
      <c r="M1109" s="36"/>
      <c r="N1109" s="23"/>
      <c r="O1109" s="23"/>
      <c r="P1109" s="23"/>
      <c r="Q1109" s="23"/>
      <c r="R1109" s="23"/>
      <c r="S1109" s="23"/>
      <c r="T1109" s="23"/>
      <c r="U1109" s="23"/>
      <c r="V1109" s="36"/>
      <c r="W1109" s="42"/>
      <c r="X1109" s="42"/>
      <c r="Y1109" s="23"/>
      <c r="Z1109" s="42"/>
      <c r="AA1109" s="42"/>
      <c r="AB1109" s="23"/>
      <c r="AC1109" s="23"/>
      <c r="AD1109" s="23"/>
      <c r="AE1109" s="36"/>
      <c r="AF1109" s="23"/>
    </row>
    <row r="1110" spans="1:32" ht="15.75" x14ac:dyDescent="0.25">
      <c r="A1110" s="44"/>
      <c r="B1110" s="23"/>
      <c r="C1110" s="23"/>
      <c r="D1110" s="36"/>
      <c r="E1110" s="23"/>
      <c r="F1110" s="23"/>
      <c r="G1110" s="23"/>
      <c r="H1110" s="23"/>
      <c r="I1110" s="23"/>
      <c r="J1110" s="23"/>
      <c r="K1110" s="23"/>
      <c r="L1110" s="23"/>
      <c r="M1110" s="36"/>
      <c r="N1110" s="23"/>
      <c r="O1110" s="23"/>
      <c r="P1110" s="23"/>
      <c r="Q1110" s="23"/>
      <c r="R1110" s="23"/>
      <c r="S1110" s="23"/>
      <c r="T1110" s="23"/>
      <c r="U1110" s="23"/>
      <c r="V1110" s="36"/>
      <c r="W1110" s="42"/>
      <c r="X1110" s="42"/>
      <c r="Y1110" s="23"/>
      <c r="Z1110" s="42"/>
      <c r="AA1110" s="42"/>
      <c r="AB1110" s="23"/>
      <c r="AC1110" s="23"/>
      <c r="AD1110" s="23"/>
      <c r="AE1110" s="36"/>
      <c r="AF1110" s="23"/>
    </row>
    <row r="1111" spans="1:32" ht="15.75" x14ac:dyDescent="0.25">
      <c r="A1111" s="44"/>
      <c r="B1111" s="23"/>
      <c r="C1111" s="23"/>
      <c r="D1111" s="36"/>
      <c r="E1111" s="23"/>
      <c r="F1111" s="23"/>
      <c r="G1111" s="23"/>
      <c r="H1111" s="23"/>
      <c r="I1111" s="23"/>
      <c r="J1111" s="23"/>
      <c r="K1111" s="23"/>
      <c r="L1111" s="23"/>
      <c r="M1111" s="36"/>
      <c r="N1111" s="23"/>
      <c r="O1111" s="23"/>
      <c r="P1111" s="23"/>
      <c r="Q1111" s="23"/>
      <c r="R1111" s="23"/>
      <c r="S1111" s="23"/>
      <c r="T1111" s="23"/>
      <c r="U1111" s="23"/>
      <c r="V1111" s="36"/>
      <c r="W1111" s="42"/>
      <c r="X1111" s="42"/>
      <c r="Y1111" s="23"/>
      <c r="Z1111" s="42"/>
      <c r="AA1111" s="42"/>
      <c r="AB1111" s="23"/>
      <c r="AC1111" s="23"/>
      <c r="AD1111" s="23"/>
      <c r="AE1111" s="36"/>
      <c r="AF1111" s="23"/>
    </row>
    <row r="1112" spans="1:32" ht="15.75" x14ac:dyDescent="0.25">
      <c r="A1112" s="44"/>
      <c r="B1112" s="23"/>
      <c r="C1112" s="23"/>
      <c r="D1112" s="36"/>
      <c r="E1112" s="23"/>
      <c r="F1112" s="23"/>
      <c r="G1112" s="23"/>
      <c r="H1112" s="23"/>
      <c r="I1112" s="23"/>
      <c r="J1112" s="23"/>
      <c r="K1112" s="23"/>
      <c r="L1112" s="23"/>
      <c r="M1112" s="36"/>
      <c r="N1112" s="23"/>
      <c r="O1112" s="23"/>
      <c r="P1112" s="23"/>
      <c r="Q1112" s="23"/>
      <c r="R1112" s="23"/>
      <c r="S1112" s="23"/>
      <c r="T1112" s="23"/>
      <c r="U1112" s="23"/>
      <c r="V1112" s="36"/>
      <c r="W1112" s="42"/>
      <c r="X1112" s="42"/>
      <c r="Y1112" s="23"/>
      <c r="Z1112" s="42"/>
      <c r="AA1112" s="42"/>
      <c r="AB1112" s="23"/>
      <c r="AC1112" s="23"/>
      <c r="AD1112" s="23"/>
      <c r="AE1112" s="36"/>
      <c r="AF1112" s="23"/>
    </row>
    <row r="1113" spans="1:32" ht="15.75" x14ac:dyDescent="0.25">
      <c r="A1113" s="44"/>
      <c r="B1113" s="23"/>
      <c r="C1113" s="23"/>
      <c r="D1113" s="36"/>
      <c r="E1113" s="23"/>
      <c r="F1113" s="23"/>
      <c r="G1113" s="23"/>
      <c r="H1113" s="23"/>
      <c r="I1113" s="23"/>
      <c r="J1113" s="23"/>
      <c r="K1113" s="23"/>
      <c r="L1113" s="23"/>
      <c r="M1113" s="36"/>
      <c r="N1113" s="23"/>
      <c r="O1113" s="23"/>
      <c r="P1113" s="23"/>
      <c r="Q1113" s="23"/>
      <c r="R1113" s="23"/>
      <c r="S1113" s="23"/>
      <c r="T1113" s="23"/>
      <c r="U1113" s="23"/>
      <c r="V1113" s="36"/>
      <c r="W1113" s="42"/>
      <c r="X1113" s="42"/>
      <c r="Y1113" s="23"/>
      <c r="Z1113" s="42"/>
      <c r="AA1113" s="42"/>
      <c r="AB1113" s="23"/>
      <c r="AC1113" s="23"/>
      <c r="AD1113" s="23"/>
      <c r="AE1113" s="36"/>
      <c r="AF1113" s="23"/>
    </row>
    <row r="1114" spans="1:32" ht="15.75" x14ac:dyDescent="0.25">
      <c r="A1114" s="44"/>
      <c r="B1114" s="23"/>
      <c r="C1114" s="23"/>
      <c r="D1114" s="36"/>
      <c r="E1114" s="23"/>
      <c r="F1114" s="23"/>
      <c r="G1114" s="23"/>
      <c r="H1114" s="23"/>
      <c r="I1114" s="23"/>
      <c r="J1114" s="23"/>
      <c r="K1114" s="23"/>
      <c r="L1114" s="23"/>
      <c r="M1114" s="36"/>
      <c r="N1114" s="23"/>
      <c r="O1114" s="23"/>
      <c r="P1114" s="23"/>
      <c r="Q1114" s="23"/>
      <c r="R1114" s="23"/>
      <c r="S1114" s="23"/>
      <c r="T1114" s="23"/>
      <c r="U1114" s="23"/>
      <c r="V1114" s="36"/>
      <c r="W1114" s="42"/>
      <c r="X1114" s="42"/>
      <c r="Y1114" s="23"/>
      <c r="Z1114" s="42"/>
      <c r="AA1114" s="42"/>
      <c r="AB1114" s="23"/>
      <c r="AC1114" s="23"/>
      <c r="AD1114" s="23"/>
      <c r="AE1114" s="36"/>
      <c r="AF1114" s="23"/>
    </row>
    <row r="1115" spans="1:32" ht="15.75" x14ac:dyDescent="0.25">
      <c r="A1115" s="44"/>
      <c r="B1115" s="23"/>
      <c r="C1115" s="23"/>
      <c r="D1115" s="36"/>
      <c r="E1115" s="23"/>
      <c r="F1115" s="23"/>
      <c r="G1115" s="23"/>
      <c r="H1115" s="23"/>
      <c r="I1115" s="23"/>
      <c r="J1115" s="23"/>
      <c r="K1115" s="23"/>
      <c r="L1115" s="23"/>
      <c r="M1115" s="36"/>
      <c r="N1115" s="23"/>
      <c r="O1115" s="23"/>
      <c r="P1115" s="23"/>
      <c r="Q1115" s="23"/>
      <c r="R1115" s="23"/>
      <c r="S1115" s="23"/>
      <c r="T1115" s="23"/>
      <c r="U1115" s="23"/>
      <c r="V1115" s="36"/>
      <c r="W1115" s="42"/>
      <c r="X1115" s="42"/>
      <c r="Y1115" s="23"/>
      <c r="Z1115" s="42"/>
      <c r="AA1115" s="42"/>
      <c r="AB1115" s="23"/>
      <c r="AC1115" s="23"/>
      <c r="AD1115" s="23"/>
      <c r="AE1115" s="36"/>
      <c r="AF1115" s="23"/>
    </row>
    <row r="1116" spans="1:32" ht="15.75" x14ac:dyDescent="0.25">
      <c r="A1116" s="44"/>
      <c r="B1116" s="23"/>
      <c r="C1116" s="23"/>
      <c r="D1116" s="36"/>
      <c r="E1116" s="23"/>
      <c r="F1116" s="23"/>
      <c r="G1116" s="23"/>
      <c r="H1116" s="23"/>
      <c r="I1116" s="23"/>
      <c r="J1116" s="23"/>
      <c r="K1116" s="23"/>
      <c r="L1116" s="23"/>
      <c r="M1116" s="36"/>
      <c r="N1116" s="23"/>
      <c r="O1116" s="23"/>
      <c r="P1116" s="23"/>
      <c r="Q1116" s="23"/>
      <c r="R1116" s="23"/>
      <c r="S1116" s="23"/>
      <c r="T1116" s="23"/>
      <c r="U1116" s="23"/>
      <c r="V1116" s="36"/>
      <c r="W1116" s="42"/>
      <c r="X1116" s="42"/>
      <c r="Y1116" s="23"/>
      <c r="Z1116" s="42"/>
      <c r="AA1116" s="42"/>
      <c r="AB1116" s="23"/>
      <c r="AC1116" s="23"/>
      <c r="AD1116" s="23"/>
      <c r="AE1116" s="36"/>
      <c r="AF1116" s="23"/>
    </row>
    <row r="1117" spans="1:32" ht="15.75" x14ac:dyDescent="0.25">
      <c r="A1117" s="44"/>
      <c r="B1117" s="23"/>
      <c r="C1117" s="23"/>
      <c r="D1117" s="36"/>
      <c r="E1117" s="23"/>
      <c r="F1117" s="23"/>
      <c r="G1117" s="23"/>
      <c r="H1117" s="23"/>
      <c r="I1117" s="23"/>
      <c r="J1117" s="23"/>
      <c r="K1117" s="23"/>
      <c r="L1117" s="23"/>
      <c r="M1117" s="36"/>
      <c r="N1117" s="23"/>
      <c r="O1117" s="23"/>
      <c r="P1117" s="23"/>
      <c r="Q1117" s="23"/>
      <c r="R1117" s="23"/>
      <c r="S1117" s="23"/>
      <c r="T1117" s="23"/>
      <c r="U1117" s="23"/>
      <c r="V1117" s="36"/>
      <c r="W1117" s="42"/>
      <c r="X1117" s="42"/>
      <c r="Y1117" s="23"/>
      <c r="Z1117" s="42"/>
      <c r="AA1117" s="42"/>
      <c r="AB1117" s="23"/>
      <c r="AC1117" s="23"/>
      <c r="AD1117" s="23"/>
      <c r="AE1117" s="36"/>
      <c r="AF1117" s="23"/>
    </row>
    <row r="1118" spans="1:32" ht="15.75" x14ac:dyDescent="0.25">
      <c r="A1118" s="44"/>
      <c r="B1118" s="23"/>
      <c r="C1118" s="23"/>
      <c r="D1118" s="36"/>
      <c r="E1118" s="23"/>
      <c r="F1118" s="23"/>
      <c r="G1118" s="23"/>
      <c r="H1118" s="23"/>
      <c r="I1118" s="23"/>
      <c r="J1118" s="23"/>
      <c r="K1118" s="23"/>
      <c r="L1118" s="23"/>
      <c r="M1118" s="36"/>
      <c r="N1118" s="23"/>
      <c r="O1118" s="23"/>
      <c r="P1118" s="23"/>
      <c r="Q1118" s="23"/>
      <c r="R1118" s="23"/>
      <c r="S1118" s="23"/>
      <c r="T1118" s="23"/>
      <c r="U1118" s="23"/>
      <c r="V1118" s="36"/>
      <c r="W1118" s="42"/>
      <c r="X1118" s="42"/>
      <c r="Y1118" s="23"/>
      <c r="Z1118" s="42"/>
      <c r="AA1118" s="42"/>
      <c r="AB1118" s="23"/>
      <c r="AC1118" s="23"/>
      <c r="AD1118" s="23"/>
      <c r="AE1118" s="36"/>
      <c r="AF1118" s="23"/>
    </row>
    <row r="1119" spans="1:32" ht="15.75" x14ac:dyDescent="0.25">
      <c r="A1119" s="44"/>
      <c r="B1119" s="23"/>
      <c r="C1119" s="23"/>
      <c r="D1119" s="36"/>
      <c r="E1119" s="23"/>
      <c r="F1119" s="23"/>
      <c r="G1119" s="23"/>
      <c r="H1119" s="23"/>
      <c r="I1119" s="23"/>
      <c r="J1119" s="23"/>
      <c r="K1119" s="23"/>
      <c r="L1119" s="23"/>
      <c r="M1119" s="36"/>
      <c r="N1119" s="23"/>
      <c r="O1119" s="23"/>
      <c r="P1119" s="23"/>
      <c r="Q1119" s="23"/>
      <c r="R1119" s="23"/>
      <c r="S1119" s="23"/>
      <c r="T1119" s="23"/>
      <c r="U1119" s="23"/>
      <c r="V1119" s="36"/>
      <c r="W1119" s="42"/>
      <c r="X1119" s="42"/>
      <c r="Y1119" s="23"/>
      <c r="Z1119" s="42"/>
      <c r="AA1119" s="42"/>
      <c r="AB1119" s="23"/>
      <c r="AC1119" s="23"/>
      <c r="AD1119" s="23"/>
      <c r="AE1119" s="36"/>
      <c r="AF1119" s="23"/>
    </row>
    <row r="1120" spans="1:32" ht="15.75" x14ac:dyDescent="0.25">
      <c r="A1120" s="44"/>
      <c r="B1120" s="23"/>
      <c r="C1120" s="23"/>
      <c r="D1120" s="36"/>
      <c r="E1120" s="23"/>
      <c r="F1120" s="23"/>
      <c r="G1120" s="23"/>
      <c r="H1120" s="23"/>
      <c r="I1120" s="23"/>
      <c r="J1120" s="23"/>
      <c r="K1120" s="23"/>
      <c r="L1120" s="23"/>
      <c r="M1120" s="36"/>
      <c r="N1120" s="23"/>
      <c r="O1120" s="23"/>
      <c r="P1120" s="23"/>
      <c r="Q1120" s="23"/>
      <c r="R1120" s="23"/>
      <c r="S1120" s="23"/>
      <c r="T1120" s="23"/>
      <c r="U1120" s="23"/>
      <c r="V1120" s="36"/>
      <c r="W1120" s="42"/>
      <c r="X1120" s="42"/>
      <c r="Y1120" s="23"/>
      <c r="Z1120" s="42"/>
      <c r="AA1120" s="42"/>
      <c r="AB1120" s="23"/>
      <c r="AC1120" s="23"/>
      <c r="AD1120" s="23"/>
      <c r="AE1120" s="36"/>
      <c r="AF1120" s="23"/>
    </row>
    <row r="1121" spans="1:32" ht="15.75" x14ac:dyDescent="0.25">
      <c r="A1121" s="44"/>
      <c r="B1121" s="23"/>
      <c r="C1121" s="23"/>
      <c r="D1121" s="36"/>
      <c r="E1121" s="23"/>
      <c r="F1121" s="23"/>
      <c r="G1121" s="23"/>
      <c r="H1121" s="23"/>
      <c r="I1121" s="23"/>
      <c r="J1121" s="23"/>
      <c r="K1121" s="23"/>
      <c r="L1121" s="23"/>
      <c r="M1121" s="36"/>
      <c r="N1121" s="23"/>
      <c r="O1121" s="23"/>
      <c r="P1121" s="23"/>
      <c r="Q1121" s="23"/>
      <c r="R1121" s="23"/>
      <c r="S1121" s="23"/>
      <c r="T1121" s="23"/>
      <c r="U1121" s="23"/>
      <c r="V1121" s="36"/>
      <c r="W1121" s="42"/>
      <c r="X1121" s="42"/>
      <c r="Y1121" s="23"/>
      <c r="Z1121" s="42"/>
      <c r="AA1121" s="42"/>
      <c r="AB1121" s="23"/>
      <c r="AC1121" s="23"/>
      <c r="AD1121" s="23"/>
      <c r="AE1121" s="36"/>
      <c r="AF1121" s="23"/>
    </row>
    <row r="1122" spans="1:32" ht="15.75" x14ac:dyDescent="0.25">
      <c r="A1122" s="44"/>
      <c r="B1122" s="23"/>
      <c r="C1122" s="23"/>
      <c r="D1122" s="36"/>
      <c r="E1122" s="23"/>
      <c r="F1122" s="23"/>
      <c r="G1122" s="23"/>
      <c r="H1122" s="23"/>
      <c r="I1122" s="23"/>
      <c r="J1122" s="23"/>
      <c r="K1122" s="23"/>
      <c r="L1122" s="23"/>
      <c r="M1122" s="36"/>
      <c r="N1122" s="23"/>
      <c r="O1122" s="23"/>
      <c r="P1122" s="23"/>
      <c r="Q1122" s="23"/>
      <c r="R1122" s="23"/>
      <c r="S1122" s="23"/>
      <c r="T1122" s="23"/>
      <c r="U1122" s="23"/>
      <c r="V1122" s="36"/>
      <c r="W1122" s="42"/>
      <c r="X1122" s="42"/>
      <c r="Y1122" s="23"/>
      <c r="Z1122" s="42"/>
      <c r="AA1122" s="42"/>
      <c r="AB1122" s="23"/>
      <c r="AC1122" s="23"/>
      <c r="AD1122" s="23"/>
      <c r="AE1122" s="36"/>
      <c r="AF1122" s="23"/>
    </row>
    <row r="1123" spans="1:32" ht="15.75" x14ac:dyDescent="0.25">
      <c r="A1123" s="44"/>
      <c r="B1123" s="23"/>
      <c r="C1123" s="23"/>
      <c r="D1123" s="36"/>
      <c r="E1123" s="23"/>
      <c r="F1123" s="23"/>
      <c r="G1123" s="23"/>
      <c r="H1123" s="23"/>
      <c r="I1123" s="23"/>
      <c r="J1123" s="23"/>
      <c r="K1123" s="23"/>
      <c r="L1123" s="23"/>
      <c r="M1123" s="36"/>
      <c r="N1123" s="23"/>
      <c r="O1123" s="23"/>
      <c r="P1123" s="23"/>
      <c r="Q1123" s="23"/>
      <c r="R1123" s="23"/>
      <c r="S1123" s="23"/>
      <c r="T1123" s="23"/>
      <c r="U1123" s="23"/>
      <c r="V1123" s="36"/>
      <c r="W1123" s="42"/>
      <c r="X1123" s="42"/>
      <c r="Y1123" s="23"/>
      <c r="Z1123" s="42"/>
      <c r="AA1123" s="42"/>
      <c r="AB1123" s="23"/>
      <c r="AC1123" s="23"/>
      <c r="AD1123" s="23"/>
      <c r="AE1123" s="36"/>
      <c r="AF1123" s="23"/>
    </row>
    <row r="1124" spans="1:32" ht="15.75" x14ac:dyDescent="0.25">
      <c r="A1124" s="44"/>
      <c r="B1124" s="23"/>
      <c r="C1124" s="23"/>
      <c r="D1124" s="36"/>
      <c r="E1124" s="23"/>
      <c r="F1124" s="23"/>
      <c r="G1124" s="23"/>
      <c r="H1124" s="23"/>
      <c r="I1124" s="23"/>
      <c r="J1124" s="23"/>
      <c r="K1124" s="23"/>
      <c r="L1124" s="23"/>
      <c r="M1124" s="36"/>
      <c r="N1124" s="23"/>
      <c r="O1124" s="23"/>
      <c r="P1124" s="23"/>
      <c r="Q1124" s="23"/>
      <c r="R1124" s="23"/>
      <c r="S1124" s="23"/>
      <c r="T1124" s="23"/>
      <c r="U1124" s="23"/>
      <c r="V1124" s="36"/>
      <c r="W1124" s="42"/>
      <c r="X1124" s="42"/>
      <c r="Y1124" s="23"/>
      <c r="Z1124" s="42"/>
      <c r="AA1124" s="42"/>
      <c r="AB1124" s="23"/>
      <c r="AC1124" s="23"/>
      <c r="AD1124" s="23"/>
      <c r="AE1124" s="36"/>
      <c r="AF1124" s="23"/>
    </row>
    <row r="1125" spans="1:32" ht="15.75" x14ac:dyDescent="0.25">
      <c r="A1125" s="44"/>
      <c r="B1125" s="23"/>
      <c r="C1125" s="23"/>
      <c r="D1125" s="36"/>
      <c r="E1125" s="23"/>
      <c r="F1125" s="23"/>
      <c r="G1125" s="23"/>
      <c r="H1125" s="23"/>
      <c r="I1125" s="23"/>
      <c r="J1125" s="23"/>
      <c r="K1125" s="23"/>
      <c r="L1125" s="23"/>
      <c r="M1125" s="36"/>
      <c r="N1125" s="23"/>
      <c r="O1125" s="23"/>
      <c r="P1125" s="23"/>
      <c r="Q1125" s="23"/>
      <c r="R1125" s="23"/>
      <c r="S1125" s="23"/>
      <c r="T1125" s="23"/>
      <c r="U1125" s="23"/>
      <c r="V1125" s="36"/>
      <c r="W1125" s="42"/>
      <c r="X1125" s="42"/>
      <c r="Y1125" s="23"/>
      <c r="Z1125" s="42"/>
      <c r="AA1125" s="42"/>
      <c r="AB1125" s="23"/>
      <c r="AC1125" s="23"/>
      <c r="AD1125" s="23"/>
      <c r="AE1125" s="36"/>
      <c r="AF1125" s="23"/>
    </row>
    <row r="1126" spans="1:32" ht="15.75" x14ac:dyDescent="0.25">
      <c r="A1126" s="44"/>
      <c r="B1126" s="23"/>
      <c r="C1126" s="23"/>
      <c r="D1126" s="36"/>
      <c r="E1126" s="23"/>
      <c r="F1126" s="23"/>
      <c r="G1126" s="23"/>
      <c r="H1126" s="23"/>
      <c r="I1126" s="23"/>
      <c r="J1126" s="23"/>
      <c r="K1126" s="23"/>
      <c r="L1126" s="23"/>
      <c r="M1126" s="36"/>
      <c r="N1126" s="23"/>
      <c r="O1126" s="23"/>
      <c r="P1126" s="23"/>
      <c r="Q1126" s="23"/>
      <c r="R1126" s="23"/>
      <c r="S1126" s="23"/>
      <c r="T1126" s="23"/>
      <c r="U1126" s="23"/>
      <c r="V1126" s="36"/>
      <c r="W1126" s="42"/>
      <c r="X1126" s="42"/>
      <c r="Y1126" s="23"/>
      <c r="Z1126" s="42"/>
      <c r="AA1126" s="42"/>
      <c r="AB1126" s="23"/>
      <c r="AC1126" s="23"/>
      <c r="AD1126" s="23"/>
      <c r="AE1126" s="36"/>
      <c r="AF1126" s="23"/>
    </row>
    <row r="1127" spans="1:32" ht="15.75" x14ac:dyDescent="0.25">
      <c r="A1127" s="44"/>
      <c r="B1127" s="23"/>
      <c r="C1127" s="23"/>
      <c r="D1127" s="36"/>
      <c r="E1127" s="23"/>
      <c r="F1127" s="23"/>
      <c r="G1127" s="23"/>
      <c r="H1127" s="23"/>
      <c r="I1127" s="23"/>
      <c r="J1127" s="23"/>
      <c r="K1127" s="23"/>
      <c r="L1127" s="23"/>
      <c r="M1127" s="36"/>
      <c r="N1127" s="23"/>
      <c r="O1127" s="23"/>
      <c r="P1127" s="23"/>
      <c r="Q1127" s="23"/>
      <c r="R1127" s="23"/>
      <c r="S1127" s="23"/>
      <c r="T1127" s="23"/>
      <c r="U1127" s="23"/>
      <c r="V1127" s="36"/>
      <c r="W1127" s="42"/>
      <c r="X1127" s="42"/>
      <c r="Y1127" s="23"/>
      <c r="Z1127" s="42"/>
      <c r="AA1127" s="42"/>
      <c r="AB1127" s="23"/>
      <c r="AC1127" s="23"/>
      <c r="AD1127" s="23"/>
      <c r="AE1127" s="36"/>
      <c r="AF1127" s="23"/>
    </row>
    <row r="1128" spans="1:32" ht="15.75" x14ac:dyDescent="0.25">
      <c r="A1128" s="44"/>
      <c r="B1128" s="23"/>
      <c r="C1128" s="23"/>
      <c r="D1128" s="36"/>
      <c r="E1128" s="23"/>
      <c r="F1128" s="23"/>
      <c r="G1128" s="23"/>
      <c r="H1128" s="23"/>
      <c r="I1128" s="23"/>
      <c r="J1128" s="23"/>
      <c r="K1128" s="23"/>
      <c r="L1128" s="23"/>
      <c r="M1128" s="36"/>
      <c r="N1128" s="23"/>
      <c r="O1128" s="23"/>
      <c r="P1128" s="23"/>
      <c r="Q1128" s="23"/>
      <c r="R1128" s="23"/>
      <c r="S1128" s="23"/>
      <c r="T1128" s="23"/>
      <c r="U1128" s="23"/>
      <c r="V1128" s="36"/>
      <c r="W1128" s="42"/>
      <c r="X1128" s="42"/>
      <c r="Y1128" s="23"/>
      <c r="Z1128" s="42"/>
      <c r="AA1128" s="42"/>
      <c r="AB1128" s="23"/>
      <c r="AC1128" s="23"/>
      <c r="AD1128" s="23"/>
      <c r="AE1128" s="36"/>
      <c r="AF1128" s="23"/>
    </row>
    <row r="1129" spans="1:32" ht="15.75" x14ac:dyDescent="0.25">
      <c r="A1129" s="44"/>
      <c r="B1129" s="23"/>
      <c r="C1129" s="23"/>
      <c r="D1129" s="36"/>
      <c r="E1129" s="23"/>
      <c r="F1129" s="23"/>
      <c r="G1129" s="23"/>
      <c r="H1129" s="23"/>
      <c r="I1129" s="23"/>
      <c r="J1129" s="23"/>
      <c r="K1129" s="23"/>
      <c r="L1129" s="23"/>
      <c r="M1129" s="36"/>
      <c r="N1129" s="23"/>
      <c r="O1129" s="23"/>
      <c r="P1129" s="23"/>
      <c r="Q1129" s="23"/>
      <c r="R1129" s="23"/>
      <c r="S1129" s="23"/>
      <c r="T1129" s="23"/>
      <c r="U1129" s="23"/>
      <c r="V1129" s="36"/>
      <c r="W1129" s="42"/>
      <c r="X1129" s="42"/>
      <c r="Y1129" s="23"/>
      <c r="Z1129" s="42"/>
      <c r="AA1129" s="42"/>
      <c r="AB1129" s="23"/>
      <c r="AC1129" s="23"/>
      <c r="AD1129" s="23"/>
      <c r="AE1129" s="36"/>
      <c r="AF1129" s="23"/>
    </row>
    <row r="1130" spans="1:32" ht="15.75" x14ac:dyDescent="0.25">
      <c r="A1130" s="44"/>
      <c r="B1130" s="23"/>
      <c r="C1130" s="23"/>
      <c r="D1130" s="36"/>
      <c r="E1130" s="23"/>
      <c r="F1130" s="23"/>
      <c r="G1130" s="23"/>
      <c r="H1130" s="23"/>
      <c r="I1130" s="23"/>
      <c r="J1130" s="23"/>
      <c r="K1130" s="23"/>
      <c r="L1130" s="23"/>
      <c r="M1130" s="36"/>
      <c r="N1130" s="23"/>
      <c r="O1130" s="23"/>
      <c r="P1130" s="23"/>
      <c r="Q1130" s="23"/>
      <c r="R1130" s="23"/>
      <c r="S1130" s="23"/>
      <c r="T1130" s="23"/>
      <c r="U1130" s="23"/>
      <c r="V1130" s="36"/>
      <c r="W1130" s="42"/>
      <c r="X1130" s="42"/>
      <c r="Y1130" s="23"/>
      <c r="Z1130" s="42"/>
      <c r="AA1130" s="42"/>
      <c r="AB1130" s="23"/>
      <c r="AC1130" s="23"/>
      <c r="AD1130" s="23"/>
      <c r="AE1130" s="36"/>
      <c r="AF1130" s="23"/>
    </row>
    <row r="1131" spans="1:32" ht="15.75" x14ac:dyDescent="0.25">
      <c r="A1131" s="44"/>
      <c r="B1131" s="23"/>
      <c r="C1131" s="23"/>
      <c r="D1131" s="36"/>
      <c r="E1131" s="23"/>
      <c r="F1131" s="23"/>
      <c r="G1131" s="23"/>
      <c r="H1131" s="23"/>
      <c r="I1131" s="23"/>
      <c r="J1131" s="23"/>
      <c r="K1131" s="23"/>
      <c r="L1131" s="23"/>
      <c r="M1131" s="36"/>
      <c r="N1131" s="23"/>
      <c r="O1131" s="23"/>
      <c r="P1131" s="23"/>
      <c r="Q1131" s="23"/>
      <c r="R1131" s="23"/>
      <c r="S1131" s="23"/>
      <c r="T1131" s="23"/>
      <c r="U1131" s="23"/>
      <c r="V1131" s="36"/>
      <c r="W1131" s="42"/>
      <c r="X1131" s="42"/>
      <c r="Y1131" s="23"/>
      <c r="Z1131" s="42"/>
      <c r="AA1131" s="42"/>
      <c r="AB1131" s="23"/>
      <c r="AC1131" s="23"/>
      <c r="AD1131" s="23"/>
      <c r="AE1131" s="36"/>
      <c r="AF1131" s="23"/>
    </row>
    <row r="1132" spans="1:32" ht="15.75" x14ac:dyDescent="0.25">
      <c r="A1132" s="44"/>
      <c r="B1132" s="23"/>
      <c r="C1132" s="23"/>
      <c r="D1132" s="36"/>
      <c r="E1132" s="23"/>
      <c r="F1132" s="23"/>
      <c r="G1132" s="23"/>
      <c r="H1132" s="23"/>
      <c r="I1132" s="23"/>
      <c r="J1132" s="23"/>
      <c r="K1132" s="23"/>
      <c r="L1132" s="23"/>
      <c r="M1132" s="36"/>
      <c r="N1132" s="23"/>
      <c r="O1132" s="23"/>
      <c r="P1132" s="23"/>
      <c r="Q1132" s="23"/>
      <c r="R1132" s="23"/>
      <c r="S1132" s="23"/>
      <c r="T1132" s="23"/>
      <c r="U1132" s="23"/>
      <c r="V1132" s="36"/>
      <c r="W1132" s="42"/>
      <c r="X1132" s="42"/>
      <c r="Y1132" s="23"/>
      <c r="Z1132" s="42"/>
      <c r="AA1132" s="42"/>
      <c r="AB1132" s="23"/>
      <c r="AC1132" s="23"/>
      <c r="AD1132" s="23"/>
      <c r="AE1132" s="36"/>
      <c r="AF1132" s="23"/>
    </row>
    <row r="1133" spans="1:32" ht="15.75" x14ac:dyDescent="0.25">
      <c r="A1133" s="44"/>
      <c r="B1133" s="23"/>
      <c r="C1133" s="23"/>
      <c r="D1133" s="36"/>
      <c r="E1133" s="23"/>
      <c r="F1133" s="23"/>
      <c r="G1133" s="23"/>
      <c r="H1133" s="23"/>
      <c r="I1133" s="23"/>
      <c r="J1133" s="23"/>
      <c r="K1133" s="23"/>
      <c r="L1133" s="23"/>
      <c r="M1133" s="36"/>
      <c r="N1133" s="23"/>
      <c r="O1133" s="23"/>
      <c r="P1133" s="23"/>
      <c r="Q1133" s="23"/>
      <c r="R1133" s="23"/>
      <c r="S1133" s="23"/>
      <c r="T1133" s="23"/>
      <c r="U1133" s="23"/>
      <c r="V1133" s="36"/>
      <c r="W1133" s="42"/>
      <c r="X1133" s="42"/>
      <c r="Y1133" s="23"/>
      <c r="Z1133" s="42"/>
      <c r="AA1133" s="42"/>
      <c r="AB1133" s="23"/>
      <c r="AC1133" s="23"/>
      <c r="AD1133" s="23"/>
      <c r="AE1133" s="36"/>
      <c r="AF1133" s="23"/>
    </row>
    <row r="1134" spans="1:32" ht="15.75" x14ac:dyDescent="0.25">
      <c r="A1134" s="44"/>
      <c r="B1134" s="23"/>
      <c r="C1134" s="23"/>
      <c r="D1134" s="36"/>
      <c r="E1134" s="23"/>
      <c r="F1134" s="23"/>
      <c r="G1134" s="23"/>
      <c r="H1134" s="23"/>
      <c r="I1134" s="23"/>
      <c r="J1134" s="23"/>
      <c r="K1134" s="23"/>
      <c r="L1134" s="23"/>
      <c r="M1134" s="36"/>
      <c r="N1134" s="23"/>
      <c r="O1134" s="23"/>
      <c r="P1134" s="23"/>
      <c r="Q1134" s="23"/>
      <c r="R1134" s="23"/>
      <c r="S1134" s="23"/>
      <c r="T1134" s="23"/>
      <c r="U1134" s="23"/>
      <c r="V1134" s="36"/>
      <c r="W1134" s="42"/>
      <c r="X1134" s="42"/>
      <c r="Y1134" s="23"/>
      <c r="Z1134" s="42"/>
      <c r="AA1134" s="42"/>
      <c r="AB1134" s="23"/>
      <c r="AC1134" s="23"/>
      <c r="AD1134" s="23"/>
      <c r="AE1134" s="36"/>
      <c r="AF1134" s="23"/>
    </row>
    <row r="1135" spans="1:32" ht="15.75" x14ac:dyDescent="0.25">
      <c r="A1135" s="44"/>
      <c r="B1135" s="23"/>
      <c r="C1135" s="23"/>
      <c r="D1135" s="36"/>
      <c r="E1135" s="23"/>
      <c r="F1135" s="23"/>
      <c r="G1135" s="23"/>
      <c r="H1135" s="23"/>
      <c r="I1135" s="23"/>
      <c r="J1135" s="23"/>
      <c r="K1135" s="23"/>
      <c r="L1135" s="23"/>
      <c r="M1135" s="36"/>
      <c r="N1135" s="23"/>
      <c r="O1135" s="23"/>
      <c r="P1135" s="23"/>
      <c r="Q1135" s="23"/>
      <c r="R1135" s="23"/>
      <c r="S1135" s="23"/>
      <c r="T1135" s="23"/>
      <c r="U1135" s="23"/>
      <c r="V1135" s="36"/>
      <c r="W1135" s="42"/>
      <c r="X1135" s="42"/>
      <c r="Y1135" s="23"/>
      <c r="Z1135" s="42"/>
      <c r="AA1135" s="42"/>
      <c r="AB1135" s="23"/>
      <c r="AC1135" s="23"/>
      <c r="AD1135" s="23"/>
      <c r="AE1135" s="36"/>
      <c r="AF1135" s="23"/>
    </row>
    <row r="1136" spans="1:32" ht="15.75" x14ac:dyDescent="0.25">
      <c r="A1136" s="44"/>
      <c r="B1136" s="23"/>
      <c r="C1136" s="23"/>
      <c r="D1136" s="36"/>
      <c r="E1136" s="23"/>
      <c r="F1136" s="23"/>
      <c r="G1136" s="23"/>
      <c r="H1136" s="23"/>
      <c r="I1136" s="23"/>
      <c r="J1136" s="23"/>
      <c r="K1136" s="23"/>
      <c r="L1136" s="23"/>
      <c r="M1136" s="36"/>
      <c r="N1136" s="23"/>
      <c r="O1136" s="23"/>
      <c r="P1136" s="23"/>
      <c r="Q1136" s="23"/>
      <c r="R1136" s="23"/>
      <c r="S1136" s="23"/>
      <c r="T1136" s="23"/>
      <c r="U1136" s="23"/>
      <c r="V1136" s="36"/>
      <c r="W1136" s="42"/>
      <c r="X1136" s="42"/>
      <c r="Y1136" s="23"/>
      <c r="Z1136" s="42"/>
      <c r="AA1136" s="42"/>
      <c r="AB1136" s="23"/>
      <c r="AC1136" s="23"/>
      <c r="AD1136" s="23"/>
      <c r="AE1136" s="36"/>
      <c r="AF1136" s="23"/>
    </row>
    <row r="1137" spans="1:32" ht="15.75" x14ac:dyDescent="0.25">
      <c r="A1137" s="44"/>
      <c r="B1137" s="23"/>
      <c r="C1137" s="23"/>
      <c r="D1137" s="36"/>
      <c r="E1137" s="23"/>
      <c r="F1137" s="23"/>
      <c r="G1137" s="23"/>
      <c r="H1137" s="23"/>
      <c r="I1137" s="23"/>
      <c r="J1137" s="23"/>
      <c r="K1137" s="23"/>
      <c r="L1137" s="23"/>
      <c r="M1137" s="36"/>
      <c r="N1137" s="23"/>
      <c r="O1137" s="23"/>
      <c r="P1137" s="23"/>
      <c r="Q1137" s="23"/>
      <c r="R1137" s="23"/>
      <c r="S1137" s="23"/>
      <c r="T1137" s="23"/>
      <c r="U1137" s="23"/>
      <c r="V1137" s="36"/>
      <c r="W1137" s="42"/>
      <c r="X1137" s="42"/>
      <c r="Y1137" s="23"/>
      <c r="Z1137" s="42"/>
      <c r="AA1137" s="42"/>
      <c r="AB1137" s="23"/>
      <c r="AC1137" s="23"/>
      <c r="AD1137" s="23"/>
      <c r="AE1137" s="36"/>
      <c r="AF1137" s="23"/>
    </row>
    <row r="1138" spans="1:32" ht="15.75" x14ac:dyDescent="0.25">
      <c r="A1138" s="44"/>
      <c r="B1138" s="23"/>
      <c r="C1138" s="23"/>
      <c r="D1138" s="36"/>
      <c r="E1138" s="23"/>
      <c r="F1138" s="23"/>
      <c r="G1138" s="23"/>
      <c r="H1138" s="23"/>
      <c r="I1138" s="23"/>
      <c r="J1138" s="23"/>
      <c r="K1138" s="23"/>
      <c r="L1138" s="23"/>
      <c r="M1138" s="36"/>
      <c r="N1138" s="23"/>
      <c r="O1138" s="23"/>
      <c r="P1138" s="23"/>
      <c r="Q1138" s="23"/>
      <c r="R1138" s="23"/>
      <c r="S1138" s="23"/>
      <c r="T1138" s="23"/>
      <c r="U1138" s="23"/>
      <c r="V1138" s="36"/>
      <c r="W1138" s="42"/>
      <c r="X1138" s="42"/>
      <c r="Y1138" s="23"/>
      <c r="Z1138" s="42"/>
      <c r="AA1138" s="42"/>
      <c r="AB1138" s="23"/>
      <c r="AC1138" s="23"/>
      <c r="AD1138" s="23"/>
      <c r="AE1138" s="36"/>
      <c r="AF1138" s="23"/>
    </row>
    <row r="1139" spans="1:32" ht="15.75" x14ac:dyDescent="0.25">
      <c r="A1139" s="44"/>
      <c r="B1139" s="23"/>
      <c r="C1139" s="23"/>
      <c r="D1139" s="36"/>
      <c r="E1139" s="23"/>
      <c r="F1139" s="23"/>
      <c r="G1139" s="23"/>
      <c r="H1139" s="23"/>
      <c r="I1139" s="23"/>
      <c r="J1139" s="23"/>
      <c r="K1139" s="23"/>
      <c r="L1139" s="23"/>
      <c r="M1139" s="36"/>
      <c r="N1139" s="23"/>
      <c r="O1139" s="23"/>
      <c r="P1139" s="23"/>
      <c r="Q1139" s="23"/>
      <c r="R1139" s="23"/>
      <c r="S1139" s="23"/>
      <c r="T1139" s="23"/>
      <c r="U1139" s="23"/>
      <c r="V1139" s="36"/>
      <c r="W1139" s="42"/>
      <c r="X1139" s="42"/>
      <c r="Y1139" s="23"/>
      <c r="Z1139" s="42"/>
      <c r="AA1139" s="42"/>
      <c r="AB1139" s="23"/>
      <c r="AC1139" s="23"/>
      <c r="AD1139" s="23"/>
      <c r="AE1139" s="36"/>
      <c r="AF1139" s="23"/>
    </row>
    <row r="1140" spans="1:32" ht="15.75" x14ac:dyDescent="0.25">
      <c r="A1140" s="44"/>
      <c r="B1140" s="23"/>
      <c r="C1140" s="23"/>
      <c r="D1140" s="36"/>
      <c r="E1140" s="23"/>
      <c r="F1140" s="23"/>
      <c r="G1140" s="23"/>
      <c r="H1140" s="23"/>
      <c r="I1140" s="23"/>
      <c r="J1140" s="23"/>
      <c r="K1140" s="23"/>
      <c r="L1140" s="23"/>
      <c r="M1140" s="36"/>
      <c r="N1140" s="23"/>
      <c r="O1140" s="23"/>
      <c r="P1140" s="23"/>
      <c r="Q1140" s="23"/>
      <c r="R1140" s="23"/>
      <c r="S1140" s="23"/>
      <c r="T1140" s="23"/>
      <c r="U1140" s="23"/>
      <c r="V1140" s="36"/>
      <c r="W1140" s="42"/>
      <c r="X1140" s="42"/>
      <c r="Y1140" s="23"/>
      <c r="Z1140" s="42"/>
      <c r="AA1140" s="42"/>
      <c r="AB1140" s="23"/>
      <c r="AC1140" s="23"/>
      <c r="AD1140" s="23"/>
      <c r="AE1140" s="36"/>
      <c r="AF1140" s="23"/>
    </row>
    <row r="1141" spans="1:32" ht="15.75" x14ac:dyDescent="0.25">
      <c r="A1141" s="44"/>
      <c r="B1141" s="23"/>
      <c r="C1141" s="23"/>
      <c r="D1141" s="36"/>
      <c r="E1141" s="23"/>
      <c r="F1141" s="23"/>
      <c r="G1141" s="23"/>
      <c r="H1141" s="23"/>
      <c r="I1141" s="23"/>
      <c r="J1141" s="23"/>
      <c r="K1141" s="23"/>
      <c r="L1141" s="23"/>
      <c r="M1141" s="36"/>
      <c r="N1141" s="23"/>
      <c r="O1141" s="23"/>
      <c r="P1141" s="23"/>
      <c r="Q1141" s="23"/>
      <c r="R1141" s="23"/>
      <c r="S1141" s="23"/>
      <c r="T1141" s="23"/>
      <c r="U1141" s="23"/>
      <c r="V1141" s="36"/>
      <c r="W1141" s="42"/>
      <c r="X1141" s="42"/>
      <c r="Y1141" s="23"/>
      <c r="Z1141" s="42"/>
      <c r="AA1141" s="42"/>
      <c r="AB1141" s="23"/>
      <c r="AC1141" s="23"/>
      <c r="AD1141" s="23"/>
      <c r="AE1141" s="36"/>
      <c r="AF1141" s="23"/>
    </row>
    <row r="1142" spans="1:32" ht="15.75" x14ac:dyDescent="0.25">
      <c r="A1142" s="44"/>
      <c r="B1142" s="23"/>
      <c r="C1142" s="23"/>
      <c r="D1142" s="36"/>
      <c r="E1142" s="23"/>
      <c r="F1142" s="23"/>
      <c r="G1142" s="23"/>
      <c r="H1142" s="23"/>
      <c r="I1142" s="23"/>
      <c r="J1142" s="23"/>
      <c r="K1142" s="23"/>
      <c r="L1142" s="23"/>
      <c r="M1142" s="36"/>
      <c r="N1142" s="23"/>
      <c r="O1142" s="23"/>
      <c r="P1142" s="23"/>
      <c r="Q1142" s="23"/>
      <c r="R1142" s="23"/>
      <c r="S1142" s="23"/>
      <c r="T1142" s="23"/>
      <c r="U1142" s="23"/>
      <c r="V1142" s="36"/>
      <c r="W1142" s="42"/>
      <c r="X1142" s="42"/>
      <c r="Y1142" s="23"/>
      <c r="Z1142" s="42"/>
      <c r="AA1142" s="42"/>
      <c r="AB1142" s="23"/>
      <c r="AC1142" s="23"/>
      <c r="AD1142" s="23"/>
      <c r="AE1142" s="36"/>
      <c r="AF1142" s="23"/>
    </row>
    <row r="1143" spans="1:32" ht="15.75" x14ac:dyDescent="0.25">
      <c r="A1143" s="44"/>
      <c r="B1143" s="23"/>
      <c r="C1143" s="23"/>
      <c r="D1143" s="36"/>
      <c r="E1143" s="23"/>
      <c r="F1143" s="23"/>
      <c r="G1143" s="23"/>
      <c r="H1143" s="23"/>
      <c r="I1143" s="23"/>
      <c r="J1143" s="23"/>
      <c r="K1143" s="23"/>
      <c r="L1143" s="23"/>
      <c r="M1143" s="36"/>
      <c r="N1143" s="23"/>
      <c r="O1143" s="23"/>
      <c r="P1143" s="23"/>
      <c r="Q1143" s="23"/>
      <c r="R1143" s="23"/>
      <c r="S1143" s="23"/>
      <c r="T1143" s="23"/>
      <c r="U1143" s="23"/>
      <c r="V1143" s="36"/>
      <c r="W1143" s="42"/>
      <c r="X1143" s="42"/>
      <c r="Y1143" s="23"/>
      <c r="Z1143" s="42"/>
      <c r="AA1143" s="42"/>
      <c r="AB1143" s="23"/>
      <c r="AC1143" s="23"/>
      <c r="AD1143" s="23"/>
      <c r="AE1143" s="36"/>
      <c r="AF1143" s="23"/>
    </row>
    <row r="1144" spans="1:32" ht="15.75" x14ac:dyDescent="0.25">
      <c r="A1144" s="44"/>
      <c r="B1144" s="23"/>
      <c r="C1144" s="23"/>
      <c r="D1144" s="36"/>
      <c r="E1144" s="23"/>
      <c r="F1144" s="23"/>
      <c r="G1144" s="23"/>
      <c r="H1144" s="23"/>
      <c r="I1144" s="23"/>
      <c r="J1144" s="23"/>
      <c r="K1144" s="23"/>
      <c r="L1144" s="23"/>
      <c r="M1144" s="36"/>
      <c r="N1144" s="23"/>
      <c r="O1144" s="23"/>
      <c r="P1144" s="23"/>
      <c r="Q1144" s="23"/>
      <c r="R1144" s="23"/>
      <c r="S1144" s="23"/>
      <c r="T1144" s="23"/>
      <c r="U1144" s="23"/>
      <c r="V1144" s="36"/>
      <c r="W1144" s="42"/>
      <c r="X1144" s="42"/>
      <c r="Y1144" s="23"/>
      <c r="Z1144" s="42"/>
      <c r="AA1144" s="42"/>
      <c r="AB1144" s="23"/>
      <c r="AC1144" s="23"/>
      <c r="AD1144" s="23"/>
      <c r="AE1144" s="36"/>
      <c r="AF1144" s="23"/>
    </row>
    <row r="1145" spans="1:32" ht="15.75" x14ac:dyDescent="0.25">
      <c r="A1145" s="44"/>
      <c r="B1145" s="23"/>
      <c r="C1145" s="23"/>
      <c r="D1145" s="36"/>
      <c r="E1145" s="23"/>
      <c r="F1145" s="23"/>
      <c r="G1145" s="23"/>
      <c r="H1145" s="23"/>
      <c r="I1145" s="23"/>
      <c r="J1145" s="23"/>
      <c r="K1145" s="23"/>
      <c r="L1145" s="23"/>
      <c r="M1145" s="36"/>
      <c r="N1145" s="23"/>
      <c r="O1145" s="23"/>
      <c r="P1145" s="23"/>
      <c r="Q1145" s="23"/>
      <c r="R1145" s="23"/>
      <c r="S1145" s="23"/>
      <c r="T1145" s="23"/>
      <c r="U1145" s="23"/>
      <c r="V1145" s="36"/>
      <c r="W1145" s="42"/>
      <c r="X1145" s="42"/>
      <c r="Y1145" s="23"/>
      <c r="Z1145" s="42"/>
      <c r="AA1145" s="42"/>
      <c r="AB1145" s="23"/>
      <c r="AC1145" s="23"/>
      <c r="AD1145" s="23"/>
      <c r="AE1145" s="36"/>
      <c r="AF1145" s="23"/>
    </row>
    <row r="1146" spans="1:32" ht="15.75" x14ac:dyDescent="0.25">
      <c r="A1146" s="44"/>
      <c r="B1146" s="23"/>
      <c r="C1146" s="23"/>
      <c r="D1146" s="36"/>
      <c r="E1146" s="23"/>
      <c r="F1146" s="23"/>
      <c r="G1146" s="23"/>
      <c r="H1146" s="23"/>
      <c r="I1146" s="23"/>
      <c r="J1146" s="23"/>
      <c r="K1146" s="23"/>
      <c r="L1146" s="23"/>
      <c r="M1146" s="36"/>
      <c r="N1146" s="23"/>
      <c r="O1146" s="23"/>
      <c r="P1146" s="23"/>
      <c r="Q1146" s="23"/>
      <c r="R1146" s="23"/>
      <c r="S1146" s="23"/>
      <c r="T1146" s="23"/>
      <c r="U1146" s="23"/>
      <c r="V1146" s="36"/>
      <c r="W1146" s="42"/>
      <c r="X1146" s="42"/>
      <c r="Y1146" s="23"/>
      <c r="Z1146" s="42"/>
      <c r="AA1146" s="42"/>
      <c r="AB1146" s="23"/>
      <c r="AC1146" s="23"/>
      <c r="AD1146" s="23"/>
      <c r="AE1146" s="36"/>
      <c r="AF1146" s="23"/>
    </row>
    <row r="1147" spans="1:32" ht="15.75" x14ac:dyDescent="0.25">
      <c r="A1147" s="44"/>
      <c r="B1147" s="23"/>
      <c r="C1147" s="23"/>
      <c r="D1147" s="36"/>
      <c r="E1147" s="23"/>
      <c r="F1147" s="23"/>
      <c r="G1147" s="23"/>
      <c r="H1147" s="23"/>
      <c r="I1147" s="23"/>
      <c r="J1147" s="23"/>
      <c r="K1147" s="23"/>
      <c r="L1147" s="23"/>
      <c r="M1147" s="36"/>
      <c r="N1147" s="23"/>
      <c r="O1147" s="23"/>
      <c r="P1147" s="23"/>
      <c r="Q1147" s="23"/>
      <c r="R1147" s="23"/>
      <c r="S1147" s="23"/>
      <c r="T1147" s="23"/>
      <c r="U1147" s="23"/>
      <c r="V1147" s="36"/>
      <c r="W1147" s="42"/>
      <c r="X1147" s="42"/>
      <c r="Y1147" s="23"/>
      <c r="Z1147" s="42"/>
      <c r="AA1147" s="42"/>
      <c r="AB1147" s="23"/>
      <c r="AC1147" s="23"/>
      <c r="AD1147" s="23"/>
      <c r="AE1147" s="36"/>
      <c r="AF1147" s="23"/>
    </row>
    <row r="1148" spans="1:32" ht="15.75" x14ac:dyDescent="0.25">
      <c r="A1148" s="44"/>
      <c r="B1148" s="23"/>
      <c r="C1148" s="23"/>
      <c r="D1148" s="36"/>
      <c r="E1148" s="23"/>
      <c r="F1148" s="23"/>
      <c r="G1148" s="23"/>
      <c r="H1148" s="23"/>
      <c r="I1148" s="23"/>
      <c r="J1148" s="23"/>
      <c r="K1148" s="23"/>
      <c r="L1148" s="23"/>
      <c r="M1148" s="36"/>
      <c r="N1148" s="23"/>
      <c r="O1148" s="23"/>
      <c r="P1148" s="23"/>
      <c r="Q1148" s="23"/>
      <c r="R1148" s="23"/>
      <c r="S1148" s="23"/>
      <c r="T1148" s="23"/>
      <c r="U1148" s="23"/>
      <c r="V1148" s="36"/>
      <c r="W1148" s="42"/>
      <c r="X1148" s="42"/>
      <c r="Y1148" s="23"/>
      <c r="Z1148" s="42"/>
      <c r="AA1148" s="42"/>
      <c r="AB1148" s="23"/>
      <c r="AC1148" s="23"/>
      <c r="AD1148" s="23"/>
      <c r="AE1148" s="36"/>
      <c r="AF1148" s="23"/>
    </row>
    <row r="1149" spans="1:32" ht="15.75" x14ac:dyDescent="0.25">
      <c r="A1149" s="44"/>
      <c r="B1149" s="23"/>
      <c r="C1149" s="23"/>
      <c r="D1149" s="36"/>
      <c r="E1149" s="23"/>
      <c r="F1149" s="23"/>
      <c r="G1149" s="23"/>
      <c r="H1149" s="23"/>
      <c r="I1149" s="23"/>
      <c r="J1149" s="23"/>
      <c r="K1149" s="23"/>
      <c r="L1149" s="23"/>
      <c r="M1149" s="36"/>
      <c r="N1149" s="23"/>
      <c r="O1149" s="23"/>
      <c r="P1149" s="23"/>
      <c r="Q1149" s="23"/>
      <c r="R1149" s="23"/>
      <c r="S1149" s="23"/>
      <c r="T1149" s="23"/>
      <c r="U1149" s="23"/>
      <c r="V1149" s="36"/>
      <c r="W1149" s="42"/>
      <c r="X1149" s="42"/>
      <c r="Y1149" s="23"/>
      <c r="Z1149" s="42"/>
      <c r="AA1149" s="42"/>
      <c r="AB1149" s="23"/>
      <c r="AC1149" s="23"/>
      <c r="AD1149" s="23"/>
      <c r="AE1149" s="36"/>
      <c r="AF1149" s="23"/>
    </row>
    <row r="1150" spans="1:32" ht="15.75" x14ac:dyDescent="0.25">
      <c r="A1150" s="44"/>
      <c r="B1150" s="23"/>
      <c r="C1150" s="23"/>
      <c r="D1150" s="36"/>
      <c r="E1150" s="23"/>
      <c r="F1150" s="23"/>
      <c r="G1150" s="23"/>
      <c r="H1150" s="23"/>
      <c r="I1150" s="23"/>
      <c r="J1150" s="23"/>
      <c r="K1150" s="23"/>
      <c r="L1150" s="23"/>
      <c r="M1150" s="36"/>
      <c r="N1150" s="23"/>
      <c r="O1150" s="23"/>
      <c r="P1150" s="23"/>
      <c r="Q1150" s="23"/>
      <c r="R1150" s="23"/>
      <c r="S1150" s="23"/>
      <c r="T1150" s="23"/>
      <c r="U1150" s="23"/>
      <c r="V1150" s="36"/>
      <c r="W1150" s="42"/>
      <c r="X1150" s="42"/>
      <c r="Y1150" s="23"/>
      <c r="Z1150" s="42"/>
      <c r="AA1150" s="42"/>
      <c r="AB1150" s="23"/>
      <c r="AC1150" s="23"/>
      <c r="AD1150" s="23"/>
      <c r="AE1150" s="36"/>
      <c r="AF1150" s="23"/>
    </row>
    <row r="1151" spans="1:32" ht="15.75" x14ac:dyDescent="0.25">
      <c r="A1151" s="44"/>
      <c r="B1151" s="23"/>
      <c r="C1151" s="23"/>
      <c r="D1151" s="36"/>
      <c r="E1151" s="23"/>
      <c r="F1151" s="23"/>
      <c r="G1151" s="23"/>
      <c r="H1151" s="23"/>
      <c r="I1151" s="23"/>
      <c r="J1151" s="23"/>
      <c r="K1151" s="23"/>
      <c r="L1151" s="23"/>
      <c r="M1151" s="36"/>
      <c r="N1151" s="23"/>
      <c r="O1151" s="23"/>
      <c r="P1151" s="23"/>
      <c r="Q1151" s="23"/>
      <c r="R1151" s="23"/>
      <c r="S1151" s="23"/>
      <c r="T1151" s="23"/>
      <c r="U1151" s="23"/>
      <c r="V1151" s="36"/>
      <c r="W1151" s="42"/>
      <c r="X1151" s="42"/>
      <c r="Y1151" s="23"/>
      <c r="Z1151" s="42"/>
      <c r="AA1151" s="42"/>
      <c r="AB1151" s="23"/>
      <c r="AC1151" s="23"/>
      <c r="AD1151" s="23"/>
      <c r="AE1151" s="36"/>
      <c r="AF1151" s="23"/>
    </row>
    <row r="1152" spans="1:32" ht="15.75" x14ac:dyDescent="0.25">
      <c r="A1152" s="44"/>
      <c r="B1152" s="23"/>
      <c r="C1152" s="23"/>
      <c r="D1152" s="36"/>
      <c r="E1152" s="23"/>
      <c r="F1152" s="23"/>
      <c r="G1152" s="23"/>
      <c r="H1152" s="23"/>
      <c r="I1152" s="23"/>
      <c r="J1152" s="23"/>
      <c r="K1152" s="23"/>
      <c r="L1152" s="23"/>
      <c r="M1152" s="36"/>
      <c r="N1152" s="23"/>
      <c r="O1152" s="23"/>
      <c r="P1152" s="23"/>
      <c r="Q1152" s="23"/>
      <c r="R1152" s="23"/>
      <c r="S1152" s="23"/>
      <c r="T1152" s="23"/>
      <c r="U1152" s="23"/>
      <c r="V1152" s="36"/>
      <c r="W1152" s="42"/>
      <c r="X1152" s="42"/>
      <c r="Y1152" s="23"/>
      <c r="Z1152" s="42"/>
      <c r="AA1152" s="42"/>
      <c r="AB1152" s="23"/>
      <c r="AC1152" s="23"/>
      <c r="AD1152" s="23"/>
      <c r="AE1152" s="36"/>
      <c r="AF1152" s="23"/>
    </row>
    <row r="1153" spans="1:32" ht="15.75" x14ac:dyDescent="0.25">
      <c r="A1153" s="44"/>
      <c r="B1153" s="23"/>
      <c r="C1153" s="23"/>
      <c r="D1153" s="36"/>
      <c r="E1153" s="23"/>
      <c r="F1153" s="23"/>
      <c r="G1153" s="23"/>
      <c r="H1153" s="23"/>
      <c r="I1153" s="23"/>
      <c r="J1153" s="23"/>
      <c r="K1153" s="23"/>
      <c r="L1153" s="23"/>
      <c r="M1153" s="36"/>
      <c r="N1153" s="23"/>
      <c r="O1153" s="23"/>
      <c r="P1153" s="23"/>
      <c r="Q1153" s="23"/>
      <c r="R1153" s="23"/>
      <c r="S1153" s="23"/>
      <c r="T1153" s="23"/>
      <c r="U1153" s="23"/>
      <c r="V1153" s="36"/>
      <c r="W1153" s="42"/>
      <c r="X1153" s="42"/>
      <c r="Y1153" s="23"/>
      <c r="Z1153" s="42"/>
      <c r="AA1153" s="42"/>
      <c r="AB1153" s="23"/>
      <c r="AC1153" s="23"/>
      <c r="AD1153" s="23"/>
      <c r="AE1153" s="36"/>
      <c r="AF1153" s="23"/>
    </row>
    <row r="1154" spans="1:32" ht="15.75" x14ac:dyDescent="0.25">
      <c r="A1154" s="44"/>
      <c r="B1154" s="23"/>
      <c r="C1154" s="23"/>
      <c r="D1154" s="36"/>
      <c r="E1154" s="23"/>
      <c r="F1154" s="23"/>
      <c r="G1154" s="23"/>
      <c r="H1154" s="23"/>
      <c r="I1154" s="23"/>
      <c r="J1154" s="23"/>
      <c r="K1154" s="23"/>
      <c r="L1154" s="23"/>
      <c r="M1154" s="36"/>
      <c r="N1154" s="23"/>
      <c r="O1154" s="23"/>
      <c r="P1154" s="23"/>
      <c r="Q1154" s="23"/>
      <c r="R1154" s="23"/>
      <c r="S1154" s="23"/>
      <c r="T1154" s="23"/>
      <c r="U1154" s="23"/>
      <c r="V1154" s="36"/>
      <c r="W1154" s="42"/>
      <c r="X1154" s="42"/>
      <c r="Y1154" s="23"/>
      <c r="Z1154" s="42"/>
      <c r="AA1154" s="42"/>
      <c r="AB1154" s="23"/>
      <c r="AC1154" s="23"/>
      <c r="AD1154" s="23"/>
      <c r="AE1154" s="36"/>
      <c r="AF1154" s="23"/>
    </row>
    <row r="1155" spans="1:32" ht="15.75" x14ac:dyDescent="0.25">
      <c r="A1155" s="44"/>
      <c r="B1155" s="23"/>
      <c r="C1155" s="23"/>
      <c r="D1155" s="36"/>
      <c r="E1155" s="23"/>
      <c r="F1155" s="23"/>
      <c r="G1155" s="23"/>
      <c r="H1155" s="23"/>
      <c r="I1155" s="23"/>
      <c r="J1155" s="23"/>
      <c r="K1155" s="23"/>
      <c r="L1155" s="23"/>
      <c r="M1155" s="36"/>
      <c r="N1155" s="23"/>
      <c r="O1155" s="23"/>
      <c r="P1155" s="23"/>
      <c r="Q1155" s="23"/>
      <c r="R1155" s="23"/>
      <c r="S1155" s="23"/>
      <c r="T1155" s="23"/>
      <c r="U1155" s="23"/>
      <c r="V1155" s="36"/>
      <c r="W1155" s="42"/>
      <c r="X1155" s="42"/>
      <c r="Y1155" s="23"/>
      <c r="Z1155" s="42"/>
      <c r="AA1155" s="42"/>
      <c r="AB1155" s="23"/>
      <c r="AC1155" s="23"/>
      <c r="AD1155" s="23"/>
      <c r="AE1155" s="36"/>
      <c r="AF1155" s="23"/>
    </row>
    <row r="1156" spans="1:32" ht="15.75" x14ac:dyDescent="0.25">
      <c r="A1156" s="44"/>
      <c r="B1156" s="23"/>
      <c r="C1156" s="23"/>
      <c r="D1156" s="36"/>
      <c r="E1156" s="23"/>
      <c r="F1156" s="23"/>
      <c r="G1156" s="23"/>
      <c r="H1156" s="23"/>
      <c r="I1156" s="23"/>
      <c r="J1156" s="23"/>
      <c r="K1156" s="23"/>
      <c r="L1156" s="23"/>
      <c r="M1156" s="36"/>
      <c r="N1156" s="23"/>
      <c r="O1156" s="23"/>
      <c r="P1156" s="23"/>
      <c r="Q1156" s="23"/>
      <c r="R1156" s="23"/>
      <c r="S1156" s="23"/>
      <c r="T1156" s="23"/>
      <c r="U1156" s="23"/>
      <c r="V1156" s="36"/>
      <c r="W1156" s="42"/>
      <c r="X1156" s="42"/>
      <c r="Y1156" s="23"/>
      <c r="Z1156" s="42"/>
      <c r="AA1156" s="42"/>
      <c r="AB1156" s="23"/>
      <c r="AC1156" s="23"/>
      <c r="AD1156" s="23"/>
      <c r="AE1156" s="36"/>
      <c r="AF1156" s="23"/>
    </row>
  </sheetData>
  <autoFilter ref="A1:AF210"/>
  <conditionalFormatting sqref="AB11:AB13 AB15:AB17 AB19:AB21 AB23:AB25 AB27:AB29 AB31:AB33 AB35:AB37 AB39:AB41 AB43:AB45 AB47:AB49 AB51:AB53 AB55:AB57 AB59:AB61 AB63:AB65 AB67:AB69 AB71:AB73 AB75:AB77 AB79:AB81 AB83:AB85 AB87:AB89 AB91:AB93 AB95:AB97 AB99:AB101 AB103:AB105 AB107:AB109 AB111:AB113 AB115:AB117 AB119:AB121 AB123:AB125 AB127:AB129 AB131:AB133 AB135:AB137 AB139:AB141 AB143:AB145 AB147:AB149 AB151:AB153 AB155:AB157 AB159:AB161 AB163:AB165 AB167:AB169 AB171:AB173 AB175:AB177 AB179:AB181 AB183:AB185 AB187:AB189 AB191:AB193 AB195:AB197 AB199:AB201 AB203:AB205 AB207:AB209">
    <cfRule type="cellIs" dxfId="661" priority="593" operator="lessThan">
      <formula>0</formula>
    </cfRule>
  </conditionalFormatting>
  <conditionalFormatting sqref="AB11:AB13 AB15:AB17 AB19:AB21 AB23:AB25 AB27:AB29 AB31:AB33 AB35:AB37 AB39:AB41 AB43:AB45 AB47:AB49 AB51:AB53 AB55:AB57 AB59:AB61 AB63:AB65 AB67:AB69 AB71:AB73 AB75:AB77 AB79:AB81 AB83:AB85 AB87:AB89 AB91:AB93 AB95:AB97 AB99:AB101 AB103:AB105 AB107:AB109 AB111:AB113 AB115:AB117 AB119:AB121 AB123:AB125 AB127:AB129 AB131:AB133 AB135:AB137 AB139:AB141 AB143:AB145 AB147:AB149 AB151:AB153 AB155:AB157 AB159:AB161 AB163:AB165 AB167:AB169 AB171:AB173 AB175:AB177 AB179:AB181 AB183:AB185 AB187:AB189 AB191:AB193 AB195:AB197 AB199:AB201 AB203:AB205 AB207:AB209">
    <cfRule type="cellIs" dxfId="660" priority="594" operator="greaterThanOrEqual">
      <formula>0</formula>
    </cfRule>
  </conditionalFormatting>
  <conditionalFormatting sqref="J11:J13 J15:J17 J19:J21 J23:J25 J27:J29 J31:J33 J35:J37 J39:J41 J43:J45 J47:J49 J51:J53 J55:J57 J59:J61 J63:J65 J67:J69 J71:J73 J75:J77 J79:J81 J83:J85 J87:J89 J91:J93 J95:J97 J99:J101 J103:J105 J107:J109 J111:J113 J115:J117 J119:J121 J123:J125 J127:J129 J131:J133 J135:J137 J139:J141 J143:J145 J147:J149 J151:J153 J155:J157 J159:J161 J163:J165 J167:J169 J171:J173 J175:J177 J179:J181 J183:J185 J187:J189 J191:J193 J195:J197 J199:J201 J203:J205 J207:J209">
    <cfRule type="cellIs" dxfId="659" priority="595" operator="lessThanOrEqual">
      <formula>0</formula>
    </cfRule>
  </conditionalFormatting>
  <conditionalFormatting sqref="J11:J13 J15:J17 J19:J21 J23:J25 J27:J29 J31:J33 J35:J37 J39:J41 J43:J45 J47:J49 J51:J53 J55:J57 J59:J61 J63:J65 J67:J69 J71:J73 J75:J77 J79:J81 J83:J85 J87:J89 J91:J93 J95:J97 J99:J101 J103:J105 J107:J109 J111:J113 J115:J117 J119:J121 J123:J125 J127:J129 J131:J133 J135:J137 J139:J141 J143:J145 J147:J149 J151:J153 J155:J157 J159:J161 J163:J165 J167:J169 J171:J173 J175:J177 J179:J181 J183:J185 J187:J189 J191:J193 J195:J197 J199:J201 J203:J205 J207:J209">
    <cfRule type="cellIs" dxfId="658" priority="596" operator="greaterThan">
      <formula>0</formula>
    </cfRule>
  </conditionalFormatting>
  <conditionalFormatting sqref="J2:J5">
    <cfRule type="cellIs" dxfId="657" priority="605" operator="lessThan">
      <formula>0</formula>
    </cfRule>
  </conditionalFormatting>
  <conditionalFormatting sqref="J2:J5">
    <cfRule type="cellIs" dxfId="656" priority="606" operator="greaterThanOrEqual">
      <formula>0</formula>
    </cfRule>
  </conditionalFormatting>
  <conditionalFormatting sqref="J7:J9">
    <cfRule type="cellIs" dxfId="655" priority="611" operator="lessThan">
      <formula>0</formula>
    </cfRule>
  </conditionalFormatting>
  <conditionalFormatting sqref="J7:J9">
    <cfRule type="cellIs" dxfId="654" priority="612" operator="greaterThanOrEqual">
      <formula>0</formula>
    </cfRule>
  </conditionalFormatting>
  <conditionalFormatting sqref="AB2:AB5">
    <cfRule type="cellIs" dxfId="653" priority="625" operator="lessThan">
      <formula>0</formula>
    </cfRule>
  </conditionalFormatting>
  <conditionalFormatting sqref="AB2:AB5">
    <cfRule type="cellIs" dxfId="652" priority="626" operator="greaterThanOrEqual">
      <formula>0</formula>
    </cfRule>
  </conditionalFormatting>
  <conditionalFormatting sqref="AB7:AB9">
    <cfRule type="cellIs" dxfId="651" priority="627" operator="lessThan">
      <formula>0</formula>
    </cfRule>
  </conditionalFormatting>
  <conditionalFormatting sqref="AB7:AB9">
    <cfRule type="cellIs" dxfId="650" priority="628" operator="greaterThanOrEqual">
      <formula>0</formula>
    </cfRule>
  </conditionalFormatting>
  <conditionalFormatting sqref="G210">
    <cfRule type="cellIs" dxfId="649" priority="553" operator="lessThan">
      <formula>0</formula>
    </cfRule>
  </conditionalFormatting>
  <conditionalFormatting sqref="G210">
    <cfRule type="cellIs" dxfId="648" priority="554" operator="greaterThanOrEqual">
      <formula>0</formula>
    </cfRule>
  </conditionalFormatting>
  <conditionalFormatting sqref="G11:G13 G15:G17 G19:G21 G23:G25 G27:G29 G31:G33 G35:G37 G39:G41 G43:G45 G47:G49 G51:G53 G55:G57 G59:G61 G63:G65 G67:G69 G71:G73 G75:G77 G79:G81 G83:G85 G87:G89 G91:G93 G95:G97 G99:G101 G103:G105 G107:G109 G111:G113 G115:G117 G119:G121 G123:G125 G127:G129 G131:G133 G135:G137 G139:G141 G143:G145 G147:G149 G151:G153 G155:G157 G159:G161 G163:G165 G167:G169 G171:G173 G175:G177 G179:G181 G183:G185 G187:G189 G191:G193 G195:G197 G199:G201 G203:G205 G207:G209">
    <cfRule type="cellIs" dxfId="647" priority="555" operator="lessThan">
      <formula>0</formula>
    </cfRule>
  </conditionalFormatting>
  <conditionalFormatting sqref="G11:G13 G15:G17 G19:G21 G23:G25 G27:G29 G31:G33 G35:G37 G39:G41 G43:G45 G47:G49 G51:G53 G55:G57 G59:G61 G63:G65 G67:G69 G71:G73 G75:G77 G79:G81 G83:G85 G87:G89 G91:G93 G95:G97 G99:G101 G103:G105 G107:G109 G111:G113 G115:G117 G119:G121 G123:G125 G127:G129 G131:G133 G135:G137 G139:G141 G143:G145 G147:G149 G151:G153 G155:G157 G159:G161 G163:G165 G167:G169 G171:G173 G175:G177 G179:G181 G183:G185 G187:G189 G191:G193 G195:G197 G199:G201 G203:G205 G207:G209">
    <cfRule type="cellIs" dxfId="646" priority="556" operator="greaterThanOrEqual">
      <formula>0</formula>
    </cfRule>
  </conditionalFormatting>
  <conditionalFormatting sqref="AE11:AE13 AE15:AE17 AE19:AE21 AE23:AE25 AE27:AE29 AE31:AE33 AE35:AE37 AE39:AE41 AE43:AE45 AE47:AE49 AE51:AE53 AE55:AE57 AE59:AE61 AE63:AE65 AE67:AE69 AE71:AE73 AE75:AE77 AE79:AE81 AE83:AE85 AE87:AE89 AE91:AE93 AE95:AE97 AE99:AE101 AE103:AE105 AE107:AE109 AE111:AE113 AE115:AE117 AE119:AE121 AE123:AE125 AE127:AE129 AE131:AE133 AE135:AE137 AE139:AE141 AE143:AE145 AE147:AE149 AE151:AE153 AE155:AE157 AE159:AE161 AE163:AE165 AE167:AE169 AE171:AE173 AE175:AE177 AE179:AE181 AE183:AE185 AE187:AE189 AE191:AE193 AE195:AE197 AE199:AE201 AE203:AE205 AE207:AE209">
    <cfRule type="cellIs" dxfId="645" priority="579" operator="lessThan">
      <formula>0</formula>
    </cfRule>
  </conditionalFormatting>
  <conditionalFormatting sqref="AE11:AE13 AE15:AE17 AE19:AE21 AE23:AE25 AE27:AE29 AE31:AE33 AE35:AE37 AE39:AE41 AE43:AE45 AE47:AE49 AE51:AE53 AE55:AE57 AE59:AE61 AE63:AE65 AE67:AE69 AE71:AE73 AE75:AE77 AE79:AE81 AE83:AE85 AE87:AE89 AE91:AE93 AE95:AE97 AE99:AE101 AE103:AE105 AE107:AE109 AE111:AE113 AE115:AE117 AE119:AE121 AE123:AE125 AE127:AE129 AE131:AE133 AE135:AE137 AE139:AE141 AE143:AE145 AE147:AE149 AE151:AE153 AE155:AE157 AE159:AE161 AE163:AE165 AE167:AE169 AE171:AE173 AE175:AE177 AE179:AE181 AE183:AE185 AE187:AE189 AE191:AE193 AE195:AE197 AE199:AE201 AE203:AE205 AE207:AE209">
    <cfRule type="cellIs" dxfId="644" priority="580" operator="greaterThanOrEqual">
      <formula>0</formula>
    </cfRule>
  </conditionalFormatting>
  <conditionalFormatting sqref="AE2:AE5">
    <cfRule type="cellIs" dxfId="643" priority="581" operator="lessThan">
      <formula>0</formula>
    </cfRule>
  </conditionalFormatting>
  <conditionalFormatting sqref="AE2:AE5">
    <cfRule type="cellIs" dxfId="642" priority="582" operator="greaterThanOrEqual">
      <formula>0</formula>
    </cfRule>
  </conditionalFormatting>
  <conditionalFormatting sqref="AE7:AE9">
    <cfRule type="cellIs" dxfId="641" priority="583" operator="lessThan">
      <formula>0</formula>
    </cfRule>
  </conditionalFormatting>
  <conditionalFormatting sqref="AE7:AE9">
    <cfRule type="cellIs" dxfId="640" priority="584" operator="greaterThanOrEqual">
      <formula>0</formula>
    </cfRule>
  </conditionalFormatting>
  <conditionalFormatting sqref="Y11:Y13 Y15:Y17 Y19:Y21 Y23:Y25 Y27:Y29 Y31:Y33 Y35:Y37 Y39:Y41 Y43:Y45 Y47:Y49 Y51:Y53 Y55:Y57 Y59:Y61 Y63:Y65 Y67:Y69 Y71:Y73 Y75:Y77 Y79:Y81 Y83:Y85 Y87:Y89 Y91:Y93 Y95:Y97 Y99:Y101 Y103:Y105 Y107:Y109 Y111:Y113 Y115:Y117 Y119:Y121 Y123:Y125 Y127:Y129 Y131:Y133 Y135:Y137 Y139:Y141 Y143:Y145 Y147:Y149 Y151:Y153 Y155:Y157 Y159:Y161 Y163:Y165 Y167:Y169 Y171:Y173 Y175:Y177 Y179:Y181 Y183:Y185 Y187:Y189 Y191:Y193 Y195:Y197 Y199:Y201 Y203:Y205 Y207:Y209">
    <cfRule type="cellIs" dxfId="639" priority="573" operator="lessThan">
      <formula>0</formula>
    </cfRule>
  </conditionalFormatting>
  <conditionalFormatting sqref="Y11:Y13 Y15:Y17 Y19:Y21 Y23:Y25 Y27:Y29 Y31:Y33 Y35:Y37 Y39:Y41 Y43:Y45 Y47:Y49 Y51:Y53 Y55:Y57 Y59:Y61 Y63:Y65 Y67:Y69 Y71:Y73 Y75:Y77 Y79:Y81 Y83:Y85 Y87:Y89 Y91:Y93 Y95:Y97 Y99:Y101 Y103:Y105 Y107:Y109 Y111:Y113 Y115:Y117 Y119:Y121 Y123:Y125 Y127:Y129 Y131:Y133 Y135:Y137 Y139:Y141 Y143:Y145 Y147:Y149 Y151:Y153 Y155:Y157 Y159:Y161 Y163:Y165 Y167:Y169 Y171:Y173 Y175:Y177 Y179:Y181 Y183:Y185 Y187:Y189 Y191:Y193 Y195:Y197 Y199:Y201 Y203:Y205 Y207:Y209">
    <cfRule type="cellIs" dxfId="638" priority="574" operator="greaterThanOrEqual">
      <formula>0</formula>
    </cfRule>
  </conditionalFormatting>
  <conditionalFormatting sqref="Y2:Y5">
    <cfRule type="cellIs" dxfId="637" priority="575" operator="lessThan">
      <formula>0</formula>
    </cfRule>
  </conditionalFormatting>
  <conditionalFormatting sqref="Y2:Y5">
    <cfRule type="cellIs" dxfId="636" priority="576" operator="greaterThanOrEqual">
      <formula>0</formula>
    </cfRule>
  </conditionalFormatting>
  <conditionalFormatting sqref="Y7:Y9">
    <cfRule type="cellIs" dxfId="635" priority="577" operator="lessThan">
      <formula>0</formula>
    </cfRule>
  </conditionalFormatting>
  <conditionalFormatting sqref="Y7:Y9">
    <cfRule type="cellIs" dxfId="634" priority="578" operator="greaterThanOrEqual">
      <formula>0</formula>
    </cfRule>
  </conditionalFormatting>
  <conditionalFormatting sqref="S11:S13 S15:S17 S19:S21 S23:S25 S27:S29 S31:S33 S35:S37 S39:S41 S43:S45 S47:S49 S51:S53 S55:S57 S59:S61 S63:S65 S67:S69 S71:S73 S75:S77 S79:S81 S83:S85 S87:S89 S91:S93 S95:S97 S99:S101 S103:S105 S107:S109 S111:S113 S115:S117 S119:S121 S123:S125 S127:S129 S131:S133 S135:S137 S139:S141 S143:S145 S147:S149 S151:S153 S155:S157 S159:S161 S163:S165 S167:S169 S171:S173 S175:S177 S179:S181 S183:S185 S187:S189 S191:S193 S195:S197 S199:S201 S203:S205 S207:S209">
    <cfRule type="cellIs" dxfId="633" priority="567" operator="lessThan">
      <formula>0</formula>
    </cfRule>
  </conditionalFormatting>
  <conditionalFormatting sqref="S11:S13 S15:S17 S19:S21 S23:S25 S27:S29 S31:S33 S35:S37 S39:S41 S43:S45 S47:S49 S51:S53 S55:S57 S59:S61 S63:S65 S67:S69 S71:S73 S75:S77 S79:S81 S83:S85 S87:S89 S91:S93 S95:S97 S99:S101 S103:S105 S107:S109 S111:S113 S115:S117 S119:S121 S123:S125 S127:S129 S131:S133 S135:S137 S139:S141 S143:S145 S147:S149 S151:S153 S155:S157 S159:S161 S163:S165 S167:S169 S171:S173 S175:S177 S179:S181 S183:S185 S187:S189 S191:S193 S195:S197 S199:S201 S203:S205 S207:S209">
    <cfRule type="cellIs" dxfId="632" priority="568" operator="greaterThanOrEqual">
      <formula>0</formula>
    </cfRule>
  </conditionalFormatting>
  <conditionalFormatting sqref="S2:S5">
    <cfRule type="cellIs" dxfId="631" priority="569" operator="lessThan">
      <formula>0</formula>
    </cfRule>
  </conditionalFormatting>
  <conditionalFormatting sqref="S2:S5">
    <cfRule type="cellIs" dxfId="630" priority="570" operator="greaterThanOrEqual">
      <formula>0</formula>
    </cfRule>
  </conditionalFormatting>
  <conditionalFormatting sqref="S7:S9">
    <cfRule type="cellIs" dxfId="629" priority="571" operator="lessThan">
      <formula>0</formula>
    </cfRule>
  </conditionalFormatting>
  <conditionalFormatting sqref="S7:S9">
    <cfRule type="cellIs" dxfId="628" priority="572" operator="greaterThanOrEqual">
      <formula>0</formula>
    </cfRule>
  </conditionalFormatting>
  <conditionalFormatting sqref="P11:P13 P15:P17 P19:P21 P23:P25 P27:P29 P31:P33 P35:P37 P39:P41 P43:P45 P47:P49 P51:P53 P55:P57 P59:P61 P63:P65 P67:P69 P71:P73 P75:P77 P79:P81 P83:P85 P87:P89 P91:P93 P95:P97 P99:P101 P103:P105 P107:P109 P111:P113 P115:P117 P119:P121 P123:P125 P127:P129 P131:P133 P135:P137 P139:P141 P143:P145 P147:P149 P151:P153 P155:P157 P159:P161 P163:P165 P167:P169 P171:P173 P175:P177 P179:P181 P183:P185 P187:P189 P191:P193 P195:P197 P199:P201 P203:P205 P207:P209">
    <cfRule type="cellIs" dxfId="627" priority="561" operator="lessThan">
      <formula>0</formula>
    </cfRule>
  </conditionalFormatting>
  <conditionalFormatting sqref="P11:P13 P15:P17 P19:P21 P23:P25 P27:P29 P31:P33 P35:P37 P39:P41 P43:P45 P47:P49 P51:P53 P55:P57 P59:P61 P63:P65 P67:P69 P71:P73 P75:P77 P79:P81 P83:P85 P87:P89 P91:P93 P95:P97 P99:P101 P103:P105 P107:P109 P111:P113 P115:P117 P119:P121 P123:P125 P127:P129 P131:P133 P135:P137 P139:P141 P143:P145 P147:P149 P151:P153 P155:P157 P159:P161 P163:P165 P167:P169 P171:P173 P175:P177 P179:P181 P183:P185 P187:P189 P191:P193 P195:P197 P199:P201 P203:P205 P207:P209">
    <cfRule type="cellIs" dxfId="626" priority="562" operator="greaterThanOrEqual">
      <formula>0</formula>
    </cfRule>
  </conditionalFormatting>
  <conditionalFormatting sqref="P2:P5">
    <cfRule type="cellIs" dxfId="625" priority="563" operator="lessThan">
      <formula>0</formula>
    </cfRule>
  </conditionalFormatting>
  <conditionalFormatting sqref="P2:P5">
    <cfRule type="cellIs" dxfId="624" priority="564" operator="greaterThanOrEqual">
      <formula>0</formula>
    </cfRule>
  </conditionalFormatting>
  <conditionalFormatting sqref="P7:P9">
    <cfRule type="cellIs" dxfId="623" priority="565" operator="lessThan">
      <formula>0</formula>
    </cfRule>
  </conditionalFormatting>
  <conditionalFormatting sqref="P7:P9">
    <cfRule type="cellIs" dxfId="622" priority="566" operator="greaterThanOrEqual">
      <formula>0</formula>
    </cfRule>
  </conditionalFormatting>
  <conditionalFormatting sqref="G2:G5">
    <cfRule type="cellIs" dxfId="621" priority="557" operator="lessThan">
      <formula>0</formula>
    </cfRule>
  </conditionalFormatting>
  <conditionalFormatting sqref="G2:G5">
    <cfRule type="cellIs" dxfId="620" priority="558" operator="greaterThanOrEqual">
      <formula>0</formula>
    </cfRule>
  </conditionalFormatting>
  <conditionalFormatting sqref="G7:G9">
    <cfRule type="cellIs" dxfId="619" priority="559" operator="lessThan">
      <formula>0</formula>
    </cfRule>
  </conditionalFormatting>
  <conditionalFormatting sqref="G7:G9">
    <cfRule type="cellIs" dxfId="618" priority="560" operator="greaterThanOrEqual">
      <formula>0</formula>
    </cfRule>
  </conditionalFormatting>
  <conditionalFormatting sqref="P210">
    <cfRule type="cellIs" dxfId="617" priority="551" operator="lessThan">
      <formula>0</formula>
    </cfRule>
  </conditionalFormatting>
  <conditionalFormatting sqref="P210">
    <cfRule type="cellIs" dxfId="616" priority="552" operator="greaterThanOrEqual">
      <formula>0</formula>
    </cfRule>
  </conditionalFormatting>
  <conditionalFormatting sqref="S210">
    <cfRule type="cellIs" dxfId="615" priority="549" operator="lessThan">
      <formula>0</formula>
    </cfRule>
  </conditionalFormatting>
  <conditionalFormatting sqref="S210">
    <cfRule type="cellIs" dxfId="614" priority="550" operator="greaterThanOrEqual">
      <formula>0</formula>
    </cfRule>
  </conditionalFormatting>
  <conditionalFormatting sqref="V11:V13 V15:V17 V19:V21 V23:V25 V27:V29 V31:V33 V35:V37 V39:V41 V43:V45 V47:V49 V51:V53 V55:V57 V59:V61 V63:V65 V67:V69 V71:V73 V75:V77 V79:V81 V83:V85 V87:V89 V91:V93 V95:V97 V99:V101 V103:V105 V107:V109 V111:V113 V115:V117 V119:V121 V123:V125 V127:V129 V131:V133 V135:V137 V139:V141 V143:V145 V147:V149 V151:V153 V155:V157 V159:V161 V163:V165 V167:V169 V171:V173 V175:V177 V179:V181 V183:V185 V187:V189 V191:V193 V195:V197 V199:V201 V203:V205 V207:V209">
    <cfRule type="cellIs" dxfId="613" priority="541" operator="lessThan">
      <formula>0</formula>
    </cfRule>
  </conditionalFormatting>
  <conditionalFormatting sqref="V11:V13 V15:V17 V19:V21 V23:V25 V27:V29 V31:V33 V35:V37 V39:V41 V43:V45 V47:V49 V51:V53 V55:V57 V59:V61 V63:V65 V67:V69 V71:V73 V75:V77 V79:V81 V83:V85 V87:V89 V91:V93 V95:V97 V99:V101 V103:V105 V107:V109 V111:V113 V115:V117 V119:V121 V123:V125 V127:V129 V131:V133 V135:V137 V139:V141 V143:V145 V147:V149 V151:V153 V155:V157 V159:V161 V163:V165 V167:V169 V171:V173 V175:V177 V179:V181 V183:V185 V187:V189 V191:V193 V195:V197 V199:V201 V203:V205 V207:V209">
    <cfRule type="cellIs" dxfId="612" priority="542" operator="greaterThanOrEqual">
      <formula>0</formula>
    </cfRule>
  </conditionalFormatting>
  <conditionalFormatting sqref="V2:V5">
    <cfRule type="cellIs" dxfId="611" priority="543" operator="lessThan">
      <formula>0</formula>
    </cfRule>
  </conditionalFormatting>
  <conditionalFormatting sqref="V2:V5">
    <cfRule type="cellIs" dxfId="610" priority="544" operator="greaterThanOrEqual">
      <formula>0</formula>
    </cfRule>
  </conditionalFormatting>
  <conditionalFormatting sqref="V7:V9">
    <cfRule type="cellIs" dxfId="609" priority="545" operator="lessThan">
      <formula>0</formula>
    </cfRule>
  </conditionalFormatting>
  <conditionalFormatting sqref="V7:V9">
    <cfRule type="cellIs" dxfId="608" priority="546" operator="greaterThanOrEqual">
      <formula>0</formula>
    </cfRule>
  </conditionalFormatting>
  <conditionalFormatting sqref="V210">
    <cfRule type="cellIs" dxfId="607" priority="539" operator="lessThan">
      <formula>0</formula>
    </cfRule>
  </conditionalFormatting>
  <conditionalFormatting sqref="V210">
    <cfRule type="cellIs" dxfId="606" priority="540" operator="greaterThanOrEqual">
      <formula>0</formula>
    </cfRule>
  </conditionalFormatting>
  <conditionalFormatting sqref="Y210">
    <cfRule type="cellIs" dxfId="605" priority="537" operator="lessThan">
      <formula>0</formula>
    </cfRule>
  </conditionalFormatting>
  <conditionalFormatting sqref="Y210">
    <cfRule type="cellIs" dxfId="604" priority="538" operator="greaterThanOrEqual">
      <formula>0</formula>
    </cfRule>
  </conditionalFormatting>
  <conditionalFormatting sqref="AB210">
    <cfRule type="cellIs" dxfId="603" priority="535" operator="lessThan">
      <formula>0</formula>
    </cfRule>
  </conditionalFormatting>
  <conditionalFormatting sqref="AB210">
    <cfRule type="cellIs" dxfId="602" priority="536" operator="greaterThanOrEqual">
      <formula>0</formula>
    </cfRule>
  </conditionalFormatting>
  <conditionalFormatting sqref="AE210">
    <cfRule type="cellIs" dxfId="601" priority="533" operator="lessThan">
      <formula>0</formula>
    </cfRule>
  </conditionalFormatting>
  <conditionalFormatting sqref="AE210">
    <cfRule type="cellIs" dxfId="600" priority="534" operator="greaterThanOrEqual">
      <formula>0</formula>
    </cfRule>
  </conditionalFormatting>
  <conditionalFormatting sqref="M11:M13 M15:M17 M19:M21 M23:M25 M27:M29 M31:M33 M35:M37 M39:M41 M43:M45 M47:M49 M51:M53 M55:M57 M59:M61 M63:M65 M67:M69 M71:M73 M75:M77 M79:M81 M83:M85 M87:M89 M91:M93 M95:M97 M99:M101 M103:M105 M107:M109 M111:M113 M115:M117 M119:M121 M123:M125 M127:M129 M131:M133 M135:M137 M139:M141 M143:M145 M147:M149 M151:M153 M155:M157 M159:M161 M163:M165 M167:M169 M171:M173 M175:M177 M179:M181 M183:M185 M187:M189 M191:M193 M195:M197 M199:M201 M203:M205 M207:M209">
    <cfRule type="cellIs" dxfId="599" priority="525" operator="lessThan">
      <formula>0</formula>
    </cfRule>
  </conditionalFormatting>
  <conditionalFormatting sqref="M11:M13 M15:M17 M19:M21 M23:M25 M27:M29 M31:M33 M35:M37 M39:M41 M43:M45 M47:M49 M51:M53 M55:M57 M59:M61 M63:M65 M67:M69 M71:M73 M75:M77 M79:M81 M83:M85 M87:M89 M91:M93 M95:M97 M99:M101 M103:M105 M107:M109 M111:M113 M115:M117 M119:M121 M123:M125 M127:M129 M131:M133 M135:M137 M139:M141 M143:M145 M147:M149 M151:M153 M155:M157 M159:M161 M163:M165 M167:M169 M171:M173 M175:M177 M179:M181 M183:M185 M187:M189 M191:M193 M195:M197 M199:M201 M203:M205 M207:M209">
    <cfRule type="cellIs" dxfId="598" priority="526" operator="greaterThanOrEqual">
      <formula>0</formula>
    </cfRule>
  </conditionalFormatting>
  <conditionalFormatting sqref="M2:M5">
    <cfRule type="cellIs" dxfId="597" priority="527" operator="lessThan">
      <formula>0</formula>
    </cfRule>
  </conditionalFormatting>
  <conditionalFormatting sqref="M2:M5">
    <cfRule type="cellIs" dxfId="596" priority="528" operator="greaterThanOrEqual">
      <formula>0</formula>
    </cfRule>
  </conditionalFormatting>
  <conditionalFormatting sqref="M7:M9">
    <cfRule type="cellIs" dxfId="595" priority="529" operator="lessThan">
      <formula>0</formula>
    </cfRule>
  </conditionalFormatting>
  <conditionalFormatting sqref="M7:M9">
    <cfRule type="cellIs" dxfId="594" priority="530" operator="greaterThanOrEqual">
      <formula>0</formula>
    </cfRule>
  </conditionalFormatting>
  <conditionalFormatting sqref="M210">
    <cfRule type="cellIs" dxfId="593" priority="523" operator="lessThan">
      <formula>0</formula>
    </cfRule>
  </conditionalFormatting>
  <conditionalFormatting sqref="M210">
    <cfRule type="cellIs" dxfId="592" priority="524" operator="greaterThanOrEqual">
      <formula>0</formula>
    </cfRule>
  </conditionalFormatting>
  <conditionalFormatting sqref="J6">
    <cfRule type="cellIs" dxfId="591" priority="501" operator="lessThan">
      <formula>0</formula>
    </cfRule>
  </conditionalFormatting>
  <conditionalFormatting sqref="J6">
    <cfRule type="cellIs" dxfId="590" priority="502" operator="greaterThanOrEqual">
      <formula>0</formula>
    </cfRule>
  </conditionalFormatting>
  <conditionalFormatting sqref="AB6">
    <cfRule type="cellIs" dxfId="589" priority="503" operator="lessThan">
      <formula>0</formula>
    </cfRule>
  </conditionalFormatting>
  <conditionalFormatting sqref="AB6">
    <cfRule type="cellIs" dxfId="588" priority="504" operator="greaterThanOrEqual">
      <formula>0</formula>
    </cfRule>
  </conditionalFormatting>
  <conditionalFormatting sqref="AE6">
    <cfRule type="cellIs" dxfId="587" priority="499" operator="lessThan">
      <formula>0</formula>
    </cfRule>
  </conditionalFormatting>
  <conditionalFormatting sqref="AE6">
    <cfRule type="cellIs" dxfId="586" priority="500" operator="greaterThanOrEqual">
      <formula>0</formula>
    </cfRule>
  </conditionalFormatting>
  <conditionalFormatting sqref="Y6">
    <cfRule type="cellIs" dxfId="585" priority="497" operator="lessThan">
      <formula>0</formula>
    </cfRule>
  </conditionalFormatting>
  <conditionalFormatting sqref="Y6">
    <cfRule type="cellIs" dxfId="584" priority="498" operator="greaterThanOrEqual">
      <formula>0</formula>
    </cfRule>
  </conditionalFormatting>
  <conditionalFormatting sqref="S6">
    <cfRule type="cellIs" dxfId="583" priority="495" operator="lessThan">
      <formula>0</formula>
    </cfRule>
  </conditionalFormatting>
  <conditionalFormatting sqref="S6">
    <cfRule type="cellIs" dxfId="582" priority="496" operator="greaterThanOrEqual">
      <formula>0</formula>
    </cfRule>
  </conditionalFormatting>
  <conditionalFormatting sqref="P6">
    <cfRule type="cellIs" dxfId="581" priority="493" operator="lessThan">
      <formula>0</formula>
    </cfRule>
  </conditionalFormatting>
  <conditionalFormatting sqref="P6">
    <cfRule type="cellIs" dxfId="580" priority="494" operator="greaterThanOrEqual">
      <formula>0</formula>
    </cfRule>
  </conditionalFormatting>
  <conditionalFormatting sqref="G6">
    <cfRule type="cellIs" dxfId="579" priority="491" operator="lessThan">
      <formula>0</formula>
    </cfRule>
  </conditionalFormatting>
  <conditionalFormatting sqref="G6">
    <cfRule type="cellIs" dxfId="578" priority="492" operator="greaterThanOrEqual">
      <formula>0</formula>
    </cfRule>
  </conditionalFormatting>
  <conditionalFormatting sqref="V6">
    <cfRule type="cellIs" dxfId="577" priority="489" operator="lessThan">
      <formula>0</formula>
    </cfRule>
  </conditionalFormatting>
  <conditionalFormatting sqref="V6">
    <cfRule type="cellIs" dxfId="576" priority="490" operator="greaterThanOrEqual">
      <formula>0</formula>
    </cfRule>
  </conditionalFormatting>
  <conditionalFormatting sqref="M6">
    <cfRule type="cellIs" dxfId="575" priority="487" operator="lessThan">
      <formula>0</formula>
    </cfRule>
  </conditionalFormatting>
  <conditionalFormatting sqref="M6">
    <cfRule type="cellIs" dxfId="574" priority="488" operator="greaterThanOrEqual">
      <formula>0</formula>
    </cfRule>
  </conditionalFormatting>
  <conditionalFormatting sqref="J10">
    <cfRule type="cellIs" dxfId="573" priority="483" operator="lessThan">
      <formula>0</formula>
    </cfRule>
  </conditionalFormatting>
  <conditionalFormatting sqref="J10">
    <cfRule type="cellIs" dxfId="572" priority="484" operator="greaterThanOrEqual">
      <formula>0</formula>
    </cfRule>
  </conditionalFormatting>
  <conditionalFormatting sqref="AB10">
    <cfRule type="cellIs" dxfId="571" priority="485" operator="lessThan">
      <formula>0</formula>
    </cfRule>
  </conditionalFormatting>
  <conditionalFormatting sqref="AB10">
    <cfRule type="cellIs" dxfId="570" priority="486" operator="greaterThanOrEqual">
      <formula>0</formula>
    </cfRule>
  </conditionalFormatting>
  <conditionalFormatting sqref="AE10">
    <cfRule type="cellIs" dxfId="569" priority="481" operator="lessThan">
      <formula>0</formula>
    </cfRule>
  </conditionalFormatting>
  <conditionalFormatting sqref="AE10">
    <cfRule type="cellIs" dxfId="568" priority="482" operator="greaterThanOrEqual">
      <formula>0</formula>
    </cfRule>
  </conditionalFormatting>
  <conditionalFormatting sqref="Y10">
    <cfRule type="cellIs" dxfId="567" priority="479" operator="lessThan">
      <formula>0</formula>
    </cfRule>
  </conditionalFormatting>
  <conditionalFormatting sqref="Y10">
    <cfRule type="cellIs" dxfId="566" priority="480" operator="greaterThanOrEqual">
      <formula>0</formula>
    </cfRule>
  </conditionalFormatting>
  <conditionalFormatting sqref="S10">
    <cfRule type="cellIs" dxfId="565" priority="477" operator="lessThan">
      <formula>0</formula>
    </cfRule>
  </conditionalFormatting>
  <conditionalFormatting sqref="S10">
    <cfRule type="cellIs" dxfId="564" priority="478" operator="greaterThanOrEqual">
      <formula>0</formula>
    </cfRule>
  </conditionalFormatting>
  <conditionalFormatting sqref="P10">
    <cfRule type="cellIs" dxfId="563" priority="475" operator="lessThan">
      <formula>0</formula>
    </cfRule>
  </conditionalFormatting>
  <conditionalFormatting sqref="P10">
    <cfRule type="cellIs" dxfId="562" priority="476" operator="greaterThanOrEqual">
      <formula>0</formula>
    </cfRule>
  </conditionalFormatting>
  <conditionalFormatting sqref="G10">
    <cfRule type="cellIs" dxfId="561" priority="473" operator="lessThan">
      <formula>0</formula>
    </cfRule>
  </conditionalFormatting>
  <conditionalFormatting sqref="G10">
    <cfRule type="cellIs" dxfId="560" priority="474" operator="greaterThanOrEqual">
      <formula>0</formula>
    </cfRule>
  </conditionalFormatting>
  <conditionalFormatting sqref="V10">
    <cfRule type="cellIs" dxfId="559" priority="471" operator="lessThan">
      <formula>0</formula>
    </cfRule>
  </conditionalFormatting>
  <conditionalFormatting sqref="V10">
    <cfRule type="cellIs" dxfId="558" priority="472" operator="greaterThanOrEqual">
      <formula>0</formula>
    </cfRule>
  </conditionalFormatting>
  <conditionalFormatting sqref="M10">
    <cfRule type="cellIs" dxfId="557" priority="469" operator="lessThan">
      <formula>0</formula>
    </cfRule>
  </conditionalFormatting>
  <conditionalFormatting sqref="M10">
    <cfRule type="cellIs" dxfId="556" priority="470" operator="greaterThanOrEqual">
      <formula>0</formula>
    </cfRule>
  </conditionalFormatting>
  <conditionalFormatting sqref="J14">
    <cfRule type="cellIs" dxfId="555" priority="465" operator="lessThan">
      <formula>0</formula>
    </cfRule>
  </conditionalFormatting>
  <conditionalFormatting sqref="J14">
    <cfRule type="cellIs" dxfId="554" priority="466" operator="greaterThanOrEqual">
      <formula>0</formula>
    </cfRule>
  </conditionalFormatting>
  <conditionalFormatting sqref="AB14">
    <cfRule type="cellIs" dxfId="553" priority="467" operator="lessThan">
      <formula>0</formula>
    </cfRule>
  </conditionalFormatting>
  <conditionalFormatting sqref="AB14">
    <cfRule type="cellIs" dxfId="552" priority="468" operator="greaterThanOrEqual">
      <formula>0</formula>
    </cfRule>
  </conditionalFormatting>
  <conditionalFormatting sqref="AE14">
    <cfRule type="cellIs" dxfId="551" priority="463" operator="lessThan">
      <formula>0</formula>
    </cfRule>
  </conditionalFormatting>
  <conditionalFormatting sqref="AE14">
    <cfRule type="cellIs" dxfId="550" priority="464" operator="greaterThanOrEqual">
      <formula>0</formula>
    </cfRule>
  </conditionalFormatting>
  <conditionalFormatting sqref="Y14">
    <cfRule type="cellIs" dxfId="549" priority="461" operator="lessThan">
      <formula>0</formula>
    </cfRule>
  </conditionalFormatting>
  <conditionalFormatting sqref="Y14">
    <cfRule type="cellIs" dxfId="548" priority="462" operator="greaterThanOrEqual">
      <formula>0</formula>
    </cfRule>
  </conditionalFormatting>
  <conditionalFormatting sqref="S14">
    <cfRule type="cellIs" dxfId="547" priority="459" operator="lessThan">
      <formula>0</formula>
    </cfRule>
  </conditionalFormatting>
  <conditionalFormatting sqref="S14">
    <cfRule type="cellIs" dxfId="546" priority="460" operator="greaterThanOrEqual">
      <formula>0</formula>
    </cfRule>
  </conditionalFormatting>
  <conditionalFormatting sqref="P14">
    <cfRule type="cellIs" dxfId="545" priority="457" operator="lessThan">
      <formula>0</formula>
    </cfRule>
  </conditionalFormatting>
  <conditionalFormatting sqref="P14">
    <cfRule type="cellIs" dxfId="544" priority="458" operator="greaterThanOrEqual">
      <formula>0</formula>
    </cfRule>
  </conditionalFormatting>
  <conditionalFormatting sqref="G14">
    <cfRule type="cellIs" dxfId="543" priority="455" operator="lessThan">
      <formula>0</formula>
    </cfRule>
  </conditionalFormatting>
  <conditionalFormatting sqref="G14">
    <cfRule type="cellIs" dxfId="542" priority="456" operator="greaterThanOrEqual">
      <formula>0</formula>
    </cfRule>
  </conditionalFormatting>
  <conditionalFormatting sqref="V14">
    <cfRule type="cellIs" dxfId="541" priority="453" operator="lessThan">
      <formula>0</formula>
    </cfRule>
  </conditionalFormatting>
  <conditionalFormatting sqref="V14">
    <cfRule type="cellIs" dxfId="540" priority="454" operator="greaterThanOrEqual">
      <formula>0</formula>
    </cfRule>
  </conditionalFormatting>
  <conditionalFormatting sqref="M14">
    <cfRule type="cellIs" dxfId="539" priority="451" operator="lessThan">
      <formula>0</formula>
    </cfRule>
  </conditionalFormatting>
  <conditionalFormatting sqref="M14">
    <cfRule type="cellIs" dxfId="538" priority="452" operator="greaterThanOrEqual">
      <formula>0</formula>
    </cfRule>
  </conditionalFormatting>
  <conditionalFormatting sqref="J18">
    <cfRule type="cellIs" dxfId="537" priority="447" operator="lessThan">
      <formula>0</formula>
    </cfRule>
  </conditionalFormatting>
  <conditionalFormatting sqref="J18">
    <cfRule type="cellIs" dxfId="536" priority="448" operator="greaterThanOrEqual">
      <formula>0</formula>
    </cfRule>
  </conditionalFormatting>
  <conditionalFormatting sqref="AB18">
    <cfRule type="cellIs" dxfId="535" priority="449" operator="lessThan">
      <formula>0</formula>
    </cfRule>
  </conditionalFormatting>
  <conditionalFormatting sqref="AB18">
    <cfRule type="cellIs" dxfId="534" priority="450" operator="greaterThanOrEqual">
      <formula>0</formula>
    </cfRule>
  </conditionalFormatting>
  <conditionalFormatting sqref="AE18">
    <cfRule type="cellIs" dxfId="533" priority="445" operator="lessThan">
      <formula>0</formula>
    </cfRule>
  </conditionalFormatting>
  <conditionalFormatting sqref="AE18">
    <cfRule type="cellIs" dxfId="532" priority="446" operator="greaterThanOrEqual">
      <formula>0</formula>
    </cfRule>
  </conditionalFormatting>
  <conditionalFormatting sqref="Y18">
    <cfRule type="cellIs" dxfId="531" priority="443" operator="lessThan">
      <formula>0</formula>
    </cfRule>
  </conditionalFormatting>
  <conditionalFormatting sqref="Y18">
    <cfRule type="cellIs" dxfId="530" priority="444" operator="greaterThanOrEqual">
      <formula>0</formula>
    </cfRule>
  </conditionalFormatting>
  <conditionalFormatting sqref="S18">
    <cfRule type="cellIs" dxfId="529" priority="441" operator="lessThan">
      <formula>0</formula>
    </cfRule>
  </conditionalFormatting>
  <conditionalFormatting sqref="S18">
    <cfRule type="cellIs" dxfId="528" priority="442" operator="greaterThanOrEqual">
      <formula>0</formula>
    </cfRule>
  </conditionalFormatting>
  <conditionalFormatting sqref="P18">
    <cfRule type="cellIs" dxfId="527" priority="439" operator="lessThan">
      <formula>0</formula>
    </cfRule>
  </conditionalFormatting>
  <conditionalFormatting sqref="P18">
    <cfRule type="cellIs" dxfId="526" priority="440" operator="greaterThanOrEqual">
      <formula>0</formula>
    </cfRule>
  </conditionalFormatting>
  <conditionalFormatting sqref="G18">
    <cfRule type="cellIs" dxfId="525" priority="437" operator="lessThan">
      <formula>0</formula>
    </cfRule>
  </conditionalFormatting>
  <conditionalFormatting sqref="G18">
    <cfRule type="cellIs" dxfId="524" priority="438" operator="greaterThanOrEqual">
      <formula>0</formula>
    </cfRule>
  </conditionalFormatting>
  <conditionalFormatting sqref="V18">
    <cfRule type="cellIs" dxfId="523" priority="435" operator="lessThan">
      <formula>0</formula>
    </cfRule>
  </conditionalFormatting>
  <conditionalFormatting sqref="V18">
    <cfRule type="cellIs" dxfId="522" priority="436" operator="greaterThanOrEqual">
      <formula>0</formula>
    </cfRule>
  </conditionalFormatting>
  <conditionalFormatting sqref="M18">
    <cfRule type="cellIs" dxfId="521" priority="433" operator="lessThan">
      <formula>0</formula>
    </cfRule>
  </conditionalFormatting>
  <conditionalFormatting sqref="M18">
    <cfRule type="cellIs" dxfId="520" priority="434" operator="greaterThanOrEqual">
      <formula>0</formula>
    </cfRule>
  </conditionalFormatting>
  <conditionalFormatting sqref="J22">
    <cfRule type="cellIs" dxfId="519" priority="429" operator="lessThan">
      <formula>0</formula>
    </cfRule>
  </conditionalFormatting>
  <conditionalFormatting sqref="J22">
    <cfRule type="cellIs" dxfId="518" priority="430" operator="greaterThanOrEqual">
      <formula>0</formula>
    </cfRule>
  </conditionalFormatting>
  <conditionalFormatting sqref="AB22">
    <cfRule type="cellIs" dxfId="517" priority="431" operator="lessThan">
      <formula>0</formula>
    </cfRule>
  </conditionalFormatting>
  <conditionalFormatting sqref="AB22">
    <cfRule type="cellIs" dxfId="516" priority="432" operator="greaterThanOrEqual">
      <formula>0</formula>
    </cfRule>
  </conditionalFormatting>
  <conditionalFormatting sqref="AE22">
    <cfRule type="cellIs" dxfId="515" priority="427" operator="lessThan">
      <formula>0</formula>
    </cfRule>
  </conditionalFormatting>
  <conditionalFormatting sqref="AE22">
    <cfRule type="cellIs" dxfId="514" priority="428" operator="greaterThanOrEqual">
      <formula>0</formula>
    </cfRule>
  </conditionalFormatting>
  <conditionalFormatting sqref="Y22">
    <cfRule type="cellIs" dxfId="513" priority="425" operator="lessThan">
      <formula>0</formula>
    </cfRule>
  </conditionalFormatting>
  <conditionalFormatting sqref="Y22">
    <cfRule type="cellIs" dxfId="512" priority="426" operator="greaterThanOrEqual">
      <formula>0</formula>
    </cfRule>
  </conditionalFormatting>
  <conditionalFormatting sqref="S22">
    <cfRule type="cellIs" dxfId="511" priority="423" operator="lessThan">
      <formula>0</formula>
    </cfRule>
  </conditionalFormatting>
  <conditionalFormatting sqref="S22">
    <cfRule type="cellIs" dxfId="510" priority="424" operator="greaterThanOrEqual">
      <formula>0</formula>
    </cfRule>
  </conditionalFormatting>
  <conditionalFormatting sqref="P22">
    <cfRule type="cellIs" dxfId="509" priority="421" operator="lessThan">
      <formula>0</formula>
    </cfRule>
  </conditionalFormatting>
  <conditionalFormatting sqref="P22">
    <cfRule type="cellIs" dxfId="508" priority="422" operator="greaterThanOrEqual">
      <formula>0</formula>
    </cfRule>
  </conditionalFormatting>
  <conditionalFormatting sqref="G22">
    <cfRule type="cellIs" dxfId="507" priority="419" operator="lessThan">
      <formula>0</formula>
    </cfRule>
  </conditionalFormatting>
  <conditionalFormatting sqref="G22">
    <cfRule type="cellIs" dxfId="506" priority="420" operator="greaterThanOrEqual">
      <formula>0</formula>
    </cfRule>
  </conditionalFormatting>
  <conditionalFormatting sqref="V22">
    <cfRule type="cellIs" dxfId="505" priority="417" operator="lessThan">
      <formula>0</formula>
    </cfRule>
  </conditionalFormatting>
  <conditionalFormatting sqref="V22">
    <cfRule type="cellIs" dxfId="504" priority="418" operator="greaterThanOrEqual">
      <formula>0</formula>
    </cfRule>
  </conditionalFormatting>
  <conditionalFormatting sqref="M22">
    <cfRule type="cellIs" dxfId="503" priority="415" operator="lessThan">
      <formula>0</formula>
    </cfRule>
  </conditionalFormatting>
  <conditionalFormatting sqref="M22">
    <cfRule type="cellIs" dxfId="502" priority="416" operator="greaterThanOrEqual">
      <formula>0</formula>
    </cfRule>
  </conditionalFormatting>
  <conditionalFormatting sqref="J26">
    <cfRule type="cellIs" dxfId="501" priority="411" operator="lessThan">
      <formula>0</formula>
    </cfRule>
  </conditionalFormatting>
  <conditionalFormatting sqref="J26">
    <cfRule type="cellIs" dxfId="500" priority="412" operator="greaterThanOrEqual">
      <formula>0</formula>
    </cfRule>
  </conditionalFormatting>
  <conditionalFormatting sqref="AB26">
    <cfRule type="cellIs" dxfId="499" priority="413" operator="lessThan">
      <formula>0</formula>
    </cfRule>
  </conditionalFormatting>
  <conditionalFormatting sqref="AB26">
    <cfRule type="cellIs" dxfId="498" priority="414" operator="greaterThanOrEqual">
      <formula>0</formula>
    </cfRule>
  </conditionalFormatting>
  <conditionalFormatting sqref="AE26">
    <cfRule type="cellIs" dxfId="497" priority="409" operator="lessThan">
      <formula>0</formula>
    </cfRule>
  </conditionalFormatting>
  <conditionalFormatting sqref="AE26">
    <cfRule type="cellIs" dxfId="496" priority="410" operator="greaterThanOrEqual">
      <formula>0</formula>
    </cfRule>
  </conditionalFormatting>
  <conditionalFormatting sqref="Y26">
    <cfRule type="cellIs" dxfId="495" priority="407" operator="lessThan">
      <formula>0</formula>
    </cfRule>
  </conditionalFormatting>
  <conditionalFormatting sqref="Y26">
    <cfRule type="cellIs" dxfId="494" priority="408" operator="greaterThanOrEqual">
      <formula>0</formula>
    </cfRule>
  </conditionalFormatting>
  <conditionalFormatting sqref="S26">
    <cfRule type="cellIs" dxfId="493" priority="405" operator="lessThan">
      <formula>0</formula>
    </cfRule>
  </conditionalFormatting>
  <conditionalFormatting sqref="S26">
    <cfRule type="cellIs" dxfId="492" priority="406" operator="greaterThanOrEqual">
      <formula>0</formula>
    </cfRule>
  </conditionalFormatting>
  <conditionalFormatting sqref="P26">
    <cfRule type="cellIs" dxfId="491" priority="403" operator="lessThan">
      <formula>0</formula>
    </cfRule>
  </conditionalFormatting>
  <conditionalFormatting sqref="P26">
    <cfRule type="cellIs" dxfId="490" priority="404" operator="greaterThanOrEqual">
      <formula>0</formula>
    </cfRule>
  </conditionalFormatting>
  <conditionalFormatting sqref="G26">
    <cfRule type="cellIs" dxfId="489" priority="401" operator="lessThan">
      <formula>0</formula>
    </cfRule>
  </conditionalFormatting>
  <conditionalFormatting sqref="G26">
    <cfRule type="cellIs" dxfId="488" priority="402" operator="greaterThanOrEqual">
      <formula>0</formula>
    </cfRule>
  </conditionalFormatting>
  <conditionalFormatting sqref="V26">
    <cfRule type="cellIs" dxfId="487" priority="399" operator="lessThan">
      <formula>0</formula>
    </cfRule>
  </conditionalFormatting>
  <conditionalFormatting sqref="V26">
    <cfRule type="cellIs" dxfId="486" priority="400" operator="greaterThanOrEqual">
      <formula>0</formula>
    </cfRule>
  </conditionalFormatting>
  <conditionalFormatting sqref="M26">
    <cfRule type="cellIs" dxfId="485" priority="397" operator="lessThan">
      <formula>0</formula>
    </cfRule>
  </conditionalFormatting>
  <conditionalFormatting sqref="M26">
    <cfRule type="cellIs" dxfId="484" priority="398" operator="greaterThanOrEqual">
      <formula>0</formula>
    </cfRule>
  </conditionalFormatting>
  <conditionalFormatting sqref="J30">
    <cfRule type="cellIs" dxfId="483" priority="393" operator="lessThan">
      <formula>0</formula>
    </cfRule>
  </conditionalFormatting>
  <conditionalFormatting sqref="J30">
    <cfRule type="cellIs" dxfId="482" priority="394" operator="greaterThanOrEqual">
      <formula>0</formula>
    </cfRule>
  </conditionalFormatting>
  <conditionalFormatting sqref="AB30">
    <cfRule type="cellIs" dxfId="481" priority="395" operator="lessThan">
      <formula>0</formula>
    </cfRule>
  </conditionalFormatting>
  <conditionalFormatting sqref="AB30">
    <cfRule type="cellIs" dxfId="480" priority="396" operator="greaterThanOrEqual">
      <formula>0</formula>
    </cfRule>
  </conditionalFormatting>
  <conditionalFormatting sqref="AE30">
    <cfRule type="cellIs" dxfId="479" priority="391" operator="lessThan">
      <formula>0</formula>
    </cfRule>
  </conditionalFormatting>
  <conditionalFormatting sqref="AE30">
    <cfRule type="cellIs" dxfId="478" priority="392" operator="greaterThanOrEqual">
      <formula>0</formula>
    </cfRule>
  </conditionalFormatting>
  <conditionalFormatting sqref="Y30">
    <cfRule type="cellIs" dxfId="477" priority="389" operator="lessThan">
      <formula>0</formula>
    </cfRule>
  </conditionalFormatting>
  <conditionalFormatting sqref="Y30">
    <cfRule type="cellIs" dxfId="476" priority="390" operator="greaterThanOrEqual">
      <formula>0</formula>
    </cfRule>
  </conditionalFormatting>
  <conditionalFormatting sqref="S30">
    <cfRule type="cellIs" dxfId="475" priority="387" operator="lessThan">
      <formula>0</formula>
    </cfRule>
  </conditionalFormatting>
  <conditionalFormatting sqref="S30">
    <cfRule type="cellIs" dxfId="474" priority="388" operator="greaterThanOrEqual">
      <formula>0</formula>
    </cfRule>
  </conditionalFormatting>
  <conditionalFormatting sqref="P30">
    <cfRule type="cellIs" dxfId="473" priority="385" operator="lessThan">
      <formula>0</formula>
    </cfRule>
  </conditionalFormatting>
  <conditionalFormatting sqref="P30">
    <cfRule type="cellIs" dxfId="472" priority="386" operator="greaterThanOrEqual">
      <formula>0</formula>
    </cfRule>
  </conditionalFormatting>
  <conditionalFormatting sqref="G30">
    <cfRule type="cellIs" dxfId="471" priority="383" operator="lessThan">
      <formula>0</formula>
    </cfRule>
  </conditionalFormatting>
  <conditionalFormatting sqref="G30">
    <cfRule type="cellIs" dxfId="470" priority="384" operator="greaterThanOrEqual">
      <formula>0</formula>
    </cfRule>
  </conditionalFormatting>
  <conditionalFormatting sqref="V30">
    <cfRule type="cellIs" dxfId="469" priority="381" operator="lessThan">
      <formula>0</formula>
    </cfRule>
  </conditionalFormatting>
  <conditionalFormatting sqref="V30">
    <cfRule type="cellIs" dxfId="468" priority="382" operator="greaterThanOrEqual">
      <formula>0</formula>
    </cfRule>
  </conditionalFormatting>
  <conditionalFormatting sqref="M30">
    <cfRule type="cellIs" dxfId="467" priority="379" operator="lessThan">
      <formula>0</formula>
    </cfRule>
  </conditionalFormatting>
  <conditionalFormatting sqref="M30">
    <cfRule type="cellIs" dxfId="466" priority="380" operator="greaterThanOrEqual">
      <formula>0</formula>
    </cfRule>
  </conditionalFormatting>
  <conditionalFormatting sqref="J34">
    <cfRule type="cellIs" dxfId="465" priority="375" operator="lessThan">
      <formula>0</formula>
    </cfRule>
  </conditionalFormatting>
  <conditionalFormatting sqref="J34">
    <cfRule type="cellIs" dxfId="464" priority="376" operator="greaterThanOrEqual">
      <formula>0</formula>
    </cfRule>
  </conditionalFormatting>
  <conditionalFormatting sqref="AB34">
    <cfRule type="cellIs" dxfId="463" priority="377" operator="lessThan">
      <formula>0</formula>
    </cfRule>
  </conditionalFormatting>
  <conditionalFormatting sqref="AB34">
    <cfRule type="cellIs" dxfId="462" priority="378" operator="greaterThanOrEqual">
      <formula>0</formula>
    </cfRule>
  </conditionalFormatting>
  <conditionalFormatting sqref="AE34">
    <cfRule type="cellIs" dxfId="461" priority="373" operator="lessThan">
      <formula>0</formula>
    </cfRule>
  </conditionalFormatting>
  <conditionalFormatting sqref="AE34">
    <cfRule type="cellIs" dxfId="460" priority="374" operator="greaterThanOrEqual">
      <formula>0</formula>
    </cfRule>
  </conditionalFormatting>
  <conditionalFormatting sqref="Y34">
    <cfRule type="cellIs" dxfId="459" priority="371" operator="lessThan">
      <formula>0</formula>
    </cfRule>
  </conditionalFormatting>
  <conditionalFormatting sqref="Y34">
    <cfRule type="cellIs" dxfId="458" priority="372" operator="greaterThanOrEqual">
      <formula>0</formula>
    </cfRule>
  </conditionalFormatting>
  <conditionalFormatting sqref="S34">
    <cfRule type="cellIs" dxfId="457" priority="369" operator="lessThan">
      <formula>0</formula>
    </cfRule>
  </conditionalFormatting>
  <conditionalFormatting sqref="S34">
    <cfRule type="cellIs" dxfId="456" priority="370" operator="greaterThanOrEqual">
      <formula>0</formula>
    </cfRule>
  </conditionalFormatting>
  <conditionalFormatting sqref="P34">
    <cfRule type="cellIs" dxfId="455" priority="367" operator="lessThan">
      <formula>0</formula>
    </cfRule>
  </conditionalFormatting>
  <conditionalFormatting sqref="P34">
    <cfRule type="cellIs" dxfId="454" priority="368" operator="greaterThanOrEqual">
      <formula>0</formula>
    </cfRule>
  </conditionalFormatting>
  <conditionalFormatting sqref="G34">
    <cfRule type="cellIs" dxfId="453" priority="365" operator="lessThan">
      <formula>0</formula>
    </cfRule>
  </conditionalFormatting>
  <conditionalFormatting sqref="G34">
    <cfRule type="cellIs" dxfId="452" priority="366" operator="greaterThanOrEqual">
      <formula>0</formula>
    </cfRule>
  </conditionalFormatting>
  <conditionalFormatting sqref="V34">
    <cfRule type="cellIs" dxfId="451" priority="363" operator="lessThan">
      <formula>0</formula>
    </cfRule>
  </conditionalFormatting>
  <conditionalFormatting sqref="V34">
    <cfRule type="cellIs" dxfId="450" priority="364" operator="greaterThanOrEqual">
      <formula>0</formula>
    </cfRule>
  </conditionalFormatting>
  <conditionalFormatting sqref="M34">
    <cfRule type="cellIs" dxfId="449" priority="361" operator="lessThan">
      <formula>0</formula>
    </cfRule>
  </conditionalFormatting>
  <conditionalFormatting sqref="M34">
    <cfRule type="cellIs" dxfId="448" priority="362" operator="greaterThanOrEqual">
      <formula>0</formula>
    </cfRule>
  </conditionalFormatting>
  <conditionalFormatting sqref="J38">
    <cfRule type="cellIs" dxfId="447" priority="357" operator="lessThan">
      <formula>0</formula>
    </cfRule>
  </conditionalFormatting>
  <conditionalFormatting sqref="J38">
    <cfRule type="cellIs" dxfId="446" priority="358" operator="greaterThanOrEqual">
      <formula>0</formula>
    </cfRule>
  </conditionalFormatting>
  <conditionalFormatting sqref="AB38">
    <cfRule type="cellIs" dxfId="445" priority="359" operator="lessThan">
      <formula>0</formula>
    </cfRule>
  </conditionalFormatting>
  <conditionalFormatting sqref="AB38">
    <cfRule type="cellIs" dxfId="444" priority="360" operator="greaterThanOrEqual">
      <formula>0</formula>
    </cfRule>
  </conditionalFormatting>
  <conditionalFormatting sqref="AE38">
    <cfRule type="cellIs" dxfId="443" priority="355" operator="lessThan">
      <formula>0</formula>
    </cfRule>
  </conditionalFormatting>
  <conditionalFormatting sqref="AE38">
    <cfRule type="cellIs" dxfId="442" priority="356" operator="greaterThanOrEqual">
      <formula>0</formula>
    </cfRule>
  </conditionalFormatting>
  <conditionalFormatting sqref="Y38">
    <cfRule type="cellIs" dxfId="441" priority="353" operator="lessThan">
      <formula>0</formula>
    </cfRule>
  </conditionalFormatting>
  <conditionalFormatting sqref="Y38">
    <cfRule type="cellIs" dxfId="440" priority="354" operator="greaterThanOrEqual">
      <formula>0</formula>
    </cfRule>
  </conditionalFormatting>
  <conditionalFormatting sqref="S38">
    <cfRule type="cellIs" dxfId="439" priority="351" operator="lessThan">
      <formula>0</formula>
    </cfRule>
  </conditionalFormatting>
  <conditionalFormatting sqref="S38">
    <cfRule type="cellIs" dxfId="438" priority="352" operator="greaterThanOrEqual">
      <formula>0</formula>
    </cfRule>
  </conditionalFormatting>
  <conditionalFormatting sqref="P38">
    <cfRule type="cellIs" dxfId="437" priority="349" operator="lessThan">
      <formula>0</formula>
    </cfRule>
  </conditionalFormatting>
  <conditionalFormatting sqref="P38">
    <cfRule type="cellIs" dxfId="436" priority="350" operator="greaterThanOrEqual">
      <formula>0</formula>
    </cfRule>
  </conditionalFormatting>
  <conditionalFormatting sqref="G38">
    <cfRule type="cellIs" dxfId="435" priority="347" operator="lessThan">
      <formula>0</formula>
    </cfRule>
  </conditionalFormatting>
  <conditionalFormatting sqref="G38">
    <cfRule type="cellIs" dxfId="434" priority="348" operator="greaterThanOrEqual">
      <formula>0</formula>
    </cfRule>
  </conditionalFormatting>
  <conditionalFormatting sqref="V38">
    <cfRule type="cellIs" dxfId="433" priority="345" operator="lessThan">
      <formula>0</formula>
    </cfRule>
  </conditionalFormatting>
  <conditionalFormatting sqref="V38">
    <cfRule type="cellIs" dxfId="432" priority="346" operator="greaterThanOrEqual">
      <formula>0</formula>
    </cfRule>
  </conditionalFormatting>
  <conditionalFormatting sqref="M38">
    <cfRule type="cellIs" dxfId="431" priority="343" operator="lessThan">
      <formula>0</formula>
    </cfRule>
  </conditionalFormatting>
  <conditionalFormatting sqref="M38">
    <cfRule type="cellIs" dxfId="430" priority="344" operator="greaterThanOrEqual">
      <formula>0</formula>
    </cfRule>
  </conditionalFormatting>
  <conditionalFormatting sqref="J42">
    <cfRule type="cellIs" dxfId="429" priority="339" operator="lessThan">
      <formula>0</formula>
    </cfRule>
  </conditionalFormatting>
  <conditionalFormatting sqref="J42">
    <cfRule type="cellIs" dxfId="428" priority="340" operator="greaterThanOrEqual">
      <formula>0</formula>
    </cfRule>
  </conditionalFormatting>
  <conditionalFormatting sqref="AB42">
    <cfRule type="cellIs" dxfId="427" priority="341" operator="lessThan">
      <formula>0</formula>
    </cfRule>
  </conditionalFormatting>
  <conditionalFormatting sqref="AB42">
    <cfRule type="cellIs" dxfId="426" priority="342" operator="greaterThanOrEqual">
      <formula>0</formula>
    </cfRule>
  </conditionalFormatting>
  <conditionalFormatting sqref="AE42">
    <cfRule type="cellIs" dxfId="425" priority="337" operator="lessThan">
      <formula>0</formula>
    </cfRule>
  </conditionalFormatting>
  <conditionalFormatting sqref="AE42">
    <cfRule type="cellIs" dxfId="424" priority="338" operator="greaterThanOrEqual">
      <formula>0</formula>
    </cfRule>
  </conditionalFormatting>
  <conditionalFormatting sqref="Y42">
    <cfRule type="cellIs" dxfId="423" priority="335" operator="lessThan">
      <formula>0</formula>
    </cfRule>
  </conditionalFormatting>
  <conditionalFormatting sqref="Y42">
    <cfRule type="cellIs" dxfId="422" priority="336" operator="greaterThanOrEqual">
      <formula>0</formula>
    </cfRule>
  </conditionalFormatting>
  <conditionalFormatting sqref="S42">
    <cfRule type="cellIs" dxfId="421" priority="333" operator="lessThan">
      <formula>0</formula>
    </cfRule>
  </conditionalFormatting>
  <conditionalFormatting sqref="S42">
    <cfRule type="cellIs" dxfId="420" priority="334" operator="greaterThanOrEqual">
      <formula>0</formula>
    </cfRule>
  </conditionalFormatting>
  <conditionalFormatting sqref="P42">
    <cfRule type="cellIs" dxfId="419" priority="331" operator="lessThan">
      <formula>0</formula>
    </cfRule>
  </conditionalFormatting>
  <conditionalFormatting sqref="P42">
    <cfRule type="cellIs" dxfId="418" priority="332" operator="greaterThanOrEqual">
      <formula>0</formula>
    </cfRule>
  </conditionalFormatting>
  <conditionalFormatting sqref="G42">
    <cfRule type="cellIs" dxfId="417" priority="329" operator="lessThan">
      <formula>0</formula>
    </cfRule>
  </conditionalFormatting>
  <conditionalFormatting sqref="G42">
    <cfRule type="cellIs" dxfId="416" priority="330" operator="greaterThanOrEqual">
      <formula>0</formula>
    </cfRule>
  </conditionalFormatting>
  <conditionalFormatting sqref="V42">
    <cfRule type="cellIs" dxfId="415" priority="327" operator="lessThan">
      <formula>0</formula>
    </cfRule>
  </conditionalFormatting>
  <conditionalFormatting sqref="V42">
    <cfRule type="cellIs" dxfId="414" priority="328" operator="greaterThanOrEqual">
      <formula>0</formula>
    </cfRule>
  </conditionalFormatting>
  <conditionalFormatting sqref="M42">
    <cfRule type="cellIs" dxfId="413" priority="325" operator="lessThan">
      <formula>0</formula>
    </cfRule>
  </conditionalFormatting>
  <conditionalFormatting sqref="M42">
    <cfRule type="cellIs" dxfId="412" priority="326" operator="greaterThanOrEqual">
      <formula>0</formula>
    </cfRule>
  </conditionalFormatting>
  <conditionalFormatting sqref="J46">
    <cfRule type="cellIs" dxfId="411" priority="321" operator="lessThan">
      <formula>0</formula>
    </cfRule>
  </conditionalFormatting>
  <conditionalFormatting sqref="J46">
    <cfRule type="cellIs" dxfId="410" priority="322" operator="greaterThanOrEqual">
      <formula>0</formula>
    </cfRule>
  </conditionalFormatting>
  <conditionalFormatting sqref="AB46">
    <cfRule type="cellIs" dxfId="409" priority="323" operator="lessThan">
      <formula>0</formula>
    </cfRule>
  </conditionalFormatting>
  <conditionalFormatting sqref="AB46">
    <cfRule type="cellIs" dxfId="408" priority="324" operator="greaterThanOrEqual">
      <formula>0</formula>
    </cfRule>
  </conditionalFormatting>
  <conditionalFormatting sqref="AE46">
    <cfRule type="cellIs" dxfId="407" priority="319" operator="lessThan">
      <formula>0</formula>
    </cfRule>
  </conditionalFormatting>
  <conditionalFormatting sqref="AE46">
    <cfRule type="cellIs" dxfId="406" priority="320" operator="greaterThanOrEqual">
      <formula>0</formula>
    </cfRule>
  </conditionalFormatting>
  <conditionalFormatting sqref="Y46">
    <cfRule type="cellIs" dxfId="405" priority="317" operator="lessThan">
      <formula>0</formula>
    </cfRule>
  </conditionalFormatting>
  <conditionalFormatting sqref="Y46">
    <cfRule type="cellIs" dxfId="404" priority="318" operator="greaterThanOrEqual">
      <formula>0</formula>
    </cfRule>
  </conditionalFormatting>
  <conditionalFormatting sqref="S46">
    <cfRule type="cellIs" dxfId="403" priority="315" operator="lessThan">
      <formula>0</formula>
    </cfRule>
  </conditionalFormatting>
  <conditionalFormatting sqref="S46">
    <cfRule type="cellIs" dxfId="402" priority="316" operator="greaterThanOrEqual">
      <formula>0</formula>
    </cfRule>
  </conditionalFormatting>
  <conditionalFormatting sqref="P46">
    <cfRule type="cellIs" dxfId="401" priority="313" operator="lessThan">
      <formula>0</formula>
    </cfRule>
  </conditionalFormatting>
  <conditionalFormatting sqref="P46">
    <cfRule type="cellIs" dxfId="400" priority="314" operator="greaterThanOrEqual">
      <formula>0</formula>
    </cfRule>
  </conditionalFormatting>
  <conditionalFormatting sqref="G46">
    <cfRule type="cellIs" dxfId="399" priority="311" operator="lessThan">
      <formula>0</formula>
    </cfRule>
  </conditionalFormatting>
  <conditionalFormatting sqref="G46">
    <cfRule type="cellIs" dxfId="398" priority="312" operator="greaterThanOrEqual">
      <formula>0</formula>
    </cfRule>
  </conditionalFormatting>
  <conditionalFormatting sqref="V46">
    <cfRule type="cellIs" dxfId="397" priority="309" operator="lessThan">
      <formula>0</formula>
    </cfRule>
  </conditionalFormatting>
  <conditionalFormatting sqref="V46">
    <cfRule type="cellIs" dxfId="396" priority="310" operator="greaterThanOrEqual">
      <formula>0</formula>
    </cfRule>
  </conditionalFormatting>
  <conditionalFormatting sqref="M46">
    <cfRule type="cellIs" dxfId="395" priority="307" operator="lessThan">
      <formula>0</formula>
    </cfRule>
  </conditionalFormatting>
  <conditionalFormatting sqref="M46">
    <cfRule type="cellIs" dxfId="394" priority="308" operator="greaterThanOrEqual">
      <formula>0</formula>
    </cfRule>
  </conditionalFormatting>
  <conditionalFormatting sqref="J50">
    <cfRule type="cellIs" dxfId="393" priority="303" operator="lessThan">
      <formula>0</formula>
    </cfRule>
  </conditionalFormatting>
  <conditionalFormatting sqref="J50">
    <cfRule type="cellIs" dxfId="392" priority="304" operator="greaterThanOrEqual">
      <formula>0</formula>
    </cfRule>
  </conditionalFormatting>
  <conditionalFormatting sqref="AB50">
    <cfRule type="cellIs" dxfId="391" priority="305" operator="lessThan">
      <formula>0</formula>
    </cfRule>
  </conditionalFormatting>
  <conditionalFormatting sqref="AB50">
    <cfRule type="cellIs" dxfId="390" priority="306" operator="greaterThanOrEqual">
      <formula>0</formula>
    </cfRule>
  </conditionalFormatting>
  <conditionalFormatting sqref="AE50">
    <cfRule type="cellIs" dxfId="389" priority="301" operator="lessThan">
      <formula>0</formula>
    </cfRule>
  </conditionalFormatting>
  <conditionalFormatting sqref="AE50">
    <cfRule type="cellIs" dxfId="388" priority="302" operator="greaterThanOrEqual">
      <formula>0</formula>
    </cfRule>
  </conditionalFormatting>
  <conditionalFormatting sqref="Y50">
    <cfRule type="cellIs" dxfId="387" priority="299" operator="lessThan">
      <formula>0</formula>
    </cfRule>
  </conditionalFormatting>
  <conditionalFormatting sqref="Y50">
    <cfRule type="cellIs" dxfId="386" priority="300" operator="greaterThanOrEqual">
      <formula>0</formula>
    </cfRule>
  </conditionalFormatting>
  <conditionalFormatting sqref="S50">
    <cfRule type="cellIs" dxfId="385" priority="297" operator="lessThan">
      <formula>0</formula>
    </cfRule>
  </conditionalFormatting>
  <conditionalFormatting sqref="S50">
    <cfRule type="cellIs" dxfId="384" priority="298" operator="greaterThanOrEqual">
      <formula>0</formula>
    </cfRule>
  </conditionalFormatting>
  <conditionalFormatting sqref="P50">
    <cfRule type="cellIs" dxfId="383" priority="295" operator="lessThan">
      <formula>0</formula>
    </cfRule>
  </conditionalFormatting>
  <conditionalFormatting sqref="P50">
    <cfRule type="cellIs" dxfId="382" priority="296" operator="greaterThanOrEqual">
      <formula>0</formula>
    </cfRule>
  </conditionalFormatting>
  <conditionalFormatting sqref="G50">
    <cfRule type="cellIs" dxfId="381" priority="293" operator="lessThan">
      <formula>0</formula>
    </cfRule>
  </conditionalFormatting>
  <conditionalFormatting sqref="G50">
    <cfRule type="cellIs" dxfId="380" priority="294" operator="greaterThanOrEqual">
      <formula>0</formula>
    </cfRule>
  </conditionalFormatting>
  <conditionalFormatting sqref="V50">
    <cfRule type="cellIs" dxfId="379" priority="291" operator="lessThan">
      <formula>0</formula>
    </cfRule>
  </conditionalFormatting>
  <conditionalFormatting sqref="V50">
    <cfRule type="cellIs" dxfId="378" priority="292" operator="greaterThanOrEqual">
      <formula>0</formula>
    </cfRule>
  </conditionalFormatting>
  <conditionalFormatting sqref="M50">
    <cfRule type="cellIs" dxfId="377" priority="289" operator="lessThan">
      <formula>0</formula>
    </cfRule>
  </conditionalFormatting>
  <conditionalFormatting sqref="M50">
    <cfRule type="cellIs" dxfId="376" priority="290" operator="greaterThanOrEqual">
      <formula>0</formula>
    </cfRule>
  </conditionalFormatting>
  <conditionalFormatting sqref="J54">
    <cfRule type="cellIs" dxfId="375" priority="285" operator="lessThan">
      <formula>0</formula>
    </cfRule>
  </conditionalFormatting>
  <conditionalFormatting sqref="J54">
    <cfRule type="cellIs" dxfId="374" priority="286" operator="greaterThanOrEqual">
      <formula>0</formula>
    </cfRule>
  </conditionalFormatting>
  <conditionalFormatting sqref="AB54">
    <cfRule type="cellIs" dxfId="373" priority="287" operator="lessThan">
      <formula>0</formula>
    </cfRule>
  </conditionalFormatting>
  <conditionalFormatting sqref="AB54">
    <cfRule type="cellIs" dxfId="372" priority="288" operator="greaterThanOrEqual">
      <formula>0</formula>
    </cfRule>
  </conditionalFormatting>
  <conditionalFormatting sqref="AE54">
    <cfRule type="cellIs" dxfId="371" priority="283" operator="lessThan">
      <formula>0</formula>
    </cfRule>
  </conditionalFormatting>
  <conditionalFormatting sqref="AE54">
    <cfRule type="cellIs" dxfId="370" priority="284" operator="greaterThanOrEqual">
      <formula>0</formula>
    </cfRule>
  </conditionalFormatting>
  <conditionalFormatting sqref="Y54">
    <cfRule type="cellIs" dxfId="369" priority="281" operator="lessThan">
      <formula>0</formula>
    </cfRule>
  </conditionalFormatting>
  <conditionalFormatting sqref="Y54">
    <cfRule type="cellIs" dxfId="368" priority="282" operator="greaterThanOrEqual">
      <formula>0</formula>
    </cfRule>
  </conditionalFormatting>
  <conditionalFormatting sqref="S54">
    <cfRule type="cellIs" dxfId="367" priority="279" operator="lessThan">
      <formula>0</formula>
    </cfRule>
  </conditionalFormatting>
  <conditionalFormatting sqref="S54">
    <cfRule type="cellIs" dxfId="366" priority="280" operator="greaterThanOrEqual">
      <formula>0</formula>
    </cfRule>
  </conditionalFormatting>
  <conditionalFormatting sqref="P54">
    <cfRule type="cellIs" dxfId="365" priority="277" operator="lessThan">
      <formula>0</formula>
    </cfRule>
  </conditionalFormatting>
  <conditionalFormatting sqref="P54">
    <cfRule type="cellIs" dxfId="364" priority="278" operator="greaterThanOrEqual">
      <formula>0</formula>
    </cfRule>
  </conditionalFormatting>
  <conditionalFormatting sqref="G54">
    <cfRule type="cellIs" dxfId="363" priority="275" operator="lessThan">
      <formula>0</formula>
    </cfRule>
  </conditionalFormatting>
  <conditionalFormatting sqref="G54">
    <cfRule type="cellIs" dxfId="362" priority="276" operator="greaterThanOrEqual">
      <formula>0</formula>
    </cfRule>
  </conditionalFormatting>
  <conditionalFormatting sqref="V54">
    <cfRule type="cellIs" dxfId="361" priority="273" operator="lessThan">
      <formula>0</formula>
    </cfRule>
  </conditionalFormatting>
  <conditionalFormatting sqref="V54">
    <cfRule type="cellIs" dxfId="360" priority="274" operator="greaterThanOrEqual">
      <formula>0</formula>
    </cfRule>
  </conditionalFormatting>
  <conditionalFormatting sqref="M54">
    <cfRule type="cellIs" dxfId="359" priority="271" operator="lessThan">
      <formula>0</formula>
    </cfRule>
  </conditionalFormatting>
  <conditionalFormatting sqref="M54">
    <cfRule type="cellIs" dxfId="358" priority="272" operator="greaterThanOrEqual">
      <formula>0</formula>
    </cfRule>
  </conditionalFormatting>
  <conditionalFormatting sqref="J58">
    <cfRule type="cellIs" dxfId="357" priority="267" operator="lessThan">
      <formula>0</formula>
    </cfRule>
  </conditionalFormatting>
  <conditionalFormatting sqref="J58">
    <cfRule type="cellIs" dxfId="356" priority="268" operator="greaterThanOrEqual">
      <formula>0</formula>
    </cfRule>
  </conditionalFormatting>
  <conditionalFormatting sqref="AB58">
    <cfRule type="cellIs" dxfId="355" priority="269" operator="lessThan">
      <formula>0</formula>
    </cfRule>
  </conditionalFormatting>
  <conditionalFormatting sqref="AB58">
    <cfRule type="cellIs" dxfId="354" priority="270" operator="greaterThanOrEqual">
      <formula>0</formula>
    </cfRule>
  </conditionalFormatting>
  <conditionalFormatting sqref="AE58">
    <cfRule type="cellIs" dxfId="353" priority="265" operator="lessThan">
      <formula>0</formula>
    </cfRule>
  </conditionalFormatting>
  <conditionalFormatting sqref="AE58">
    <cfRule type="cellIs" dxfId="352" priority="266" operator="greaterThanOrEqual">
      <formula>0</formula>
    </cfRule>
  </conditionalFormatting>
  <conditionalFormatting sqref="Y58">
    <cfRule type="cellIs" dxfId="351" priority="263" operator="lessThan">
      <formula>0</formula>
    </cfRule>
  </conditionalFormatting>
  <conditionalFormatting sqref="Y58">
    <cfRule type="cellIs" dxfId="350" priority="264" operator="greaterThanOrEqual">
      <formula>0</formula>
    </cfRule>
  </conditionalFormatting>
  <conditionalFormatting sqref="S58">
    <cfRule type="cellIs" dxfId="349" priority="261" operator="lessThan">
      <formula>0</formula>
    </cfRule>
  </conditionalFormatting>
  <conditionalFormatting sqref="S58">
    <cfRule type="cellIs" dxfId="348" priority="262" operator="greaterThanOrEqual">
      <formula>0</formula>
    </cfRule>
  </conditionalFormatting>
  <conditionalFormatting sqref="P58">
    <cfRule type="cellIs" dxfId="347" priority="259" operator="lessThan">
      <formula>0</formula>
    </cfRule>
  </conditionalFormatting>
  <conditionalFormatting sqref="P58">
    <cfRule type="cellIs" dxfId="346" priority="260" operator="greaterThanOrEqual">
      <formula>0</formula>
    </cfRule>
  </conditionalFormatting>
  <conditionalFormatting sqref="G58">
    <cfRule type="cellIs" dxfId="345" priority="257" operator="lessThan">
      <formula>0</formula>
    </cfRule>
  </conditionalFormatting>
  <conditionalFormatting sqref="G58">
    <cfRule type="cellIs" dxfId="344" priority="258" operator="greaterThanOrEqual">
      <formula>0</formula>
    </cfRule>
  </conditionalFormatting>
  <conditionalFormatting sqref="V58">
    <cfRule type="cellIs" dxfId="343" priority="255" operator="lessThan">
      <formula>0</formula>
    </cfRule>
  </conditionalFormatting>
  <conditionalFormatting sqref="V58">
    <cfRule type="cellIs" dxfId="342" priority="256" operator="greaterThanOrEqual">
      <formula>0</formula>
    </cfRule>
  </conditionalFormatting>
  <conditionalFormatting sqref="M58">
    <cfRule type="cellIs" dxfId="341" priority="253" operator="lessThan">
      <formula>0</formula>
    </cfRule>
  </conditionalFormatting>
  <conditionalFormatting sqref="M58">
    <cfRule type="cellIs" dxfId="340" priority="254" operator="greaterThanOrEqual">
      <formula>0</formula>
    </cfRule>
  </conditionalFormatting>
  <conditionalFormatting sqref="J62">
    <cfRule type="cellIs" dxfId="339" priority="249" operator="lessThan">
      <formula>0</formula>
    </cfRule>
  </conditionalFormatting>
  <conditionalFormatting sqref="J62">
    <cfRule type="cellIs" dxfId="338" priority="250" operator="greaterThanOrEqual">
      <formula>0</formula>
    </cfRule>
  </conditionalFormatting>
  <conditionalFormatting sqref="AB62">
    <cfRule type="cellIs" dxfId="337" priority="251" operator="lessThan">
      <formula>0</formula>
    </cfRule>
  </conditionalFormatting>
  <conditionalFormatting sqref="AB62">
    <cfRule type="cellIs" dxfId="336" priority="252" operator="greaterThanOrEqual">
      <formula>0</formula>
    </cfRule>
  </conditionalFormatting>
  <conditionalFormatting sqref="AE62">
    <cfRule type="cellIs" dxfId="335" priority="247" operator="lessThan">
      <formula>0</formula>
    </cfRule>
  </conditionalFormatting>
  <conditionalFormatting sqref="AE62">
    <cfRule type="cellIs" dxfId="334" priority="248" operator="greaterThanOrEqual">
      <formula>0</formula>
    </cfRule>
  </conditionalFormatting>
  <conditionalFormatting sqref="Y62">
    <cfRule type="cellIs" dxfId="333" priority="245" operator="lessThan">
      <formula>0</formula>
    </cfRule>
  </conditionalFormatting>
  <conditionalFormatting sqref="Y62">
    <cfRule type="cellIs" dxfId="332" priority="246" operator="greaterThanOrEqual">
      <formula>0</formula>
    </cfRule>
  </conditionalFormatting>
  <conditionalFormatting sqref="S62">
    <cfRule type="cellIs" dxfId="331" priority="243" operator="lessThan">
      <formula>0</formula>
    </cfRule>
  </conditionalFormatting>
  <conditionalFormatting sqref="S62">
    <cfRule type="cellIs" dxfId="330" priority="244" operator="greaterThanOrEqual">
      <formula>0</formula>
    </cfRule>
  </conditionalFormatting>
  <conditionalFormatting sqref="P62">
    <cfRule type="cellIs" dxfId="329" priority="241" operator="lessThan">
      <formula>0</formula>
    </cfRule>
  </conditionalFormatting>
  <conditionalFormatting sqref="P62">
    <cfRule type="cellIs" dxfId="328" priority="242" operator="greaterThanOrEqual">
      <formula>0</formula>
    </cfRule>
  </conditionalFormatting>
  <conditionalFormatting sqref="G62">
    <cfRule type="cellIs" dxfId="327" priority="239" operator="lessThan">
      <formula>0</formula>
    </cfRule>
  </conditionalFormatting>
  <conditionalFormatting sqref="G62">
    <cfRule type="cellIs" dxfId="326" priority="240" operator="greaterThanOrEqual">
      <formula>0</formula>
    </cfRule>
  </conditionalFormatting>
  <conditionalFormatting sqref="V62">
    <cfRule type="cellIs" dxfId="325" priority="237" operator="lessThan">
      <formula>0</formula>
    </cfRule>
  </conditionalFormatting>
  <conditionalFormatting sqref="V62">
    <cfRule type="cellIs" dxfId="324" priority="238" operator="greaterThanOrEqual">
      <formula>0</formula>
    </cfRule>
  </conditionalFormatting>
  <conditionalFormatting sqref="M62">
    <cfRule type="cellIs" dxfId="323" priority="235" operator="lessThan">
      <formula>0</formula>
    </cfRule>
  </conditionalFormatting>
  <conditionalFormatting sqref="M62">
    <cfRule type="cellIs" dxfId="322" priority="236" operator="greaterThanOrEqual">
      <formula>0</formula>
    </cfRule>
  </conditionalFormatting>
  <conditionalFormatting sqref="J66">
    <cfRule type="cellIs" dxfId="321" priority="231" operator="lessThan">
      <formula>0</formula>
    </cfRule>
  </conditionalFormatting>
  <conditionalFormatting sqref="J66">
    <cfRule type="cellIs" dxfId="320" priority="232" operator="greaterThanOrEqual">
      <formula>0</formula>
    </cfRule>
  </conditionalFormatting>
  <conditionalFormatting sqref="AB66">
    <cfRule type="cellIs" dxfId="319" priority="233" operator="lessThan">
      <formula>0</formula>
    </cfRule>
  </conditionalFormatting>
  <conditionalFormatting sqref="AB66">
    <cfRule type="cellIs" dxfId="318" priority="234" operator="greaterThanOrEqual">
      <formula>0</formula>
    </cfRule>
  </conditionalFormatting>
  <conditionalFormatting sqref="AE66">
    <cfRule type="cellIs" dxfId="317" priority="229" operator="lessThan">
      <formula>0</formula>
    </cfRule>
  </conditionalFormatting>
  <conditionalFormatting sqref="AE66">
    <cfRule type="cellIs" dxfId="316" priority="230" operator="greaterThanOrEqual">
      <formula>0</formula>
    </cfRule>
  </conditionalFormatting>
  <conditionalFormatting sqref="Y66">
    <cfRule type="cellIs" dxfId="315" priority="227" operator="lessThan">
      <formula>0</formula>
    </cfRule>
  </conditionalFormatting>
  <conditionalFormatting sqref="Y66">
    <cfRule type="cellIs" dxfId="314" priority="228" operator="greaterThanOrEqual">
      <formula>0</formula>
    </cfRule>
  </conditionalFormatting>
  <conditionalFormatting sqref="S66">
    <cfRule type="cellIs" dxfId="313" priority="225" operator="lessThan">
      <formula>0</formula>
    </cfRule>
  </conditionalFormatting>
  <conditionalFormatting sqref="S66">
    <cfRule type="cellIs" dxfId="312" priority="226" operator="greaterThanOrEqual">
      <formula>0</formula>
    </cfRule>
  </conditionalFormatting>
  <conditionalFormatting sqref="P66">
    <cfRule type="cellIs" dxfId="311" priority="223" operator="lessThan">
      <formula>0</formula>
    </cfRule>
  </conditionalFormatting>
  <conditionalFormatting sqref="P66">
    <cfRule type="cellIs" dxfId="310" priority="224" operator="greaterThanOrEqual">
      <formula>0</formula>
    </cfRule>
  </conditionalFormatting>
  <conditionalFormatting sqref="G66">
    <cfRule type="cellIs" dxfId="309" priority="221" operator="lessThan">
      <formula>0</formula>
    </cfRule>
  </conditionalFormatting>
  <conditionalFormatting sqref="G66">
    <cfRule type="cellIs" dxfId="308" priority="222" operator="greaterThanOrEqual">
      <formula>0</formula>
    </cfRule>
  </conditionalFormatting>
  <conditionalFormatting sqref="V66">
    <cfRule type="cellIs" dxfId="307" priority="219" operator="lessThan">
      <formula>0</formula>
    </cfRule>
  </conditionalFormatting>
  <conditionalFormatting sqref="V66">
    <cfRule type="cellIs" dxfId="306" priority="220" operator="greaterThanOrEqual">
      <formula>0</formula>
    </cfRule>
  </conditionalFormatting>
  <conditionalFormatting sqref="M66">
    <cfRule type="cellIs" dxfId="305" priority="217" operator="lessThan">
      <formula>0</formula>
    </cfRule>
  </conditionalFormatting>
  <conditionalFormatting sqref="M66">
    <cfRule type="cellIs" dxfId="304" priority="218" operator="greaterThanOrEqual">
      <formula>0</formula>
    </cfRule>
  </conditionalFormatting>
  <conditionalFormatting sqref="J70">
    <cfRule type="cellIs" dxfId="303" priority="213" operator="lessThan">
      <formula>0</formula>
    </cfRule>
  </conditionalFormatting>
  <conditionalFormatting sqref="J70">
    <cfRule type="cellIs" dxfId="302" priority="214" operator="greaterThanOrEqual">
      <formula>0</formula>
    </cfRule>
  </conditionalFormatting>
  <conditionalFormatting sqref="AB70">
    <cfRule type="cellIs" dxfId="301" priority="215" operator="lessThan">
      <formula>0</formula>
    </cfRule>
  </conditionalFormatting>
  <conditionalFormatting sqref="AB70">
    <cfRule type="cellIs" dxfId="300" priority="216" operator="greaterThanOrEqual">
      <formula>0</formula>
    </cfRule>
  </conditionalFormatting>
  <conditionalFormatting sqref="AE70">
    <cfRule type="cellIs" dxfId="299" priority="211" operator="lessThan">
      <formula>0</formula>
    </cfRule>
  </conditionalFormatting>
  <conditionalFormatting sqref="AE70">
    <cfRule type="cellIs" dxfId="298" priority="212" operator="greaterThanOrEqual">
      <formula>0</formula>
    </cfRule>
  </conditionalFormatting>
  <conditionalFormatting sqref="Y70">
    <cfRule type="cellIs" dxfId="297" priority="209" operator="lessThan">
      <formula>0</formula>
    </cfRule>
  </conditionalFormatting>
  <conditionalFormatting sqref="Y70">
    <cfRule type="cellIs" dxfId="296" priority="210" operator="greaterThanOrEqual">
      <formula>0</formula>
    </cfRule>
  </conditionalFormatting>
  <conditionalFormatting sqref="S70">
    <cfRule type="cellIs" dxfId="295" priority="207" operator="lessThan">
      <formula>0</formula>
    </cfRule>
  </conditionalFormatting>
  <conditionalFormatting sqref="S70">
    <cfRule type="cellIs" dxfId="294" priority="208" operator="greaterThanOrEqual">
      <formula>0</formula>
    </cfRule>
  </conditionalFormatting>
  <conditionalFormatting sqref="P70">
    <cfRule type="cellIs" dxfId="293" priority="205" operator="lessThan">
      <formula>0</formula>
    </cfRule>
  </conditionalFormatting>
  <conditionalFormatting sqref="P70">
    <cfRule type="cellIs" dxfId="292" priority="206" operator="greaterThanOrEqual">
      <formula>0</formula>
    </cfRule>
  </conditionalFormatting>
  <conditionalFormatting sqref="G70">
    <cfRule type="cellIs" dxfId="291" priority="203" operator="lessThan">
      <formula>0</formula>
    </cfRule>
  </conditionalFormatting>
  <conditionalFormatting sqref="G70">
    <cfRule type="cellIs" dxfId="290" priority="204" operator="greaterThanOrEqual">
      <formula>0</formula>
    </cfRule>
  </conditionalFormatting>
  <conditionalFormatting sqref="V70">
    <cfRule type="cellIs" dxfId="289" priority="201" operator="lessThan">
      <formula>0</formula>
    </cfRule>
  </conditionalFormatting>
  <conditionalFormatting sqref="V70">
    <cfRule type="cellIs" dxfId="288" priority="202" operator="greaterThanOrEqual">
      <formula>0</formula>
    </cfRule>
  </conditionalFormatting>
  <conditionalFormatting sqref="M70">
    <cfRule type="cellIs" dxfId="287" priority="199" operator="lessThan">
      <formula>0</formula>
    </cfRule>
  </conditionalFormatting>
  <conditionalFormatting sqref="M70">
    <cfRule type="cellIs" dxfId="286" priority="200" operator="greaterThanOrEqual">
      <formula>0</formula>
    </cfRule>
  </conditionalFormatting>
  <conditionalFormatting sqref="J74">
    <cfRule type="cellIs" dxfId="285" priority="195" operator="lessThan">
      <formula>0</formula>
    </cfRule>
  </conditionalFormatting>
  <conditionalFormatting sqref="J74">
    <cfRule type="cellIs" dxfId="284" priority="196" operator="greaterThanOrEqual">
      <formula>0</formula>
    </cfRule>
  </conditionalFormatting>
  <conditionalFormatting sqref="AB74">
    <cfRule type="cellIs" dxfId="283" priority="197" operator="lessThan">
      <formula>0</formula>
    </cfRule>
  </conditionalFormatting>
  <conditionalFormatting sqref="AB74">
    <cfRule type="cellIs" dxfId="282" priority="198" operator="greaterThanOrEqual">
      <formula>0</formula>
    </cfRule>
  </conditionalFormatting>
  <conditionalFormatting sqref="AE74">
    <cfRule type="cellIs" dxfId="281" priority="193" operator="lessThan">
      <formula>0</formula>
    </cfRule>
  </conditionalFormatting>
  <conditionalFormatting sqref="AE74">
    <cfRule type="cellIs" dxfId="280" priority="194" operator="greaterThanOrEqual">
      <formula>0</formula>
    </cfRule>
  </conditionalFormatting>
  <conditionalFormatting sqref="Y74">
    <cfRule type="cellIs" dxfId="279" priority="191" operator="lessThan">
      <formula>0</formula>
    </cfRule>
  </conditionalFormatting>
  <conditionalFormatting sqref="Y74">
    <cfRule type="cellIs" dxfId="278" priority="192" operator="greaterThanOrEqual">
      <formula>0</formula>
    </cfRule>
  </conditionalFormatting>
  <conditionalFormatting sqref="S74">
    <cfRule type="cellIs" dxfId="277" priority="189" operator="lessThan">
      <formula>0</formula>
    </cfRule>
  </conditionalFormatting>
  <conditionalFormatting sqref="S74">
    <cfRule type="cellIs" dxfId="276" priority="190" operator="greaterThanOrEqual">
      <formula>0</formula>
    </cfRule>
  </conditionalFormatting>
  <conditionalFormatting sqref="P74">
    <cfRule type="cellIs" dxfId="275" priority="187" operator="lessThan">
      <formula>0</formula>
    </cfRule>
  </conditionalFormatting>
  <conditionalFormatting sqref="P74">
    <cfRule type="cellIs" dxfId="274" priority="188" operator="greaterThanOrEqual">
      <formula>0</formula>
    </cfRule>
  </conditionalFormatting>
  <conditionalFormatting sqref="G74">
    <cfRule type="cellIs" dxfId="273" priority="185" operator="lessThan">
      <formula>0</formula>
    </cfRule>
  </conditionalFormatting>
  <conditionalFormatting sqref="G74">
    <cfRule type="cellIs" dxfId="272" priority="186" operator="greaterThanOrEqual">
      <formula>0</formula>
    </cfRule>
  </conditionalFormatting>
  <conditionalFormatting sqref="V74">
    <cfRule type="cellIs" dxfId="271" priority="183" operator="lessThan">
      <formula>0</formula>
    </cfRule>
  </conditionalFormatting>
  <conditionalFormatting sqref="V74">
    <cfRule type="cellIs" dxfId="270" priority="184" operator="greaterThanOrEqual">
      <formula>0</formula>
    </cfRule>
  </conditionalFormatting>
  <conditionalFormatting sqref="M74">
    <cfRule type="cellIs" dxfId="269" priority="181" operator="lessThan">
      <formula>0</formula>
    </cfRule>
  </conditionalFormatting>
  <conditionalFormatting sqref="M74">
    <cfRule type="cellIs" dxfId="268" priority="182" operator="greaterThanOrEqual">
      <formula>0</formula>
    </cfRule>
  </conditionalFormatting>
  <conditionalFormatting sqref="J78">
    <cfRule type="cellIs" dxfId="267" priority="177" operator="lessThan">
      <formula>0</formula>
    </cfRule>
  </conditionalFormatting>
  <conditionalFormatting sqref="J78">
    <cfRule type="cellIs" dxfId="266" priority="178" operator="greaterThanOrEqual">
      <formula>0</formula>
    </cfRule>
  </conditionalFormatting>
  <conditionalFormatting sqref="AB78">
    <cfRule type="cellIs" dxfId="265" priority="179" operator="lessThan">
      <formula>0</formula>
    </cfRule>
  </conditionalFormatting>
  <conditionalFormatting sqref="AB78">
    <cfRule type="cellIs" dxfId="264" priority="180" operator="greaterThanOrEqual">
      <formula>0</formula>
    </cfRule>
  </conditionalFormatting>
  <conditionalFormatting sqref="AE78">
    <cfRule type="cellIs" dxfId="263" priority="175" operator="lessThan">
      <formula>0</formula>
    </cfRule>
  </conditionalFormatting>
  <conditionalFormatting sqref="AE78">
    <cfRule type="cellIs" dxfId="262" priority="176" operator="greaterThanOrEqual">
      <formula>0</formula>
    </cfRule>
  </conditionalFormatting>
  <conditionalFormatting sqref="Y78">
    <cfRule type="cellIs" dxfId="261" priority="173" operator="lessThan">
      <formula>0</formula>
    </cfRule>
  </conditionalFormatting>
  <conditionalFormatting sqref="Y78">
    <cfRule type="cellIs" dxfId="260" priority="174" operator="greaterThanOrEqual">
      <formula>0</formula>
    </cfRule>
  </conditionalFormatting>
  <conditionalFormatting sqref="S78">
    <cfRule type="cellIs" dxfId="259" priority="171" operator="lessThan">
      <formula>0</formula>
    </cfRule>
  </conditionalFormatting>
  <conditionalFormatting sqref="S78">
    <cfRule type="cellIs" dxfId="258" priority="172" operator="greaterThanOrEqual">
      <formula>0</formula>
    </cfRule>
  </conditionalFormatting>
  <conditionalFormatting sqref="P78">
    <cfRule type="cellIs" dxfId="257" priority="169" operator="lessThan">
      <formula>0</formula>
    </cfRule>
  </conditionalFormatting>
  <conditionalFormatting sqref="P78">
    <cfRule type="cellIs" dxfId="256" priority="170" operator="greaterThanOrEqual">
      <formula>0</formula>
    </cfRule>
  </conditionalFormatting>
  <conditionalFormatting sqref="G78">
    <cfRule type="cellIs" dxfId="255" priority="167" operator="lessThan">
      <formula>0</formula>
    </cfRule>
  </conditionalFormatting>
  <conditionalFormatting sqref="G78">
    <cfRule type="cellIs" dxfId="254" priority="168" operator="greaterThanOrEqual">
      <formula>0</formula>
    </cfRule>
  </conditionalFormatting>
  <conditionalFormatting sqref="V78">
    <cfRule type="cellIs" dxfId="253" priority="165" operator="lessThan">
      <formula>0</formula>
    </cfRule>
  </conditionalFormatting>
  <conditionalFormatting sqref="V78">
    <cfRule type="cellIs" dxfId="252" priority="166" operator="greaterThanOrEqual">
      <formula>0</formula>
    </cfRule>
  </conditionalFormatting>
  <conditionalFormatting sqref="M78">
    <cfRule type="cellIs" dxfId="251" priority="163" operator="lessThan">
      <formula>0</formula>
    </cfRule>
  </conditionalFormatting>
  <conditionalFormatting sqref="M78">
    <cfRule type="cellIs" dxfId="250" priority="164" operator="greaterThanOrEqual">
      <formula>0</formula>
    </cfRule>
  </conditionalFormatting>
  <conditionalFormatting sqref="J82">
    <cfRule type="cellIs" dxfId="249" priority="159" operator="lessThan">
      <formula>0</formula>
    </cfRule>
  </conditionalFormatting>
  <conditionalFormatting sqref="J82">
    <cfRule type="cellIs" dxfId="248" priority="160" operator="greaterThanOrEqual">
      <formula>0</formula>
    </cfRule>
  </conditionalFormatting>
  <conditionalFormatting sqref="AB82">
    <cfRule type="cellIs" dxfId="247" priority="161" operator="lessThan">
      <formula>0</formula>
    </cfRule>
  </conditionalFormatting>
  <conditionalFormatting sqref="AB82">
    <cfRule type="cellIs" dxfId="246" priority="162" operator="greaterThanOrEqual">
      <formula>0</formula>
    </cfRule>
  </conditionalFormatting>
  <conditionalFormatting sqref="AE82">
    <cfRule type="cellIs" dxfId="245" priority="157" operator="lessThan">
      <formula>0</formula>
    </cfRule>
  </conditionalFormatting>
  <conditionalFormatting sqref="AE82">
    <cfRule type="cellIs" dxfId="244" priority="158" operator="greaterThanOrEqual">
      <formula>0</formula>
    </cfRule>
  </conditionalFormatting>
  <conditionalFormatting sqref="Y82">
    <cfRule type="cellIs" dxfId="243" priority="155" operator="lessThan">
      <formula>0</formula>
    </cfRule>
  </conditionalFormatting>
  <conditionalFormatting sqref="Y82">
    <cfRule type="cellIs" dxfId="242" priority="156" operator="greaterThanOrEqual">
      <formula>0</formula>
    </cfRule>
  </conditionalFormatting>
  <conditionalFormatting sqref="S82">
    <cfRule type="cellIs" dxfId="241" priority="153" operator="lessThan">
      <formula>0</formula>
    </cfRule>
  </conditionalFormatting>
  <conditionalFormatting sqref="S82">
    <cfRule type="cellIs" dxfId="240" priority="154" operator="greaterThanOrEqual">
      <formula>0</formula>
    </cfRule>
  </conditionalFormatting>
  <conditionalFormatting sqref="P82">
    <cfRule type="cellIs" dxfId="239" priority="151" operator="lessThan">
      <formula>0</formula>
    </cfRule>
  </conditionalFormatting>
  <conditionalFormatting sqref="P82">
    <cfRule type="cellIs" dxfId="238" priority="152" operator="greaterThanOrEqual">
      <formula>0</formula>
    </cfRule>
  </conditionalFormatting>
  <conditionalFormatting sqref="G82">
    <cfRule type="cellIs" dxfId="237" priority="149" operator="lessThan">
      <formula>0</formula>
    </cfRule>
  </conditionalFormatting>
  <conditionalFormatting sqref="G82">
    <cfRule type="cellIs" dxfId="236" priority="150" operator="greaterThanOrEqual">
      <formula>0</formula>
    </cfRule>
  </conditionalFormatting>
  <conditionalFormatting sqref="V82">
    <cfRule type="cellIs" dxfId="235" priority="147" operator="lessThan">
      <formula>0</formula>
    </cfRule>
  </conditionalFormatting>
  <conditionalFormatting sqref="V82">
    <cfRule type="cellIs" dxfId="234" priority="148" operator="greaterThanOrEqual">
      <formula>0</formula>
    </cfRule>
  </conditionalFormatting>
  <conditionalFormatting sqref="M82">
    <cfRule type="cellIs" dxfId="233" priority="145" operator="lessThan">
      <formula>0</formula>
    </cfRule>
  </conditionalFormatting>
  <conditionalFormatting sqref="M82">
    <cfRule type="cellIs" dxfId="232" priority="146" operator="greaterThanOrEqual">
      <formula>0</formula>
    </cfRule>
  </conditionalFormatting>
  <conditionalFormatting sqref="J86">
    <cfRule type="cellIs" dxfId="231" priority="141" operator="lessThan">
      <formula>0</formula>
    </cfRule>
  </conditionalFormatting>
  <conditionalFormatting sqref="J86">
    <cfRule type="cellIs" dxfId="230" priority="142" operator="greaterThanOrEqual">
      <formula>0</formula>
    </cfRule>
  </conditionalFormatting>
  <conditionalFormatting sqref="AB86">
    <cfRule type="cellIs" dxfId="229" priority="143" operator="lessThan">
      <formula>0</formula>
    </cfRule>
  </conditionalFormatting>
  <conditionalFormatting sqref="AB86">
    <cfRule type="cellIs" dxfId="228" priority="144" operator="greaterThanOrEqual">
      <formula>0</formula>
    </cfRule>
  </conditionalFormatting>
  <conditionalFormatting sqref="AE86">
    <cfRule type="cellIs" dxfId="227" priority="139" operator="lessThan">
      <formula>0</formula>
    </cfRule>
  </conditionalFormatting>
  <conditionalFormatting sqref="AE86">
    <cfRule type="cellIs" dxfId="226" priority="140" operator="greaterThanOrEqual">
      <formula>0</formula>
    </cfRule>
  </conditionalFormatting>
  <conditionalFormatting sqref="Y86">
    <cfRule type="cellIs" dxfId="225" priority="137" operator="lessThan">
      <formula>0</formula>
    </cfRule>
  </conditionalFormatting>
  <conditionalFormatting sqref="Y86">
    <cfRule type="cellIs" dxfId="224" priority="138" operator="greaterThanOrEqual">
      <formula>0</formula>
    </cfRule>
  </conditionalFormatting>
  <conditionalFormatting sqref="S86">
    <cfRule type="cellIs" dxfId="223" priority="135" operator="lessThan">
      <formula>0</formula>
    </cfRule>
  </conditionalFormatting>
  <conditionalFormatting sqref="S86">
    <cfRule type="cellIs" dxfId="222" priority="136" operator="greaterThanOrEqual">
      <formula>0</formula>
    </cfRule>
  </conditionalFormatting>
  <conditionalFormatting sqref="P86">
    <cfRule type="cellIs" dxfId="221" priority="133" operator="lessThan">
      <formula>0</formula>
    </cfRule>
  </conditionalFormatting>
  <conditionalFormatting sqref="P86">
    <cfRule type="cellIs" dxfId="220" priority="134" operator="greaterThanOrEqual">
      <formula>0</formula>
    </cfRule>
  </conditionalFormatting>
  <conditionalFormatting sqref="G86">
    <cfRule type="cellIs" dxfId="219" priority="131" operator="lessThan">
      <formula>0</formula>
    </cfRule>
  </conditionalFormatting>
  <conditionalFormatting sqref="G86">
    <cfRule type="cellIs" dxfId="218" priority="132" operator="greaterThanOrEqual">
      <formula>0</formula>
    </cfRule>
  </conditionalFormatting>
  <conditionalFormatting sqref="V86">
    <cfRule type="cellIs" dxfId="217" priority="129" operator="lessThan">
      <formula>0</formula>
    </cfRule>
  </conditionalFormatting>
  <conditionalFormatting sqref="V86">
    <cfRule type="cellIs" dxfId="216" priority="130" operator="greaterThanOrEqual">
      <formula>0</formula>
    </cfRule>
  </conditionalFormatting>
  <conditionalFormatting sqref="M86">
    <cfRule type="cellIs" dxfId="215" priority="127" operator="lessThan">
      <formula>0</formula>
    </cfRule>
  </conditionalFormatting>
  <conditionalFormatting sqref="M86">
    <cfRule type="cellIs" dxfId="214" priority="128" operator="greaterThanOrEqual">
      <formula>0</formula>
    </cfRule>
  </conditionalFormatting>
  <conditionalFormatting sqref="J90">
    <cfRule type="cellIs" dxfId="213" priority="123" operator="lessThan">
      <formula>0</formula>
    </cfRule>
  </conditionalFormatting>
  <conditionalFormatting sqref="J90">
    <cfRule type="cellIs" dxfId="212" priority="124" operator="greaterThanOrEqual">
      <formula>0</formula>
    </cfRule>
  </conditionalFormatting>
  <conditionalFormatting sqref="AB90">
    <cfRule type="cellIs" dxfId="211" priority="125" operator="lessThan">
      <formula>0</formula>
    </cfRule>
  </conditionalFormatting>
  <conditionalFormatting sqref="AB90">
    <cfRule type="cellIs" dxfId="210" priority="126" operator="greaterThanOrEqual">
      <formula>0</formula>
    </cfRule>
  </conditionalFormatting>
  <conditionalFormatting sqref="AE90">
    <cfRule type="cellIs" dxfId="209" priority="121" operator="lessThan">
      <formula>0</formula>
    </cfRule>
  </conditionalFormatting>
  <conditionalFormatting sqref="AE90">
    <cfRule type="cellIs" dxfId="208" priority="122" operator="greaterThanOrEqual">
      <formula>0</formula>
    </cfRule>
  </conditionalFormatting>
  <conditionalFormatting sqref="Y90">
    <cfRule type="cellIs" dxfId="207" priority="119" operator="lessThan">
      <formula>0</formula>
    </cfRule>
  </conditionalFormatting>
  <conditionalFormatting sqref="Y90">
    <cfRule type="cellIs" dxfId="206" priority="120" operator="greaterThanOrEqual">
      <formula>0</formula>
    </cfRule>
  </conditionalFormatting>
  <conditionalFormatting sqref="S90">
    <cfRule type="cellIs" dxfId="205" priority="117" operator="lessThan">
      <formula>0</formula>
    </cfRule>
  </conditionalFormatting>
  <conditionalFormatting sqref="S90">
    <cfRule type="cellIs" dxfId="204" priority="118" operator="greaterThanOrEqual">
      <formula>0</formula>
    </cfRule>
  </conditionalFormatting>
  <conditionalFormatting sqref="P90">
    <cfRule type="cellIs" dxfId="203" priority="115" operator="lessThan">
      <formula>0</formula>
    </cfRule>
  </conditionalFormatting>
  <conditionalFormatting sqref="P90">
    <cfRule type="cellIs" dxfId="202" priority="116" operator="greaterThanOrEqual">
      <formula>0</formula>
    </cfRule>
  </conditionalFormatting>
  <conditionalFormatting sqref="G90">
    <cfRule type="cellIs" dxfId="201" priority="113" operator="lessThan">
      <formula>0</formula>
    </cfRule>
  </conditionalFormatting>
  <conditionalFormatting sqref="G90">
    <cfRule type="cellIs" dxfId="200" priority="114" operator="greaterThanOrEqual">
      <formula>0</formula>
    </cfRule>
  </conditionalFormatting>
  <conditionalFormatting sqref="V90">
    <cfRule type="cellIs" dxfId="199" priority="111" operator="lessThan">
      <formula>0</formula>
    </cfRule>
  </conditionalFormatting>
  <conditionalFormatting sqref="V90">
    <cfRule type="cellIs" dxfId="198" priority="112" operator="greaterThanOrEqual">
      <formula>0</formula>
    </cfRule>
  </conditionalFormatting>
  <conditionalFormatting sqref="M90">
    <cfRule type="cellIs" dxfId="197" priority="109" operator="lessThan">
      <formula>0</formula>
    </cfRule>
  </conditionalFormatting>
  <conditionalFormatting sqref="M90">
    <cfRule type="cellIs" dxfId="196" priority="110" operator="greaterThanOrEqual">
      <formula>0</formula>
    </cfRule>
  </conditionalFormatting>
  <conditionalFormatting sqref="J94">
    <cfRule type="cellIs" dxfId="195" priority="105" operator="lessThan">
      <formula>0</formula>
    </cfRule>
  </conditionalFormatting>
  <conditionalFormatting sqref="J94">
    <cfRule type="cellIs" dxfId="194" priority="106" operator="greaterThanOrEqual">
      <formula>0</formula>
    </cfRule>
  </conditionalFormatting>
  <conditionalFormatting sqref="AB94">
    <cfRule type="cellIs" dxfId="193" priority="107" operator="lessThan">
      <formula>0</formula>
    </cfRule>
  </conditionalFormatting>
  <conditionalFormatting sqref="AB94">
    <cfRule type="cellIs" dxfId="192" priority="108" operator="greaterThanOrEqual">
      <formula>0</formula>
    </cfRule>
  </conditionalFormatting>
  <conditionalFormatting sqref="AE94">
    <cfRule type="cellIs" dxfId="191" priority="103" operator="lessThan">
      <formula>0</formula>
    </cfRule>
  </conditionalFormatting>
  <conditionalFormatting sqref="AE94">
    <cfRule type="cellIs" dxfId="190" priority="104" operator="greaterThanOrEqual">
      <formula>0</formula>
    </cfRule>
  </conditionalFormatting>
  <conditionalFormatting sqref="Y94">
    <cfRule type="cellIs" dxfId="189" priority="101" operator="lessThan">
      <formula>0</formula>
    </cfRule>
  </conditionalFormatting>
  <conditionalFormatting sqref="Y94">
    <cfRule type="cellIs" dxfId="188" priority="102" operator="greaterThanOrEqual">
      <formula>0</formula>
    </cfRule>
  </conditionalFormatting>
  <conditionalFormatting sqref="S94">
    <cfRule type="cellIs" dxfId="187" priority="99" operator="lessThan">
      <formula>0</formula>
    </cfRule>
  </conditionalFormatting>
  <conditionalFormatting sqref="S94">
    <cfRule type="cellIs" dxfId="186" priority="100" operator="greaterThanOrEqual">
      <formula>0</formula>
    </cfRule>
  </conditionalFormatting>
  <conditionalFormatting sqref="P94">
    <cfRule type="cellIs" dxfId="185" priority="97" operator="lessThan">
      <formula>0</formula>
    </cfRule>
  </conditionalFormatting>
  <conditionalFormatting sqref="P94">
    <cfRule type="cellIs" dxfId="184" priority="98" operator="greaterThanOrEqual">
      <formula>0</formula>
    </cfRule>
  </conditionalFormatting>
  <conditionalFormatting sqref="G94">
    <cfRule type="cellIs" dxfId="183" priority="95" operator="lessThan">
      <formula>0</formula>
    </cfRule>
  </conditionalFormatting>
  <conditionalFormatting sqref="G94">
    <cfRule type="cellIs" dxfId="182" priority="96" operator="greaterThanOrEqual">
      <formula>0</formula>
    </cfRule>
  </conditionalFormatting>
  <conditionalFormatting sqref="V94">
    <cfRule type="cellIs" dxfId="181" priority="93" operator="lessThan">
      <formula>0</formula>
    </cfRule>
  </conditionalFormatting>
  <conditionalFormatting sqref="V94">
    <cfRule type="cellIs" dxfId="180" priority="94" operator="greaterThanOrEqual">
      <formula>0</formula>
    </cfRule>
  </conditionalFormatting>
  <conditionalFormatting sqref="M94">
    <cfRule type="cellIs" dxfId="179" priority="91" operator="lessThan">
      <formula>0</formula>
    </cfRule>
  </conditionalFormatting>
  <conditionalFormatting sqref="M94">
    <cfRule type="cellIs" dxfId="178" priority="92" operator="greaterThanOrEqual">
      <formula>0</formula>
    </cfRule>
  </conditionalFormatting>
  <conditionalFormatting sqref="J98">
    <cfRule type="cellIs" dxfId="177" priority="87" operator="lessThan">
      <formula>0</formula>
    </cfRule>
  </conditionalFormatting>
  <conditionalFormatting sqref="J98">
    <cfRule type="cellIs" dxfId="176" priority="88" operator="greaterThanOrEqual">
      <formula>0</formula>
    </cfRule>
  </conditionalFormatting>
  <conditionalFormatting sqref="AB98">
    <cfRule type="cellIs" dxfId="175" priority="89" operator="lessThan">
      <formula>0</formula>
    </cfRule>
  </conditionalFormatting>
  <conditionalFormatting sqref="AB98">
    <cfRule type="cellIs" dxfId="174" priority="90" operator="greaterThanOrEqual">
      <formula>0</formula>
    </cfRule>
  </conditionalFormatting>
  <conditionalFormatting sqref="AE98">
    <cfRule type="cellIs" dxfId="173" priority="85" operator="lessThan">
      <formula>0</formula>
    </cfRule>
  </conditionalFormatting>
  <conditionalFormatting sqref="AE98">
    <cfRule type="cellIs" dxfId="172" priority="86" operator="greaterThanOrEqual">
      <formula>0</formula>
    </cfRule>
  </conditionalFormatting>
  <conditionalFormatting sqref="Y98">
    <cfRule type="cellIs" dxfId="171" priority="83" operator="lessThan">
      <formula>0</formula>
    </cfRule>
  </conditionalFormatting>
  <conditionalFormatting sqref="Y98">
    <cfRule type="cellIs" dxfId="170" priority="84" operator="greaterThanOrEqual">
      <formula>0</formula>
    </cfRule>
  </conditionalFormatting>
  <conditionalFormatting sqref="S98">
    <cfRule type="cellIs" dxfId="169" priority="81" operator="lessThan">
      <formula>0</formula>
    </cfRule>
  </conditionalFormatting>
  <conditionalFormatting sqref="S98">
    <cfRule type="cellIs" dxfId="168" priority="82" operator="greaterThanOrEqual">
      <formula>0</formula>
    </cfRule>
  </conditionalFormatting>
  <conditionalFormatting sqref="P98">
    <cfRule type="cellIs" dxfId="167" priority="79" operator="lessThan">
      <formula>0</formula>
    </cfRule>
  </conditionalFormatting>
  <conditionalFormatting sqref="P98">
    <cfRule type="cellIs" dxfId="166" priority="80" operator="greaterThanOrEqual">
      <formula>0</formula>
    </cfRule>
  </conditionalFormatting>
  <conditionalFormatting sqref="G98">
    <cfRule type="cellIs" dxfId="165" priority="77" operator="lessThan">
      <formula>0</formula>
    </cfRule>
  </conditionalFormatting>
  <conditionalFormatting sqref="G98">
    <cfRule type="cellIs" dxfId="164" priority="78" operator="greaterThanOrEqual">
      <formula>0</formula>
    </cfRule>
  </conditionalFormatting>
  <conditionalFormatting sqref="V98">
    <cfRule type="cellIs" dxfId="163" priority="75" operator="lessThan">
      <formula>0</formula>
    </cfRule>
  </conditionalFormatting>
  <conditionalFormatting sqref="V98">
    <cfRule type="cellIs" dxfId="162" priority="76" operator="greaterThanOrEqual">
      <formula>0</formula>
    </cfRule>
  </conditionalFormatting>
  <conditionalFormatting sqref="M98">
    <cfRule type="cellIs" dxfId="161" priority="73" operator="lessThan">
      <formula>0</formula>
    </cfRule>
  </conditionalFormatting>
  <conditionalFormatting sqref="M98">
    <cfRule type="cellIs" dxfId="160" priority="74" operator="greaterThanOrEqual">
      <formula>0</formula>
    </cfRule>
  </conditionalFormatting>
  <conditionalFormatting sqref="J102">
    <cfRule type="cellIs" dxfId="159" priority="69" operator="lessThan">
      <formula>0</formula>
    </cfRule>
  </conditionalFormatting>
  <conditionalFormatting sqref="J102">
    <cfRule type="cellIs" dxfId="158" priority="70" operator="greaterThanOrEqual">
      <formula>0</formula>
    </cfRule>
  </conditionalFormatting>
  <conditionalFormatting sqref="AB102">
    <cfRule type="cellIs" dxfId="157" priority="71" operator="lessThan">
      <formula>0</formula>
    </cfRule>
  </conditionalFormatting>
  <conditionalFormatting sqref="AB102">
    <cfRule type="cellIs" dxfId="156" priority="72" operator="greaterThanOrEqual">
      <formula>0</formula>
    </cfRule>
  </conditionalFormatting>
  <conditionalFormatting sqref="AE102">
    <cfRule type="cellIs" dxfId="155" priority="67" operator="lessThan">
      <formula>0</formula>
    </cfRule>
  </conditionalFormatting>
  <conditionalFormatting sqref="AE102">
    <cfRule type="cellIs" dxfId="154" priority="68" operator="greaterThanOrEqual">
      <formula>0</formula>
    </cfRule>
  </conditionalFormatting>
  <conditionalFormatting sqref="Y102">
    <cfRule type="cellIs" dxfId="153" priority="65" operator="lessThan">
      <formula>0</formula>
    </cfRule>
  </conditionalFormatting>
  <conditionalFormatting sqref="Y102">
    <cfRule type="cellIs" dxfId="152" priority="66" operator="greaterThanOrEqual">
      <formula>0</formula>
    </cfRule>
  </conditionalFormatting>
  <conditionalFormatting sqref="S102">
    <cfRule type="cellIs" dxfId="151" priority="63" operator="lessThan">
      <formula>0</formula>
    </cfRule>
  </conditionalFormatting>
  <conditionalFormatting sqref="S102">
    <cfRule type="cellIs" dxfId="150" priority="64" operator="greaterThanOrEqual">
      <formula>0</formula>
    </cfRule>
  </conditionalFormatting>
  <conditionalFormatting sqref="P102">
    <cfRule type="cellIs" dxfId="149" priority="61" operator="lessThan">
      <formula>0</formula>
    </cfRule>
  </conditionalFormatting>
  <conditionalFormatting sqref="P102">
    <cfRule type="cellIs" dxfId="148" priority="62" operator="greaterThanOrEqual">
      <formula>0</formula>
    </cfRule>
  </conditionalFormatting>
  <conditionalFormatting sqref="G102">
    <cfRule type="cellIs" dxfId="147" priority="59" operator="lessThan">
      <formula>0</formula>
    </cfRule>
  </conditionalFormatting>
  <conditionalFormatting sqref="G102">
    <cfRule type="cellIs" dxfId="146" priority="60" operator="greaterThanOrEqual">
      <formula>0</formula>
    </cfRule>
  </conditionalFormatting>
  <conditionalFormatting sqref="V102">
    <cfRule type="cellIs" dxfId="145" priority="57" operator="lessThan">
      <formula>0</formula>
    </cfRule>
  </conditionalFormatting>
  <conditionalFormatting sqref="V102">
    <cfRule type="cellIs" dxfId="144" priority="58" operator="greaterThanOrEqual">
      <formula>0</formula>
    </cfRule>
  </conditionalFormatting>
  <conditionalFormatting sqref="M102">
    <cfRule type="cellIs" dxfId="143" priority="55" operator="lessThan">
      <formula>0</formula>
    </cfRule>
  </conditionalFormatting>
  <conditionalFormatting sqref="M102">
    <cfRule type="cellIs" dxfId="142" priority="56" operator="greaterThanOrEqual">
      <formula>0</formula>
    </cfRule>
  </conditionalFormatting>
  <conditionalFormatting sqref="J126 J122 J118 J114 J110 J106">
    <cfRule type="cellIs" dxfId="141" priority="51" operator="lessThan">
      <formula>0</formula>
    </cfRule>
  </conditionalFormatting>
  <conditionalFormatting sqref="J126 J122 J118 J114 J110 J106">
    <cfRule type="cellIs" dxfId="140" priority="52" operator="greaterThanOrEqual">
      <formula>0</formula>
    </cfRule>
  </conditionalFormatting>
  <conditionalFormatting sqref="AB126 AB122 AB118 AB114 AB110 AB106">
    <cfRule type="cellIs" dxfId="139" priority="53" operator="lessThan">
      <formula>0</formula>
    </cfRule>
  </conditionalFormatting>
  <conditionalFormatting sqref="AB126 AB122 AB118 AB114 AB110 AB106">
    <cfRule type="cellIs" dxfId="138" priority="54" operator="greaterThanOrEqual">
      <formula>0</formula>
    </cfRule>
  </conditionalFormatting>
  <conditionalFormatting sqref="AE126 AE122 AE118 AE114 AE110 AE106">
    <cfRule type="cellIs" dxfId="137" priority="49" operator="lessThan">
      <formula>0</formula>
    </cfRule>
  </conditionalFormatting>
  <conditionalFormatting sqref="AE126 AE122 AE118 AE114 AE110 AE106">
    <cfRule type="cellIs" dxfId="136" priority="50" operator="greaterThanOrEqual">
      <formula>0</formula>
    </cfRule>
  </conditionalFormatting>
  <conditionalFormatting sqref="Y126 Y122 Y118 Y114 Y110 Y106">
    <cfRule type="cellIs" dxfId="135" priority="47" operator="lessThan">
      <formula>0</formula>
    </cfRule>
  </conditionalFormatting>
  <conditionalFormatting sqref="Y126 Y122 Y118 Y114 Y110 Y106">
    <cfRule type="cellIs" dxfId="134" priority="48" operator="greaterThanOrEqual">
      <formula>0</formula>
    </cfRule>
  </conditionalFormatting>
  <conditionalFormatting sqref="S126 S122 S118 S114 S110 S106">
    <cfRule type="cellIs" dxfId="133" priority="45" operator="lessThan">
      <formula>0</formula>
    </cfRule>
  </conditionalFormatting>
  <conditionalFormatting sqref="S126 S122 S118 S114 S110 S106">
    <cfRule type="cellIs" dxfId="132" priority="46" operator="greaterThanOrEqual">
      <formula>0</formula>
    </cfRule>
  </conditionalFormatting>
  <conditionalFormatting sqref="P126 P122 P118 P114 P110 P106">
    <cfRule type="cellIs" dxfId="131" priority="43" operator="lessThan">
      <formula>0</formula>
    </cfRule>
  </conditionalFormatting>
  <conditionalFormatting sqref="P126 P122 P118 P114 P110 P106">
    <cfRule type="cellIs" dxfId="130" priority="44" operator="greaterThanOrEqual">
      <formula>0</formula>
    </cfRule>
  </conditionalFormatting>
  <conditionalFormatting sqref="G126 G122 G118 G114 G110 G106">
    <cfRule type="cellIs" dxfId="129" priority="41" operator="lessThan">
      <formula>0</formula>
    </cfRule>
  </conditionalFormatting>
  <conditionalFormatting sqref="G126 G122 G118 G114 G110 G106">
    <cfRule type="cellIs" dxfId="128" priority="42" operator="greaterThanOrEqual">
      <formula>0</formula>
    </cfRule>
  </conditionalFormatting>
  <conditionalFormatting sqref="V126 V122 V118 V114 V110 V106">
    <cfRule type="cellIs" dxfId="127" priority="39" operator="lessThan">
      <formula>0</formula>
    </cfRule>
  </conditionalFormatting>
  <conditionalFormatting sqref="V126 V122 V118 V114 V110 V106">
    <cfRule type="cellIs" dxfId="126" priority="40" operator="greaterThanOrEqual">
      <formula>0</formula>
    </cfRule>
  </conditionalFormatting>
  <conditionalFormatting sqref="M126 M122 M118 M114 M110 M106">
    <cfRule type="cellIs" dxfId="125" priority="37" operator="lessThan">
      <formula>0</formula>
    </cfRule>
  </conditionalFormatting>
  <conditionalFormatting sqref="M126 M122 M118 M114 M110 M106">
    <cfRule type="cellIs" dxfId="124" priority="38" operator="greaterThanOrEqual">
      <formula>0</formula>
    </cfRule>
  </conditionalFormatting>
  <conditionalFormatting sqref="J206 J202 J198 J194 J190 J186 J182 J174 J170 J166 J162 J158 J154 J150 J146 J142 J138 J134 J130">
    <cfRule type="cellIs" dxfId="123" priority="33" operator="lessThan">
      <formula>0</formula>
    </cfRule>
  </conditionalFormatting>
  <conditionalFormatting sqref="J206 J202 J198 J194 J190 J186 J182 J174 J170 J166 J162 J158 J154 J150 J146 J142 J138 J134 J130">
    <cfRule type="cellIs" dxfId="122" priority="34" operator="greaterThanOrEqual">
      <formula>0</formula>
    </cfRule>
  </conditionalFormatting>
  <conditionalFormatting sqref="AB206 AB202 AB198 AB194 AB190 AB186 AB182 AB174 AB170 AB166 AB162 AB158 AB154 AB150 AB146 AB142 AB138 AB134 AB130">
    <cfRule type="cellIs" dxfId="121" priority="35" operator="lessThan">
      <formula>0</formula>
    </cfRule>
  </conditionalFormatting>
  <conditionalFormatting sqref="AB206 AB202 AB198 AB194 AB190 AB186 AB182 AB174 AB170 AB166 AB162 AB158 AB154 AB150 AB146 AB142 AB138 AB134 AB130">
    <cfRule type="cellIs" dxfId="120" priority="36" operator="greaterThanOrEqual">
      <formula>0</formula>
    </cfRule>
  </conditionalFormatting>
  <conditionalFormatting sqref="AE206 AE202 AE198 AE194 AE190 AE186 AE182 AE174 AE170 AE166 AE162 AE158 AE154 AE150 AE146 AE142 AE138 AE134 AE130">
    <cfRule type="cellIs" dxfId="119" priority="31" operator="lessThan">
      <formula>0</formula>
    </cfRule>
  </conditionalFormatting>
  <conditionalFormatting sqref="AE206 AE202 AE198 AE194 AE190 AE186 AE182 AE174 AE170 AE166 AE162 AE158 AE154 AE150 AE146 AE142 AE138 AE134 AE130">
    <cfRule type="cellIs" dxfId="118" priority="32" operator="greaterThanOrEqual">
      <formula>0</formula>
    </cfRule>
  </conditionalFormatting>
  <conditionalFormatting sqref="Y206 Y202 Y198 Y194 Y190 Y186 Y182 Y174 Y170 Y166 Y162 Y158 Y154 Y150 Y146 Y142 Y138 Y134 Y130">
    <cfRule type="cellIs" dxfId="117" priority="29" operator="lessThan">
      <formula>0</formula>
    </cfRule>
  </conditionalFormatting>
  <conditionalFormatting sqref="Y206 Y202 Y198 Y194 Y190 Y186 Y182 Y174 Y170 Y166 Y162 Y158 Y154 Y150 Y146 Y142 Y138 Y134 Y130">
    <cfRule type="cellIs" dxfId="116" priority="30" operator="greaterThanOrEqual">
      <formula>0</formula>
    </cfRule>
  </conditionalFormatting>
  <conditionalFormatting sqref="S206 S202 S198 S194 S190 S186 S182 S174 S170 S166 S162 S158 S154 S150 S146 S142 S138 S134 S130">
    <cfRule type="cellIs" dxfId="115" priority="27" operator="lessThan">
      <formula>0</formula>
    </cfRule>
  </conditionalFormatting>
  <conditionalFormatting sqref="S206 S202 S198 S194 S190 S186 S182 S174 S170 S166 S162 S158 S154 S150 S146 S142 S138 S134 S130">
    <cfRule type="cellIs" dxfId="114" priority="28" operator="greaterThanOrEqual">
      <formula>0</formula>
    </cfRule>
  </conditionalFormatting>
  <conditionalFormatting sqref="P206 P202 P198 P194 P190 P186 P182 P174 P170 P166 P162 P158 P154 P150 P146 P142 P138 P134 P130">
    <cfRule type="cellIs" dxfId="113" priority="25" operator="lessThan">
      <formula>0</formula>
    </cfRule>
  </conditionalFormatting>
  <conditionalFormatting sqref="P206 P202 P198 P194 P190 P186 P182 P174 P170 P166 P162 P158 P154 P150 P146 P142 P138 P134 P130">
    <cfRule type="cellIs" dxfId="112" priority="26" operator="greaterThanOrEqual">
      <formula>0</formula>
    </cfRule>
  </conditionalFormatting>
  <conditionalFormatting sqref="G206 G202 G198 G194 G190 G186 G182 G174 G170 G166 G162 G158 G154 G150 G146 G142 G138 G134 G130">
    <cfRule type="cellIs" dxfId="111" priority="23" operator="lessThan">
      <formula>0</formula>
    </cfRule>
  </conditionalFormatting>
  <conditionalFormatting sqref="G206 G202 G198 G194 G190 G186 G182 G174 G170 G166 G162 G158 G154 G150 G146 G142 G138 G134 G130">
    <cfRule type="cellIs" dxfId="110" priority="24" operator="greaterThanOrEqual">
      <formula>0</formula>
    </cfRule>
  </conditionalFormatting>
  <conditionalFormatting sqref="V206 V202 V198 V194 V190 V186 V182 V174 V170 V166 V162 V158 V154 V150 V146 V142 V138 V134 V130">
    <cfRule type="cellIs" dxfId="109" priority="21" operator="lessThan">
      <formula>0</formula>
    </cfRule>
  </conditionalFormatting>
  <conditionalFormatting sqref="V206 V202 V198 V194 V190 V186 V182 V174 V170 V166 V162 V158 V154 V150 V146 V142 V138 V134 V130">
    <cfRule type="cellIs" dxfId="108" priority="22" operator="greaterThanOrEqual">
      <formula>0</formula>
    </cfRule>
  </conditionalFormatting>
  <conditionalFormatting sqref="M206 M202 M198 M194 M190 M186 M182 M174 M170 M166 M162 M158 M154 M150 M146 M142 M138 M134 M130">
    <cfRule type="cellIs" dxfId="107" priority="19" operator="lessThan">
      <formula>0</formula>
    </cfRule>
  </conditionalFormatting>
  <conditionalFormatting sqref="M206 M202 M198 M194 M190 M186 M182 M174 M170 M166 M162 M158 M154 M150 M146 M142 M138 M134 M130">
    <cfRule type="cellIs" dxfId="106" priority="20" operator="greaterThanOrEqual">
      <formula>0</formula>
    </cfRule>
  </conditionalFormatting>
  <conditionalFormatting sqref="J178">
    <cfRule type="cellIs" dxfId="105" priority="15" operator="lessThan">
      <formula>0</formula>
    </cfRule>
  </conditionalFormatting>
  <conditionalFormatting sqref="J178">
    <cfRule type="cellIs" dxfId="104" priority="16" operator="greaterThanOrEqual">
      <formula>0</formula>
    </cfRule>
  </conditionalFormatting>
  <conditionalFormatting sqref="AB178">
    <cfRule type="cellIs" dxfId="103" priority="17" operator="lessThan">
      <formula>0</formula>
    </cfRule>
  </conditionalFormatting>
  <conditionalFormatting sqref="AB178">
    <cfRule type="cellIs" dxfId="102" priority="18" operator="greaterThanOrEqual">
      <formula>0</formula>
    </cfRule>
  </conditionalFormatting>
  <conditionalFormatting sqref="AE178">
    <cfRule type="cellIs" dxfId="101" priority="13" operator="lessThan">
      <formula>0</formula>
    </cfRule>
  </conditionalFormatting>
  <conditionalFormatting sqref="AE178">
    <cfRule type="cellIs" dxfId="100" priority="14" operator="greaterThanOrEqual">
      <formula>0</formula>
    </cfRule>
  </conditionalFormatting>
  <conditionalFormatting sqref="Y178">
    <cfRule type="cellIs" dxfId="99" priority="11" operator="lessThan">
      <formula>0</formula>
    </cfRule>
  </conditionalFormatting>
  <conditionalFormatting sqref="Y178">
    <cfRule type="cellIs" dxfId="98" priority="12" operator="greaterThanOrEqual">
      <formula>0</formula>
    </cfRule>
  </conditionalFormatting>
  <conditionalFormatting sqref="S178">
    <cfRule type="cellIs" dxfId="97" priority="9" operator="lessThan">
      <formula>0</formula>
    </cfRule>
  </conditionalFormatting>
  <conditionalFormatting sqref="S178">
    <cfRule type="cellIs" dxfId="96" priority="10" operator="greaterThanOrEqual">
      <formula>0</formula>
    </cfRule>
  </conditionalFormatting>
  <conditionalFormatting sqref="P178">
    <cfRule type="cellIs" dxfId="95" priority="7" operator="lessThan">
      <formula>0</formula>
    </cfRule>
  </conditionalFormatting>
  <conditionalFormatting sqref="P178">
    <cfRule type="cellIs" dxfId="94" priority="8" operator="greaterThanOrEqual">
      <formula>0</formula>
    </cfRule>
  </conditionalFormatting>
  <conditionalFormatting sqref="G178">
    <cfRule type="cellIs" dxfId="93" priority="5" operator="lessThan">
      <formula>0</formula>
    </cfRule>
  </conditionalFormatting>
  <conditionalFormatting sqref="G178">
    <cfRule type="cellIs" dxfId="92" priority="6" operator="greaterThanOrEqual">
      <formula>0</formula>
    </cfRule>
  </conditionalFormatting>
  <conditionalFormatting sqref="V178">
    <cfRule type="cellIs" dxfId="91" priority="3" operator="lessThan">
      <formula>0</formula>
    </cfRule>
  </conditionalFormatting>
  <conditionalFormatting sqref="V178">
    <cfRule type="cellIs" dxfId="90" priority="4" operator="greaterThanOrEqual">
      <formula>0</formula>
    </cfRule>
  </conditionalFormatting>
  <conditionalFormatting sqref="M178">
    <cfRule type="cellIs" dxfId="89" priority="1" operator="lessThan">
      <formula>0</formula>
    </cfRule>
  </conditionalFormatting>
  <conditionalFormatting sqref="M178">
    <cfRule type="cellIs" dxfId="88" priority="2" operator="greaterThanOrEqual">
      <formula>0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N1000"/>
  <sheetViews>
    <sheetView workbookViewId="0">
      <selection activeCell="C20" sqref="C20"/>
    </sheetView>
  </sheetViews>
  <sheetFormatPr defaultColWidth="13.5" defaultRowHeight="15" customHeight="1" outlineLevelCol="1" x14ac:dyDescent="0.25"/>
  <cols>
    <col min="1" max="1" width="12" bestFit="1" customWidth="1"/>
    <col min="2" max="2" width="9.375" bestFit="1" customWidth="1"/>
    <col min="3" max="3" width="13.5" bestFit="1" customWidth="1"/>
    <col min="4" max="4" width="11" customWidth="1"/>
    <col min="5" max="5" width="11" hidden="1" customWidth="1" outlineLevel="1"/>
    <col min="6" max="6" width="6.125" hidden="1" customWidth="1" outlineLevel="1"/>
    <col min="7" max="7" width="8.375" customWidth="1" collapsed="1"/>
    <col min="8" max="8" width="10.875" customWidth="1"/>
    <col min="9" max="9" width="10.875" hidden="1" customWidth="1" outlineLevel="1"/>
    <col min="10" max="10" width="6.125" style="91" hidden="1" customWidth="1" outlineLevel="1"/>
    <col min="11" max="11" width="8.375" customWidth="1" collapsed="1"/>
    <col min="12" max="12" width="8.625" customWidth="1"/>
    <col min="13" max="13" width="8.625" hidden="1" customWidth="1" outlineLevel="1"/>
    <col min="14" max="14" width="6.125" style="91" hidden="1" customWidth="1" outlineLevel="1" collapsed="1"/>
    <col min="15" max="15" width="8.375" customWidth="1" collapsed="1"/>
    <col min="16" max="16" width="8.5" customWidth="1"/>
    <col min="17" max="17" width="8.5" hidden="1" customWidth="1" outlineLevel="1"/>
    <col min="18" max="18" width="6.125" style="91" hidden="1" customWidth="1" outlineLevel="1" collapsed="1"/>
    <col min="19" max="19" width="8.375" customWidth="1" collapsed="1"/>
    <col min="20" max="20" width="9.5" customWidth="1"/>
    <col min="21" max="21" width="9.5" hidden="1" customWidth="1" outlineLevel="1"/>
    <col min="22" max="22" width="6.125" hidden="1" customWidth="1" outlineLevel="1" collapsed="1"/>
    <col min="23" max="23" width="8.375" customWidth="1" collapsed="1"/>
    <col min="24" max="24" width="9.625" customWidth="1"/>
    <col min="25" max="25" width="8.375" hidden="1" customWidth="1" outlineLevel="1"/>
    <col min="26" max="26" width="6.125" hidden="1" customWidth="1" outlineLevel="1"/>
    <col min="27" max="27" width="8.375" customWidth="1" collapsed="1"/>
    <col min="28" max="28" width="9.125" customWidth="1"/>
    <col min="29" max="29" width="10.875" hidden="1" customWidth="1" outlineLevel="1"/>
    <col min="30" max="30" width="6.125" hidden="1" customWidth="1" outlineLevel="1"/>
    <col min="31" max="31" width="8.375" customWidth="1" collapsed="1"/>
    <col min="32" max="32" width="13.875" customWidth="1"/>
    <col min="33" max="33" width="12.875" hidden="1" customWidth="1" outlineLevel="1"/>
    <col min="34" max="34" width="6.125" hidden="1" customWidth="1" outlineLevel="1"/>
    <col min="35" max="35" width="8.375" customWidth="1" collapsed="1"/>
    <col min="36" max="36" width="8.375" customWidth="1"/>
    <col min="37" max="37" width="8.375" hidden="1" customWidth="1" outlineLevel="1"/>
    <col min="38" max="38" width="6.125" hidden="1" customWidth="1" outlineLevel="1"/>
    <col min="39" max="39" width="8.375" customWidth="1" collapsed="1"/>
    <col min="40" max="40" width="17.875" customWidth="1"/>
  </cols>
  <sheetData>
    <row r="1" spans="1:40" ht="15.75" x14ac:dyDescent="0.25">
      <c r="A1" s="25" t="s">
        <v>19</v>
      </c>
      <c r="B1" s="25" t="s">
        <v>20</v>
      </c>
      <c r="C1" s="25" t="s">
        <v>21</v>
      </c>
      <c r="D1" s="25" t="s">
        <v>1</v>
      </c>
      <c r="E1" s="25" t="s">
        <v>98</v>
      </c>
      <c r="F1" s="66" t="s">
        <v>23</v>
      </c>
      <c r="G1" s="66" t="s">
        <v>24</v>
      </c>
      <c r="H1" s="25" t="s">
        <v>2</v>
      </c>
      <c r="I1" s="25" t="s">
        <v>278</v>
      </c>
      <c r="J1" s="102" t="s">
        <v>23</v>
      </c>
      <c r="K1" s="66" t="s">
        <v>24</v>
      </c>
      <c r="L1" s="25" t="s">
        <v>3</v>
      </c>
      <c r="M1" s="25" t="s">
        <v>284</v>
      </c>
      <c r="N1" s="102" t="s">
        <v>23</v>
      </c>
      <c r="O1" s="66" t="s">
        <v>24</v>
      </c>
      <c r="P1" s="25" t="s">
        <v>4</v>
      </c>
      <c r="Q1" s="25" t="s">
        <v>101</v>
      </c>
      <c r="R1" s="102" t="s">
        <v>23</v>
      </c>
      <c r="S1" s="66" t="s">
        <v>24</v>
      </c>
      <c r="T1" s="25" t="s">
        <v>5</v>
      </c>
      <c r="U1" s="25" t="s">
        <v>102</v>
      </c>
      <c r="V1" s="66" t="s">
        <v>23</v>
      </c>
      <c r="W1" s="66" t="s">
        <v>24</v>
      </c>
      <c r="X1" s="25" t="s">
        <v>6</v>
      </c>
      <c r="Y1" s="25" t="s">
        <v>103</v>
      </c>
      <c r="Z1" s="66" t="s">
        <v>23</v>
      </c>
      <c r="AA1" s="66" t="s">
        <v>24</v>
      </c>
      <c r="AB1" s="48" t="s">
        <v>7</v>
      </c>
      <c r="AC1" s="48" t="s">
        <v>104</v>
      </c>
      <c r="AD1" s="66" t="s">
        <v>23</v>
      </c>
      <c r="AE1" s="66" t="s">
        <v>24</v>
      </c>
      <c r="AF1" s="48" t="s">
        <v>25</v>
      </c>
      <c r="AG1" s="48" t="s">
        <v>105</v>
      </c>
      <c r="AH1" s="66" t="s">
        <v>23</v>
      </c>
      <c r="AI1" s="66" t="s">
        <v>24</v>
      </c>
      <c r="AJ1" s="28" t="s">
        <v>9</v>
      </c>
      <c r="AK1" s="28" t="s">
        <v>106</v>
      </c>
      <c r="AL1" s="66" t="s">
        <v>23</v>
      </c>
      <c r="AM1" s="66" t="s">
        <v>24</v>
      </c>
      <c r="AN1" s="25" t="s">
        <v>26</v>
      </c>
    </row>
    <row r="2" spans="1:40" ht="15.75" customHeight="1" x14ac:dyDescent="0.3">
      <c r="A2" s="49" t="s">
        <v>17</v>
      </c>
      <c r="B2" s="49" t="s">
        <v>27</v>
      </c>
      <c r="C2" s="50">
        <v>42734</v>
      </c>
      <c r="D2" s="51"/>
      <c r="E2" s="51"/>
      <c r="F2" s="51"/>
      <c r="G2" s="103" t="e">
        <f t="shared" ref="G2:G54" si="0">(D2-E2)/E2</f>
        <v>#DIV/0!</v>
      </c>
      <c r="H2" s="51"/>
      <c r="I2" s="51"/>
      <c r="J2" s="103"/>
      <c r="K2" s="103" t="e">
        <f t="shared" ref="K2:K54" si="1">(H2-I2)/I2</f>
        <v>#DIV/0!</v>
      </c>
      <c r="L2" s="53" t="e">
        <f t="shared" ref="L2:L33" si="2">D2/H2</f>
        <v>#DIV/0!</v>
      </c>
      <c r="M2" s="51" t="e">
        <f t="shared" ref="M2:M33" si="3">E2/I2</f>
        <v>#DIV/0!</v>
      </c>
      <c r="N2" s="103"/>
      <c r="O2" s="103" t="e">
        <f t="shared" ref="O2:O54" si="4">(L2-M2)/M2</f>
        <v>#DIV/0!</v>
      </c>
      <c r="P2" s="54"/>
      <c r="Q2" s="54"/>
      <c r="R2" s="103"/>
      <c r="S2" s="103" t="e">
        <f t="shared" ref="S2:S54" si="5">(P2-Q2)/Q2</f>
        <v>#DIV/0!</v>
      </c>
      <c r="T2" s="54"/>
      <c r="U2" s="54"/>
      <c r="V2" s="51"/>
      <c r="W2" s="103" t="e">
        <f t="shared" ref="W2:W54" si="6">(T2-U2)/U2</f>
        <v>#DIV/0!</v>
      </c>
      <c r="X2" s="54" t="e">
        <f t="shared" ref="X2:X33" si="7">D2/T2</f>
        <v>#DIV/0!</v>
      </c>
      <c r="Y2" s="54" t="e">
        <f t="shared" ref="Y2:Y33" si="8">E2/U2</f>
        <v>#DIV/0!</v>
      </c>
      <c r="Z2" s="103"/>
      <c r="AA2" s="103" t="e">
        <f t="shared" ref="AA2:AA54" si="9">(X2-Y2)/Y2</f>
        <v>#DIV/0!</v>
      </c>
      <c r="AB2" s="54"/>
      <c r="AC2" s="54"/>
      <c r="AD2" s="51"/>
      <c r="AE2" s="103" t="e">
        <f t="shared" ref="AE2:AE54" si="10">(AB2-AC2)/AC2</f>
        <v>#DIV/0!</v>
      </c>
      <c r="AF2" s="54"/>
      <c r="AG2" s="54"/>
      <c r="AH2" s="51"/>
      <c r="AI2" s="103" t="e">
        <f t="shared" ref="AI2:AI54" si="11">(AF2-AG2)/AG2</f>
        <v>#DIV/0!</v>
      </c>
      <c r="AJ2" s="82" t="e">
        <f t="shared" ref="AJ2:AK33" si="12">AB2/AF2</f>
        <v>#DIV/0!</v>
      </c>
      <c r="AK2" s="82" t="e">
        <f t="shared" si="12"/>
        <v>#DIV/0!</v>
      </c>
      <c r="AL2" s="51"/>
      <c r="AM2" s="103" t="e">
        <f t="shared" ref="AM2:AM54" si="13">(AJ2-AK2)/AK2</f>
        <v>#DIV/0!</v>
      </c>
      <c r="AN2" s="81"/>
    </row>
    <row r="3" spans="1:40" ht="15.75" customHeight="1" x14ac:dyDescent="0.3">
      <c r="A3" s="49" t="s">
        <v>17</v>
      </c>
      <c r="B3" s="49" t="s">
        <v>31</v>
      </c>
      <c r="C3" s="50">
        <f t="shared" ref="C3:C53" si="14">C2+7</f>
        <v>42741</v>
      </c>
      <c r="D3" s="51"/>
      <c r="E3" s="51"/>
      <c r="F3" s="51" t="e">
        <f t="shared" ref="F3:F53" si="15">(D3-D2)/D2</f>
        <v>#DIV/0!</v>
      </c>
      <c r="G3" s="103" t="e">
        <f t="shared" si="0"/>
        <v>#DIV/0!</v>
      </c>
      <c r="H3" s="51"/>
      <c r="I3" s="51"/>
      <c r="J3" s="103" t="e">
        <f t="shared" ref="J3:J53" si="16">(H3-H2)/H2</f>
        <v>#DIV/0!</v>
      </c>
      <c r="K3" s="103" t="e">
        <f t="shared" si="1"/>
        <v>#DIV/0!</v>
      </c>
      <c r="L3" s="53" t="e">
        <f t="shared" si="2"/>
        <v>#DIV/0!</v>
      </c>
      <c r="M3" s="51" t="e">
        <f t="shared" si="3"/>
        <v>#DIV/0!</v>
      </c>
      <c r="N3" s="103" t="e">
        <f t="shared" ref="N3:N53" si="17">(L3-L2)/L2</f>
        <v>#DIV/0!</v>
      </c>
      <c r="O3" s="103" t="e">
        <f t="shared" si="4"/>
        <v>#DIV/0!</v>
      </c>
      <c r="P3" s="54"/>
      <c r="Q3" s="54"/>
      <c r="R3" s="103" t="e">
        <f t="shared" ref="R3:R53" si="18">(P3-P2)/P2</f>
        <v>#DIV/0!</v>
      </c>
      <c r="S3" s="103" t="e">
        <f t="shared" si="5"/>
        <v>#DIV/0!</v>
      </c>
      <c r="T3" s="54"/>
      <c r="U3" s="54"/>
      <c r="V3" s="54" t="e">
        <f t="shared" ref="V3:V53" si="19">(T3-T2)/T2</f>
        <v>#DIV/0!</v>
      </c>
      <c r="W3" s="103" t="e">
        <f t="shared" si="6"/>
        <v>#DIV/0!</v>
      </c>
      <c r="X3" s="51" t="e">
        <f t="shared" si="7"/>
        <v>#DIV/0!</v>
      </c>
      <c r="Y3" s="54" t="e">
        <f t="shared" si="8"/>
        <v>#DIV/0!</v>
      </c>
      <c r="Z3" s="103" t="e">
        <f t="shared" ref="Z3:Z53" si="20">(X3-X2)/X2</f>
        <v>#DIV/0!</v>
      </c>
      <c r="AA3" s="103" t="e">
        <f t="shared" si="9"/>
        <v>#DIV/0!</v>
      </c>
      <c r="AB3" s="54"/>
      <c r="AC3" s="54"/>
      <c r="AD3" s="54" t="e">
        <f t="shared" ref="AD3:AD53" si="21">(AB3-AB2)/AB2</f>
        <v>#DIV/0!</v>
      </c>
      <c r="AE3" s="103" t="e">
        <f t="shared" si="10"/>
        <v>#DIV/0!</v>
      </c>
      <c r="AF3" s="54"/>
      <c r="AG3" s="54"/>
      <c r="AH3" s="54" t="e">
        <f t="shared" ref="AH3:AH53" si="22">(AF3-AF2)/AF2</f>
        <v>#DIV/0!</v>
      </c>
      <c r="AI3" s="103" t="e">
        <f t="shared" si="11"/>
        <v>#DIV/0!</v>
      </c>
      <c r="AJ3" s="82" t="e">
        <f t="shared" si="12"/>
        <v>#DIV/0!</v>
      </c>
      <c r="AK3" s="82" t="e">
        <f t="shared" si="12"/>
        <v>#DIV/0!</v>
      </c>
      <c r="AL3" s="54" t="e">
        <f t="shared" ref="AL3:AL53" si="23">(AJ3-AJ2)/AJ2</f>
        <v>#DIV/0!</v>
      </c>
      <c r="AM3" s="103" t="e">
        <f t="shared" si="13"/>
        <v>#DIV/0!</v>
      </c>
      <c r="AN3" s="81"/>
    </row>
    <row r="4" spans="1:40" ht="15.75" customHeight="1" x14ac:dyDescent="0.3">
      <c r="A4" s="49" t="s">
        <v>17</v>
      </c>
      <c r="B4" s="49" t="s">
        <v>32</v>
      </c>
      <c r="C4" s="50">
        <f t="shared" si="14"/>
        <v>42748</v>
      </c>
      <c r="D4" s="51"/>
      <c r="E4" s="51"/>
      <c r="F4" s="51" t="e">
        <f t="shared" si="15"/>
        <v>#DIV/0!</v>
      </c>
      <c r="G4" s="103" t="e">
        <f t="shared" si="0"/>
        <v>#DIV/0!</v>
      </c>
      <c r="H4" s="51"/>
      <c r="I4" s="51"/>
      <c r="J4" s="103" t="e">
        <f t="shared" si="16"/>
        <v>#DIV/0!</v>
      </c>
      <c r="K4" s="103" t="e">
        <f t="shared" si="1"/>
        <v>#DIV/0!</v>
      </c>
      <c r="L4" s="53" t="e">
        <f t="shared" si="2"/>
        <v>#DIV/0!</v>
      </c>
      <c r="M4" s="51" t="e">
        <f t="shared" si="3"/>
        <v>#DIV/0!</v>
      </c>
      <c r="N4" s="103" t="e">
        <f t="shared" si="17"/>
        <v>#DIV/0!</v>
      </c>
      <c r="O4" s="103" t="e">
        <f t="shared" si="4"/>
        <v>#DIV/0!</v>
      </c>
      <c r="P4" s="54"/>
      <c r="Q4" s="54"/>
      <c r="R4" s="103" t="e">
        <f t="shared" si="18"/>
        <v>#DIV/0!</v>
      </c>
      <c r="S4" s="103" t="e">
        <f t="shared" si="5"/>
        <v>#DIV/0!</v>
      </c>
      <c r="T4" s="54"/>
      <c r="U4" s="54"/>
      <c r="V4" s="54" t="e">
        <f t="shared" si="19"/>
        <v>#DIV/0!</v>
      </c>
      <c r="W4" s="103" t="e">
        <f t="shared" si="6"/>
        <v>#DIV/0!</v>
      </c>
      <c r="X4" s="51" t="e">
        <f t="shared" si="7"/>
        <v>#DIV/0!</v>
      </c>
      <c r="Y4" s="54" t="e">
        <f t="shared" si="8"/>
        <v>#DIV/0!</v>
      </c>
      <c r="Z4" s="103" t="e">
        <f t="shared" si="20"/>
        <v>#DIV/0!</v>
      </c>
      <c r="AA4" s="103" t="e">
        <f t="shared" si="9"/>
        <v>#DIV/0!</v>
      </c>
      <c r="AB4" s="54"/>
      <c r="AC4" s="54"/>
      <c r="AD4" s="54" t="e">
        <f t="shared" si="21"/>
        <v>#DIV/0!</v>
      </c>
      <c r="AE4" s="103" t="e">
        <f t="shared" si="10"/>
        <v>#DIV/0!</v>
      </c>
      <c r="AF4" s="54"/>
      <c r="AG4" s="54"/>
      <c r="AH4" s="54" t="e">
        <f t="shared" si="22"/>
        <v>#DIV/0!</v>
      </c>
      <c r="AI4" s="103" t="e">
        <f t="shared" si="11"/>
        <v>#DIV/0!</v>
      </c>
      <c r="AJ4" s="82" t="e">
        <f t="shared" si="12"/>
        <v>#DIV/0!</v>
      </c>
      <c r="AK4" s="82" t="e">
        <f t="shared" si="12"/>
        <v>#DIV/0!</v>
      </c>
      <c r="AL4" s="54" t="e">
        <f t="shared" si="23"/>
        <v>#DIV/0!</v>
      </c>
      <c r="AM4" s="103" t="e">
        <f t="shared" si="13"/>
        <v>#DIV/0!</v>
      </c>
      <c r="AN4" s="81"/>
    </row>
    <row r="5" spans="1:40" s="80" customFormat="1" ht="15.75" customHeight="1" x14ac:dyDescent="0.3">
      <c r="A5" s="69" t="s">
        <v>17</v>
      </c>
      <c r="B5" s="69" t="s">
        <v>33</v>
      </c>
      <c r="C5" s="70">
        <f t="shared" si="14"/>
        <v>42755</v>
      </c>
      <c r="D5" s="72"/>
      <c r="E5" s="72"/>
      <c r="F5" s="72" t="e">
        <f t="shared" si="15"/>
        <v>#DIV/0!</v>
      </c>
      <c r="G5" s="104" t="e">
        <f t="shared" si="0"/>
        <v>#DIV/0!</v>
      </c>
      <c r="H5" s="72"/>
      <c r="I5" s="72"/>
      <c r="J5" s="104" t="e">
        <f t="shared" si="16"/>
        <v>#DIV/0!</v>
      </c>
      <c r="K5" s="104" t="e">
        <f t="shared" si="1"/>
        <v>#DIV/0!</v>
      </c>
      <c r="L5" s="74" t="e">
        <f t="shared" si="2"/>
        <v>#DIV/0!</v>
      </c>
      <c r="M5" s="72" t="e">
        <f t="shared" si="3"/>
        <v>#DIV/0!</v>
      </c>
      <c r="N5" s="104" t="e">
        <f t="shared" si="17"/>
        <v>#DIV/0!</v>
      </c>
      <c r="O5" s="104" t="e">
        <f t="shared" si="4"/>
        <v>#DIV/0!</v>
      </c>
      <c r="P5" s="76"/>
      <c r="Q5" s="76"/>
      <c r="R5" s="104" t="e">
        <f t="shared" si="18"/>
        <v>#DIV/0!</v>
      </c>
      <c r="S5" s="104" t="e">
        <f t="shared" si="5"/>
        <v>#DIV/0!</v>
      </c>
      <c r="T5" s="76"/>
      <c r="U5" s="76"/>
      <c r="V5" s="76" t="e">
        <f t="shared" si="19"/>
        <v>#DIV/0!</v>
      </c>
      <c r="W5" s="104" t="e">
        <f t="shared" si="6"/>
        <v>#DIV/0!</v>
      </c>
      <c r="X5" s="72" t="e">
        <f t="shared" si="7"/>
        <v>#DIV/0!</v>
      </c>
      <c r="Y5" s="76" t="e">
        <f t="shared" si="8"/>
        <v>#DIV/0!</v>
      </c>
      <c r="Z5" s="104" t="e">
        <f t="shared" si="20"/>
        <v>#DIV/0!</v>
      </c>
      <c r="AA5" s="104" t="e">
        <f t="shared" si="9"/>
        <v>#DIV/0!</v>
      </c>
      <c r="AB5" s="76"/>
      <c r="AC5" s="76"/>
      <c r="AD5" s="76" t="e">
        <f t="shared" si="21"/>
        <v>#DIV/0!</v>
      </c>
      <c r="AE5" s="104" t="e">
        <f t="shared" si="10"/>
        <v>#DIV/0!</v>
      </c>
      <c r="AF5" s="76"/>
      <c r="AG5" s="76"/>
      <c r="AH5" s="76" t="e">
        <f t="shared" si="22"/>
        <v>#DIV/0!</v>
      </c>
      <c r="AI5" s="104" t="e">
        <f t="shared" si="11"/>
        <v>#DIV/0!</v>
      </c>
      <c r="AJ5" s="83" t="e">
        <f t="shared" si="12"/>
        <v>#DIV/0!</v>
      </c>
      <c r="AK5" s="83" t="e">
        <f t="shared" si="12"/>
        <v>#DIV/0!</v>
      </c>
      <c r="AL5" s="76" t="e">
        <f t="shared" si="23"/>
        <v>#DIV/0!</v>
      </c>
      <c r="AM5" s="104" t="e">
        <f t="shared" si="13"/>
        <v>#DIV/0!</v>
      </c>
    </row>
    <row r="6" spans="1:40" ht="15.75" customHeight="1" x14ac:dyDescent="0.3">
      <c r="A6" s="49" t="s">
        <v>18</v>
      </c>
      <c r="B6" s="49" t="s">
        <v>34</v>
      </c>
      <c r="C6" s="50">
        <f t="shared" si="14"/>
        <v>42762</v>
      </c>
      <c r="D6" s="51"/>
      <c r="E6" s="51"/>
      <c r="F6" s="51" t="e">
        <f t="shared" si="15"/>
        <v>#DIV/0!</v>
      </c>
      <c r="G6" s="103" t="e">
        <f t="shared" si="0"/>
        <v>#DIV/0!</v>
      </c>
      <c r="H6" s="51"/>
      <c r="I6" s="51"/>
      <c r="J6" s="103" t="e">
        <f t="shared" si="16"/>
        <v>#DIV/0!</v>
      </c>
      <c r="K6" s="103" t="e">
        <f t="shared" si="1"/>
        <v>#DIV/0!</v>
      </c>
      <c r="L6" s="53" t="e">
        <f t="shared" si="2"/>
        <v>#DIV/0!</v>
      </c>
      <c r="M6" s="51" t="e">
        <f t="shared" si="3"/>
        <v>#DIV/0!</v>
      </c>
      <c r="N6" s="103" t="e">
        <f t="shared" si="17"/>
        <v>#DIV/0!</v>
      </c>
      <c r="O6" s="103" t="e">
        <f t="shared" si="4"/>
        <v>#DIV/0!</v>
      </c>
      <c r="P6" s="54"/>
      <c r="Q6" s="54"/>
      <c r="R6" s="103" t="e">
        <f t="shared" si="18"/>
        <v>#DIV/0!</v>
      </c>
      <c r="S6" s="103" t="e">
        <f t="shared" si="5"/>
        <v>#DIV/0!</v>
      </c>
      <c r="T6" s="54"/>
      <c r="U6" s="54"/>
      <c r="V6" s="54" t="e">
        <f t="shared" si="19"/>
        <v>#DIV/0!</v>
      </c>
      <c r="W6" s="103" t="e">
        <f t="shared" si="6"/>
        <v>#DIV/0!</v>
      </c>
      <c r="X6" s="51" t="e">
        <f t="shared" si="7"/>
        <v>#DIV/0!</v>
      </c>
      <c r="Y6" s="54" t="e">
        <f t="shared" si="8"/>
        <v>#DIV/0!</v>
      </c>
      <c r="Z6" s="103" t="e">
        <f t="shared" si="20"/>
        <v>#DIV/0!</v>
      </c>
      <c r="AA6" s="103" t="e">
        <f t="shared" si="9"/>
        <v>#DIV/0!</v>
      </c>
      <c r="AB6" s="54"/>
      <c r="AC6" s="54"/>
      <c r="AD6" s="54" t="e">
        <f t="shared" si="21"/>
        <v>#DIV/0!</v>
      </c>
      <c r="AE6" s="103" t="e">
        <f t="shared" si="10"/>
        <v>#DIV/0!</v>
      </c>
      <c r="AF6" s="54"/>
      <c r="AG6" s="54"/>
      <c r="AH6" s="54" t="e">
        <f t="shared" si="22"/>
        <v>#DIV/0!</v>
      </c>
      <c r="AI6" s="103" t="e">
        <f t="shared" si="11"/>
        <v>#DIV/0!</v>
      </c>
      <c r="AJ6" s="82" t="e">
        <f t="shared" si="12"/>
        <v>#DIV/0!</v>
      </c>
      <c r="AK6" s="82" t="e">
        <f t="shared" si="12"/>
        <v>#DIV/0!</v>
      </c>
      <c r="AL6" s="54" t="e">
        <f t="shared" si="23"/>
        <v>#DIV/0!</v>
      </c>
      <c r="AM6" s="103" t="e">
        <f t="shared" si="13"/>
        <v>#DIV/0!</v>
      </c>
      <c r="AN6" s="81"/>
    </row>
    <row r="7" spans="1:40" ht="15.75" customHeight="1" x14ac:dyDescent="0.3">
      <c r="A7" s="49" t="s">
        <v>18</v>
      </c>
      <c r="B7" s="49" t="s">
        <v>35</v>
      </c>
      <c r="C7" s="50">
        <f t="shared" si="14"/>
        <v>42769</v>
      </c>
      <c r="D7" s="51"/>
      <c r="E7" s="51"/>
      <c r="F7" s="51" t="e">
        <f t="shared" si="15"/>
        <v>#DIV/0!</v>
      </c>
      <c r="G7" s="103" t="e">
        <f t="shared" si="0"/>
        <v>#DIV/0!</v>
      </c>
      <c r="H7" s="51"/>
      <c r="I7" s="51"/>
      <c r="J7" s="103" t="e">
        <f t="shared" si="16"/>
        <v>#DIV/0!</v>
      </c>
      <c r="K7" s="103" t="e">
        <f t="shared" si="1"/>
        <v>#DIV/0!</v>
      </c>
      <c r="L7" s="53" t="e">
        <f t="shared" si="2"/>
        <v>#DIV/0!</v>
      </c>
      <c r="M7" s="51" t="e">
        <f t="shared" si="3"/>
        <v>#DIV/0!</v>
      </c>
      <c r="N7" s="103" t="e">
        <f t="shared" si="17"/>
        <v>#DIV/0!</v>
      </c>
      <c r="O7" s="103" t="e">
        <f t="shared" si="4"/>
        <v>#DIV/0!</v>
      </c>
      <c r="P7" s="54"/>
      <c r="Q7" s="54"/>
      <c r="R7" s="103" t="e">
        <f t="shared" si="18"/>
        <v>#DIV/0!</v>
      </c>
      <c r="S7" s="103" t="e">
        <f t="shared" si="5"/>
        <v>#DIV/0!</v>
      </c>
      <c r="T7" s="54"/>
      <c r="U7" s="54"/>
      <c r="V7" s="54" t="e">
        <f t="shared" si="19"/>
        <v>#DIV/0!</v>
      </c>
      <c r="W7" s="103" t="e">
        <f t="shared" si="6"/>
        <v>#DIV/0!</v>
      </c>
      <c r="X7" s="51" t="e">
        <f t="shared" si="7"/>
        <v>#DIV/0!</v>
      </c>
      <c r="Y7" s="54" t="e">
        <f t="shared" si="8"/>
        <v>#DIV/0!</v>
      </c>
      <c r="Z7" s="103" t="e">
        <f t="shared" si="20"/>
        <v>#DIV/0!</v>
      </c>
      <c r="AA7" s="103" t="e">
        <f t="shared" si="9"/>
        <v>#DIV/0!</v>
      </c>
      <c r="AB7" s="54"/>
      <c r="AC7" s="54"/>
      <c r="AD7" s="54" t="e">
        <f t="shared" si="21"/>
        <v>#DIV/0!</v>
      </c>
      <c r="AE7" s="103" t="e">
        <f t="shared" si="10"/>
        <v>#DIV/0!</v>
      </c>
      <c r="AF7" s="54"/>
      <c r="AG7" s="54"/>
      <c r="AH7" s="54" t="e">
        <f t="shared" si="22"/>
        <v>#DIV/0!</v>
      </c>
      <c r="AI7" s="103" t="e">
        <f t="shared" si="11"/>
        <v>#DIV/0!</v>
      </c>
      <c r="AJ7" s="82" t="e">
        <f t="shared" si="12"/>
        <v>#DIV/0!</v>
      </c>
      <c r="AK7" s="82" t="e">
        <f t="shared" si="12"/>
        <v>#DIV/0!</v>
      </c>
      <c r="AL7" s="54" t="e">
        <f t="shared" si="23"/>
        <v>#DIV/0!</v>
      </c>
      <c r="AM7" s="103" t="e">
        <f t="shared" si="13"/>
        <v>#DIV/0!</v>
      </c>
      <c r="AN7" s="81"/>
    </row>
    <row r="8" spans="1:40" ht="15.75" customHeight="1" x14ac:dyDescent="0.3">
      <c r="A8" s="49" t="s">
        <v>18</v>
      </c>
      <c r="B8" s="49" t="s">
        <v>36</v>
      </c>
      <c r="C8" s="50">
        <f t="shared" si="14"/>
        <v>42776</v>
      </c>
      <c r="D8" s="51"/>
      <c r="E8" s="51"/>
      <c r="F8" s="51" t="e">
        <f t="shared" si="15"/>
        <v>#DIV/0!</v>
      </c>
      <c r="G8" s="103" t="e">
        <f t="shared" si="0"/>
        <v>#DIV/0!</v>
      </c>
      <c r="H8" s="51"/>
      <c r="I8" s="51"/>
      <c r="J8" s="103" t="e">
        <f t="shared" si="16"/>
        <v>#DIV/0!</v>
      </c>
      <c r="K8" s="103" t="e">
        <f t="shared" si="1"/>
        <v>#DIV/0!</v>
      </c>
      <c r="L8" s="53" t="e">
        <f t="shared" si="2"/>
        <v>#DIV/0!</v>
      </c>
      <c r="M8" s="51" t="e">
        <f t="shared" si="3"/>
        <v>#DIV/0!</v>
      </c>
      <c r="N8" s="103" t="e">
        <f t="shared" si="17"/>
        <v>#DIV/0!</v>
      </c>
      <c r="O8" s="103" t="e">
        <f t="shared" si="4"/>
        <v>#DIV/0!</v>
      </c>
      <c r="P8" s="54"/>
      <c r="Q8" s="54"/>
      <c r="R8" s="103" t="e">
        <f t="shared" si="18"/>
        <v>#DIV/0!</v>
      </c>
      <c r="S8" s="103" t="e">
        <f t="shared" si="5"/>
        <v>#DIV/0!</v>
      </c>
      <c r="T8" s="54"/>
      <c r="U8" s="54"/>
      <c r="V8" s="54" t="e">
        <f t="shared" si="19"/>
        <v>#DIV/0!</v>
      </c>
      <c r="W8" s="103" t="e">
        <f t="shared" si="6"/>
        <v>#DIV/0!</v>
      </c>
      <c r="X8" s="51" t="e">
        <f t="shared" si="7"/>
        <v>#DIV/0!</v>
      </c>
      <c r="Y8" s="54" t="e">
        <f t="shared" si="8"/>
        <v>#DIV/0!</v>
      </c>
      <c r="Z8" s="103" t="e">
        <f t="shared" si="20"/>
        <v>#DIV/0!</v>
      </c>
      <c r="AA8" s="103" t="e">
        <f t="shared" si="9"/>
        <v>#DIV/0!</v>
      </c>
      <c r="AB8" s="54"/>
      <c r="AC8" s="54"/>
      <c r="AD8" s="54" t="e">
        <f t="shared" si="21"/>
        <v>#DIV/0!</v>
      </c>
      <c r="AE8" s="103" t="e">
        <f t="shared" si="10"/>
        <v>#DIV/0!</v>
      </c>
      <c r="AF8" s="54"/>
      <c r="AG8" s="54"/>
      <c r="AH8" s="54" t="e">
        <f t="shared" si="22"/>
        <v>#DIV/0!</v>
      </c>
      <c r="AI8" s="103" t="e">
        <f t="shared" si="11"/>
        <v>#DIV/0!</v>
      </c>
      <c r="AJ8" s="82" t="e">
        <f t="shared" si="12"/>
        <v>#DIV/0!</v>
      </c>
      <c r="AK8" s="82" t="e">
        <f t="shared" si="12"/>
        <v>#DIV/0!</v>
      </c>
      <c r="AL8" s="54" t="e">
        <f t="shared" si="23"/>
        <v>#DIV/0!</v>
      </c>
      <c r="AM8" s="103" t="e">
        <f t="shared" si="13"/>
        <v>#DIV/0!</v>
      </c>
      <c r="AN8" s="81"/>
    </row>
    <row r="9" spans="1:40" s="80" customFormat="1" ht="15.75" customHeight="1" x14ac:dyDescent="0.3">
      <c r="A9" s="69" t="s">
        <v>18</v>
      </c>
      <c r="B9" s="69" t="s">
        <v>37</v>
      </c>
      <c r="C9" s="70">
        <f t="shared" si="14"/>
        <v>42783</v>
      </c>
      <c r="D9" s="72"/>
      <c r="E9" s="72"/>
      <c r="F9" s="72" t="e">
        <f t="shared" si="15"/>
        <v>#DIV/0!</v>
      </c>
      <c r="G9" s="104" t="e">
        <f t="shared" si="0"/>
        <v>#DIV/0!</v>
      </c>
      <c r="H9" s="72"/>
      <c r="I9" s="72"/>
      <c r="J9" s="104" t="e">
        <f t="shared" si="16"/>
        <v>#DIV/0!</v>
      </c>
      <c r="K9" s="104" t="e">
        <f t="shared" si="1"/>
        <v>#DIV/0!</v>
      </c>
      <c r="L9" s="74" t="e">
        <f t="shared" si="2"/>
        <v>#DIV/0!</v>
      </c>
      <c r="M9" s="72" t="e">
        <f t="shared" si="3"/>
        <v>#DIV/0!</v>
      </c>
      <c r="N9" s="104" t="e">
        <f t="shared" si="17"/>
        <v>#DIV/0!</v>
      </c>
      <c r="O9" s="104" t="e">
        <f t="shared" si="4"/>
        <v>#DIV/0!</v>
      </c>
      <c r="P9" s="76"/>
      <c r="Q9" s="76"/>
      <c r="R9" s="104" t="e">
        <f t="shared" si="18"/>
        <v>#DIV/0!</v>
      </c>
      <c r="S9" s="104" t="e">
        <f t="shared" si="5"/>
        <v>#DIV/0!</v>
      </c>
      <c r="T9" s="76"/>
      <c r="U9" s="76"/>
      <c r="V9" s="76" t="e">
        <f t="shared" si="19"/>
        <v>#DIV/0!</v>
      </c>
      <c r="W9" s="104" t="e">
        <f t="shared" si="6"/>
        <v>#DIV/0!</v>
      </c>
      <c r="X9" s="72" t="e">
        <f t="shared" si="7"/>
        <v>#DIV/0!</v>
      </c>
      <c r="Y9" s="76" t="e">
        <f t="shared" si="8"/>
        <v>#DIV/0!</v>
      </c>
      <c r="Z9" s="104" t="e">
        <f t="shared" si="20"/>
        <v>#DIV/0!</v>
      </c>
      <c r="AA9" s="104" t="e">
        <f t="shared" si="9"/>
        <v>#DIV/0!</v>
      </c>
      <c r="AB9" s="76"/>
      <c r="AC9" s="76"/>
      <c r="AD9" s="76" t="e">
        <f t="shared" si="21"/>
        <v>#DIV/0!</v>
      </c>
      <c r="AE9" s="104" t="e">
        <f t="shared" si="10"/>
        <v>#DIV/0!</v>
      </c>
      <c r="AF9" s="76"/>
      <c r="AG9" s="76"/>
      <c r="AH9" s="76" t="e">
        <f t="shared" si="22"/>
        <v>#DIV/0!</v>
      </c>
      <c r="AI9" s="104" t="e">
        <f t="shared" si="11"/>
        <v>#DIV/0!</v>
      </c>
      <c r="AJ9" s="83" t="e">
        <f t="shared" si="12"/>
        <v>#DIV/0!</v>
      </c>
      <c r="AK9" s="83" t="e">
        <f t="shared" si="12"/>
        <v>#DIV/0!</v>
      </c>
      <c r="AL9" s="76" t="e">
        <f t="shared" si="23"/>
        <v>#DIV/0!</v>
      </c>
      <c r="AM9" s="104" t="e">
        <f t="shared" si="13"/>
        <v>#DIV/0!</v>
      </c>
    </row>
    <row r="10" spans="1:40" ht="15.75" customHeight="1" x14ac:dyDescent="0.3">
      <c r="A10" s="49" t="s">
        <v>38</v>
      </c>
      <c r="B10" s="49" t="s">
        <v>39</v>
      </c>
      <c r="C10" s="50">
        <f t="shared" si="14"/>
        <v>42790</v>
      </c>
      <c r="D10" s="51"/>
      <c r="E10" s="51"/>
      <c r="F10" s="51" t="e">
        <f t="shared" si="15"/>
        <v>#DIV/0!</v>
      </c>
      <c r="G10" s="103" t="e">
        <f t="shared" si="0"/>
        <v>#DIV/0!</v>
      </c>
      <c r="H10" s="51"/>
      <c r="I10" s="51"/>
      <c r="J10" s="103" t="e">
        <f t="shared" si="16"/>
        <v>#DIV/0!</v>
      </c>
      <c r="K10" s="103" t="e">
        <f t="shared" si="1"/>
        <v>#DIV/0!</v>
      </c>
      <c r="L10" s="53" t="e">
        <f t="shared" si="2"/>
        <v>#DIV/0!</v>
      </c>
      <c r="M10" s="51" t="e">
        <f t="shared" si="3"/>
        <v>#DIV/0!</v>
      </c>
      <c r="N10" s="103" t="e">
        <f t="shared" si="17"/>
        <v>#DIV/0!</v>
      </c>
      <c r="O10" s="103" t="e">
        <f t="shared" si="4"/>
        <v>#DIV/0!</v>
      </c>
      <c r="P10" s="54"/>
      <c r="Q10" s="54"/>
      <c r="R10" s="103" t="e">
        <f t="shared" si="18"/>
        <v>#DIV/0!</v>
      </c>
      <c r="S10" s="103" t="e">
        <f t="shared" si="5"/>
        <v>#DIV/0!</v>
      </c>
      <c r="T10" s="54"/>
      <c r="U10" s="54"/>
      <c r="V10" s="54" t="e">
        <f t="shared" si="19"/>
        <v>#DIV/0!</v>
      </c>
      <c r="W10" s="103" t="e">
        <f t="shared" si="6"/>
        <v>#DIV/0!</v>
      </c>
      <c r="X10" s="51" t="e">
        <f t="shared" si="7"/>
        <v>#DIV/0!</v>
      </c>
      <c r="Y10" s="54" t="e">
        <f t="shared" si="8"/>
        <v>#DIV/0!</v>
      </c>
      <c r="Z10" s="103" t="e">
        <f t="shared" si="20"/>
        <v>#DIV/0!</v>
      </c>
      <c r="AA10" s="103" t="e">
        <f t="shared" si="9"/>
        <v>#DIV/0!</v>
      </c>
      <c r="AB10" s="54"/>
      <c r="AC10" s="54"/>
      <c r="AD10" s="54" t="e">
        <f t="shared" si="21"/>
        <v>#DIV/0!</v>
      </c>
      <c r="AE10" s="103" t="e">
        <f t="shared" si="10"/>
        <v>#DIV/0!</v>
      </c>
      <c r="AF10" s="54"/>
      <c r="AG10" s="54"/>
      <c r="AH10" s="54" t="e">
        <f t="shared" si="22"/>
        <v>#DIV/0!</v>
      </c>
      <c r="AI10" s="103" t="e">
        <f t="shared" si="11"/>
        <v>#DIV/0!</v>
      </c>
      <c r="AJ10" s="82" t="e">
        <f t="shared" si="12"/>
        <v>#DIV/0!</v>
      </c>
      <c r="AK10" s="82" t="e">
        <f t="shared" si="12"/>
        <v>#DIV/0!</v>
      </c>
      <c r="AL10" s="54" t="e">
        <f t="shared" si="23"/>
        <v>#DIV/0!</v>
      </c>
      <c r="AM10" s="103" t="e">
        <f t="shared" si="13"/>
        <v>#DIV/0!</v>
      </c>
      <c r="AN10" s="81"/>
    </row>
    <row r="11" spans="1:40" ht="15.75" customHeight="1" x14ac:dyDescent="0.3">
      <c r="A11" s="49" t="s">
        <v>38</v>
      </c>
      <c r="B11" s="49" t="s">
        <v>40</v>
      </c>
      <c r="C11" s="50">
        <v>42797</v>
      </c>
      <c r="D11" s="51"/>
      <c r="E11" s="51"/>
      <c r="F11" s="51" t="e">
        <f t="shared" si="15"/>
        <v>#DIV/0!</v>
      </c>
      <c r="G11" s="103" t="e">
        <f t="shared" si="0"/>
        <v>#DIV/0!</v>
      </c>
      <c r="H11" s="51"/>
      <c r="I11" s="51"/>
      <c r="J11" s="103" t="e">
        <f t="shared" si="16"/>
        <v>#DIV/0!</v>
      </c>
      <c r="K11" s="103" t="e">
        <f t="shared" si="1"/>
        <v>#DIV/0!</v>
      </c>
      <c r="L11" s="53" t="e">
        <f t="shared" si="2"/>
        <v>#DIV/0!</v>
      </c>
      <c r="M11" s="51" t="e">
        <f t="shared" si="3"/>
        <v>#DIV/0!</v>
      </c>
      <c r="N11" s="103" t="e">
        <f t="shared" si="17"/>
        <v>#DIV/0!</v>
      </c>
      <c r="O11" s="103" t="e">
        <f t="shared" si="4"/>
        <v>#DIV/0!</v>
      </c>
      <c r="P11" s="54"/>
      <c r="Q11" s="54"/>
      <c r="R11" s="103" t="e">
        <f t="shared" si="18"/>
        <v>#DIV/0!</v>
      </c>
      <c r="S11" s="103" t="e">
        <f t="shared" si="5"/>
        <v>#DIV/0!</v>
      </c>
      <c r="T11" s="54"/>
      <c r="U11" s="54"/>
      <c r="V11" s="54" t="e">
        <f t="shared" si="19"/>
        <v>#DIV/0!</v>
      </c>
      <c r="W11" s="103" t="e">
        <f t="shared" si="6"/>
        <v>#DIV/0!</v>
      </c>
      <c r="X11" s="51" t="e">
        <f t="shared" si="7"/>
        <v>#DIV/0!</v>
      </c>
      <c r="Y11" s="54" t="e">
        <f t="shared" si="8"/>
        <v>#DIV/0!</v>
      </c>
      <c r="Z11" s="103" t="e">
        <f t="shared" si="20"/>
        <v>#DIV/0!</v>
      </c>
      <c r="AA11" s="103" t="e">
        <f t="shared" si="9"/>
        <v>#DIV/0!</v>
      </c>
      <c r="AB11" s="54"/>
      <c r="AC11" s="54"/>
      <c r="AD11" s="54" t="e">
        <f t="shared" si="21"/>
        <v>#DIV/0!</v>
      </c>
      <c r="AE11" s="103" t="e">
        <f t="shared" si="10"/>
        <v>#DIV/0!</v>
      </c>
      <c r="AF11" s="54"/>
      <c r="AG11" s="54"/>
      <c r="AH11" s="54" t="e">
        <f t="shared" si="22"/>
        <v>#DIV/0!</v>
      </c>
      <c r="AI11" s="103" t="e">
        <f t="shared" si="11"/>
        <v>#DIV/0!</v>
      </c>
      <c r="AJ11" s="82" t="e">
        <f t="shared" si="12"/>
        <v>#DIV/0!</v>
      </c>
      <c r="AK11" s="82" t="e">
        <f t="shared" si="12"/>
        <v>#DIV/0!</v>
      </c>
      <c r="AL11" s="54" t="e">
        <f t="shared" si="23"/>
        <v>#DIV/0!</v>
      </c>
      <c r="AM11" s="103" t="e">
        <f t="shared" si="13"/>
        <v>#DIV/0!</v>
      </c>
      <c r="AN11" s="81"/>
    </row>
    <row r="12" spans="1:40" ht="15.75" customHeight="1" x14ac:dyDescent="0.3">
      <c r="A12" s="49" t="s">
        <v>38</v>
      </c>
      <c r="B12" s="49" t="s">
        <v>41</v>
      </c>
      <c r="C12" s="50">
        <f>C11+7</f>
        <v>42804</v>
      </c>
      <c r="D12" s="51"/>
      <c r="E12" s="51"/>
      <c r="F12" s="51" t="e">
        <f t="shared" si="15"/>
        <v>#DIV/0!</v>
      </c>
      <c r="G12" s="103" t="e">
        <f t="shared" si="0"/>
        <v>#DIV/0!</v>
      </c>
      <c r="H12" s="51"/>
      <c r="I12" s="51"/>
      <c r="J12" s="103" t="e">
        <f t="shared" si="16"/>
        <v>#DIV/0!</v>
      </c>
      <c r="K12" s="103" t="e">
        <f t="shared" si="1"/>
        <v>#DIV/0!</v>
      </c>
      <c r="L12" s="53" t="e">
        <f t="shared" si="2"/>
        <v>#DIV/0!</v>
      </c>
      <c r="M12" s="51" t="e">
        <f t="shared" si="3"/>
        <v>#DIV/0!</v>
      </c>
      <c r="N12" s="103" t="e">
        <f t="shared" si="17"/>
        <v>#DIV/0!</v>
      </c>
      <c r="O12" s="103" t="e">
        <f t="shared" si="4"/>
        <v>#DIV/0!</v>
      </c>
      <c r="P12" s="54"/>
      <c r="Q12" s="54"/>
      <c r="R12" s="103" t="e">
        <f t="shared" si="18"/>
        <v>#DIV/0!</v>
      </c>
      <c r="S12" s="103" t="e">
        <f t="shared" si="5"/>
        <v>#DIV/0!</v>
      </c>
      <c r="T12" s="54"/>
      <c r="U12" s="54"/>
      <c r="V12" s="54" t="e">
        <f t="shared" si="19"/>
        <v>#DIV/0!</v>
      </c>
      <c r="W12" s="103" t="e">
        <f t="shared" si="6"/>
        <v>#DIV/0!</v>
      </c>
      <c r="X12" s="51" t="e">
        <f t="shared" si="7"/>
        <v>#DIV/0!</v>
      </c>
      <c r="Y12" s="54" t="e">
        <f t="shared" si="8"/>
        <v>#DIV/0!</v>
      </c>
      <c r="Z12" s="103" t="e">
        <f t="shared" si="20"/>
        <v>#DIV/0!</v>
      </c>
      <c r="AA12" s="103" t="e">
        <f t="shared" si="9"/>
        <v>#DIV/0!</v>
      </c>
      <c r="AB12" s="54"/>
      <c r="AC12" s="54"/>
      <c r="AD12" s="54" t="e">
        <f t="shared" si="21"/>
        <v>#DIV/0!</v>
      </c>
      <c r="AE12" s="103" t="e">
        <f t="shared" si="10"/>
        <v>#DIV/0!</v>
      </c>
      <c r="AF12" s="54"/>
      <c r="AG12" s="54"/>
      <c r="AH12" s="54" t="e">
        <f t="shared" si="22"/>
        <v>#DIV/0!</v>
      </c>
      <c r="AI12" s="103" t="e">
        <f t="shared" si="11"/>
        <v>#DIV/0!</v>
      </c>
      <c r="AJ12" s="82" t="e">
        <f t="shared" si="12"/>
        <v>#DIV/0!</v>
      </c>
      <c r="AK12" s="82" t="e">
        <f t="shared" si="12"/>
        <v>#DIV/0!</v>
      </c>
      <c r="AL12" s="54" t="e">
        <f t="shared" si="23"/>
        <v>#DIV/0!</v>
      </c>
      <c r="AM12" s="103" t="e">
        <f t="shared" si="13"/>
        <v>#DIV/0!</v>
      </c>
      <c r="AN12" s="81"/>
    </row>
    <row r="13" spans="1:40" s="80" customFormat="1" ht="15.75" customHeight="1" x14ac:dyDescent="0.3">
      <c r="A13" s="69" t="s">
        <v>38</v>
      </c>
      <c r="B13" s="69" t="s">
        <v>42</v>
      </c>
      <c r="C13" s="70">
        <f t="shared" si="14"/>
        <v>42811</v>
      </c>
      <c r="D13" s="72"/>
      <c r="E13" s="72"/>
      <c r="F13" s="72" t="e">
        <f t="shared" si="15"/>
        <v>#DIV/0!</v>
      </c>
      <c r="G13" s="104" t="e">
        <f t="shared" si="0"/>
        <v>#DIV/0!</v>
      </c>
      <c r="H13" s="72"/>
      <c r="I13" s="72"/>
      <c r="J13" s="104" t="e">
        <f t="shared" si="16"/>
        <v>#DIV/0!</v>
      </c>
      <c r="K13" s="104" t="e">
        <f t="shared" si="1"/>
        <v>#DIV/0!</v>
      </c>
      <c r="L13" s="74" t="e">
        <f t="shared" si="2"/>
        <v>#DIV/0!</v>
      </c>
      <c r="M13" s="72" t="e">
        <f t="shared" si="3"/>
        <v>#DIV/0!</v>
      </c>
      <c r="N13" s="104" t="e">
        <f t="shared" si="17"/>
        <v>#DIV/0!</v>
      </c>
      <c r="O13" s="104" t="e">
        <f t="shared" si="4"/>
        <v>#DIV/0!</v>
      </c>
      <c r="P13" s="76"/>
      <c r="Q13" s="76"/>
      <c r="R13" s="104" t="e">
        <f t="shared" si="18"/>
        <v>#DIV/0!</v>
      </c>
      <c r="S13" s="104" t="e">
        <f t="shared" si="5"/>
        <v>#DIV/0!</v>
      </c>
      <c r="T13" s="76"/>
      <c r="U13" s="76"/>
      <c r="V13" s="76" t="e">
        <f t="shared" si="19"/>
        <v>#DIV/0!</v>
      </c>
      <c r="W13" s="104" t="e">
        <f t="shared" si="6"/>
        <v>#DIV/0!</v>
      </c>
      <c r="X13" s="72" t="e">
        <f t="shared" si="7"/>
        <v>#DIV/0!</v>
      </c>
      <c r="Y13" s="76" t="e">
        <f t="shared" si="8"/>
        <v>#DIV/0!</v>
      </c>
      <c r="Z13" s="104" t="e">
        <f t="shared" si="20"/>
        <v>#DIV/0!</v>
      </c>
      <c r="AA13" s="104" t="e">
        <f t="shared" si="9"/>
        <v>#DIV/0!</v>
      </c>
      <c r="AB13" s="76"/>
      <c r="AC13" s="76"/>
      <c r="AD13" s="76" t="e">
        <f t="shared" si="21"/>
        <v>#DIV/0!</v>
      </c>
      <c r="AE13" s="104" t="e">
        <f t="shared" si="10"/>
        <v>#DIV/0!</v>
      </c>
      <c r="AF13" s="76"/>
      <c r="AG13" s="76"/>
      <c r="AH13" s="76" t="e">
        <f t="shared" si="22"/>
        <v>#DIV/0!</v>
      </c>
      <c r="AI13" s="104" t="e">
        <f t="shared" si="11"/>
        <v>#DIV/0!</v>
      </c>
      <c r="AJ13" s="83" t="e">
        <f t="shared" si="12"/>
        <v>#DIV/0!</v>
      </c>
      <c r="AK13" s="83" t="e">
        <f t="shared" si="12"/>
        <v>#DIV/0!</v>
      </c>
      <c r="AL13" s="76" t="e">
        <f t="shared" si="23"/>
        <v>#DIV/0!</v>
      </c>
      <c r="AM13" s="104" t="e">
        <f t="shared" si="13"/>
        <v>#DIV/0!</v>
      </c>
    </row>
    <row r="14" spans="1:40" ht="15.75" customHeight="1" x14ac:dyDescent="0.3">
      <c r="A14" s="49" t="s">
        <v>43</v>
      </c>
      <c r="B14" s="49" t="s">
        <v>44</v>
      </c>
      <c r="C14" s="50">
        <f t="shared" si="14"/>
        <v>42818</v>
      </c>
      <c r="D14" s="51"/>
      <c r="E14" s="51"/>
      <c r="F14" s="51" t="e">
        <f t="shared" si="15"/>
        <v>#DIV/0!</v>
      </c>
      <c r="G14" s="103" t="e">
        <f t="shared" si="0"/>
        <v>#DIV/0!</v>
      </c>
      <c r="H14" s="51"/>
      <c r="I14" s="51"/>
      <c r="J14" s="103" t="e">
        <f t="shared" si="16"/>
        <v>#DIV/0!</v>
      </c>
      <c r="K14" s="103" t="e">
        <f t="shared" si="1"/>
        <v>#DIV/0!</v>
      </c>
      <c r="L14" s="53" t="e">
        <f t="shared" si="2"/>
        <v>#DIV/0!</v>
      </c>
      <c r="M14" s="51" t="e">
        <f t="shared" si="3"/>
        <v>#DIV/0!</v>
      </c>
      <c r="N14" s="103" t="e">
        <f t="shared" si="17"/>
        <v>#DIV/0!</v>
      </c>
      <c r="O14" s="103" t="e">
        <f t="shared" si="4"/>
        <v>#DIV/0!</v>
      </c>
      <c r="P14" s="54"/>
      <c r="Q14" s="54"/>
      <c r="R14" s="103" t="e">
        <f t="shared" si="18"/>
        <v>#DIV/0!</v>
      </c>
      <c r="S14" s="103" t="e">
        <f t="shared" si="5"/>
        <v>#DIV/0!</v>
      </c>
      <c r="T14" s="54"/>
      <c r="U14" s="54"/>
      <c r="V14" s="54" t="e">
        <f t="shared" si="19"/>
        <v>#DIV/0!</v>
      </c>
      <c r="W14" s="103" t="e">
        <f t="shared" si="6"/>
        <v>#DIV/0!</v>
      </c>
      <c r="X14" s="51" t="e">
        <f t="shared" si="7"/>
        <v>#DIV/0!</v>
      </c>
      <c r="Y14" s="54" t="e">
        <f t="shared" si="8"/>
        <v>#DIV/0!</v>
      </c>
      <c r="Z14" s="103" t="e">
        <f t="shared" si="20"/>
        <v>#DIV/0!</v>
      </c>
      <c r="AA14" s="103" t="e">
        <f t="shared" si="9"/>
        <v>#DIV/0!</v>
      </c>
      <c r="AB14" s="54"/>
      <c r="AC14" s="54"/>
      <c r="AD14" s="54" t="e">
        <f t="shared" si="21"/>
        <v>#DIV/0!</v>
      </c>
      <c r="AE14" s="103" t="e">
        <f t="shared" si="10"/>
        <v>#DIV/0!</v>
      </c>
      <c r="AF14" s="54"/>
      <c r="AG14" s="54"/>
      <c r="AH14" s="54" t="e">
        <f t="shared" si="22"/>
        <v>#DIV/0!</v>
      </c>
      <c r="AI14" s="103" t="e">
        <f t="shared" si="11"/>
        <v>#DIV/0!</v>
      </c>
      <c r="AJ14" s="82" t="e">
        <f t="shared" si="12"/>
        <v>#DIV/0!</v>
      </c>
      <c r="AK14" s="82" t="e">
        <f t="shared" si="12"/>
        <v>#DIV/0!</v>
      </c>
      <c r="AL14" s="54" t="e">
        <f t="shared" si="23"/>
        <v>#DIV/0!</v>
      </c>
      <c r="AM14" s="103" t="e">
        <f t="shared" si="13"/>
        <v>#DIV/0!</v>
      </c>
      <c r="AN14" s="81"/>
    </row>
    <row r="15" spans="1:40" ht="15.75" customHeight="1" x14ac:dyDescent="0.3">
      <c r="A15" s="49" t="s">
        <v>43</v>
      </c>
      <c r="B15" s="49" t="s">
        <v>45</v>
      </c>
      <c r="C15" s="50">
        <f t="shared" si="14"/>
        <v>42825</v>
      </c>
      <c r="D15" s="51"/>
      <c r="E15" s="51"/>
      <c r="F15" s="51" t="e">
        <f t="shared" si="15"/>
        <v>#DIV/0!</v>
      </c>
      <c r="G15" s="103" t="e">
        <f t="shared" si="0"/>
        <v>#DIV/0!</v>
      </c>
      <c r="H15" s="51"/>
      <c r="I15" s="51"/>
      <c r="J15" s="103" t="e">
        <f t="shared" si="16"/>
        <v>#DIV/0!</v>
      </c>
      <c r="K15" s="103" t="e">
        <f t="shared" si="1"/>
        <v>#DIV/0!</v>
      </c>
      <c r="L15" s="53" t="e">
        <f t="shared" si="2"/>
        <v>#DIV/0!</v>
      </c>
      <c r="M15" s="51" t="e">
        <f t="shared" si="3"/>
        <v>#DIV/0!</v>
      </c>
      <c r="N15" s="103" t="e">
        <f t="shared" si="17"/>
        <v>#DIV/0!</v>
      </c>
      <c r="O15" s="103" t="e">
        <f t="shared" si="4"/>
        <v>#DIV/0!</v>
      </c>
      <c r="P15" s="54"/>
      <c r="Q15" s="54"/>
      <c r="R15" s="103" t="e">
        <f t="shared" si="18"/>
        <v>#DIV/0!</v>
      </c>
      <c r="S15" s="103" t="e">
        <f t="shared" si="5"/>
        <v>#DIV/0!</v>
      </c>
      <c r="T15" s="54"/>
      <c r="U15" s="54"/>
      <c r="V15" s="54" t="e">
        <f t="shared" si="19"/>
        <v>#DIV/0!</v>
      </c>
      <c r="W15" s="103" t="e">
        <f t="shared" si="6"/>
        <v>#DIV/0!</v>
      </c>
      <c r="X15" s="51" t="e">
        <f t="shared" si="7"/>
        <v>#DIV/0!</v>
      </c>
      <c r="Y15" s="54" t="e">
        <f t="shared" si="8"/>
        <v>#DIV/0!</v>
      </c>
      <c r="Z15" s="103" t="e">
        <f t="shared" si="20"/>
        <v>#DIV/0!</v>
      </c>
      <c r="AA15" s="103" t="e">
        <f t="shared" si="9"/>
        <v>#DIV/0!</v>
      </c>
      <c r="AB15" s="54"/>
      <c r="AC15" s="54"/>
      <c r="AD15" s="54" t="e">
        <f t="shared" si="21"/>
        <v>#DIV/0!</v>
      </c>
      <c r="AE15" s="103" t="e">
        <f t="shared" si="10"/>
        <v>#DIV/0!</v>
      </c>
      <c r="AF15" s="54"/>
      <c r="AG15" s="54"/>
      <c r="AH15" s="54" t="e">
        <f t="shared" si="22"/>
        <v>#DIV/0!</v>
      </c>
      <c r="AI15" s="103" t="e">
        <f t="shared" si="11"/>
        <v>#DIV/0!</v>
      </c>
      <c r="AJ15" s="82" t="e">
        <f t="shared" si="12"/>
        <v>#DIV/0!</v>
      </c>
      <c r="AK15" s="82" t="e">
        <f t="shared" si="12"/>
        <v>#DIV/0!</v>
      </c>
      <c r="AL15" s="54" t="e">
        <f t="shared" si="23"/>
        <v>#DIV/0!</v>
      </c>
      <c r="AM15" s="103" t="e">
        <f t="shared" si="13"/>
        <v>#DIV/0!</v>
      </c>
      <c r="AN15" s="81"/>
    </row>
    <row r="16" spans="1:40" ht="15.75" customHeight="1" x14ac:dyDescent="0.3">
      <c r="A16" s="49" t="s">
        <v>43</v>
      </c>
      <c r="B16" s="49" t="s">
        <v>46</v>
      </c>
      <c r="C16" s="50">
        <f t="shared" si="14"/>
        <v>42832</v>
      </c>
      <c r="D16" s="51"/>
      <c r="E16" s="51"/>
      <c r="F16" s="51" t="e">
        <f t="shared" si="15"/>
        <v>#DIV/0!</v>
      </c>
      <c r="G16" s="103" t="e">
        <f t="shared" si="0"/>
        <v>#DIV/0!</v>
      </c>
      <c r="H16" s="53"/>
      <c r="I16" s="53"/>
      <c r="J16" s="103" t="e">
        <f t="shared" si="16"/>
        <v>#DIV/0!</v>
      </c>
      <c r="K16" s="103" t="e">
        <f t="shared" si="1"/>
        <v>#DIV/0!</v>
      </c>
      <c r="L16" s="53" t="e">
        <f t="shared" si="2"/>
        <v>#DIV/0!</v>
      </c>
      <c r="M16" s="51" t="e">
        <f t="shared" si="3"/>
        <v>#DIV/0!</v>
      </c>
      <c r="N16" s="103" t="e">
        <f t="shared" si="17"/>
        <v>#DIV/0!</v>
      </c>
      <c r="O16" s="103" t="e">
        <f t="shared" si="4"/>
        <v>#DIV/0!</v>
      </c>
      <c r="P16" s="54"/>
      <c r="Q16" s="54"/>
      <c r="R16" s="103" t="e">
        <f t="shared" si="18"/>
        <v>#DIV/0!</v>
      </c>
      <c r="S16" s="103" t="e">
        <f t="shared" si="5"/>
        <v>#DIV/0!</v>
      </c>
      <c r="T16" s="54"/>
      <c r="U16" s="54"/>
      <c r="V16" s="54" t="e">
        <f t="shared" si="19"/>
        <v>#DIV/0!</v>
      </c>
      <c r="W16" s="103" t="e">
        <f t="shared" si="6"/>
        <v>#DIV/0!</v>
      </c>
      <c r="X16" s="51" t="e">
        <f t="shared" si="7"/>
        <v>#DIV/0!</v>
      </c>
      <c r="Y16" s="54" t="e">
        <f t="shared" si="8"/>
        <v>#DIV/0!</v>
      </c>
      <c r="Z16" s="103" t="e">
        <f t="shared" si="20"/>
        <v>#DIV/0!</v>
      </c>
      <c r="AA16" s="103" t="e">
        <f t="shared" si="9"/>
        <v>#DIV/0!</v>
      </c>
      <c r="AB16" s="54"/>
      <c r="AC16" s="54"/>
      <c r="AD16" s="54" t="e">
        <f t="shared" si="21"/>
        <v>#DIV/0!</v>
      </c>
      <c r="AE16" s="103" t="e">
        <f t="shared" si="10"/>
        <v>#DIV/0!</v>
      </c>
      <c r="AF16" s="54"/>
      <c r="AG16" s="54"/>
      <c r="AH16" s="54" t="e">
        <f t="shared" si="22"/>
        <v>#DIV/0!</v>
      </c>
      <c r="AI16" s="103" t="e">
        <f t="shared" si="11"/>
        <v>#DIV/0!</v>
      </c>
      <c r="AJ16" s="82" t="e">
        <f t="shared" si="12"/>
        <v>#DIV/0!</v>
      </c>
      <c r="AK16" s="82" t="e">
        <f t="shared" si="12"/>
        <v>#DIV/0!</v>
      </c>
      <c r="AL16" s="54" t="e">
        <f t="shared" si="23"/>
        <v>#DIV/0!</v>
      </c>
      <c r="AM16" s="103" t="e">
        <f t="shared" si="13"/>
        <v>#DIV/0!</v>
      </c>
      <c r="AN16" s="81"/>
    </row>
    <row r="17" spans="1:40" s="80" customFormat="1" ht="15.75" customHeight="1" x14ac:dyDescent="0.3">
      <c r="A17" s="69" t="s">
        <v>43</v>
      </c>
      <c r="B17" s="69" t="s">
        <v>47</v>
      </c>
      <c r="C17" s="70">
        <f t="shared" si="14"/>
        <v>42839</v>
      </c>
      <c r="D17" s="72"/>
      <c r="E17" s="72"/>
      <c r="F17" s="72" t="e">
        <f t="shared" si="15"/>
        <v>#DIV/0!</v>
      </c>
      <c r="G17" s="104" t="e">
        <f t="shared" si="0"/>
        <v>#DIV/0!</v>
      </c>
      <c r="H17" s="74"/>
      <c r="I17" s="74"/>
      <c r="J17" s="104" t="e">
        <f t="shared" si="16"/>
        <v>#DIV/0!</v>
      </c>
      <c r="K17" s="104" t="e">
        <f t="shared" si="1"/>
        <v>#DIV/0!</v>
      </c>
      <c r="L17" s="74" t="e">
        <f t="shared" si="2"/>
        <v>#DIV/0!</v>
      </c>
      <c r="M17" s="72" t="e">
        <f t="shared" si="3"/>
        <v>#DIV/0!</v>
      </c>
      <c r="N17" s="104" t="e">
        <f t="shared" si="17"/>
        <v>#DIV/0!</v>
      </c>
      <c r="O17" s="104" t="e">
        <f t="shared" si="4"/>
        <v>#DIV/0!</v>
      </c>
      <c r="P17" s="76"/>
      <c r="Q17" s="76"/>
      <c r="R17" s="104" t="e">
        <f t="shared" si="18"/>
        <v>#DIV/0!</v>
      </c>
      <c r="S17" s="104" t="e">
        <f t="shared" si="5"/>
        <v>#DIV/0!</v>
      </c>
      <c r="T17" s="76"/>
      <c r="U17" s="76"/>
      <c r="V17" s="76" t="e">
        <f t="shared" si="19"/>
        <v>#DIV/0!</v>
      </c>
      <c r="W17" s="104" t="e">
        <f t="shared" si="6"/>
        <v>#DIV/0!</v>
      </c>
      <c r="X17" s="72" t="e">
        <f t="shared" si="7"/>
        <v>#DIV/0!</v>
      </c>
      <c r="Y17" s="76" t="e">
        <f t="shared" si="8"/>
        <v>#DIV/0!</v>
      </c>
      <c r="Z17" s="104" t="e">
        <f t="shared" si="20"/>
        <v>#DIV/0!</v>
      </c>
      <c r="AA17" s="104" t="e">
        <f t="shared" si="9"/>
        <v>#DIV/0!</v>
      </c>
      <c r="AB17" s="76"/>
      <c r="AC17" s="76"/>
      <c r="AD17" s="76" t="e">
        <f t="shared" si="21"/>
        <v>#DIV/0!</v>
      </c>
      <c r="AE17" s="104" t="e">
        <f t="shared" si="10"/>
        <v>#DIV/0!</v>
      </c>
      <c r="AF17" s="76"/>
      <c r="AG17" s="76"/>
      <c r="AH17" s="76" t="e">
        <f t="shared" si="22"/>
        <v>#DIV/0!</v>
      </c>
      <c r="AI17" s="104" t="e">
        <f t="shared" si="11"/>
        <v>#DIV/0!</v>
      </c>
      <c r="AJ17" s="83" t="e">
        <f t="shared" si="12"/>
        <v>#DIV/0!</v>
      </c>
      <c r="AK17" s="83" t="e">
        <f t="shared" si="12"/>
        <v>#DIV/0!</v>
      </c>
      <c r="AL17" s="76" t="e">
        <f t="shared" si="23"/>
        <v>#DIV/0!</v>
      </c>
      <c r="AM17" s="104" t="e">
        <f t="shared" si="13"/>
        <v>#DIV/0!</v>
      </c>
    </row>
    <row r="18" spans="1:40" ht="15.75" customHeight="1" x14ac:dyDescent="0.3">
      <c r="A18" s="49" t="s">
        <v>48</v>
      </c>
      <c r="B18" s="49" t="s">
        <v>49</v>
      </c>
      <c r="C18" s="50">
        <f t="shared" si="14"/>
        <v>42846</v>
      </c>
      <c r="D18" s="51"/>
      <c r="E18" s="51"/>
      <c r="F18" s="51" t="e">
        <f t="shared" si="15"/>
        <v>#DIV/0!</v>
      </c>
      <c r="G18" s="103" t="e">
        <f t="shared" si="0"/>
        <v>#DIV/0!</v>
      </c>
      <c r="H18" s="53"/>
      <c r="I18" s="53"/>
      <c r="J18" s="103" t="e">
        <f t="shared" si="16"/>
        <v>#DIV/0!</v>
      </c>
      <c r="K18" s="103" t="e">
        <f t="shared" si="1"/>
        <v>#DIV/0!</v>
      </c>
      <c r="L18" s="53" t="e">
        <f t="shared" si="2"/>
        <v>#DIV/0!</v>
      </c>
      <c r="M18" s="51" t="e">
        <f t="shared" si="3"/>
        <v>#DIV/0!</v>
      </c>
      <c r="N18" s="103" t="e">
        <f t="shared" si="17"/>
        <v>#DIV/0!</v>
      </c>
      <c r="O18" s="103" t="e">
        <f t="shared" si="4"/>
        <v>#DIV/0!</v>
      </c>
      <c r="P18" s="54"/>
      <c r="Q18" s="54"/>
      <c r="R18" s="103" t="e">
        <f t="shared" si="18"/>
        <v>#DIV/0!</v>
      </c>
      <c r="S18" s="103" t="e">
        <f t="shared" si="5"/>
        <v>#DIV/0!</v>
      </c>
      <c r="T18" s="54"/>
      <c r="U18" s="54"/>
      <c r="V18" s="54" t="e">
        <f t="shared" si="19"/>
        <v>#DIV/0!</v>
      </c>
      <c r="W18" s="103" t="e">
        <f t="shared" si="6"/>
        <v>#DIV/0!</v>
      </c>
      <c r="X18" s="51" t="e">
        <f t="shared" si="7"/>
        <v>#DIV/0!</v>
      </c>
      <c r="Y18" s="54" t="e">
        <f t="shared" si="8"/>
        <v>#DIV/0!</v>
      </c>
      <c r="Z18" s="103" t="e">
        <f t="shared" si="20"/>
        <v>#DIV/0!</v>
      </c>
      <c r="AA18" s="103" t="e">
        <f t="shared" si="9"/>
        <v>#DIV/0!</v>
      </c>
      <c r="AB18" s="54"/>
      <c r="AC18" s="54"/>
      <c r="AD18" s="54" t="e">
        <f t="shared" si="21"/>
        <v>#DIV/0!</v>
      </c>
      <c r="AE18" s="103" t="e">
        <f t="shared" si="10"/>
        <v>#DIV/0!</v>
      </c>
      <c r="AF18" s="54"/>
      <c r="AG18" s="54"/>
      <c r="AH18" s="54" t="e">
        <f t="shared" si="22"/>
        <v>#DIV/0!</v>
      </c>
      <c r="AI18" s="103" t="e">
        <f t="shared" si="11"/>
        <v>#DIV/0!</v>
      </c>
      <c r="AJ18" s="82" t="e">
        <f t="shared" si="12"/>
        <v>#DIV/0!</v>
      </c>
      <c r="AK18" s="82" t="e">
        <f t="shared" si="12"/>
        <v>#DIV/0!</v>
      </c>
      <c r="AL18" s="54" t="e">
        <f t="shared" si="23"/>
        <v>#DIV/0!</v>
      </c>
      <c r="AM18" s="103" t="e">
        <f t="shared" si="13"/>
        <v>#DIV/0!</v>
      </c>
      <c r="AN18" s="81"/>
    </row>
    <row r="19" spans="1:40" ht="15.75" customHeight="1" x14ac:dyDescent="0.3">
      <c r="A19" s="49" t="s">
        <v>48</v>
      </c>
      <c r="B19" s="49" t="s">
        <v>50</v>
      </c>
      <c r="C19" s="50">
        <f t="shared" si="14"/>
        <v>42853</v>
      </c>
      <c r="D19" s="51"/>
      <c r="E19" s="51"/>
      <c r="F19" s="51" t="e">
        <f t="shared" si="15"/>
        <v>#DIV/0!</v>
      </c>
      <c r="G19" s="103" t="e">
        <f t="shared" si="0"/>
        <v>#DIV/0!</v>
      </c>
      <c r="H19" s="53"/>
      <c r="I19" s="53"/>
      <c r="J19" s="103" t="e">
        <f t="shared" si="16"/>
        <v>#DIV/0!</v>
      </c>
      <c r="K19" s="103" t="e">
        <f t="shared" si="1"/>
        <v>#DIV/0!</v>
      </c>
      <c r="L19" s="53" t="e">
        <f t="shared" si="2"/>
        <v>#DIV/0!</v>
      </c>
      <c r="M19" s="51" t="e">
        <f t="shared" si="3"/>
        <v>#DIV/0!</v>
      </c>
      <c r="N19" s="103" t="e">
        <f t="shared" si="17"/>
        <v>#DIV/0!</v>
      </c>
      <c r="O19" s="103" t="e">
        <f t="shared" si="4"/>
        <v>#DIV/0!</v>
      </c>
      <c r="P19" s="54"/>
      <c r="Q19" s="54"/>
      <c r="R19" s="103" t="e">
        <f t="shared" si="18"/>
        <v>#DIV/0!</v>
      </c>
      <c r="S19" s="103" t="e">
        <f t="shared" si="5"/>
        <v>#DIV/0!</v>
      </c>
      <c r="T19" s="54"/>
      <c r="U19" s="54"/>
      <c r="V19" s="54" t="e">
        <f t="shared" si="19"/>
        <v>#DIV/0!</v>
      </c>
      <c r="W19" s="103" t="e">
        <f t="shared" si="6"/>
        <v>#DIV/0!</v>
      </c>
      <c r="X19" s="51" t="e">
        <f t="shared" si="7"/>
        <v>#DIV/0!</v>
      </c>
      <c r="Y19" s="54" t="e">
        <f t="shared" si="8"/>
        <v>#DIV/0!</v>
      </c>
      <c r="Z19" s="103" t="e">
        <f t="shared" si="20"/>
        <v>#DIV/0!</v>
      </c>
      <c r="AA19" s="103" t="e">
        <f t="shared" si="9"/>
        <v>#DIV/0!</v>
      </c>
      <c r="AB19" s="54"/>
      <c r="AC19" s="54"/>
      <c r="AD19" s="54" t="e">
        <f t="shared" si="21"/>
        <v>#DIV/0!</v>
      </c>
      <c r="AE19" s="103" t="e">
        <f t="shared" si="10"/>
        <v>#DIV/0!</v>
      </c>
      <c r="AF19" s="54"/>
      <c r="AG19" s="54"/>
      <c r="AH19" s="54" t="e">
        <f t="shared" si="22"/>
        <v>#DIV/0!</v>
      </c>
      <c r="AI19" s="103" t="e">
        <f t="shared" si="11"/>
        <v>#DIV/0!</v>
      </c>
      <c r="AJ19" s="82" t="e">
        <f t="shared" si="12"/>
        <v>#DIV/0!</v>
      </c>
      <c r="AK19" s="82" t="e">
        <f t="shared" si="12"/>
        <v>#DIV/0!</v>
      </c>
      <c r="AL19" s="54" t="e">
        <f t="shared" si="23"/>
        <v>#DIV/0!</v>
      </c>
      <c r="AM19" s="103" t="e">
        <f t="shared" si="13"/>
        <v>#DIV/0!</v>
      </c>
      <c r="AN19" s="81"/>
    </row>
    <row r="20" spans="1:40" ht="15.75" customHeight="1" x14ac:dyDescent="0.3">
      <c r="A20" s="49" t="s">
        <v>48</v>
      </c>
      <c r="B20" s="49" t="s">
        <v>51</v>
      </c>
      <c r="C20" s="50">
        <f t="shared" si="14"/>
        <v>42860</v>
      </c>
      <c r="D20" s="51"/>
      <c r="E20" s="51"/>
      <c r="F20" s="51" t="e">
        <f t="shared" si="15"/>
        <v>#DIV/0!</v>
      </c>
      <c r="G20" s="103" t="e">
        <f t="shared" si="0"/>
        <v>#DIV/0!</v>
      </c>
      <c r="H20" s="53"/>
      <c r="I20" s="53"/>
      <c r="J20" s="103" t="e">
        <f t="shared" si="16"/>
        <v>#DIV/0!</v>
      </c>
      <c r="K20" s="103" t="e">
        <f t="shared" si="1"/>
        <v>#DIV/0!</v>
      </c>
      <c r="L20" s="53" t="e">
        <f t="shared" si="2"/>
        <v>#DIV/0!</v>
      </c>
      <c r="M20" s="51" t="e">
        <f t="shared" si="3"/>
        <v>#DIV/0!</v>
      </c>
      <c r="N20" s="103" t="e">
        <f t="shared" si="17"/>
        <v>#DIV/0!</v>
      </c>
      <c r="O20" s="103" t="e">
        <f t="shared" si="4"/>
        <v>#DIV/0!</v>
      </c>
      <c r="P20" s="54"/>
      <c r="Q20" s="54"/>
      <c r="R20" s="103" t="e">
        <f t="shared" si="18"/>
        <v>#DIV/0!</v>
      </c>
      <c r="S20" s="103" t="e">
        <f t="shared" si="5"/>
        <v>#DIV/0!</v>
      </c>
      <c r="T20" s="54"/>
      <c r="U20" s="54"/>
      <c r="V20" s="54" t="e">
        <f t="shared" si="19"/>
        <v>#DIV/0!</v>
      </c>
      <c r="W20" s="103" t="e">
        <f t="shared" si="6"/>
        <v>#DIV/0!</v>
      </c>
      <c r="X20" s="51" t="e">
        <f t="shared" si="7"/>
        <v>#DIV/0!</v>
      </c>
      <c r="Y20" s="54" t="e">
        <f t="shared" si="8"/>
        <v>#DIV/0!</v>
      </c>
      <c r="Z20" s="103" t="e">
        <f t="shared" si="20"/>
        <v>#DIV/0!</v>
      </c>
      <c r="AA20" s="103" t="e">
        <f t="shared" si="9"/>
        <v>#DIV/0!</v>
      </c>
      <c r="AB20" s="54"/>
      <c r="AC20" s="54"/>
      <c r="AD20" s="54" t="e">
        <f t="shared" si="21"/>
        <v>#DIV/0!</v>
      </c>
      <c r="AE20" s="103" t="e">
        <f t="shared" si="10"/>
        <v>#DIV/0!</v>
      </c>
      <c r="AF20" s="54"/>
      <c r="AG20" s="54"/>
      <c r="AH20" s="54" t="e">
        <f t="shared" si="22"/>
        <v>#DIV/0!</v>
      </c>
      <c r="AI20" s="103" t="e">
        <f t="shared" si="11"/>
        <v>#DIV/0!</v>
      </c>
      <c r="AJ20" s="82" t="e">
        <f t="shared" si="12"/>
        <v>#DIV/0!</v>
      </c>
      <c r="AK20" s="82" t="e">
        <f t="shared" si="12"/>
        <v>#DIV/0!</v>
      </c>
      <c r="AL20" s="54" t="e">
        <f t="shared" si="23"/>
        <v>#DIV/0!</v>
      </c>
      <c r="AM20" s="103" t="e">
        <f t="shared" si="13"/>
        <v>#DIV/0!</v>
      </c>
      <c r="AN20" s="81"/>
    </row>
    <row r="21" spans="1:40" s="80" customFormat="1" ht="15.75" customHeight="1" x14ac:dyDescent="0.3">
      <c r="A21" s="69" t="s">
        <v>48</v>
      </c>
      <c r="B21" s="69" t="s">
        <v>52</v>
      </c>
      <c r="C21" s="70">
        <f t="shared" si="14"/>
        <v>42867</v>
      </c>
      <c r="D21" s="72"/>
      <c r="E21" s="72"/>
      <c r="F21" s="72" t="e">
        <f t="shared" si="15"/>
        <v>#DIV/0!</v>
      </c>
      <c r="G21" s="104" t="e">
        <f t="shared" si="0"/>
        <v>#DIV/0!</v>
      </c>
      <c r="H21" s="74"/>
      <c r="I21" s="74"/>
      <c r="J21" s="104" t="e">
        <f t="shared" si="16"/>
        <v>#DIV/0!</v>
      </c>
      <c r="K21" s="104" t="e">
        <f t="shared" si="1"/>
        <v>#DIV/0!</v>
      </c>
      <c r="L21" s="74" t="e">
        <f t="shared" si="2"/>
        <v>#DIV/0!</v>
      </c>
      <c r="M21" s="72" t="e">
        <f t="shared" si="3"/>
        <v>#DIV/0!</v>
      </c>
      <c r="N21" s="104" t="e">
        <f t="shared" si="17"/>
        <v>#DIV/0!</v>
      </c>
      <c r="O21" s="104" t="e">
        <f t="shared" si="4"/>
        <v>#DIV/0!</v>
      </c>
      <c r="P21" s="76"/>
      <c r="Q21" s="76"/>
      <c r="R21" s="104" t="e">
        <f t="shared" si="18"/>
        <v>#DIV/0!</v>
      </c>
      <c r="S21" s="104" t="e">
        <f t="shared" si="5"/>
        <v>#DIV/0!</v>
      </c>
      <c r="T21" s="76"/>
      <c r="U21" s="76"/>
      <c r="V21" s="76" t="e">
        <f t="shared" si="19"/>
        <v>#DIV/0!</v>
      </c>
      <c r="W21" s="104" t="e">
        <f t="shared" si="6"/>
        <v>#DIV/0!</v>
      </c>
      <c r="X21" s="72" t="e">
        <f t="shared" si="7"/>
        <v>#DIV/0!</v>
      </c>
      <c r="Y21" s="76" t="e">
        <f t="shared" si="8"/>
        <v>#DIV/0!</v>
      </c>
      <c r="Z21" s="104" t="e">
        <f t="shared" si="20"/>
        <v>#DIV/0!</v>
      </c>
      <c r="AA21" s="104" t="e">
        <f t="shared" si="9"/>
        <v>#DIV/0!</v>
      </c>
      <c r="AB21" s="76"/>
      <c r="AC21" s="76"/>
      <c r="AD21" s="76" t="e">
        <f t="shared" si="21"/>
        <v>#DIV/0!</v>
      </c>
      <c r="AE21" s="104" t="e">
        <f t="shared" si="10"/>
        <v>#DIV/0!</v>
      </c>
      <c r="AF21" s="76"/>
      <c r="AG21" s="76"/>
      <c r="AH21" s="76" t="e">
        <f t="shared" si="22"/>
        <v>#DIV/0!</v>
      </c>
      <c r="AI21" s="104" t="e">
        <f t="shared" si="11"/>
        <v>#DIV/0!</v>
      </c>
      <c r="AJ21" s="83" t="e">
        <f t="shared" si="12"/>
        <v>#DIV/0!</v>
      </c>
      <c r="AK21" s="83" t="e">
        <f t="shared" si="12"/>
        <v>#DIV/0!</v>
      </c>
      <c r="AL21" s="76" t="e">
        <f t="shared" si="23"/>
        <v>#DIV/0!</v>
      </c>
      <c r="AM21" s="104" t="e">
        <f t="shared" si="13"/>
        <v>#DIV/0!</v>
      </c>
    </row>
    <row r="22" spans="1:40" ht="15.75" customHeight="1" x14ac:dyDescent="0.3">
      <c r="A22" s="49" t="s">
        <v>53</v>
      </c>
      <c r="B22" s="49" t="s">
        <v>54</v>
      </c>
      <c r="C22" s="50">
        <f t="shared" si="14"/>
        <v>42874</v>
      </c>
      <c r="D22" s="51"/>
      <c r="E22" s="51"/>
      <c r="F22" s="51" t="e">
        <f t="shared" si="15"/>
        <v>#DIV/0!</v>
      </c>
      <c r="G22" s="103" t="e">
        <f t="shared" si="0"/>
        <v>#DIV/0!</v>
      </c>
      <c r="H22" s="53"/>
      <c r="I22" s="53"/>
      <c r="J22" s="103" t="e">
        <f t="shared" si="16"/>
        <v>#DIV/0!</v>
      </c>
      <c r="K22" s="103" t="e">
        <f t="shared" si="1"/>
        <v>#DIV/0!</v>
      </c>
      <c r="L22" s="53" t="e">
        <f t="shared" si="2"/>
        <v>#DIV/0!</v>
      </c>
      <c r="M22" s="51" t="e">
        <f t="shared" si="3"/>
        <v>#DIV/0!</v>
      </c>
      <c r="N22" s="103" t="e">
        <f t="shared" si="17"/>
        <v>#DIV/0!</v>
      </c>
      <c r="O22" s="103" t="e">
        <f t="shared" si="4"/>
        <v>#DIV/0!</v>
      </c>
      <c r="P22" s="54"/>
      <c r="Q22" s="54"/>
      <c r="R22" s="103" t="e">
        <f t="shared" si="18"/>
        <v>#DIV/0!</v>
      </c>
      <c r="S22" s="103" t="e">
        <f t="shared" si="5"/>
        <v>#DIV/0!</v>
      </c>
      <c r="T22" s="54"/>
      <c r="U22" s="54"/>
      <c r="V22" s="54" t="e">
        <f t="shared" si="19"/>
        <v>#DIV/0!</v>
      </c>
      <c r="W22" s="103" t="e">
        <f t="shared" si="6"/>
        <v>#DIV/0!</v>
      </c>
      <c r="X22" s="51" t="e">
        <f t="shared" si="7"/>
        <v>#DIV/0!</v>
      </c>
      <c r="Y22" s="54" t="e">
        <f t="shared" si="8"/>
        <v>#DIV/0!</v>
      </c>
      <c r="Z22" s="103" t="e">
        <f t="shared" si="20"/>
        <v>#DIV/0!</v>
      </c>
      <c r="AA22" s="103" t="e">
        <f t="shared" si="9"/>
        <v>#DIV/0!</v>
      </c>
      <c r="AB22" s="54"/>
      <c r="AC22" s="54"/>
      <c r="AD22" s="54" t="e">
        <f t="shared" si="21"/>
        <v>#DIV/0!</v>
      </c>
      <c r="AE22" s="103" t="e">
        <f t="shared" si="10"/>
        <v>#DIV/0!</v>
      </c>
      <c r="AF22" s="54"/>
      <c r="AG22" s="54"/>
      <c r="AH22" s="54" t="e">
        <f t="shared" si="22"/>
        <v>#DIV/0!</v>
      </c>
      <c r="AI22" s="103" t="e">
        <f t="shared" si="11"/>
        <v>#DIV/0!</v>
      </c>
      <c r="AJ22" s="82" t="e">
        <f t="shared" si="12"/>
        <v>#DIV/0!</v>
      </c>
      <c r="AK22" s="82" t="e">
        <f t="shared" si="12"/>
        <v>#DIV/0!</v>
      </c>
      <c r="AL22" s="54" t="e">
        <f t="shared" si="23"/>
        <v>#DIV/0!</v>
      </c>
      <c r="AM22" s="103" t="e">
        <f t="shared" si="13"/>
        <v>#DIV/0!</v>
      </c>
      <c r="AN22" s="81"/>
    </row>
    <row r="23" spans="1:40" ht="15.75" customHeight="1" x14ac:dyDescent="0.3">
      <c r="A23" s="49" t="s">
        <v>53</v>
      </c>
      <c r="B23" s="49" t="s">
        <v>55</v>
      </c>
      <c r="C23" s="50">
        <f t="shared" si="14"/>
        <v>42881</v>
      </c>
      <c r="D23" s="51"/>
      <c r="E23" s="51"/>
      <c r="F23" s="51" t="e">
        <f t="shared" si="15"/>
        <v>#DIV/0!</v>
      </c>
      <c r="G23" s="103" t="e">
        <f t="shared" si="0"/>
        <v>#DIV/0!</v>
      </c>
      <c r="H23" s="53"/>
      <c r="I23" s="53"/>
      <c r="J23" s="103" t="e">
        <f t="shared" si="16"/>
        <v>#DIV/0!</v>
      </c>
      <c r="K23" s="103" t="e">
        <f t="shared" si="1"/>
        <v>#DIV/0!</v>
      </c>
      <c r="L23" s="53" t="e">
        <f t="shared" si="2"/>
        <v>#DIV/0!</v>
      </c>
      <c r="M23" s="51" t="e">
        <f t="shared" si="3"/>
        <v>#DIV/0!</v>
      </c>
      <c r="N23" s="103" t="e">
        <f t="shared" si="17"/>
        <v>#DIV/0!</v>
      </c>
      <c r="O23" s="103" t="e">
        <f t="shared" si="4"/>
        <v>#DIV/0!</v>
      </c>
      <c r="P23" s="54"/>
      <c r="Q23" s="54"/>
      <c r="R23" s="103" t="e">
        <f t="shared" si="18"/>
        <v>#DIV/0!</v>
      </c>
      <c r="S23" s="103" t="e">
        <f t="shared" si="5"/>
        <v>#DIV/0!</v>
      </c>
      <c r="T23" s="54"/>
      <c r="U23" s="54"/>
      <c r="V23" s="54" t="e">
        <f t="shared" si="19"/>
        <v>#DIV/0!</v>
      </c>
      <c r="W23" s="103" t="e">
        <f t="shared" si="6"/>
        <v>#DIV/0!</v>
      </c>
      <c r="X23" s="51" t="e">
        <f t="shared" si="7"/>
        <v>#DIV/0!</v>
      </c>
      <c r="Y23" s="54" t="e">
        <f t="shared" si="8"/>
        <v>#DIV/0!</v>
      </c>
      <c r="Z23" s="103" t="e">
        <f t="shared" si="20"/>
        <v>#DIV/0!</v>
      </c>
      <c r="AA23" s="103" t="e">
        <f t="shared" si="9"/>
        <v>#DIV/0!</v>
      </c>
      <c r="AB23" s="54"/>
      <c r="AC23" s="54"/>
      <c r="AD23" s="54" t="e">
        <f t="shared" si="21"/>
        <v>#DIV/0!</v>
      </c>
      <c r="AE23" s="103" t="e">
        <f t="shared" si="10"/>
        <v>#DIV/0!</v>
      </c>
      <c r="AF23" s="54"/>
      <c r="AG23" s="54"/>
      <c r="AH23" s="54" t="e">
        <f t="shared" si="22"/>
        <v>#DIV/0!</v>
      </c>
      <c r="AI23" s="103" t="e">
        <f t="shared" si="11"/>
        <v>#DIV/0!</v>
      </c>
      <c r="AJ23" s="82" t="e">
        <f t="shared" si="12"/>
        <v>#DIV/0!</v>
      </c>
      <c r="AK23" s="82" t="e">
        <f t="shared" si="12"/>
        <v>#DIV/0!</v>
      </c>
      <c r="AL23" s="54" t="e">
        <f t="shared" si="23"/>
        <v>#DIV/0!</v>
      </c>
      <c r="AM23" s="103" t="e">
        <f t="shared" si="13"/>
        <v>#DIV/0!</v>
      </c>
      <c r="AN23" s="81"/>
    </row>
    <row r="24" spans="1:40" ht="15.75" customHeight="1" x14ac:dyDescent="0.3">
      <c r="A24" s="49" t="s">
        <v>53</v>
      </c>
      <c r="B24" s="49" t="s">
        <v>56</v>
      </c>
      <c r="C24" s="50">
        <f t="shared" si="14"/>
        <v>42888</v>
      </c>
      <c r="D24" s="51"/>
      <c r="E24" s="51"/>
      <c r="F24" s="51" t="e">
        <f t="shared" si="15"/>
        <v>#DIV/0!</v>
      </c>
      <c r="G24" s="103" t="e">
        <f t="shared" si="0"/>
        <v>#DIV/0!</v>
      </c>
      <c r="H24" s="53"/>
      <c r="I24" s="53"/>
      <c r="J24" s="103" t="e">
        <f t="shared" si="16"/>
        <v>#DIV/0!</v>
      </c>
      <c r="K24" s="103" t="e">
        <f t="shared" si="1"/>
        <v>#DIV/0!</v>
      </c>
      <c r="L24" s="53" t="e">
        <f t="shared" si="2"/>
        <v>#DIV/0!</v>
      </c>
      <c r="M24" s="51" t="e">
        <f t="shared" si="3"/>
        <v>#DIV/0!</v>
      </c>
      <c r="N24" s="103" t="e">
        <f t="shared" si="17"/>
        <v>#DIV/0!</v>
      </c>
      <c r="O24" s="103" t="e">
        <f t="shared" si="4"/>
        <v>#DIV/0!</v>
      </c>
      <c r="P24" s="54"/>
      <c r="Q24" s="54"/>
      <c r="R24" s="103" t="e">
        <f t="shared" si="18"/>
        <v>#DIV/0!</v>
      </c>
      <c r="S24" s="103" t="e">
        <f t="shared" si="5"/>
        <v>#DIV/0!</v>
      </c>
      <c r="T24" s="54"/>
      <c r="U24" s="54"/>
      <c r="V24" s="54" t="e">
        <f t="shared" si="19"/>
        <v>#DIV/0!</v>
      </c>
      <c r="W24" s="103" t="e">
        <f t="shared" si="6"/>
        <v>#DIV/0!</v>
      </c>
      <c r="X24" s="51" t="e">
        <f t="shared" si="7"/>
        <v>#DIV/0!</v>
      </c>
      <c r="Y24" s="54" t="e">
        <f t="shared" si="8"/>
        <v>#DIV/0!</v>
      </c>
      <c r="Z24" s="103" t="e">
        <f t="shared" si="20"/>
        <v>#DIV/0!</v>
      </c>
      <c r="AA24" s="103" t="e">
        <f t="shared" si="9"/>
        <v>#DIV/0!</v>
      </c>
      <c r="AB24" s="54"/>
      <c r="AC24" s="54"/>
      <c r="AD24" s="54" t="e">
        <f t="shared" si="21"/>
        <v>#DIV/0!</v>
      </c>
      <c r="AE24" s="103" t="e">
        <f t="shared" si="10"/>
        <v>#DIV/0!</v>
      </c>
      <c r="AF24" s="54"/>
      <c r="AG24" s="54"/>
      <c r="AH24" s="54" t="e">
        <f t="shared" si="22"/>
        <v>#DIV/0!</v>
      </c>
      <c r="AI24" s="103" t="e">
        <f t="shared" si="11"/>
        <v>#DIV/0!</v>
      </c>
      <c r="AJ24" s="82" t="e">
        <f>AB24/AF24</f>
        <v>#DIV/0!</v>
      </c>
      <c r="AK24" s="82" t="e">
        <f t="shared" si="12"/>
        <v>#DIV/0!</v>
      </c>
      <c r="AL24" s="54" t="e">
        <f t="shared" si="23"/>
        <v>#DIV/0!</v>
      </c>
      <c r="AM24" s="103" t="e">
        <f t="shared" si="13"/>
        <v>#DIV/0!</v>
      </c>
      <c r="AN24" s="81"/>
    </row>
    <row r="25" spans="1:40" s="80" customFormat="1" ht="15.75" customHeight="1" x14ac:dyDescent="0.3">
      <c r="A25" s="69" t="s">
        <v>53</v>
      </c>
      <c r="B25" s="69" t="s">
        <v>57</v>
      </c>
      <c r="C25" s="70">
        <f t="shared" si="14"/>
        <v>42895</v>
      </c>
      <c r="D25" s="72"/>
      <c r="E25" s="72"/>
      <c r="F25" s="72" t="e">
        <f t="shared" si="15"/>
        <v>#DIV/0!</v>
      </c>
      <c r="G25" s="104" t="e">
        <f t="shared" si="0"/>
        <v>#DIV/0!</v>
      </c>
      <c r="H25" s="74"/>
      <c r="I25" s="74"/>
      <c r="J25" s="104" t="e">
        <f t="shared" si="16"/>
        <v>#DIV/0!</v>
      </c>
      <c r="K25" s="104" t="e">
        <f t="shared" si="1"/>
        <v>#DIV/0!</v>
      </c>
      <c r="L25" s="74" t="e">
        <f t="shared" si="2"/>
        <v>#DIV/0!</v>
      </c>
      <c r="M25" s="72" t="e">
        <f t="shared" si="3"/>
        <v>#DIV/0!</v>
      </c>
      <c r="N25" s="104" t="e">
        <f t="shared" si="17"/>
        <v>#DIV/0!</v>
      </c>
      <c r="O25" s="104" t="e">
        <f t="shared" si="4"/>
        <v>#DIV/0!</v>
      </c>
      <c r="P25" s="76"/>
      <c r="Q25" s="76"/>
      <c r="R25" s="104" t="e">
        <f t="shared" si="18"/>
        <v>#DIV/0!</v>
      </c>
      <c r="S25" s="104" t="e">
        <f t="shared" si="5"/>
        <v>#DIV/0!</v>
      </c>
      <c r="T25" s="76"/>
      <c r="U25" s="76"/>
      <c r="V25" s="76" t="e">
        <f t="shared" si="19"/>
        <v>#DIV/0!</v>
      </c>
      <c r="W25" s="104" t="e">
        <f t="shared" si="6"/>
        <v>#DIV/0!</v>
      </c>
      <c r="X25" s="72" t="e">
        <f t="shared" si="7"/>
        <v>#DIV/0!</v>
      </c>
      <c r="Y25" s="76" t="e">
        <f t="shared" si="8"/>
        <v>#DIV/0!</v>
      </c>
      <c r="Z25" s="104" t="e">
        <f t="shared" si="20"/>
        <v>#DIV/0!</v>
      </c>
      <c r="AA25" s="104" t="e">
        <f t="shared" si="9"/>
        <v>#DIV/0!</v>
      </c>
      <c r="AB25" s="76"/>
      <c r="AC25" s="76"/>
      <c r="AD25" s="76" t="e">
        <f t="shared" si="21"/>
        <v>#DIV/0!</v>
      </c>
      <c r="AE25" s="104" t="e">
        <f t="shared" si="10"/>
        <v>#DIV/0!</v>
      </c>
      <c r="AF25" s="76"/>
      <c r="AG25" s="76"/>
      <c r="AH25" s="76" t="e">
        <f t="shared" si="22"/>
        <v>#DIV/0!</v>
      </c>
      <c r="AI25" s="104" t="e">
        <f t="shared" si="11"/>
        <v>#DIV/0!</v>
      </c>
      <c r="AJ25" s="83" t="e">
        <f t="shared" si="12"/>
        <v>#DIV/0!</v>
      </c>
      <c r="AK25" s="83" t="e">
        <f t="shared" si="12"/>
        <v>#DIV/0!</v>
      </c>
      <c r="AL25" s="76" t="e">
        <f t="shared" si="23"/>
        <v>#DIV/0!</v>
      </c>
      <c r="AM25" s="104" t="e">
        <f t="shared" si="13"/>
        <v>#DIV/0!</v>
      </c>
    </row>
    <row r="26" spans="1:40" ht="15.75" customHeight="1" x14ac:dyDescent="0.3">
      <c r="A26" s="49" t="s">
        <v>58</v>
      </c>
      <c r="B26" s="49" t="s">
        <v>59</v>
      </c>
      <c r="C26" s="50">
        <f t="shared" si="14"/>
        <v>42902</v>
      </c>
      <c r="D26" s="51"/>
      <c r="E26" s="51"/>
      <c r="F26" s="51" t="e">
        <f t="shared" si="15"/>
        <v>#DIV/0!</v>
      </c>
      <c r="G26" s="103" t="e">
        <f t="shared" si="0"/>
        <v>#DIV/0!</v>
      </c>
      <c r="H26" s="53"/>
      <c r="I26" s="53"/>
      <c r="J26" s="103" t="e">
        <f t="shared" si="16"/>
        <v>#DIV/0!</v>
      </c>
      <c r="K26" s="103" t="e">
        <f t="shared" si="1"/>
        <v>#DIV/0!</v>
      </c>
      <c r="L26" s="53" t="e">
        <f t="shared" si="2"/>
        <v>#DIV/0!</v>
      </c>
      <c r="M26" s="51" t="e">
        <f t="shared" si="3"/>
        <v>#DIV/0!</v>
      </c>
      <c r="N26" s="103" t="e">
        <f t="shared" si="17"/>
        <v>#DIV/0!</v>
      </c>
      <c r="O26" s="103" t="e">
        <f t="shared" si="4"/>
        <v>#DIV/0!</v>
      </c>
      <c r="P26" s="54"/>
      <c r="Q26" s="54"/>
      <c r="R26" s="103" t="e">
        <f t="shared" si="18"/>
        <v>#DIV/0!</v>
      </c>
      <c r="S26" s="103" t="e">
        <f t="shared" si="5"/>
        <v>#DIV/0!</v>
      </c>
      <c r="T26" s="54"/>
      <c r="U26" s="54"/>
      <c r="V26" s="54" t="e">
        <f t="shared" si="19"/>
        <v>#DIV/0!</v>
      </c>
      <c r="W26" s="103" t="e">
        <f t="shared" si="6"/>
        <v>#DIV/0!</v>
      </c>
      <c r="X26" s="51" t="e">
        <f t="shared" si="7"/>
        <v>#DIV/0!</v>
      </c>
      <c r="Y26" s="54" t="e">
        <f t="shared" si="8"/>
        <v>#DIV/0!</v>
      </c>
      <c r="Z26" s="103" t="e">
        <f t="shared" si="20"/>
        <v>#DIV/0!</v>
      </c>
      <c r="AA26" s="103" t="e">
        <f t="shared" si="9"/>
        <v>#DIV/0!</v>
      </c>
      <c r="AB26" s="54"/>
      <c r="AC26" s="54"/>
      <c r="AD26" s="54" t="e">
        <f t="shared" si="21"/>
        <v>#DIV/0!</v>
      </c>
      <c r="AE26" s="103" t="e">
        <f t="shared" si="10"/>
        <v>#DIV/0!</v>
      </c>
      <c r="AF26" s="54"/>
      <c r="AG26" s="54"/>
      <c r="AH26" s="54" t="e">
        <f t="shared" si="22"/>
        <v>#DIV/0!</v>
      </c>
      <c r="AI26" s="104" t="e">
        <f t="shared" si="11"/>
        <v>#DIV/0!</v>
      </c>
      <c r="AJ26" s="82" t="e">
        <f t="shared" si="12"/>
        <v>#DIV/0!</v>
      </c>
      <c r="AK26" s="82" t="e">
        <f t="shared" si="12"/>
        <v>#DIV/0!</v>
      </c>
      <c r="AL26" s="54" t="e">
        <f t="shared" si="23"/>
        <v>#DIV/0!</v>
      </c>
      <c r="AM26" s="103" t="e">
        <f t="shared" si="13"/>
        <v>#DIV/0!</v>
      </c>
      <c r="AN26" s="81"/>
    </row>
    <row r="27" spans="1:40" ht="15.75" customHeight="1" x14ac:dyDescent="0.3">
      <c r="A27" s="49" t="s">
        <v>58</v>
      </c>
      <c r="B27" s="49" t="s">
        <v>60</v>
      </c>
      <c r="C27" s="50">
        <f t="shared" si="14"/>
        <v>42909</v>
      </c>
      <c r="D27" s="51"/>
      <c r="E27" s="51"/>
      <c r="F27" s="51" t="e">
        <f t="shared" si="15"/>
        <v>#DIV/0!</v>
      </c>
      <c r="G27" s="103" t="e">
        <f t="shared" si="0"/>
        <v>#DIV/0!</v>
      </c>
      <c r="H27" s="53"/>
      <c r="I27" s="53"/>
      <c r="J27" s="103" t="e">
        <f t="shared" si="16"/>
        <v>#DIV/0!</v>
      </c>
      <c r="K27" s="103" t="e">
        <f t="shared" si="1"/>
        <v>#DIV/0!</v>
      </c>
      <c r="L27" s="53" t="e">
        <f t="shared" si="2"/>
        <v>#DIV/0!</v>
      </c>
      <c r="M27" s="51" t="e">
        <f t="shared" si="3"/>
        <v>#DIV/0!</v>
      </c>
      <c r="N27" s="103" t="e">
        <f t="shared" si="17"/>
        <v>#DIV/0!</v>
      </c>
      <c r="O27" s="103" t="e">
        <f t="shared" si="4"/>
        <v>#DIV/0!</v>
      </c>
      <c r="P27" s="54"/>
      <c r="Q27" s="54"/>
      <c r="R27" s="103" t="e">
        <f t="shared" si="18"/>
        <v>#DIV/0!</v>
      </c>
      <c r="S27" s="103" t="e">
        <f t="shared" si="5"/>
        <v>#DIV/0!</v>
      </c>
      <c r="T27" s="54"/>
      <c r="U27" s="54"/>
      <c r="V27" s="54" t="e">
        <f t="shared" si="19"/>
        <v>#DIV/0!</v>
      </c>
      <c r="W27" s="103" t="e">
        <f t="shared" si="6"/>
        <v>#DIV/0!</v>
      </c>
      <c r="X27" s="51" t="e">
        <f t="shared" si="7"/>
        <v>#DIV/0!</v>
      </c>
      <c r="Y27" s="54" t="e">
        <f t="shared" si="8"/>
        <v>#DIV/0!</v>
      </c>
      <c r="Z27" s="103" t="e">
        <f t="shared" si="20"/>
        <v>#DIV/0!</v>
      </c>
      <c r="AA27" s="103" t="e">
        <f t="shared" si="9"/>
        <v>#DIV/0!</v>
      </c>
      <c r="AB27" s="54"/>
      <c r="AC27" s="54"/>
      <c r="AD27" s="54" t="e">
        <f t="shared" si="21"/>
        <v>#DIV/0!</v>
      </c>
      <c r="AE27" s="103" t="e">
        <f t="shared" si="10"/>
        <v>#DIV/0!</v>
      </c>
      <c r="AF27" s="54"/>
      <c r="AG27" s="54"/>
      <c r="AH27" s="54" t="e">
        <f t="shared" si="22"/>
        <v>#DIV/0!</v>
      </c>
      <c r="AI27" s="103" t="e">
        <f t="shared" si="11"/>
        <v>#DIV/0!</v>
      </c>
      <c r="AJ27" s="82" t="e">
        <f t="shared" si="12"/>
        <v>#DIV/0!</v>
      </c>
      <c r="AK27" s="82" t="e">
        <f t="shared" si="12"/>
        <v>#DIV/0!</v>
      </c>
      <c r="AL27" s="54" t="e">
        <f t="shared" si="23"/>
        <v>#DIV/0!</v>
      </c>
      <c r="AM27" s="103" t="e">
        <f t="shared" si="13"/>
        <v>#DIV/0!</v>
      </c>
      <c r="AN27" s="81"/>
    </row>
    <row r="28" spans="1:40" ht="15.75" customHeight="1" x14ac:dyDescent="0.3">
      <c r="A28" s="49" t="s">
        <v>58</v>
      </c>
      <c r="B28" s="49" t="s">
        <v>61</v>
      </c>
      <c r="C28" s="50">
        <f t="shared" si="14"/>
        <v>42916</v>
      </c>
      <c r="D28" s="51"/>
      <c r="E28" s="51"/>
      <c r="F28" s="51" t="e">
        <f t="shared" si="15"/>
        <v>#DIV/0!</v>
      </c>
      <c r="G28" s="103" t="e">
        <f t="shared" si="0"/>
        <v>#DIV/0!</v>
      </c>
      <c r="H28" s="53"/>
      <c r="I28" s="53"/>
      <c r="J28" s="103" t="e">
        <f t="shared" si="16"/>
        <v>#DIV/0!</v>
      </c>
      <c r="K28" s="103" t="e">
        <f t="shared" si="1"/>
        <v>#DIV/0!</v>
      </c>
      <c r="L28" s="53" t="e">
        <f t="shared" si="2"/>
        <v>#DIV/0!</v>
      </c>
      <c r="M28" s="51" t="e">
        <f t="shared" si="3"/>
        <v>#DIV/0!</v>
      </c>
      <c r="N28" s="103" t="e">
        <f t="shared" si="17"/>
        <v>#DIV/0!</v>
      </c>
      <c r="O28" s="103" t="e">
        <f t="shared" si="4"/>
        <v>#DIV/0!</v>
      </c>
      <c r="P28" s="54"/>
      <c r="Q28" s="54"/>
      <c r="R28" s="103" t="e">
        <f t="shared" si="18"/>
        <v>#DIV/0!</v>
      </c>
      <c r="S28" s="103" t="e">
        <f t="shared" si="5"/>
        <v>#DIV/0!</v>
      </c>
      <c r="T28" s="54"/>
      <c r="U28" s="54"/>
      <c r="V28" s="54" t="e">
        <f t="shared" si="19"/>
        <v>#DIV/0!</v>
      </c>
      <c r="W28" s="103" t="e">
        <f t="shared" si="6"/>
        <v>#DIV/0!</v>
      </c>
      <c r="X28" s="51" t="e">
        <f t="shared" si="7"/>
        <v>#DIV/0!</v>
      </c>
      <c r="Y28" s="54" t="e">
        <f t="shared" si="8"/>
        <v>#DIV/0!</v>
      </c>
      <c r="Z28" s="103" t="e">
        <f t="shared" si="20"/>
        <v>#DIV/0!</v>
      </c>
      <c r="AA28" s="103" t="e">
        <f t="shared" si="9"/>
        <v>#DIV/0!</v>
      </c>
      <c r="AB28" s="54"/>
      <c r="AC28" s="54"/>
      <c r="AD28" s="54" t="e">
        <f t="shared" si="21"/>
        <v>#DIV/0!</v>
      </c>
      <c r="AE28" s="103" t="e">
        <f t="shared" si="10"/>
        <v>#DIV/0!</v>
      </c>
      <c r="AF28" s="54"/>
      <c r="AG28" s="54"/>
      <c r="AH28" s="54" t="e">
        <f t="shared" si="22"/>
        <v>#DIV/0!</v>
      </c>
      <c r="AI28" s="103" t="e">
        <f t="shared" si="11"/>
        <v>#DIV/0!</v>
      </c>
      <c r="AJ28" s="82" t="e">
        <f t="shared" si="12"/>
        <v>#DIV/0!</v>
      </c>
      <c r="AK28" s="82" t="e">
        <f t="shared" si="12"/>
        <v>#DIV/0!</v>
      </c>
      <c r="AL28" s="54" t="e">
        <f t="shared" si="23"/>
        <v>#DIV/0!</v>
      </c>
      <c r="AM28" s="103" t="e">
        <f t="shared" si="13"/>
        <v>#DIV/0!</v>
      </c>
      <c r="AN28" s="81"/>
    </row>
    <row r="29" spans="1:40" s="80" customFormat="1" ht="15.75" customHeight="1" x14ac:dyDescent="0.3">
      <c r="A29" s="69" t="s">
        <v>58</v>
      </c>
      <c r="B29" s="69" t="s">
        <v>62</v>
      </c>
      <c r="C29" s="70">
        <f t="shared" si="14"/>
        <v>42923</v>
      </c>
      <c r="D29" s="72"/>
      <c r="E29" s="72"/>
      <c r="F29" s="72" t="e">
        <f t="shared" si="15"/>
        <v>#DIV/0!</v>
      </c>
      <c r="G29" s="104" t="e">
        <f t="shared" si="0"/>
        <v>#DIV/0!</v>
      </c>
      <c r="H29" s="74"/>
      <c r="I29" s="74"/>
      <c r="J29" s="104" t="e">
        <f t="shared" si="16"/>
        <v>#DIV/0!</v>
      </c>
      <c r="K29" s="104" t="e">
        <f t="shared" si="1"/>
        <v>#DIV/0!</v>
      </c>
      <c r="L29" s="74" t="e">
        <f t="shared" si="2"/>
        <v>#DIV/0!</v>
      </c>
      <c r="M29" s="72" t="e">
        <f t="shared" si="3"/>
        <v>#DIV/0!</v>
      </c>
      <c r="N29" s="104" t="e">
        <f t="shared" si="17"/>
        <v>#DIV/0!</v>
      </c>
      <c r="O29" s="104" t="e">
        <f t="shared" si="4"/>
        <v>#DIV/0!</v>
      </c>
      <c r="P29" s="76"/>
      <c r="Q29" s="76"/>
      <c r="R29" s="104" t="e">
        <f t="shared" si="18"/>
        <v>#DIV/0!</v>
      </c>
      <c r="S29" s="104" t="e">
        <f t="shared" si="5"/>
        <v>#DIV/0!</v>
      </c>
      <c r="T29" s="76"/>
      <c r="U29" s="76"/>
      <c r="V29" s="76" t="e">
        <f t="shared" si="19"/>
        <v>#DIV/0!</v>
      </c>
      <c r="W29" s="104" t="e">
        <f t="shared" si="6"/>
        <v>#DIV/0!</v>
      </c>
      <c r="X29" s="72" t="e">
        <f t="shared" si="7"/>
        <v>#DIV/0!</v>
      </c>
      <c r="Y29" s="76" t="e">
        <f t="shared" si="8"/>
        <v>#DIV/0!</v>
      </c>
      <c r="Z29" s="104" t="e">
        <f t="shared" si="20"/>
        <v>#DIV/0!</v>
      </c>
      <c r="AA29" s="104" t="e">
        <f t="shared" si="9"/>
        <v>#DIV/0!</v>
      </c>
      <c r="AB29" s="76"/>
      <c r="AC29" s="76"/>
      <c r="AD29" s="76" t="e">
        <f t="shared" si="21"/>
        <v>#DIV/0!</v>
      </c>
      <c r="AE29" s="104" t="e">
        <f t="shared" si="10"/>
        <v>#DIV/0!</v>
      </c>
      <c r="AF29" s="76"/>
      <c r="AG29" s="76"/>
      <c r="AH29" s="76" t="e">
        <f t="shared" si="22"/>
        <v>#DIV/0!</v>
      </c>
      <c r="AI29" s="104" t="e">
        <f t="shared" si="11"/>
        <v>#DIV/0!</v>
      </c>
      <c r="AJ29" s="83" t="e">
        <f t="shared" si="12"/>
        <v>#DIV/0!</v>
      </c>
      <c r="AK29" s="83" t="e">
        <f t="shared" si="12"/>
        <v>#DIV/0!</v>
      </c>
      <c r="AL29" s="76" t="e">
        <f t="shared" si="23"/>
        <v>#DIV/0!</v>
      </c>
      <c r="AM29" s="104" t="e">
        <f t="shared" si="13"/>
        <v>#DIV/0!</v>
      </c>
    </row>
    <row r="30" spans="1:40" ht="15.75" customHeight="1" x14ac:dyDescent="0.3">
      <c r="A30" s="49" t="s">
        <v>63</v>
      </c>
      <c r="B30" s="49" t="s">
        <v>64</v>
      </c>
      <c r="C30" s="50">
        <f t="shared" si="14"/>
        <v>42930</v>
      </c>
      <c r="D30" s="51"/>
      <c r="E30" s="51"/>
      <c r="F30" s="51" t="e">
        <f t="shared" si="15"/>
        <v>#DIV/0!</v>
      </c>
      <c r="G30" s="103" t="e">
        <f t="shared" si="0"/>
        <v>#DIV/0!</v>
      </c>
      <c r="H30" s="53"/>
      <c r="I30" s="53"/>
      <c r="J30" s="103" t="e">
        <f t="shared" si="16"/>
        <v>#DIV/0!</v>
      </c>
      <c r="K30" s="103" t="e">
        <f t="shared" si="1"/>
        <v>#DIV/0!</v>
      </c>
      <c r="L30" s="53" t="e">
        <f t="shared" si="2"/>
        <v>#DIV/0!</v>
      </c>
      <c r="M30" s="51" t="e">
        <f t="shared" si="3"/>
        <v>#DIV/0!</v>
      </c>
      <c r="N30" s="103" t="e">
        <f t="shared" si="17"/>
        <v>#DIV/0!</v>
      </c>
      <c r="O30" s="103" t="e">
        <f t="shared" si="4"/>
        <v>#DIV/0!</v>
      </c>
      <c r="P30" s="54"/>
      <c r="Q30" s="54"/>
      <c r="R30" s="103" t="e">
        <f t="shared" si="18"/>
        <v>#DIV/0!</v>
      </c>
      <c r="S30" s="103" t="e">
        <f t="shared" si="5"/>
        <v>#DIV/0!</v>
      </c>
      <c r="T30" s="54"/>
      <c r="U30" s="54"/>
      <c r="V30" s="54" t="e">
        <f t="shared" si="19"/>
        <v>#DIV/0!</v>
      </c>
      <c r="W30" s="103" t="e">
        <f t="shared" si="6"/>
        <v>#DIV/0!</v>
      </c>
      <c r="X30" s="51" t="e">
        <f t="shared" si="7"/>
        <v>#DIV/0!</v>
      </c>
      <c r="Y30" s="54" t="e">
        <f t="shared" si="8"/>
        <v>#DIV/0!</v>
      </c>
      <c r="Z30" s="103" t="e">
        <f t="shared" si="20"/>
        <v>#DIV/0!</v>
      </c>
      <c r="AA30" s="103" t="e">
        <f t="shared" si="9"/>
        <v>#DIV/0!</v>
      </c>
      <c r="AB30" s="54"/>
      <c r="AC30" s="54"/>
      <c r="AD30" s="54" t="e">
        <f t="shared" si="21"/>
        <v>#DIV/0!</v>
      </c>
      <c r="AE30" s="103" t="e">
        <f t="shared" si="10"/>
        <v>#DIV/0!</v>
      </c>
      <c r="AF30" s="54"/>
      <c r="AG30" s="54"/>
      <c r="AH30" s="54" t="e">
        <f t="shared" si="22"/>
        <v>#DIV/0!</v>
      </c>
      <c r="AI30" s="103" t="e">
        <f t="shared" si="11"/>
        <v>#DIV/0!</v>
      </c>
      <c r="AJ30" s="82" t="e">
        <f t="shared" si="12"/>
        <v>#DIV/0!</v>
      </c>
      <c r="AK30" s="82" t="e">
        <f t="shared" si="12"/>
        <v>#DIV/0!</v>
      </c>
      <c r="AL30" s="54" t="e">
        <f t="shared" si="23"/>
        <v>#DIV/0!</v>
      </c>
      <c r="AM30" s="103" t="e">
        <f t="shared" si="13"/>
        <v>#DIV/0!</v>
      </c>
      <c r="AN30" s="81"/>
    </row>
    <row r="31" spans="1:40" ht="15.75" customHeight="1" x14ac:dyDescent="0.3">
      <c r="A31" s="49" t="s">
        <v>63</v>
      </c>
      <c r="B31" s="49" t="s">
        <v>65</v>
      </c>
      <c r="C31" s="50">
        <f t="shared" si="14"/>
        <v>42937</v>
      </c>
      <c r="D31" s="51"/>
      <c r="E31" s="51"/>
      <c r="F31" s="51" t="e">
        <f t="shared" si="15"/>
        <v>#DIV/0!</v>
      </c>
      <c r="G31" s="103" t="e">
        <f t="shared" si="0"/>
        <v>#DIV/0!</v>
      </c>
      <c r="H31" s="53"/>
      <c r="I31" s="53"/>
      <c r="J31" s="103" t="e">
        <f t="shared" si="16"/>
        <v>#DIV/0!</v>
      </c>
      <c r="K31" s="103" t="e">
        <f t="shared" si="1"/>
        <v>#DIV/0!</v>
      </c>
      <c r="L31" s="53" t="e">
        <f t="shared" si="2"/>
        <v>#DIV/0!</v>
      </c>
      <c r="M31" s="51" t="e">
        <f t="shared" si="3"/>
        <v>#DIV/0!</v>
      </c>
      <c r="N31" s="103" t="e">
        <f t="shared" si="17"/>
        <v>#DIV/0!</v>
      </c>
      <c r="O31" s="103" t="e">
        <f t="shared" si="4"/>
        <v>#DIV/0!</v>
      </c>
      <c r="P31" s="54"/>
      <c r="Q31" s="54"/>
      <c r="R31" s="103" t="e">
        <f t="shared" si="18"/>
        <v>#DIV/0!</v>
      </c>
      <c r="S31" s="103" t="e">
        <f t="shared" si="5"/>
        <v>#DIV/0!</v>
      </c>
      <c r="T31" s="54"/>
      <c r="U31" s="54"/>
      <c r="V31" s="54" t="e">
        <f t="shared" si="19"/>
        <v>#DIV/0!</v>
      </c>
      <c r="W31" s="103" t="e">
        <f t="shared" si="6"/>
        <v>#DIV/0!</v>
      </c>
      <c r="X31" s="51" t="e">
        <f t="shared" si="7"/>
        <v>#DIV/0!</v>
      </c>
      <c r="Y31" s="54" t="e">
        <f t="shared" si="8"/>
        <v>#DIV/0!</v>
      </c>
      <c r="Z31" s="103" t="e">
        <f t="shared" si="20"/>
        <v>#DIV/0!</v>
      </c>
      <c r="AA31" s="103" t="e">
        <f t="shared" si="9"/>
        <v>#DIV/0!</v>
      </c>
      <c r="AB31" s="54"/>
      <c r="AC31" s="54"/>
      <c r="AD31" s="54" t="e">
        <f t="shared" si="21"/>
        <v>#DIV/0!</v>
      </c>
      <c r="AE31" s="103" t="e">
        <f t="shared" si="10"/>
        <v>#DIV/0!</v>
      </c>
      <c r="AF31" s="54"/>
      <c r="AG31" s="54"/>
      <c r="AH31" s="54" t="e">
        <f t="shared" si="22"/>
        <v>#DIV/0!</v>
      </c>
      <c r="AI31" s="103" t="e">
        <f t="shared" si="11"/>
        <v>#DIV/0!</v>
      </c>
      <c r="AJ31" s="82" t="e">
        <f t="shared" si="12"/>
        <v>#DIV/0!</v>
      </c>
      <c r="AK31" s="82" t="e">
        <f t="shared" si="12"/>
        <v>#DIV/0!</v>
      </c>
      <c r="AL31" s="54" t="e">
        <f t="shared" si="23"/>
        <v>#DIV/0!</v>
      </c>
      <c r="AM31" s="103" t="e">
        <f t="shared" si="13"/>
        <v>#DIV/0!</v>
      </c>
      <c r="AN31" s="81"/>
    </row>
    <row r="32" spans="1:40" ht="15.75" customHeight="1" x14ac:dyDescent="0.3">
      <c r="A32" s="49" t="s">
        <v>63</v>
      </c>
      <c r="B32" s="49" t="s">
        <v>66</v>
      </c>
      <c r="C32" s="50">
        <f t="shared" si="14"/>
        <v>42944</v>
      </c>
      <c r="D32" s="51"/>
      <c r="E32" s="51"/>
      <c r="F32" s="51" t="e">
        <f t="shared" si="15"/>
        <v>#DIV/0!</v>
      </c>
      <c r="G32" s="103" t="e">
        <f t="shared" si="0"/>
        <v>#DIV/0!</v>
      </c>
      <c r="H32" s="53"/>
      <c r="I32" s="53"/>
      <c r="J32" s="103" t="e">
        <f t="shared" si="16"/>
        <v>#DIV/0!</v>
      </c>
      <c r="K32" s="103" t="e">
        <f t="shared" si="1"/>
        <v>#DIV/0!</v>
      </c>
      <c r="L32" s="53" t="e">
        <f t="shared" si="2"/>
        <v>#DIV/0!</v>
      </c>
      <c r="M32" s="51" t="e">
        <f t="shared" si="3"/>
        <v>#DIV/0!</v>
      </c>
      <c r="N32" s="103" t="e">
        <f t="shared" si="17"/>
        <v>#DIV/0!</v>
      </c>
      <c r="O32" s="103" t="e">
        <f t="shared" si="4"/>
        <v>#DIV/0!</v>
      </c>
      <c r="P32" s="54"/>
      <c r="Q32" s="54"/>
      <c r="R32" s="103" t="e">
        <f t="shared" si="18"/>
        <v>#DIV/0!</v>
      </c>
      <c r="S32" s="103" t="e">
        <f t="shared" si="5"/>
        <v>#DIV/0!</v>
      </c>
      <c r="T32" s="54"/>
      <c r="U32" s="54"/>
      <c r="V32" s="54" t="e">
        <f t="shared" si="19"/>
        <v>#DIV/0!</v>
      </c>
      <c r="W32" s="103" t="e">
        <f t="shared" si="6"/>
        <v>#DIV/0!</v>
      </c>
      <c r="X32" s="51" t="e">
        <f t="shared" si="7"/>
        <v>#DIV/0!</v>
      </c>
      <c r="Y32" s="54" t="e">
        <f t="shared" si="8"/>
        <v>#DIV/0!</v>
      </c>
      <c r="Z32" s="103" t="e">
        <f t="shared" si="20"/>
        <v>#DIV/0!</v>
      </c>
      <c r="AA32" s="103" t="e">
        <f t="shared" si="9"/>
        <v>#DIV/0!</v>
      </c>
      <c r="AB32" s="54"/>
      <c r="AC32" s="54"/>
      <c r="AD32" s="54" t="e">
        <f t="shared" si="21"/>
        <v>#DIV/0!</v>
      </c>
      <c r="AE32" s="103" t="e">
        <f t="shared" si="10"/>
        <v>#DIV/0!</v>
      </c>
      <c r="AF32" s="54"/>
      <c r="AG32" s="54"/>
      <c r="AH32" s="54" t="e">
        <f t="shared" si="22"/>
        <v>#DIV/0!</v>
      </c>
      <c r="AI32" s="103" t="e">
        <f t="shared" si="11"/>
        <v>#DIV/0!</v>
      </c>
      <c r="AJ32" s="82" t="e">
        <f t="shared" si="12"/>
        <v>#DIV/0!</v>
      </c>
      <c r="AK32" s="82" t="e">
        <f t="shared" si="12"/>
        <v>#DIV/0!</v>
      </c>
      <c r="AL32" s="54" t="e">
        <f t="shared" si="23"/>
        <v>#DIV/0!</v>
      </c>
      <c r="AM32" s="103" t="e">
        <f t="shared" si="13"/>
        <v>#DIV/0!</v>
      </c>
      <c r="AN32" s="81"/>
    </row>
    <row r="33" spans="1:40" s="80" customFormat="1" ht="15.75" customHeight="1" x14ac:dyDescent="0.3">
      <c r="A33" s="69" t="s">
        <v>63</v>
      </c>
      <c r="B33" s="69" t="s">
        <v>67</v>
      </c>
      <c r="C33" s="70">
        <f t="shared" si="14"/>
        <v>42951</v>
      </c>
      <c r="D33" s="72"/>
      <c r="E33" s="72"/>
      <c r="F33" s="72" t="e">
        <f t="shared" si="15"/>
        <v>#DIV/0!</v>
      </c>
      <c r="G33" s="104" t="e">
        <f t="shared" si="0"/>
        <v>#DIV/0!</v>
      </c>
      <c r="H33" s="74"/>
      <c r="I33" s="74"/>
      <c r="J33" s="104" t="e">
        <f t="shared" si="16"/>
        <v>#DIV/0!</v>
      </c>
      <c r="K33" s="104" t="e">
        <f t="shared" si="1"/>
        <v>#DIV/0!</v>
      </c>
      <c r="L33" s="74" t="e">
        <f t="shared" si="2"/>
        <v>#DIV/0!</v>
      </c>
      <c r="M33" s="72" t="e">
        <f t="shared" si="3"/>
        <v>#DIV/0!</v>
      </c>
      <c r="N33" s="104" t="e">
        <f t="shared" si="17"/>
        <v>#DIV/0!</v>
      </c>
      <c r="O33" s="104" t="e">
        <f t="shared" si="4"/>
        <v>#DIV/0!</v>
      </c>
      <c r="P33" s="76"/>
      <c r="Q33" s="76"/>
      <c r="R33" s="104" t="e">
        <f t="shared" si="18"/>
        <v>#DIV/0!</v>
      </c>
      <c r="S33" s="104" t="e">
        <f t="shared" si="5"/>
        <v>#DIV/0!</v>
      </c>
      <c r="T33" s="76"/>
      <c r="U33" s="76"/>
      <c r="V33" s="72" t="e">
        <f t="shared" si="19"/>
        <v>#DIV/0!</v>
      </c>
      <c r="W33" s="104" t="e">
        <f t="shared" si="6"/>
        <v>#DIV/0!</v>
      </c>
      <c r="X33" s="72" t="e">
        <f t="shared" si="7"/>
        <v>#DIV/0!</v>
      </c>
      <c r="Y33" s="76" t="e">
        <f t="shared" si="8"/>
        <v>#DIV/0!</v>
      </c>
      <c r="Z33" s="104" t="e">
        <f t="shared" si="20"/>
        <v>#DIV/0!</v>
      </c>
      <c r="AA33" s="104" t="e">
        <f t="shared" si="9"/>
        <v>#DIV/0!</v>
      </c>
      <c r="AB33" s="76"/>
      <c r="AC33" s="76"/>
      <c r="AD33" s="72" t="e">
        <f t="shared" si="21"/>
        <v>#DIV/0!</v>
      </c>
      <c r="AE33" s="104" t="e">
        <f t="shared" si="10"/>
        <v>#DIV/0!</v>
      </c>
      <c r="AF33" s="76"/>
      <c r="AG33" s="76"/>
      <c r="AH33" s="72" t="e">
        <f t="shared" si="22"/>
        <v>#DIV/0!</v>
      </c>
      <c r="AI33" s="104" t="e">
        <f t="shared" si="11"/>
        <v>#DIV/0!</v>
      </c>
      <c r="AJ33" s="83" t="e">
        <f t="shared" si="12"/>
        <v>#DIV/0!</v>
      </c>
      <c r="AK33" s="83" t="e">
        <f t="shared" si="12"/>
        <v>#DIV/0!</v>
      </c>
      <c r="AL33" s="72" t="e">
        <f t="shared" si="23"/>
        <v>#DIV/0!</v>
      </c>
      <c r="AM33" s="104" t="e">
        <f t="shared" si="13"/>
        <v>#DIV/0!</v>
      </c>
    </row>
    <row r="34" spans="1:40" ht="15.75" customHeight="1" x14ac:dyDescent="0.3">
      <c r="A34" s="49" t="s">
        <v>68</v>
      </c>
      <c r="B34" s="49" t="s">
        <v>69</v>
      </c>
      <c r="C34" s="50">
        <f t="shared" si="14"/>
        <v>42958</v>
      </c>
      <c r="D34" s="51"/>
      <c r="E34" s="51"/>
      <c r="F34" s="52" t="e">
        <f t="shared" si="15"/>
        <v>#DIV/0!</v>
      </c>
      <c r="G34" s="103" t="e">
        <f t="shared" si="0"/>
        <v>#DIV/0!</v>
      </c>
      <c r="H34" s="53"/>
      <c r="I34" s="53"/>
      <c r="J34" s="103" t="e">
        <f t="shared" si="16"/>
        <v>#DIV/0!</v>
      </c>
      <c r="K34" s="103" t="e">
        <f t="shared" si="1"/>
        <v>#DIV/0!</v>
      </c>
      <c r="L34" s="53" t="e">
        <f t="shared" ref="L34:L54" si="24">D34/H34</f>
        <v>#DIV/0!</v>
      </c>
      <c r="M34" s="51" t="e">
        <f t="shared" ref="M34:M54" si="25">E34/I34</f>
        <v>#DIV/0!</v>
      </c>
      <c r="N34" s="103" t="e">
        <f t="shared" si="17"/>
        <v>#DIV/0!</v>
      </c>
      <c r="O34" s="103" t="e">
        <f t="shared" si="4"/>
        <v>#DIV/0!</v>
      </c>
      <c r="P34" s="54"/>
      <c r="Q34" s="54"/>
      <c r="R34" s="103" t="e">
        <f t="shared" si="18"/>
        <v>#DIV/0!</v>
      </c>
      <c r="S34" s="103" t="e">
        <f t="shared" si="5"/>
        <v>#DIV/0!</v>
      </c>
      <c r="T34" s="54"/>
      <c r="U34" s="54"/>
      <c r="V34" s="52" t="e">
        <f t="shared" si="19"/>
        <v>#DIV/0!</v>
      </c>
      <c r="W34" s="103" t="e">
        <f t="shared" si="6"/>
        <v>#DIV/0!</v>
      </c>
      <c r="X34" s="51" t="e">
        <f t="shared" ref="X34:X54" si="26">D34/T34</f>
        <v>#DIV/0!</v>
      </c>
      <c r="Y34" s="54" t="e">
        <f t="shared" ref="Y34:Y54" si="27">E34/U34</f>
        <v>#DIV/0!</v>
      </c>
      <c r="Z34" s="103" t="e">
        <f t="shared" si="20"/>
        <v>#DIV/0!</v>
      </c>
      <c r="AA34" s="104" t="e">
        <f t="shared" si="9"/>
        <v>#DIV/0!</v>
      </c>
      <c r="AB34" s="54"/>
      <c r="AC34" s="54"/>
      <c r="AD34" s="52" t="e">
        <f t="shared" si="21"/>
        <v>#DIV/0!</v>
      </c>
      <c r="AE34" s="103" t="e">
        <f t="shared" si="10"/>
        <v>#DIV/0!</v>
      </c>
      <c r="AF34" s="54"/>
      <c r="AG34" s="54"/>
      <c r="AH34" s="52" t="e">
        <f t="shared" si="22"/>
        <v>#DIV/0!</v>
      </c>
      <c r="AI34" s="103" t="e">
        <f t="shared" si="11"/>
        <v>#DIV/0!</v>
      </c>
      <c r="AJ34" s="82" t="e">
        <f t="shared" ref="AJ34:AK54" si="28">AB34/AF34</f>
        <v>#DIV/0!</v>
      </c>
      <c r="AK34" s="82" t="e">
        <f t="shared" si="28"/>
        <v>#DIV/0!</v>
      </c>
      <c r="AL34" s="52" t="e">
        <f t="shared" si="23"/>
        <v>#DIV/0!</v>
      </c>
      <c r="AM34" s="103" t="e">
        <f t="shared" si="13"/>
        <v>#DIV/0!</v>
      </c>
      <c r="AN34" s="81"/>
    </row>
    <row r="35" spans="1:40" ht="15.75" customHeight="1" x14ac:dyDescent="0.3">
      <c r="A35" s="49" t="s">
        <v>68</v>
      </c>
      <c r="B35" s="49" t="s">
        <v>70</v>
      </c>
      <c r="C35" s="50">
        <f t="shared" si="14"/>
        <v>42965</v>
      </c>
      <c r="D35" s="51"/>
      <c r="E35" s="51"/>
      <c r="F35" s="52" t="e">
        <f t="shared" si="15"/>
        <v>#DIV/0!</v>
      </c>
      <c r="G35" s="103" t="e">
        <f t="shared" si="0"/>
        <v>#DIV/0!</v>
      </c>
      <c r="H35" s="53"/>
      <c r="I35" s="53"/>
      <c r="J35" s="103" t="e">
        <f t="shared" si="16"/>
        <v>#DIV/0!</v>
      </c>
      <c r="K35" s="103" t="e">
        <f t="shared" si="1"/>
        <v>#DIV/0!</v>
      </c>
      <c r="L35" s="53" t="e">
        <f t="shared" si="24"/>
        <v>#DIV/0!</v>
      </c>
      <c r="M35" s="51" t="e">
        <f t="shared" si="25"/>
        <v>#DIV/0!</v>
      </c>
      <c r="N35" s="103" t="e">
        <f t="shared" si="17"/>
        <v>#DIV/0!</v>
      </c>
      <c r="O35" s="103" t="e">
        <f t="shared" si="4"/>
        <v>#DIV/0!</v>
      </c>
      <c r="P35" s="54"/>
      <c r="Q35" s="54"/>
      <c r="R35" s="103" t="e">
        <f t="shared" si="18"/>
        <v>#DIV/0!</v>
      </c>
      <c r="S35" s="103" t="e">
        <f t="shared" si="5"/>
        <v>#DIV/0!</v>
      </c>
      <c r="T35" s="54"/>
      <c r="U35" s="54"/>
      <c r="V35" s="52" t="e">
        <f t="shared" si="19"/>
        <v>#DIV/0!</v>
      </c>
      <c r="W35" s="103" t="e">
        <f t="shared" si="6"/>
        <v>#DIV/0!</v>
      </c>
      <c r="X35" s="51" t="e">
        <f t="shared" si="26"/>
        <v>#DIV/0!</v>
      </c>
      <c r="Y35" s="54" t="e">
        <f t="shared" si="27"/>
        <v>#DIV/0!</v>
      </c>
      <c r="Z35" s="103" t="e">
        <f t="shared" si="20"/>
        <v>#DIV/0!</v>
      </c>
      <c r="AA35" s="103" t="e">
        <f t="shared" si="9"/>
        <v>#DIV/0!</v>
      </c>
      <c r="AB35" s="54"/>
      <c r="AC35" s="54"/>
      <c r="AD35" s="52" t="e">
        <f t="shared" si="21"/>
        <v>#DIV/0!</v>
      </c>
      <c r="AE35" s="103" t="e">
        <f t="shared" si="10"/>
        <v>#DIV/0!</v>
      </c>
      <c r="AF35" s="54"/>
      <c r="AG35" s="54"/>
      <c r="AH35" s="52" t="e">
        <f t="shared" si="22"/>
        <v>#DIV/0!</v>
      </c>
      <c r="AI35" s="103" t="e">
        <f t="shared" si="11"/>
        <v>#DIV/0!</v>
      </c>
      <c r="AJ35" s="82" t="e">
        <f t="shared" si="28"/>
        <v>#DIV/0!</v>
      </c>
      <c r="AK35" s="82" t="e">
        <f t="shared" si="28"/>
        <v>#DIV/0!</v>
      </c>
      <c r="AL35" s="52" t="e">
        <f t="shared" si="23"/>
        <v>#DIV/0!</v>
      </c>
      <c r="AM35" s="103" t="e">
        <f t="shared" si="13"/>
        <v>#DIV/0!</v>
      </c>
      <c r="AN35" s="81"/>
    </row>
    <row r="36" spans="1:40" ht="15.75" customHeight="1" x14ac:dyDescent="0.3">
      <c r="A36" s="49" t="s">
        <v>68</v>
      </c>
      <c r="B36" s="49" t="s">
        <v>71</v>
      </c>
      <c r="C36" s="50">
        <f t="shared" si="14"/>
        <v>42972</v>
      </c>
      <c r="D36" s="51"/>
      <c r="E36" s="51"/>
      <c r="F36" s="52" t="e">
        <f t="shared" si="15"/>
        <v>#DIV/0!</v>
      </c>
      <c r="G36" s="103" t="e">
        <f t="shared" si="0"/>
        <v>#DIV/0!</v>
      </c>
      <c r="H36" s="53"/>
      <c r="I36" s="53"/>
      <c r="J36" s="103" t="e">
        <f t="shared" si="16"/>
        <v>#DIV/0!</v>
      </c>
      <c r="K36" s="103" t="e">
        <f t="shared" si="1"/>
        <v>#DIV/0!</v>
      </c>
      <c r="L36" s="53" t="e">
        <f t="shared" si="24"/>
        <v>#DIV/0!</v>
      </c>
      <c r="M36" s="51" t="e">
        <f t="shared" si="25"/>
        <v>#DIV/0!</v>
      </c>
      <c r="N36" s="103" t="e">
        <f t="shared" si="17"/>
        <v>#DIV/0!</v>
      </c>
      <c r="O36" s="103" t="e">
        <f t="shared" si="4"/>
        <v>#DIV/0!</v>
      </c>
      <c r="P36" s="54"/>
      <c r="Q36" s="54"/>
      <c r="R36" s="103" t="e">
        <f t="shared" si="18"/>
        <v>#DIV/0!</v>
      </c>
      <c r="S36" s="103" t="e">
        <f t="shared" si="5"/>
        <v>#DIV/0!</v>
      </c>
      <c r="T36" s="54"/>
      <c r="U36" s="54"/>
      <c r="V36" s="52" t="e">
        <f t="shared" si="19"/>
        <v>#DIV/0!</v>
      </c>
      <c r="W36" s="103" t="e">
        <f t="shared" si="6"/>
        <v>#DIV/0!</v>
      </c>
      <c r="X36" s="51" t="e">
        <f t="shared" si="26"/>
        <v>#DIV/0!</v>
      </c>
      <c r="Y36" s="54" t="e">
        <f t="shared" si="27"/>
        <v>#DIV/0!</v>
      </c>
      <c r="Z36" s="103" t="e">
        <f t="shared" si="20"/>
        <v>#DIV/0!</v>
      </c>
      <c r="AA36" s="103" t="e">
        <f t="shared" si="9"/>
        <v>#DIV/0!</v>
      </c>
      <c r="AB36" s="54"/>
      <c r="AC36" s="54"/>
      <c r="AD36" s="52" t="e">
        <f t="shared" si="21"/>
        <v>#DIV/0!</v>
      </c>
      <c r="AE36" s="103" t="e">
        <f t="shared" si="10"/>
        <v>#DIV/0!</v>
      </c>
      <c r="AF36" s="54"/>
      <c r="AG36" s="54"/>
      <c r="AH36" s="52" t="e">
        <f t="shared" si="22"/>
        <v>#DIV/0!</v>
      </c>
      <c r="AI36" s="103" t="e">
        <f t="shared" si="11"/>
        <v>#DIV/0!</v>
      </c>
      <c r="AJ36" s="82" t="e">
        <f t="shared" si="28"/>
        <v>#DIV/0!</v>
      </c>
      <c r="AK36" s="82" t="e">
        <f t="shared" si="28"/>
        <v>#DIV/0!</v>
      </c>
      <c r="AL36" s="52" t="e">
        <f t="shared" si="23"/>
        <v>#DIV/0!</v>
      </c>
      <c r="AM36" s="103" t="e">
        <f t="shared" si="13"/>
        <v>#DIV/0!</v>
      </c>
      <c r="AN36" s="81"/>
    </row>
    <row r="37" spans="1:40" s="80" customFormat="1" ht="15.75" customHeight="1" x14ac:dyDescent="0.3">
      <c r="A37" s="69" t="s">
        <v>68</v>
      </c>
      <c r="B37" s="69" t="s">
        <v>72</v>
      </c>
      <c r="C37" s="70">
        <f t="shared" si="14"/>
        <v>42979</v>
      </c>
      <c r="D37" s="72"/>
      <c r="E37" s="72"/>
      <c r="F37" s="73" t="e">
        <f t="shared" si="15"/>
        <v>#DIV/0!</v>
      </c>
      <c r="G37" s="104" t="e">
        <f t="shared" si="0"/>
        <v>#DIV/0!</v>
      </c>
      <c r="H37" s="74"/>
      <c r="I37" s="74"/>
      <c r="J37" s="104" t="e">
        <f t="shared" si="16"/>
        <v>#DIV/0!</v>
      </c>
      <c r="K37" s="104" t="e">
        <f t="shared" si="1"/>
        <v>#DIV/0!</v>
      </c>
      <c r="L37" s="74" t="e">
        <f t="shared" si="24"/>
        <v>#DIV/0!</v>
      </c>
      <c r="M37" s="72" t="e">
        <f t="shared" si="25"/>
        <v>#DIV/0!</v>
      </c>
      <c r="N37" s="104" t="e">
        <f t="shared" si="17"/>
        <v>#DIV/0!</v>
      </c>
      <c r="O37" s="104" t="e">
        <f t="shared" si="4"/>
        <v>#DIV/0!</v>
      </c>
      <c r="P37" s="76"/>
      <c r="Q37" s="76"/>
      <c r="R37" s="104" t="e">
        <f t="shared" si="18"/>
        <v>#DIV/0!</v>
      </c>
      <c r="S37" s="104" t="e">
        <f t="shared" si="5"/>
        <v>#DIV/0!</v>
      </c>
      <c r="T37" s="76"/>
      <c r="U37" s="76"/>
      <c r="V37" s="73" t="e">
        <f t="shared" si="19"/>
        <v>#DIV/0!</v>
      </c>
      <c r="W37" s="104" t="e">
        <f t="shared" si="6"/>
        <v>#DIV/0!</v>
      </c>
      <c r="X37" s="72" t="e">
        <f t="shared" si="26"/>
        <v>#DIV/0!</v>
      </c>
      <c r="Y37" s="76" t="e">
        <f t="shared" si="27"/>
        <v>#DIV/0!</v>
      </c>
      <c r="Z37" s="104" t="e">
        <f t="shared" si="20"/>
        <v>#DIV/0!</v>
      </c>
      <c r="AA37" s="104" t="e">
        <f t="shared" si="9"/>
        <v>#DIV/0!</v>
      </c>
      <c r="AB37" s="76"/>
      <c r="AC37" s="76"/>
      <c r="AD37" s="73" t="e">
        <f t="shared" si="21"/>
        <v>#DIV/0!</v>
      </c>
      <c r="AE37" s="104" t="e">
        <f t="shared" si="10"/>
        <v>#DIV/0!</v>
      </c>
      <c r="AF37" s="76"/>
      <c r="AG37" s="76"/>
      <c r="AH37" s="73" t="e">
        <f t="shared" si="22"/>
        <v>#DIV/0!</v>
      </c>
      <c r="AI37" s="104" t="e">
        <f t="shared" si="11"/>
        <v>#DIV/0!</v>
      </c>
      <c r="AJ37" s="83" t="e">
        <f t="shared" si="28"/>
        <v>#DIV/0!</v>
      </c>
      <c r="AK37" s="83" t="e">
        <f t="shared" si="28"/>
        <v>#DIV/0!</v>
      </c>
      <c r="AL37" s="73" t="e">
        <f t="shared" si="23"/>
        <v>#DIV/0!</v>
      </c>
      <c r="AM37" s="104" t="e">
        <f t="shared" si="13"/>
        <v>#DIV/0!</v>
      </c>
    </row>
    <row r="38" spans="1:40" ht="15.75" customHeight="1" x14ac:dyDescent="0.3">
      <c r="A38" s="49" t="s">
        <v>73</v>
      </c>
      <c r="B38" s="49" t="s">
        <v>74</v>
      </c>
      <c r="C38" s="50">
        <f t="shared" si="14"/>
        <v>42986</v>
      </c>
      <c r="D38" s="51"/>
      <c r="E38" s="51"/>
      <c r="F38" s="52" t="e">
        <f t="shared" si="15"/>
        <v>#DIV/0!</v>
      </c>
      <c r="G38" s="103" t="e">
        <f t="shared" si="0"/>
        <v>#DIV/0!</v>
      </c>
      <c r="H38" s="53"/>
      <c r="I38" s="53"/>
      <c r="J38" s="103" t="e">
        <f t="shared" si="16"/>
        <v>#DIV/0!</v>
      </c>
      <c r="K38" s="103" t="e">
        <f t="shared" si="1"/>
        <v>#DIV/0!</v>
      </c>
      <c r="L38" s="53" t="e">
        <f t="shared" si="24"/>
        <v>#DIV/0!</v>
      </c>
      <c r="M38" s="51" t="e">
        <f t="shared" si="25"/>
        <v>#DIV/0!</v>
      </c>
      <c r="N38" s="103" t="e">
        <f t="shared" si="17"/>
        <v>#DIV/0!</v>
      </c>
      <c r="O38" s="103" t="e">
        <f t="shared" si="4"/>
        <v>#DIV/0!</v>
      </c>
      <c r="P38" s="54"/>
      <c r="Q38" s="54"/>
      <c r="R38" s="103" t="e">
        <f t="shared" si="18"/>
        <v>#DIV/0!</v>
      </c>
      <c r="S38" s="103" t="e">
        <f t="shared" si="5"/>
        <v>#DIV/0!</v>
      </c>
      <c r="T38" s="54"/>
      <c r="U38" s="54"/>
      <c r="V38" s="52" t="e">
        <f t="shared" si="19"/>
        <v>#DIV/0!</v>
      </c>
      <c r="W38" s="103" t="e">
        <f t="shared" si="6"/>
        <v>#DIV/0!</v>
      </c>
      <c r="X38" s="51" t="e">
        <f t="shared" si="26"/>
        <v>#DIV/0!</v>
      </c>
      <c r="Y38" s="54" t="e">
        <f t="shared" si="27"/>
        <v>#DIV/0!</v>
      </c>
      <c r="Z38" s="103" t="e">
        <f t="shared" si="20"/>
        <v>#DIV/0!</v>
      </c>
      <c r="AA38" s="103" t="e">
        <f t="shared" si="9"/>
        <v>#DIV/0!</v>
      </c>
      <c r="AB38" s="54"/>
      <c r="AC38" s="54"/>
      <c r="AD38" s="52" t="e">
        <f t="shared" si="21"/>
        <v>#DIV/0!</v>
      </c>
      <c r="AE38" s="103" t="e">
        <f t="shared" si="10"/>
        <v>#DIV/0!</v>
      </c>
      <c r="AF38" s="54"/>
      <c r="AG38" s="54"/>
      <c r="AH38" s="52" t="e">
        <f t="shared" si="22"/>
        <v>#DIV/0!</v>
      </c>
      <c r="AI38" s="103" t="e">
        <f t="shared" si="11"/>
        <v>#DIV/0!</v>
      </c>
      <c r="AJ38" s="82" t="e">
        <f t="shared" si="28"/>
        <v>#DIV/0!</v>
      </c>
      <c r="AK38" s="82" t="e">
        <f t="shared" si="28"/>
        <v>#DIV/0!</v>
      </c>
      <c r="AL38" s="52" t="e">
        <f t="shared" si="23"/>
        <v>#DIV/0!</v>
      </c>
      <c r="AM38" s="103" t="e">
        <f t="shared" si="13"/>
        <v>#DIV/0!</v>
      </c>
      <c r="AN38" s="81"/>
    </row>
    <row r="39" spans="1:40" ht="15.75" customHeight="1" x14ac:dyDescent="0.3">
      <c r="A39" s="49" t="s">
        <v>73</v>
      </c>
      <c r="B39" s="49" t="s">
        <v>75</v>
      </c>
      <c r="C39" s="50">
        <f t="shared" si="14"/>
        <v>42993</v>
      </c>
      <c r="D39" s="51"/>
      <c r="E39" s="51"/>
      <c r="F39" s="52" t="e">
        <f t="shared" si="15"/>
        <v>#DIV/0!</v>
      </c>
      <c r="G39" s="103" t="e">
        <f t="shared" si="0"/>
        <v>#DIV/0!</v>
      </c>
      <c r="H39" s="53"/>
      <c r="I39" s="53"/>
      <c r="J39" s="103" t="e">
        <f t="shared" si="16"/>
        <v>#DIV/0!</v>
      </c>
      <c r="K39" s="103" t="e">
        <f t="shared" si="1"/>
        <v>#DIV/0!</v>
      </c>
      <c r="L39" s="53" t="e">
        <f t="shared" si="24"/>
        <v>#DIV/0!</v>
      </c>
      <c r="M39" s="51" t="e">
        <f t="shared" si="25"/>
        <v>#DIV/0!</v>
      </c>
      <c r="N39" s="103" t="e">
        <f t="shared" si="17"/>
        <v>#DIV/0!</v>
      </c>
      <c r="O39" s="103" t="e">
        <f t="shared" si="4"/>
        <v>#DIV/0!</v>
      </c>
      <c r="P39" s="54"/>
      <c r="Q39" s="54"/>
      <c r="R39" s="103" t="e">
        <f t="shared" si="18"/>
        <v>#DIV/0!</v>
      </c>
      <c r="S39" s="103" t="e">
        <f t="shared" si="5"/>
        <v>#DIV/0!</v>
      </c>
      <c r="T39" s="54"/>
      <c r="U39" s="54"/>
      <c r="V39" s="52" t="e">
        <f t="shared" si="19"/>
        <v>#DIV/0!</v>
      </c>
      <c r="W39" s="103" t="e">
        <f t="shared" si="6"/>
        <v>#DIV/0!</v>
      </c>
      <c r="X39" s="51" t="e">
        <f t="shared" si="26"/>
        <v>#DIV/0!</v>
      </c>
      <c r="Y39" s="54" t="e">
        <f t="shared" si="27"/>
        <v>#DIV/0!</v>
      </c>
      <c r="Z39" s="103" t="e">
        <f t="shared" si="20"/>
        <v>#DIV/0!</v>
      </c>
      <c r="AA39" s="103" t="e">
        <f t="shared" si="9"/>
        <v>#DIV/0!</v>
      </c>
      <c r="AB39" s="54"/>
      <c r="AC39" s="54"/>
      <c r="AD39" s="52" t="e">
        <f t="shared" si="21"/>
        <v>#DIV/0!</v>
      </c>
      <c r="AE39" s="103" t="e">
        <f t="shared" si="10"/>
        <v>#DIV/0!</v>
      </c>
      <c r="AF39" s="54"/>
      <c r="AG39" s="54"/>
      <c r="AH39" s="52" t="e">
        <f t="shared" si="22"/>
        <v>#DIV/0!</v>
      </c>
      <c r="AI39" s="103" t="e">
        <f t="shared" si="11"/>
        <v>#DIV/0!</v>
      </c>
      <c r="AJ39" s="82" t="e">
        <f t="shared" si="28"/>
        <v>#DIV/0!</v>
      </c>
      <c r="AK39" s="82" t="e">
        <f t="shared" si="28"/>
        <v>#DIV/0!</v>
      </c>
      <c r="AL39" s="52" t="e">
        <f t="shared" si="23"/>
        <v>#DIV/0!</v>
      </c>
      <c r="AM39" s="103" t="e">
        <f t="shared" si="13"/>
        <v>#DIV/0!</v>
      </c>
      <c r="AN39" s="81"/>
    </row>
    <row r="40" spans="1:40" ht="15.75" customHeight="1" x14ac:dyDescent="0.3">
      <c r="A40" s="49" t="s">
        <v>73</v>
      </c>
      <c r="B40" s="49" t="s">
        <v>76</v>
      </c>
      <c r="C40" s="50">
        <f t="shared" si="14"/>
        <v>43000</v>
      </c>
      <c r="D40" s="51"/>
      <c r="E40" s="51"/>
      <c r="F40" s="52" t="e">
        <f t="shared" si="15"/>
        <v>#DIV/0!</v>
      </c>
      <c r="G40" s="103" t="e">
        <f t="shared" si="0"/>
        <v>#DIV/0!</v>
      </c>
      <c r="H40" s="53"/>
      <c r="I40" s="53"/>
      <c r="J40" s="103" t="e">
        <f t="shared" si="16"/>
        <v>#DIV/0!</v>
      </c>
      <c r="K40" s="103" t="e">
        <f t="shared" si="1"/>
        <v>#DIV/0!</v>
      </c>
      <c r="L40" s="53" t="e">
        <f t="shared" si="24"/>
        <v>#DIV/0!</v>
      </c>
      <c r="M40" s="51" t="e">
        <f t="shared" si="25"/>
        <v>#DIV/0!</v>
      </c>
      <c r="N40" s="103" t="e">
        <f t="shared" si="17"/>
        <v>#DIV/0!</v>
      </c>
      <c r="O40" s="103" t="e">
        <f t="shared" si="4"/>
        <v>#DIV/0!</v>
      </c>
      <c r="P40" s="54"/>
      <c r="Q40" s="54"/>
      <c r="R40" s="103" t="e">
        <f t="shared" si="18"/>
        <v>#DIV/0!</v>
      </c>
      <c r="S40" s="103" t="e">
        <f t="shared" si="5"/>
        <v>#DIV/0!</v>
      </c>
      <c r="T40" s="54"/>
      <c r="U40" s="54"/>
      <c r="V40" s="52" t="e">
        <f t="shared" si="19"/>
        <v>#DIV/0!</v>
      </c>
      <c r="W40" s="103" t="e">
        <f t="shared" si="6"/>
        <v>#DIV/0!</v>
      </c>
      <c r="X40" s="51" t="e">
        <f t="shared" si="26"/>
        <v>#DIV/0!</v>
      </c>
      <c r="Y40" s="54" t="e">
        <f t="shared" si="27"/>
        <v>#DIV/0!</v>
      </c>
      <c r="Z40" s="103" t="e">
        <f t="shared" si="20"/>
        <v>#DIV/0!</v>
      </c>
      <c r="AA40" s="103" t="e">
        <f t="shared" si="9"/>
        <v>#DIV/0!</v>
      </c>
      <c r="AB40" s="54"/>
      <c r="AC40" s="54"/>
      <c r="AD40" s="52" t="e">
        <f t="shared" si="21"/>
        <v>#DIV/0!</v>
      </c>
      <c r="AE40" s="103" t="e">
        <f t="shared" si="10"/>
        <v>#DIV/0!</v>
      </c>
      <c r="AF40" s="54"/>
      <c r="AG40" s="54"/>
      <c r="AH40" s="52" t="e">
        <f t="shared" si="22"/>
        <v>#DIV/0!</v>
      </c>
      <c r="AI40" s="103" t="e">
        <f t="shared" si="11"/>
        <v>#DIV/0!</v>
      </c>
      <c r="AJ40" s="82" t="e">
        <f t="shared" si="28"/>
        <v>#DIV/0!</v>
      </c>
      <c r="AK40" s="82" t="e">
        <f t="shared" si="28"/>
        <v>#DIV/0!</v>
      </c>
      <c r="AL40" s="52" t="e">
        <f t="shared" si="23"/>
        <v>#DIV/0!</v>
      </c>
      <c r="AM40" s="103" t="e">
        <f t="shared" si="13"/>
        <v>#DIV/0!</v>
      </c>
      <c r="AN40" s="81"/>
    </row>
    <row r="41" spans="1:40" s="80" customFormat="1" ht="15.75" customHeight="1" x14ac:dyDescent="0.3">
      <c r="A41" s="69" t="s">
        <v>73</v>
      </c>
      <c r="B41" s="69" t="s">
        <v>77</v>
      </c>
      <c r="C41" s="70">
        <f t="shared" si="14"/>
        <v>43007</v>
      </c>
      <c r="D41" s="72"/>
      <c r="E41" s="72"/>
      <c r="F41" s="73" t="e">
        <f t="shared" si="15"/>
        <v>#DIV/0!</v>
      </c>
      <c r="G41" s="104" t="e">
        <f t="shared" si="0"/>
        <v>#DIV/0!</v>
      </c>
      <c r="H41" s="72"/>
      <c r="I41" s="72"/>
      <c r="J41" s="104" t="e">
        <f t="shared" si="16"/>
        <v>#DIV/0!</v>
      </c>
      <c r="K41" s="104" t="e">
        <f t="shared" si="1"/>
        <v>#DIV/0!</v>
      </c>
      <c r="L41" s="74" t="e">
        <f t="shared" si="24"/>
        <v>#DIV/0!</v>
      </c>
      <c r="M41" s="72" t="e">
        <f t="shared" si="25"/>
        <v>#DIV/0!</v>
      </c>
      <c r="N41" s="104" t="e">
        <f t="shared" si="17"/>
        <v>#DIV/0!</v>
      </c>
      <c r="O41" s="104" t="e">
        <f t="shared" si="4"/>
        <v>#DIV/0!</v>
      </c>
      <c r="P41" s="76"/>
      <c r="Q41" s="76"/>
      <c r="R41" s="104" t="e">
        <f t="shared" si="18"/>
        <v>#DIV/0!</v>
      </c>
      <c r="S41" s="104" t="e">
        <f t="shared" si="5"/>
        <v>#DIV/0!</v>
      </c>
      <c r="T41" s="76"/>
      <c r="U41" s="76"/>
      <c r="V41" s="73" t="e">
        <f t="shared" si="19"/>
        <v>#DIV/0!</v>
      </c>
      <c r="W41" s="104" t="e">
        <f t="shared" si="6"/>
        <v>#DIV/0!</v>
      </c>
      <c r="X41" s="72" t="e">
        <f t="shared" si="26"/>
        <v>#DIV/0!</v>
      </c>
      <c r="Y41" s="76" t="e">
        <f t="shared" si="27"/>
        <v>#DIV/0!</v>
      </c>
      <c r="Z41" s="104" t="e">
        <f t="shared" si="20"/>
        <v>#DIV/0!</v>
      </c>
      <c r="AA41" s="104" t="e">
        <f t="shared" si="9"/>
        <v>#DIV/0!</v>
      </c>
      <c r="AB41" s="76"/>
      <c r="AC41" s="76"/>
      <c r="AD41" s="73" t="e">
        <f t="shared" si="21"/>
        <v>#DIV/0!</v>
      </c>
      <c r="AE41" s="104" t="e">
        <f t="shared" si="10"/>
        <v>#DIV/0!</v>
      </c>
      <c r="AF41" s="76"/>
      <c r="AG41" s="76"/>
      <c r="AH41" s="73" t="e">
        <f t="shared" si="22"/>
        <v>#DIV/0!</v>
      </c>
      <c r="AI41" s="104" t="e">
        <f t="shared" si="11"/>
        <v>#DIV/0!</v>
      </c>
      <c r="AJ41" s="83" t="e">
        <f t="shared" si="28"/>
        <v>#DIV/0!</v>
      </c>
      <c r="AK41" s="83" t="e">
        <f t="shared" si="28"/>
        <v>#DIV/0!</v>
      </c>
      <c r="AL41" s="73" t="e">
        <f t="shared" si="23"/>
        <v>#DIV/0!</v>
      </c>
      <c r="AM41" s="104" t="e">
        <f t="shared" si="13"/>
        <v>#DIV/0!</v>
      </c>
    </row>
    <row r="42" spans="1:40" ht="15.75" customHeight="1" x14ac:dyDescent="0.3">
      <c r="A42" s="49" t="s">
        <v>78</v>
      </c>
      <c r="B42" s="49" t="s">
        <v>79</v>
      </c>
      <c r="C42" s="50">
        <f t="shared" si="14"/>
        <v>43014</v>
      </c>
      <c r="D42" s="51"/>
      <c r="E42" s="51"/>
      <c r="F42" s="52" t="e">
        <f t="shared" si="15"/>
        <v>#DIV/0!</v>
      </c>
      <c r="G42" s="103" t="e">
        <f t="shared" si="0"/>
        <v>#DIV/0!</v>
      </c>
      <c r="H42" s="51"/>
      <c r="I42" s="51"/>
      <c r="J42" s="103" t="e">
        <f t="shared" si="16"/>
        <v>#DIV/0!</v>
      </c>
      <c r="K42" s="103" t="e">
        <f t="shared" si="1"/>
        <v>#DIV/0!</v>
      </c>
      <c r="L42" s="53" t="e">
        <f t="shared" si="24"/>
        <v>#DIV/0!</v>
      </c>
      <c r="M42" s="51" t="e">
        <f t="shared" si="25"/>
        <v>#DIV/0!</v>
      </c>
      <c r="N42" s="103" t="e">
        <f t="shared" si="17"/>
        <v>#DIV/0!</v>
      </c>
      <c r="O42" s="103" t="e">
        <f t="shared" si="4"/>
        <v>#DIV/0!</v>
      </c>
      <c r="P42" s="54"/>
      <c r="Q42" s="54"/>
      <c r="R42" s="103" t="e">
        <f t="shared" si="18"/>
        <v>#DIV/0!</v>
      </c>
      <c r="S42" s="103" t="e">
        <f t="shared" si="5"/>
        <v>#DIV/0!</v>
      </c>
      <c r="T42" s="54"/>
      <c r="U42" s="54"/>
      <c r="V42" s="52" t="e">
        <f t="shared" si="19"/>
        <v>#DIV/0!</v>
      </c>
      <c r="W42" s="103" t="e">
        <f t="shared" si="6"/>
        <v>#DIV/0!</v>
      </c>
      <c r="X42" s="51" t="e">
        <f t="shared" si="26"/>
        <v>#DIV/0!</v>
      </c>
      <c r="Y42" s="54" t="e">
        <f t="shared" si="27"/>
        <v>#DIV/0!</v>
      </c>
      <c r="Z42" s="103" t="e">
        <f t="shared" si="20"/>
        <v>#DIV/0!</v>
      </c>
      <c r="AA42" s="103" t="e">
        <f t="shared" si="9"/>
        <v>#DIV/0!</v>
      </c>
      <c r="AB42" s="54"/>
      <c r="AC42" s="54"/>
      <c r="AD42" s="52" t="e">
        <f t="shared" si="21"/>
        <v>#DIV/0!</v>
      </c>
      <c r="AE42" s="103" t="e">
        <f t="shared" si="10"/>
        <v>#DIV/0!</v>
      </c>
      <c r="AF42" s="54"/>
      <c r="AG42" s="54"/>
      <c r="AH42" s="52" t="e">
        <f t="shared" si="22"/>
        <v>#DIV/0!</v>
      </c>
      <c r="AI42" s="103" t="e">
        <f t="shared" si="11"/>
        <v>#DIV/0!</v>
      </c>
      <c r="AJ42" s="82" t="e">
        <f t="shared" si="28"/>
        <v>#DIV/0!</v>
      </c>
      <c r="AK42" s="82" t="e">
        <f t="shared" si="28"/>
        <v>#DIV/0!</v>
      </c>
      <c r="AL42" s="52" t="e">
        <f t="shared" si="23"/>
        <v>#DIV/0!</v>
      </c>
      <c r="AM42" s="103" t="e">
        <f t="shared" si="13"/>
        <v>#DIV/0!</v>
      </c>
      <c r="AN42" s="81"/>
    </row>
    <row r="43" spans="1:40" ht="15.75" customHeight="1" x14ac:dyDescent="0.3">
      <c r="A43" s="49" t="s">
        <v>78</v>
      </c>
      <c r="B43" s="49" t="s">
        <v>80</v>
      </c>
      <c r="C43" s="50">
        <f t="shared" si="14"/>
        <v>43021</v>
      </c>
      <c r="D43" s="51"/>
      <c r="E43" s="51"/>
      <c r="F43" s="52" t="e">
        <f t="shared" si="15"/>
        <v>#DIV/0!</v>
      </c>
      <c r="G43" s="103" t="e">
        <f t="shared" si="0"/>
        <v>#DIV/0!</v>
      </c>
      <c r="H43" s="51"/>
      <c r="I43" s="51"/>
      <c r="J43" s="103" t="e">
        <f t="shared" si="16"/>
        <v>#DIV/0!</v>
      </c>
      <c r="K43" s="103" t="e">
        <f t="shared" si="1"/>
        <v>#DIV/0!</v>
      </c>
      <c r="L43" s="53" t="e">
        <f t="shared" si="24"/>
        <v>#DIV/0!</v>
      </c>
      <c r="M43" s="51" t="e">
        <f t="shared" si="25"/>
        <v>#DIV/0!</v>
      </c>
      <c r="N43" s="103" t="e">
        <f t="shared" si="17"/>
        <v>#DIV/0!</v>
      </c>
      <c r="O43" s="103" t="e">
        <f t="shared" si="4"/>
        <v>#DIV/0!</v>
      </c>
      <c r="P43" s="54"/>
      <c r="Q43" s="54"/>
      <c r="R43" s="103" t="e">
        <f t="shared" si="18"/>
        <v>#DIV/0!</v>
      </c>
      <c r="S43" s="103" t="e">
        <f t="shared" si="5"/>
        <v>#DIV/0!</v>
      </c>
      <c r="T43" s="54"/>
      <c r="U43" s="54"/>
      <c r="V43" s="52" t="e">
        <f t="shared" si="19"/>
        <v>#DIV/0!</v>
      </c>
      <c r="W43" s="103" t="e">
        <f t="shared" si="6"/>
        <v>#DIV/0!</v>
      </c>
      <c r="X43" s="51" t="e">
        <f t="shared" si="26"/>
        <v>#DIV/0!</v>
      </c>
      <c r="Y43" s="54" t="e">
        <f t="shared" si="27"/>
        <v>#DIV/0!</v>
      </c>
      <c r="Z43" s="103" t="e">
        <f t="shared" si="20"/>
        <v>#DIV/0!</v>
      </c>
      <c r="AA43" s="103" t="e">
        <f t="shared" si="9"/>
        <v>#DIV/0!</v>
      </c>
      <c r="AB43" s="54"/>
      <c r="AC43" s="54"/>
      <c r="AD43" s="52" t="e">
        <f t="shared" si="21"/>
        <v>#DIV/0!</v>
      </c>
      <c r="AE43" s="103" t="e">
        <f t="shared" si="10"/>
        <v>#DIV/0!</v>
      </c>
      <c r="AF43" s="54"/>
      <c r="AG43" s="54"/>
      <c r="AH43" s="52" t="e">
        <f t="shared" si="22"/>
        <v>#DIV/0!</v>
      </c>
      <c r="AI43" s="103" t="e">
        <f t="shared" si="11"/>
        <v>#DIV/0!</v>
      </c>
      <c r="AJ43" s="82" t="e">
        <f t="shared" si="28"/>
        <v>#DIV/0!</v>
      </c>
      <c r="AK43" s="82" t="e">
        <f t="shared" si="28"/>
        <v>#DIV/0!</v>
      </c>
      <c r="AL43" s="52" t="e">
        <f t="shared" si="23"/>
        <v>#DIV/0!</v>
      </c>
      <c r="AM43" s="103" t="e">
        <f t="shared" si="13"/>
        <v>#DIV/0!</v>
      </c>
      <c r="AN43" s="68"/>
    </row>
    <row r="44" spans="1:40" ht="15.75" customHeight="1" x14ac:dyDescent="0.3">
      <c r="A44" s="49" t="s">
        <v>78</v>
      </c>
      <c r="B44" s="49" t="s">
        <v>81</v>
      </c>
      <c r="C44" s="50">
        <f t="shared" si="14"/>
        <v>43028</v>
      </c>
      <c r="D44" s="51"/>
      <c r="E44" s="51"/>
      <c r="F44" s="52" t="e">
        <f t="shared" si="15"/>
        <v>#DIV/0!</v>
      </c>
      <c r="G44" s="103" t="e">
        <f t="shared" si="0"/>
        <v>#DIV/0!</v>
      </c>
      <c r="H44" s="51"/>
      <c r="I44" s="51"/>
      <c r="J44" s="103" t="e">
        <f t="shared" si="16"/>
        <v>#DIV/0!</v>
      </c>
      <c r="K44" s="103" t="e">
        <f t="shared" si="1"/>
        <v>#DIV/0!</v>
      </c>
      <c r="L44" s="53" t="e">
        <f t="shared" si="24"/>
        <v>#DIV/0!</v>
      </c>
      <c r="M44" s="51" t="e">
        <f t="shared" si="25"/>
        <v>#DIV/0!</v>
      </c>
      <c r="N44" s="103" t="e">
        <f t="shared" si="17"/>
        <v>#DIV/0!</v>
      </c>
      <c r="O44" s="103" t="e">
        <f t="shared" si="4"/>
        <v>#DIV/0!</v>
      </c>
      <c r="P44" s="54"/>
      <c r="Q44" s="54"/>
      <c r="R44" s="103" t="e">
        <f t="shared" si="18"/>
        <v>#DIV/0!</v>
      </c>
      <c r="S44" s="103" t="e">
        <f t="shared" si="5"/>
        <v>#DIV/0!</v>
      </c>
      <c r="T44" s="54"/>
      <c r="U44" s="54"/>
      <c r="V44" s="52" t="e">
        <f t="shared" si="19"/>
        <v>#DIV/0!</v>
      </c>
      <c r="W44" s="103" t="e">
        <f t="shared" si="6"/>
        <v>#DIV/0!</v>
      </c>
      <c r="X44" s="51" t="e">
        <f t="shared" si="26"/>
        <v>#DIV/0!</v>
      </c>
      <c r="Y44" s="54" t="e">
        <f t="shared" si="27"/>
        <v>#DIV/0!</v>
      </c>
      <c r="Z44" s="103" t="e">
        <f t="shared" si="20"/>
        <v>#DIV/0!</v>
      </c>
      <c r="AA44" s="103" t="e">
        <f t="shared" si="9"/>
        <v>#DIV/0!</v>
      </c>
      <c r="AB44" s="54"/>
      <c r="AC44" s="54"/>
      <c r="AD44" s="52" t="e">
        <f t="shared" si="21"/>
        <v>#DIV/0!</v>
      </c>
      <c r="AE44" s="103" t="e">
        <f t="shared" si="10"/>
        <v>#DIV/0!</v>
      </c>
      <c r="AF44" s="54"/>
      <c r="AG44" s="54"/>
      <c r="AH44" s="52" t="e">
        <f t="shared" si="22"/>
        <v>#DIV/0!</v>
      </c>
      <c r="AI44" s="103" t="e">
        <f t="shared" si="11"/>
        <v>#DIV/0!</v>
      </c>
      <c r="AJ44" s="82" t="e">
        <f t="shared" si="28"/>
        <v>#DIV/0!</v>
      </c>
      <c r="AK44" s="82" t="e">
        <f t="shared" si="28"/>
        <v>#DIV/0!</v>
      </c>
      <c r="AL44" s="52" t="e">
        <f t="shared" si="23"/>
        <v>#DIV/0!</v>
      </c>
      <c r="AM44" s="103" t="e">
        <f t="shared" si="13"/>
        <v>#DIV/0!</v>
      </c>
      <c r="AN44" s="68"/>
    </row>
    <row r="45" spans="1:40" s="80" customFormat="1" ht="15.75" customHeight="1" x14ac:dyDescent="0.3">
      <c r="A45" s="69" t="s">
        <v>78</v>
      </c>
      <c r="B45" s="69" t="s">
        <v>82</v>
      </c>
      <c r="C45" s="70">
        <f t="shared" si="14"/>
        <v>43035</v>
      </c>
      <c r="D45" s="78"/>
      <c r="E45" s="78"/>
      <c r="F45" s="73" t="e">
        <f t="shared" si="15"/>
        <v>#DIV/0!</v>
      </c>
      <c r="G45" s="104" t="e">
        <f t="shared" si="0"/>
        <v>#DIV/0!</v>
      </c>
      <c r="H45" s="72"/>
      <c r="I45" s="72"/>
      <c r="J45" s="104" t="e">
        <f t="shared" si="16"/>
        <v>#DIV/0!</v>
      </c>
      <c r="K45" s="104" t="e">
        <f t="shared" si="1"/>
        <v>#DIV/0!</v>
      </c>
      <c r="L45" s="74" t="e">
        <f t="shared" si="24"/>
        <v>#DIV/0!</v>
      </c>
      <c r="M45" s="72" t="e">
        <f t="shared" si="25"/>
        <v>#DIV/0!</v>
      </c>
      <c r="N45" s="104" t="e">
        <f t="shared" si="17"/>
        <v>#DIV/0!</v>
      </c>
      <c r="O45" s="104" t="e">
        <f t="shared" si="4"/>
        <v>#DIV/0!</v>
      </c>
      <c r="P45" s="76"/>
      <c r="Q45" s="76"/>
      <c r="R45" s="104" t="e">
        <f t="shared" si="18"/>
        <v>#DIV/0!</v>
      </c>
      <c r="S45" s="104" t="e">
        <f t="shared" si="5"/>
        <v>#DIV/0!</v>
      </c>
      <c r="T45" s="76"/>
      <c r="U45" s="76"/>
      <c r="V45" s="73" t="e">
        <f t="shared" si="19"/>
        <v>#DIV/0!</v>
      </c>
      <c r="W45" s="104" t="e">
        <f t="shared" si="6"/>
        <v>#DIV/0!</v>
      </c>
      <c r="X45" s="72" t="e">
        <f t="shared" si="26"/>
        <v>#DIV/0!</v>
      </c>
      <c r="Y45" s="76" t="e">
        <f t="shared" si="27"/>
        <v>#DIV/0!</v>
      </c>
      <c r="Z45" s="104" t="e">
        <f t="shared" si="20"/>
        <v>#DIV/0!</v>
      </c>
      <c r="AA45" s="104" t="e">
        <f t="shared" si="9"/>
        <v>#DIV/0!</v>
      </c>
      <c r="AB45" s="76"/>
      <c r="AC45" s="76"/>
      <c r="AD45" s="73" t="e">
        <f t="shared" si="21"/>
        <v>#DIV/0!</v>
      </c>
      <c r="AE45" s="104" t="e">
        <f t="shared" si="10"/>
        <v>#DIV/0!</v>
      </c>
      <c r="AF45" s="76"/>
      <c r="AG45" s="76"/>
      <c r="AH45" s="73" t="e">
        <f t="shared" si="22"/>
        <v>#DIV/0!</v>
      </c>
      <c r="AI45" s="104" t="e">
        <f t="shared" si="11"/>
        <v>#DIV/0!</v>
      </c>
      <c r="AJ45" s="83" t="e">
        <f t="shared" si="28"/>
        <v>#DIV/0!</v>
      </c>
      <c r="AK45" s="83" t="e">
        <f t="shared" si="28"/>
        <v>#DIV/0!</v>
      </c>
      <c r="AL45" s="73" t="e">
        <f t="shared" si="23"/>
        <v>#DIV/0!</v>
      </c>
      <c r="AM45" s="104" t="e">
        <f t="shared" si="13"/>
        <v>#DIV/0!</v>
      </c>
      <c r="AN45" s="77"/>
    </row>
    <row r="46" spans="1:40" ht="15.75" customHeight="1" x14ac:dyDescent="0.3">
      <c r="A46" s="49" t="s">
        <v>83</v>
      </c>
      <c r="B46" s="49" t="s">
        <v>84</v>
      </c>
      <c r="C46" s="50">
        <f t="shared" si="14"/>
        <v>43042</v>
      </c>
      <c r="D46" s="57"/>
      <c r="E46" s="57"/>
      <c r="F46" s="52" t="e">
        <f t="shared" si="15"/>
        <v>#DIV/0!</v>
      </c>
      <c r="G46" s="103" t="e">
        <f t="shared" si="0"/>
        <v>#DIV/0!</v>
      </c>
      <c r="H46" s="51"/>
      <c r="I46" s="51"/>
      <c r="J46" s="103" t="e">
        <f t="shared" si="16"/>
        <v>#DIV/0!</v>
      </c>
      <c r="K46" s="103" t="e">
        <f t="shared" si="1"/>
        <v>#DIV/0!</v>
      </c>
      <c r="L46" s="53" t="e">
        <f t="shared" si="24"/>
        <v>#DIV/0!</v>
      </c>
      <c r="M46" s="51" t="e">
        <f t="shared" si="25"/>
        <v>#DIV/0!</v>
      </c>
      <c r="N46" s="103" t="e">
        <f t="shared" si="17"/>
        <v>#DIV/0!</v>
      </c>
      <c r="O46" s="103" t="e">
        <f t="shared" si="4"/>
        <v>#DIV/0!</v>
      </c>
      <c r="P46" s="54"/>
      <c r="Q46" s="54"/>
      <c r="R46" s="103" t="e">
        <f t="shared" si="18"/>
        <v>#DIV/0!</v>
      </c>
      <c r="S46" s="103" t="e">
        <f t="shared" si="5"/>
        <v>#DIV/0!</v>
      </c>
      <c r="T46" s="54"/>
      <c r="U46" s="54"/>
      <c r="V46" s="52" t="e">
        <f t="shared" si="19"/>
        <v>#DIV/0!</v>
      </c>
      <c r="W46" s="103" t="e">
        <f t="shared" si="6"/>
        <v>#DIV/0!</v>
      </c>
      <c r="X46" s="51" t="e">
        <f t="shared" si="26"/>
        <v>#DIV/0!</v>
      </c>
      <c r="Y46" s="54" t="e">
        <f t="shared" si="27"/>
        <v>#DIV/0!</v>
      </c>
      <c r="Z46" s="103" t="e">
        <f t="shared" si="20"/>
        <v>#DIV/0!</v>
      </c>
      <c r="AA46" s="103" t="e">
        <f t="shared" si="9"/>
        <v>#DIV/0!</v>
      </c>
      <c r="AB46" s="54"/>
      <c r="AC46" s="54"/>
      <c r="AD46" s="52" t="e">
        <f t="shared" si="21"/>
        <v>#DIV/0!</v>
      </c>
      <c r="AE46" s="103" t="e">
        <f t="shared" si="10"/>
        <v>#DIV/0!</v>
      </c>
      <c r="AF46" s="54"/>
      <c r="AG46" s="54"/>
      <c r="AH46" s="52" t="e">
        <f t="shared" si="22"/>
        <v>#DIV/0!</v>
      </c>
      <c r="AI46" s="103" t="e">
        <f t="shared" si="11"/>
        <v>#DIV/0!</v>
      </c>
      <c r="AJ46" s="82" t="e">
        <f t="shared" si="28"/>
        <v>#DIV/0!</v>
      </c>
      <c r="AK46" s="82" t="e">
        <f t="shared" si="28"/>
        <v>#DIV/0!</v>
      </c>
      <c r="AL46" s="52" t="e">
        <f t="shared" si="23"/>
        <v>#DIV/0!</v>
      </c>
      <c r="AM46" s="103" t="e">
        <f t="shared" si="13"/>
        <v>#DIV/0!</v>
      </c>
      <c r="AN46" s="68"/>
    </row>
    <row r="47" spans="1:40" ht="15.75" customHeight="1" x14ac:dyDescent="0.3">
      <c r="A47" s="49" t="s">
        <v>83</v>
      </c>
      <c r="B47" s="49" t="s">
        <v>85</v>
      </c>
      <c r="C47" s="50">
        <f t="shared" si="14"/>
        <v>43049</v>
      </c>
      <c r="D47" s="57"/>
      <c r="E47" s="57"/>
      <c r="F47" s="52" t="e">
        <f t="shared" si="15"/>
        <v>#DIV/0!</v>
      </c>
      <c r="G47" s="103" t="e">
        <f t="shared" si="0"/>
        <v>#DIV/0!</v>
      </c>
      <c r="H47" s="51"/>
      <c r="I47" s="51"/>
      <c r="J47" s="103" t="e">
        <f t="shared" si="16"/>
        <v>#DIV/0!</v>
      </c>
      <c r="K47" s="103" t="e">
        <f t="shared" si="1"/>
        <v>#DIV/0!</v>
      </c>
      <c r="L47" s="53" t="e">
        <f t="shared" si="24"/>
        <v>#DIV/0!</v>
      </c>
      <c r="M47" s="51" t="e">
        <f t="shared" si="25"/>
        <v>#DIV/0!</v>
      </c>
      <c r="N47" s="103" t="e">
        <f t="shared" si="17"/>
        <v>#DIV/0!</v>
      </c>
      <c r="O47" s="103" t="e">
        <f t="shared" si="4"/>
        <v>#DIV/0!</v>
      </c>
      <c r="P47" s="54"/>
      <c r="Q47" s="54"/>
      <c r="R47" s="103" t="e">
        <f t="shared" si="18"/>
        <v>#DIV/0!</v>
      </c>
      <c r="S47" s="103" t="e">
        <f t="shared" si="5"/>
        <v>#DIV/0!</v>
      </c>
      <c r="T47" s="58"/>
      <c r="U47" s="58"/>
      <c r="V47" s="52" t="e">
        <f t="shared" si="19"/>
        <v>#DIV/0!</v>
      </c>
      <c r="W47" s="103" t="e">
        <f t="shared" si="6"/>
        <v>#DIV/0!</v>
      </c>
      <c r="X47" s="51" t="e">
        <f t="shared" si="26"/>
        <v>#DIV/0!</v>
      </c>
      <c r="Y47" s="54" t="e">
        <f t="shared" si="27"/>
        <v>#DIV/0!</v>
      </c>
      <c r="Z47" s="103" t="e">
        <f t="shared" si="20"/>
        <v>#DIV/0!</v>
      </c>
      <c r="AA47" s="103" t="e">
        <f t="shared" si="9"/>
        <v>#DIV/0!</v>
      </c>
      <c r="AB47" s="54"/>
      <c r="AC47" s="54"/>
      <c r="AD47" s="52" t="e">
        <f t="shared" si="21"/>
        <v>#DIV/0!</v>
      </c>
      <c r="AE47" s="103" t="e">
        <f t="shared" si="10"/>
        <v>#DIV/0!</v>
      </c>
      <c r="AF47" s="58"/>
      <c r="AG47" s="58"/>
      <c r="AH47" s="52" t="e">
        <f t="shared" si="22"/>
        <v>#DIV/0!</v>
      </c>
      <c r="AI47" s="103" t="e">
        <f t="shared" si="11"/>
        <v>#DIV/0!</v>
      </c>
      <c r="AJ47" s="82" t="e">
        <f t="shared" si="28"/>
        <v>#DIV/0!</v>
      </c>
      <c r="AK47" s="82" t="e">
        <f t="shared" si="28"/>
        <v>#DIV/0!</v>
      </c>
      <c r="AL47" s="52" t="e">
        <f t="shared" si="23"/>
        <v>#DIV/0!</v>
      </c>
      <c r="AM47" s="103" t="e">
        <f t="shared" si="13"/>
        <v>#DIV/0!</v>
      </c>
      <c r="AN47" s="68"/>
    </row>
    <row r="48" spans="1:40" ht="15.75" customHeight="1" x14ac:dyDescent="0.3">
      <c r="A48" s="49" t="s">
        <v>83</v>
      </c>
      <c r="B48" s="49" t="s">
        <v>86</v>
      </c>
      <c r="C48" s="50">
        <f t="shared" si="14"/>
        <v>43056</v>
      </c>
      <c r="D48" s="57"/>
      <c r="E48" s="57"/>
      <c r="F48" s="52" t="e">
        <f t="shared" si="15"/>
        <v>#DIV/0!</v>
      </c>
      <c r="G48" s="103" t="e">
        <f t="shared" si="0"/>
        <v>#DIV/0!</v>
      </c>
      <c r="H48" s="51"/>
      <c r="I48" s="51"/>
      <c r="J48" s="103" t="e">
        <f t="shared" si="16"/>
        <v>#DIV/0!</v>
      </c>
      <c r="K48" s="103" t="e">
        <f t="shared" si="1"/>
        <v>#DIV/0!</v>
      </c>
      <c r="L48" s="53" t="e">
        <f t="shared" si="24"/>
        <v>#DIV/0!</v>
      </c>
      <c r="M48" s="51" t="e">
        <f t="shared" si="25"/>
        <v>#DIV/0!</v>
      </c>
      <c r="N48" s="103" t="e">
        <f t="shared" si="17"/>
        <v>#DIV/0!</v>
      </c>
      <c r="O48" s="103" t="e">
        <f t="shared" si="4"/>
        <v>#DIV/0!</v>
      </c>
      <c r="P48" s="54"/>
      <c r="Q48" s="54"/>
      <c r="R48" s="103" t="e">
        <f t="shared" si="18"/>
        <v>#DIV/0!</v>
      </c>
      <c r="S48" s="103" t="e">
        <f t="shared" si="5"/>
        <v>#DIV/0!</v>
      </c>
      <c r="T48" s="58"/>
      <c r="U48" s="58"/>
      <c r="V48" s="52" t="e">
        <f t="shared" si="19"/>
        <v>#DIV/0!</v>
      </c>
      <c r="W48" s="103" t="e">
        <f t="shared" si="6"/>
        <v>#DIV/0!</v>
      </c>
      <c r="X48" s="51" t="e">
        <f t="shared" si="26"/>
        <v>#DIV/0!</v>
      </c>
      <c r="Y48" s="54" t="e">
        <f t="shared" si="27"/>
        <v>#DIV/0!</v>
      </c>
      <c r="Z48" s="103" t="e">
        <f t="shared" si="20"/>
        <v>#DIV/0!</v>
      </c>
      <c r="AA48" s="103" t="e">
        <f t="shared" si="9"/>
        <v>#DIV/0!</v>
      </c>
      <c r="AB48" s="54"/>
      <c r="AC48" s="54"/>
      <c r="AD48" s="52" t="e">
        <f t="shared" si="21"/>
        <v>#DIV/0!</v>
      </c>
      <c r="AE48" s="103" t="e">
        <f t="shared" si="10"/>
        <v>#DIV/0!</v>
      </c>
      <c r="AF48" s="58"/>
      <c r="AG48" s="58"/>
      <c r="AH48" s="52" t="e">
        <f t="shared" si="22"/>
        <v>#DIV/0!</v>
      </c>
      <c r="AI48" s="103" t="e">
        <f t="shared" si="11"/>
        <v>#DIV/0!</v>
      </c>
      <c r="AJ48" s="82" t="e">
        <f t="shared" si="28"/>
        <v>#DIV/0!</v>
      </c>
      <c r="AK48" s="82" t="e">
        <f t="shared" si="28"/>
        <v>#DIV/0!</v>
      </c>
      <c r="AL48" s="52" t="e">
        <f t="shared" si="23"/>
        <v>#DIV/0!</v>
      </c>
      <c r="AM48" s="103" t="e">
        <f t="shared" si="13"/>
        <v>#DIV/0!</v>
      </c>
      <c r="AN48" s="68"/>
    </row>
    <row r="49" spans="1:40" s="80" customFormat="1" ht="15.75" customHeight="1" x14ac:dyDescent="0.3">
      <c r="A49" s="69" t="s">
        <v>83</v>
      </c>
      <c r="B49" s="69" t="s">
        <v>87</v>
      </c>
      <c r="C49" s="70">
        <f t="shared" si="14"/>
        <v>43063</v>
      </c>
      <c r="D49" s="78"/>
      <c r="E49" s="78"/>
      <c r="F49" s="73" t="e">
        <f t="shared" si="15"/>
        <v>#DIV/0!</v>
      </c>
      <c r="G49" s="104" t="e">
        <f t="shared" si="0"/>
        <v>#DIV/0!</v>
      </c>
      <c r="H49" s="72"/>
      <c r="I49" s="72"/>
      <c r="J49" s="104" t="e">
        <f t="shared" si="16"/>
        <v>#DIV/0!</v>
      </c>
      <c r="K49" s="104" t="e">
        <f t="shared" si="1"/>
        <v>#DIV/0!</v>
      </c>
      <c r="L49" s="74" t="e">
        <f t="shared" si="24"/>
        <v>#DIV/0!</v>
      </c>
      <c r="M49" s="72" t="e">
        <f t="shared" si="25"/>
        <v>#DIV/0!</v>
      </c>
      <c r="N49" s="104" t="e">
        <f t="shared" si="17"/>
        <v>#DIV/0!</v>
      </c>
      <c r="O49" s="104" t="e">
        <f t="shared" si="4"/>
        <v>#DIV/0!</v>
      </c>
      <c r="P49" s="76"/>
      <c r="Q49" s="76"/>
      <c r="R49" s="104" t="e">
        <f t="shared" si="18"/>
        <v>#DIV/0!</v>
      </c>
      <c r="S49" s="104" t="e">
        <f t="shared" si="5"/>
        <v>#DIV/0!</v>
      </c>
      <c r="T49" s="79"/>
      <c r="U49" s="79"/>
      <c r="V49" s="73" t="e">
        <f t="shared" si="19"/>
        <v>#DIV/0!</v>
      </c>
      <c r="W49" s="104" t="e">
        <f t="shared" si="6"/>
        <v>#DIV/0!</v>
      </c>
      <c r="X49" s="72" t="e">
        <f t="shared" si="26"/>
        <v>#DIV/0!</v>
      </c>
      <c r="Y49" s="76" t="e">
        <f t="shared" si="27"/>
        <v>#DIV/0!</v>
      </c>
      <c r="Z49" s="104" t="e">
        <f t="shared" si="20"/>
        <v>#DIV/0!</v>
      </c>
      <c r="AA49" s="104" t="e">
        <f t="shared" si="9"/>
        <v>#DIV/0!</v>
      </c>
      <c r="AB49" s="76"/>
      <c r="AC49" s="76"/>
      <c r="AD49" s="73" t="e">
        <f t="shared" si="21"/>
        <v>#DIV/0!</v>
      </c>
      <c r="AE49" s="104" t="e">
        <f t="shared" si="10"/>
        <v>#DIV/0!</v>
      </c>
      <c r="AF49" s="79"/>
      <c r="AG49" s="79"/>
      <c r="AH49" s="73" t="e">
        <f t="shared" si="22"/>
        <v>#DIV/0!</v>
      </c>
      <c r="AI49" s="104" t="e">
        <f t="shared" si="11"/>
        <v>#DIV/0!</v>
      </c>
      <c r="AJ49" s="83" t="e">
        <f t="shared" si="28"/>
        <v>#DIV/0!</v>
      </c>
      <c r="AK49" s="83" t="e">
        <f t="shared" si="28"/>
        <v>#DIV/0!</v>
      </c>
      <c r="AL49" s="73" t="e">
        <f t="shared" si="23"/>
        <v>#DIV/0!</v>
      </c>
      <c r="AM49" s="104" t="e">
        <f t="shared" si="13"/>
        <v>#DIV/0!</v>
      </c>
      <c r="AN49" s="77"/>
    </row>
    <row r="50" spans="1:40" ht="15.75" customHeight="1" x14ac:dyDescent="0.3">
      <c r="A50" s="49" t="s">
        <v>88</v>
      </c>
      <c r="B50" s="49" t="s">
        <v>89</v>
      </c>
      <c r="C50" s="50">
        <f t="shared" si="14"/>
        <v>43070</v>
      </c>
      <c r="D50" s="51"/>
      <c r="E50" s="189"/>
      <c r="F50" s="52" t="e">
        <f t="shared" si="15"/>
        <v>#DIV/0!</v>
      </c>
      <c r="G50" s="103" t="e">
        <f t="shared" si="0"/>
        <v>#DIV/0!</v>
      </c>
      <c r="H50" s="51"/>
      <c r="I50" s="189"/>
      <c r="J50" s="103" t="e">
        <f t="shared" si="16"/>
        <v>#DIV/0!</v>
      </c>
      <c r="K50" s="103" t="e">
        <f t="shared" si="1"/>
        <v>#DIV/0!</v>
      </c>
      <c r="L50" s="53" t="e">
        <f t="shared" si="24"/>
        <v>#DIV/0!</v>
      </c>
      <c r="M50" s="51" t="e">
        <f t="shared" si="25"/>
        <v>#DIV/0!</v>
      </c>
      <c r="N50" s="103" t="e">
        <f t="shared" si="17"/>
        <v>#DIV/0!</v>
      </c>
      <c r="O50" s="103" t="e">
        <f t="shared" si="4"/>
        <v>#DIV/0!</v>
      </c>
      <c r="P50" s="54"/>
      <c r="Q50" s="54"/>
      <c r="R50" s="103" t="e">
        <f t="shared" si="18"/>
        <v>#DIV/0!</v>
      </c>
      <c r="S50" s="103" t="e">
        <f t="shared" si="5"/>
        <v>#DIV/0!</v>
      </c>
      <c r="T50" s="58"/>
      <c r="U50" s="54"/>
      <c r="V50" s="52" t="e">
        <f t="shared" si="19"/>
        <v>#DIV/0!</v>
      </c>
      <c r="W50" s="103" t="e">
        <f t="shared" si="6"/>
        <v>#DIV/0!</v>
      </c>
      <c r="X50" s="51" t="e">
        <f t="shared" si="26"/>
        <v>#DIV/0!</v>
      </c>
      <c r="Y50" s="54" t="e">
        <f t="shared" si="27"/>
        <v>#DIV/0!</v>
      </c>
      <c r="Z50" s="103" t="e">
        <f t="shared" si="20"/>
        <v>#DIV/0!</v>
      </c>
      <c r="AA50" s="103" t="e">
        <f t="shared" si="9"/>
        <v>#DIV/0!</v>
      </c>
      <c r="AB50" s="54"/>
      <c r="AC50" s="54"/>
      <c r="AD50" s="52" t="e">
        <f t="shared" si="21"/>
        <v>#DIV/0!</v>
      </c>
      <c r="AE50" s="103" t="e">
        <f t="shared" si="10"/>
        <v>#DIV/0!</v>
      </c>
      <c r="AF50" s="58"/>
      <c r="AG50" s="54"/>
      <c r="AH50" s="52" t="e">
        <f t="shared" si="22"/>
        <v>#DIV/0!</v>
      </c>
      <c r="AI50" s="103" t="e">
        <f t="shared" si="11"/>
        <v>#DIV/0!</v>
      </c>
      <c r="AJ50" s="82" t="e">
        <f t="shared" si="28"/>
        <v>#DIV/0!</v>
      </c>
      <c r="AK50" s="82" t="e">
        <f t="shared" si="28"/>
        <v>#DIV/0!</v>
      </c>
      <c r="AL50" s="52" t="e">
        <f t="shared" si="23"/>
        <v>#DIV/0!</v>
      </c>
      <c r="AM50" s="103" t="e">
        <f t="shared" si="13"/>
        <v>#DIV/0!</v>
      </c>
      <c r="AN50" s="36"/>
    </row>
    <row r="51" spans="1:40" ht="15.75" customHeight="1" x14ac:dyDescent="0.3">
      <c r="A51" s="49" t="s">
        <v>88</v>
      </c>
      <c r="B51" s="49" t="s">
        <v>90</v>
      </c>
      <c r="C51" s="50">
        <f t="shared" si="14"/>
        <v>43077</v>
      </c>
      <c r="D51" s="51"/>
      <c r="E51" s="189"/>
      <c r="F51" s="52" t="e">
        <f t="shared" si="15"/>
        <v>#DIV/0!</v>
      </c>
      <c r="G51" s="103" t="e">
        <f t="shared" si="0"/>
        <v>#DIV/0!</v>
      </c>
      <c r="H51" s="51"/>
      <c r="I51" s="189"/>
      <c r="J51" s="103" t="e">
        <f t="shared" si="16"/>
        <v>#DIV/0!</v>
      </c>
      <c r="K51" s="103" t="e">
        <f t="shared" si="1"/>
        <v>#DIV/0!</v>
      </c>
      <c r="L51" s="53" t="e">
        <f t="shared" si="24"/>
        <v>#DIV/0!</v>
      </c>
      <c r="M51" s="51" t="e">
        <f t="shared" si="25"/>
        <v>#DIV/0!</v>
      </c>
      <c r="N51" s="103" t="e">
        <f t="shared" si="17"/>
        <v>#DIV/0!</v>
      </c>
      <c r="O51" s="103" t="e">
        <f t="shared" si="4"/>
        <v>#DIV/0!</v>
      </c>
      <c r="P51" s="54"/>
      <c r="Q51" s="54"/>
      <c r="R51" s="103" t="e">
        <f t="shared" si="18"/>
        <v>#DIV/0!</v>
      </c>
      <c r="S51" s="103" t="e">
        <f t="shared" si="5"/>
        <v>#DIV/0!</v>
      </c>
      <c r="T51" s="58"/>
      <c r="U51" s="54"/>
      <c r="V51" s="52" t="e">
        <f t="shared" si="19"/>
        <v>#DIV/0!</v>
      </c>
      <c r="W51" s="103" t="e">
        <f t="shared" si="6"/>
        <v>#DIV/0!</v>
      </c>
      <c r="X51" s="51" t="e">
        <f t="shared" si="26"/>
        <v>#DIV/0!</v>
      </c>
      <c r="Y51" s="54" t="e">
        <f t="shared" si="27"/>
        <v>#DIV/0!</v>
      </c>
      <c r="Z51" s="103" t="e">
        <f t="shared" si="20"/>
        <v>#DIV/0!</v>
      </c>
      <c r="AA51" s="103" t="e">
        <f t="shared" si="9"/>
        <v>#DIV/0!</v>
      </c>
      <c r="AB51" s="54"/>
      <c r="AC51" s="54"/>
      <c r="AD51" s="52" t="e">
        <f t="shared" si="21"/>
        <v>#DIV/0!</v>
      </c>
      <c r="AE51" s="103" t="e">
        <f t="shared" si="10"/>
        <v>#DIV/0!</v>
      </c>
      <c r="AF51" s="58"/>
      <c r="AG51" s="58"/>
      <c r="AH51" s="52" t="e">
        <f t="shared" si="22"/>
        <v>#DIV/0!</v>
      </c>
      <c r="AI51" s="103" t="e">
        <f t="shared" si="11"/>
        <v>#DIV/0!</v>
      </c>
      <c r="AJ51" s="82" t="e">
        <f t="shared" si="28"/>
        <v>#DIV/0!</v>
      </c>
      <c r="AK51" s="82" t="e">
        <f t="shared" si="28"/>
        <v>#DIV/0!</v>
      </c>
      <c r="AL51" s="52" t="e">
        <f t="shared" si="23"/>
        <v>#DIV/0!</v>
      </c>
      <c r="AM51" s="103" t="e">
        <f t="shared" si="13"/>
        <v>#DIV/0!</v>
      </c>
      <c r="AN51" s="36"/>
    </row>
    <row r="52" spans="1:40" ht="15.75" customHeight="1" x14ac:dyDescent="0.3">
      <c r="A52" s="49" t="s">
        <v>88</v>
      </c>
      <c r="B52" s="49" t="s">
        <v>91</v>
      </c>
      <c r="C52" s="50">
        <f t="shared" si="14"/>
        <v>43084</v>
      </c>
      <c r="D52" s="51"/>
      <c r="E52" s="189"/>
      <c r="F52" s="52" t="e">
        <f t="shared" si="15"/>
        <v>#DIV/0!</v>
      </c>
      <c r="G52" s="103" t="e">
        <f t="shared" si="0"/>
        <v>#DIV/0!</v>
      </c>
      <c r="H52" s="51"/>
      <c r="I52" s="189"/>
      <c r="J52" s="103" t="e">
        <f t="shared" si="16"/>
        <v>#DIV/0!</v>
      </c>
      <c r="K52" s="103" t="e">
        <f t="shared" si="1"/>
        <v>#DIV/0!</v>
      </c>
      <c r="L52" s="53" t="e">
        <f t="shared" si="24"/>
        <v>#DIV/0!</v>
      </c>
      <c r="M52" s="51" t="e">
        <f t="shared" si="25"/>
        <v>#DIV/0!</v>
      </c>
      <c r="N52" s="103" t="e">
        <f t="shared" si="17"/>
        <v>#DIV/0!</v>
      </c>
      <c r="O52" s="103" t="e">
        <f t="shared" si="4"/>
        <v>#DIV/0!</v>
      </c>
      <c r="P52" s="54"/>
      <c r="Q52" s="54"/>
      <c r="R52" s="103" t="e">
        <f t="shared" si="18"/>
        <v>#DIV/0!</v>
      </c>
      <c r="S52" s="103" t="e">
        <f t="shared" si="5"/>
        <v>#DIV/0!</v>
      </c>
      <c r="T52" s="58"/>
      <c r="U52" s="54"/>
      <c r="V52" s="52" t="e">
        <f t="shared" si="19"/>
        <v>#DIV/0!</v>
      </c>
      <c r="W52" s="103" t="e">
        <f t="shared" si="6"/>
        <v>#DIV/0!</v>
      </c>
      <c r="X52" s="51" t="e">
        <f t="shared" si="26"/>
        <v>#DIV/0!</v>
      </c>
      <c r="Y52" s="54" t="e">
        <f t="shared" si="27"/>
        <v>#DIV/0!</v>
      </c>
      <c r="Z52" s="103" t="e">
        <f t="shared" si="20"/>
        <v>#DIV/0!</v>
      </c>
      <c r="AA52" s="103" t="e">
        <f t="shared" si="9"/>
        <v>#DIV/0!</v>
      </c>
      <c r="AB52" s="54"/>
      <c r="AC52" s="54"/>
      <c r="AD52" s="52" t="e">
        <f t="shared" si="21"/>
        <v>#DIV/0!</v>
      </c>
      <c r="AE52" s="103" t="e">
        <f t="shared" si="10"/>
        <v>#DIV/0!</v>
      </c>
      <c r="AF52" s="58"/>
      <c r="AG52" s="58"/>
      <c r="AH52" s="52" t="e">
        <f t="shared" si="22"/>
        <v>#DIV/0!</v>
      </c>
      <c r="AI52" s="103" t="e">
        <f t="shared" si="11"/>
        <v>#DIV/0!</v>
      </c>
      <c r="AJ52" s="82" t="e">
        <f t="shared" si="28"/>
        <v>#DIV/0!</v>
      </c>
      <c r="AK52" s="82" t="e">
        <f t="shared" si="28"/>
        <v>#DIV/0!</v>
      </c>
      <c r="AL52" s="52" t="e">
        <f t="shared" si="23"/>
        <v>#DIV/0!</v>
      </c>
      <c r="AM52" s="103" t="e">
        <f t="shared" si="13"/>
        <v>#DIV/0!</v>
      </c>
      <c r="AN52" s="36"/>
    </row>
    <row r="53" spans="1:40" s="80" customFormat="1" ht="15.75" customHeight="1" x14ac:dyDescent="0.3">
      <c r="A53" s="69" t="s">
        <v>88</v>
      </c>
      <c r="B53" s="69" t="s">
        <v>92</v>
      </c>
      <c r="C53" s="70">
        <f t="shared" si="14"/>
        <v>43091</v>
      </c>
      <c r="D53" s="72"/>
      <c r="E53" s="346"/>
      <c r="F53" s="73" t="e">
        <f t="shared" si="15"/>
        <v>#DIV/0!</v>
      </c>
      <c r="G53" s="104" t="e">
        <f t="shared" si="0"/>
        <v>#DIV/0!</v>
      </c>
      <c r="H53" s="72"/>
      <c r="I53" s="346"/>
      <c r="J53" s="104" t="e">
        <f t="shared" si="16"/>
        <v>#DIV/0!</v>
      </c>
      <c r="K53" s="104" t="e">
        <f t="shared" si="1"/>
        <v>#DIV/0!</v>
      </c>
      <c r="L53" s="74" t="e">
        <f t="shared" si="24"/>
        <v>#DIV/0!</v>
      </c>
      <c r="M53" s="72" t="e">
        <f t="shared" si="25"/>
        <v>#DIV/0!</v>
      </c>
      <c r="N53" s="104" t="e">
        <f t="shared" si="17"/>
        <v>#DIV/0!</v>
      </c>
      <c r="O53" s="104" t="e">
        <f t="shared" si="4"/>
        <v>#DIV/0!</v>
      </c>
      <c r="P53" s="76"/>
      <c r="Q53" s="76"/>
      <c r="R53" s="104" t="e">
        <f t="shared" si="18"/>
        <v>#DIV/0!</v>
      </c>
      <c r="S53" s="104" t="e">
        <f t="shared" si="5"/>
        <v>#DIV/0!</v>
      </c>
      <c r="T53" s="79"/>
      <c r="U53" s="76"/>
      <c r="V53" s="73" t="e">
        <f t="shared" si="19"/>
        <v>#DIV/0!</v>
      </c>
      <c r="W53" s="104" t="e">
        <f t="shared" si="6"/>
        <v>#DIV/0!</v>
      </c>
      <c r="X53" s="72" t="e">
        <f t="shared" si="26"/>
        <v>#DIV/0!</v>
      </c>
      <c r="Y53" s="76" t="e">
        <f t="shared" si="27"/>
        <v>#DIV/0!</v>
      </c>
      <c r="Z53" s="104" t="e">
        <f t="shared" si="20"/>
        <v>#DIV/0!</v>
      </c>
      <c r="AA53" s="104" t="e">
        <f t="shared" si="9"/>
        <v>#DIV/0!</v>
      </c>
      <c r="AB53" s="76"/>
      <c r="AC53" s="76"/>
      <c r="AD53" s="73" t="e">
        <f t="shared" si="21"/>
        <v>#DIV/0!</v>
      </c>
      <c r="AE53" s="104" t="e">
        <f t="shared" si="10"/>
        <v>#DIV/0!</v>
      </c>
      <c r="AF53" s="79"/>
      <c r="AG53" s="79"/>
      <c r="AH53" s="73" t="e">
        <f t="shared" si="22"/>
        <v>#DIV/0!</v>
      </c>
      <c r="AI53" s="104" t="e">
        <f t="shared" si="11"/>
        <v>#DIV/0!</v>
      </c>
      <c r="AJ53" s="83" t="e">
        <f t="shared" si="28"/>
        <v>#DIV/0!</v>
      </c>
      <c r="AK53" s="83" t="e">
        <f t="shared" si="28"/>
        <v>#DIV/0!</v>
      </c>
      <c r="AL53" s="73" t="e">
        <f t="shared" si="23"/>
        <v>#DIV/0!</v>
      </c>
      <c r="AM53" s="104" t="e">
        <f t="shared" si="13"/>
        <v>#DIV/0!</v>
      </c>
      <c r="AN53" s="77"/>
    </row>
    <row r="54" spans="1:40" s="182" customFormat="1" ht="19.5" customHeight="1" x14ac:dyDescent="0.3">
      <c r="A54" s="172" t="s">
        <v>94</v>
      </c>
      <c r="B54" s="173"/>
      <c r="C54" s="174"/>
      <c r="D54" s="175">
        <f>SUM(D2:D53)</f>
        <v>0</v>
      </c>
      <c r="E54" s="175">
        <f>SUM(E2:E53)</f>
        <v>0</v>
      </c>
      <c r="F54" s="175"/>
      <c r="G54" s="190" t="e">
        <f t="shared" si="0"/>
        <v>#DIV/0!</v>
      </c>
      <c r="H54" s="175">
        <f>SUM(H2:H53)</f>
        <v>0</v>
      </c>
      <c r="I54" s="175">
        <f>SUM(I2:I53)</f>
        <v>0</v>
      </c>
      <c r="J54" s="179"/>
      <c r="K54" s="179" t="e">
        <f t="shared" si="1"/>
        <v>#DIV/0!</v>
      </c>
      <c r="L54" s="176" t="e">
        <f t="shared" si="24"/>
        <v>#DIV/0!</v>
      </c>
      <c r="M54" s="176" t="e">
        <f t="shared" si="25"/>
        <v>#DIV/0!</v>
      </c>
      <c r="N54" s="179"/>
      <c r="O54" s="190" t="e">
        <f t="shared" si="4"/>
        <v>#DIV/0!</v>
      </c>
      <c r="P54" s="177">
        <f>SUM(P2:P53)</f>
        <v>0</v>
      </c>
      <c r="Q54" s="177">
        <f>SUM(Q2:Q53)</f>
        <v>0</v>
      </c>
      <c r="R54" s="179"/>
      <c r="S54" s="190" t="e">
        <f t="shared" si="5"/>
        <v>#DIV/0!</v>
      </c>
      <c r="T54" s="177">
        <f>SUM(T2:T53)</f>
        <v>0</v>
      </c>
      <c r="U54" s="177">
        <f>SUM(U2:U53)</f>
        <v>0</v>
      </c>
      <c r="V54" s="177"/>
      <c r="W54" s="190" t="e">
        <f t="shared" si="6"/>
        <v>#DIV/0!</v>
      </c>
      <c r="X54" s="175" t="e">
        <f t="shared" si="26"/>
        <v>#DIV/0!</v>
      </c>
      <c r="Y54" s="175" t="e">
        <f t="shared" si="27"/>
        <v>#DIV/0!</v>
      </c>
      <c r="Z54" s="179"/>
      <c r="AA54" s="191" t="e">
        <f t="shared" si="9"/>
        <v>#DIV/0!</v>
      </c>
      <c r="AB54" s="177">
        <f>SUM(AB2:AB53)</f>
        <v>0</v>
      </c>
      <c r="AC54" s="177">
        <f>SUM(AC2:AC53)</f>
        <v>0</v>
      </c>
      <c r="AD54" s="177"/>
      <c r="AE54" s="190" t="e">
        <f t="shared" si="10"/>
        <v>#DIV/0!</v>
      </c>
      <c r="AF54" s="177">
        <f>SUM(AF2:AF53)</f>
        <v>0</v>
      </c>
      <c r="AG54" s="177">
        <f>SUM(AG2:AG53)</f>
        <v>0</v>
      </c>
      <c r="AH54" s="177"/>
      <c r="AI54" s="190" t="e">
        <f t="shared" si="11"/>
        <v>#DIV/0!</v>
      </c>
      <c r="AJ54" s="178" t="e">
        <f t="shared" si="28"/>
        <v>#DIV/0!</v>
      </c>
      <c r="AK54" s="178" t="e">
        <f t="shared" si="28"/>
        <v>#DIV/0!</v>
      </c>
      <c r="AL54" s="177"/>
      <c r="AM54" s="191" t="e">
        <f t="shared" si="13"/>
        <v>#DIV/0!</v>
      </c>
      <c r="AN54" s="2"/>
    </row>
    <row r="55" spans="1:40" ht="15.75" x14ac:dyDescent="0.25">
      <c r="A55" s="44"/>
      <c r="B55" s="45"/>
      <c r="C55" s="45"/>
      <c r="D55" s="39"/>
      <c r="E55" s="39"/>
      <c r="F55" s="39"/>
      <c r="G55" s="39"/>
      <c r="H55" s="39"/>
      <c r="I55" s="39"/>
      <c r="J55" s="105"/>
      <c r="K55" s="39"/>
      <c r="L55" s="41"/>
      <c r="M55" s="41"/>
      <c r="N55" s="105"/>
      <c r="O55" s="42"/>
      <c r="P55" s="42"/>
      <c r="Q55" s="42"/>
      <c r="R55" s="105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36"/>
    </row>
    <row r="56" spans="1:40" ht="15.75" x14ac:dyDescent="0.25">
      <c r="A56" s="44"/>
      <c r="B56" s="36"/>
      <c r="C56" s="36"/>
      <c r="D56" s="39"/>
      <c r="E56" s="39"/>
      <c r="F56" s="39"/>
      <c r="G56" s="39"/>
      <c r="H56" s="39"/>
      <c r="I56" s="39"/>
      <c r="J56" s="105"/>
      <c r="K56" s="39"/>
      <c r="L56" s="41"/>
      <c r="M56" s="41"/>
      <c r="N56" s="105"/>
      <c r="O56" s="42"/>
      <c r="P56" s="42"/>
      <c r="Q56" s="42"/>
      <c r="R56" s="105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36"/>
    </row>
    <row r="57" spans="1:40" ht="15.75" x14ac:dyDescent="0.25">
      <c r="A57" s="44"/>
      <c r="B57" s="44"/>
      <c r="C57" s="46"/>
      <c r="D57" s="39"/>
      <c r="E57" s="39"/>
      <c r="F57" s="39"/>
      <c r="G57" s="39"/>
      <c r="H57" s="39"/>
      <c r="I57" s="39"/>
      <c r="J57" s="105"/>
      <c r="K57" s="39"/>
      <c r="L57" s="41"/>
      <c r="M57" s="41"/>
      <c r="N57" s="105"/>
      <c r="O57" s="42"/>
      <c r="P57" s="42"/>
      <c r="Q57" s="42"/>
      <c r="R57" s="105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36"/>
    </row>
    <row r="58" spans="1:40" ht="15.75" x14ac:dyDescent="0.25">
      <c r="A58" s="44"/>
      <c r="B58" s="36"/>
      <c r="C58" s="36"/>
      <c r="D58" s="36"/>
      <c r="E58" s="36"/>
      <c r="F58" s="36"/>
      <c r="G58" s="36"/>
      <c r="H58" s="36"/>
      <c r="I58" s="36"/>
      <c r="J58" s="105"/>
      <c r="K58" s="36"/>
      <c r="L58" s="36"/>
      <c r="M58" s="36"/>
      <c r="N58" s="105"/>
      <c r="O58" s="36"/>
      <c r="P58" s="36"/>
      <c r="Q58" s="36"/>
      <c r="R58" s="105"/>
      <c r="S58" s="36"/>
      <c r="T58" s="36"/>
      <c r="U58" s="36"/>
      <c r="V58" s="36"/>
      <c r="W58" s="36"/>
      <c r="X58" s="36"/>
      <c r="Y58" s="36"/>
      <c r="Z58" s="36"/>
      <c r="AA58" s="36"/>
      <c r="AB58" s="42"/>
      <c r="AC58" s="42"/>
      <c r="AD58" s="36"/>
      <c r="AE58" s="36"/>
      <c r="AF58" s="42"/>
      <c r="AG58" s="42"/>
      <c r="AH58" s="36"/>
      <c r="AI58" s="36"/>
      <c r="AJ58" s="36"/>
      <c r="AK58" s="36"/>
      <c r="AL58" s="36"/>
      <c r="AM58" s="36"/>
      <c r="AN58" s="36"/>
    </row>
    <row r="59" spans="1:40" ht="15.75" x14ac:dyDescent="0.25">
      <c r="A59" s="44"/>
      <c r="B59" s="36"/>
      <c r="C59" s="36"/>
      <c r="D59" s="36"/>
      <c r="E59" s="36"/>
      <c r="F59" s="36"/>
      <c r="G59" s="36"/>
      <c r="H59" s="36"/>
      <c r="I59" s="36"/>
      <c r="J59" s="105"/>
      <c r="K59" s="36"/>
      <c r="L59" s="36"/>
      <c r="M59" s="36"/>
      <c r="N59" s="105"/>
      <c r="O59" s="36"/>
      <c r="P59" s="36"/>
      <c r="Q59" s="36"/>
      <c r="R59" s="105"/>
      <c r="S59" s="36"/>
      <c r="T59" s="36"/>
      <c r="U59" s="36"/>
      <c r="V59" s="36"/>
      <c r="W59" s="36"/>
      <c r="X59" s="36"/>
      <c r="Y59" s="36"/>
      <c r="Z59" s="36"/>
      <c r="AA59" s="36"/>
      <c r="AB59" s="42"/>
      <c r="AC59" s="42"/>
      <c r="AD59" s="36"/>
      <c r="AE59" s="36"/>
      <c r="AF59" s="42"/>
      <c r="AG59" s="42"/>
      <c r="AH59" s="36"/>
      <c r="AI59" s="36"/>
      <c r="AJ59" s="36"/>
      <c r="AK59" s="36"/>
      <c r="AL59" s="36"/>
      <c r="AM59" s="36"/>
      <c r="AN59" s="36"/>
    </row>
    <row r="60" spans="1:40" ht="15.75" x14ac:dyDescent="0.25">
      <c r="A60" s="44"/>
      <c r="B60" s="36"/>
      <c r="C60" s="36"/>
      <c r="D60" s="36"/>
      <c r="E60" s="36"/>
      <c r="F60" s="36"/>
      <c r="G60" s="36"/>
      <c r="H60" s="36"/>
      <c r="I60" s="36"/>
      <c r="J60" s="105"/>
      <c r="K60" s="36"/>
      <c r="L60" s="36"/>
      <c r="M60" s="36"/>
      <c r="N60" s="105"/>
      <c r="O60" s="36"/>
      <c r="P60" s="36"/>
      <c r="Q60" s="36"/>
      <c r="R60" s="105"/>
      <c r="S60" s="36"/>
      <c r="T60" s="36"/>
      <c r="U60" s="36"/>
      <c r="V60" s="36"/>
      <c r="W60" s="36"/>
      <c r="X60" s="36"/>
      <c r="Y60" s="36"/>
      <c r="Z60" s="36"/>
      <c r="AA60" s="36"/>
      <c r="AB60" s="42"/>
      <c r="AC60" s="42"/>
      <c r="AD60" s="36"/>
      <c r="AE60" s="36"/>
      <c r="AF60" s="42"/>
      <c r="AG60" s="42"/>
      <c r="AH60" s="36"/>
      <c r="AI60" s="36"/>
      <c r="AJ60" s="36"/>
      <c r="AK60" s="36"/>
      <c r="AL60" s="36"/>
      <c r="AM60" s="36"/>
      <c r="AN60" s="36"/>
    </row>
    <row r="61" spans="1:40" ht="15.75" x14ac:dyDescent="0.25">
      <c r="A61" s="44"/>
      <c r="B61" s="36"/>
      <c r="C61" s="36"/>
      <c r="D61" s="36"/>
      <c r="E61" s="36"/>
      <c r="F61" s="36"/>
      <c r="G61" s="36"/>
      <c r="H61" s="36"/>
      <c r="I61" s="36"/>
      <c r="J61" s="105"/>
      <c r="K61" s="36"/>
      <c r="L61" s="36"/>
      <c r="M61" s="36"/>
      <c r="N61" s="105"/>
      <c r="O61" s="36"/>
      <c r="P61" s="36"/>
      <c r="Q61" s="36"/>
      <c r="R61" s="105"/>
      <c r="S61" s="36"/>
      <c r="T61" s="36"/>
      <c r="U61" s="36"/>
      <c r="V61" s="36"/>
      <c r="W61" s="36"/>
      <c r="X61" s="36"/>
      <c r="Y61" s="36"/>
      <c r="Z61" s="36"/>
      <c r="AA61" s="36"/>
      <c r="AB61" s="42"/>
      <c r="AC61" s="42"/>
      <c r="AD61" s="36"/>
      <c r="AE61" s="36"/>
      <c r="AF61" s="42"/>
      <c r="AG61" s="42"/>
      <c r="AH61" s="36"/>
      <c r="AI61" s="36"/>
      <c r="AJ61" s="36"/>
      <c r="AK61" s="36"/>
      <c r="AL61" s="36"/>
      <c r="AM61" s="36"/>
      <c r="AN61" s="36"/>
    </row>
    <row r="62" spans="1:40" ht="15.75" x14ac:dyDescent="0.25">
      <c r="A62" s="44"/>
      <c r="B62" s="36"/>
      <c r="C62" s="36"/>
      <c r="D62" s="36"/>
      <c r="E62" s="36"/>
      <c r="F62" s="36"/>
      <c r="G62" s="36"/>
      <c r="H62" s="36"/>
      <c r="I62" s="36"/>
      <c r="J62" s="105"/>
      <c r="K62" s="36"/>
      <c r="L62" s="36"/>
      <c r="M62" s="36"/>
      <c r="N62" s="105"/>
      <c r="O62" s="36"/>
      <c r="P62" s="36"/>
      <c r="Q62" s="36"/>
      <c r="R62" s="105"/>
      <c r="S62" s="36"/>
      <c r="T62" s="36"/>
      <c r="U62" s="36"/>
      <c r="V62" s="36"/>
      <c r="W62" s="36"/>
      <c r="X62" s="36"/>
      <c r="Y62" s="36"/>
      <c r="Z62" s="36"/>
      <c r="AA62" s="36"/>
      <c r="AB62" s="42"/>
      <c r="AC62" s="42"/>
      <c r="AD62" s="36"/>
      <c r="AE62" s="36"/>
      <c r="AF62" s="42"/>
      <c r="AG62" s="42"/>
      <c r="AH62" s="36"/>
      <c r="AI62" s="36"/>
      <c r="AJ62" s="36"/>
      <c r="AK62" s="36"/>
      <c r="AL62" s="36"/>
      <c r="AM62" s="36"/>
      <c r="AN62" s="36"/>
    </row>
    <row r="63" spans="1:40" ht="15.75" x14ac:dyDescent="0.25">
      <c r="A63" s="44"/>
      <c r="B63" s="36"/>
      <c r="C63" s="36"/>
      <c r="D63" s="36"/>
      <c r="E63" s="36"/>
      <c r="F63" s="36"/>
      <c r="G63" s="36"/>
      <c r="H63" s="36"/>
      <c r="I63" s="36"/>
      <c r="J63" s="105"/>
      <c r="K63" s="36"/>
      <c r="L63" s="36"/>
      <c r="M63" s="36"/>
      <c r="N63" s="105"/>
      <c r="O63" s="36"/>
      <c r="P63" s="36"/>
      <c r="Q63" s="36"/>
      <c r="R63" s="105"/>
      <c r="S63" s="36"/>
      <c r="T63" s="36"/>
      <c r="U63" s="36"/>
      <c r="V63" s="36"/>
      <c r="W63" s="36"/>
      <c r="X63" s="36"/>
      <c r="Y63" s="36"/>
      <c r="Z63" s="36"/>
      <c r="AA63" s="36"/>
      <c r="AB63" s="42"/>
      <c r="AC63" s="42"/>
      <c r="AD63" s="36"/>
      <c r="AE63" s="36"/>
      <c r="AF63" s="42"/>
      <c r="AG63" s="42"/>
      <c r="AH63" s="36"/>
      <c r="AI63" s="36"/>
      <c r="AJ63" s="36"/>
      <c r="AK63" s="36"/>
      <c r="AL63" s="36"/>
      <c r="AM63" s="36"/>
      <c r="AN63" s="36"/>
    </row>
    <row r="64" spans="1:40" ht="15.75" x14ac:dyDescent="0.25">
      <c r="A64" s="44"/>
      <c r="B64" s="36"/>
      <c r="C64" s="36"/>
      <c r="D64" s="36"/>
      <c r="E64" s="36"/>
      <c r="F64" s="36"/>
      <c r="G64" s="36"/>
      <c r="H64" s="36"/>
      <c r="I64" s="36"/>
      <c r="J64" s="105"/>
      <c r="K64" s="36"/>
      <c r="L64" s="36"/>
      <c r="M64" s="36"/>
      <c r="N64" s="105"/>
      <c r="O64" s="36"/>
      <c r="P64" s="36"/>
      <c r="Q64" s="36"/>
      <c r="R64" s="105"/>
      <c r="S64" s="36"/>
      <c r="T64" s="36"/>
      <c r="U64" s="36"/>
      <c r="V64" s="36"/>
      <c r="W64" s="36"/>
      <c r="X64" s="36"/>
      <c r="Y64" s="36"/>
      <c r="Z64" s="36"/>
      <c r="AA64" s="36"/>
      <c r="AB64" s="42"/>
      <c r="AC64" s="42"/>
      <c r="AD64" s="36"/>
      <c r="AE64" s="36"/>
      <c r="AF64" s="42"/>
      <c r="AG64" s="42"/>
      <c r="AH64" s="36"/>
      <c r="AI64" s="36"/>
      <c r="AJ64" s="36"/>
      <c r="AK64" s="36"/>
      <c r="AL64" s="36"/>
      <c r="AM64" s="36"/>
      <c r="AN64" s="36"/>
    </row>
    <row r="65" spans="1:40" ht="15.75" x14ac:dyDescent="0.25">
      <c r="A65" s="44"/>
      <c r="B65" s="36"/>
      <c r="C65" s="36"/>
      <c r="D65" s="36"/>
      <c r="E65" s="36"/>
      <c r="F65" s="36"/>
      <c r="G65" s="36"/>
      <c r="H65" s="36"/>
      <c r="I65" s="36"/>
      <c r="J65" s="105"/>
      <c r="K65" s="36"/>
      <c r="L65" s="36"/>
      <c r="M65" s="36"/>
      <c r="N65" s="105"/>
      <c r="O65" s="36"/>
      <c r="P65" s="36"/>
      <c r="Q65" s="36"/>
      <c r="R65" s="105"/>
      <c r="S65" s="36"/>
      <c r="T65" s="36"/>
      <c r="U65" s="36"/>
      <c r="V65" s="36"/>
      <c r="W65" s="36"/>
      <c r="X65" s="36"/>
      <c r="Y65" s="36"/>
      <c r="Z65" s="36"/>
      <c r="AA65" s="36"/>
      <c r="AB65" s="42"/>
      <c r="AC65" s="42"/>
      <c r="AD65" s="36"/>
      <c r="AE65" s="36"/>
      <c r="AF65" s="42"/>
      <c r="AG65" s="42"/>
      <c r="AH65" s="36"/>
      <c r="AI65" s="36"/>
      <c r="AJ65" s="36"/>
      <c r="AK65" s="36"/>
      <c r="AL65" s="36"/>
      <c r="AM65" s="36"/>
      <c r="AN65" s="36"/>
    </row>
    <row r="66" spans="1:40" ht="15.75" x14ac:dyDescent="0.25">
      <c r="A66" s="44"/>
      <c r="B66" s="36"/>
      <c r="C66" s="36"/>
      <c r="D66" s="36"/>
      <c r="E66" s="36"/>
      <c r="F66" s="36"/>
      <c r="G66" s="36"/>
      <c r="H66" s="36"/>
      <c r="I66" s="36"/>
      <c r="J66" s="105"/>
      <c r="K66" s="36"/>
      <c r="L66" s="36"/>
      <c r="M66" s="36"/>
      <c r="N66" s="105"/>
      <c r="O66" s="36"/>
      <c r="P66" s="36"/>
      <c r="Q66" s="36"/>
      <c r="R66" s="105"/>
      <c r="S66" s="36"/>
      <c r="T66" s="36"/>
      <c r="U66" s="36"/>
      <c r="V66" s="36"/>
      <c r="W66" s="36"/>
      <c r="X66" s="36"/>
      <c r="Y66" s="36"/>
      <c r="Z66" s="36"/>
      <c r="AA66" s="36"/>
      <c r="AB66" s="42"/>
      <c r="AC66" s="42"/>
      <c r="AD66" s="36"/>
      <c r="AE66" s="36"/>
      <c r="AF66" s="42"/>
      <c r="AG66" s="42"/>
      <c r="AH66" s="36"/>
      <c r="AI66" s="36"/>
      <c r="AJ66" s="36"/>
      <c r="AK66" s="36"/>
      <c r="AL66" s="36"/>
      <c r="AM66" s="36"/>
      <c r="AN66" s="36"/>
    </row>
    <row r="67" spans="1:40" ht="15.75" x14ac:dyDescent="0.25">
      <c r="A67" s="44"/>
      <c r="B67" s="36"/>
      <c r="C67" s="36"/>
      <c r="D67" s="36"/>
      <c r="E67" s="36"/>
      <c r="F67" s="36"/>
      <c r="G67" s="36"/>
      <c r="H67" s="36"/>
      <c r="I67" s="36"/>
      <c r="J67" s="105"/>
      <c r="K67" s="36"/>
      <c r="L67" s="36"/>
      <c r="M67" s="36"/>
      <c r="N67" s="105"/>
      <c r="O67" s="36"/>
      <c r="P67" s="36"/>
      <c r="Q67" s="36"/>
      <c r="R67" s="105"/>
      <c r="S67" s="36"/>
      <c r="T67" s="36"/>
      <c r="U67" s="36"/>
      <c r="V67" s="36"/>
      <c r="W67" s="36"/>
      <c r="X67" s="36"/>
      <c r="Y67" s="36"/>
      <c r="Z67" s="36"/>
      <c r="AA67" s="36"/>
      <c r="AB67" s="42"/>
      <c r="AC67" s="42"/>
      <c r="AD67" s="36"/>
      <c r="AE67" s="36"/>
      <c r="AF67" s="42"/>
      <c r="AG67" s="42"/>
      <c r="AH67" s="36"/>
      <c r="AI67" s="36"/>
      <c r="AJ67" s="36"/>
      <c r="AK67" s="36"/>
      <c r="AL67" s="36"/>
      <c r="AM67" s="36"/>
      <c r="AN67" s="36"/>
    </row>
    <row r="68" spans="1:40" ht="15.75" x14ac:dyDescent="0.25">
      <c r="A68" s="44"/>
      <c r="B68" s="36"/>
      <c r="C68" s="36"/>
      <c r="D68" s="36"/>
      <c r="E68" s="36"/>
      <c r="F68" s="36"/>
      <c r="G68" s="36"/>
      <c r="H68" s="36"/>
      <c r="I68" s="36"/>
      <c r="J68" s="105"/>
      <c r="K68" s="36"/>
      <c r="L68" s="36"/>
      <c r="M68" s="36"/>
      <c r="N68" s="105"/>
      <c r="O68" s="36"/>
      <c r="P68" s="36"/>
      <c r="Q68" s="36"/>
      <c r="R68" s="105"/>
      <c r="S68" s="36"/>
      <c r="T68" s="36"/>
      <c r="U68" s="36"/>
      <c r="V68" s="36"/>
      <c r="W68" s="36"/>
      <c r="X68" s="36"/>
      <c r="Y68" s="36"/>
      <c r="Z68" s="36"/>
      <c r="AA68" s="36"/>
      <c r="AB68" s="42"/>
      <c r="AC68" s="42"/>
      <c r="AD68" s="36"/>
      <c r="AE68" s="36"/>
      <c r="AF68" s="42"/>
      <c r="AG68" s="42"/>
      <c r="AH68" s="36"/>
      <c r="AI68" s="36"/>
      <c r="AJ68" s="36"/>
      <c r="AK68" s="36"/>
      <c r="AL68" s="36"/>
      <c r="AM68" s="36"/>
      <c r="AN68" s="36"/>
    </row>
    <row r="69" spans="1:40" ht="15.75" x14ac:dyDescent="0.25">
      <c r="A69" s="44"/>
      <c r="B69" s="36"/>
      <c r="C69" s="36"/>
      <c r="D69" s="36"/>
      <c r="E69" s="36"/>
      <c r="F69" s="36"/>
      <c r="G69" s="36"/>
      <c r="H69" s="36"/>
      <c r="I69" s="36"/>
      <c r="J69" s="105"/>
      <c r="K69" s="36"/>
      <c r="L69" s="36"/>
      <c r="M69" s="36"/>
      <c r="N69" s="105"/>
      <c r="O69" s="36"/>
      <c r="P69" s="36"/>
      <c r="Q69" s="36"/>
      <c r="R69" s="105"/>
      <c r="S69" s="36"/>
      <c r="T69" s="36"/>
      <c r="U69" s="36"/>
      <c r="V69" s="36"/>
      <c r="W69" s="36"/>
      <c r="X69" s="36"/>
      <c r="Y69" s="36"/>
      <c r="Z69" s="36"/>
      <c r="AA69" s="36"/>
      <c r="AB69" s="42"/>
      <c r="AC69" s="42"/>
      <c r="AD69" s="36"/>
      <c r="AE69" s="36"/>
      <c r="AF69" s="42"/>
      <c r="AG69" s="42"/>
      <c r="AH69" s="36"/>
      <c r="AI69" s="36"/>
      <c r="AJ69" s="36"/>
      <c r="AK69" s="36"/>
      <c r="AL69" s="36"/>
      <c r="AM69" s="36"/>
      <c r="AN69" s="36"/>
    </row>
    <row r="70" spans="1:40" ht="15.75" x14ac:dyDescent="0.25">
      <c r="A70" s="44"/>
      <c r="B70" s="36"/>
      <c r="C70" s="36"/>
      <c r="D70" s="36"/>
      <c r="E70" s="36"/>
      <c r="F70" s="36"/>
      <c r="G70" s="36"/>
      <c r="H70" s="36"/>
      <c r="I70" s="36"/>
      <c r="J70" s="105"/>
      <c r="K70" s="36"/>
      <c r="L70" s="36"/>
      <c r="M70" s="36"/>
      <c r="N70" s="105"/>
      <c r="O70" s="36"/>
      <c r="P70" s="36"/>
      <c r="Q70" s="36"/>
      <c r="R70" s="105"/>
      <c r="S70" s="36"/>
      <c r="T70" s="36"/>
      <c r="U70" s="36"/>
      <c r="V70" s="36"/>
      <c r="W70" s="36"/>
      <c r="X70" s="36"/>
      <c r="Y70" s="36"/>
      <c r="Z70" s="36"/>
      <c r="AA70" s="36"/>
      <c r="AB70" s="42"/>
      <c r="AC70" s="42"/>
      <c r="AD70" s="36"/>
      <c r="AE70" s="36"/>
      <c r="AF70" s="42"/>
      <c r="AG70" s="42"/>
      <c r="AH70" s="36"/>
      <c r="AI70" s="36"/>
      <c r="AJ70" s="36"/>
      <c r="AK70" s="36"/>
      <c r="AL70" s="36"/>
      <c r="AM70" s="36"/>
      <c r="AN70" s="36"/>
    </row>
    <row r="71" spans="1:40" ht="15.75" x14ac:dyDescent="0.25">
      <c r="A71" s="44"/>
      <c r="B71" s="36"/>
      <c r="C71" s="36"/>
      <c r="D71" s="36"/>
      <c r="E71" s="36"/>
      <c r="F71" s="36"/>
      <c r="G71" s="36"/>
      <c r="H71" s="36"/>
      <c r="I71" s="36"/>
      <c r="J71" s="105"/>
      <c r="K71" s="36"/>
      <c r="L71" s="36"/>
      <c r="M71" s="36"/>
      <c r="N71" s="105"/>
      <c r="O71" s="36"/>
      <c r="P71" s="36"/>
      <c r="Q71" s="36"/>
      <c r="R71" s="105"/>
      <c r="S71" s="36"/>
      <c r="T71" s="36"/>
      <c r="U71" s="36"/>
      <c r="V71" s="36"/>
      <c r="W71" s="36"/>
      <c r="X71" s="36"/>
      <c r="Y71" s="36"/>
      <c r="Z71" s="36"/>
      <c r="AA71" s="36"/>
      <c r="AB71" s="42"/>
      <c r="AC71" s="42"/>
      <c r="AD71" s="36"/>
      <c r="AE71" s="36"/>
      <c r="AF71" s="42"/>
      <c r="AG71" s="42"/>
      <c r="AH71" s="36"/>
      <c r="AI71" s="36"/>
      <c r="AJ71" s="36"/>
      <c r="AK71" s="36"/>
      <c r="AL71" s="36"/>
      <c r="AM71" s="36"/>
      <c r="AN71" s="36"/>
    </row>
    <row r="72" spans="1:40" ht="15.75" x14ac:dyDescent="0.25">
      <c r="A72" s="44"/>
      <c r="B72" s="36"/>
      <c r="C72" s="36"/>
      <c r="D72" s="36"/>
      <c r="E72" s="36"/>
      <c r="F72" s="36"/>
      <c r="G72" s="36"/>
      <c r="H72" s="36"/>
      <c r="I72" s="36"/>
      <c r="J72" s="105"/>
      <c r="K72" s="36"/>
      <c r="L72" s="36"/>
      <c r="M72" s="36"/>
      <c r="N72" s="105"/>
      <c r="O72" s="36"/>
      <c r="P72" s="36"/>
      <c r="Q72" s="36"/>
      <c r="R72" s="105"/>
      <c r="S72" s="36"/>
      <c r="T72" s="36"/>
      <c r="U72" s="36"/>
      <c r="V72" s="36"/>
      <c r="W72" s="36"/>
      <c r="X72" s="36"/>
      <c r="Y72" s="36"/>
      <c r="Z72" s="36"/>
      <c r="AA72" s="36"/>
      <c r="AB72" s="42"/>
      <c r="AC72" s="42"/>
      <c r="AD72" s="36"/>
      <c r="AE72" s="36"/>
      <c r="AF72" s="42"/>
      <c r="AG72" s="42"/>
      <c r="AH72" s="36"/>
      <c r="AI72" s="36"/>
      <c r="AJ72" s="36"/>
      <c r="AK72" s="36"/>
      <c r="AL72" s="36"/>
      <c r="AM72" s="36"/>
      <c r="AN72" s="36"/>
    </row>
    <row r="73" spans="1:40" ht="15.75" x14ac:dyDescent="0.25">
      <c r="A73" s="44"/>
      <c r="B73" s="36"/>
      <c r="C73" s="36"/>
      <c r="D73" s="36"/>
      <c r="E73" s="36"/>
      <c r="F73" s="36"/>
      <c r="G73" s="36"/>
      <c r="H73" s="36"/>
      <c r="I73" s="36"/>
      <c r="J73" s="105"/>
      <c r="K73" s="36"/>
      <c r="L73" s="36"/>
      <c r="M73" s="36"/>
      <c r="N73" s="105"/>
      <c r="O73" s="36"/>
      <c r="P73" s="36"/>
      <c r="Q73" s="36"/>
      <c r="R73" s="105"/>
      <c r="S73" s="36"/>
      <c r="T73" s="36"/>
      <c r="U73" s="36"/>
      <c r="V73" s="36"/>
      <c r="W73" s="36"/>
      <c r="X73" s="36"/>
      <c r="Y73" s="36"/>
      <c r="Z73" s="36"/>
      <c r="AA73" s="36"/>
      <c r="AB73" s="42"/>
      <c r="AC73" s="42"/>
      <c r="AD73" s="36"/>
      <c r="AE73" s="36"/>
      <c r="AF73" s="42"/>
      <c r="AG73" s="42"/>
      <c r="AH73" s="36"/>
      <c r="AI73" s="36"/>
      <c r="AJ73" s="36"/>
      <c r="AK73" s="36"/>
      <c r="AL73" s="36"/>
      <c r="AM73" s="36"/>
      <c r="AN73" s="36"/>
    </row>
    <row r="74" spans="1:40" ht="15.75" x14ac:dyDescent="0.25">
      <c r="A74" s="44"/>
      <c r="B74" s="36"/>
      <c r="C74" s="36"/>
      <c r="D74" s="36"/>
      <c r="E74" s="36"/>
      <c r="F74" s="36"/>
      <c r="G74" s="36"/>
      <c r="H74" s="36"/>
      <c r="I74" s="36"/>
      <c r="J74" s="105"/>
      <c r="K74" s="36"/>
      <c r="L74" s="36"/>
      <c r="M74" s="36"/>
      <c r="N74" s="105"/>
      <c r="O74" s="36"/>
      <c r="P74" s="36"/>
      <c r="Q74" s="36"/>
      <c r="R74" s="105"/>
      <c r="S74" s="36"/>
      <c r="T74" s="36"/>
      <c r="U74" s="36"/>
      <c r="V74" s="36"/>
      <c r="W74" s="36"/>
      <c r="X74" s="36"/>
      <c r="Y74" s="36"/>
      <c r="Z74" s="36"/>
      <c r="AA74" s="36"/>
      <c r="AB74" s="42"/>
      <c r="AC74" s="42"/>
      <c r="AD74" s="36"/>
      <c r="AE74" s="36"/>
      <c r="AF74" s="42"/>
      <c r="AG74" s="42"/>
      <c r="AH74" s="36"/>
      <c r="AI74" s="36"/>
      <c r="AJ74" s="36"/>
      <c r="AK74" s="36"/>
      <c r="AL74" s="36"/>
      <c r="AM74" s="36"/>
      <c r="AN74" s="36"/>
    </row>
    <row r="75" spans="1:40" ht="15.75" x14ac:dyDescent="0.25">
      <c r="A75" s="44"/>
      <c r="B75" s="36"/>
      <c r="C75" s="36"/>
      <c r="D75" s="36"/>
      <c r="E75" s="36"/>
      <c r="F75" s="36"/>
      <c r="G75" s="36"/>
      <c r="H75" s="36"/>
      <c r="I75" s="36"/>
      <c r="J75" s="105"/>
      <c r="K75" s="36"/>
      <c r="L75" s="36"/>
      <c r="M75" s="36"/>
      <c r="N75" s="105"/>
      <c r="O75" s="36"/>
      <c r="P75" s="36"/>
      <c r="Q75" s="36"/>
      <c r="R75" s="105"/>
      <c r="S75" s="36"/>
      <c r="T75" s="36"/>
      <c r="U75" s="36"/>
      <c r="V75" s="36"/>
      <c r="W75" s="36"/>
      <c r="X75" s="36"/>
      <c r="Y75" s="36"/>
      <c r="Z75" s="36"/>
      <c r="AA75" s="36"/>
      <c r="AB75" s="42"/>
      <c r="AC75" s="42"/>
      <c r="AD75" s="36"/>
      <c r="AE75" s="36"/>
      <c r="AF75" s="42"/>
      <c r="AG75" s="42"/>
      <c r="AH75" s="36"/>
      <c r="AI75" s="36"/>
      <c r="AJ75" s="36"/>
      <c r="AK75" s="36"/>
      <c r="AL75" s="36"/>
      <c r="AM75" s="36"/>
      <c r="AN75" s="36"/>
    </row>
    <row r="76" spans="1:40" ht="15.75" x14ac:dyDescent="0.25">
      <c r="A76" s="44"/>
      <c r="B76" s="36"/>
      <c r="C76" s="36"/>
      <c r="D76" s="36"/>
      <c r="E76" s="36"/>
      <c r="F76" s="36"/>
      <c r="G76" s="36"/>
      <c r="H76" s="36"/>
      <c r="I76" s="36"/>
      <c r="J76" s="105"/>
      <c r="K76" s="36"/>
      <c r="L76" s="36"/>
      <c r="M76" s="36"/>
      <c r="N76" s="105"/>
      <c r="O76" s="36"/>
      <c r="P76" s="36"/>
      <c r="Q76" s="36"/>
      <c r="R76" s="105"/>
      <c r="S76" s="36"/>
      <c r="T76" s="36"/>
      <c r="U76" s="36"/>
      <c r="V76" s="36"/>
      <c r="W76" s="36"/>
      <c r="X76" s="36"/>
      <c r="Y76" s="36"/>
      <c r="Z76" s="36"/>
      <c r="AA76" s="36"/>
      <c r="AB76" s="42"/>
      <c r="AC76" s="42"/>
      <c r="AD76" s="36"/>
      <c r="AE76" s="36"/>
      <c r="AF76" s="42"/>
      <c r="AG76" s="42"/>
      <c r="AH76" s="36"/>
      <c r="AI76" s="36"/>
      <c r="AJ76" s="36"/>
      <c r="AK76" s="36"/>
      <c r="AL76" s="36"/>
      <c r="AM76" s="36"/>
      <c r="AN76" s="36"/>
    </row>
    <row r="77" spans="1:40" ht="15.75" x14ac:dyDescent="0.25">
      <c r="A77" s="44"/>
      <c r="B77" s="36"/>
      <c r="C77" s="36"/>
      <c r="D77" s="36"/>
      <c r="E77" s="36"/>
      <c r="F77" s="36"/>
      <c r="G77" s="36"/>
      <c r="H77" s="36"/>
      <c r="I77" s="36"/>
      <c r="J77" s="105"/>
      <c r="K77" s="36"/>
      <c r="L77" s="36"/>
      <c r="M77" s="36"/>
      <c r="N77" s="105"/>
      <c r="O77" s="36"/>
      <c r="P77" s="36"/>
      <c r="Q77" s="36"/>
      <c r="R77" s="105"/>
      <c r="S77" s="36"/>
      <c r="T77" s="36"/>
      <c r="U77" s="36"/>
      <c r="V77" s="36"/>
      <c r="W77" s="36"/>
      <c r="X77" s="36"/>
      <c r="Y77" s="36"/>
      <c r="Z77" s="36"/>
      <c r="AA77" s="36"/>
      <c r="AB77" s="42"/>
      <c r="AC77" s="42"/>
      <c r="AD77" s="36"/>
      <c r="AE77" s="36"/>
      <c r="AF77" s="42"/>
      <c r="AG77" s="42"/>
      <c r="AH77" s="36"/>
      <c r="AI77" s="36"/>
      <c r="AJ77" s="36"/>
      <c r="AK77" s="36"/>
      <c r="AL77" s="36"/>
      <c r="AM77" s="36"/>
      <c r="AN77" s="36"/>
    </row>
    <row r="78" spans="1:40" ht="15.75" x14ac:dyDescent="0.25">
      <c r="A78" s="44"/>
      <c r="B78" s="36"/>
      <c r="C78" s="36"/>
      <c r="D78" s="36"/>
      <c r="E78" s="36"/>
      <c r="F78" s="36"/>
      <c r="G78" s="36"/>
      <c r="H78" s="36"/>
      <c r="I78" s="36"/>
      <c r="J78" s="105"/>
      <c r="K78" s="36"/>
      <c r="L78" s="36"/>
      <c r="M78" s="36"/>
      <c r="N78" s="105"/>
      <c r="O78" s="36"/>
      <c r="P78" s="36"/>
      <c r="Q78" s="36"/>
      <c r="R78" s="105"/>
      <c r="S78" s="36"/>
      <c r="T78" s="36"/>
      <c r="U78" s="36"/>
      <c r="V78" s="36"/>
      <c r="W78" s="36"/>
      <c r="X78" s="36"/>
      <c r="Y78" s="36"/>
      <c r="Z78" s="36"/>
      <c r="AA78" s="36"/>
      <c r="AB78" s="42"/>
      <c r="AC78" s="42"/>
      <c r="AD78" s="36"/>
      <c r="AE78" s="36"/>
      <c r="AF78" s="42"/>
      <c r="AG78" s="42"/>
      <c r="AH78" s="36"/>
      <c r="AI78" s="36"/>
      <c r="AJ78" s="36"/>
      <c r="AK78" s="36"/>
      <c r="AL78" s="36"/>
      <c r="AM78" s="36"/>
      <c r="AN78" s="36"/>
    </row>
    <row r="79" spans="1:40" ht="15.75" x14ac:dyDescent="0.25">
      <c r="A79" s="44"/>
      <c r="B79" s="36"/>
      <c r="C79" s="36"/>
      <c r="D79" s="36"/>
      <c r="E79" s="36"/>
      <c r="F79" s="36"/>
      <c r="G79" s="36"/>
      <c r="H79" s="36"/>
      <c r="I79" s="36"/>
      <c r="J79" s="105"/>
      <c r="K79" s="36"/>
      <c r="L79" s="36"/>
      <c r="M79" s="36"/>
      <c r="N79" s="105"/>
      <c r="O79" s="36"/>
      <c r="P79" s="36"/>
      <c r="Q79" s="36"/>
      <c r="R79" s="105"/>
      <c r="S79" s="36"/>
      <c r="T79" s="36"/>
      <c r="U79" s="36"/>
      <c r="V79" s="36"/>
      <c r="W79" s="36"/>
      <c r="X79" s="36"/>
      <c r="Y79" s="36"/>
      <c r="Z79" s="36"/>
      <c r="AA79" s="36"/>
      <c r="AB79" s="42"/>
      <c r="AC79" s="42"/>
      <c r="AD79" s="36"/>
      <c r="AE79" s="36"/>
      <c r="AF79" s="42"/>
      <c r="AG79" s="42"/>
      <c r="AH79" s="36"/>
      <c r="AI79" s="36"/>
      <c r="AJ79" s="36"/>
      <c r="AK79" s="36"/>
      <c r="AL79" s="36"/>
      <c r="AM79" s="36"/>
      <c r="AN79" s="36"/>
    </row>
    <row r="80" spans="1:40" ht="15.75" x14ac:dyDescent="0.25">
      <c r="A80" s="44"/>
      <c r="B80" s="36"/>
      <c r="C80" s="36"/>
      <c r="D80" s="36"/>
      <c r="E80" s="36"/>
      <c r="F80" s="36"/>
      <c r="G80" s="36"/>
      <c r="H80" s="36"/>
      <c r="I80" s="36"/>
      <c r="J80" s="105"/>
      <c r="K80" s="36"/>
      <c r="L80" s="36"/>
      <c r="M80" s="36"/>
      <c r="N80" s="105"/>
      <c r="O80" s="36"/>
      <c r="P80" s="36"/>
      <c r="Q80" s="36"/>
      <c r="R80" s="105"/>
      <c r="S80" s="36"/>
      <c r="T80" s="36"/>
      <c r="U80" s="36"/>
      <c r="V80" s="36"/>
      <c r="W80" s="36"/>
      <c r="X80" s="36"/>
      <c r="Y80" s="36"/>
      <c r="Z80" s="36"/>
      <c r="AA80" s="36"/>
      <c r="AB80" s="42"/>
      <c r="AC80" s="42"/>
      <c r="AD80" s="36"/>
      <c r="AE80" s="36"/>
      <c r="AF80" s="42"/>
      <c r="AG80" s="42"/>
      <c r="AH80" s="36"/>
      <c r="AI80" s="36"/>
      <c r="AJ80" s="36"/>
      <c r="AK80" s="36"/>
      <c r="AL80" s="36"/>
      <c r="AM80" s="36"/>
      <c r="AN80" s="36"/>
    </row>
    <row r="81" spans="1:40" ht="15.75" x14ac:dyDescent="0.25">
      <c r="A81" s="44"/>
      <c r="B81" s="36"/>
      <c r="C81" s="36"/>
      <c r="D81" s="36"/>
      <c r="E81" s="36"/>
      <c r="F81" s="36"/>
      <c r="G81" s="36"/>
      <c r="H81" s="36"/>
      <c r="I81" s="36"/>
      <c r="J81" s="105"/>
      <c r="K81" s="36"/>
      <c r="L81" s="36"/>
      <c r="M81" s="36"/>
      <c r="N81" s="105"/>
      <c r="O81" s="36"/>
      <c r="P81" s="36"/>
      <c r="Q81" s="36"/>
      <c r="R81" s="105"/>
      <c r="S81" s="36"/>
      <c r="T81" s="36"/>
      <c r="U81" s="36"/>
      <c r="V81" s="36"/>
      <c r="W81" s="36"/>
      <c r="X81" s="36"/>
      <c r="Y81" s="36"/>
      <c r="Z81" s="36"/>
      <c r="AA81" s="36"/>
      <c r="AB81" s="42"/>
      <c r="AC81" s="42"/>
      <c r="AD81" s="36"/>
      <c r="AE81" s="36"/>
      <c r="AF81" s="42"/>
      <c r="AG81" s="42"/>
      <c r="AH81" s="36"/>
      <c r="AI81" s="36"/>
      <c r="AJ81" s="36"/>
      <c r="AK81" s="36"/>
      <c r="AL81" s="36"/>
      <c r="AM81" s="36"/>
      <c r="AN81" s="36"/>
    </row>
    <row r="82" spans="1:40" ht="15.75" x14ac:dyDescent="0.25">
      <c r="A82" s="44"/>
      <c r="B82" s="36"/>
      <c r="C82" s="36"/>
      <c r="D82" s="36"/>
      <c r="E82" s="36"/>
      <c r="F82" s="36"/>
      <c r="G82" s="36"/>
      <c r="H82" s="36"/>
      <c r="I82" s="36"/>
      <c r="J82" s="105"/>
      <c r="K82" s="36"/>
      <c r="L82" s="36"/>
      <c r="M82" s="36"/>
      <c r="N82" s="105"/>
      <c r="O82" s="36"/>
      <c r="P82" s="36"/>
      <c r="Q82" s="36"/>
      <c r="R82" s="105"/>
      <c r="S82" s="36"/>
      <c r="T82" s="36"/>
      <c r="U82" s="36"/>
      <c r="V82" s="36"/>
      <c r="W82" s="36"/>
      <c r="X82" s="36"/>
      <c r="Y82" s="36"/>
      <c r="Z82" s="36"/>
      <c r="AA82" s="36"/>
      <c r="AB82" s="42"/>
      <c r="AC82" s="42"/>
      <c r="AD82" s="36"/>
      <c r="AE82" s="36"/>
      <c r="AF82" s="42"/>
      <c r="AG82" s="42"/>
      <c r="AH82" s="36"/>
      <c r="AI82" s="36"/>
      <c r="AJ82" s="36"/>
      <c r="AK82" s="36"/>
      <c r="AL82" s="36"/>
      <c r="AM82" s="36"/>
      <c r="AN82" s="36"/>
    </row>
    <row r="83" spans="1:40" ht="15.75" x14ac:dyDescent="0.25">
      <c r="A83" s="44"/>
      <c r="B83" s="36"/>
      <c r="C83" s="36"/>
      <c r="D83" s="36"/>
      <c r="E83" s="36"/>
      <c r="F83" s="36"/>
      <c r="G83" s="36"/>
      <c r="H83" s="36"/>
      <c r="I83" s="36"/>
      <c r="J83" s="105"/>
      <c r="K83" s="36"/>
      <c r="L83" s="36"/>
      <c r="M83" s="36"/>
      <c r="N83" s="105"/>
      <c r="O83" s="36"/>
      <c r="P83" s="36"/>
      <c r="Q83" s="36"/>
      <c r="R83" s="105"/>
      <c r="S83" s="36"/>
      <c r="T83" s="36"/>
      <c r="U83" s="36"/>
      <c r="V83" s="36"/>
      <c r="W83" s="36"/>
      <c r="X83" s="36"/>
      <c r="Y83" s="36"/>
      <c r="Z83" s="36"/>
      <c r="AA83" s="36"/>
      <c r="AB83" s="42"/>
      <c r="AC83" s="42"/>
      <c r="AD83" s="36"/>
      <c r="AE83" s="36"/>
      <c r="AF83" s="42"/>
      <c r="AG83" s="42"/>
      <c r="AH83" s="36"/>
      <c r="AI83" s="36"/>
      <c r="AJ83" s="36"/>
      <c r="AK83" s="36"/>
      <c r="AL83" s="36"/>
      <c r="AM83" s="36"/>
      <c r="AN83" s="36"/>
    </row>
    <row r="84" spans="1:40" ht="15.75" x14ac:dyDescent="0.25">
      <c r="A84" s="44"/>
      <c r="B84" s="36"/>
      <c r="C84" s="36"/>
      <c r="D84" s="36"/>
      <c r="E84" s="36"/>
      <c r="F84" s="36"/>
      <c r="G84" s="36"/>
      <c r="H84" s="36"/>
      <c r="I84" s="36"/>
      <c r="J84" s="105"/>
      <c r="K84" s="36"/>
      <c r="L84" s="36"/>
      <c r="M84" s="36"/>
      <c r="N84" s="105"/>
      <c r="O84" s="36"/>
      <c r="P84" s="36"/>
      <c r="Q84" s="36"/>
      <c r="R84" s="105"/>
      <c r="S84" s="36"/>
      <c r="T84" s="36"/>
      <c r="U84" s="36"/>
      <c r="V84" s="36"/>
      <c r="W84" s="36"/>
      <c r="X84" s="36"/>
      <c r="Y84" s="36"/>
      <c r="Z84" s="36"/>
      <c r="AA84" s="36"/>
      <c r="AB84" s="42"/>
      <c r="AC84" s="42"/>
      <c r="AD84" s="36"/>
      <c r="AE84" s="36"/>
      <c r="AF84" s="42"/>
      <c r="AG84" s="42"/>
      <c r="AH84" s="36"/>
      <c r="AI84" s="36"/>
      <c r="AJ84" s="36"/>
      <c r="AK84" s="36"/>
      <c r="AL84" s="36"/>
      <c r="AM84" s="36"/>
      <c r="AN84" s="36"/>
    </row>
    <row r="85" spans="1:40" ht="15.75" x14ac:dyDescent="0.25">
      <c r="A85" s="44"/>
      <c r="B85" s="36"/>
      <c r="C85" s="36"/>
      <c r="D85" s="36"/>
      <c r="E85" s="36"/>
      <c r="F85" s="36"/>
      <c r="G85" s="36"/>
      <c r="H85" s="36"/>
      <c r="I85" s="36"/>
      <c r="J85" s="105"/>
      <c r="K85" s="36"/>
      <c r="L85" s="36"/>
      <c r="M85" s="36"/>
      <c r="N85" s="105"/>
      <c r="O85" s="36"/>
      <c r="P85" s="36"/>
      <c r="Q85" s="36"/>
      <c r="R85" s="105"/>
      <c r="S85" s="36"/>
      <c r="T85" s="36"/>
      <c r="U85" s="36"/>
      <c r="V85" s="36"/>
      <c r="W85" s="36"/>
      <c r="X85" s="36"/>
      <c r="Y85" s="36"/>
      <c r="Z85" s="36"/>
      <c r="AA85" s="36"/>
      <c r="AB85" s="42"/>
      <c r="AC85" s="42"/>
      <c r="AD85" s="36"/>
      <c r="AE85" s="36"/>
      <c r="AF85" s="42"/>
      <c r="AG85" s="42"/>
      <c r="AH85" s="36"/>
      <c r="AI85" s="36"/>
      <c r="AJ85" s="36"/>
      <c r="AK85" s="36"/>
      <c r="AL85" s="36"/>
      <c r="AM85" s="36"/>
      <c r="AN85" s="36"/>
    </row>
    <row r="86" spans="1:40" ht="15.75" x14ac:dyDescent="0.25">
      <c r="A86" s="44"/>
      <c r="B86" s="36"/>
      <c r="C86" s="36"/>
      <c r="D86" s="36"/>
      <c r="E86" s="36"/>
      <c r="F86" s="36"/>
      <c r="G86" s="36"/>
      <c r="H86" s="36"/>
      <c r="I86" s="36"/>
      <c r="J86" s="105"/>
      <c r="K86" s="36"/>
      <c r="L86" s="36"/>
      <c r="M86" s="36"/>
      <c r="N86" s="105"/>
      <c r="O86" s="36"/>
      <c r="P86" s="36"/>
      <c r="Q86" s="36"/>
      <c r="R86" s="105"/>
      <c r="S86" s="36"/>
      <c r="T86" s="36"/>
      <c r="U86" s="36"/>
      <c r="V86" s="36"/>
      <c r="W86" s="36"/>
      <c r="X86" s="36"/>
      <c r="Y86" s="36"/>
      <c r="Z86" s="36"/>
      <c r="AA86" s="36"/>
      <c r="AB86" s="42"/>
      <c r="AC86" s="42"/>
      <c r="AD86" s="36"/>
      <c r="AE86" s="36"/>
      <c r="AF86" s="42"/>
      <c r="AG86" s="42"/>
      <c r="AH86" s="36"/>
      <c r="AI86" s="36"/>
      <c r="AJ86" s="36"/>
      <c r="AK86" s="36"/>
      <c r="AL86" s="36"/>
      <c r="AM86" s="36"/>
      <c r="AN86" s="36"/>
    </row>
    <row r="87" spans="1:40" ht="15.75" x14ac:dyDescent="0.25">
      <c r="A87" s="44"/>
      <c r="B87" s="36"/>
      <c r="C87" s="36"/>
      <c r="D87" s="36"/>
      <c r="E87" s="36"/>
      <c r="F87" s="36"/>
      <c r="G87" s="36"/>
      <c r="H87" s="36"/>
      <c r="I87" s="36"/>
      <c r="J87" s="105"/>
      <c r="K87" s="36"/>
      <c r="L87" s="36"/>
      <c r="M87" s="36"/>
      <c r="N87" s="105"/>
      <c r="O87" s="36"/>
      <c r="P87" s="36"/>
      <c r="Q87" s="36"/>
      <c r="R87" s="105"/>
      <c r="S87" s="36"/>
      <c r="T87" s="36"/>
      <c r="U87" s="36"/>
      <c r="V87" s="36"/>
      <c r="W87" s="36"/>
      <c r="X87" s="36"/>
      <c r="Y87" s="36"/>
      <c r="Z87" s="36"/>
      <c r="AA87" s="36"/>
      <c r="AB87" s="42"/>
      <c r="AC87" s="42"/>
      <c r="AD87" s="36"/>
      <c r="AE87" s="36"/>
      <c r="AF87" s="42"/>
      <c r="AG87" s="42"/>
      <c r="AH87" s="36"/>
      <c r="AI87" s="36"/>
      <c r="AJ87" s="36"/>
      <c r="AK87" s="36"/>
      <c r="AL87" s="36"/>
      <c r="AM87" s="36"/>
      <c r="AN87" s="36"/>
    </row>
    <row r="88" spans="1:40" ht="15.75" x14ac:dyDescent="0.25">
      <c r="A88" s="44"/>
      <c r="B88" s="36"/>
      <c r="C88" s="36"/>
      <c r="D88" s="36"/>
      <c r="E88" s="36"/>
      <c r="F88" s="36"/>
      <c r="G88" s="36"/>
      <c r="H88" s="36"/>
      <c r="I88" s="36"/>
      <c r="J88" s="105"/>
      <c r="K88" s="36"/>
      <c r="L88" s="36"/>
      <c r="M88" s="36"/>
      <c r="N88" s="105"/>
      <c r="O88" s="36"/>
      <c r="P88" s="36"/>
      <c r="Q88" s="36"/>
      <c r="R88" s="105"/>
      <c r="S88" s="36"/>
      <c r="T88" s="36"/>
      <c r="U88" s="36"/>
      <c r="V88" s="36"/>
      <c r="W88" s="36"/>
      <c r="X88" s="36"/>
      <c r="Y88" s="36"/>
      <c r="Z88" s="36"/>
      <c r="AA88" s="36"/>
      <c r="AB88" s="42"/>
      <c r="AC88" s="42"/>
      <c r="AD88" s="36"/>
      <c r="AE88" s="36"/>
      <c r="AF88" s="42"/>
      <c r="AG88" s="42"/>
      <c r="AH88" s="36"/>
      <c r="AI88" s="36"/>
      <c r="AJ88" s="36"/>
      <c r="AK88" s="36"/>
      <c r="AL88" s="36"/>
      <c r="AM88" s="36"/>
      <c r="AN88" s="36"/>
    </row>
    <row r="89" spans="1:40" ht="15.75" x14ac:dyDescent="0.25">
      <c r="A89" s="44"/>
      <c r="B89" s="36"/>
      <c r="C89" s="36"/>
      <c r="D89" s="36"/>
      <c r="E89" s="36"/>
      <c r="F89" s="36"/>
      <c r="G89" s="36"/>
      <c r="H89" s="36"/>
      <c r="I89" s="36"/>
      <c r="J89" s="105"/>
      <c r="K89" s="36"/>
      <c r="L89" s="36"/>
      <c r="M89" s="36"/>
      <c r="N89" s="105"/>
      <c r="O89" s="36"/>
      <c r="P89" s="36"/>
      <c r="Q89" s="36"/>
      <c r="R89" s="105"/>
      <c r="S89" s="36"/>
      <c r="T89" s="36"/>
      <c r="U89" s="36"/>
      <c r="V89" s="36"/>
      <c r="W89" s="36"/>
      <c r="X89" s="36"/>
      <c r="Y89" s="36"/>
      <c r="Z89" s="36"/>
      <c r="AA89" s="36"/>
      <c r="AB89" s="42"/>
      <c r="AC89" s="42"/>
      <c r="AD89" s="36"/>
      <c r="AE89" s="36"/>
      <c r="AF89" s="42"/>
      <c r="AG89" s="42"/>
      <c r="AH89" s="36"/>
      <c r="AI89" s="36"/>
      <c r="AJ89" s="36"/>
      <c r="AK89" s="36"/>
      <c r="AL89" s="36"/>
      <c r="AM89" s="36"/>
      <c r="AN89" s="36"/>
    </row>
    <row r="90" spans="1:40" ht="15.75" x14ac:dyDescent="0.25">
      <c r="A90" s="44"/>
      <c r="B90" s="36"/>
      <c r="C90" s="36"/>
      <c r="D90" s="36"/>
      <c r="E90" s="36"/>
      <c r="F90" s="36"/>
      <c r="G90" s="36"/>
      <c r="H90" s="36"/>
      <c r="I90" s="36"/>
      <c r="J90" s="105"/>
      <c r="K90" s="36"/>
      <c r="L90" s="36"/>
      <c r="M90" s="36"/>
      <c r="N90" s="105"/>
      <c r="O90" s="36"/>
      <c r="P90" s="36"/>
      <c r="Q90" s="36"/>
      <c r="R90" s="105"/>
      <c r="S90" s="36"/>
      <c r="T90" s="36"/>
      <c r="U90" s="36"/>
      <c r="V90" s="36"/>
      <c r="W90" s="36"/>
      <c r="X90" s="36"/>
      <c r="Y90" s="36"/>
      <c r="Z90" s="36"/>
      <c r="AA90" s="36"/>
      <c r="AB90" s="42"/>
      <c r="AC90" s="42"/>
      <c r="AD90" s="36"/>
      <c r="AE90" s="36"/>
      <c r="AF90" s="42"/>
      <c r="AG90" s="42"/>
      <c r="AH90" s="36"/>
      <c r="AI90" s="36"/>
      <c r="AJ90" s="36"/>
      <c r="AK90" s="36"/>
      <c r="AL90" s="36"/>
      <c r="AM90" s="36"/>
      <c r="AN90" s="36"/>
    </row>
    <row r="91" spans="1:40" ht="15.75" x14ac:dyDescent="0.25">
      <c r="A91" s="44"/>
      <c r="B91" s="36"/>
      <c r="C91" s="36"/>
      <c r="D91" s="36"/>
      <c r="E91" s="36"/>
      <c r="F91" s="36"/>
      <c r="G91" s="36"/>
      <c r="H91" s="36"/>
      <c r="I91" s="36"/>
      <c r="J91" s="105"/>
      <c r="K91" s="36"/>
      <c r="L91" s="36"/>
      <c r="M91" s="36"/>
      <c r="N91" s="105"/>
      <c r="O91" s="36"/>
      <c r="P91" s="36"/>
      <c r="Q91" s="36"/>
      <c r="R91" s="105"/>
      <c r="S91" s="36"/>
      <c r="T91" s="36"/>
      <c r="U91" s="36"/>
      <c r="V91" s="36"/>
      <c r="W91" s="36"/>
      <c r="X91" s="36"/>
      <c r="Y91" s="36"/>
      <c r="Z91" s="36"/>
      <c r="AA91" s="36"/>
      <c r="AB91" s="42"/>
      <c r="AC91" s="42"/>
      <c r="AD91" s="36"/>
      <c r="AE91" s="36"/>
      <c r="AF91" s="42"/>
      <c r="AG91" s="42"/>
      <c r="AH91" s="36"/>
      <c r="AI91" s="36"/>
      <c r="AJ91" s="36"/>
      <c r="AK91" s="36"/>
      <c r="AL91" s="36"/>
      <c r="AM91" s="36"/>
      <c r="AN91" s="36"/>
    </row>
    <row r="92" spans="1:40" ht="15.75" x14ac:dyDescent="0.25">
      <c r="A92" s="44"/>
      <c r="B92" s="36"/>
      <c r="C92" s="36"/>
      <c r="D92" s="36"/>
      <c r="E92" s="36"/>
      <c r="F92" s="36"/>
      <c r="G92" s="36"/>
      <c r="H92" s="36"/>
      <c r="I92" s="36"/>
      <c r="J92" s="105"/>
      <c r="K92" s="36"/>
      <c r="L92" s="36"/>
      <c r="M92" s="36"/>
      <c r="N92" s="105"/>
      <c r="O92" s="36"/>
      <c r="P92" s="36"/>
      <c r="Q92" s="36"/>
      <c r="R92" s="105"/>
      <c r="S92" s="36"/>
      <c r="T92" s="36"/>
      <c r="U92" s="36"/>
      <c r="V92" s="36"/>
      <c r="W92" s="36"/>
      <c r="X92" s="36"/>
      <c r="Y92" s="36"/>
      <c r="Z92" s="36"/>
      <c r="AA92" s="36"/>
      <c r="AB92" s="42"/>
      <c r="AC92" s="42"/>
      <c r="AD92" s="36"/>
      <c r="AE92" s="36"/>
      <c r="AF92" s="42"/>
      <c r="AG92" s="42"/>
      <c r="AH92" s="36"/>
      <c r="AI92" s="36"/>
      <c r="AJ92" s="36"/>
      <c r="AK92" s="36"/>
      <c r="AL92" s="36"/>
      <c r="AM92" s="36"/>
      <c r="AN92" s="36"/>
    </row>
    <row r="93" spans="1:40" ht="15.75" x14ac:dyDescent="0.25">
      <c r="A93" s="44"/>
      <c r="B93" s="36"/>
      <c r="C93" s="36"/>
      <c r="D93" s="36"/>
      <c r="E93" s="36"/>
      <c r="F93" s="36"/>
      <c r="G93" s="36"/>
      <c r="H93" s="36"/>
      <c r="I93" s="36"/>
      <c r="J93" s="105"/>
      <c r="K93" s="36"/>
      <c r="L93" s="36"/>
      <c r="M93" s="36"/>
      <c r="N93" s="105"/>
      <c r="O93" s="36"/>
      <c r="P93" s="36"/>
      <c r="Q93" s="36"/>
      <c r="R93" s="105"/>
      <c r="S93" s="36"/>
      <c r="T93" s="36"/>
      <c r="U93" s="36"/>
      <c r="V93" s="36"/>
      <c r="W93" s="36"/>
      <c r="X93" s="36"/>
      <c r="Y93" s="36"/>
      <c r="Z93" s="36"/>
      <c r="AA93" s="36"/>
      <c r="AB93" s="42"/>
      <c r="AC93" s="42"/>
      <c r="AD93" s="36"/>
      <c r="AE93" s="36"/>
      <c r="AF93" s="42"/>
      <c r="AG93" s="42"/>
      <c r="AH93" s="36"/>
      <c r="AI93" s="36"/>
      <c r="AJ93" s="36"/>
      <c r="AK93" s="36"/>
      <c r="AL93" s="36"/>
      <c r="AM93" s="36"/>
      <c r="AN93" s="36"/>
    </row>
    <row r="94" spans="1:40" ht="15.75" x14ac:dyDescent="0.25">
      <c r="A94" s="44"/>
      <c r="B94" s="36"/>
      <c r="C94" s="36"/>
      <c r="D94" s="36"/>
      <c r="E94" s="36"/>
      <c r="F94" s="36"/>
      <c r="G94" s="36"/>
      <c r="H94" s="36"/>
      <c r="I94" s="36"/>
      <c r="J94" s="105"/>
      <c r="K94" s="36"/>
      <c r="L94" s="36"/>
      <c r="M94" s="36"/>
      <c r="N94" s="105"/>
      <c r="O94" s="36"/>
      <c r="P94" s="36"/>
      <c r="Q94" s="36"/>
      <c r="R94" s="105"/>
      <c r="S94" s="36"/>
      <c r="T94" s="36"/>
      <c r="U94" s="36"/>
      <c r="V94" s="36"/>
      <c r="W94" s="36"/>
      <c r="X94" s="36"/>
      <c r="Y94" s="36"/>
      <c r="Z94" s="36"/>
      <c r="AA94" s="36"/>
      <c r="AB94" s="42"/>
      <c r="AC94" s="42"/>
      <c r="AD94" s="36"/>
      <c r="AE94" s="36"/>
      <c r="AF94" s="42"/>
      <c r="AG94" s="42"/>
      <c r="AH94" s="36"/>
      <c r="AI94" s="36"/>
      <c r="AJ94" s="36"/>
      <c r="AK94" s="36"/>
      <c r="AL94" s="36"/>
      <c r="AM94" s="36"/>
      <c r="AN94" s="36"/>
    </row>
    <row r="95" spans="1:40" ht="15.75" x14ac:dyDescent="0.25">
      <c r="A95" s="44"/>
      <c r="B95" s="36"/>
      <c r="C95" s="36"/>
      <c r="D95" s="36"/>
      <c r="E95" s="36"/>
      <c r="F95" s="36"/>
      <c r="G95" s="36"/>
      <c r="H95" s="36"/>
      <c r="I95" s="36"/>
      <c r="J95" s="105"/>
      <c r="K95" s="36"/>
      <c r="L95" s="36"/>
      <c r="M95" s="36"/>
      <c r="N95" s="105"/>
      <c r="O95" s="36"/>
      <c r="P95" s="36"/>
      <c r="Q95" s="36"/>
      <c r="R95" s="105"/>
      <c r="S95" s="36"/>
      <c r="T95" s="36"/>
      <c r="U95" s="36"/>
      <c r="V95" s="36"/>
      <c r="W95" s="36"/>
      <c r="X95" s="36"/>
      <c r="Y95" s="36"/>
      <c r="Z95" s="36"/>
      <c r="AA95" s="36"/>
      <c r="AB95" s="42"/>
      <c r="AC95" s="42"/>
      <c r="AD95" s="36"/>
      <c r="AE95" s="36"/>
      <c r="AF95" s="42"/>
      <c r="AG95" s="42"/>
      <c r="AH95" s="36"/>
      <c r="AI95" s="36"/>
      <c r="AJ95" s="36"/>
      <c r="AK95" s="36"/>
      <c r="AL95" s="36"/>
      <c r="AM95" s="36"/>
      <c r="AN95" s="36"/>
    </row>
    <row r="96" spans="1:40" ht="15.75" x14ac:dyDescent="0.25">
      <c r="A96" s="44"/>
      <c r="B96" s="36"/>
      <c r="C96" s="36"/>
      <c r="D96" s="36"/>
      <c r="E96" s="36"/>
      <c r="F96" s="36"/>
      <c r="G96" s="36"/>
      <c r="H96" s="36"/>
      <c r="I96" s="36"/>
      <c r="J96" s="105"/>
      <c r="K96" s="36"/>
      <c r="L96" s="36"/>
      <c r="M96" s="36"/>
      <c r="N96" s="105"/>
      <c r="O96" s="36"/>
      <c r="P96" s="36"/>
      <c r="Q96" s="36"/>
      <c r="R96" s="105"/>
      <c r="S96" s="36"/>
      <c r="T96" s="36"/>
      <c r="U96" s="36"/>
      <c r="V96" s="36"/>
      <c r="W96" s="36"/>
      <c r="X96" s="36"/>
      <c r="Y96" s="36"/>
      <c r="Z96" s="36"/>
      <c r="AA96" s="36"/>
      <c r="AB96" s="42"/>
      <c r="AC96" s="42"/>
      <c r="AD96" s="36"/>
      <c r="AE96" s="36"/>
      <c r="AF96" s="42"/>
      <c r="AG96" s="42"/>
      <c r="AH96" s="36"/>
      <c r="AI96" s="36"/>
      <c r="AJ96" s="36"/>
      <c r="AK96" s="36"/>
      <c r="AL96" s="36"/>
      <c r="AM96" s="36"/>
      <c r="AN96" s="36"/>
    </row>
    <row r="97" spans="1:40" ht="15.75" x14ac:dyDescent="0.25">
      <c r="A97" s="44"/>
      <c r="B97" s="36"/>
      <c r="C97" s="36"/>
      <c r="D97" s="36"/>
      <c r="E97" s="36"/>
      <c r="F97" s="36"/>
      <c r="G97" s="36"/>
      <c r="H97" s="36"/>
      <c r="I97" s="36"/>
      <c r="J97" s="105"/>
      <c r="K97" s="36"/>
      <c r="L97" s="36"/>
      <c r="M97" s="36"/>
      <c r="N97" s="105"/>
      <c r="O97" s="36"/>
      <c r="P97" s="36"/>
      <c r="Q97" s="36"/>
      <c r="R97" s="105"/>
      <c r="S97" s="36"/>
      <c r="T97" s="36"/>
      <c r="U97" s="36"/>
      <c r="V97" s="36"/>
      <c r="W97" s="36"/>
      <c r="X97" s="36"/>
      <c r="Y97" s="36"/>
      <c r="Z97" s="36"/>
      <c r="AA97" s="36"/>
      <c r="AB97" s="42"/>
      <c r="AC97" s="42"/>
      <c r="AD97" s="36"/>
      <c r="AE97" s="36"/>
      <c r="AF97" s="42"/>
      <c r="AG97" s="42"/>
      <c r="AH97" s="36"/>
      <c r="AI97" s="36"/>
      <c r="AJ97" s="36"/>
      <c r="AK97" s="36"/>
      <c r="AL97" s="36"/>
      <c r="AM97" s="36"/>
      <c r="AN97" s="36"/>
    </row>
    <row r="98" spans="1:40" ht="15.75" x14ac:dyDescent="0.25">
      <c r="A98" s="44"/>
      <c r="B98" s="36"/>
      <c r="C98" s="36"/>
      <c r="D98" s="36"/>
      <c r="E98" s="36"/>
      <c r="F98" s="36"/>
      <c r="G98" s="36"/>
      <c r="H98" s="36"/>
      <c r="I98" s="36"/>
      <c r="J98" s="105"/>
      <c r="K98" s="36"/>
      <c r="L98" s="36"/>
      <c r="M98" s="36"/>
      <c r="N98" s="105"/>
      <c r="O98" s="36"/>
      <c r="P98" s="36"/>
      <c r="Q98" s="36"/>
      <c r="R98" s="105"/>
      <c r="S98" s="36"/>
      <c r="T98" s="36"/>
      <c r="U98" s="36"/>
      <c r="V98" s="36"/>
      <c r="W98" s="36"/>
      <c r="X98" s="36"/>
      <c r="Y98" s="36"/>
      <c r="Z98" s="36"/>
      <c r="AA98" s="36"/>
      <c r="AB98" s="42"/>
      <c r="AC98" s="42"/>
      <c r="AD98" s="36"/>
      <c r="AE98" s="36"/>
      <c r="AF98" s="42"/>
      <c r="AG98" s="42"/>
      <c r="AH98" s="36"/>
      <c r="AI98" s="36"/>
      <c r="AJ98" s="36"/>
      <c r="AK98" s="36"/>
      <c r="AL98" s="36"/>
      <c r="AM98" s="36"/>
      <c r="AN98" s="36"/>
    </row>
    <row r="99" spans="1:40" ht="15.75" x14ac:dyDescent="0.25">
      <c r="A99" s="44"/>
      <c r="B99" s="36"/>
      <c r="C99" s="36"/>
      <c r="D99" s="36"/>
      <c r="E99" s="36"/>
      <c r="F99" s="36"/>
      <c r="G99" s="36"/>
      <c r="H99" s="36"/>
      <c r="I99" s="36"/>
      <c r="J99" s="105"/>
      <c r="K99" s="36"/>
      <c r="L99" s="36"/>
      <c r="M99" s="36"/>
      <c r="N99" s="105"/>
      <c r="O99" s="36"/>
      <c r="P99" s="36"/>
      <c r="Q99" s="36"/>
      <c r="R99" s="105"/>
      <c r="S99" s="36"/>
      <c r="T99" s="36"/>
      <c r="U99" s="36"/>
      <c r="V99" s="36"/>
      <c r="W99" s="36"/>
      <c r="X99" s="36"/>
      <c r="Y99" s="36"/>
      <c r="Z99" s="36"/>
      <c r="AA99" s="36"/>
      <c r="AB99" s="42"/>
      <c r="AC99" s="42"/>
      <c r="AD99" s="36"/>
      <c r="AE99" s="36"/>
      <c r="AF99" s="42"/>
      <c r="AG99" s="42"/>
      <c r="AH99" s="36"/>
      <c r="AI99" s="36"/>
      <c r="AJ99" s="36"/>
      <c r="AK99" s="36"/>
      <c r="AL99" s="36"/>
      <c r="AM99" s="36"/>
      <c r="AN99" s="36"/>
    </row>
    <row r="100" spans="1:40" ht="15.75" x14ac:dyDescent="0.25">
      <c r="A100" s="44"/>
      <c r="B100" s="36"/>
      <c r="C100" s="36"/>
      <c r="D100" s="36"/>
      <c r="E100" s="36"/>
      <c r="F100" s="36"/>
      <c r="G100" s="36"/>
      <c r="H100" s="36"/>
      <c r="I100" s="36"/>
      <c r="J100" s="105"/>
      <c r="K100" s="36"/>
      <c r="L100" s="36"/>
      <c r="M100" s="36"/>
      <c r="N100" s="105"/>
      <c r="O100" s="36"/>
      <c r="P100" s="36"/>
      <c r="Q100" s="36"/>
      <c r="R100" s="105"/>
      <c r="S100" s="36"/>
      <c r="T100" s="36"/>
      <c r="U100" s="36"/>
      <c r="V100" s="36"/>
      <c r="W100" s="36"/>
      <c r="X100" s="36"/>
      <c r="Y100" s="36"/>
      <c r="Z100" s="36"/>
      <c r="AA100" s="36"/>
      <c r="AB100" s="42"/>
      <c r="AC100" s="42"/>
      <c r="AD100" s="36"/>
      <c r="AE100" s="36"/>
      <c r="AF100" s="42"/>
      <c r="AG100" s="42"/>
      <c r="AH100" s="36"/>
      <c r="AI100" s="36"/>
      <c r="AJ100" s="36"/>
      <c r="AK100" s="36"/>
      <c r="AL100" s="36"/>
      <c r="AM100" s="36"/>
      <c r="AN100" s="36"/>
    </row>
    <row r="101" spans="1:40" ht="15.75" x14ac:dyDescent="0.25">
      <c r="A101" s="44"/>
      <c r="B101" s="36"/>
      <c r="C101" s="36"/>
      <c r="D101" s="36"/>
      <c r="E101" s="36"/>
      <c r="F101" s="36"/>
      <c r="G101" s="36"/>
      <c r="H101" s="36"/>
      <c r="I101" s="36"/>
      <c r="J101" s="105"/>
      <c r="K101" s="36"/>
      <c r="L101" s="36"/>
      <c r="M101" s="36"/>
      <c r="N101" s="105"/>
      <c r="O101" s="36"/>
      <c r="P101" s="36"/>
      <c r="Q101" s="36"/>
      <c r="R101" s="105"/>
      <c r="S101" s="36"/>
      <c r="T101" s="36"/>
      <c r="U101" s="36"/>
      <c r="V101" s="36"/>
      <c r="W101" s="36"/>
      <c r="X101" s="36"/>
      <c r="Y101" s="36"/>
      <c r="Z101" s="36"/>
      <c r="AA101" s="36"/>
      <c r="AB101" s="42"/>
      <c r="AC101" s="42"/>
      <c r="AD101" s="36"/>
      <c r="AE101" s="36"/>
      <c r="AF101" s="42"/>
      <c r="AG101" s="42"/>
      <c r="AH101" s="36"/>
      <c r="AI101" s="36"/>
      <c r="AJ101" s="36"/>
      <c r="AK101" s="36"/>
      <c r="AL101" s="36"/>
      <c r="AM101" s="36"/>
      <c r="AN101" s="36"/>
    </row>
    <row r="102" spans="1:40" ht="15.75" x14ac:dyDescent="0.25">
      <c r="A102" s="44"/>
      <c r="B102" s="36"/>
      <c r="C102" s="36"/>
      <c r="D102" s="36"/>
      <c r="E102" s="36"/>
      <c r="F102" s="36"/>
      <c r="G102" s="36"/>
      <c r="H102" s="36"/>
      <c r="I102" s="36"/>
      <c r="J102" s="105"/>
      <c r="K102" s="36"/>
      <c r="L102" s="36"/>
      <c r="M102" s="36"/>
      <c r="N102" s="105"/>
      <c r="O102" s="36"/>
      <c r="P102" s="36"/>
      <c r="Q102" s="36"/>
      <c r="R102" s="105"/>
      <c r="S102" s="36"/>
      <c r="T102" s="36"/>
      <c r="U102" s="36"/>
      <c r="V102" s="36"/>
      <c r="W102" s="36"/>
      <c r="X102" s="36"/>
      <c r="Y102" s="36"/>
      <c r="Z102" s="36"/>
      <c r="AA102" s="36"/>
      <c r="AB102" s="42"/>
      <c r="AC102" s="42"/>
      <c r="AD102" s="36"/>
      <c r="AE102" s="36"/>
      <c r="AF102" s="42"/>
      <c r="AG102" s="42"/>
      <c r="AH102" s="36"/>
      <c r="AI102" s="36"/>
      <c r="AJ102" s="36"/>
      <c r="AK102" s="36"/>
      <c r="AL102" s="36"/>
      <c r="AM102" s="36"/>
      <c r="AN102" s="36"/>
    </row>
    <row r="103" spans="1:40" ht="15.75" x14ac:dyDescent="0.25">
      <c r="A103" s="44"/>
      <c r="B103" s="36"/>
      <c r="C103" s="36"/>
      <c r="D103" s="36"/>
      <c r="E103" s="36"/>
      <c r="F103" s="36"/>
      <c r="G103" s="36"/>
      <c r="H103" s="36"/>
      <c r="I103" s="36"/>
      <c r="J103" s="105"/>
      <c r="K103" s="36"/>
      <c r="L103" s="36"/>
      <c r="M103" s="36"/>
      <c r="N103" s="105"/>
      <c r="O103" s="36"/>
      <c r="P103" s="36"/>
      <c r="Q103" s="36"/>
      <c r="R103" s="105"/>
      <c r="S103" s="36"/>
      <c r="T103" s="36"/>
      <c r="U103" s="36"/>
      <c r="V103" s="36"/>
      <c r="W103" s="36"/>
      <c r="X103" s="36"/>
      <c r="Y103" s="36"/>
      <c r="Z103" s="36"/>
      <c r="AA103" s="36"/>
      <c r="AB103" s="42"/>
      <c r="AC103" s="42"/>
      <c r="AD103" s="36"/>
      <c r="AE103" s="36"/>
      <c r="AF103" s="42"/>
      <c r="AG103" s="42"/>
      <c r="AH103" s="36"/>
      <c r="AI103" s="36"/>
      <c r="AJ103" s="36"/>
      <c r="AK103" s="36"/>
      <c r="AL103" s="36"/>
      <c r="AM103" s="36"/>
      <c r="AN103" s="36"/>
    </row>
    <row r="104" spans="1:40" ht="15.75" x14ac:dyDescent="0.25">
      <c r="A104" s="44"/>
      <c r="B104" s="36"/>
      <c r="C104" s="36"/>
      <c r="D104" s="36"/>
      <c r="E104" s="36"/>
      <c r="F104" s="36"/>
      <c r="G104" s="36"/>
      <c r="H104" s="36"/>
      <c r="I104" s="36"/>
      <c r="J104" s="105"/>
      <c r="K104" s="36"/>
      <c r="L104" s="36"/>
      <c r="M104" s="36"/>
      <c r="N104" s="105"/>
      <c r="O104" s="36"/>
      <c r="P104" s="36"/>
      <c r="Q104" s="36"/>
      <c r="R104" s="105"/>
      <c r="S104" s="36"/>
      <c r="T104" s="36"/>
      <c r="U104" s="36"/>
      <c r="V104" s="36"/>
      <c r="W104" s="36"/>
      <c r="X104" s="36"/>
      <c r="Y104" s="36"/>
      <c r="Z104" s="36"/>
      <c r="AA104" s="36"/>
      <c r="AB104" s="42"/>
      <c r="AC104" s="42"/>
      <c r="AD104" s="36"/>
      <c r="AE104" s="36"/>
      <c r="AF104" s="42"/>
      <c r="AG104" s="42"/>
      <c r="AH104" s="36"/>
      <c r="AI104" s="36"/>
      <c r="AJ104" s="36"/>
      <c r="AK104" s="36"/>
      <c r="AL104" s="36"/>
      <c r="AM104" s="36"/>
      <c r="AN104" s="36"/>
    </row>
    <row r="105" spans="1:40" ht="15.75" x14ac:dyDescent="0.25">
      <c r="A105" s="44"/>
      <c r="B105" s="36"/>
      <c r="C105" s="36"/>
      <c r="D105" s="36"/>
      <c r="E105" s="36"/>
      <c r="F105" s="36"/>
      <c r="G105" s="36"/>
      <c r="H105" s="36"/>
      <c r="I105" s="36"/>
      <c r="J105" s="105"/>
      <c r="K105" s="36"/>
      <c r="L105" s="36"/>
      <c r="M105" s="36"/>
      <c r="N105" s="105"/>
      <c r="O105" s="36"/>
      <c r="P105" s="36"/>
      <c r="Q105" s="36"/>
      <c r="R105" s="105"/>
      <c r="S105" s="36"/>
      <c r="T105" s="36"/>
      <c r="U105" s="36"/>
      <c r="V105" s="36"/>
      <c r="W105" s="36"/>
      <c r="X105" s="36"/>
      <c r="Y105" s="36"/>
      <c r="Z105" s="36"/>
      <c r="AA105" s="36"/>
      <c r="AB105" s="42"/>
      <c r="AC105" s="42"/>
      <c r="AD105" s="36"/>
      <c r="AE105" s="36"/>
      <c r="AF105" s="42"/>
      <c r="AG105" s="42"/>
      <c r="AH105" s="36"/>
      <c r="AI105" s="36"/>
      <c r="AJ105" s="36"/>
      <c r="AK105" s="36"/>
      <c r="AL105" s="36"/>
      <c r="AM105" s="36"/>
      <c r="AN105" s="36"/>
    </row>
    <row r="106" spans="1:40" ht="15.75" x14ac:dyDescent="0.25">
      <c r="A106" s="44"/>
      <c r="B106" s="36"/>
      <c r="C106" s="36"/>
      <c r="D106" s="36"/>
      <c r="E106" s="36"/>
      <c r="F106" s="36"/>
      <c r="G106" s="36"/>
      <c r="H106" s="36"/>
      <c r="I106" s="36"/>
      <c r="J106" s="105"/>
      <c r="K106" s="36"/>
      <c r="L106" s="36"/>
      <c r="M106" s="36"/>
      <c r="N106" s="105"/>
      <c r="O106" s="36"/>
      <c r="P106" s="36"/>
      <c r="Q106" s="36"/>
      <c r="R106" s="105"/>
      <c r="S106" s="36"/>
      <c r="T106" s="36"/>
      <c r="U106" s="36"/>
      <c r="V106" s="36"/>
      <c r="W106" s="36"/>
      <c r="X106" s="36"/>
      <c r="Y106" s="36"/>
      <c r="Z106" s="36"/>
      <c r="AA106" s="36"/>
      <c r="AB106" s="42"/>
      <c r="AC106" s="42"/>
      <c r="AD106" s="36"/>
      <c r="AE106" s="36"/>
      <c r="AF106" s="42"/>
      <c r="AG106" s="42"/>
      <c r="AH106" s="36"/>
      <c r="AI106" s="36"/>
      <c r="AJ106" s="36"/>
      <c r="AK106" s="36"/>
      <c r="AL106" s="36"/>
      <c r="AM106" s="36"/>
      <c r="AN106" s="36"/>
    </row>
    <row r="107" spans="1:40" ht="15.75" x14ac:dyDescent="0.25">
      <c r="A107" s="44"/>
      <c r="B107" s="36"/>
      <c r="C107" s="36"/>
      <c r="D107" s="36"/>
      <c r="E107" s="36"/>
      <c r="F107" s="36"/>
      <c r="G107" s="36"/>
      <c r="H107" s="36"/>
      <c r="I107" s="36"/>
      <c r="J107" s="105"/>
      <c r="K107" s="36"/>
      <c r="L107" s="36"/>
      <c r="M107" s="36"/>
      <c r="N107" s="105"/>
      <c r="O107" s="36"/>
      <c r="P107" s="36"/>
      <c r="Q107" s="36"/>
      <c r="R107" s="105"/>
      <c r="S107" s="36"/>
      <c r="T107" s="36"/>
      <c r="U107" s="36"/>
      <c r="V107" s="36"/>
      <c r="W107" s="36"/>
      <c r="X107" s="36"/>
      <c r="Y107" s="36"/>
      <c r="Z107" s="36"/>
      <c r="AA107" s="36"/>
      <c r="AB107" s="42"/>
      <c r="AC107" s="42"/>
      <c r="AD107" s="36"/>
      <c r="AE107" s="36"/>
      <c r="AF107" s="42"/>
      <c r="AG107" s="42"/>
      <c r="AH107" s="36"/>
      <c r="AI107" s="36"/>
      <c r="AJ107" s="36"/>
      <c r="AK107" s="36"/>
      <c r="AL107" s="36"/>
      <c r="AM107" s="36"/>
      <c r="AN107" s="36"/>
    </row>
    <row r="108" spans="1:40" ht="15.75" x14ac:dyDescent="0.25">
      <c r="A108" s="44"/>
      <c r="B108" s="36"/>
      <c r="C108" s="36"/>
      <c r="D108" s="36"/>
      <c r="E108" s="36"/>
      <c r="F108" s="36"/>
      <c r="G108" s="36"/>
      <c r="H108" s="36"/>
      <c r="I108" s="36"/>
      <c r="J108" s="105"/>
      <c r="K108" s="36"/>
      <c r="L108" s="36"/>
      <c r="M108" s="36"/>
      <c r="N108" s="105"/>
      <c r="O108" s="36"/>
      <c r="P108" s="36"/>
      <c r="Q108" s="36"/>
      <c r="R108" s="105"/>
      <c r="S108" s="36"/>
      <c r="T108" s="36"/>
      <c r="U108" s="36"/>
      <c r="V108" s="36"/>
      <c r="W108" s="36"/>
      <c r="X108" s="36"/>
      <c r="Y108" s="36"/>
      <c r="Z108" s="36"/>
      <c r="AA108" s="36"/>
      <c r="AB108" s="42"/>
      <c r="AC108" s="42"/>
      <c r="AD108" s="36"/>
      <c r="AE108" s="36"/>
      <c r="AF108" s="42"/>
      <c r="AG108" s="42"/>
      <c r="AH108" s="36"/>
      <c r="AI108" s="36"/>
      <c r="AJ108" s="36"/>
      <c r="AK108" s="36"/>
      <c r="AL108" s="36"/>
      <c r="AM108" s="36"/>
      <c r="AN108" s="36"/>
    </row>
    <row r="109" spans="1:40" ht="15.75" x14ac:dyDescent="0.25">
      <c r="A109" s="44"/>
      <c r="B109" s="36"/>
      <c r="C109" s="36"/>
      <c r="D109" s="36"/>
      <c r="E109" s="36"/>
      <c r="F109" s="36"/>
      <c r="G109" s="36"/>
      <c r="H109" s="36"/>
      <c r="I109" s="36"/>
      <c r="J109" s="105"/>
      <c r="K109" s="36"/>
      <c r="L109" s="36"/>
      <c r="M109" s="36"/>
      <c r="N109" s="105"/>
      <c r="O109" s="36"/>
      <c r="P109" s="36"/>
      <c r="Q109" s="36"/>
      <c r="R109" s="105"/>
      <c r="S109" s="36"/>
      <c r="T109" s="36"/>
      <c r="U109" s="36"/>
      <c r="V109" s="36"/>
      <c r="W109" s="36"/>
      <c r="X109" s="36"/>
      <c r="Y109" s="36"/>
      <c r="Z109" s="36"/>
      <c r="AA109" s="36"/>
      <c r="AB109" s="42"/>
      <c r="AC109" s="42"/>
      <c r="AD109" s="36"/>
      <c r="AE109" s="36"/>
      <c r="AF109" s="42"/>
      <c r="AG109" s="42"/>
      <c r="AH109" s="36"/>
      <c r="AI109" s="36"/>
      <c r="AJ109" s="36"/>
      <c r="AK109" s="36"/>
      <c r="AL109" s="36"/>
      <c r="AM109" s="36"/>
      <c r="AN109" s="36"/>
    </row>
    <row r="110" spans="1:40" ht="15.75" x14ac:dyDescent="0.25">
      <c r="A110" s="44"/>
      <c r="B110" s="36"/>
      <c r="C110" s="36"/>
      <c r="D110" s="36"/>
      <c r="E110" s="36"/>
      <c r="F110" s="36"/>
      <c r="G110" s="36"/>
      <c r="H110" s="36"/>
      <c r="I110" s="36"/>
      <c r="J110" s="105"/>
      <c r="K110" s="36"/>
      <c r="L110" s="36"/>
      <c r="M110" s="36"/>
      <c r="N110" s="105"/>
      <c r="O110" s="36"/>
      <c r="P110" s="36"/>
      <c r="Q110" s="36"/>
      <c r="R110" s="105"/>
      <c r="S110" s="36"/>
      <c r="T110" s="36"/>
      <c r="U110" s="36"/>
      <c r="V110" s="36"/>
      <c r="W110" s="36"/>
      <c r="X110" s="36"/>
      <c r="Y110" s="36"/>
      <c r="Z110" s="36"/>
      <c r="AA110" s="36"/>
      <c r="AB110" s="42"/>
      <c r="AC110" s="42"/>
      <c r="AD110" s="36"/>
      <c r="AE110" s="36"/>
      <c r="AF110" s="42"/>
      <c r="AG110" s="42"/>
      <c r="AH110" s="36"/>
      <c r="AI110" s="36"/>
      <c r="AJ110" s="36"/>
      <c r="AK110" s="36"/>
      <c r="AL110" s="36"/>
      <c r="AM110" s="36"/>
      <c r="AN110" s="36"/>
    </row>
    <row r="111" spans="1:40" ht="15.75" x14ac:dyDescent="0.25">
      <c r="A111" s="44"/>
      <c r="B111" s="36"/>
      <c r="C111" s="36"/>
      <c r="D111" s="36"/>
      <c r="E111" s="36"/>
      <c r="F111" s="36"/>
      <c r="G111" s="36"/>
      <c r="H111" s="36"/>
      <c r="I111" s="36"/>
      <c r="J111" s="105"/>
      <c r="K111" s="36"/>
      <c r="L111" s="36"/>
      <c r="M111" s="36"/>
      <c r="N111" s="105"/>
      <c r="O111" s="36"/>
      <c r="P111" s="36"/>
      <c r="Q111" s="36"/>
      <c r="R111" s="105"/>
      <c r="S111" s="36"/>
      <c r="T111" s="36"/>
      <c r="U111" s="36"/>
      <c r="V111" s="36"/>
      <c r="W111" s="36"/>
      <c r="X111" s="36"/>
      <c r="Y111" s="36"/>
      <c r="Z111" s="36"/>
      <c r="AA111" s="36"/>
      <c r="AB111" s="42"/>
      <c r="AC111" s="42"/>
      <c r="AD111" s="36"/>
      <c r="AE111" s="36"/>
      <c r="AF111" s="42"/>
      <c r="AG111" s="42"/>
      <c r="AH111" s="36"/>
      <c r="AI111" s="36"/>
      <c r="AJ111" s="36"/>
      <c r="AK111" s="36"/>
      <c r="AL111" s="36"/>
      <c r="AM111" s="36"/>
      <c r="AN111" s="36"/>
    </row>
    <row r="112" spans="1:40" ht="15.75" x14ac:dyDescent="0.25">
      <c r="A112" s="44"/>
      <c r="B112" s="36"/>
      <c r="C112" s="36"/>
      <c r="D112" s="36"/>
      <c r="E112" s="36"/>
      <c r="F112" s="36"/>
      <c r="G112" s="36"/>
      <c r="H112" s="36"/>
      <c r="I112" s="36"/>
      <c r="J112" s="105"/>
      <c r="K112" s="36"/>
      <c r="L112" s="36"/>
      <c r="M112" s="36"/>
      <c r="N112" s="105"/>
      <c r="O112" s="36"/>
      <c r="P112" s="36"/>
      <c r="Q112" s="36"/>
      <c r="R112" s="105"/>
      <c r="S112" s="36"/>
      <c r="T112" s="36"/>
      <c r="U112" s="36"/>
      <c r="V112" s="36"/>
      <c r="W112" s="36"/>
      <c r="X112" s="36"/>
      <c r="Y112" s="36"/>
      <c r="Z112" s="36"/>
      <c r="AA112" s="36"/>
      <c r="AB112" s="42"/>
      <c r="AC112" s="42"/>
      <c r="AD112" s="36"/>
      <c r="AE112" s="36"/>
      <c r="AF112" s="42"/>
      <c r="AG112" s="42"/>
      <c r="AH112" s="36"/>
      <c r="AI112" s="36"/>
      <c r="AJ112" s="36"/>
      <c r="AK112" s="36"/>
      <c r="AL112" s="36"/>
      <c r="AM112" s="36"/>
      <c r="AN112" s="36"/>
    </row>
    <row r="113" spans="1:40" ht="15.75" x14ac:dyDescent="0.25">
      <c r="A113" s="44"/>
      <c r="B113" s="36"/>
      <c r="C113" s="36"/>
      <c r="D113" s="36"/>
      <c r="E113" s="36"/>
      <c r="F113" s="36"/>
      <c r="G113" s="36"/>
      <c r="H113" s="36"/>
      <c r="I113" s="36"/>
      <c r="J113" s="105"/>
      <c r="K113" s="36"/>
      <c r="L113" s="36"/>
      <c r="M113" s="36"/>
      <c r="N113" s="105"/>
      <c r="O113" s="36"/>
      <c r="P113" s="36"/>
      <c r="Q113" s="36"/>
      <c r="R113" s="105"/>
      <c r="S113" s="36"/>
      <c r="T113" s="36"/>
      <c r="U113" s="36"/>
      <c r="V113" s="36"/>
      <c r="W113" s="36"/>
      <c r="X113" s="36"/>
      <c r="Y113" s="36"/>
      <c r="Z113" s="36"/>
      <c r="AA113" s="36"/>
      <c r="AB113" s="42"/>
      <c r="AC113" s="42"/>
      <c r="AD113" s="36"/>
      <c r="AE113" s="36"/>
      <c r="AF113" s="42"/>
      <c r="AG113" s="42"/>
      <c r="AH113" s="36"/>
      <c r="AI113" s="36"/>
      <c r="AJ113" s="36"/>
      <c r="AK113" s="36"/>
      <c r="AL113" s="36"/>
      <c r="AM113" s="36"/>
      <c r="AN113" s="36"/>
    </row>
    <row r="114" spans="1:40" ht="15.75" x14ac:dyDescent="0.25">
      <c r="A114" s="44"/>
      <c r="B114" s="36"/>
      <c r="C114" s="36"/>
      <c r="D114" s="36"/>
      <c r="E114" s="36"/>
      <c r="F114" s="36"/>
      <c r="G114" s="36"/>
      <c r="H114" s="36"/>
      <c r="I114" s="36"/>
      <c r="J114" s="105"/>
      <c r="K114" s="36"/>
      <c r="L114" s="36"/>
      <c r="M114" s="36"/>
      <c r="N114" s="105"/>
      <c r="O114" s="36"/>
      <c r="P114" s="36"/>
      <c r="Q114" s="36"/>
      <c r="R114" s="105"/>
      <c r="S114" s="36"/>
      <c r="T114" s="36"/>
      <c r="U114" s="36"/>
      <c r="V114" s="36"/>
      <c r="W114" s="36"/>
      <c r="X114" s="36"/>
      <c r="Y114" s="36"/>
      <c r="Z114" s="36"/>
      <c r="AA114" s="36"/>
      <c r="AB114" s="42"/>
      <c r="AC114" s="42"/>
      <c r="AD114" s="36"/>
      <c r="AE114" s="36"/>
      <c r="AF114" s="42"/>
      <c r="AG114" s="42"/>
      <c r="AH114" s="36"/>
      <c r="AI114" s="36"/>
      <c r="AJ114" s="36"/>
      <c r="AK114" s="36"/>
      <c r="AL114" s="36"/>
      <c r="AM114" s="36"/>
      <c r="AN114" s="36"/>
    </row>
    <row r="115" spans="1:40" ht="15.75" x14ac:dyDescent="0.25">
      <c r="A115" s="44"/>
      <c r="B115" s="36"/>
      <c r="C115" s="36"/>
      <c r="D115" s="36"/>
      <c r="E115" s="36"/>
      <c r="F115" s="36"/>
      <c r="G115" s="36"/>
      <c r="H115" s="36"/>
      <c r="I115" s="36"/>
      <c r="J115" s="105"/>
      <c r="K115" s="36"/>
      <c r="L115" s="36"/>
      <c r="M115" s="36"/>
      <c r="N115" s="105"/>
      <c r="O115" s="36"/>
      <c r="P115" s="36"/>
      <c r="Q115" s="36"/>
      <c r="R115" s="105"/>
      <c r="S115" s="36"/>
      <c r="T115" s="36"/>
      <c r="U115" s="36"/>
      <c r="V115" s="36"/>
      <c r="W115" s="36"/>
      <c r="X115" s="36"/>
      <c r="Y115" s="36"/>
      <c r="Z115" s="36"/>
      <c r="AA115" s="36"/>
      <c r="AB115" s="42"/>
      <c r="AC115" s="42"/>
      <c r="AD115" s="36"/>
      <c r="AE115" s="36"/>
      <c r="AF115" s="42"/>
      <c r="AG115" s="42"/>
      <c r="AH115" s="36"/>
      <c r="AI115" s="36"/>
      <c r="AJ115" s="36"/>
      <c r="AK115" s="36"/>
      <c r="AL115" s="36"/>
      <c r="AM115" s="36"/>
      <c r="AN115" s="36"/>
    </row>
    <row r="116" spans="1:40" ht="15.75" x14ac:dyDescent="0.25">
      <c r="A116" s="44"/>
      <c r="B116" s="36"/>
      <c r="C116" s="36"/>
      <c r="D116" s="36"/>
      <c r="E116" s="36"/>
      <c r="F116" s="36"/>
      <c r="G116" s="36"/>
      <c r="H116" s="36"/>
      <c r="I116" s="36"/>
      <c r="J116" s="105"/>
      <c r="K116" s="36"/>
      <c r="L116" s="36"/>
      <c r="M116" s="36"/>
      <c r="N116" s="105"/>
      <c r="O116" s="36"/>
      <c r="P116" s="36"/>
      <c r="Q116" s="36"/>
      <c r="R116" s="105"/>
      <c r="S116" s="36"/>
      <c r="T116" s="36"/>
      <c r="U116" s="36"/>
      <c r="V116" s="36"/>
      <c r="W116" s="36"/>
      <c r="X116" s="36"/>
      <c r="Y116" s="36"/>
      <c r="Z116" s="36"/>
      <c r="AA116" s="36"/>
      <c r="AB116" s="42"/>
      <c r="AC116" s="42"/>
      <c r="AD116" s="36"/>
      <c r="AE116" s="36"/>
      <c r="AF116" s="42"/>
      <c r="AG116" s="42"/>
      <c r="AH116" s="36"/>
      <c r="AI116" s="36"/>
      <c r="AJ116" s="36"/>
      <c r="AK116" s="36"/>
      <c r="AL116" s="36"/>
      <c r="AM116" s="36"/>
      <c r="AN116" s="36"/>
    </row>
    <row r="117" spans="1:40" ht="15.75" x14ac:dyDescent="0.25">
      <c r="A117" s="44"/>
      <c r="B117" s="36"/>
      <c r="C117" s="36"/>
      <c r="D117" s="36"/>
      <c r="E117" s="36"/>
      <c r="F117" s="36"/>
      <c r="G117" s="36"/>
      <c r="H117" s="36"/>
      <c r="I117" s="36"/>
      <c r="J117" s="105"/>
      <c r="K117" s="36"/>
      <c r="L117" s="36"/>
      <c r="M117" s="36"/>
      <c r="N117" s="105"/>
      <c r="O117" s="36"/>
      <c r="P117" s="36"/>
      <c r="Q117" s="36"/>
      <c r="R117" s="105"/>
      <c r="S117" s="36"/>
      <c r="T117" s="36"/>
      <c r="U117" s="36"/>
      <c r="V117" s="36"/>
      <c r="W117" s="36"/>
      <c r="X117" s="36"/>
      <c r="Y117" s="36"/>
      <c r="Z117" s="36"/>
      <c r="AA117" s="36"/>
      <c r="AB117" s="42"/>
      <c r="AC117" s="42"/>
      <c r="AD117" s="36"/>
      <c r="AE117" s="36"/>
      <c r="AF117" s="42"/>
      <c r="AG117" s="42"/>
      <c r="AH117" s="36"/>
      <c r="AI117" s="36"/>
      <c r="AJ117" s="36"/>
      <c r="AK117" s="36"/>
      <c r="AL117" s="36"/>
      <c r="AM117" s="36"/>
      <c r="AN117" s="36"/>
    </row>
    <row r="118" spans="1:40" ht="15.75" x14ac:dyDescent="0.25">
      <c r="A118" s="44"/>
      <c r="B118" s="36"/>
      <c r="C118" s="36"/>
      <c r="D118" s="36"/>
      <c r="E118" s="36"/>
      <c r="F118" s="36"/>
      <c r="G118" s="36"/>
      <c r="H118" s="36"/>
      <c r="I118" s="36"/>
      <c r="J118" s="105"/>
      <c r="K118" s="36"/>
      <c r="L118" s="36"/>
      <c r="M118" s="36"/>
      <c r="N118" s="105"/>
      <c r="O118" s="36"/>
      <c r="P118" s="36"/>
      <c r="Q118" s="36"/>
      <c r="R118" s="105"/>
      <c r="S118" s="36"/>
      <c r="T118" s="36"/>
      <c r="U118" s="36"/>
      <c r="V118" s="36"/>
      <c r="W118" s="36"/>
      <c r="X118" s="36"/>
      <c r="Y118" s="36"/>
      <c r="Z118" s="36"/>
      <c r="AA118" s="36"/>
      <c r="AB118" s="42"/>
      <c r="AC118" s="42"/>
      <c r="AD118" s="36"/>
      <c r="AE118" s="36"/>
      <c r="AF118" s="42"/>
      <c r="AG118" s="42"/>
      <c r="AH118" s="36"/>
      <c r="AI118" s="36"/>
      <c r="AJ118" s="36"/>
      <c r="AK118" s="36"/>
      <c r="AL118" s="36"/>
      <c r="AM118" s="36"/>
      <c r="AN118" s="36"/>
    </row>
    <row r="119" spans="1:40" ht="15.75" x14ac:dyDescent="0.25">
      <c r="A119" s="44"/>
      <c r="B119" s="36"/>
      <c r="C119" s="36"/>
      <c r="D119" s="36"/>
      <c r="E119" s="36"/>
      <c r="F119" s="36"/>
      <c r="G119" s="36"/>
      <c r="H119" s="36"/>
      <c r="I119" s="36"/>
      <c r="J119" s="105"/>
      <c r="K119" s="36"/>
      <c r="L119" s="36"/>
      <c r="M119" s="36"/>
      <c r="N119" s="105"/>
      <c r="O119" s="36"/>
      <c r="P119" s="36"/>
      <c r="Q119" s="36"/>
      <c r="R119" s="105"/>
      <c r="S119" s="36"/>
      <c r="T119" s="36"/>
      <c r="U119" s="36"/>
      <c r="V119" s="36"/>
      <c r="W119" s="36"/>
      <c r="X119" s="36"/>
      <c r="Y119" s="36"/>
      <c r="Z119" s="36"/>
      <c r="AA119" s="36"/>
      <c r="AB119" s="42"/>
      <c r="AC119" s="42"/>
      <c r="AD119" s="36"/>
      <c r="AE119" s="36"/>
      <c r="AF119" s="42"/>
      <c r="AG119" s="42"/>
      <c r="AH119" s="36"/>
      <c r="AI119" s="36"/>
      <c r="AJ119" s="36"/>
      <c r="AK119" s="36"/>
      <c r="AL119" s="36"/>
      <c r="AM119" s="36"/>
      <c r="AN119" s="36"/>
    </row>
    <row r="120" spans="1:40" ht="15.75" x14ac:dyDescent="0.25">
      <c r="A120" s="44"/>
      <c r="B120" s="36"/>
      <c r="C120" s="36"/>
      <c r="D120" s="36"/>
      <c r="E120" s="36"/>
      <c r="F120" s="36"/>
      <c r="G120" s="36"/>
      <c r="H120" s="36"/>
      <c r="I120" s="36"/>
      <c r="J120" s="105"/>
      <c r="K120" s="36"/>
      <c r="L120" s="36"/>
      <c r="M120" s="36"/>
      <c r="N120" s="105"/>
      <c r="O120" s="36"/>
      <c r="P120" s="36"/>
      <c r="Q120" s="36"/>
      <c r="R120" s="105"/>
      <c r="S120" s="36"/>
      <c r="T120" s="36"/>
      <c r="U120" s="36"/>
      <c r="V120" s="36"/>
      <c r="W120" s="36"/>
      <c r="X120" s="36"/>
      <c r="Y120" s="36"/>
      <c r="Z120" s="36"/>
      <c r="AA120" s="36"/>
      <c r="AB120" s="42"/>
      <c r="AC120" s="42"/>
      <c r="AD120" s="36"/>
      <c r="AE120" s="36"/>
      <c r="AF120" s="42"/>
      <c r="AG120" s="42"/>
      <c r="AH120" s="36"/>
      <c r="AI120" s="36"/>
      <c r="AJ120" s="36"/>
      <c r="AK120" s="36"/>
      <c r="AL120" s="36"/>
      <c r="AM120" s="36"/>
      <c r="AN120" s="36"/>
    </row>
    <row r="121" spans="1:40" ht="15.75" x14ac:dyDescent="0.25">
      <c r="A121" s="44"/>
      <c r="B121" s="36"/>
      <c r="C121" s="36"/>
      <c r="D121" s="36"/>
      <c r="E121" s="36"/>
      <c r="F121" s="36"/>
      <c r="G121" s="36"/>
      <c r="H121" s="36"/>
      <c r="I121" s="36"/>
      <c r="J121" s="105"/>
      <c r="K121" s="36"/>
      <c r="L121" s="36"/>
      <c r="M121" s="36"/>
      <c r="N121" s="105"/>
      <c r="O121" s="36"/>
      <c r="P121" s="36"/>
      <c r="Q121" s="36"/>
      <c r="R121" s="105"/>
      <c r="S121" s="36"/>
      <c r="T121" s="36"/>
      <c r="U121" s="36"/>
      <c r="V121" s="36"/>
      <c r="W121" s="36"/>
      <c r="X121" s="36"/>
      <c r="Y121" s="36"/>
      <c r="Z121" s="36"/>
      <c r="AA121" s="36"/>
      <c r="AB121" s="42"/>
      <c r="AC121" s="42"/>
      <c r="AD121" s="36"/>
      <c r="AE121" s="36"/>
      <c r="AF121" s="42"/>
      <c r="AG121" s="42"/>
      <c r="AH121" s="36"/>
      <c r="AI121" s="36"/>
      <c r="AJ121" s="36"/>
      <c r="AK121" s="36"/>
      <c r="AL121" s="36"/>
      <c r="AM121" s="36"/>
      <c r="AN121" s="36"/>
    </row>
    <row r="122" spans="1:40" ht="15.75" x14ac:dyDescent="0.25">
      <c r="A122" s="44"/>
      <c r="B122" s="36"/>
      <c r="C122" s="36"/>
      <c r="D122" s="36"/>
      <c r="E122" s="36"/>
      <c r="F122" s="36"/>
      <c r="G122" s="36"/>
      <c r="H122" s="36"/>
      <c r="I122" s="36"/>
      <c r="J122" s="105"/>
      <c r="K122" s="36"/>
      <c r="L122" s="36"/>
      <c r="M122" s="36"/>
      <c r="N122" s="105"/>
      <c r="O122" s="36"/>
      <c r="P122" s="36"/>
      <c r="Q122" s="36"/>
      <c r="R122" s="105"/>
      <c r="S122" s="36"/>
      <c r="T122" s="36"/>
      <c r="U122" s="36"/>
      <c r="V122" s="36"/>
      <c r="W122" s="36"/>
      <c r="X122" s="36"/>
      <c r="Y122" s="36"/>
      <c r="Z122" s="36"/>
      <c r="AA122" s="36"/>
      <c r="AB122" s="42"/>
      <c r="AC122" s="42"/>
      <c r="AD122" s="36"/>
      <c r="AE122" s="36"/>
      <c r="AF122" s="42"/>
      <c r="AG122" s="42"/>
      <c r="AH122" s="36"/>
      <c r="AI122" s="36"/>
      <c r="AJ122" s="36"/>
      <c r="AK122" s="36"/>
      <c r="AL122" s="36"/>
      <c r="AM122" s="36"/>
      <c r="AN122" s="36"/>
    </row>
    <row r="123" spans="1:40" ht="15.75" x14ac:dyDescent="0.25">
      <c r="A123" s="44"/>
      <c r="B123" s="36"/>
      <c r="C123" s="36"/>
      <c r="D123" s="36"/>
      <c r="E123" s="36"/>
      <c r="F123" s="36"/>
      <c r="G123" s="36"/>
      <c r="H123" s="36"/>
      <c r="I123" s="36"/>
      <c r="J123" s="105"/>
      <c r="K123" s="36"/>
      <c r="L123" s="36"/>
      <c r="M123" s="36"/>
      <c r="N123" s="105"/>
      <c r="O123" s="36"/>
      <c r="P123" s="36"/>
      <c r="Q123" s="36"/>
      <c r="R123" s="105"/>
      <c r="S123" s="36"/>
      <c r="T123" s="36"/>
      <c r="U123" s="36"/>
      <c r="V123" s="36"/>
      <c r="W123" s="36"/>
      <c r="X123" s="36"/>
      <c r="Y123" s="36"/>
      <c r="Z123" s="36"/>
      <c r="AA123" s="36"/>
      <c r="AB123" s="42"/>
      <c r="AC123" s="42"/>
      <c r="AD123" s="36"/>
      <c r="AE123" s="36"/>
      <c r="AF123" s="42"/>
      <c r="AG123" s="42"/>
      <c r="AH123" s="36"/>
      <c r="AI123" s="36"/>
      <c r="AJ123" s="36"/>
      <c r="AK123" s="36"/>
      <c r="AL123" s="36"/>
      <c r="AM123" s="36"/>
      <c r="AN123" s="36"/>
    </row>
    <row r="124" spans="1:40" ht="15.75" x14ac:dyDescent="0.25">
      <c r="A124" s="44"/>
      <c r="B124" s="36"/>
      <c r="C124" s="36"/>
      <c r="D124" s="36"/>
      <c r="E124" s="36"/>
      <c r="F124" s="36"/>
      <c r="G124" s="36"/>
      <c r="H124" s="36"/>
      <c r="I124" s="36"/>
      <c r="J124" s="105"/>
      <c r="K124" s="36"/>
      <c r="L124" s="36"/>
      <c r="M124" s="36"/>
      <c r="N124" s="105"/>
      <c r="O124" s="36"/>
      <c r="P124" s="36"/>
      <c r="Q124" s="36"/>
      <c r="R124" s="105"/>
      <c r="S124" s="36"/>
      <c r="T124" s="36"/>
      <c r="U124" s="36"/>
      <c r="V124" s="36"/>
      <c r="W124" s="36"/>
      <c r="X124" s="36"/>
      <c r="Y124" s="36"/>
      <c r="Z124" s="36"/>
      <c r="AA124" s="36"/>
      <c r="AB124" s="42"/>
      <c r="AC124" s="42"/>
      <c r="AD124" s="36"/>
      <c r="AE124" s="36"/>
      <c r="AF124" s="42"/>
      <c r="AG124" s="42"/>
      <c r="AH124" s="36"/>
      <c r="AI124" s="36"/>
      <c r="AJ124" s="36"/>
      <c r="AK124" s="36"/>
      <c r="AL124" s="36"/>
      <c r="AM124" s="36"/>
      <c r="AN124" s="36"/>
    </row>
    <row r="125" spans="1:40" ht="15.75" x14ac:dyDescent="0.25">
      <c r="A125" s="44"/>
      <c r="B125" s="36"/>
      <c r="C125" s="36"/>
      <c r="D125" s="36"/>
      <c r="E125" s="36"/>
      <c r="F125" s="36"/>
      <c r="G125" s="36"/>
      <c r="H125" s="36"/>
      <c r="I125" s="36"/>
      <c r="J125" s="105"/>
      <c r="K125" s="36"/>
      <c r="L125" s="36"/>
      <c r="M125" s="36"/>
      <c r="N125" s="105"/>
      <c r="O125" s="36"/>
      <c r="P125" s="36"/>
      <c r="Q125" s="36"/>
      <c r="R125" s="105"/>
      <c r="S125" s="36"/>
      <c r="T125" s="36"/>
      <c r="U125" s="36"/>
      <c r="V125" s="36"/>
      <c r="W125" s="36"/>
      <c r="X125" s="36"/>
      <c r="Y125" s="36"/>
      <c r="Z125" s="36"/>
      <c r="AA125" s="36"/>
      <c r="AB125" s="42"/>
      <c r="AC125" s="42"/>
      <c r="AD125" s="36"/>
      <c r="AE125" s="36"/>
      <c r="AF125" s="42"/>
      <c r="AG125" s="42"/>
      <c r="AH125" s="36"/>
      <c r="AI125" s="36"/>
      <c r="AJ125" s="36"/>
      <c r="AK125" s="36"/>
      <c r="AL125" s="36"/>
      <c r="AM125" s="36"/>
      <c r="AN125" s="36"/>
    </row>
    <row r="126" spans="1:40" ht="15.75" x14ac:dyDescent="0.25">
      <c r="A126" s="44"/>
      <c r="B126" s="36"/>
      <c r="C126" s="36"/>
      <c r="D126" s="36"/>
      <c r="E126" s="36"/>
      <c r="F126" s="36"/>
      <c r="G126" s="36"/>
      <c r="H126" s="36"/>
      <c r="I126" s="36"/>
      <c r="J126" s="105"/>
      <c r="K126" s="36"/>
      <c r="L126" s="36"/>
      <c r="M126" s="36"/>
      <c r="N126" s="105"/>
      <c r="O126" s="36"/>
      <c r="P126" s="36"/>
      <c r="Q126" s="36"/>
      <c r="R126" s="105"/>
      <c r="S126" s="36"/>
      <c r="T126" s="36"/>
      <c r="U126" s="36"/>
      <c r="V126" s="36"/>
      <c r="W126" s="36"/>
      <c r="X126" s="36"/>
      <c r="Y126" s="36"/>
      <c r="Z126" s="36"/>
      <c r="AA126" s="36"/>
      <c r="AB126" s="42"/>
      <c r="AC126" s="42"/>
      <c r="AD126" s="36"/>
      <c r="AE126" s="36"/>
      <c r="AF126" s="42"/>
      <c r="AG126" s="42"/>
      <c r="AH126" s="36"/>
      <c r="AI126" s="36"/>
      <c r="AJ126" s="36"/>
      <c r="AK126" s="36"/>
      <c r="AL126" s="36"/>
      <c r="AM126" s="36"/>
      <c r="AN126" s="36"/>
    </row>
    <row r="127" spans="1:40" ht="15.75" x14ac:dyDescent="0.25">
      <c r="A127" s="44"/>
      <c r="B127" s="36"/>
      <c r="C127" s="36"/>
      <c r="D127" s="36"/>
      <c r="E127" s="36"/>
      <c r="F127" s="36"/>
      <c r="G127" s="36"/>
      <c r="H127" s="36"/>
      <c r="I127" s="36"/>
      <c r="J127" s="105"/>
      <c r="K127" s="36"/>
      <c r="L127" s="36"/>
      <c r="M127" s="36"/>
      <c r="N127" s="105"/>
      <c r="O127" s="36"/>
      <c r="P127" s="36"/>
      <c r="Q127" s="36"/>
      <c r="R127" s="105"/>
      <c r="S127" s="36"/>
      <c r="T127" s="36"/>
      <c r="U127" s="36"/>
      <c r="V127" s="36"/>
      <c r="W127" s="36"/>
      <c r="X127" s="36"/>
      <c r="Y127" s="36"/>
      <c r="Z127" s="36"/>
      <c r="AA127" s="36"/>
      <c r="AB127" s="42"/>
      <c r="AC127" s="42"/>
      <c r="AD127" s="36"/>
      <c r="AE127" s="36"/>
      <c r="AF127" s="42"/>
      <c r="AG127" s="42"/>
      <c r="AH127" s="36"/>
      <c r="AI127" s="36"/>
      <c r="AJ127" s="36"/>
      <c r="AK127" s="36"/>
      <c r="AL127" s="36"/>
      <c r="AM127" s="36"/>
      <c r="AN127" s="36"/>
    </row>
    <row r="128" spans="1:40" ht="15.75" x14ac:dyDescent="0.25">
      <c r="A128" s="44"/>
      <c r="B128" s="36"/>
      <c r="C128" s="36"/>
      <c r="D128" s="36"/>
      <c r="E128" s="36"/>
      <c r="F128" s="36"/>
      <c r="G128" s="36"/>
      <c r="H128" s="36"/>
      <c r="I128" s="36"/>
      <c r="J128" s="105"/>
      <c r="K128" s="36"/>
      <c r="L128" s="36"/>
      <c r="M128" s="36"/>
      <c r="N128" s="105"/>
      <c r="O128" s="36"/>
      <c r="P128" s="36"/>
      <c r="Q128" s="36"/>
      <c r="R128" s="105"/>
      <c r="S128" s="36"/>
      <c r="T128" s="36"/>
      <c r="U128" s="36"/>
      <c r="V128" s="36"/>
      <c r="W128" s="36"/>
      <c r="X128" s="36"/>
      <c r="Y128" s="36"/>
      <c r="Z128" s="36"/>
      <c r="AA128" s="36"/>
      <c r="AB128" s="42"/>
      <c r="AC128" s="42"/>
      <c r="AD128" s="36"/>
      <c r="AE128" s="36"/>
      <c r="AF128" s="42"/>
      <c r="AG128" s="42"/>
      <c r="AH128" s="36"/>
      <c r="AI128" s="36"/>
      <c r="AJ128" s="36"/>
      <c r="AK128" s="36"/>
      <c r="AL128" s="36"/>
      <c r="AM128" s="36"/>
      <c r="AN128" s="36"/>
    </row>
    <row r="129" spans="1:40" ht="15.75" x14ac:dyDescent="0.25">
      <c r="A129" s="44"/>
      <c r="B129" s="36"/>
      <c r="C129" s="36"/>
      <c r="D129" s="36"/>
      <c r="E129" s="36"/>
      <c r="F129" s="36"/>
      <c r="G129" s="36"/>
      <c r="H129" s="36"/>
      <c r="I129" s="36"/>
      <c r="J129" s="105"/>
      <c r="K129" s="36"/>
      <c r="L129" s="36"/>
      <c r="M129" s="36"/>
      <c r="N129" s="105"/>
      <c r="O129" s="36"/>
      <c r="P129" s="36"/>
      <c r="Q129" s="36"/>
      <c r="R129" s="105"/>
      <c r="S129" s="36"/>
      <c r="T129" s="36"/>
      <c r="U129" s="36"/>
      <c r="V129" s="36"/>
      <c r="W129" s="36"/>
      <c r="X129" s="36"/>
      <c r="Y129" s="36"/>
      <c r="Z129" s="36"/>
      <c r="AA129" s="36"/>
      <c r="AB129" s="42"/>
      <c r="AC129" s="42"/>
      <c r="AD129" s="36"/>
      <c r="AE129" s="36"/>
      <c r="AF129" s="42"/>
      <c r="AG129" s="42"/>
      <c r="AH129" s="36"/>
      <c r="AI129" s="36"/>
      <c r="AJ129" s="36"/>
      <c r="AK129" s="36"/>
      <c r="AL129" s="36"/>
      <c r="AM129" s="36"/>
      <c r="AN129" s="36"/>
    </row>
    <row r="130" spans="1:40" ht="15.75" x14ac:dyDescent="0.25">
      <c r="A130" s="44"/>
      <c r="B130" s="36"/>
      <c r="C130" s="36"/>
      <c r="D130" s="36"/>
      <c r="E130" s="36"/>
      <c r="F130" s="36"/>
      <c r="G130" s="36"/>
      <c r="H130" s="36"/>
      <c r="I130" s="36"/>
      <c r="J130" s="105"/>
      <c r="K130" s="36"/>
      <c r="L130" s="36"/>
      <c r="M130" s="36"/>
      <c r="N130" s="105"/>
      <c r="O130" s="36"/>
      <c r="P130" s="36"/>
      <c r="Q130" s="36"/>
      <c r="R130" s="105"/>
      <c r="S130" s="36"/>
      <c r="T130" s="36"/>
      <c r="U130" s="36"/>
      <c r="V130" s="36"/>
      <c r="W130" s="36"/>
      <c r="X130" s="36"/>
      <c r="Y130" s="36"/>
      <c r="Z130" s="36"/>
      <c r="AA130" s="36"/>
      <c r="AB130" s="42"/>
      <c r="AC130" s="42"/>
      <c r="AD130" s="36"/>
      <c r="AE130" s="36"/>
      <c r="AF130" s="42"/>
      <c r="AG130" s="42"/>
      <c r="AH130" s="36"/>
      <c r="AI130" s="36"/>
      <c r="AJ130" s="36"/>
      <c r="AK130" s="36"/>
      <c r="AL130" s="36"/>
      <c r="AM130" s="36"/>
      <c r="AN130" s="36"/>
    </row>
    <row r="131" spans="1:40" ht="15.75" x14ac:dyDescent="0.25">
      <c r="A131" s="44"/>
      <c r="B131" s="36"/>
      <c r="C131" s="36"/>
      <c r="D131" s="36"/>
      <c r="E131" s="36"/>
      <c r="F131" s="36"/>
      <c r="G131" s="36"/>
      <c r="H131" s="36"/>
      <c r="I131" s="36"/>
      <c r="J131" s="105"/>
      <c r="K131" s="36"/>
      <c r="L131" s="36"/>
      <c r="M131" s="36"/>
      <c r="N131" s="105"/>
      <c r="O131" s="36"/>
      <c r="P131" s="36"/>
      <c r="Q131" s="36"/>
      <c r="R131" s="105"/>
      <c r="S131" s="36"/>
      <c r="T131" s="36"/>
      <c r="U131" s="36"/>
      <c r="V131" s="36"/>
      <c r="W131" s="36"/>
      <c r="X131" s="36"/>
      <c r="Y131" s="36"/>
      <c r="Z131" s="36"/>
      <c r="AA131" s="36"/>
      <c r="AB131" s="42"/>
      <c r="AC131" s="42"/>
      <c r="AD131" s="36"/>
      <c r="AE131" s="36"/>
      <c r="AF131" s="42"/>
      <c r="AG131" s="42"/>
      <c r="AH131" s="36"/>
      <c r="AI131" s="36"/>
      <c r="AJ131" s="36"/>
      <c r="AK131" s="36"/>
      <c r="AL131" s="36"/>
      <c r="AM131" s="36"/>
      <c r="AN131" s="36"/>
    </row>
    <row r="132" spans="1:40" ht="15.75" x14ac:dyDescent="0.25">
      <c r="A132" s="44"/>
      <c r="B132" s="36"/>
      <c r="C132" s="36"/>
      <c r="D132" s="36"/>
      <c r="E132" s="36"/>
      <c r="F132" s="36"/>
      <c r="G132" s="36"/>
      <c r="H132" s="36"/>
      <c r="I132" s="36"/>
      <c r="J132" s="105"/>
      <c r="K132" s="36"/>
      <c r="L132" s="36"/>
      <c r="M132" s="36"/>
      <c r="N132" s="105"/>
      <c r="O132" s="36"/>
      <c r="P132" s="36"/>
      <c r="Q132" s="36"/>
      <c r="R132" s="105"/>
      <c r="S132" s="36"/>
      <c r="T132" s="36"/>
      <c r="U132" s="36"/>
      <c r="V132" s="36"/>
      <c r="W132" s="36"/>
      <c r="X132" s="36"/>
      <c r="Y132" s="36"/>
      <c r="Z132" s="36"/>
      <c r="AA132" s="36"/>
      <c r="AB132" s="42"/>
      <c r="AC132" s="42"/>
      <c r="AD132" s="36"/>
      <c r="AE132" s="36"/>
      <c r="AF132" s="42"/>
      <c r="AG132" s="42"/>
      <c r="AH132" s="36"/>
      <c r="AI132" s="36"/>
      <c r="AJ132" s="36"/>
      <c r="AK132" s="36"/>
      <c r="AL132" s="36"/>
      <c r="AM132" s="36"/>
      <c r="AN132" s="36"/>
    </row>
    <row r="133" spans="1:40" ht="15.75" x14ac:dyDescent="0.25">
      <c r="A133" s="44"/>
      <c r="B133" s="36"/>
      <c r="C133" s="36"/>
      <c r="D133" s="36"/>
      <c r="E133" s="36"/>
      <c r="F133" s="36"/>
      <c r="G133" s="36"/>
      <c r="H133" s="36"/>
      <c r="I133" s="36"/>
      <c r="J133" s="105"/>
      <c r="K133" s="36"/>
      <c r="L133" s="36"/>
      <c r="M133" s="36"/>
      <c r="N133" s="105"/>
      <c r="O133" s="36"/>
      <c r="P133" s="36"/>
      <c r="Q133" s="36"/>
      <c r="R133" s="105"/>
      <c r="S133" s="36"/>
      <c r="T133" s="36"/>
      <c r="U133" s="36"/>
      <c r="V133" s="36"/>
      <c r="W133" s="36"/>
      <c r="X133" s="36"/>
      <c r="Y133" s="36"/>
      <c r="Z133" s="36"/>
      <c r="AA133" s="36"/>
      <c r="AB133" s="42"/>
      <c r="AC133" s="42"/>
      <c r="AD133" s="36"/>
      <c r="AE133" s="36"/>
      <c r="AF133" s="42"/>
      <c r="AG133" s="42"/>
      <c r="AH133" s="36"/>
      <c r="AI133" s="36"/>
      <c r="AJ133" s="36"/>
      <c r="AK133" s="36"/>
      <c r="AL133" s="36"/>
      <c r="AM133" s="36"/>
      <c r="AN133" s="36"/>
    </row>
    <row r="134" spans="1:40" ht="15.75" x14ac:dyDescent="0.25">
      <c r="A134" s="44"/>
      <c r="B134" s="36"/>
      <c r="C134" s="36"/>
      <c r="D134" s="36"/>
      <c r="E134" s="36"/>
      <c r="F134" s="36"/>
      <c r="G134" s="36"/>
      <c r="H134" s="36"/>
      <c r="I134" s="36"/>
      <c r="J134" s="105"/>
      <c r="K134" s="36"/>
      <c r="L134" s="36"/>
      <c r="M134" s="36"/>
      <c r="N134" s="105"/>
      <c r="O134" s="36"/>
      <c r="P134" s="36"/>
      <c r="Q134" s="36"/>
      <c r="R134" s="105"/>
      <c r="S134" s="36"/>
      <c r="T134" s="36"/>
      <c r="U134" s="36"/>
      <c r="V134" s="36"/>
      <c r="W134" s="36"/>
      <c r="X134" s="36"/>
      <c r="Y134" s="36"/>
      <c r="Z134" s="36"/>
      <c r="AA134" s="36"/>
      <c r="AB134" s="42"/>
      <c r="AC134" s="42"/>
      <c r="AD134" s="36"/>
      <c r="AE134" s="36"/>
      <c r="AF134" s="42"/>
      <c r="AG134" s="42"/>
      <c r="AH134" s="36"/>
      <c r="AI134" s="36"/>
      <c r="AJ134" s="36"/>
      <c r="AK134" s="36"/>
      <c r="AL134" s="36"/>
      <c r="AM134" s="36"/>
      <c r="AN134" s="36"/>
    </row>
    <row r="135" spans="1:40" ht="15.75" x14ac:dyDescent="0.25">
      <c r="A135" s="44"/>
      <c r="B135" s="36"/>
      <c r="C135" s="36"/>
      <c r="D135" s="36"/>
      <c r="E135" s="36"/>
      <c r="F135" s="36"/>
      <c r="G135" s="36"/>
      <c r="H135" s="36"/>
      <c r="I135" s="36"/>
      <c r="J135" s="105"/>
      <c r="K135" s="36"/>
      <c r="L135" s="36"/>
      <c r="M135" s="36"/>
      <c r="N135" s="105"/>
      <c r="O135" s="36"/>
      <c r="P135" s="36"/>
      <c r="Q135" s="36"/>
      <c r="R135" s="105"/>
      <c r="S135" s="36"/>
      <c r="T135" s="36"/>
      <c r="U135" s="36"/>
      <c r="V135" s="36"/>
      <c r="W135" s="36"/>
      <c r="X135" s="36"/>
      <c r="Y135" s="36"/>
      <c r="Z135" s="36"/>
      <c r="AA135" s="36"/>
      <c r="AB135" s="42"/>
      <c r="AC135" s="42"/>
      <c r="AD135" s="36"/>
      <c r="AE135" s="36"/>
      <c r="AF135" s="42"/>
      <c r="AG135" s="42"/>
      <c r="AH135" s="36"/>
      <c r="AI135" s="36"/>
      <c r="AJ135" s="36"/>
      <c r="AK135" s="36"/>
      <c r="AL135" s="36"/>
      <c r="AM135" s="36"/>
      <c r="AN135" s="36"/>
    </row>
    <row r="136" spans="1:40" ht="15.75" x14ac:dyDescent="0.25">
      <c r="A136" s="44"/>
      <c r="B136" s="36"/>
      <c r="C136" s="36"/>
      <c r="D136" s="36"/>
      <c r="E136" s="36"/>
      <c r="F136" s="36"/>
      <c r="G136" s="36"/>
      <c r="H136" s="36"/>
      <c r="I136" s="36"/>
      <c r="J136" s="105"/>
      <c r="K136" s="36"/>
      <c r="L136" s="36"/>
      <c r="M136" s="36"/>
      <c r="N136" s="105"/>
      <c r="O136" s="36"/>
      <c r="P136" s="36"/>
      <c r="Q136" s="36"/>
      <c r="R136" s="105"/>
      <c r="S136" s="36"/>
      <c r="T136" s="36"/>
      <c r="U136" s="36"/>
      <c r="V136" s="36"/>
      <c r="W136" s="36"/>
      <c r="X136" s="36"/>
      <c r="Y136" s="36"/>
      <c r="Z136" s="36"/>
      <c r="AA136" s="36"/>
      <c r="AB136" s="42"/>
      <c r="AC136" s="42"/>
      <c r="AD136" s="36"/>
      <c r="AE136" s="36"/>
      <c r="AF136" s="42"/>
      <c r="AG136" s="42"/>
      <c r="AH136" s="36"/>
      <c r="AI136" s="36"/>
      <c r="AJ136" s="36"/>
      <c r="AK136" s="36"/>
      <c r="AL136" s="36"/>
      <c r="AM136" s="36"/>
      <c r="AN136" s="36"/>
    </row>
    <row r="137" spans="1:40" ht="15.75" x14ac:dyDescent="0.25">
      <c r="A137" s="44"/>
      <c r="B137" s="36"/>
      <c r="C137" s="36"/>
      <c r="D137" s="36"/>
      <c r="E137" s="36"/>
      <c r="F137" s="36"/>
      <c r="G137" s="36"/>
      <c r="H137" s="36"/>
      <c r="I137" s="36"/>
      <c r="J137" s="105"/>
      <c r="K137" s="36"/>
      <c r="L137" s="36"/>
      <c r="M137" s="36"/>
      <c r="N137" s="105"/>
      <c r="O137" s="36"/>
      <c r="P137" s="36"/>
      <c r="Q137" s="36"/>
      <c r="R137" s="105"/>
      <c r="S137" s="36"/>
      <c r="T137" s="36"/>
      <c r="U137" s="36"/>
      <c r="V137" s="36"/>
      <c r="W137" s="36"/>
      <c r="X137" s="36"/>
      <c r="Y137" s="36"/>
      <c r="Z137" s="36"/>
      <c r="AA137" s="36"/>
      <c r="AB137" s="42"/>
      <c r="AC137" s="42"/>
      <c r="AD137" s="36"/>
      <c r="AE137" s="36"/>
      <c r="AF137" s="42"/>
      <c r="AG137" s="42"/>
      <c r="AH137" s="36"/>
      <c r="AI137" s="36"/>
      <c r="AJ137" s="36"/>
      <c r="AK137" s="36"/>
      <c r="AL137" s="36"/>
      <c r="AM137" s="36"/>
      <c r="AN137" s="36"/>
    </row>
    <row r="138" spans="1:40" ht="15.75" x14ac:dyDescent="0.25">
      <c r="A138" s="44"/>
      <c r="B138" s="36"/>
      <c r="C138" s="36"/>
      <c r="D138" s="36"/>
      <c r="E138" s="36"/>
      <c r="F138" s="36"/>
      <c r="G138" s="36"/>
      <c r="H138" s="36"/>
      <c r="I138" s="36"/>
      <c r="J138" s="105"/>
      <c r="K138" s="36"/>
      <c r="L138" s="36"/>
      <c r="M138" s="36"/>
      <c r="N138" s="105"/>
      <c r="O138" s="36"/>
      <c r="P138" s="36"/>
      <c r="Q138" s="36"/>
      <c r="R138" s="105"/>
      <c r="S138" s="36"/>
      <c r="T138" s="36"/>
      <c r="U138" s="36"/>
      <c r="V138" s="36"/>
      <c r="W138" s="36"/>
      <c r="X138" s="36"/>
      <c r="Y138" s="36"/>
      <c r="Z138" s="36"/>
      <c r="AA138" s="36"/>
      <c r="AB138" s="42"/>
      <c r="AC138" s="42"/>
      <c r="AD138" s="36"/>
      <c r="AE138" s="36"/>
      <c r="AF138" s="42"/>
      <c r="AG138" s="42"/>
      <c r="AH138" s="36"/>
      <c r="AI138" s="36"/>
      <c r="AJ138" s="36"/>
      <c r="AK138" s="36"/>
      <c r="AL138" s="36"/>
      <c r="AM138" s="36"/>
      <c r="AN138" s="36"/>
    </row>
    <row r="139" spans="1:40" ht="15.75" x14ac:dyDescent="0.25">
      <c r="A139" s="44"/>
      <c r="B139" s="36"/>
      <c r="C139" s="36"/>
      <c r="D139" s="36"/>
      <c r="E139" s="36"/>
      <c r="F139" s="36"/>
      <c r="G139" s="36"/>
      <c r="H139" s="36"/>
      <c r="I139" s="36"/>
      <c r="J139" s="105"/>
      <c r="K139" s="36"/>
      <c r="L139" s="36"/>
      <c r="M139" s="36"/>
      <c r="N139" s="105"/>
      <c r="O139" s="36"/>
      <c r="P139" s="36"/>
      <c r="Q139" s="36"/>
      <c r="R139" s="105"/>
      <c r="S139" s="36"/>
      <c r="T139" s="36"/>
      <c r="U139" s="36"/>
      <c r="V139" s="36"/>
      <c r="W139" s="36"/>
      <c r="X139" s="36"/>
      <c r="Y139" s="36"/>
      <c r="Z139" s="36"/>
      <c r="AA139" s="36"/>
      <c r="AB139" s="42"/>
      <c r="AC139" s="42"/>
      <c r="AD139" s="36"/>
      <c r="AE139" s="36"/>
      <c r="AF139" s="42"/>
      <c r="AG139" s="42"/>
      <c r="AH139" s="36"/>
      <c r="AI139" s="36"/>
      <c r="AJ139" s="36"/>
      <c r="AK139" s="36"/>
      <c r="AL139" s="36"/>
      <c r="AM139" s="36"/>
      <c r="AN139" s="36"/>
    </row>
    <row r="140" spans="1:40" ht="15.75" x14ac:dyDescent="0.25">
      <c r="A140" s="44"/>
      <c r="B140" s="36"/>
      <c r="C140" s="36"/>
      <c r="D140" s="36"/>
      <c r="E140" s="36"/>
      <c r="F140" s="36"/>
      <c r="G140" s="36"/>
      <c r="H140" s="36"/>
      <c r="I140" s="36"/>
      <c r="J140" s="105"/>
      <c r="K140" s="36"/>
      <c r="L140" s="36"/>
      <c r="M140" s="36"/>
      <c r="N140" s="105"/>
      <c r="O140" s="36"/>
      <c r="P140" s="36"/>
      <c r="Q140" s="36"/>
      <c r="R140" s="105"/>
      <c r="S140" s="36"/>
      <c r="T140" s="36"/>
      <c r="U140" s="36"/>
      <c r="V140" s="36"/>
      <c r="W140" s="36"/>
      <c r="X140" s="36"/>
      <c r="Y140" s="36"/>
      <c r="Z140" s="36"/>
      <c r="AA140" s="36"/>
      <c r="AB140" s="42"/>
      <c r="AC140" s="42"/>
      <c r="AD140" s="36"/>
      <c r="AE140" s="36"/>
      <c r="AF140" s="42"/>
      <c r="AG140" s="42"/>
      <c r="AH140" s="36"/>
      <c r="AI140" s="36"/>
      <c r="AJ140" s="36"/>
      <c r="AK140" s="36"/>
      <c r="AL140" s="36"/>
      <c r="AM140" s="36"/>
      <c r="AN140" s="36"/>
    </row>
    <row r="141" spans="1:40" ht="15.75" x14ac:dyDescent="0.25">
      <c r="A141" s="44"/>
      <c r="B141" s="36"/>
      <c r="C141" s="36"/>
      <c r="D141" s="36"/>
      <c r="E141" s="36"/>
      <c r="F141" s="36"/>
      <c r="G141" s="36"/>
      <c r="H141" s="36"/>
      <c r="I141" s="36"/>
      <c r="J141" s="105"/>
      <c r="K141" s="36"/>
      <c r="L141" s="36"/>
      <c r="M141" s="36"/>
      <c r="N141" s="105"/>
      <c r="O141" s="36"/>
      <c r="P141" s="36"/>
      <c r="Q141" s="36"/>
      <c r="R141" s="105"/>
      <c r="S141" s="36"/>
      <c r="T141" s="36"/>
      <c r="U141" s="36"/>
      <c r="V141" s="36"/>
      <c r="W141" s="36"/>
      <c r="X141" s="36"/>
      <c r="Y141" s="36"/>
      <c r="Z141" s="36"/>
      <c r="AA141" s="36"/>
      <c r="AB141" s="42"/>
      <c r="AC141" s="42"/>
      <c r="AD141" s="36"/>
      <c r="AE141" s="36"/>
      <c r="AF141" s="42"/>
      <c r="AG141" s="42"/>
      <c r="AH141" s="36"/>
      <c r="AI141" s="36"/>
      <c r="AJ141" s="36"/>
      <c r="AK141" s="36"/>
      <c r="AL141" s="36"/>
      <c r="AM141" s="36"/>
      <c r="AN141" s="36"/>
    </row>
    <row r="142" spans="1:40" ht="15.75" x14ac:dyDescent="0.25">
      <c r="A142" s="44"/>
      <c r="B142" s="36"/>
      <c r="C142" s="36"/>
      <c r="D142" s="36"/>
      <c r="E142" s="36"/>
      <c r="F142" s="36"/>
      <c r="G142" s="36"/>
      <c r="H142" s="36"/>
      <c r="I142" s="36"/>
      <c r="J142" s="105"/>
      <c r="K142" s="36"/>
      <c r="L142" s="36"/>
      <c r="M142" s="36"/>
      <c r="N142" s="105"/>
      <c r="O142" s="36"/>
      <c r="P142" s="36"/>
      <c r="Q142" s="36"/>
      <c r="R142" s="105"/>
      <c r="S142" s="36"/>
      <c r="T142" s="36"/>
      <c r="U142" s="36"/>
      <c r="V142" s="36"/>
      <c r="W142" s="36"/>
      <c r="X142" s="36"/>
      <c r="Y142" s="36"/>
      <c r="Z142" s="36"/>
      <c r="AA142" s="36"/>
      <c r="AB142" s="42"/>
      <c r="AC142" s="42"/>
      <c r="AD142" s="36"/>
      <c r="AE142" s="36"/>
      <c r="AF142" s="42"/>
      <c r="AG142" s="42"/>
      <c r="AH142" s="36"/>
      <c r="AI142" s="36"/>
      <c r="AJ142" s="36"/>
      <c r="AK142" s="36"/>
      <c r="AL142" s="36"/>
      <c r="AM142" s="36"/>
      <c r="AN142" s="36"/>
    </row>
    <row r="143" spans="1:40" ht="15.75" x14ac:dyDescent="0.25">
      <c r="A143" s="44"/>
      <c r="B143" s="36"/>
      <c r="C143" s="36"/>
      <c r="D143" s="36"/>
      <c r="E143" s="36"/>
      <c r="F143" s="36"/>
      <c r="G143" s="36"/>
      <c r="H143" s="36"/>
      <c r="I143" s="36"/>
      <c r="J143" s="105"/>
      <c r="K143" s="36"/>
      <c r="L143" s="36"/>
      <c r="M143" s="36"/>
      <c r="N143" s="105"/>
      <c r="O143" s="36"/>
      <c r="P143" s="36"/>
      <c r="Q143" s="36"/>
      <c r="R143" s="105"/>
      <c r="S143" s="36"/>
      <c r="T143" s="36"/>
      <c r="U143" s="36"/>
      <c r="V143" s="36"/>
      <c r="W143" s="36"/>
      <c r="X143" s="36"/>
      <c r="Y143" s="36"/>
      <c r="Z143" s="36"/>
      <c r="AA143" s="36"/>
      <c r="AB143" s="42"/>
      <c r="AC143" s="42"/>
      <c r="AD143" s="36"/>
      <c r="AE143" s="36"/>
      <c r="AF143" s="42"/>
      <c r="AG143" s="42"/>
      <c r="AH143" s="36"/>
      <c r="AI143" s="36"/>
      <c r="AJ143" s="36"/>
      <c r="AK143" s="36"/>
      <c r="AL143" s="36"/>
      <c r="AM143" s="36"/>
      <c r="AN143" s="36"/>
    </row>
    <row r="144" spans="1:40" ht="15.75" x14ac:dyDescent="0.25">
      <c r="A144" s="44"/>
      <c r="B144" s="36"/>
      <c r="C144" s="36"/>
      <c r="D144" s="36"/>
      <c r="E144" s="36"/>
      <c r="F144" s="36"/>
      <c r="G144" s="36"/>
      <c r="H144" s="36"/>
      <c r="I144" s="36"/>
      <c r="J144" s="105"/>
      <c r="K144" s="36"/>
      <c r="L144" s="36"/>
      <c r="M144" s="36"/>
      <c r="N144" s="105"/>
      <c r="O144" s="36"/>
      <c r="P144" s="36"/>
      <c r="Q144" s="36"/>
      <c r="R144" s="105"/>
      <c r="S144" s="36"/>
      <c r="T144" s="36"/>
      <c r="U144" s="36"/>
      <c r="V144" s="36"/>
      <c r="W144" s="36"/>
      <c r="X144" s="36"/>
      <c r="Y144" s="36"/>
      <c r="Z144" s="36"/>
      <c r="AA144" s="36"/>
      <c r="AB144" s="42"/>
      <c r="AC144" s="42"/>
      <c r="AD144" s="36"/>
      <c r="AE144" s="36"/>
      <c r="AF144" s="42"/>
      <c r="AG144" s="42"/>
      <c r="AH144" s="36"/>
      <c r="AI144" s="36"/>
      <c r="AJ144" s="36"/>
      <c r="AK144" s="36"/>
      <c r="AL144" s="36"/>
      <c r="AM144" s="36"/>
      <c r="AN144" s="36"/>
    </row>
    <row r="145" spans="1:40" ht="15.75" x14ac:dyDescent="0.25">
      <c r="A145" s="44"/>
      <c r="B145" s="36"/>
      <c r="C145" s="36"/>
      <c r="D145" s="36"/>
      <c r="E145" s="36"/>
      <c r="F145" s="36"/>
      <c r="G145" s="36"/>
      <c r="H145" s="36"/>
      <c r="I145" s="36"/>
      <c r="J145" s="105"/>
      <c r="K145" s="36"/>
      <c r="L145" s="36"/>
      <c r="M145" s="36"/>
      <c r="N145" s="105"/>
      <c r="O145" s="36"/>
      <c r="P145" s="36"/>
      <c r="Q145" s="36"/>
      <c r="R145" s="105"/>
      <c r="S145" s="36"/>
      <c r="T145" s="36"/>
      <c r="U145" s="36"/>
      <c r="V145" s="36"/>
      <c r="W145" s="36"/>
      <c r="X145" s="36"/>
      <c r="Y145" s="36"/>
      <c r="Z145" s="36"/>
      <c r="AA145" s="36"/>
      <c r="AB145" s="42"/>
      <c r="AC145" s="42"/>
      <c r="AD145" s="36"/>
      <c r="AE145" s="36"/>
      <c r="AF145" s="42"/>
      <c r="AG145" s="42"/>
      <c r="AH145" s="36"/>
      <c r="AI145" s="36"/>
      <c r="AJ145" s="36"/>
      <c r="AK145" s="36"/>
      <c r="AL145" s="36"/>
      <c r="AM145" s="36"/>
      <c r="AN145" s="36"/>
    </row>
    <row r="146" spans="1:40" ht="15.75" x14ac:dyDescent="0.25">
      <c r="A146" s="44"/>
      <c r="B146" s="36"/>
      <c r="C146" s="36"/>
      <c r="D146" s="36"/>
      <c r="E146" s="36"/>
      <c r="F146" s="36"/>
      <c r="G146" s="36"/>
      <c r="H146" s="36"/>
      <c r="I146" s="36"/>
      <c r="J146" s="105"/>
      <c r="K146" s="36"/>
      <c r="L146" s="36"/>
      <c r="M146" s="36"/>
      <c r="N146" s="105"/>
      <c r="O146" s="36"/>
      <c r="P146" s="36"/>
      <c r="Q146" s="36"/>
      <c r="R146" s="105"/>
      <c r="S146" s="36"/>
      <c r="T146" s="36"/>
      <c r="U146" s="36"/>
      <c r="V146" s="36"/>
      <c r="W146" s="36"/>
      <c r="X146" s="36"/>
      <c r="Y146" s="36"/>
      <c r="Z146" s="36"/>
      <c r="AA146" s="36"/>
      <c r="AB146" s="42"/>
      <c r="AC146" s="42"/>
      <c r="AD146" s="36"/>
      <c r="AE146" s="36"/>
      <c r="AF146" s="42"/>
      <c r="AG146" s="42"/>
      <c r="AH146" s="36"/>
      <c r="AI146" s="36"/>
      <c r="AJ146" s="36"/>
      <c r="AK146" s="36"/>
      <c r="AL146" s="36"/>
      <c r="AM146" s="36"/>
      <c r="AN146" s="36"/>
    </row>
    <row r="147" spans="1:40" ht="15.75" x14ac:dyDescent="0.25">
      <c r="A147" s="44"/>
      <c r="B147" s="36"/>
      <c r="C147" s="36"/>
      <c r="D147" s="36"/>
      <c r="E147" s="36"/>
      <c r="F147" s="36"/>
      <c r="G147" s="36"/>
      <c r="H147" s="36"/>
      <c r="I147" s="36"/>
      <c r="J147" s="105"/>
      <c r="K147" s="36"/>
      <c r="L147" s="36"/>
      <c r="M147" s="36"/>
      <c r="N147" s="105"/>
      <c r="O147" s="36"/>
      <c r="P147" s="36"/>
      <c r="Q147" s="36"/>
      <c r="R147" s="105"/>
      <c r="S147" s="36"/>
      <c r="T147" s="36"/>
      <c r="U147" s="36"/>
      <c r="V147" s="36"/>
      <c r="W147" s="36"/>
      <c r="X147" s="36"/>
      <c r="Y147" s="36"/>
      <c r="Z147" s="36"/>
      <c r="AA147" s="36"/>
      <c r="AB147" s="42"/>
      <c r="AC147" s="42"/>
      <c r="AD147" s="36"/>
      <c r="AE147" s="36"/>
      <c r="AF147" s="42"/>
      <c r="AG147" s="42"/>
      <c r="AH147" s="36"/>
      <c r="AI147" s="36"/>
      <c r="AJ147" s="36"/>
      <c r="AK147" s="36"/>
      <c r="AL147" s="36"/>
      <c r="AM147" s="36"/>
      <c r="AN147" s="36"/>
    </row>
    <row r="148" spans="1:40" ht="15.75" x14ac:dyDescent="0.25">
      <c r="A148" s="44"/>
      <c r="B148" s="36"/>
      <c r="C148" s="36"/>
      <c r="D148" s="36"/>
      <c r="E148" s="36"/>
      <c r="F148" s="36"/>
      <c r="G148" s="36"/>
      <c r="H148" s="36"/>
      <c r="I148" s="36"/>
      <c r="J148" s="105"/>
      <c r="K148" s="36"/>
      <c r="L148" s="36"/>
      <c r="M148" s="36"/>
      <c r="N148" s="105"/>
      <c r="O148" s="36"/>
      <c r="P148" s="36"/>
      <c r="Q148" s="36"/>
      <c r="R148" s="105"/>
      <c r="S148" s="36"/>
      <c r="T148" s="36"/>
      <c r="U148" s="36"/>
      <c r="V148" s="36"/>
      <c r="W148" s="36"/>
      <c r="X148" s="36"/>
      <c r="Y148" s="36"/>
      <c r="Z148" s="36"/>
      <c r="AA148" s="36"/>
      <c r="AB148" s="42"/>
      <c r="AC148" s="42"/>
      <c r="AD148" s="36"/>
      <c r="AE148" s="36"/>
      <c r="AF148" s="42"/>
      <c r="AG148" s="42"/>
      <c r="AH148" s="36"/>
      <c r="AI148" s="36"/>
      <c r="AJ148" s="36"/>
      <c r="AK148" s="36"/>
      <c r="AL148" s="36"/>
      <c r="AM148" s="36"/>
      <c r="AN148" s="36"/>
    </row>
    <row r="149" spans="1:40" ht="15.75" x14ac:dyDescent="0.25">
      <c r="A149" s="44"/>
      <c r="B149" s="36"/>
      <c r="C149" s="36"/>
      <c r="D149" s="36"/>
      <c r="E149" s="36"/>
      <c r="F149" s="36"/>
      <c r="G149" s="36"/>
      <c r="H149" s="36"/>
      <c r="I149" s="36"/>
      <c r="J149" s="105"/>
      <c r="K149" s="36"/>
      <c r="L149" s="36"/>
      <c r="M149" s="36"/>
      <c r="N149" s="105"/>
      <c r="O149" s="36"/>
      <c r="P149" s="36"/>
      <c r="Q149" s="36"/>
      <c r="R149" s="105"/>
      <c r="S149" s="36"/>
      <c r="T149" s="36"/>
      <c r="U149" s="36"/>
      <c r="V149" s="36"/>
      <c r="W149" s="36"/>
      <c r="X149" s="36"/>
      <c r="Y149" s="36"/>
      <c r="Z149" s="36"/>
      <c r="AA149" s="36"/>
      <c r="AB149" s="42"/>
      <c r="AC149" s="42"/>
      <c r="AD149" s="36"/>
      <c r="AE149" s="36"/>
      <c r="AF149" s="42"/>
      <c r="AG149" s="42"/>
      <c r="AH149" s="36"/>
      <c r="AI149" s="36"/>
      <c r="AJ149" s="36"/>
      <c r="AK149" s="36"/>
      <c r="AL149" s="36"/>
      <c r="AM149" s="36"/>
      <c r="AN149" s="36"/>
    </row>
    <row r="150" spans="1:40" ht="15.75" x14ac:dyDescent="0.25">
      <c r="A150" s="44"/>
      <c r="B150" s="36"/>
      <c r="C150" s="36"/>
      <c r="D150" s="36"/>
      <c r="E150" s="36"/>
      <c r="F150" s="36"/>
      <c r="G150" s="36"/>
      <c r="H150" s="36"/>
      <c r="I150" s="36"/>
      <c r="J150" s="105"/>
      <c r="K150" s="36"/>
      <c r="L150" s="36"/>
      <c r="M150" s="36"/>
      <c r="N150" s="105"/>
      <c r="O150" s="36"/>
      <c r="P150" s="36"/>
      <c r="Q150" s="36"/>
      <c r="R150" s="105"/>
      <c r="S150" s="36"/>
      <c r="T150" s="36"/>
      <c r="U150" s="36"/>
      <c r="V150" s="36"/>
      <c r="W150" s="36"/>
      <c r="X150" s="36"/>
      <c r="Y150" s="36"/>
      <c r="Z150" s="36"/>
      <c r="AA150" s="36"/>
      <c r="AB150" s="42"/>
      <c r="AC150" s="42"/>
      <c r="AD150" s="36"/>
      <c r="AE150" s="36"/>
      <c r="AF150" s="42"/>
      <c r="AG150" s="42"/>
      <c r="AH150" s="36"/>
      <c r="AI150" s="36"/>
      <c r="AJ150" s="36"/>
      <c r="AK150" s="36"/>
      <c r="AL150" s="36"/>
      <c r="AM150" s="36"/>
      <c r="AN150" s="36"/>
    </row>
    <row r="151" spans="1:40" ht="15.75" x14ac:dyDescent="0.25">
      <c r="A151" s="44"/>
      <c r="B151" s="36"/>
      <c r="C151" s="36"/>
      <c r="D151" s="36"/>
      <c r="E151" s="36"/>
      <c r="F151" s="36"/>
      <c r="G151" s="36"/>
      <c r="H151" s="36"/>
      <c r="I151" s="36"/>
      <c r="J151" s="105"/>
      <c r="K151" s="36"/>
      <c r="L151" s="36"/>
      <c r="M151" s="36"/>
      <c r="N151" s="105"/>
      <c r="O151" s="36"/>
      <c r="P151" s="36"/>
      <c r="Q151" s="36"/>
      <c r="R151" s="105"/>
      <c r="S151" s="36"/>
      <c r="T151" s="36"/>
      <c r="U151" s="36"/>
      <c r="V151" s="36"/>
      <c r="W151" s="36"/>
      <c r="X151" s="36"/>
      <c r="Y151" s="36"/>
      <c r="Z151" s="36"/>
      <c r="AA151" s="36"/>
      <c r="AB151" s="42"/>
      <c r="AC151" s="42"/>
      <c r="AD151" s="36"/>
      <c r="AE151" s="36"/>
      <c r="AF151" s="42"/>
      <c r="AG151" s="42"/>
      <c r="AH151" s="36"/>
      <c r="AI151" s="36"/>
      <c r="AJ151" s="36"/>
      <c r="AK151" s="36"/>
      <c r="AL151" s="36"/>
      <c r="AM151" s="36"/>
      <c r="AN151" s="36"/>
    </row>
    <row r="152" spans="1:40" ht="15.75" x14ac:dyDescent="0.25">
      <c r="A152" s="44"/>
      <c r="B152" s="36"/>
      <c r="C152" s="36"/>
      <c r="D152" s="36"/>
      <c r="E152" s="36"/>
      <c r="F152" s="36"/>
      <c r="G152" s="36"/>
      <c r="H152" s="36"/>
      <c r="I152" s="36"/>
      <c r="J152" s="105"/>
      <c r="K152" s="36"/>
      <c r="L152" s="36"/>
      <c r="M152" s="36"/>
      <c r="N152" s="105"/>
      <c r="O152" s="36"/>
      <c r="P152" s="36"/>
      <c r="Q152" s="36"/>
      <c r="R152" s="105"/>
      <c r="S152" s="36"/>
      <c r="T152" s="36"/>
      <c r="U152" s="36"/>
      <c r="V152" s="36"/>
      <c r="W152" s="36"/>
      <c r="X152" s="36"/>
      <c r="Y152" s="36"/>
      <c r="Z152" s="36"/>
      <c r="AA152" s="36"/>
      <c r="AB152" s="42"/>
      <c r="AC152" s="42"/>
      <c r="AD152" s="36"/>
      <c r="AE152" s="36"/>
      <c r="AF152" s="42"/>
      <c r="AG152" s="42"/>
      <c r="AH152" s="36"/>
      <c r="AI152" s="36"/>
      <c r="AJ152" s="36"/>
      <c r="AK152" s="36"/>
      <c r="AL152" s="36"/>
      <c r="AM152" s="36"/>
      <c r="AN152" s="36"/>
    </row>
    <row r="153" spans="1:40" ht="15.75" x14ac:dyDescent="0.25">
      <c r="A153" s="44"/>
      <c r="B153" s="36"/>
      <c r="C153" s="36"/>
      <c r="D153" s="36"/>
      <c r="E153" s="36"/>
      <c r="F153" s="36"/>
      <c r="G153" s="36"/>
      <c r="H153" s="36"/>
      <c r="I153" s="36"/>
      <c r="J153" s="105"/>
      <c r="K153" s="36"/>
      <c r="L153" s="36"/>
      <c r="M153" s="36"/>
      <c r="N153" s="105"/>
      <c r="O153" s="36"/>
      <c r="P153" s="36"/>
      <c r="Q153" s="36"/>
      <c r="R153" s="105"/>
      <c r="S153" s="36"/>
      <c r="T153" s="36"/>
      <c r="U153" s="36"/>
      <c r="V153" s="36"/>
      <c r="W153" s="36"/>
      <c r="X153" s="36"/>
      <c r="Y153" s="36"/>
      <c r="Z153" s="36"/>
      <c r="AA153" s="36"/>
      <c r="AB153" s="42"/>
      <c r="AC153" s="42"/>
      <c r="AD153" s="36"/>
      <c r="AE153" s="36"/>
      <c r="AF153" s="42"/>
      <c r="AG153" s="42"/>
      <c r="AH153" s="36"/>
      <c r="AI153" s="36"/>
      <c r="AJ153" s="36"/>
      <c r="AK153" s="36"/>
      <c r="AL153" s="36"/>
      <c r="AM153" s="36"/>
      <c r="AN153" s="36"/>
    </row>
    <row r="154" spans="1:40" ht="15.75" x14ac:dyDescent="0.25">
      <c r="A154" s="44"/>
      <c r="B154" s="36"/>
      <c r="C154" s="36"/>
      <c r="D154" s="36"/>
      <c r="E154" s="36"/>
      <c r="F154" s="36"/>
      <c r="G154" s="36"/>
      <c r="H154" s="36"/>
      <c r="I154" s="36"/>
      <c r="J154" s="105"/>
      <c r="K154" s="36"/>
      <c r="L154" s="36"/>
      <c r="M154" s="36"/>
      <c r="N154" s="105"/>
      <c r="O154" s="36"/>
      <c r="P154" s="36"/>
      <c r="Q154" s="36"/>
      <c r="R154" s="105"/>
      <c r="S154" s="36"/>
      <c r="T154" s="36"/>
      <c r="U154" s="36"/>
      <c r="V154" s="36"/>
      <c r="W154" s="36"/>
      <c r="X154" s="36"/>
      <c r="Y154" s="36"/>
      <c r="Z154" s="36"/>
      <c r="AA154" s="36"/>
      <c r="AB154" s="42"/>
      <c r="AC154" s="42"/>
      <c r="AD154" s="36"/>
      <c r="AE154" s="36"/>
      <c r="AF154" s="42"/>
      <c r="AG154" s="42"/>
      <c r="AH154" s="36"/>
      <c r="AI154" s="36"/>
      <c r="AJ154" s="36"/>
      <c r="AK154" s="36"/>
      <c r="AL154" s="36"/>
      <c r="AM154" s="36"/>
      <c r="AN154" s="36"/>
    </row>
    <row r="155" spans="1:40" ht="15.75" x14ac:dyDescent="0.25">
      <c r="A155" s="44"/>
      <c r="B155" s="36"/>
      <c r="C155" s="36"/>
      <c r="D155" s="36"/>
      <c r="E155" s="36"/>
      <c r="F155" s="36"/>
      <c r="G155" s="36"/>
      <c r="H155" s="36"/>
      <c r="I155" s="36"/>
      <c r="J155" s="105"/>
      <c r="K155" s="36"/>
      <c r="L155" s="36"/>
      <c r="M155" s="36"/>
      <c r="N155" s="105"/>
      <c r="O155" s="36"/>
      <c r="P155" s="36"/>
      <c r="Q155" s="36"/>
      <c r="R155" s="105"/>
      <c r="S155" s="36"/>
      <c r="T155" s="36"/>
      <c r="U155" s="36"/>
      <c r="V155" s="36"/>
      <c r="W155" s="36"/>
      <c r="X155" s="36"/>
      <c r="Y155" s="36"/>
      <c r="Z155" s="36"/>
      <c r="AA155" s="36"/>
      <c r="AB155" s="42"/>
      <c r="AC155" s="42"/>
      <c r="AD155" s="36"/>
      <c r="AE155" s="36"/>
      <c r="AF155" s="42"/>
      <c r="AG155" s="42"/>
      <c r="AH155" s="36"/>
      <c r="AI155" s="36"/>
      <c r="AJ155" s="36"/>
      <c r="AK155" s="36"/>
      <c r="AL155" s="36"/>
      <c r="AM155" s="36"/>
      <c r="AN155" s="36"/>
    </row>
    <row r="156" spans="1:40" ht="15.75" x14ac:dyDescent="0.25">
      <c r="A156" s="44"/>
      <c r="B156" s="36"/>
      <c r="C156" s="36"/>
      <c r="D156" s="36"/>
      <c r="E156" s="36"/>
      <c r="F156" s="36"/>
      <c r="G156" s="36"/>
      <c r="H156" s="36"/>
      <c r="I156" s="36"/>
      <c r="J156" s="105"/>
      <c r="K156" s="36"/>
      <c r="L156" s="36"/>
      <c r="M156" s="36"/>
      <c r="N156" s="105"/>
      <c r="O156" s="36"/>
      <c r="P156" s="36"/>
      <c r="Q156" s="36"/>
      <c r="R156" s="105"/>
      <c r="S156" s="36"/>
      <c r="T156" s="36"/>
      <c r="U156" s="36"/>
      <c r="V156" s="36"/>
      <c r="W156" s="36"/>
      <c r="X156" s="36"/>
      <c r="Y156" s="36"/>
      <c r="Z156" s="36"/>
      <c r="AA156" s="36"/>
      <c r="AB156" s="42"/>
      <c r="AC156" s="42"/>
      <c r="AD156" s="36"/>
      <c r="AE156" s="36"/>
      <c r="AF156" s="42"/>
      <c r="AG156" s="42"/>
      <c r="AH156" s="36"/>
      <c r="AI156" s="36"/>
      <c r="AJ156" s="36"/>
      <c r="AK156" s="36"/>
      <c r="AL156" s="36"/>
      <c r="AM156" s="36"/>
      <c r="AN156" s="36"/>
    </row>
    <row r="157" spans="1:40" ht="15.75" x14ac:dyDescent="0.25">
      <c r="A157" s="44"/>
      <c r="B157" s="36"/>
      <c r="C157" s="36"/>
      <c r="D157" s="36"/>
      <c r="E157" s="36"/>
      <c r="F157" s="36"/>
      <c r="G157" s="36"/>
      <c r="H157" s="36"/>
      <c r="I157" s="36"/>
      <c r="J157" s="105"/>
      <c r="K157" s="36"/>
      <c r="L157" s="36"/>
      <c r="M157" s="36"/>
      <c r="N157" s="105"/>
      <c r="O157" s="36"/>
      <c r="P157" s="36"/>
      <c r="Q157" s="36"/>
      <c r="R157" s="105"/>
      <c r="S157" s="36"/>
      <c r="T157" s="36"/>
      <c r="U157" s="36"/>
      <c r="V157" s="36"/>
      <c r="W157" s="36"/>
      <c r="X157" s="36"/>
      <c r="Y157" s="36"/>
      <c r="Z157" s="36"/>
      <c r="AA157" s="36"/>
      <c r="AB157" s="42"/>
      <c r="AC157" s="42"/>
      <c r="AD157" s="36"/>
      <c r="AE157" s="36"/>
      <c r="AF157" s="42"/>
      <c r="AG157" s="42"/>
      <c r="AH157" s="36"/>
      <c r="AI157" s="36"/>
      <c r="AJ157" s="36"/>
      <c r="AK157" s="36"/>
      <c r="AL157" s="36"/>
      <c r="AM157" s="36"/>
      <c r="AN157" s="36"/>
    </row>
    <row r="158" spans="1:40" ht="15.75" x14ac:dyDescent="0.25">
      <c r="A158" s="44"/>
      <c r="B158" s="36"/>
      <c r="C158" s="36"/>
      <c r="D158" s="36"/>
      <c r="E158" s="36"/>
      <c r="F158" s="36"/>
      <c r="G158" s="36"/>
      <c r="H158" s="36"/>
      <c r="I158" s="36"/>
      <c r="J158" s="105"/>
      <c r="K158" s="36"/>
      <c r="L158" s="36"/>
      <c r="M158" s="36"/>
      <c r="N158" s="105"/>
      <c r="O158" s="36"/>
      <c r="P158" s="36"/>
      <c r="Q158" s="36"/>
      <c r="R158" s="105"/>
      <c r="S158" s="36"/>
      <c r="T158" s="36"/>
      <c r="U158" s="36"/>
      <c r="V158" s="36"/>
      <c r="W158" s="36"/>
      <c r="X158" s="36"/>
      <c r="Y158" s="36"/>
      <c r="Z158" s="36"/>
      <c r="AA158" s="36"/>
      <c r="AB158" s="42"/>
      <c r="AC158" s="42"/>
      <c r="AD158" s="36"/>
      <c r="AE158" s="36"/>
      <c r="AF158" s="42"/>
      <c r="AG158" s="42"/>
      <c r="AH158" s="36"/>
      <c r="AI158" s="36"/>
      <c r="AJ158" s="36"/>
      <c r="AK158" s="36"/>
      <c r="AL158" s="36"/>
      <c r="AM158" s="36"/>
      <c r="AN158" s="36"/>
    </row>
    <row r="159" spans="1:40" ht="15.75" x14ac:dyDescent="0.25">
      <c r="A159" s="44"/>
      <c r="B159" s="36"/>
      <c r="C159" s="36"/>
      <c r="D159" s="36"/>
      <c r="E159" s="36"/>
      <c r="F159" s="36"/>
      <c r="G159" s="36"/>
      <c r="H159" s="36"/>
      <c r="I159" s="36"/>
      <c r="J159" s="105"/>
      <c r="K159" s="36"/>
      <c r="L159" s="36"/>
      <c r="M159" s="36"/>
      <c r="N159" s="105"/>
      <c r="O159" s="36"/>
      <c r="P159" s="36"/>
      <c r="Q159" s="36"/>
      <c r="R159" s="105"/>
      <c r="S159" s="36"/>
      <c r="T159" s="36"/>
      <c r="U159" s="36"/>
      <c r="V159" s="36"/>
      <c r="W159" s="36"/>
      <c r="X159" s="36"/>
      <c r="Y159" s="36"/>
      <c r="Z159" s="36"/>
      <c r="AA159" s="36"/>
      <c r="AB159" s="42"/>
      <c r="AC159" s="42"/>
      <c r="AD159" s="36"/>
      <c r="AE159" s="36"/>
      <c r="AF159" s="42"/>
      <c r="AG159" s="42"/>
      <c r="AH159" s="36"/>
      <c r="AI159" s="36"/>
      <c r="AJ159" s="36"/>
      <c r="AK159" s="36"/>
      <c r="AL159" s="36"/>
      <c r="AM159" s="36"/>
      <c r="AN159" s="36"/>
    </row>
    <row r="160" spans="1:40" ht="15.75" x14ac:dyDescent="0.25">
      <c r="A160" s="44"/>
      <c r="B160" s="36"/>
      <c r="C160" s="36"/>
      <c r="D160" s="36"/>
      <c r="E160" s="36"/>
      <c r="F160" s="36"/>
      <c r="G160" s="36"/>
      <c r="H160" s="36"/>
      <c r="I160" s="36"/>
      <c r="J160" s="105"/>
      <c r="K160" s="36"/>
      <c r="L160" s="36"/>
      <c r="M160" s="36"/>
      <c r="N160" s="105"/>
      <c r="O160" s="36"/>
      <c r="P160" s="36"/>
      <c r="Q160" s="36"/>
      <c r="R160" s="105"/>
      <c r="S160" s="36"/>
      <c r="T160" s="36"/>
      <c r="U160" s="36"/>
      <c r="V160" s="36"/>
      <c r="W160" s="36"/>
      <c r="X160" s="36"/>
      <c r="Y160" s="36"/>
      <c r="Z160" s="36"/>
      <c r="AA160" s="36"/>
      <c r="AB160" s="42"/>
      <c r="AC160" s="42"/>
      <c r="AD160" s="36"/>
      <c r="AE160" s="36"/>
      <c r="AF160" s="42"/>
      <c r="AG160" s="42"/>
      <c r="AH160" s="36"/>
      <c r="AI160" s="36"/>
      <c r="AJ160" s="36"/>
      <c r="AK160" s="36"/>
      <c r="AL160" s="36"/>
      <c r="AM160" s="36"/>
      <c r="AN160" s="36"/>
    </row>
    <row r="161" spans="1:40" ht="15.75" x14ac:dyDescent="0.25">
      <c r="A161" s="44"/>
      <c r="B161" s="36"/>
      <c r="C161" s="36"/>
      <c r="D161" s="36"/>
      <c r="E161" s="36"/>
      <c r="F161" s="36"/>
      <c r="G161" s="36"/>
      <c r="H161" s="36"/>
      <c r="I161" s="36"/>
      <c r="J161" s="105"/>
      <c r="K161" s="36"/>
      <c r="L161" s="36"/>
      <c r="M161" s="36"/>
      <c r="N161" s="105"/>
      <c r="O161" s="36"/>
      <c r="P161" s="36"/>
      <c r="Q161" s="36"/>
      <c r="R161" s="105"/>
      <c r="S161" s="36"/>
      <c r="T161" s="36"/>
      <c r="U161" s="36"/>
      <c r="V161" s="36"/>
      <c r="W161" s="36"/>
      <c r="X161" s="36"/>
      <c r="Y161" s="36"/>
      <c r="Z161" s="36"/>
      <c r="AA161" s="36"/>
      <c r="AB161" s="42"/>
      <c r="AC161" s="42"/>
      <c r="AD161" s="36"/>
      <c r="AE161" s="36"/>
      <c r="AF161" s="42"/>
      <c r="AG161" s="42"/>
      <c r="AH161" s="36"/>
      <c r="AI161" s="36"/>
      <c r="AJ161" s="36"/>
      <c r="AK161" s="36"/>
      <c r="AL161" s="36"/>
      <c r="AM161" s="36"/>
      <c r="AN161" s="36"/>
    </row>
    <row r="162" spans="1:40" ht="15.75" x14ac:dyDescent="0.25">
      <c r="A162" s="44"/>
      <c r="B162" s="36"/>
      <c r="C162" s="36"/>
      <c r="D162" s="36"/>
      <c r="E162" s="36"/>
      <c r="F162" s="36"/>
      <c r="G162" s="36"/>
      <c r="H162" s="36"/>
      <c r="I162" s="36"/>
      <c r="J162" s="105"/>
      <c r="K162" s="36"/>
      <c r="L162" s="36"/>
      <c r="M162" s="36"/>
      <c r="N162" s="105"/>
      <c r="O162" s="36"/>
      <c r="P162" s="36"/>
      <c r="Q162" s="36"/>
      <c r="R162" s="105"/>
      <c r="S162" s="36"/>
      <c r="T162" s="36"/>
      <c r="U162" s="36"/>
      <c r="V162" s="36"/>
      <c r="W162" s="36"/>
      <c r="X162" s="36"/>
      <c r="Y162" s="36"/>
      <c r="Z162" s="36"/>
      <c r="AA162" s="36"/>
      <c r="AB162" s="42"/>
      <c r="AC162" s="42"/>
      <c r="AD162" s="36"/>
      <c r="AE162" s="36"/>
      <c r="AF162" s="42"/>
      <c r="AG162" s="42"/>
      <c r="AH162" s="36"/>
      <c r="AI162" s="36"/>
      <c r="AJ162" s="36"/>
      <c r="AK162" s="36"/>
      <c r="AL162" s="36"/>
      <c r="AM162" s="36"/>
      <c r="AN162" s="36"/>
    </row>
    <row r="163" spans="1:40" ht="15.75" x14ac:dyDescent="0.25">
      <c r="A163" s="44"/>
      <c r="B163" s="36"/>
      <c r="C163" s="36"/>
      <c r="D163" s="36"/>
      <c r="E163" s="36"/>
      <c r="F163" s="36"/>
      <c r="G163" s="36"/>
      <c r="H163" s="36"/>
      <c r="I163" s="36"/>
      <c r="J163" s="105"/>
      <c r="K163" s="36"/>
      <c r="L163" s="36"/>
      <c r="M163" s="36"/>
      <c r="N163" s="105"/>
      <c r="O163" s="36"/>
      <c r="P163" s="36"/>
      <c r="Q163" s="36"/>
      <c r="R163" s="105"/>
      <c r="S163" s="36"/>
      <c r="T163" s="36"/>
      <c r="U163" s="36"/>
      <c r="V163" s="36"/>
      <c r="W163" s="36"/>
      <c r="X163" s="36"/>
      <c r="Y163" s="36"/>
      <c r="Z163" s="36"/>
      <c r="AA163" s="36"/>
      <c r="AB163" s="42"/>
      <c r="AC163" s="42"/>
      <c r="AD163" s="36"/>
      <c r="AE163" s="36"/>
      <c r="AF163" s="42"/>
      <c r="AG163" s="42"/>
      <c r="AH163" s="36"/>
      <c r="AI163" s="36"/>
      <c r="AJ163" s="36"/>
      <c r="AK163" s="36"/>
      <c r="AL163" s="36"/>
      <c r="AM163" s="36"/>
      <c r="AN163" s="36"/>
    </row>
    <row r="164" spans="1:40" ht="15.75" x14ac:dyDescent="0.25">
      <c r="A164" s="44"/>
      <c r="B164" s="36"/>
      <c r="C164" s="36"/>
      <c r="D164" s="36"/>
      <c r="E164" s="36"/>
      <c r="F164" s="36"/>
      <c r="G164" s="36"/>
      <c r="H164" s="36"/>
      <c r="I164" s="36"/>
      <c r="J164" s="105"/>
      <c r="K164" s="36"/>
      <c r="L164" s="36"/>
      <c r="M164" s="36"/>
      <c r="N164" s="105"/>
      <c r="O164" s="36"/>
      <c r="P164" s="36"/>
      <c r="Q164" s="36"/>
      <c r="R164" s="105"/>
      <c r="S164" s="36"/>
      <c r="T164" s="36"/>
      <c r="U164" s="36"/>
      <c r="V164" s="36"/>
      <c r="W164" s="36"/>
      <c r="X164" s="36"/>
      <c r="Y164" s="36"/>
      <c r="Z164" s="36"/>
      <c r="AA164" s="36"/>
      <c r="AB164" s="42"/>
      <c r="AC164" s="42"/>
      <c r="AD164" s="36"/>
      <c r="AE164" s="36"/>
      <c r="AF164" s="42"/>
      <c r="AG164" s="42"/>
      <c r="AH164" s="36"/>
      <c r="AI164" s="36"/>
      <c r="AJ164" s="36"/>
      <c r="AK164" s="36"/>
      <c r="AL164" s="36"/>
      <c r="AM164" s="36"/>
      <c r="AN164" s="36"/>
    </row>
    <row r="165" spans="1:40" ht="15.75" x14ac:dyDescent="0.25">
      <c r="A165" s="44"/>
      <c r="B165" s="36"/>
      <c r="C165" s="36"/>
      <c r="D165" s="36"/>
      <c r="E165" s="36"/>
      <c r="F165" s="36"/>
      <c r="G165" s="36"/>
      <c r="H165" s="36"/>
      <c r="I165" s="36"/>
      <c r="J165" s="105"/>
      <c r="K165" s="36"/>
      <c r="L165" s="36"/>
      <c r="M165" s="36"/>
      <c r="N165" s="105"/>
      <c r="O165" s="36"/>
      <c r="P165" s="36"/>
      <c r="Q165" s="36"/>
      <c r="R165" s="105"/>
      <c r="S165" s="36"/>
      <c r="T165" s="36"/>
      <c r="U165" s="36"/>
      <c r="V165" s="36"/>
      <c r="W165" s="36"/>
      <c r="X165" s="36"/>
      <c r="Y165" s="36"/>
      <c r="Z165" s="36"/>
      <c r="AA165" s="36"/>
      <c r="AB165" s="42"/>
      <c r="AC165" s="42"/>
      <c r="AD165" s="36"/>
      <c r="AE165" s="36"/>
      <c r="AF165" s="42"/>
      <c r="AG165" s="42"/>
      <c r="AH165" s="36"/>
      <c r="AI165" s="36"/>
      <c r="AJ165" s="36"/>
      <c r="AK165" s="36"/>
      <c r="AL165" s="36"/>
      <c r="AM165" s="36"/>
      <c r="AN165" s="36"/>
    </row>
    <row r="166" spans="1:40" ht="15.75" x14ac:dyDescent="0.25">
      <c r="A166" s="44"/>
      <c r="B166" s="36"/>
      <c r="C166" s="36"/>
      <c r="D166" s="36"/>
      <c r="E166" s="36"/>
      <c r="F166" s="36"/>
      <c r="G166" s="36"/>
      <c r="H166" s="36"/>
      <c r="I166" s="36"/>
      <c r="J166" s="105"/>
      <c r="K166" s="36"/>
      <c r="L166" s="36"/>
      <c r="M166" s="36"/>
      <c r="N166" s="105"/>
      <c r="O166" s="36"/>
      <c r="P166" s="36"/>
      <c r="Q166" s="36"/>
      <c r="R166" s="105"/>
      <c r="S166" s="36"/>
      <c r="T166" s="36"/>
      <c r="U166" s="36"/>
      <c r="V166" s="36"/>
      <c r="W166" s="36"/>
      <c r="X166" s="36"/>
      <c r="Y166" s="36"/>
      <c r="Z166" s="36"/>
      <c r="AA166" s="36"/>
      <c r="AB166" s="42"/>
      <c r="AC166" s="42"/>
      <c r="AD166" s="36"/>
      <c r="AE166" s="36"/>
      <c r="AF166" s="42"/>
      <c r="AG166" s="42"/>
      <c r="AH166" s="36"/>
      <c r="AI166" s="36"/>
      <c r="AJ166" s="36"/>
      <c r="AK166" s="36"/>
      <c r="AL166" s="36"/>
      <c r="AM166" s="36"/>
      <c r="AN166" s="36"/>
    </row>
    <row r="167" spans="1:40" ht="15.75" x14ac:dyDescent="0.25">
      <c r="A167" s="44"/>
      <c r="B167" s="36"/>
      <c r="C167" s="36"/>
      <c r="D167" s="36"/>
      <c r="E167" s="36"/>
      <c r="F167" s="36"/>
      <c r="G167" s="36"/>
      <c r="H167" s="36"/>
      <c r="I167" s="36"/>
      <c r="J167" s="105"/>
      <c r="K167" s="36"/>
      <c r="L167" s="36"/>
      <c r="M167" s="36"/>
      <c r="N167" s="105"/>
      <c r="O167" s="36"/>
      <c r="P167" s="36"/>
      <c r="Q167" s="36"/>
      <c r="R167" s="105"/>
      <c r="S167" s="36"/>
      <c r="T167" s="36"/>
      <c r="U167" s="36"/>
      <c r="V167" s="36"/>
      <c r="W167" s="36"/>
      <c r="X167" s="36"/>
      <c r="Y167" s="36"/>
      <c r="Z167" s="36"/>
      <c r="AA167" s="36"/>
      <c r="AB167" s="42"/>
      <c r="AC167" s="42"/>
      <c r="AD167" s="36"/>
      <c r="AE167" s="36"/>
      <c r="AF167" s="42"/>
      <c r="AG167" s="42"/>
      <c r="AH167" s="36"/>
      <c r="AI167" s="36"/>
      <c r="AJ167" s="36"/>
      <c r="AK167" s="36"/>
      <c r="AL167" s="36"/>
      <c r="AM167" s="36"/>
      <c r="AN167" s="36"/>
    </row>
    <row r="168" spans="1:40" ht="15.75" x14ac:dyDescent="0.25">
      <c r="A168" s="44"/>
      <c r="B168" s="36"/>
      <c r="C168" s="36"/>
      <c r="D168" s="36"/>
      <c r="E168" s="36"/>
      <c r="F168" s="36"/>
      <c r="G168" s="36"/>
      <c r="H168" s="36"/>
      <c r="I168" s="36"/>
      <c r="J168" s="105"/>
      <c r="K168" s="36"/>
      <c r="L168" s="36"/>
      <c r="M168" s="36"/>
      <c r="N168" s="105"/>
      <c r="O168" s="36"/>
      <c r="P168" s="36"/>
      <c r="Q168" s="36"/>
      <c r="R168" s="105"/>
      <c r="S168" s="36"/>
      <c r="T168" s="36"/>
      <c r="U168" s="36"/>
      <c r="V168" s="36"/>
      <c r="W168" s="36"/>
      <c r="X168" s="36"/>
      <c r="Y168" s="36"/>
      <c r="Z168" s="36"/>
      <c r="AA168" s="36"/>
      <c r="AB168" s="42"/>
      <c r="AC168" s="42"/>
      <c r="AD168" s="36"/>
      <c r="AE168" s="36"/>
      <c r="AF168" s="42"/>
      <c r="AG168" s="42"/>
      <c r="AH168" s="36"/>
      <c r="AI168" s="36"/>
      <c r="AJ168" s="36"/>
      <c r="AK168" s="36"/>
      <c r="AL168" s="36"/>
      <c r="AM168" s="36"/>
      <c r="AN168" s="36"/>
    </row>
    <row r="169" spans="1:40" ht="15.75" x14ac:dyDescent="0.25">
      <c r="A169" s="44"/>
      <c r="B169" s="36"/>
      <c r="C169" s="36"/>
      <c r="D169" s="36"/>
      <c r="E169" s="36"/>
      <c r="F169" s="36"/>
      <c r="G169" s="36"/>
      <c r="H169" s="36"/>
      <c r="I169" s="36"/>
      <c r="J169" s="105"/>
      <c r="K169" s="36"/>
      <c r="L169" s="36"/>
      <c r="M169" s="36"/>
      <c r="N169" s="105"/>
      <c r="O169" s="36"/>
      <c r="P169" s="36"/>
      <c r="Q169" s="36"/>
      <c r="R169" s="105"/>
      <c r="S169" s="36"/>
      <c r="T169" s="36"/>
      <c r="U169" s="36"/>
      <c r="V169" s="36"/>
      <c r="W169" s="36"/>
      <c r="X169" s="36"/>
      <c r="Y169" s="36"/>
      <c r="Z169" s="36"/>
      <c r="AA169" s="36"/>
      <c r="AB169" s="42"/>
      <c r="AC169" s="42"/>
      <c r="AD169" s="36"/>
      <c r="AE169" s="36"/>
      <c r="AF169" s="42"/>
      <c r="AG169" s="42"/>
      <c r="AH169" s="36"/>
      <c r="AI169" s="36"/>
      <c r="AJ169" s="36"/>
      <c r="AK169" s="36"/>
      <c r="AL169" s="36"/>
      <c r="AM169" s="36"/>
      <c r="AN169" s="36"/>
    </row>
    <row r="170" spans="1:40" ht="15.75" x14ac:dyDescent="0.25">
      <c r="A170" s="44"/>
      <c r="B170" s="36"/>
      <c r="C170" s="36"/>
      <c r="D170" s="36"/>
      <c r="E170" s="36"/>
      <c r="F170" s="36"/>
      <c r="G170" s="36"/>
      <c r="H170" s="36"/>
      <c r="I170" s="36"/>
      <c r="J170" s="105"/>
      <c r="K170" s="36"/>
      <c r="L170" s="36"/>
      <c r="M170" s="36"/>
      <c r="N170" s="105"/>
      <c r="O170" s="36"/>
      <c r="P170" s="36"/>
      <c r="Q170" s="36"/>
      <c r="R170" s="105"/>
      <c r="S170" s="36"/>
      <c r="T170" s="36"/>
      <c r="U170" s="36"/>
      <c r="V170" s="36"/>
      <c r="W170" s="36"/>
      <c r="X170" s="36"/>
      <c r="Y170" s="36"/>
      <c r="Z170" s="36"/>
      <c r="AA170" s="36"/>
      <c r="AB170" s="42"/>
      <c r="AC170" s="42"/>
      <c r="AD170" s="36"/>
      <c r="AE170" s="36"/>
      <c r="AF170" s="42"/>
      <c r="AG170" s="42"/>
      <c r="AH170" s="36"/>
      <c r="AI170" s="36"/>
      <c r="AJ170" s="36"/>
      <c r="AK170" s="36"/>
      <c r="AL170" s="36"/>
      <c r="AM170" s="36"/>
      <c r="AN170" s="36"/>
    </row>
    <row r="171" spans="1:40" ht="15.75" x14ac:dyDescent="0.25">
      <c r="A171" s="44"/>
      <c r="B171" s="36"/>
      <c r="C171" s="36"/>
      <c r="D171" s="36"/>
      <c r="E171" s="36"/>
      <c r="F171" s="36"/>
      <c r="G171" s="36"/>
      <c r="H171" s="36"/>
      <c r="I171" s="36"/>
      <c r="J171" s="105"/>
      <c r="K171" s="36"/>
      <c r="L171" s="36"/>
      <c r="M171" s="36"/>
      <c r="N171" s="105"/>
      <c r="O171" s="36"/>
      <c r="P171" s="36"/>
      <c r="Q171" s="36"/>
      <c r="R171" s="105"/>
      <c r="S171" s="36"/>
      <c r="T171" s="36"/>
      <c r="U171" s="36"/>
      <c r="V171" s="36"/>
      <c r="W171" s="36"/>
      <c r="X171" s="36"/>
      <c r="Y171" s="36"/>
      <c r="Z171" s="36"/>
      <c r="AA171" s="36"/>
      <c r="AB171" s="42"/>
      <c r="AC171" s="42"/>
      <c r="AD171" s="36"/>
      <c r="AE171" s="36"/>
      <c r="AF171" s="42"/>
      <c r="AG171" s="42"/>
      <c r="AH171" s="36"/>
      <c r="AI171" s="36"/>
      <c r="AJ171" s="36"/>
      <c r="AK171" s="36"/>
      <c r="AL171" s="36"/>
      <c r="AM171" s="36"/>
      <c r="AN171" s="36"/>
    </row>
    <row r="172" spans="1:40" ht="15.75" x14ac:dyDescent="0.25">
      <c r="A172" s="44"/>
      <c r="B172" s="36"/>
      <c r="C172" s="36"/>
      <c r="D172" s="36"/>
      <c r="E172" s="36"/>
      <c r="F172" s="36"/>
      <c r="G172" s="36"/>
      <c r="H172" s="36"/>
      <c r="I172" s="36"/>
      <c r="J172" s="105"/>
      <c r="K172" s="36"/>
      <c r="L172" s="36"/>
      <c r="M172" s="36"/>
      <c r="N172" s="105"/>
      <c r="O172" s="36"/>
      <c r="P172" s="36"/>
      <c r="Q172" s="36"/>
      <c r="R172" s="105"/>
      <c r="S172" s="36"/>
      <c r="T172" s="36"/>
      <c r="U172" s="36"/>
      <c r="V172" s="36"/>
      <c r="W172" s="36"/>
      <c r="X172" s="36"/>
      <c r="Y172" s="36"/>
      <c r="Z172" s="36"/>
      <c r="AA172" s="36"/>
      <c r="AB172" s="42"/>
      <c r="AC172" s="42"/>
      <c r="AD172" s="36"/>
      <c r="AE172" s="36"/>
      <c r="AF172" s="42"/>
      <c r="AG172" s="42"/>
      <c r="AH172" s="36"/>
      <c r="AI172" s="36"/>
      <c r="AJ172" s="36"/>
      <c r="AK172" s="36"/>
      <c r="AL172" s="36"/>
      <c r="AM172" s="36"/>
      <c r="AN172" s="36"/>
    </row>
    <row r="173" spans="1:40" ht="15.75" x14ac:dyDescent="0.25">
      <c r="A173" s="44"/>
      <c r="B173" s="36"/>
      <c r="C173" s="36"/>
      <c r="D173" s="36"/>
      <c r="E173" s="36"/>
      <c r="F173" s="36"/>
      <c r="G173" s="36"/>
      <c r="H173" s="36"/>
      <c r="I173" s="36"/>
      <c r="J173" s="105"/>
      <c r="K173" s="36"/>
      <c r="L173" s="36"/>
      <c r="M173" s="36"/>
      <c r="N173" s="105"/>
      <c r="O173" s="36"/>
      <c r="P173" s="36"/>
      <c r="Q173" s="36"/>
      <c r="R173" s="105"/>
      <c r="S173" s="36"/>
      <c r="T173" s="36"/>
      <c r="U173" s="36"/>
      <c r="V173" s="36"/>
      <c r="W173" s="36"/>
      <c r="X173" s="36"/>
      <c r="Y173" s="36"/>
      <c r="Z173" s="36"/>
      <c r="AA173" s="36"/>
      <c r="AB173" s="42"/>
      <c r="AC173" s="42"/>
      <c r="AD173" s="36"/>
      <c r="AE173" s="36"/>
      <c r="AF173" s="42"/>
      <c r="AG173" s="42"/>
      <c r="AH173" s="36"/>
      <c r="AI173" s="36"/>
      <c r="AJ173" s="36"/>
      <c r="AK173" s="36"/>
      <c r="AL173" s="36"/>
      <c r="AM173" s="36"/>
      <c r="AN173" s="36"/>
    </row>
    <row r="174" spans="1:40" ht="15.75" x14ac:dyDescent="0.25">
      <c r="A174" s="44"/>
      <c r="B174" s="36"/>
      <c r="C174" s="36"/>
      <c r="D174" s="36"/>
      <c r="E174" s="36"/>
      <c r="F174" s="36"/>
      <c r="G174" s="36"/>
      <c r="H174" s="36"/>
      <c r="I174" s="36"/>
      <c r="J174" s="105"/>
      <c r="K174" s="36"/>
      <c r="L174" s="36"/>
      <c r="M174" s="36"/>
      <c r="N174" s="105"/>
      <c r="O174" s="36"/>
      <c r="P174" s="36"/>
      <c r="Q174" s="36"/>
      <c r="R174" s="105"/>
      <c r="S174" s="36"/>
      <c r="T174" s="36"/>
      <c r="U174" s="36"/>
      <c r="V174" s="36"/>
      <c r="W174" s="36"/>
      <c r="X174" s="36"/>
      <c r="Y174" s="36"/>
      <c r="Z174" s="36"/>
      <c r="AA174" s="36"/>
      <c r="AB174" s="42"/>
      <c r="AC174" s="42"/>
      <c r="AD174" s="36"/>
      <c r="AE174" s="36"/>
      <c r="AF174" s="42"/>
      <c r="AG174" s="42"/>
      <c r="AH174" s="36"/>
      <c r="AI174" s="36"/>
      <c r="AJ174" s="36"/>
      <c r="AK174" s="36"/>
      <c r="AL174" s="36"/>
      <c r="AM174" s="36"/>
      <c r="AN174" s="36"/>
    </row>
    <row r="175" spans="1:40" ht="15.75" x14ac:dyDescent="0.25">
      <c r="A175" s="44"/>
      <c r="B175" s="36"/>
      <c r="C175" s="36"/>
      <c r="D175" s="36"/>
      <c r="E175" s="36"/>
      <c r="F175" s="36"/>
      <c r="G175" s="36"/>
      <c r="H175" s="36"/>
      <c r="I175" s="36"/>
      <c r="J175" s="105"/>
      <c r="K175" s="36"/>
      <c r="L175" s="36"/>
      <c r="M175" s="36"/>
      <c r="N175" s="105"/>
      <c r="O175" s="36"/>
      <c r="P175" s="36"/>
      <c r="Q175" s="36"/>
      <c r="R175" s="105"/>
      <c r="S175" s="36"/>
      <c r="T175" s="36"/>
      <c r="U175" s="36"/>
      <c r="V175" s="36"/>
      <c r="W175" s="36"/>
      <c r="X175" s="36"/>
      <c r="Y175" s="36"/>
      <c r="Z175" s="36"/>
      <c r="AA175" s="36"/>
      <c r="AB175" s="42"/>
      <c r="AC175" s="42"/>
      <c r="AD175" s="36"/>
      <c r="AE175" s="36"/>
      <c r="AF175" s="42"/>
      <c r="AG175" s="42"/>
      <c r="AH175" s="36"/>
      <c r="AI175" s="36"/>
      <c r="AJ175" s="36"/>
      <c r="AK175" s="36"/>
      <c r="AL175" s="36"/>
      <c r="AM175" s="36"/>
      <c r="AN175" s="36"/>
    </row>
    <row r="176" spans="1:40" ht="15.75" x14ac:dyDescent="0.25">
      <c r="A176" s="44"/>
      <c r="B176" s="36"/>
      <c r="C176" s="36"/>
      <c r="D176" s="36"/>
      <c r="E176" s="36"/>
      <c r="F176" s="36"/>
      <c r="G176" s="36"/>
      <c r="H176" s="36"/>
      <c r="I176" s="36"/>
      <c r="J176" s="105"/>
      <c r="K176" s="36"/>
      <c r="L176" s="36"/>
      <c r="M176" s="36"/>
      <c r="N176" s="105"/>
      <c r="O176" s="36"/>
      <c r="P176" s="36"/>
      <c r="Q176" s="36"/>
      <c r="R176" s="105"/>
      <c r="S176" s="36"/>
      <c r="T176" s="36"/>
      <c r="U176" s="36"/>
      <c r="V176" s="36"/>
      <c r="W176" s="36"/>
      <c r="X176" s="36"/>
      <c r="Y176" s="36"/>
      <c r="Z176" s="36"/>
      <c r="AA176" s="36"/>
      <c r="AB176" s="42"/>
      <c r="AC176" s="42"/>
      <c r="AD176" s="36"/>
      <c r="AE176" s="36"/>
      <c r="AF176" s="42"/>
      <c r="AG176" s="42"/>
      <c r="AH176" s="36"/>
      <c r="AI176" s="36"/>
      <c r="AJ176" s="36"/>
      <c r="AK176" s="36"/>
      <c r="AL176" s="36"/>
      <c r="AM176" s="36"/>
      <c r="AN176" s="36"/>
    </row>
    <row r="177" spans="1:40" ht="15.75" x14ac:dyDescent="0.25">
      <c r="A177" s="44"/>
      <c r="B177" s="36"/>
      <c r="C177" s="36"/>
      <c r="D177" s="36"/>
      <c r="E177" s="36"/>
      <c r="F177" s="36"/>
      <c r="G177" s="36"/>
      <c r="H177" s="36"/>
      <c r="I177" s="36"/>
      <c r="J177" s="105"/>
      <c r="K177" s="36"/>
      <c r="L177" s="36"/>
      <c r="M177" s="36"/>
      <c r="N177" s="105"/>
      <c r="O177" s="36"/>
      <c r="P177" s="36"/>
      <c r="Q177" s="36"/>
      <c r="R177" s="105"/>
      <c r="S177" s="36"/>
      <c r="T177" s="36"/>
      <c r="U177" s="36"/>
      <c r="V177" s="36"/>
      <c r="W177" s="36"/>
      <c r="X177" s="36"/>
      <c r="Y177" s="36"/>
      <c r="Z177" s="36"/>
      <c r="AA177" s="36"/>
      <c r="AB177" s="42"/>
      <c r="AC177" s="42"/>
      <c r="AD177" s="36"/>
      <c r="AE177" s="36"/>
      <c r="AF177" s="42"/>
      <c r="AG177" s="42"/>
      <c r="AH177" s="36"/>
      <c r="AI177" s="36"/>
      <c r="AJ177" s="36"/>
      <c r="AK177" s="36"/>
      <c r="AL177" s="36"/>
      <c r="AM177" s="36"/>
      <c r="AN177" s="36"/>
    </row>
    <row r="178" spans="1:40" ht="15.75" x14ac:dyDescent="0.25">
      <c r="A178" s="44"/>
      <c r="B178" s="36"/>
      <c r="C178" s="36"/>
      <c r="D178" s="36"/>
      <c r="E178" s="36"/>
      <c r="F178" s="36"/>
      <c r="G178" s="36"/>
      <c r="H178" s="36"/>
      <c r="I178" s="36"/>
      <c r="J178" s="105"/>
      <c r="K178" s="36"/>
      <c r="L178" s="36"/>
      <c r="M178" s="36"/>
      <c r="N178" s="105"/>
      <c r="O178" s="36"/>
      <c r="P178" s="36"/>
      <c r="Q178" s="36"/>
      <c r="R178" s="105"/>
      <c r="S178" s="36"/>
      <c r="T178" s="36"/>
      <c r="U178" s="36"/>
      <c r="V178" s="36"/>
      <c r="W178" s="36"/>
      <c r="X178" s="36"/>
      <c r="Y178" s="36"/>
      <c r="Z178" s="36"/>
      <c r="AA178" s="36"/>
      <c r="AB178" s="42"/>
      <c r="AC178" s="42"/>
      <c r="AD178" s="36"/>
      <c r="AE178" s="36"/>
      <c r="AF178" s="42"/>
      <c r="AG178" s="42"/>
      <c r="AH178" s="36"/>
      <c r="AI178" s="36"/>
      <c r="AJ178" s="36"/>
      <c r="AK178" s="36"/>
      <c r="AL178" s="36"/>
      <c r="AM178" s="36"/>
      <c r="AN178" s="36"/>
    </row>
    <row r="179" spans="1:40" ht="15.75" x14ac:dyDescent="0.25">
      <c r="A179" s="44"/>
      <c r="B179" s="36"/>
      <c r="C179" s="36"/>
      <c r="D179" s="36"/>
      <c r="E179" s="36"/>
      <c r="F179" s="36"/>
      <c r="G179" s="36"/>
      <c r="H179" s="36"/>
      <c r="I179" s="36"/>
      <c r="J179" s="105"/>
      <c r="K179" s="36"/>
      <c r="L179" s="36"/>
      <c r="M179" s="36"/>
      <c r="N179" s="105"/>
      <c r="O179" s="36"/>
      <c r="P179" s="36"/>
      <c r="Q179" s="36"/>
      <c r="R179" s="105"/>
      <c r="S179" s="36"/>
      <c r="T179" s="36"/>
      <c r="U179" s="36"/>
      <c r="V179" s="36"/>
      <c r="W179" s="36"/>
      <c r="X179" s="36"/>
      <c r="Y179" s="36"/>
      <c r="Z179" s="36"/>
      <c r="AA179" s="36"/>
      <c r="AB179" s="42"/>
      <c r="AC179" s="42"/>
      <c r="AD179" s="36"/>
      <c r="AE179" s="36"/>
      <c r="AF179" s="42"/>
      <c r="AG179" s="42"/>
      <c r="AH179" s="36"/>
      <c r="AI179" s="36"/>
      <c r="AJ179" s="36"/>
      <c r="AK179" s="36"/>
      <c r="AL179" s="36"/>
      <c r="AM179" s="36"/>
      <c r="AN179" s="36"/>
    </row>
    <row r="180" spans="1:40" ht="15.75" x14ac:dyDescent="0.25">
      <c r="A180" s="44"/>
      <c r="B180" s="36"/>
      <c r="C180" s="36"/>
      <c r="D180" s="36"/>
      <c r="E180" s="36"/>
      <c r="F180" s="36"/>
      <c r="G180" s="36"/>
      <c r="H180" s="36"/>
      <c r="I180" s="36"/>
      <c r="J180" s="105"/>
      <c r="K180" s="36"/>
      <c r="L180" s="36"/>
      <c r="M180" s="36"/>
      <c r="N180" s="105"/>
      <c r="O180" s="36"/>
      <c r="P180" s="36"/>
      <c r="Q180" s="36"/>
      <c r="R180" s="105"/>
      <c r="S180" s="36"/>
      <c r="T180" s="36"/>
      <c r="U180" s="36"/>
      <c r="V180" s="36"/>
      <c r="W180" s="36"/>
      <c r="X180" s="36"/>
      <c r="Y180" s="36"/>
      <c r="Z180" s="36"/>
      <c r="AA180" s="36"/>
      <c r="AB180" s="42"/>
      <c r="AC180" s="42"/>
      <c r="AD180" s="36"/>
      <c r="AE180" s="36"/>
      <c r="AF180" s="42"/>
      <c r="AG180" s="42"/>
      <c r="AH180" s="36"/>
      <c r="AI180" s="36"/>
      <c r="AJ180" s="36"/>
      <c r="AK180" s="36"/>
      <c r="AL180" s="36"/>
      <c r="AM180" s="36"/>
      <c r="AN180" s="36"/>
    </row>
    <row r="181" spans="1:40" ht="15.75" x14ac:dyDescent="0.25">
      <c r="A181" s="44"/>
      <c r="B181" s="36"/>
      <c r="C181" s="36"/>
      <c r="D181" s="36"/>
      <c r="E181" s="36"/>
      <c r="F181" s="36"/>
      <c r="G181" s="36"/>
      <c r="H181" s="36"/>
      <c r="I181" s="36"/>
      <c r="J181" s="105"/>
      <c r="K181" s="36"/>
      <c r="L181" s="36"/>
      <c r="M181" s="36"/>
      <c r="N181" s="105"/>
      <c r="O181" s="36"/>
      <c r="P181" s="36"/>
      <c r="Q181" s="36"/>
      <c r="R181" s="105"/>
      <c r="S181" s="36"/>
      <c r="T181" s="36"/>
      <c r="U181" s="36"/>
      <c r="V181" s="36"/>
      <c r="W181" s="36"/>
      <c r="X181" s="36"/>
      <c r="Y181" s="36"/>
      <c r="Z181" s="36"/>
      <c r="AA181" s="36"/>
      <c r="AB181" s="42"/>
      <c r="AC181" s="42"/>
      <c r="AD181" s="36"/>
      <c r="AE181" s="36"/>
      <c r="AF181" s="42"/>
      <c r="AG181" s="42"/>
      <c r="AH181" s="36"/>
      <c r="AI181" s="36"/>
      <c r="AJ181" s="36"/>
      <c r="AK181" s="36"/>
      <c r="AL181" s="36"/>
      <c r="AM181" s="36"/>
      <c r="AN181" s="36"/>
    </row>
    <row r="182" spans="1:40" ht="15.75" x14ac:dyDescent="0.25">
      <c r="A182" s="44"/>
      <c r="B182" s="36"/>
      <c r="C182" s="36"/>
      <c r="D182" s="36"/>
      <c r="E182" s="36"/>
      <c r="F182" s="36"/>
      <c r="G182" s="36"/>
      <c r="H182" s="36"/>
      <c r="I182" s="36"/>
      <c r="J182" s="105"/>
      <c r="K182" s="36"/>
      <c r="L182" s="36"/>
      <c r="M182" s="36"/>
      <c r="N182" s="105"/>
      <c r="O182" s="36"/>
      <c r="P182" s="36"/>
      <c r="Q182" s="36"/>
      <c r="R182" s="105"/>
      <c r="S182" s="36"/>
      <c r="T182" s="36"/>
      <c r="U182" s="36"/>
      <c r="V182" s="36"/>
      <c r="W182" s="36"/>
      <c r="X182" s="36"/>
      <c r="Y182" s="36"/>
      <c r="Z182" s="36"/>
      <c r="AA182" s="36"/>
      <c r="AB182" s="42"/>
      <c r="AC182" s="42"/>
      <c r="AD182" s="36"/>
      <c r="AE182" s="36"/>
      <c r="AF182" s="42"/>
      <c r="AG182" s="42"/>
      <c r="AH182" s="36"/>
      <c r="AI182" s="36"/>
      <c r="AJ182" s="36"/>
      <c r="AK182" s="36"/>
      <c r="AL182" s="36"/>
      <c r="AM182" s="36"/>
      <c r="AN182" s="36"/>
    </row>
    <row r="183" spans="1:40" ht="15.75" x14ac:dyDescent="0.25">
      <c r="A183" s="44"/>
      <c r="B183" s="36"/>
      <c r="C183" s="36"/>
      <c r="D183" s="36"/>
      <c r="E183" s="36"/>
      <c r="F183" s="36"/>
      <c r="G183" s="36"/>
      <c r="H183" s="36"/>
      <c r="I183" s="36"/>
      <c r="J183" s="105"/>
      <c r="K183" s="36"/>
      <c r="L183" s="36"/>
      <c r="M183" s="36"/>
      <c r="N183" s="105"/>
      <c r="O183" s="36"/>
      <c r="P183" s="36"/>
      <c r="Q183" s="36"/>
      <c r="R183" s="105"/>
      <c r="S183" s="36"/>
      <c r="T183" s="36"/>
      <c r="U183" s="36"/>
      <c r="V183" s="36"/>
      <c r="W183" s="36"/>
      <c r="X183" s="36"/>
      <c r="Y183" s="36"/>
      <c r="Z183" s="36"/>
      <c r="AA183" s="36"/>
      <c r="AB183" s="42"/>
      <c r="AC183" s="42"/>
      <c r="AD183" s="36"/>
      <c r="AE183" s="36"/>
      <c r="AF183" s="42"/>
      <c r="AG183" s="42"/>
      <c r="AH183" s="36"/>
      <c r="AI183" s="36"/>
      <c r="AJ183" s="36"/>
      <c r="AK183" s="36"/>
      <c r="AL183" s="36"/>
      <c r="AM183" s="36"/>
      <c r="AN183" s="36"/>
    </row>
    <row r="184" spans="1:40" ht="15.75" x14ac:dyDescent="0.25">
      <c r="A184" s="44"/>
      <c r="B184" s="36"/>
      <c r="C184" s="36"/>
      <c r="D184" s="36"/>
      <c r="E184" s="36"/>
      <c r="F184" s="36"/>
      <c r="G184" s="36"/>
      <c r="H184" s="36"/>
      <c r="I184" s="36"/>
      <c r="J184" s="105"/>
      <c r="K184" s="36"/>
      <c r="L184" s="36"/>
      <c r="M184" s="36"/>
      <c r="N184" s="105"/>
      <c r="O184" s="36"/>
      <c r="P184" s="36"/>
      <c r="Q184" s="36"/>
      <c r="R184" s="105"/>
      <c r="S184" s="36"/>
      <c r="T184" s="36"/>
      <c r="U184" s="36"/>
      <c r="V184" s="36"/>
      <c r="W184" s="36"/>
      <c r="X184" s="36"/>
      <c r="Y184" s="36"/>
      <c r="Z184" s="36"/>
      <c r="AA184" s="36"/>
      <c r="AB184" s="42"/>
      <c r="AC184" s="42"/>
      <c r="AD184" s="36"/>
      <c r="AE184" s="36"/>
      <c r="AF184" s="42"/>
      <c r="AG184" s="42"/>
      <c r="AH184" s="36"/>
      <c r="AI184" s="36"/>
      <c r="AJ184" s="36"/>
      <c r="AK184" s="36"/>
      <c r="AL184" s="36"/>
      <c r="AM184" s="36"/>
      <c r="AN184" s="36"/>
    </row>
    <row r="185" spans="1:40" ht="15.75" x14ac:dyDescent="0.25">
      <c r="A185" s="44"/>
      <c r="B185" s="36"/>
      <c r="C185" s="36"/>
      <c r="D185" s="36"/>
      <c r="E185" s="36"/>
      <c r="F185" s="36"/>
      <c r="G185" s="36"/>
      <c r="H185" s="36"/>
      <c r="I185" s="36"/>
      <c r="J185" s="105"/>
      <c r="K185" s="36"/>
      <c r="L185" s="36"/>
      <c r="M185" s="36"/>
      <c r="N185" s="105"/>
      <c r="O185" s="36"/>
      <c r="P185" s="36"/>
      <c r="Q185" s="36"/>
      <c r="R185" s="105"/>
      <c r="S185" s="36"/>
      <c r="T185" s="36"/>
      <c r="U185" s="36"/>
      <c r="V185" s="36"/>
      <c r="W185" s="36"/>
      <c r="X185" s="36"/>
      <c r="Y185" s="36"/>
      <c r="Z185" s="36"/>
      <c r="AA185" s="36"/>
      <c r="AB185" s="42"/>
      <c r="AC185" s="42"/>
      <c r="AD185" s="36"/>
      <c r="AE185" s="36"/>
      <c r="AF185" s="42"/>
      <c r="AG185" s="42"/>
      <c r="AH185" s="36"/>
      <c r="AI185" s="36"/>
      <c r="AJ185" s="36"/>
      <c r="AK185" s="36"/>
      <c r="AL185" s="36"/>
      <c r="AM185" s="36"/>
      <c r="AN185" s="36"/>
    </row>
    <row r="186" spans="1:40" ht="15.75" x14ac:dyDescent="0.25">
      <c r="A186" s="44"/>
      <c r="B186" s="36"/>
      <c r="C186" s="36"/>
      <c r="D186" s="36"/>
      <c r="E186" s="36"/>
      <c r="F186" s="36"/>
      <c r="G186" s="36"/>
      <c r="H186" s="36"/>
      <c r="I186" s="36"/>
      <c r="J186" s="105"/>
      <c r="K186" s="36"/>
      <c r="L186" s="36"/>
      <c r="M186" s="36"/>
      <c r="N186" s="105"/>
      <c r="O186" s="36"/>
      <c r="P186" s="36"/>
      <c r="Q186" s="36"/>
      <c r="R186" s="105"/>
      <c r="S186" s="36"/>
      <c r="T186" s="36"/>
      <c r="U186" s="36"/>
      <c r="V186" s="36"/>
      <c r="W186" s="36"/>
      <c r="X186" s="36"/>
      <c r="Y186" s="36"/>
      <c r="Z186" s="36"/>
      <c r="AA186" s="36"/>
      <c r="AB186" s="42"/>
      <c r="AC186" s="42"/>
      <c r="AD186" s="36"/>
      <c r="AE186" s="36"/>
      <c r="AF186" s="42"/>
      <c r="AG186" s="42"/>
      <c r="AH186" s="36"/>
      <c r="AI186" s="36"/>
      <c r="AJ186" s="36"/>
      <c r="AK186" s="36"/>
      <c r="AL186" s="36"/>
      <c r="AM186" s="36"/>
      <c r="AN186" s="36"/>
    </row>
    <row r="187" spans="1:40" ht="15.75" x14ac:dyDescent="0.25">
      <c r="A187" s="44"/>
      <c r="B187" s="36"/>
      <c r="C187" s="36"/>
      <c r="D187" s="36"/>
      <c r="E187" s="36"/>
      <c r="F187" s="36"/>
      <c r="G187" s="36"/>
      <c r="H187" s="36"/>
      <c r="I187" s="36"/>
      <c r="J187" s="105"/>
      <c r="K187" s="36"/>
      <c r="L187" s="36"/>
      <c r="M187" s="36"/>
      <c r="N187" s="105"/>
      <c r="O187" s="36"/>
      <c r="P187" s="36"/>
      <c r="Q187" s="36"/>
      <c r="R187" s="105"/>
      <c r="S187" s="36"/>
      <c r="T187" s="36"/>
      <c r="U187" s="36"/>
      <c r="V187" s="36"/>
      <c r="W187" s="36"/>
      <c r="X187" s="36"/>
      <c r="Y187" s="36"/>
      <c r="Z187" s="36"/>
      <c r="AA187" s="36"/>
      <c r="AB187" s="42"/>
      <c r="AC187" s="42"/>
      <c r="AD187" s="36"/>
      <c r="AE187" s="36"/>
      <c r="AF187" s="42"/>
      <c r="AG187" s="42"/>
      <c r="AH187" s="36"/>
      <c r="AI187" s="36"/>
      <c r="AJ187" s="36"/>
      <c r="AK187" s="36"/>
      <c r="AL187" s="36"/>
      <c r="AM187" s="36"/>
      <c r="AN187" s="36"/>
    </row>
    <row r="188" spans="1:40" ht="15.75" x14ac:dyDescent="0.25">
      <c r="A188" s="44"/>
      <c r="B188" s="36"/>
      <c r="C188" s="36"/>
      <c r="D188" s="36"/>
      <c r="E188" s="36"/>
      <c r="F188" s="36"/>
      <c r="G188" s="36"/>
      <c r="H188" s="36"/>
      <c r="I188" s="36"/>
      <c r="J188" s="105"/>
      <c r="K188" s="36"/>
      <c r="L188" s="36"/>
      <c r="M188" s="36"/>
      <c r="N188" s="105"/>
      <c r="O188" s="36"/>
      <c r="P188" s="36"/>
      <c r="Q188" s="36"/>
      <c r="R188" s="105"/>
      <c r="S188" s="36"/>
      <c r="T188" s="36"/>
      <c r="U188" s="36"/>
      <c r="V188" s="36"/>
      <c r="W188" s="36"/>
      <c r="X188" s="36"/>
      <c r="Y188" s="36"/>
      <c r="Z188" s="36"/>
      <c r="AA188" s="36"/>
      <c r="AB188" s="42"/>
      <c r="AC188" s="42"/>
      <c r="AD188" s="36"/>
      <c r="AE188" s="36"/>
      <c r="AF188" s="42"/>
      <c r="AG188" s="42"/>
      <c r="AH188" s="36"/>
      <c r="AI188" s="36"/>
      <c r="AJ188" s="36"/>
      <c r="AK188" s="36"/>
      <c r="AL188" s="36"/>
      <c r="AM188" s="36"/>
      <c r="AN188" s="36"/>
    </row>
    <row r="189" spans="1:40" ht="15.75" x14ac:dyDescent="0.25">
      <c r="A189" s="44"/>
      <c r="B189" s="36"/>
      <c r="C189" s="36"/>
      <c r="D189" s="36"/>
      <c r="E189" s="36"/>
      <c r="F189" s="36"/>
      <c r="G189" s="36"/>
      <c r="H189" s="36"/>
      <c r="I189" s="36"/>
      <c r="J189" s="105"/>
      <c r="K189" s="36"/>
      <c r="L189" s="36"/>
      <c r="M189" s="36"/>
      <c r="N189" s="105"/>
      <c r="O189" s="36"/>
      <c r="P189" s="36"/>
      <c r="Q189" s="36"/>
      <c r="R189" s="105"/>
      <c r="S189" s="36"/>
      <c r="T189" s="36"/>
      <c r="U189" s="36"/>
      <c r="V189" s="36"/>
      <c r="W189" s="36"/>
      <c r="X189" s="36"/>
      <c r="Y189" s="36"/>
      <c r="Z189" s="36"/>
      <c r="AA189" s="36"/>
      <c r="AB189" s="42"/>
      <c r="AC189" s="42"/>
      <c r="AD189" s="36"/>
      <c r="AE189" s="36"/>
      <c r="AF189" s="42"/>
      <c r="AG189" s="42"/>
      <c r="AH189" s="36"/>
      <c r="AI189" s="36"/>
      <c r="AJ189" s="36"/>
      <c r="AK189" s="36"/>
      <c r="AL189" s="36"/>
      <c r="AM189" s="36"/>
      <c r="AN189" s="36"/>
    </row>
    <row r="190" spans="1:40" ht="15.75" x14ac:dyDescent="0.25">
      <c r="A190" s="44"/>
      <c r="B190" s="36"/>
      <c r="C190" s="36"/>
      <c r="D190" s="36"/>
      <c r="E190" s="36"/>
      <c r="F190" s="36"/>
      <c r="G190" s="36"/>
      <c r="H190" s="36"/>
      <c r="I190" s="36"/>
      <c r="J190" s="105"/>
      <c r="K190" s="36"/>
      <c r="L190" s="36"/>
      <c r="M190" s="36"/>
      <c r="N190" s="105"/>
      <c r="O190" s="36"/>
      <c r="P190" s="36"/>
      <c r="Q190" s="36"/>
      <c r="R190" s="105"/>
      <c r="S190" s="36"/>
      <c r="T190" s="36"/>
      <c r="U190" s="36"/>
      <c r="V190" s="36"/>
      <c r="W190" s="36"/>
      <c r="X190" s="36"/>
      <c r="Y190" s="36"/>
      <c r="Z190" s="36"/>
      <c r="AA190" s="36"/>
      <c r="AB190" s="42"/>
      <c r="AC190" s="42"/>
      <c r="AD190" s="36"/>
      <c r="AE190" s="36"/>
      <c r="AF190" s="42"/>
      <c r="AG190" s="42"/>
      <c r="AH190" s="36"/>
      <c r="AI190" s="36"/>
      <c r="AJ190" s="36"/>
      <c r="AK190" s="36"/>
      <c r="AL190" s="36"/>
      <c r="AM190" s="36"/>
      <c r="AN190" s="36"/>
    </row>
    <row r="191" spans="1:40" ht="15.75" x14ac:dyDescent="0.25">
      <c r="A191" s="44"/>
      <c r="B191" s="36"/>
      <c r="C191" s="36"/>
      <c r="D191" s="36"/>
      <c r="E191" s="36"/>
      <c r="F191" s="36"/>
      <c r="G191" s="36"/>
      <c r="H191" s="36"/>
      <c r="I191" s="36"/>
      <c r="J191" s="105"/>
      <c r="K191" s="36"/>
      <c r="L191" s="36"/>
      <c r="M191" s="36"/>
      <c r="N191" s="105"/>
      <c r="O191" s="36"/>
      <c r="P191" s="36"/>
      <c r="Q191" s="36"/>
      <c r="R191" s="105"/>
      <c r="S191" s="36"/>
      <c r="T191" s="36"/>
      <c r="U191" s="36"/>
      <c r="V191" s="36"/>
      <c r="W191" s="36"/>
      <c r="X191" s="36"/>
      <c r="Y191" s="36"/>
      <c r="Z191" s="36"/>
      <c r="AA191" s="36"/>
      <c r="AB191" s="42"/>
      <c r="AC191" s="42"/>
      <c r="AD191" s="36"/>
      <c r="AE191" s="36"/>
      <c r="AF191" s="42"/>
      <c r="AG191" s="42"/>
      <c r="AH191" s="36"/>
      <c r="AI191" s="36"/>
      <c r="AJ191" s="36"/>
      <c r="AK191" s="36"/>
      <c r="AL191" s="36"/>
      <c r="AM191" s="36"/>
      <c r="AN191" s="36"/>
    </row>
    <row r="192" spans="1:40" ht="15.75" x14ac:dyDescent="0.25">
      <c r="A192" s="44"/>
      <c r="B192" s="36"/>
      <c r="C192" s="36"/>
      <c r="D192" s="36"/>
      <c r="E192" s="36"/>
      <c r="F192" s="36"/>
      <c r="G192" s="36"/>
      <c r="H192" s="36"/>
      <c r="I192" s="36"/>
      <c r="J192" s="105"/>
      <c r="K192" s="36"/>
      <c r="L192" s="36"/>
      <c r="M192" s="36"/>
      <c r="N192" s="105"/>
      <c r="O192" s="36"/>
      <c r="P192" s="36"/>
      <c r="Q192" s="36"/>
      <c r="R192" s="105"/>
      <c r="S192" s="36"/>
      <c r="T192" s="36"/>
      <c r="U192" s="36"/>
      <c r="V192" s="36"/>
      <c r="W192" s="36"/>
      <c r="X192" s="36"/>
      <c r="Y192" s="36"/>
      <c r="Z192" s="36"/>
      <c r="AA192" s="36"/>
      <c r="AB192" s="42"/>
      <c r="AC192" s="42"/>
      <c r="AD192" s="36"/>
      <c r="AE192" s="36"/>
      <c r="AF192" s="42"/>
      <c r="AG192" s="42"/>
      <c r="AH192" s="36"/>
      <c r="AI192" s="36"/>
      <c r="AJ192" s="36"/>
      <c r="AK192" s="36"/>
      <c r="AL192" s="36"/>
      <c r="AM192" s="36"/>
      <c r="AN192" s="36"/>
    </row>
    <row r="193" spans="1:40" ht="15.75" x14ac:dyDescent="0.25">
      <c r="A193" s="44"/>
      <c r="B193" s="36"/>
      <c r="C193" s="36"/>
      <c r="D193" s="36"/>
      <c r="E193" s="36"/>
      <c r="F193" s="36"/>
      <c r="G193" s="36"/>
      <c r="H193" s="36"/>
      <c r="I193" s="36"/>
      <c r="J193" s="105"/>
      <c r="K193" s="36"/>
      <c r="L193" s="36"/>
      <c r="M193" s="36"/>
      <c r="N193" s="105"/>
      <c r="O193" s="36"/>
      <c r="P193" s="36"/>
      <c r="Q193" s="36"/>
      <c r="R193" s="105"/>
      <c r="S193" s="36"/>
      <c r="T193" s="36"/>
      <c r="U193" s="36"/>
      <c r="V193" s="36"/>
      <c r="W193" s="36"/>
      <c r="X193" s="36"/>
      <c r="Y193" s="36"/>
      <c r="Z193" s="36"/>
      <c r="AA193" s="36"/>
      <c r="AB193" s="42"/>
      <c r="AC193" s="42"/>
      <c r="AD193" s="36"/>
      <c r="AE193" s="36"/>
      <c r="AF193" s="42"/>
      <c r="AG193" s="42"/>
      <c r="AH193" s="36"/>
      <c r="AI193" s="36"/>
      <c r="AJ193" s="36"/>
      <c r="AK193" s="36"/>
      <c r="AL193" s="36"/>
      <c r="AM193" s="36"/>
      <c r="AN193" s="36"/>
    </row>
    <row r="194" spans="1:40" ht="15.75" x14ac:dyDescent="0.25">
      <c r="A194" s="44"/>
      <c r="B194" s="36"/>
      <c r="C194" s="36"/>
      <c r="D194" s="36"/>
      <c r="E194" s="36"/>
      <c r="F194" s="36"/>
      <c r="G194" s="36"/>
      <c r="H194" s="36"/>
      <c r="I194" s="36"/>
      <c r="J194" s="105"/>
      <c r="K194" s="36"/>
      <c r="L194" s="36"/>
      <c r="M194" s="36"/>
      <c r="N194" s="105"/>
      <c r="O194" s="36"/>
      <c r="P194" s="36"/>
      <c r="Q194" s="36"/>
      <c r="R194" s="105"/>
      <c r="S194" s="36"/>
      <c r="T194" s="36"/>
      <c r="U194" s="36"/>
      <c r="V194" s="36"/>
      <c r="W194" s="36"/>
      <c r="X194" s="36"/>
      <c r="Y194" s="36"/>
      <c r="Z194" s="36"/>
      <c r="AA194" s="36"/>
      <c r="AB194" s="42"/>
      <c r="AC194" s="42"/>
      <c r="AD194" s="36"/>
      <c r="AE194" s="36"/>
      <c r="AF194" s="42"/>
      <c r="AG194" s="42"/>
      <c r="AH194" s="36"/>
      <c r="AI194" s="36"/>
      <c r="AJ194" s="36"/>
      <c r="AK194" s="36"/>
      <c r="AL194" s="36"/>
      <c r="AM194" s="36"/>
      <c r="AN194" s="36"/>
    </row>
    <row r="195" spans="1:40" ht="15.75" x14ac:dyDescent="0.25">
      <c r="A195" s="44"/>
      <c r="B195" s="36"/>
      <c r="C195" s="36"/>
      <c r="D195" s="36"/>
      <c r="E195" s="36"/>
      <c r="F195" s="36"/>
      <c r="G195" s="36"/>
      <c r="H195" s="36"/>
      <c r="I195" s="36"/>
      <c r="J195" s="105"/>
      <c r="K195" s="36"/>
      <c r="L195" s="36"/>
      <c r="M195" s="36"/>
      <c r="N195" s="105"/>
      <c r="O195" s="36"/>
      <c r="P195" s="36"/>
      <c r="Q195" s="36"/>
      <c r="R195" s="105"/>
      <c r="S195" s="36"/>
      <c r="T195" s="36"/>
      <c r="U195" s="36"/>
      <c r="V195" s="36"/>
      <c r="W195" s="36"/>
      <c r="X195" s="36"/>
      <c r="Y195" s="36"/>
      <c r="Z195" s="36"/>
      <c r="AA195" s="36"/>
      <c r="AB195" s="42"/>
      <c r="AC195" s="42"/>
      <c r="AD195" s="36"/>
      <c r="AE195" s="36"/>
      <c r="AF195" s="42"/>
      <c r="AG195" s="42"/>
      <c r="AH195" s="36"/>
      <c r="AI195" s="36"/>
      <c r="AJ195" s="36"/>
      <c r="AK195" s="36"/>
      <c r="AL195" s="36"/>
      <c r="AM195" s="36"/>
      <c r="AN195" s="36"/>
    </row>
    <row r="196" spans="1:40" ht="15.75" x14ac:dyDescent="0.25">
      <c r="A196" s="44"/>
      <c r="B196" s="36"/>
      <c r="C196" s="36"/>
      <c r="D196" s="36"/>
      <c r="E196" s="36"/>
      <c r="F196" s="36"/>
      <c r="G196" s="36"/>
      <c r="H196" s="36"/>
      <c r="I196" s="36"/>
      <c r="J196" s="105"/>
      <c r="K196" s="36"/>
      <c r="L196" s="36"/>
      <c r="M196" s="36"/>
      <c r="N196" s="105"/>
      <c r="O196" s="36"/>
      <c r="P196" s="36"/>
      <c r="Q196" s="36"/>
      <c r="R196" s="105"/>
      <c r="S196" s="36"/>
      <c r="T196" s="36"/>
      <c r="U196" s="36"/>
      <c r="V196" s="36"/>
      <c r="W196" s="36"/>
      <c r="X196" s="36"/>
      <c r="Y196" s="36"/>
      <c r="Z196" s="36"/>
      <c r="AA196" s="36"/>
      <c r="AB196" s="42"/>
      <c r="AC196" s="42"/>
      <c r="AD196" s="36"/>
      <c r="AE196" s="36"/>
      <c r="AF196" s="42"/>
      <c r="AG196" s="42"/>
      <c r="AH196" s="36"/>
      <c r="AI196" s="36"/>
      <c r="AJ196" s="36"/>
      <c r="AK196" s="36"/>
      <c r="AL196" s="36"/>
      <c r="AM196" s="36"/>
      <c r="AN196" s="36"/>
    </row>
    <row r="197" spans="1:40" ht="15.75" x14ac:dyDescent="0.25">
      <c r="A197" s="44"/>
      <c r="B197" s="36"/>
      <c r="C197" s="36"/>
      <c r="D197" s="36"/>
      <c r="E197" s="36"/>
      <c r="F197" s="36"/>
      <c r="G197" s="36"/>
      <c r="H197" s="36"/>
      <c r="I197" s="36"/>
      <c r="J197" s="105"/>
      <c r="K197" s="36"/>
      <c r="L197" s="36"/>
      <c r="M197" s="36"/>
      <c r="N197" s="105"/>
      <c r="O197" s="36"/>
      <c r="P197" s="36"/>
      <c r="Q197" s="36"/>
      <c r="R197" s="105"/>
      <c r="S197" s="36"/>
      <c r="T197" s="36"/>
      <c r="U197" s="36"/>
      <c r="V197" s="36"/>
      <c r="W197" s="36"/>
      <c r="X197" s="36"/>
      <c r="Y197" s="36"/>
      <c r="Z197" s="36"/>
      <c r="AA197" s="36"/>
      <c r="AB197" s="42"/>
      <c r="AC197" s="42"/>
      <c r="AD197" s="36"/>
      <c r="AE197" s="36"/>
      <c r="AF197" s="42"/>
      <c r="AG197" s="42"/>
      <c r="AH197" s="36"/>
      <c r="AI197" s="36"/>
      <c r="AJ197" s="36"/>
      <c r="AK197" s="36"/>
      <c r="AL197" s="36"/>
      <c r="AM197" s="36"/>
      <c r="AN197" s="36"/>
    </row>
    <row r="198" spans="1:40" ht="15.75" x14ac:dyDescent="0.25">
      <c r="A198" s="44"/>
      <c r="B198" s="36"/>
      <c r="C198" s="36"/>
      <c r="D198" s="36"/>
      <c r="E198" s="36"/>
      <c r="F198" s="36"/>
      <c r="G198" s="36"/>
      <c r="H198" s="36"/>
      <c r="I198" s="36"/>
      <c r="J198" s="105"/>
      <c r="K198" s="36"/>
      <c r="L198" s="36"/>
      <c r="M198" s="36"/>
      <c r="N198" s="105"/>
      <c r="O198" s="36"/>
      <c r="P198" s="36"/>
      <c r="Q198" s="36"/>
      <c r="R198" s="105"/>
      <c r="S198" s="36"/>
      <c r="T198" s="36"/>
      <c r="U198" s="36"/>
      <c r="V198" s="36"/>
      <c r="W198" s="36"/>
      <c r="X198" s="36"/>
      <c r="Y198" s="36"/>
      <c r="Z198" s="36"/>
      <c r="AA198" s="36"/>
      <c r="AB198" s="42"/>
      <c r="AC198" s="42"/>
      <c r="AD198" s="36"/>
      <c r="AE198" s="36"/>
      <c r="AF198" s="42"/>
      <c r="AG198" s="42"/>
      <c r="AH198" s="36"/>
      <c r="AI198" s="36"/>
      <c r="AJ198" s="36"/>
      <c r="AK198" s="36"/>
      <c r="AL198" s="36"/>
      <c r="AM198" s="36"/>
      <c r="AN198" s="36"/>
    </row>
    <row r="199" spans="1:40" ht="15.75" x14ac:dyDescent="0.25">
      <c r="A199" s="44"/>
      <c r="B199" s="36"/>
      <c r="C199" s="36"/>
      <c r="D199" s="36"/>
      <c r="E199" s="36"/>
      <c r="F199" s="36"/>
      <c r="G199" s="36"/>
      <c r="H199" s="36"/>
      <c r="I199" s="36"/>
      <c r="J199" s="105"/>
      <c r="K199" s="36"/>
      <c r="L199" s="36"/>
      <c r="M199" s="36"/>
      <c r="N199" s="105"/>
      <c r="O199" s="36"/>
      <c r="P199" s="36"/>
      <c r="Q199" s="36"/>
      <c r="R199" s="105"/>
      <c r="S199" s="36"/>
      <c r="T199" s="36"/>
      <c r="U199" s="36"/>
      <c r="V199" s="36"/>
      <c r="W199" s="36"/>
      <c r="X199" s="36"/>
      <c r="Y199" s="36"/>
      <c r="Z199" s="36"/>
      <c r="AA199" s="36"/>
      <c r="AB199" s="42"/>
      <c r="AC199" s="42"/>
      <c r="AD199" s="36"/>
      <c r="AE199" s="36"/>
      <c r="AF199" s="42"/>
      <c r="AG199" s="42"/>
      <c r="AH199" s="36"/>
      <c r="AI199" s="36"/>
      <c r="AJ199" s="36"/>
      <c r="AK199" s="36"/>
      <c r="AL199" s="36"/>
      <c r="AM199" s="36"/>
      <c r="AN199" s="36"/>
    </row>
    <row r="200" spans="1:40" ht="15.75" x14ac:dyDescent="0.25">
      <c r="A200" s="44"/>
      <c r="B200" s="36"/>
      <c r="C200" s="36"/>
      <c r="D200" s="36"/>
      <c r="E200" s="36"/>
      <c r="F200" s="36"/>
      <c r="G200" s="36"/>
      <c r="H200" s="36"/>
      <c r="I200" s="36"/>
      <c r="J200" s="105"/>
      <c r="K200" s="36"/>
      <c r="L200" s="36"/>
      <c r="M200" s="36"/>
      <c r="N200" s="105"/>
      <c r="O200" s="36"/>
      <c r="P200" s="36"/>
      <c r="Q200" s="36"/>
      <c r="R200" s="105"/>
      <c r="S200" s="36"/>
      <c r="T200" s="36"/>
      <c r="U200" s="36"/>
      <c r="V200" s="36"/>
      <c r="W200" s="36"/>
      <c r="X200" s="36"/>
      <c r="Y200" s="36"/>
      <c r="Z200" s="36"/>
      <c r="AA200" s="36"/>
      <c r="AB200" s="42"/>
      <c r="AC200" s="42"/>
      <c r="AD200" s="36"/>
      <c r="AE200" s="36"/>
      <c r="AF200" s="42"/>
      <c r="AG200" s="42"/>
      <c r="AH200" s="36"/>
      <c r="AI200" s="36"/>
      <c r="AJ200" s="36"/>
      <c r="AK200" s="36"/>
      <c r="AL200" s="36"/>
      <c r="AM200" s="36"/>
      <c r="AN200" s="36"/>
    </row>
    <row r="201" spans="1:40" ht="15.75" x14ac:dyDescent="0.25">
      <c r="A201" s="44"/>
      <c r="B201" s="36"/>
      <c r="C201" s="36"/>
      <c r="D201" s="36"/>
      <c r="E201" s="36"/>
      <c r="F201" s="36"/>
      <c r="G201" s="36"/>
      <c r="H201" s="36"/>
      <c r="I201" s="36"/>
      <c r="J201" s="105"/>
      <c r="K201" s="36"/>
      <c r="L201" s="36"/>
      <c r="M201" s="36"/>
      <c r="N201" s="105"/>
      <c r="O201" s="36"/>
      <c r="P201" s="36"/>
      <c r="Q201" s="36"/>
      <c r="R201" s="105"/>
      <c r="S201" s="36"/>
      <c r="T201" s="36"/>
      <c r="U201" s="36"/>
      <c r="V201" s="36"/>
      <c r="W201" s="36"/>
      <c r="X201" s="36"/>
      <c r="Y201" s="36"/>
      <c r="Z201" s="36"/>
      <c r="AA201" s="36"/>
      <c r="AB201" s="42"/>
      <c r="AC201" s="42"/>
      <c r="AD201" s="36"/>
      <c r="AE201" s="36"/>
      <c r="AF201" s="42"/>
      <c r="AG201" s="42"/>
      <c r="AH201" s="36"/>
      <c r="AI201" s="36"/>
      <c r="AJ201" s="36"/>
      <c r="AK201" s="36"/>
      <c r="AL201" s="36"/>
      <c r="AM201" s="36"/>
      <c r="AN201" s="36"/>
    </row>
    <row r="202" spans="1:40" ht="15.75" x14ac:dyDescent="0.25">
      <c r="A202" s="44"/>
      <c r="B202" s="36"/>
      <c r="C202" s="36"/>
      <c r="D202" s="36"/>
      <c r="E202" s="36"/>
      <c r="F202" s="36"/>
      <c r="G202" s="36"/>
      <c r="H202" s="36"/>
      <c r="I202" s="36"/>
      <c r="J202" s="105"/>
      <c r="K202" s="36"/>
      <c r="L202" s="36"/>
      <c r="M202" s="36"/>
      <c r="N202" s="105"/>
      <c r="O202" s="36"/>
      <c r="P202" s="36"/>
      <c r="Q202" s="36"/>
      <c r="R202" s="105"/>
      <c r="S202" s="36"/>
      <c r="T202" s="36"/>
      <c r="U202" s="36"/>
      <c r="V202" s="36"/>
      <c r="W202" s="36"/>
      <c r="X202" s="36"/>
      <c r="Y202" s="36"/>
      <c r="Z202" s="36"/>
      <c r="AA202" s="36"/>
      <c r="AB202" s="42"/>
      <c r="AC202" s="42"/>
      <c r="AD202" s="36"/>
      <c r="AE202" s="36"/>
      <c r="AF202" s="42"/>
      <c r="AG202" s="42"/>
      <c r="AH202" s="36"/>
      <c r="AI202" s="36"/>
      <c r="AJ202" s="36"/>
      <c r="AK202" s="36"/>
      <c r="AL202" s="36"/>
      <c r="AM202" s="36"/>
      <c r="AN202" s="36"/>
    </row>
    <row r="203" spans="1:40" ht="15.75" x14ac:dyDescent="0.25">
      <c r="A203" s="44"/>
      <c r="B203" s="36"/>
      <c r="C203" s="36"/>
      <c r="D203" s="36"/>
      <c r="E203" s="36"/>
      <c r="F203" s="36"/>
      <c r="G203" s="36"/>
      <c r="H203" s="36"/>
      <c r="I203" s="36"/>
      <c r="J203" s="105"/>
      <c r="K203" s="36"/>
      <c r="L203" s="36"/>
      <c r="M203" s="36"/>
      <c r="N203" s="105"/>
      <c r="O203" s="36"/>
      <c r="P203" s="36"/>
      <c r="Q203" s="36"/>
      <c r="R203" s="105"/>
      <c r="S203" s="36"/>
      <c r="T203" s="36"/>
      <c r="U203" s="36"/>
      <c r="V203" s="36"/>
      <c r="W203" s="36"/>
      <c r="X203" s="36"/>
      <c r="Y203" s="36"/>
      <c r="Z203" s="36"/>
      <c r="AA203" s="36"/>
      <c r="AB203" s="42"/>
      <c r="AC203" s="42"/>
      <c r="AD203" s="36"/>
      <c r="AE203" s="36"/>
      <c r="AF203" s="42"/>
      <c r="AG203" s="42"/>
      <c r="AH203" s="36"/>
      <c r="AI203" s="36"/>
      <c r="AJ203" s="36"/>
      <c r="AK203" s="36"/>
      <c r="AL203" s="36"/>
      <c r="AM203" s="36"/>
      <c r="AN203" s="36"/>
    </row>
    <row r="204" spans="1:40" ht="15.75" x14ac:dyDescent="0.25">
      <c r="A204" s="44"/>
      <c r="B204" s="36"/>
      <c r="C204" s="36"/>
      <c r="D204" s="36"/>
      <c r="E204" s="36"/>
      <c r="F204" s="36"/>
      <c r="G204" s="36"/>
      <c r="H204" s="36"/>
      <c r="I204" s="36"/>
      <c r="J204" s="105"/>
      <c r="K204" s="36"/>
      <c r="L204" s="36"/>
      <c r="M204" s="36"/>
      <c r="N204" s="105"/>
      <c r="O204" s="36"/>
      <c r="P204" s="36"/>
      <c r="Q204" s="36"/>
      <c r="R204" s="105"/>
      <c r="S204" s="36"/>
      <c r="T204" s="36"/>
      <c r="U204" s="36"/>
      <c r="V204" s="36"/>
      <c r="W204" s="36"/>
      <c r="X204" s="36"/>
      <c r="Y204" s="36"/>
      <c r="Z204" s="36"/>
      <c r="AA204" s="36"/>
      <c r="AB204" s="42"/>
      <c r="AC204" s="42"/>
      <c r="AD204" s="36"/>
      <c r="AE204" s="36"/>
      <c r="AF204" s="42"/>
      <c r="AG204" s="42"/>
      <c r="AH204" s="36"/>
      <c r="AI204" s="36"/>
      <c r="AJ204" s="36"/>
      <c r="AK204" s="36"/>
      <c r="AL204" s="36"/>
      <c r="AM204" s="36"/>
      <c r="AN204" s="36"/>
    </row>
    <row r="205" spans="1:40" ht="15.75" x14ac:dyDescent="0.25">
      <c r="A205" s="44"/>
      <c r="B205" s="36"/>
      <c r="C205" s="36"/>
      <c r="D205" s="36"/>
      <c r="E205" s="36"/>
      <c r="F205" s="36"/>
      <c r="G205" s="36"/>
      <c r="H205" s="36"/>
      <c r="I205" s="36"/>
      <c r="J205" s="105"/>
      <c r="K205" s="36"/>
      <c r="L205" s="36"/>
      <c r="M205" s="36"/>
      <c r="N205" s="105"/>
      <c r="O205" s="36"/>
      <c r="P205" s="36"/>
      <c r="Q205" s="36"/>
      <c r="R205" s="105"/>
      <c r="S205" s="36"/>
      <c r="T205" s="36"/>
      <c r="U205" s="36"/>
      <c r="V205" s="36"/>
      <c r="W205" s="36"/>
      <c r="X205" s="36"/>
      <c r="Y205" s="36"/>
      <c r="Z205" s="36"/>
      <c r="AA205" s="36"/>
      <c r="AB205" s="42"/>
      <c r="AC205" s="42"/>
      <c r="AD205" s="36"/>
      <c r="AE205" s="36"/>
      <c r="AF205" s="42"/>
      <c r="AG205" s="42"/>
      <c r="AH205" s="36"/>
      <c r="AI205" s="36"/>
      <c r="AJ205" s="36"/>
      <c r="AK205" s="36"/>
      <c r="AL205" s="36"/>
      <c r="AM205" s="36"/>
      <c r="AN205" s="36"/>
    </row>
    <row r="206" spans="1:40" ht="15.75" x14ac:dyDescent="0.25">
      <c r="A206" s="44"/>
      <c r="B206" s="36"/>
      <c r="C206" s="36"/>
      <c r="D206" s="36"/>
      <c r="E206" s="36"/>
      <c r="F206" s="36"/>
      <c r="G206" s="36"/>
      <c r="H206" s="36"/>
      <c r="I206" s="36"/>
      <c r="J206" s="105"/>
      <c r="K206" s="36"/>
      <c r="L206" s="36"/>
      <c r="M206" s="36"/>
      <c r="N206" s="105"/>
      <c r="O206" s="36"/>
      <c r="P206" s="36"/>
      <c r="Q206" s="36"/>
      <c r="R206" s="105"/>
      <c r="S206" s="36"/>
      <c r="T206" s="36"/>
      <c r="U206" s="36"/>
      <c r="V206" s="36"/>
      <c r="W206" s="36"/>
      <c r="X206" s="36"/>
      <c r="Y206" s="36"/>
      <c r="Z206" s="36"/>
      <c r="AA206" s="36"/>
      <c r="AB206" s="42"/>
      <c r="AC206" s="42"/>
      <c r="AD206" s="36"/>
      <c r="AE206" s="36"/>
      <c r="AF206" s="42"/>
      <c r="AG206" s="42"/>
      <c r="AH206" s="36"/>
      <c r="AI206" s="36"/>
      <c r="AJ206" s="36"/>
      <c r="AK206" s="36"/>
      <c r="AL206" s="36"/>
      <c r="AM206" s="36"/>
      <c r="AN206" s="36"/>
    </row>
    <row r="207" spans="1:40" ht="15.75" x14ac:dyDescent="0.25">
      <c r="A207" s="44"/>
      <c r="B207" s="36"/>
      <c r="C207" s="36"/>
      <c r="D207" s="36"/>
      <c r="E207" s="36"/>
      <c r="F207" s="36"/>
      <c r="G207" s="36"/>
      <c r="H207" s="36"/>
      <c r="I207" s="36"/>
      <c r="J207" s="105"/>
      <c r="K207" s="36"/>
      <c r="L207" s="36"/>
      <c r="M207" s="36"/>
      <c r="N207" s="105"/>
      <c r="O207" s="36"/>
      <c r="P207" s="36"/>
      <c r="Q207" s="36"/>
      <c r="R207" s="105"/>
      <c r="S207" s="36"/>
      <c r="T207" s="36"/>
      <c r="U207" s="36"/>
      <c r="V207" s="36"/>
      <c r="W207" s="36"/>
      <c r="X207" s="36"/>
      <c r="Y207" s="36"/>
      <c r="Z207" s="36"/>
      <c r="AA207" s="36"/>
      <c r="AB207" s="42"/>
      <c r="AC207" s="42"/>
      <c r="AD207" s="36"/>
      <c r="AE207" s="36"/>
      <c r="AF207" s="42"/>
      <c r="AG207" s="42"/>
      <c r="AH207" s="36"/>
      <c r="AI207" s="36"/>
      <c r="AJ207" s="36"/>
      <c r="AK207" s="36"/>
      <c r="AL207" s="36"/>
      <c r="AM207" s="36"/>
      <c r="AN207" s="36"/>
    </row>
    <row r="208" spans="1:40" ht="15.75" x14ac:dyDescent="0.25">
      <c r="A208" s="44"/>
      <c r="B208" s="36"/>
      <c r="C208" s="36"/>
      <c r="D208" s="36"/>
      <c r="E208" s="36"/>
      <c r="F208" s="36"/>
      <c r="G208" s="36"/>
      <c r="H208" s="36"/>
      <c r="I208" s="36"/>
      <c r="J208" s="105"/>
      <c r="K208" s="36"/>
      <c r="L208" s="36"/>
      <c r="M208" s="36"/>
      <c r="N208" s="105"/>
      <c r="O208" s="36"/>
      <c r="P208" s="36"/>
      <c r="Q208" s="36"/>
      <c r="R208" s="105"/>
      <c r="S208" s="36"/>
      <c r="T208" s="36"/>
      <c r="U208" s="36"/>
      <c r="V208" s="36"/>
      <c r="W208" s="36"/>
      <c r="X208" s="36"/>
      <c r="Y208" s="36"/>
      <c r="Z208" s="36"/>
      <c r="AA208" s="36"/>
      <c r="AB208" s="42"/>
      <c r="AC208" s="42"/>
      <c r="AD208" s="36"/>
      <c r="AE208" s="36"/>
      <c r="AF208" s="42"/>
      <c r="AG208" s="42"/>
      <c r="AH208" s="36"/>
      <c r="AI208" s="36"/>
      <c r="AJ208" s="36"/>
      <c r="AK208" s="36"/>
      <c r="AL208" s="36"/>
      <c r="AM208" s="36"/>
      <c r="AN208" s="36"/>
    </row>
    <row r="209" spans="1:40" ht="15.75" x14ac:dyDescent="0.25">
      <c r="A209" s="44"/>
      <c r="B209" s="36"/>
      <c r="C209" s="36"/>
      <c r="D209" s="36"/>
      <c r="E209" s="36"/>
      <c r="F209" s="36"/>
      <c r="G209" s="36"/>
      <c r="H209" s="36"/>
      <c r="I209" s="36"/>
      <c r="J209" s="105"/>
      <c r="K209" s="36"/>
      <c r="L209" s="36"/>
      <c r="M209" s="36"/>
      <c r="N209" s="105"/>
      <c r="O209" s="36"/>
      <c r="P209" s="36"/>
      <c r="Q209" s="36"/>
      <c r="R209" s="105"/>
      <c r="S209" s="36"/>
      <c r="T209" s="36"/>
      <c r="U209" s="36"/>
      <c r="V209" s="36"/>
      <c r="W209" s="36"/>
      <c r="X209" s="36"/>
      <c r="Y209" s="36"/>
      <c r="Z209" s="36"/>
      <c r="AA209" s="36"/>
      <c r="AB209" s="42"/>
      <c r="AC209" s="42"/>
      <c r="AD209" s="36"/>
      <c r="AE209" s="36"/>
      <c r="AF209" s="42"/>
      <c r="AG209" s="42"/>
      <c r="AH209" s="36"/>
      <c r="AI209" s="36"/>
      <c r="AJ209" s="36"/>
      <c r="AK209" s="36"/>
      <c r="AL209" s="36"/>
      <c r="AM209" s="36"/>
      <c r="AN209" s="36"/>
    </row>
    <row r="210" spans="1:40" ht="15.75" x14ac:dyDescent="0.25">
      <c r="A210" s="44"/>
      <c r="B210" s="36"/>
      <c r="C210" s="36"/>
      <c r="D210" s="36"/>
      <c r="E210" s="36"/>
      <c r="F210" s="36"/>
      <c r="G210" s="36"/>
      <c r="H210" s="36"/>
      <c r="I210" s="36"/>
      <c r="J210" s="105"/>
      <c r="K210" s="36"/>
      <c r="L210" s="36"/>
      <c r="M210" s="36"/>
      <c r="N210" s="105"/>
      <c r="O210" s="36"/>
      <c r="P210" s="36"/>
      <c r="Q210" s="36"/>
      <c r="R210" s="105"/>
      <c r="S210" s="36"/>
      <c r="T210" s="36"/>
      <c r="U210" s="36"/>
      <c r="V210" s="36"/>
      <c r="W210" s="36"/>
      <c r="X210" s="36"/>
      <c r="Y210" s="36"/>
      <c r="Z210" s="36"/>
      <c r="AA210" s="36"/>
      <c r="AB210" s="42"/>
      <c r="AC210" s="42"/>
      <c r="AD210" s="36"/>
      <c r="AE210" s="36"/>
      <c r="AF210" s="42"/>
      <c r="AG210" s="42"/>
      <c r="AH210" s="36"/>
      <c r="AI210" s="36"/>
      <c r="AJ210" s="36"/>
      <c r="AK210" s="36"/>
      <c r="AL210" s="36"/>
      <c r="AM210" s="36"/>
      <c r="AN210" s="36"/>
    </row>
    <row r="211" spans="1:40" ht="15.75" x14ac:dyDescent="0.25">
      <c r="A211" s="44"/>
      <c r="B211" s="36"/>
      <c r="C211" s="36"/>
      <c r="D211" s="36"/>
      <c r="E211" s="36"/>
      <c r="F211" s="36"/>
      <c r="G211" s="36"/>
      <c r="H211" s="36"/>
      <c r="I211" s="36"/>
      <c r="J211" s="105"/>
      <c r="K211" s="36"/>
      <c r="L211" s="36"/>
      <c r="M211" s="36"/>
      <c r="N211" s="105"/>
      <c r="O211" s="36"/>
      <c r="P211" s="36"/>
      <c r="Q211" s="36"/>
      <c r="R211" s="105"/>
      <c r="S211" s="36"/>
      <c r="T211" s="36"/>
      <c r="U211" s="36"/>
      <c r="V211" s="36"/>
      <c r="W211" s="36"/>
      <c r="X211" s="36"/>
      <c r="Y211" s="36"/>
      <c r="Z211" s="36"/>
      <c r="AA211" s="36"/>
      <c r="AB211" s="42"/>
      <c r="AC211" s="42"/>
      <c r="AD211" s="36"/>
      <c r="AE211" s="36"/>
      <c r="AF211" s="42"/>
      <c r="AG211" s="42"/>
      <c r="AH211" s="36"/>
      <c r="AI211" s="36"/>
      <c r="AJ211" s="36"/>
      <c r="AK211" s="36"/>
      <c r="AL211" s="36"/>
      <c r="AM211" s="36"/>
      <c r="AN211" s="36"/>
    </row>
    <row r="212" spans="1:40" ht="15.75" x14ac:dyDescent="0.25">
      <c r="A212" s="44"/>
      <c r="B212" s="36"/>
      <c r="C212" s="36"/>
      <c r="D212" s="36"/>
      <c r="E212" s="36"/>
      <c r="F212" s="36"/>
      <c r="G212" s="36"/>
      <c r="H212" s="36"/>
      <c r="I212" s="36"/>
      <c r="J212" s="105"/>
      <c r="K212" s="36"/>
      <c r="L212" s="36"/>
      <c r="M212" s="36"/>
      <c r="N212" s="105"/>
      <c r="O212" s="36"/>
      <c r="P212" s="36"/>
      <c r="Q212" s="36"/>
      <c r="R212" s="105"/>
      <c r="S212" s="36"/>
      <c r="T212" s="36"/>
      <c r="U212" s="36"/>
      <c r="V212" s="36"/>
      <c r="W212" s="36"/>
      <c r="X212" s="36"/>
      <c r="Y212" s="36"/>
      <c r="Z212" s="36"/>
      <c r="AA212" s="36"/>
      <c r="AB212" s="42"/>
      <c r="AC212" s="42"/>
      <c r="AD212" s="36"/>
      <c r="AE212" s="36"/>
      <c r="AF212" s="42"/>
      <c r="AG212" s="42"/>
      <c r="AH212" s="36"/>
      <c r="AI212" s="36"/>
      <c r="AJ212" s="36"/>
      <c r="AK212" s="36"/>
      <c r="AL212" s="36"/>
      <c r="AM212" s="36"/>
      <c r="AN212" s="36"/>
    </row>
    <row r="213" spans="1:40" ht="15.75" x14ac:dyDescent="0.25">
      <c r="A213" s="44"/>
      <c r="B213" s="36"/>
      <c r="C213" s="36"/>
      <c r="D213" s="36"/>
      <c r="E213" s="36"/>
      <c r="F213" s="36"/>
      <c r="G213" s="36"/>
      <c r="H213" s="36"/>
      <c r="I213" s="36"/>
      <c r="J213" s="105"/>
      <c r="K213" s="36"/>
      <c r="L213" s="36"/>
      <c r="M213" s="36"/>
      <c r="N213" s="105"/>
      <c r="O213" s="36"/>
      <c r="P213" s="36"/>
      <c r="Q213" s="36"/>
      <c r="R213" s="105"/>
      <c r="S213" s="36"/>
      <c r="T213" s="36"/>
      <c r="U213" s="36"/>
      <c r="V213" s="36"/>
      <c r="W213" s="36"/>
      <c r="X213" s="36"/>
      <c r="Y213" s="36"/>
      <c r="Z213" s="36"/>
      <c r="AA213" s="36"/>
      <c r="AB213" s="42"/>
      <c r="AC213" s="42"/>
      <c r="AD213" s="36"/>
      <c r="AE213" s="36"/>
      <c r="AF213" s="42"/>
      <c r="AG213" s="42"/>
      <c r="AH213" s="36"/>
      <c r="AI213" s="36"/>
      <c r="AJ213" s="36"/>
      <c r="AK213" s="36"/>
      <c r="AL213" s="36"/>
      <c r="AM213" s="36"/>
      <c r="AN213" s="36"/>
    </row>
    <row r="214" spans="1:40" ht="15.75" x14ac:dyDescent="0.25">
      <c r="A214" s="44"/>
      <c r="B214" s="36"/>
      <c r="C214" s="36"/>
      <c r="D214" s="36"/>
      <c r="E214" s="36"/>
      <c r="F214" s="36"/>
      <c r="G214" s="36"/>
      <c r="H214" s="36"/>
      <c r="I214" s="36"/>
      <c r="J214" s="105"/>
      <c r="K214" s="36"/>
      <c r="L214" s="36"/>
      <c r="M214" s="36"/>
      <c r="N214" s="105"/>
      <c r="O214" s="36"/>
      <c r="P214" s="36"/>
      <c r="Q214" s="36"/>
      <c r="R214" s="105"/>
      <c r="S214" s="36"/>
      <c r="T214" s="36"/>
      <c r="U214" s="36"/>
      <c r="V214" s="36"/>
      <c r="W214" s="36"/>
      <c r="X214" s="36"/>
      <c r="Y214" s="36"/>
      <c r="Z214" s="36"/>
      <c r="AA214" s="36"/>
      <c r="AB214" s="42"/>
      <c r="AC214" s="42"/>
      <c r="AD214" s="36"/>
      <c r="AE214" s="36"/>
      <c r="AF214" s="42"/>
      <c r="AG214" s="42"/>
      <c r="AH214" s="36"/>
      <c r="AI214" s="36"/>
      <c r="AJ214" s="36"/>
      <c r="AK214" s="36"/>
      <c r="AL214" s="36"/>
      <c r="AM214" s="36"/>
      <c r="AN214" s="36"/>
    </row>
    <row r="215" spans="1:40" ht="15.75" x14ac:dyDescent="0.25">
      <c r="A215" s="44"/>
      <c r="B215" s="36"/>
      <c r="C215" s="36"/>
      <c r="D215" s="36"/>
      <c r="E215" s="36"/>
      <c r="F215" s="36"/>
      <c r="G215" s="36"/>
      <c r="H215" s="36"/>
      <c r="I215" s="36"/>
      <c r="J215" s="105"/>
      <c r="K215" s="36"/>
      <c r="L215" s="36"/>
      <c r="M215" s="36"/>
      <c r="N215" s="105"/>
      <c r="O215" s="36"/>
      <c r="P215" s="36"/>
      <c r="Q215" s="36"/>
      <c r="R215" s="105"/>
      <c r="S215" s="36"/>
      <c r="T215" s="36"/>
      <c r="U215" s="36"/>
      <c r="V215" s="36"/>
      <c r="W215" s="36"/>
      <c r="X215" s="36"/>
      <c r="Y215" s="36"/>
      <c r="Z215" s="36"/>
      <c r="AA215" s="36"/>
      <c r="AB215" s="42"/>
      <c r="AC215" s="42"/>
      <c r="AD215" s="36"/>
      <c r="AE215" s="36"/>
      <c r="AF215" s="42"/>
      <c r="AG215" s="42"/>
      <c r="AH215" s="36"/>
      <c r="AI215" s="36"/>
      <c r="AJ215" s="36"/>
      <c r="AK215" s="36"/>
      <c r="AL215" s="36"/>
      <c r="AM215" s="36"/>
      <c r="AN215" s="36"/>
    </row>
    <row r="216" spans="1:40" ht="15.75" x14ac:dyDescent="0.25">
      <c r="A216" s="44"/>
      <c r="B216" s="36"/>
      <c r="C216" s="36"/>
      <c r="D216" s="36"/>
      <c r="E216" s="36"/>
      <c r="F216" s="36"/>
      <c r="G216" s="36"/>
      <c r="H216" s="36"/>
      <c r="I216" s="36"/>
      <c r="J216" s="105"/>
      <c r="K216" s="36"/>
      <c r="L216" s="36"/>
      <c r="M216" s="36"/>
      <c r="N216" s="105"/>
      <c r="O216" s="36"/>
      <c r="P216" s="36"/>
      <c r="Q216" s="36"/>
      <c r="R216" s="105"/>
      <c r="S216" s="36"/>
      <c r="T216" s="36"/>
      <c r="U216" s="36"/>
      <c r="V216" s="36"/>
      <c r="W216" s="36"/>
      <c r="X216" s="36"/>
      <c r="Y216" s="36"/>
      <c r="Z216" s="36"/>
      <c r="AA216" s="36"/>
      <c r="AB216" s="42"/>
      <c r="AC216" s="42"/>
      <c r="AD216" s="36"/>
      <c r="AE216" s="36"/>
      <c r="AF216" s="42"/>
      <c r="AG216" s="42"/>
      <c r="AH216" s="36"/>
      <c r="AI216" s="36"/>
      <c r="AJ216" s="36"/>
      <c r="AK216" s="36"/>
      <c r="AL216" s="36"/>
      <c r="AM216" s="36"/>
      <c r="AN216" s="36"/>
    </row>
    <row r="217" spans="1:40" ht="15.75" x14ac:dyDescent="0.25">
      <c r="A217" s="44"/>
      <c r="B217" s="36"/>
      <c r="C217" s="36"/>
      <c r="D217" s="36"/>
      <c r="E217" s="36"/>
      <c r="F217" s="36"/>
      <c r="G217" s="36"/>
      <c r="H217" s="36"/>
      <c r="I217" s="36"/>
      <c r="J217" s="105"/>
      <c r="K217" s="36"/>
      <c r="L217" s="36"/>
      <c r="M217" s="36"/>
      <c r="N217" s="105"/>
      <c r="O217" s="36"/>
      <c r="P217" s="36"/>
      <c r="Q217" s="36"/>
      <c r="R217" s="105"/>
      <c r="S217" s="36"/>
      <c r="T217" s="36"/>
      <c r="U217" s="36"/>
      <c r="V217" s="36"/>
      <c r="W217" s="36"/>
      <c r="X217" s="36"/>
      <c r="Y217" s="36"/>
      <c r="Z217" s="36"/>
      <c r="AA217" s="36"/>
      <c r="AB217" s="42"/>
      <c r="AC217" s="42"/>
      <c r="AD217" s="36"/>
      <c r="AE217" s="36"/>
      <c r="AF217" s="42"/>
      <c r="AG217" s="42"/>
      <c r="AH217" s="36"/>
      <c r="AI217" s="36"/>
      <c r="AJ217" s="36"/>
      <c r="AK217" s="36"/>
      <c r="AL217" s="36"/>
      <c r="AM217" s="36"/>
      <c r="AN217" s="36"/>
    </row>
    <row r="218" spans="1:40" ht="15.75" x14ac:dyDescent="0.25">
      <c r="A218" s="44"/>
      <c r="B218" s="36"/>
      <c r="C218" s="36"/>
      <c r="D218" s="36"/>
      <c r="E218" s="36"/>
      <c r="F218" s="36"/>
      <c r="G218" s="36"/>
      <c r="H218" s="36"/>
      <c r="I218" s="36"/>
      <c r="J218" s="105"/>
      <c r="K218" s="36"/>
      <c r="L218" s="36"/>
      <c r="M218" s="36"/>
      <c r="N218" s="105"/>
      <c r="O218" s="36"/>
      <c r="P218" s="36"/>
      <c r="Q218" s="36"/>
      <c r="R218" s="105"/>
      <c r="S218" s="36"/>
      <c r="T218" s="36"/>
      <c r="U218" s="36"/>
      <c r="V218" s="36"/>
      <c r="W218" s="36"/>
      <c r="X218" s="36"/>
      <c r="Y218" s="36"/>
      <c r="Z218" s="36"/>
      <c r="AA218" s="36"/>
      <c r="AB218" s="42"/>
      <c r="AC218" s="42"/>
      <c r="AD218" s="36"/>
      <c r="AE218" s="36"/>
      <c r="AF218" s="42"/>
      <c r="AG218" s="42"/>
      <c r="AH218" s="36"/>
      <c r="AI218" s="36"/>
      <c r="AJ218" s="36"/>
      <c r="AK218" s="36"/>
      <c r="AL218" s="36"/>
      <c r="AM218" s="36"/>
      <c r="AN218" s="36"/>
    </row>
    <row r="219" spans="1:40" ht="15.75" x14ac:dyDescent="0.25">
      <c r="A219" s="44"/>
      <c r="B219" s="36"/>
      <c r="C219" s="36"/>
      <c r="D219" s="36"/>
      <c r="E219" s="36"/>
      <c r="F219" s="36"/>
      <c r="G219" s="36"/>
      <c r="H219" s="36"/>
      <c r="I219" s="36"/>
      <c r="J219" s="105"/>
      <c r="K219" s="36"/>
      <c r="L219" s="36"/>
      <c r="M219" s="36"/>
      <c r="N219" s="105"/>
      <c r="O219" s="36"/>
      <c r="P219" s="36"/>
      <c r="Q219" s="36"/>
      <c r="R219" s="105"/>
      <c r="S219" s="36"/>
      <c r="T219" s="36"/>
      <c r="U219" s="36"/>
      <c r="V219" s="36"/>
      <c r="W219" s="36"/>
      <c r="X219" s="36"/>
      <c r="Y219" s="36"/>
      <c r="Z219" s="36"/>
      <c r="AA219" s="36"/>
      <c r="AB219" s="42"/>
      <c r="AC219" s="42"/>
      <c r="AD219" s="36"/>
      <c r="AE219" s="36"/>
      <c r="AF219" s="42"/>
      <c r="AG219" s="42"/>
      <c r="AH219" s="36"/>
      <c r="AI219" s="36"/>
      <c r="AJ219" s="36"/>
      <c r="AK219" s="36"/>
      <c r="AL219" s="36"/>
      <c r="AM219" s="36"/>
      <c r="AN219" s="36"/>
    </row>
    <row r="220" spans="1:40" ht="15.75" x14ac:dyDescent="0.25">
      <c r="A220" s="44"/>
      <c r="B220" s="36"/>
      <c r="C220" s="36"/>
      <c r="D220" s="36"/>
      <c r="E220" s="36"/>
      <c r="F220" s="36"/>
      <c r="G220" s="36"/>
      <c r="H220" s="36"/>
      <c r="I220" s="36"/>
      <c r="J220" s="105"/>
      <c r="K220" s="36"/>
      <c r="L220" s="36"/>
      <c r="M220" s="36"/>
      <c r="N220" s="105"/>
      <c r="O220" s="36"/>
      <c r="P220" s="36"/>
      <c r="Q220" s="36"/>
      <c r="R220" s="105"/>
      <c r="S220" s="36"/>
      <c r="T220" s="36"/>
      <c r="U220" s="36"/>
      <c r="V220" s="36"/>
      <c r="W220" s="36"/>
      <c r="X220" s="36"/>
      <c r="Y220" s="36"/>
      <c r="Z220" s="36"/>
      <c r="AA220" s="36"/>
      <c r="AB220" s="42"/>
      <c r="AC220" s="42"/>
      <c r="AD220" s="36"/>
      <c r="AE220" s="36"/>
      <c r="AF220" s="42"/>
      <c r="AG220" s="42"/>
      <c r="AH220" s="36"/>
      <c r="AI220" s="36"/>
      <c r="AJ220" s="36"/>
      <c r="AK220" s="36"/>
      <c r="AL220" s="36"/>
      <c r="AM220" s="36"/>
      <c r="AN220" s="36"/>
    </row>
    <row r="221" spans="1:40" ht="15.75" x14ac:dyDescent="0.25">
      <c r="A221" s="44"/>
      <c r="B221" s="36"/>
      <c r="C221" s="36"/>
      <c r="D221" s="36"/>
      <c r="E221" s="36"/>
      <c r="F221" s="36"/>
      <c r="G221" s="36"/>
      <c r="H221" s="36"/>
      <c r="I221" s="36"/>
      <c r="J221" s="105"/>
      <c r="K221" s="36"/>
      <c r="L221" s="36"/>
      <c r="M221" s="36"/>
      <c r="N221" s="105"/>
      <c r="O221" s="36"/>
      <c r="P221" s="36"/>
      <c r="Q221" s="36"/>
      <c r="R221" s="105"/>
      <c r="S221" s="36"/>
      <c r="T221" s="36"/>
      <c r="U221" s="36"/>
      <c r="V221" s="36"/>
      <c r="W221" s="36"/>
      <c r="X221" s="36"/>
      <c r="Y221" s="36"/>
      <c r="Z221" s="36"/>
      <c r="AA221" s="36"/>
      <c r="AB221" s="42"/>
      <c r="AC221" s="42"/>
      <c r="AD221" s="36"/>
      <c r="AE221" s="36"/>
      <c r="AF221" s="42"/>
      <c r="AG221" s="42"/>
      <c r="AH221" s="36"/>
      <c r="AI221" s="36"/>
      <c r="AJ221" s="36"/>
      <c r="AK221" s="36"/>
      <c r="AL221" s="36"/>
      <c r="AM221" s="36"/>
      <c r="AN221" s="36"/>
    </row>
    <row r="222" spans="1:40" ht="15.75" x14ac:dyDescent="0.25">
      <c r="A222" s="44"/>
      <c r="B222" s="36"/>
      <c r="C222" s="36"/>
      <c r="D222" s="36"/>
      <c r="E222" s="36"/>
      <c r="F222" s="36"/>
      <c r="G222" s="36"/>
      <c r="H222" s="36"/>
      <c r="I222" s="36"/>
      <c r="J222" s="105"/>
      <c r="K222" s="36"/>
      <c r="L222" s="36"/>
      <c r="M222" s="36"/>
      <c r="N222" s="105"/>
      <c r="O222" s="36"/>
      <c r="P222" s="36"/>
      <c r="Q222" s="36"/>
      <c r="R222" s="105"/>
      <c r="S222" s="36"/>
      <c r="T222" s="36"/>
      <c r="U222" s="36"/>
      <c r="V222" s="36"/>
      <c r="W222" s="36"/>
      <c r="X222" s="36"/>
      <c r="Y222" s="36"/>
      <c r="Z222" s="36"/>
      <c r="AA222" s="36"/>
      <c r="AB222" s="42"/>
      <c r="AC222" s="42"/>
      <c r="AD222" s="36"/>
      <c r="AE222" s="36"/>
      <c r="AF222" s="42"/>
      <c r="AG222" s="42"/>
      <c r="AH222" s="36"/>
      <c r="AI222" s="36"/>
      <c r="AJ222" s="36"/>
      <c r="AK222" s="36"/>
      <c r="AL222" s="36"/>
      <c r="AM222" s="36"/>
      <c r="AN222" s="36"/>
    </row>
    <row r="223" spans="1:40" ht="15.75" x14ac:dyDescent="0.25">
      <c r="A223" s="44"/>
      <c r="B223" s="36"/>
      <c r="C223" s="36"/>
      <c r="D223" s="36"/>
      <c r="E223" s="36"/>
      <c r="F223" s="36"/>
      <c r="G223" s="36"/>
      <c r="H223" s="36"/>
      <c r="I223" s="36"/>
      <c r="J223" s="105"/>
      <c r="K223" s="36"/>
      <c r="L223" s="36"/>
      <c r="M223" s="36"/>
      <c r="N223" s="105"/>
      <c r="O223" s="36"/>
      <c r="P223" s="36"/>
      <c r="Q223" s="36"/>
      <c r="R223" s="105"/>
      <c r="S223" s="36"/>
      <c r="T223" s="36"/>
      <c r="U223" s="36"/>
      <c r="V223" s="36"/>
      <c r="W223" s="36"/>
      <c r="X223" s="36"/>
      <c r="Y223" s="36"/>
      <c r="Z223" s="36"/>
      <c r="AA223" s="36"/>
      <c r="AB223" s="42"/>
      <c r="AC223" s="42"/>
      <c r="AD223" s="36"/>
      <c r="AE223" s="36"/>
      <c r="AF223" s="42"/>
      <c r="AG223" s="42"/>
      <c r="AH223" s="36"/>
      <c r="AI223" s="36"/>
      <c r="AJ223" s="36"/>
      <c r="AK223" s="36"/>
      <c r="AL223" s="36"/>
      <c r="AM223" s="36"/>
      <c r="AN223" s="36"/>
    </row>
    <row r="224" spans="1:40" ht="15.75" x14ac:dyDescent="0.25">
      <c r="A224" s="44"/>
      <c r="B224" s="36"/>
      <c r="C224" s="36"/>
      <c r="D224" s="36"/>
      <c r="E224" s="36"/>
      <c r="F224" s="36"/>
      <c r="G224" s="36"/>
      <c r="H224" s="36"/>
      <c r="I224" s="36"/>
      <c r="J224" s="105"/>
      <c r="K224" s="36"/>
      <c r="L224" s="36"/>
      <c r="M224" s="36"/>
      <c r="N224" s="105"/>
      <c r="O224" s="36"/>
      <c r="P224" s="36"/>
      <c r="Q224" s="36"/>
      <c r="R224" s="105"/>
      <c r="S224" s="36"/>
      <c r="T224" s="36"/>
      <c r="U224" s="36"/>
      <c r="V224" s="36"/>
      <c r="W224" s="36"/>
      <c r="X224" s="36"/>
      <c r="Y224" s="36"/>
      <c r="Z224" s="36"/>
      <c r="AA224" s="36"/>
      <c r="AB224" s="42"/>
      <c r="AC224" s="42"/>
      <c r="AD224" s="36"/>
      <c r="AE224" s="36"/>
      <c r="AF224" s="42"/>
      <c r="AG224" s="42"/>
      <c r="AH224" s="36"/>
      <c r="AI224" s="36"/>
      <c r="AJ224" s="36"/>
      <c r="AK224" s="36"/>
      <c r="AL224" s="36"/>
      <c r="AM224" s="36"/>
      <c r="AN224" s="36"/>
    </row>
    <row r="225" spans="1:40" ht="15.75" x14ac:dyDescent="0.25">
      <c r="A225" s="44"/>
      <c r="B225" s="36"/>
      <c r="C225" s="36"/>
      <c r="D225" s="36"/>
      <c r="E225" s="36"/>
      <c r="F225" s="36"/>
      <c r="G225" s="36"/>
      <c r="H225" s="36"/>
      <c r="I225" s="36"/>
      <c r="J225" s="105"/>
      <c r="K225" s="36"/>
      <c r="L225" s="36"/>
      <c r="M225" s="36"/>
      <c r="N225" s="105"/>
      <c r="O225" s="36"/>
      <c r="P225" s="36"/>
      <c r="Q225" s="36"/>
      <c r="R225" s="105"/>
      <c r="S225" s="36"/>
      <c r="T225" s="36"/>
      <c r="U225" s="36"/>
      <c r="V225" s="36"/>
      <c r="W225" s="36"/>
      <c r="X225" s="36"/>
      <c r="Y225" s="36"/>
      <c r="Z225" s="36"/>
      <c r="AA225" s="36"/>
      <c r="AB225" s="42"/>
      <c r="AC225" s="42"/>
      <c r="AD225" s="36"/>
      <c r="AE225" s="36"/>
      <c r="AF225" s="42"/>
      <c r="AG225" s="42"/>
      <c r="AH225" s="36"/>
      <c r="AI225" s="36"/>
      <c r="AJ225" s="36"/>
      <c r="AK225" s="36"/>
      <c r="AL225" s="36"/>
      <c r="AM225" s="36"/>
      <c r="AN225" s="36"/>
    </row>
    <row r="226" spans="1:40" ht="15.75" x14ac:dyDescent="0.25">
      <c r="A226" s="44"/>
      <c r="B226" s="36"/>
      <c r="C226" s="36"/>
      <c r="D226" s="36"/>
      <c r="E226" s="36"/>
      <c r="F226" s="36"/>
      <c r="G226" s="36"/>
      <c r="H226" s="36"/>
      <c r="I226" s="36"/>
      <c r="J226" s="105"/>
      <c r="K226" s="36"/>
      <c r="L226" s="36"/>
      <c r="M226" s="36"/>
      <c r="N226" s="105"/>
      <c r="O226" s="36"/>
      <c r="P226" s="36"/>
      <c r="Q226" s="36"/>
      <c r="R226" s="105"/>
      <c r="S226" s="36"/>
      <c r="T226" s="36"/>
      <c r="U226" s="36"/>
      <c r="V226" s="36"/>
      <c r="W226" s="36"/>
      <c r="X226" s="36"/>
      <c r="Y226" s="36"/>
      <c r="Z226" s="36"/>
      <c r="AA226" s="36"/>
      <c r="AB226" s="42"/>
      <c r="AC226" s="42"/>
      <c r="AD226" s="36"/>
      <c r="AE226" s="36"/>
      <c r="AF226" s="42"/>
      <c r="AG226" s="42"/>
      <c r="AH226" s="36"/>
      <c r="AI226" s="36"/>
      <c r="AJ226" s="36"/>
      <c r="AK226" s="36"/>
      <c r="AL226" s="36"/>
      <c r="AM226" s="36"/>
      <c r="AN226" s="36"/>
    </row>
    <row r="227" spans="1:40" ht="15.75" x14ac:dyDescent="0.25">
      <c r="A227" s="44"/>
      <c r="B227" s="36"/>
      <c r="C227" s="36"/>
      <c r="D227" s="36"/>
      <c r="E227" s="36"/>
      <c r="F227" s="36"/>
      <c r="G227" s="36"/>
      <c r="H227" s="36"/>
      <c r="I227" s="36"/>
      <c r="J227" s="105"/>
      <c r="K227" s="36"/>
      <c r="L227" s="36"/>
      <c r="M227" s="36"/>
      <c r="N227" s="105"/>
      <c r="O227" s="36"/>
      <c r="P227" s="36"/>
      <c r="Q227" s="36"/>
      <c r="R227" s="105"/>
      <c r="S227" s="36"/>
      <c r="T227" s="36"/>
      <c r="U227" s="36"/>
      <c r="V227" s="36"/>
      <c r="W227" s="36"/>
      <c r="X227" s="36"/>
      <c r="Y227" s="36"/>
      <c r="Z227" s="36"/>
      <c r="AA227" s="36"/>
      <c r="AB227" s="42"/>
      <c r="AC227" s="42"/>
      <c r="AD227" s="36"/>
      <c r="AE227" s="36"/>
      <c r="AF227" s="42"/>
      <c r="AG227" s="42"/>
      <c r="AH227" s="36"/>
      <c r="AI227" s="36"/>
      <c r="AJ227" s="36"/>
      <c r="AK227" s="36"/>
      <c r="AL227" s="36"/>
      <c r="AM227" s="36"/>
      <c r="AN227" s="36"/>
    </row>
    <row r="228" spans="1:40" ht="15.75" x14ac:dyDescent="0.25">
      <c r="A228" s="44"/>
      <c r="B228" s="36"/>
      <c r="C228" s="36"/>
      <c r="D228" s="36"/>
      <c r="E228" s="36"/>
      <c r="F228" s="36"/>
      <c r="G228" s="36"/>
      <c r="H228" s="36"/>
      <c r="I228" s="36"/>
      <c r="J228" s="105"/>
      <c r="K228" s="36"/>
      <c r="L228" s="36"/>
      <c r="M228" s="36"/>
      <c r="N228" s="105"/>
      <c r="O228" s="36"/>
      <c r="P228" s="36"/>
      <c r="Q228" s="36"/>
      <c r="R228" s="105"/>
      <c r="S228" s="36"/>
      <c r="T228" s="36"/>
      <c r="U228" s="36"/>
      <c r="V228" s="36"/>
      <c r="W228" s="36"/>
      <c r="X228" s="36"/>
      <c r="Y228" s="36"/>
      <c r="Z228" s="36"/>
      <c r="AA228" s="36"/>
      <c r="AB228" s="42"/>
      <c r="AC228" s="42"/>
      <c r="AD228" s="36"/>
      <c r="AE228" s="36"/>
      <c r="AF228" s="42"/>
      <c r="AG228" s="42"/>
      <c r="AH228" s="36"/>
      <c r="AI228" s="36"/>
      <c r="AJ228" s="36"/>
      <c r="AK228" s="36"/>
      <c r="AL228" s="36"/>
      <c r="AM228" s="36"/>
      <c r="AN228" s="36"/>
    </row>
    <row r="229" spans="1:40" ht="15.75" x14ac:dyDescent="0.25">
      <c r="A229" s="44"/>
      <c r="B229" s="36"/>
      <c r="C229" s="36"/>
      <c r="D229" s="36"/>
      <c r="E229" s="36"/>
      <c r="F229" s="36"/>
      <c r="G229" s="36"/>
      <c r="H229" s="36"/>
      <c r="I229" s="36"/>
      <c r="J229" s="105"/>
      <c r="K229" s="36"/>
      <c r="L229" s="36"/>
      <c r="M229" s="36"/>
      <c r="N229" s="105"/>
      <c r="O229" s="36"/>
      <c r="P229" s="36"/>
      <c r="Q229" s="36"/>
      <c r="R229" s="105"/>
      <c r="S229" s="36"/>
      <c r="T229" s="36"/>
      <c r="U229" s="36"/>
      <c r="V229" s="36"/>
      <c r="W229" s="36"/>
      <c r="X229" s="36"/>
      <c r="Y229" s="36"/>
      <c r="Z229" s="36"/>
      <c r="AA229" s="36"/>
      <c r="AB229" s="42"/>
      <c r="AC229" s="42"/>
      <c r="AD229" s="36"/>
      <c r="AE229" s="36"/>
      <c r="AF229" s="42"/>
      <c r="AG229" s="42"/>
      <c r="AH229" s="36"/>
      <c r="AI229" s="36"/>
      <c r="AJ229" s="36"/>
      <c r="AK229" s="36"/>
      <c r="AL229" s="36"/>
      <c r="AM229" s="36"/>
      <c r="AN229" s="36"/>
    </row>
    <row r="230" spans="1:40" ht="15.75" x14ac:dyDescent="0.25">
      <c r="A230" s="44"/>
      <c r="B230" s="36"/>
      <c r="C230" s="36"/>
      <c r="D230" s="36"/>
      <c r="E230" s="36"/>
      <c r="F230" s="36"/>
      <c r="G230" s="36"/>
      <c r="H230" s="36"/>
      <c r="I230" s="36"/>
      <c r="J230" s="105"/>
      <c r="K230" s="36"/>
      <c r="L230" s="36"/>
      <c r="M230" s="36"/>
      <c r="N230" s="105"/>
      <c r="O230" s="36"/>
      <c r="P230" s="36"/>
      <c r="Q230" s="36"/>
      <c r="R230" s="105"/>
      <c r="S230" s="36"/>
      <c r="T230" s="36"/>
      <c r="U230" s="36"/>
      <c r="V230" s="36"/>
      <c r="W230" s="36"/>
      <c r="X230" s="36"/>
      <c r="Y230" s="36"/>
      <c r="Z230" s="36"/>
      <c r="AA230" s="36"/>
      <c r="AB230" s="42"/>
      <c r="AC230" s="42"/>
      <c r="AD230" s="36"/>
      <c r="AE230" s="36"/>
      <c r="AF230" s="42"/>
      <c r="AG230" s="42"/>
      <c r="AH230" s="36"/>
      <c r="AI230" s="36"/>
      <c r="AJ230" s="36"/>
      <c r="AK230" s="36"/>
      <c r="AL230" s="36"/>
      <c r="AM230" s="36"/>
      <c r="AN230" s="36"/>
    </row>
    <row r="231" spans="1:40" ht="15.75" x14ac:dyDescent="0.25">
      <c r="A231" s="44"/>
      <c r="B231" s="36"/>
      <c r="C231" s="36"/>
      <c r="D231" s="36"/>
      <c r="E231" s="36"/>
      <c r="F231" s="36"/>
      <c r="G231" s="36"/>
      <c r="H231" s="36"/>
      <c r="I231" s="36"/>
      <c r="J231" s="105"/>
      <c r="K231" s="36"/>
      <c r="L231" s="36"/>
      <c r="M231" s="36"/>
      <c r="N231" s="105"/>
      <c r="O231" s="36"/>
      <c r="P231" s="36"/>
      <c r="Q231" s="36"/>
      <c r="R231" s="105"/>
      <c r="S231" s="36"/>
      <c r="T231" s="36"/>
      <c r="U231" s="36"/>
      <c r="V231" s="36"/>
      <c r="W231" s="36"/>
      <c r="X231" s="36"/>
      <c r="Y231" s="36"/>
      <c r="Z231" s="36"/>
      <c r="AA231" s="36"/>
      <c r="AB231" s="42"/>
      <c r="AC231" s="42"/>
      <c r="AD231" s="36"/>
      <c r="AE231" s="36"/>
      <c r="AF231" s="42"/>
      <c r="AG231" s="42"/>
      <c r="AH231" s="36"/>
      <c r="AI231" s="36"/>
      <c r="AJ231" s="36"/>
      <c r="AK231" s="36"/>
      <c r="AL231" s="36"/>
      <c r="AM231" s="36"/>
      <c r="AN231" s="36"/>
    </row>
    <row r="232" spans="1:40" ht="15.75" x14ac:dyDescent="0.25">
      <c r="A232" s="44"/>
      <c r="B232" s="36"/>
      <c r="C232" s="36"/>
      <c r="D232" s="36"/>
      <c r="E232" s="36"/>
      <c r="F232" s="36"/>
      <c r="G232" s="36"/>
      <c r="H232" s="36"/>
      <c r="I232" s="36"/>
      <c r="J232" s="105"/>
      <c r="K232" s="36"/>
      <c r="L232" s="36"/>
      <c r="M232" s="36"/>
      <c r="N232" s="105"/>
      <c r="O232" s="36"/>
      <c r="P232" s="36"/>
      <c r="Q232" s="36"/>
      <c r="R232" s="105"/>
      <c r="S232" s="36"/>
      <c r="T232" s="36"/>
      <c r="U232" s="36"/>
      <c r="V232" s="36"/>
      <c r="W232" s="36"/>
      <c r="X232" s="36"/>
      <c r="Y232" s="36"/>
      <c r="Z232" s="36"/>
      <c r="AA232" s="36"/>
      <c r="AB232" s="42"/>
      <c r="AC232" s="42"/>
      <c r="AD232" s="36"/>
      <c r="AE232" s="36"/>
      <c r="AF232" s="42"/>
      <c r="AG232" s="42"/>
      <c r="AH232" s="36"/>
      <c r="AI232" s="36"/>
      <c r="AJ232" s="36"/>
      <c r="AK232" s="36"/>
      <c r="AL232" s="36"/>
      <c r="AM232" s="36"/>
      <c r="AN232" s="36"/>
    </row>
    <row r="233" spans="1:40" ht="15.75" x14ac:dyDescent="0.25">
      <c r="A233" s="44"/>
      <c r="B233" s="36"/>
      <c r="C233" s="36"/>
      <c r="D233" s="36"/>
      <c r="E233" s="36"/>
      <c r="F233" s="36"/>
      <c r="G233" s="36"/>
      <c r="H233" s="36"/>
      <c r="I233" s="36"/>
      <c r="J233" s="105"/>
      <c r="K233" s="36"/>
      <c r="L233" s="36"/>
      <c r="M233" s="36"/>
      <c r="N233" s="105"/>
      <c r="O233" s="36"/>
      <c r="P233" s="36"/>
      <c r="Q233" s="36"/>
      <c r="R233" s="105"/>
      <c r="S233" s="36"/>
      <c r="T233" s="36"/>
      <c r="U233" s="36"/>
      <c r="V233" s="36"/>
      <c r="W233" s="36"/>
      <c r="X233" s="36"/>
      <c r="Y233" s="36"/>
      <c r="Z233" s="36"/>
      <c r="AA233" s="36"/>
      <c r="AB233" s="42"/>
      <c r="AC233" s="42"/>
      <c r="AD233" s="36"/>
      <c r="AE233" s="36"/>
      <c r="AF233" s="42"/>
      <c r="AG233" s="42"/>
      <c r="AH233" s="36"/>
      <c r="AI233" s="36"/>
      <c r="AJ233" s="36"/>
      <c r="AK233" s="36"/>
      <c r="AL233" s="36"/>
      <c r="AM233" s="36"/>
      <c r="AN233" s="36"/>
    </row>
    <row r="234" spans="1:40" ht="15.75" x14ac:dyDescent="0.25">
      <c r="A234" s="44"/>
      <c r="B234" s="36"/>
      <c r="C234" s="36"/>
      <c r="D234" s="36"/>
      <c r="E234" s="36"/>
      <c r="F234" s="36"/>
      <c r="G234" s="36"/>
      <c r="H234" s="36"/>
      <c r="I234" s="36"/>
      <c r="J234" s="105"/>
      <c r="K234" s="36"/>
      <c r="L234" s="36"/>
      <c r="M234" s="36"/>
      <c r="N234" s="105"/>
      <c r="O234" s="36"/>
      <c r="P234" s="36"/>
      <c r="Q234" s="36"/>
      <c r="R234" s="105"/>
      <c r="S234" s="36"/>
      <c r="T234" s="36"/>
      <c r="U234" s="36"/>
      <c r="V234" s="36"/>
      <c r="W234" s="36"/>
      <c r="X234" s="36"/>
      <c r="Y234" s="36"/>
      <c r="Z234" s="36"/>
      <c r="AA234" s="36"/>
      <c r="AB234" s="42"/>
      <c r="AC234" s="42"/>
      <c r="AD234" s="36"/>
      <c r="AE234" s="36"/>
      <c r="AF234" s="42"/>
      <c r="AG234" s="42"/>
      <c r="AH234" s="36"/>
      <c r="AI234" s="36"/>
      <c r="AJ234" s="36"/>
      <c r="AK234" s="36"/>
      <c r="AL234" s="36"/>
      <c r="AM234" s="36"/>
      <c r="AN234" s="36"/>
    </row>
    <row r="235" spans="1:40" ht="15.75" x14ac:dyDescent="0.25">
      <c r="A235" s="44"/>
      <c r="B235" s="36"/>
      <c r="C235" s="36"/>
      <c r="D235" s="36"/>
      <c r="E235" s="36"/>
      <c r="F235" s="36"/>
      <c r="G235" s="36"/>
      <c r="H235" s="36"/>
      <c r="I235" s="36"/>
      <c r="J235" s="105"/>
      <c r="K235" s="36"/>
      <c r="L235" s="36"/>
      <c r="M235" s="36"/>
      <c r="N235" s="105"/>
      <c r="O235" s="36"/>
      <c r="P235" s="36"/>
      <c r="Q235" s="36"/>
      <c r="R235" s="105"/>
      <c r="S235" s="36"/>
      <c r="T235" s="36"/>
      <c r="U235" s="36"/>
      <c r="V235" s="36"/>
      <c r="W235" s="36"/>
      <c r="X235" s="36"/>
      <c r="Y235" s="36"/>
      <c r="Z235" s="36"/>
      <c r="AA235" s="36"/>
      <c r="AB235" s="42"/>
      <c r="AC235" s="42"/>
      <c r="AD235" s="36"/>
      <c r="AE235" s="36"/>
      <c r="AF235" s="42"/>
      <c r="AG235" s="42"/>
      <c r="AH235" s="36"/>
      <c r="AI235" s="36"/>
      <c r="AJ235" s="36"/>
      <c r="AK235" s="36"/>
      <c r="AL235" s="36"/>
      <c r="AM235" s="36"/>
      <c r="AN235" s="36"/>
    </row>
    <row r="236" spans="1:40" ht="15.75" x14ac:dyDescent="0.25">
      <c r="A236" s="44"/>
      <c r="B236" s="36"/>
      <c r="C236" s="36"/>
      <c r="D236" s="36"/>
      <c r="E236" s="36"/>
      <c r="F236" s="36"/>
      <c r="G236" s="36"/>
      <c r="H236" s="36"/>
      <c r="I236" s="36"/>
      <c r="J236" s="105"/>
      <c r="K236" s="36"/>
      <c r="L236" s="36"/>
      <c r="M236" s="36"/>
      <c r="N236" s="105"/>
      <c r="O236" s="36"/>
      <c r="P236" s="36"/>
      <c r="Q236" s="36"/>
      <c r="R236" s="105"/>
      <c r="S236" s="36"/>
      <c r="T236" s="36"/>
      <c r="U236" s="36"/>
      <c r="V236" s="36"/>
      <c r="W236" s="36"/>
      <c r="X236" s="36"/>
      <c r="Y236" s="36"/>
      <c r="Z236" s="36"/>
      <c r="AA236" s="36"/>
      <c r="AB236" s="42"/>
      <c r="AC236" s="42"/>
      <c r="AD236" s="36"/>
      <c r="AE236" s="36"/>
      <c r="AF236" s="42"/>
      <c r="AG236" s="42"/>
      <c r="AH236" s="36"/>
      <c r="AI236" s="36"/>
      <c r="AJ236" s="36"/>
      <c r="AK236" s="36"/>
      <c r="AL236" s="36"/>
      <c r="AM236" s="36"/>
      <c r="AN236" s="36"/>
    </row>
    <row r="237" spans="1:40" ht="15.75" x14ac:dyDescent="0.25">
      <c r="A237" s="44"/>
      <c r="B237" s="36"/>
      <c r="C237" s="36"/>
      <c r="D237" s="36"/>
      <c r="E237" s="36"/>
      <c r="F237" s="36"/>
      <c r="G237" s="36"/>
      <c r="H237" s="36"/>
      <c r="I237" s="36"/>
      <c r="J237" s="105"/>
      <c r="K237" s="36"/>
      <c r="L237" s="36"/>
      <c r="M237" s="36"/>
      <c r="N237" s="105"/>
      <c r="O237" s="36"/>
      <c r="P237" s="36"/>
      <c r="Q237" s="36"/>
      <c r="R237" s="105"/>
      <c r="S237" s="36"/>
      <c r="T237" s="36"/>
      <c r="U237" s="36"/>
      <c r="V237" s="36"/>
      <c r="W237" s="36"/>
      <c r="X237" s="36"/>
      <c r="Y237" s="36"/>
      <c r="Z237" s="36"/>
      <c r="AA237" s="36"/>
      <c r="AB237" s="42"/>
      <c r="AC237" s="42"/>
      <c r="AD237" s="36"/>
      <c r="AE237" s="36"/>
      <c r="AF237" s="42"/>
      <c r="AG237" s="42"/>
      <c r="AH237" s="36"/>
      <c r="AI237" s="36"/>
      <c r="AJ237" s="36"/>
      <c r="AK237" s="36"/>
      <c r="AL237" s="36"/>
      <c r="AM237" s="36"/>
      <c r="AN237" s="36"/>
    </row>
    <row r="238" spans="1:40" ht="15.75" x14ac:dyDescent="0.25">
      <c r="A238" s="44"/>
      <c r="B238" s="36"/>
      <c r="C238" s="36"/>
      <c r="D238" s="36"/>
      <c r="E238" s="36"/>
      <c r="F238" s="36"/>
      <c r="G238" s="36"/>
      <c r="H238" s="36"/>
      <c r="I238" s="36"/>
      <c r="J238" s="105"/>
      <c r="K238" s="36"/>
      <c r="L238" s="36"/>
      <c r="M238" s="36"/>
      <c r="N238" s="105"/>
      <c r="O238" s="36"/>
      <c r="P238" s="36"/>
      <c r="Q238" s="36"/>
      <c r="R238" s="105"/>
      <c r="S238" s="36"/>
      <c r="T238" s="36"/>
      <c r="U238" s="36"/>
      <c r="V238" s="36"/>
      <c r="W238" s="36"/>
      <c r="X238" s="36"/>
      <c r="Y238" s="36"/>
      <c r="Z238" s="36"/>
      <c r="AA238" s="36"/>
      <c r="AB238" s="42"/>
      <c r="AC238" s="42"/>
      <c r="AD238" s="36"/>
      <c r="AE238" s="36"/>
      <c r="AF238" s="42"/>
      <c r="AG238" s="42"/>
      <c r="AH238" s="36"/>
      <c r="AI238" s="36"/>
      <c r="AJ238" s="36"/>
      <c r="AK238" s="36"/>
      <c r="AL238" s="36"/>
      <c r="AM238" s="36"/>
      <c r="AN238" s="36"/>
    </row>
    <row r="239" spans="1:40" ht="15.75" x14ac:dyDescent="0.25">
      <c r="A239" s="44"/>
      <c r="B239" s="36"/>
      <c r="C239" s="36"/>
      <c r="D239" s="36"/>
      <c r="E239" s="36"/>
      <c r="F239" s="36"/>
      <c r="G239" s="36"/>
      <c r="H239" s="36"/>
      <c r="I239" s="36"/>
      <c r="J239" s="105"/>
      <c r="K239" s="36"/>
      <c r="L239" s="36"/>
      <c r="M239" s="36"/>
      <c r="N239" s="105"/>
      <c r="O239" s="36"/>
      <c r="P239" s="36"/>
      <c r="Q239" s="36"/>
      <c r="R239" s="105"/>
      <c r="S239" s="36"/>
      <c r="T239" s="36"/>
      <c r="U239" s="36"/>
      <c r="V239" s="36"/>
      <c r="W239" s="36"/>
      <c r="X239" s="36"/>
      <c r="Y239" s="36"/>
      <c r="Z239" s="36"/>
      <c r="AA239" s="36"/>
      <c r="AB239" s="42"/>
      <c r="AC239" s="42"/>
      <c r="AD239" s="36"/>
      <c r="AE239" s="36"/>
      <c r="AF239" s="42"/>
      <c r="AG239" s="42"/>
      <c r="AH239" s="36"/>
      <c r="AI239" s="36"/>
      <c r="AJ239" s="36"/>
      <c r="AK239" s="36"/>
      <c r="AL239" s="36"/>
      <c r="AM239" s="36"/>
      <c r="AN239" s="36"/>
    </row>
    <row r="240" spans="1:40" ht="15.75" x14ac:dyDescent="0.25">
      <c r="A240" s="44"/>
      <c r="B240" s="36"/>
      <c r="C240" s="36"/>
      <c r="D240" s="36"/>
      <c r="E240" s="36"/>
      <c r="F240" s="36"/>
      <c r="G240" s="36"/>
      <c r="H240" s="36"/>
      <c r="I240" s="36"/>
      <c r="J240" s="105"/>
      <c r="K240" s="36"/>
      <c r="L240" s="36"/>
      <c r="M240" s="36"/>
      <c r="N240" s="105"/>
      <c r="O240" s="36"/>
      <c r="P240" s="36"/>
      <c r="Q240" s="36"/>
      <c r="R240" s="105"/>
      <c r="S240" s="36"/>
      <c r="T240" s="36"/>
      <c r="U240" s="36"/>
      <c r="V240" s="36"/>
      <c r="W240" s="36"/>
      <c r="X240" s="36"/>
      <c r="Y240" s="36"/>
      <c r="Z240" s="36"/>
      <c r="AA240" s="36"/>
      <c r="AB240" s="42"/>
      <c r="AC240" s="42"/>
      <c r="AD240" s="36"/>
      <c r="AE240" s="36"/>
      <c r="AF240" s="42"/>
      <c r="AG240" s="42"/>
      <c r="AH240" s="36"/>
      <c r="AI240" s="36"/>
      <c r="AJ240" s="36"/>
      <c r="AK240" s="36"/>
      <c r="AL240" s="36"/>
      <c r="AM240" s="36"/>
      <c r="AN240" s="36"/>
    </row>
    <row r="241" spans="1:40" ht="15.75" x14ac:dyDescent="0.25">
      <c r="A241" s="44"/>
      <c r="B241" s="36"/>
      <c r="C241" s="36"/>
      <c r="D241" s="36"/>
      <c r="E241" s="36"/>
      <c r="F241" s="36"/>
      <c r="G241" s="36"/>
      <c r="H241" s="36"/>
      <c r="I241" s="36"/>
      <c r="J241" s="105"/>
      <c r="K241" s="36"/>
      <c r="L241" s="36"/>
      <c r="M241" s="36"/>
      <c r="N241" s="105"/>
      <c r="O241" s="36"/>
      <c r="P241" s="36"/>
      <c r="Q241" s="36"/>
      <c r="R241" s="105"/>
      <c r="S241" s="36"/>
      <c r="T241" s="36"/>
      <c r="U241" s="36"/>
      <c r="V241" s="36"/>
      <c r="W241" s="36"/>
      <c r="X241" s="36"/>
      <c r="Y241" s="36"/>
      <c r="Z241" s="36"/>
      <c r="AA241" s="36"/>
      <c r="AB241" s="42"/>
      <c r="AC241" s="42"/>
      <c r="AD241" s="36"/>
      <c r="AE241" s="36"/>
      <c r="AF241" s="42"/>
      <c r="AG241" s="42"/>
      <c r="AH241" s="36"/>
      <c r="AI241" s="36"/>
      <c r="AJ241" s="36"/>
      <c r="AK241" s="36"/>
      <c r="AL241" s="36"/>
      <c r="AM241" s="36"/>
      <c r="AN241" s="36"/>
    </row>
    <row r="242" spans="1:40" ht="15.75" x14ac:dyDescent="0.25">
      <c r="A242" s="44"/>
      <c r="B242" s="36"/>
      <c r="C242" s="36"/>
      <c r="D242" s="36"/>
      <c r="E242" s="36"/>
      <c r="F242" s="36"/>
      <c r="G242" s="36"/>
      <c r="H242" s="36"/>
      <c r="I242" s="36"/>
      <c r="J242" s="105"/>
      <c r="K242" s="36"/>
      <c r="L242" s="36"/>
      <c r="M242" s="36"/>
      <c r="N242" s="105"/>
      <c r="O242" s="36"/>
      <c r="P242" s="36"/>
      <c r="Q242" s="36"/>
      <c r="R242" s="105"/>
      <c r="S242" s="36"/>
      <c r="T242" s="36"/>
      <c r="U242" s="36"/>
      <c r="V242" s="36"/>
      <c r="W242" s="36"/>
      <c r="X242" s="36"/>
      <c r="Y242" s="36"/>
      <c r="Z242" s="36"/>
      <c r="AA242" s="36"/>
      <c r="AB242" s="42"/>
      <c r="AC242" s="42"/>
      <c r="AD242" s="36"/>
      <c r="AE242" s="36"/>
      <c r="AF242" s="42"/>
      <c r="AG242" s="42"/>
      <c r="AH242" s="36"/>
      <c r="AI242" s="36"/>
      <c r="AJ242" s="36"/>
      <c r="AK242" s="36"/>
      <c r="AL242" s="36"/>
      <c r="AM242" s="36"/>
      <c r="AN242" s="36"/>
    </row>
    <row r="243" spans="1:40" ht="15.75" x14ac:dyDescent="0.25">
      <c r="A243" s="44"/>
      <c r="B243" s="36"/>
      <c r="C243" s="36"/>
      <c r="D243" s="36"/>
      <c r="E243" s="36"/>
      <c r="F243" s="36"/>
      <c r="G243" s="36"/>
      <c r="H243" s="36"/>
      <c r="I243" s="36"/>
      <c r="J243" s="105"/>
      <c r="K243" s="36"/>
      <c r="L243" s="36"/>
      <c r="M243" s="36"/>
      <c r="N243" s="105"/>
      <c r="O243" s="36"/>
      <c r="P243" s="36"/>
      <c r="Q243" s="36"/>
      <c r="R243" s="105"/>
      <c r="S243" s="36"/>
      <c r="T243" s="36"/>
      <c r="U243" s="36"/>
      <c r="V243" s="36"/>
      <c r="W243" s="36"/>
      <c r="X243" s="36"/>
      <c r="Y243" s="36"/>
      <c r="Z243" s="36"/>
      <c r="AA243" s="36"/>
      <c r="AB243" s="42"/>
      <c r="AC243" s="42"/>
      <c r="AD243" s="36"/>
      <c r="AE243" s="36"/>
      <c r="AF243" s="42"/>
      <c r="AG243" s="42"/>
      <c r="AH243" s="36"/>
      <c r="AI243" s="36"/>
      <c r="AJ243" s="36"/>
      <c r="AK243" s="36"/>
      <c r="AL243" s="36"/>
      <c r="AM243" s="36"/>
      <c r="AN243" s="36"/>
    </row>
    <row r="244" spans="1:40" ht="15.75" x14ac:dyDescent="0.25">
      <c r="A244" s="44"/>
      <c r="B244" s="36"/>
      <c r="C244" s="36"/>
      <c r="D244" s="36"/>
      <c r="E244" s="36"/>
      <c r="F244" s="36"/>
      <c r="G244" s="36"/>
      <c r="H244" s="36"/>
      <c r="I244" s="36"/>
      <c r="J244" s="105"/>
      <c r="K244" s="36"/>
      <c r="L244" s="36"/>
      <c r="M244" s="36"/>
      <c r="N244" s="105"/>
      <c r="O244" s="36"/>
      <c r="P244" s="36"/>
      <c r="Q244" s="36"/>
      <c r="R244" s="105"/>
      <c r="S244" s="36"/>
      <c r="T244" s="36"/>
      <c r="U244" s="36"/>
      <c r="V244" s="36"/>
      <c r="W244" s="36"/>
      <c r="X244" s="36"/>
      <c r="Y244" s="36"/>
      <c r="Z244" s="36"/>
      <c r="AA244" s="36"/>
      <c r="AB244" s="42"/>
      <c r="AC244" s="42"/>
      <c r="AD244" s="36"/>
      <c r="AE244" s="36"/>
      <c r="AF244" s="42"/>
      <c r="AG244" s="42"/>
      <c r="AH244" s="36"/>
      <c r="AI244" s="36"/>
      <c r="AJ244" s="36"/>
      <c r="AK244" s="36"/>
      <c r="AL244" s="36"/>
      <c r="AM244" s="36"/>
      <c r="AN244" s="36"/>
    </row>
    <row r="245" spans="1:40" ht="15.75" x14ac:dyDescent="0.25">
      <c r="A245" s="44"/>
      <c r="B245" s="36"/>
      <c r="C245" s="36"/>
      <c r="D245" s="36"/>
      <c r="E245" s="36"/>
      <c r="F245" s="36"/>
      <c r="G245" s="36"/>
      <c r="H245" s="36"/>
      <c r="I245" s="36"/>
      <c r="J245" s="105"/>
      <c r="K245" s="36"/>
      <c r="L245" s="36"/>
      <c r="M245" s="36"/>
      <c r="N245" s="105"/>
      <c r="O245" s="36"/>
      <c r="P245" s="36"/>
      <c r="Q245" s="36"/>
      <c r="R245" s="105"/>
      <c r="S245" s="36"/>
      <c r="T245" s="36"/>
      <c r="U245" s="36"/>
      <c r="V245" s="36"/>
      <c r="W245" s="36"/>
      <c r="X245" s="36"/>
      <c r="Y245" s="36"/>
      <c r="Z245" s="36"/>
      <c r="AA245" s="36"/>
      <c r="AB245" s="42"/>
      <c r="AC245" s="42"/>
      <c r="AD245" s="36"/>
      <c r="AE245" s="36"/>
      <c r="AF245" s="42"/>
      <c r="AG245" s="42"/>
      <c r="AH245" s="36"/>
      <c r="AI245" s="36"/>
      <c r="AJ245" s="36"/>
      <c r="AK245" s="36"/>
      <c r="AL245" s="36"/>
      <c r="AM245" s="36"/>
      <c r="AN245" s="36"/>
    </row>
    <row r="246" spans="1:40" ht="15.75" x14ac:dyDescent="0.25">
      <c r="A246" s="44"/>
      <c r="B246" s="36"/>
      <c r="C246" s="36"/>
      <c r="D246" s="36"/>
      <c r="E246" s="36"/>
      <c r="F246" s="36"/>
      <c r="G246" s="36"/>
      <c r="H246" s="36"/>
      <c r="I246" s="36"/>
      <c r="J246" s="105"/>
      <c r="K246" s="36"/>
      <c r="L246" s="36"/>
      <c r="M246" s="36"/>
      <c r="N246" s="105"/>
      <c r="O246" s="36"/>
      <c r="P246" s="36"/>
      <c r="Q246" s="36"/>
      <c r="R246" s="105"/>
      <c r="S246" s="36"/>
      <c r="T246" s="36"/>
      <c r="U246" s="36"/>
      <c r="V246" s="36"/>
      <c r="W246" s="36"/>
      <c r="X246" s="36"/>
      <c r="Y246" s="36"/>
      <c r="Z246" s="36"/>
      <c r="AA246" s="36"/>
      <c r="AB246" s="42"/>
      <c r="AC246" s="42"/>
      <c r="AD246" s="36"/>
      <c r="AE246" s="36"/>
      <c r="AF246" s="42"/>
      <c r="AG246" s="42"/>
      <c r="AH246" s="36"/>
      <c r="AI246" s="36"/>
      <c r="AJ246" s="36"/>
      <c r="AK246" s="36"/>
      <c r="AL246" s="36"/>
      <c r="AM246" s="36"/>
      <c r="AN246" s="36"/>
    </row>
    <row r="247" spans="1:40" ht="15.75" x14ac:dyDescent="0.25">
      <c r="A247" s="44"/>
      <c r="B247" s="36"/>
      <c r="C247" s="36"/>
      <c r="D247" s="36"/>
      <c r="E247" s="36"/>
      <c r="F247" s="36"/>
      <c r="G247" s="36"/>
      <c r="H247" s="36"/>
      <c r="I247" s="36"/>
      <c r="J247" s="105"/>
      <c r="K247" s="36"/>
      <c r="L247" s="36"/>
      <c r="M247" s="36"/>
      <c r="N247" s="105"/>
      <c r="O247" s="36"/>
      <c r="P247" s="36"/>
      <c r="Q247" s="36"/>
      <c r="R247" s="105"/>
      <c r="S247" s="36"/>
      <c r="T247" s="36"/>
      <c r="U247" s="36"/>
      <c r="V247" s="36"/>
      <c r="W247" s="36"/>
      <c r="X247" s="36"/>
      <c r="Y247" s="36"/>
      <c r="Z247" s="36"/>
      <c r="AA247" s="36"/>
      <c r="AB247" s="42"/>
      <c r="AC247" s="42"/>
      <c r="AD247" s="36"/>
      <c r="AE247" s="36"/>
      <c r="AF247" s="42"/>
      <c r="AG247" s="42"/>
      <c r="AH247" s="36"/>
      <c r="AI247" s="36"/>
      <c r="AJ247" s="36"/>
      <c r="AK247" s="36"/>
      <c r="AL247" s="36"/>
      <c r="AM247" s="36"/>
      <c r="AN247" s="36"/>
    </row>
    <row r="248" spans="1:40" ht="15.75" x14ac:dyDescent="0.25">
      <c r="A248" s="44"/>
      <c r="B248" s="36"/>
      <c r="C248" s="36"/>
      <c r="D248" s="36"/>
      <c r="E248" s="36"/>
      <c r="F248" s="36"/>
      <c r="G248" s="36"/>
      <c r="H248" s="36"/>
      <c r="I248" s="36"/>
      <c r="J248" s="105"/>
      <c r="K248" s="36"/>
      <c r="L248" s="36"/>
      <c r="M248" s="36"/>
      <c r="N248" s="105"/>
      <c r="O248" s="36"/>
      <c r="P248" s="36"/>
      <c r="Q248" s="36"/>
      <c r="R248" s="105"/>
      <c r="S248" s="36"/>
      <c r="T248" s="36"/>
      <c r="U248" s="36"/>
      <c r="V248" s="36"/>
      <c r="W248" s="36"/>
      <c r="X248" s="36"/>
      <c r="Y248" s="36"/>
      <c r="Z248" s="36"/>
      <c r="AA248" s="36"/>
      <c r="AB248" s="42"/>
      <c r="AC248" s="42"/>
      <c r="AD248" s="36"/>
      <c r="AE248" s="36"/>
      <c r="AF248" s="42"/>
      <c r="AG248" s="42"/>
      <c r="AH248" s="36"/>
      <c r="AI248" s="36"/>
      <c r="AJ248" s="36"/>
      <c r="AK248" s="36"/>
      <c r="AL248" s="36"/>
      <c r="AM248" s="36"/>
      <c r="AN248" s="36"/>
    </row>
    <row r="249" spans="1:40" ht="15.75" x14ac:dyDescent="0.25">
      <c r="A249" s="44"/>
      <c r="B249" s="36"/>
      <c r="C249" s="36"/>
      <c r="D249" s="36"/>
      <c r="E249" s="36"/>
      <c r="F249" s="36"/>
      <c r="G249" s="36"/>
      <c r="H249" s="36"/>
      <c r="I249" s="36"/>
      <c r="J249" s="105"/>
      <c r="K249" s="36"/>
      <c r="L249" s="36"/>
      <c r="M249" s="36"/>
      <c r="N249" s="105"/>
      <c r="O249" s="36"/>
      <c r="P249" s="36"/>
      <c r="Q249" s="36"/>
      <c r="R249" s="105"/>
      <c r="S249" s="36"/>
      <c r="T249" s="36"/>
      <c r="U249" s="36"/>
      <c r="V249" s="36"/>
      <c r="W249" s="36"/>
      <c r="X249" s="36"/>
      <c r="Y249" s="36"/>
      <c r="Z249" s="36"/>
      <c r="AA249" s="36"/>
      <c r="AB249" s="42"/>
      <c r="AC249" s="42"/>
      <c r="AD249" s="36"/>
      <c r="AE249" s="36"/>
      <c r="AF249" s="42"/>
      <c r="AG249" s="42"/>
      <c r="AH249" s="36"/>
      <c r="AI249" s="36"/>
      <c r="AJ249" s="36"/>
      <c r="AK249" s="36"/>
      <c r="AL249" s="36"/>
      <c r="AM249" s="36"/>
      <c r="AN249" s="36"/>
    </row>
    <row r="250" spans="1:40" ht="15.75" x14ac:dyDescent="0.25">
      <c r="A250" s="44"/>
      <c r="B250" s="36"/>
      <c r="C250" s="36"/>
      <c r="D250" s="36"/>
      <c r="E250" s="36"/>
      <c r="F250" s="36"/>
      <c r="G250" s="36"/>
      <c r="H250" s="36"/>
      <c r="I250" s="36"/>
      <c r="J250" s="105"/>
      <c r="K250" s="36"/>
      <c r="L250" s="36"/>
      <c r="M250" s="36"/>
      <c r="N250" s="105"/>
      <c r="O250" s="36"/>
      <c r="P250" s="36"/>
      <c r="Q250" s="36"/>
      <c r="R250" s="105"/>
      <c r="S250" s="36"/>
      <c r="T250" s="36"/>
      <c r="U250" s="36"/>
      <c r="V250" s="36"/>
      <c r="W250" s="36"/>
      <c r="X250" s="36"/>
      <c r="Y250" s="36"/>
      <c r="Z250" s="36"/>
      <c r="AA250" s="36"/>
      <c r="AB250" s="42"/>
      <c r="AC250" s="42"/>
      <c r="AD250" s="36"/>
      <c r="AE250" s="36"/>
      <c r="AF250" s="42"/>
      <c r="AG250" s="42"/>
      <c r="AH250" s="36"/>
      <c r="AI250" s="36"/>
      <c r="AJ250" s="36"/>
      <c r="AK250" s="36"/>
      <c r="AL250" s="36"/>
      <c r="AM250" s="36"/>
      <c r="AN250" s="36"/>
    </row>
    <row r="251" spans="1:40" ht="15.75" x14ac:dyDescent="0.25">
      <c r="A251" s="44"/>
      <c r="B251" s="36"/>
      <c r="C251" s="36"/>
      <c r="D251" s="36"/>
      <c r="E251" s="36"/>
      <c r="F251" s="36"/>
      <c r="G251" s="36"/>
      <c r="H251" s="36"/>
      <c r="I251" s="36"/>
      <c r="J251" s="105"/>
      <c r="K251" s="36"/>
      <c r="L251" s="36"/>
      <c r="M251" s="36"/>
      <c r="N251" s="105"/>
      <c r="O251" s="36"/>
      <c r="P251" s="36"/>
      <c r="Q251" s="36"/>
      <c r="R251" s="105"/>
      <c r="S251" s="36"/>
      <c r="T251" s="36"/>
      <c r="U251" s="36"/>
      <c r="V251" s="36"/>
      <c r="W251" s="36"/>
      <c r="X251" s="36"/>
      <c r="Y251" s="36"/>
      <c r="Z251" s="36"/>
      <c r="AA251" s="36"/>
      <c r="AB251" s="42"/>
      <c r="AC251" s="42"/>
      <c r="AD251" s="36"/>
      <c r="AE251" s="36"/>
      <c r="AF251" s="42"/>
      <c r="AG251" s="42"/>
      <c r="AH251" s="36"/>
      <c r="AI251" s="36"/>
      <c r="AJ251" s="36"/>
      <c r="AK251" s="36"/>
      <c r="AL251" s="36"/>
      <c r="AM251" s="36"/>
      <c r="AN251" s="36"/>
    </row>
    <row r="252" spans="1:40" ht="15.75" x14ac:dyDescent="0.25">
      <c r="A252" s="44"/>
      <c r="B252" s="36"/>
      <c r="C252" s="36"/>
      <c r="D252" s="36"/>
      <c r="E252" s="36"/>
      <c r="F252" s="36"/>
      <c r="G252" s="36"/>
      <c r="H252" s="36"/>
      <c r="I252" s="36"/>
      <c r="J252" s="105"/>
      <c r="K252" s="36"/>
      <c r="L252" s="36"/>
      <c r="M252" s="36"/>
      <c r="N252" s="105"/>
      <c r="O252" s="36"/>
      <c r="P252" s="36"/>
      <c r="Q252" s="36"/>
      <c r="R252" s="105"/>
      <c r="S252" s="36"/>
      <c r="T252" s="36"/>
      <c r="U252" s="36"/>
      <c r="V252" s="36"/>
      <c r="W252" s="36"/>
      <c r="X252" s="36"/>
      <c r="Y252" s="36"/>
      <c r="Z252" s="36"/>
      <c r="AA252" s="36"/>
      <c r="AB252" s="42"/>
      <c r="AC252" s="42"/>
      <c r="AD252" s="36"/>
      <c r="AE252" s="36"/>
      <c r="AF252" s="42"/>
      <c r="AG252" s="42"/>
      <c r="AH252" s="36"/>
      <c r="AI252" s="36"/>
      <c r="AJ252" s="36"/>
      <c r="AK252" s="36"/>
      <c r="AL252" s="36"/>
      <c r="AM252" s="36"/>
      <c r="AN252" s="36"/>
    </row>
    <row r="253" spans="1:40" ht="15.75" x14ac:dyDescent="0.25">
      <c r="A253" s="44"/>
      <c r="B253" s="36"/>
      <c r="C253" s="36"/>
      <c r="D253" s="36"/>
      <c r="E253" s="36"/>
      <c r="F253" s="36"/>
      <c r="G253" s="36"/>
      <c r="H253" s="36"/>
      <c r="I253" s="36"/>
      <c r="J253" s="105"/>
      <c r="K253" s="36"/>
      <c r="L253" s="36"/>
      <c r="M253" s="36"/>
      <c r="N253" s="105"/>
      <c r="O253" s="36"/>
      <c r="P253" s="36"/>
      <c r="Q253" s="36"/>
      <c r="R253" s="105"/>
      <c r="S253" s="36"/>
      <c r="T253" s="36"/>
      <c r="U253" s="36"/>
      <c r="V253" s="36"/>
      <c r="W253" s="36"/>
      <c r="X253" s="36"/>
      <c r="Y253" s="36"/>
      <c r="Z253" s="36"/>
      <c r="AA253" s="36"/>
      <c r="AB253" s="42"/>
      <c r="AC253" s="42"/>
      <c r="AD253" s="36"/>
      <c r="AE253" s="36"/>
      <c r="AF253" s="42"/>
      <c r="AG253" s="42"/>
      <c r="AH253" s="36"/>
      <c r="AI253" s="36"/>
      <c r="AJ253" s="36"/>
      <c r="AK253" s="36"/>
      <c r="AL253" s="36"/>
      <c r="AM253" s="36"/>
      <c r="AN253" s="36"/>
    </row>
    <row r="254" spans="1:40" ht="15.75" x14ac:dyDescent="0.25">
      <c r="A254" s="44"/>
      <c r="B254" s="36"/>
      <c r="C254" s="36"/>
      <c r="D254" s="36"/>
      <c r="E254" s="36"/>
      <c r="F254" s="36"/>
      <c r="G254" s="36"/>
      <c r="H254" s="36"/>
      <c r="I254" s="36"/>
      <c r="J254" s="105"/>
      <c r="K254" s="36"/>
      <c r="L254" s="36"/>
      <c r="M254" s="36"/>
      <c r="N254" s="105"/>
      <c r="O254" s="36"/>
      <c r="P254" s="36"/>
      <c r="Q254" s="36"/>
      <c r="R254" s="105"/>
      <c r="S254" s="36"/>
      <c r="T254" s="36"/>
      <c r="U254" s="36"/>
      <c r="V254" s="36"/>
      <c r="W254" s="36"/>
      <c r="X254" s="36"/>
      <c r="Y254" s="36"/>
      <c r="Z254" s="36"/>
      <c r="AA254" s="36"/>
      <c r="AB254" s="42"/>
      <c r="AC254" s="42"/>
      <c r="AD254" s="36"/>
      <c r="AE254" s="36"/>
      <c r="AF254" s="42"/>
      <c r="AG254" s="42"/>
      <c r="AH254" s="36"/>
      <c r="AI254" s="36"/>
      <c r="AJ254" s="36"/>
      <c r="AK254" s="36"/>
      <c r="AL254" s="36"/>
      <c r="AM254" s="36"/>
      <c r="AN254" s="36"/>
    </row>
    <row r="255" spans="1:40" ht="15.75" x14ac:dyDescent="0.25">
      <c r="A255" s="44"/>
      <c r="B255" s="36"/>
      <c r="C255" s="36"/>
      <c r="D255" s="36"/>
      <c r="E255" s="36"/>
      <c r="F255" s="36"/>
      <c r="G255" s="36"/>
      <c r="H255" s="36"/>
      <c r="I255" s="36"/>
      <c r="J255" s="105"/>
      <c r="K255" s="36"/>
      <c r="L255" s="36"/>
      <c r="M255" s="36"/>
      <c r="N255" s="105"/>
      <c r="O255" s="36"/>
      <c r="P255" s="36"/>
      <c r="Q255" s="36"/>
      <c r="R255" s="105"/>
      <c r="S255" s="36"/>
      <c r="T255" s="36"/>
      <c r="U255" s="36"/>
      <c r="V255" s="36"/>
      <c r="W255" s="36"/>
      <c r="X255" s="36"/>
      <c r="Y255" s="36"/>
      <c r="Z255" s="36"/>
      <c r="AA255" s="36"/>
      <c r="AB255" s="42"/>
      <c r="AC255" s="42"/>
      <c r="AD255" s="36"/>
      <c r="AE255" s="36"/>
      <c r="AF255" s="42"/>
      <c r="AG255" s="42"/>
      <c r="AH255" s="36"/>
      <c r="AI255" s="36"/>
      <c r="AJ255" s="36"/>
      <c r="AK255" s="36"/>
      <c r="AL255" s="36"/>
      <c r="AM255" s="36"/>
      <c r="AN255" s="36"/>
    </row>
    <row r="256" spans="1:40" ht="15.75" x14ac:dyDescent="0.25">
      <c r="A256" s="44"/>
      <c r="B256" s="36"/>
      <c r="C256" s="36"/>
      <c r="D256" s="36"/>
      <c r="E256" s="36"/>
      <c r="F256" s="36"/>
      <c r="G256" s="36"/>
      <c r="H256" s="36"/>
      <c r="I256" s="36"/>
      <c r="J256" s="105"/>
      <c r="K256" s="36"/>
      <c r="L256" s="36"/>
      <c r="M256" s="36"/>
      <c r="N256" s="105"/>
      <c r="O256" s="36"/>
      <c r="P256" s="36"/>
      <c r="Q256" s="36"/>
      <c r="R256" s="105"/>
      <c r="S256" s="36"/>
      <c r="T256" s="36"/>
      <c r="U256" s="36"/>
      <c r="V256" s="36"/>
      <c r="W256" s="36"/>
      <c r="X256" s="36"/>
      <c r="Y256" s="36"/>
      <c r="Z256" s="36"/>
      <c r="AA256" s="36"/>
      <c r="AB256" s="42"/>
      <c r="AC256" s="42"/>
      <c r="AD256" s="36"/>
      <c r="AE256" s="36"/>
      <c r="AF256" s="42"/>
      <c r="AG256" s="42"/>
      <c r="AH256" s="36"/>
      <c r="AI256" s="36"/>
      <c r="AJ256" s="36"/>
      <c r="AK256" s="36"/>
      <c r="AL256" s="36"/>
      <c r="AM256" s="36"/>
      <c r="AN256" s="36"/>
    </row>
    <row r="257" spans="1:40" ht="15.75" x14ac:dyDescent="0.25">
      <c r="A257" s="44"/>
      <c r="B257" s="36"/>
      <c r="C257" s="36"/>
      <c r="D257" s="36"/>
      <c r="E257" s="36"/>
      <c r="F257" s="36"/>
      <c r="G257" s="36"/>
      <c r="H257" s="36"/>
      <c r="I257" s="36"/>
      <c r="J257" s="105"/>
      <c r="K257" s="36"/>
      <c r="L257" s="36"/>
      <c r="M257" s="36"/>
      <c r="N257" s="105"/>
      <c r="O257" s="36"/>
      <c r="P257" s="36"/>
      <c r="Q257" s="36"/>
      <c r="R257" s="105"/>
      <c r="S257" s="36"/>
      <c r="T257" s="36"/>
      <c r="U257" s="36"/>
      <c r="V257" s="36"/>
      <c r="W257" s="36"/>
      <c r="X257" s="36"/>
      <c r="Y257" s="36"/>
      <c r="Z257" s="36"/>
      <c r="AA257" s="36"/>
      <c r="AB257" s="42"/>
      <c r="AC257" s="42"/>
      <c r="AD257" s="36"/>
      <c r="AE257" s="36"/>
      <c r="AF257" s="42"/>
      <c r="AG257" s="42"/>
      <c r="AH257" s="36"/>
      <c r="AI257" s="36"/>
      <c r="AJ257" s="36"/>
      <c r="AK257" s="36"/>
      <c r="AL257" s="36"/>
      <c r="AM257" s="36"/>
      <c r="AN257" s="36"/>
    </row>
    <row r="258" spans="1:40" ht="15.75" x14ac:dyDescent="0.25">
      <c r="A258" s="44"/>
      <c r="B258" s="36"/>
      <c r="C258" s="36"/>
      <c r="D258" s="36"/>
      <c r="E258" s="36"/>
      <c r="F258" s="36"/>
      <c r="G258" s="36"/>
      <c r="H258" s="36"/>
      <c r="I258" s="36"/>
      <c r="J258" s="105"/>
      <c r="K258" s="36"/>
      <c r="L258" s="36"/>
      <c r="M258" s="36"/>
      <c r="N258" s="105"/>
      <c r="O258" s="36"/>
      <c r="P258" s="36"/>
      <c r="Q258" s="36"/>
      <c r="R258" s="105"/>
      <c r="S258" s="36"/>
      <c r="T258" s="36"/>
      <c r="U258" s="36"/>
      <c r="V258" s="36"/>
      <c r="W258" s="36"/>
      <c r="X258" s="36"/>
      <c r="Y258" s="36"/>
      <c r="Z258" s="36"/>
      <c r="AA258" s="36"/>
      <c r="AB258" s="42"/>
      <c r="AC258" s="42"/>
      <c r="AD258" s="36"/>
      <c r="AE258" s="36"/>
      <c r="AF258" s="42"/>
      <c r="AG258" s="42"/>
      <c r="AH258" s="36"/>
      <c r="AI258" s="36"/>
      <c r="AJ258" s="36"/>
      <c r="AK258" s="36"/>
      <c r="AL258" s="36"/>
      <c r="AM258" s="36"/>
      <c r="AN258" s="36"/>
    </row>
    <row r="259" spans="1:40" ht="15.75" x14ac:dyDescent="0.25">
      <c r="A259" s="44"/>
      <c r="B259" s="36"/>
      <c r="C259" s="36"/>
      <c r="D259" s="36"/>
      <c r="E259" s="36"/>
      <c r="F259" s="36"/>
      <c r="G259" s="36"/>
      <c r="H259" s="36"/>
      <c r="I259" s="36"/>
      <c r="J259" s="105"/>
      <c r="K259" s="36"/>
      <c r="L259" s="36"/>
      <c r="M259" s="36"/>
      <c r="N259" s="105"/>
      <c r="O259" s="36"/>
      <c r="P259" s="36"/>
      <c r="Q259" s="36"/>
      <c r="R259" s="105"/>
      <c r="S259" s="36"/>
      <c r="T259" s="36"/>
      <c r="U259" s="36"/>
      <c r="V259" s="36"/>
      <c r="W259" s="36"/>
      <c r="X259" s="36"/>
      <c r="Y259" s="36"/>
      <c r="Z259" s="36"/>
      <c r="AA259" s="36"/>
      <c r="AB259" s="42"/>
      <c r="AC259" s="42"/>
      <c r="AD259" s="36"/>
      <c r="AE259" s="36"/>
      <c r="AF259" s="42"/>
      <c r="AG259" s="42"/>
      <c r="AH259" s="36"/>
      <c r="AI259" s="36"/>
      <c r="AJ259" s="36"/>
      <c r="AK259" s="36"/>
      <c r="AL259" s="36"/>
      <c r="AM259" s="36"/>
      <c r="AN259" s="36"/>
    </row>
    <row r="260" spans="1:40" ht="15.75" x14ac:dyDescent="0.25">
      <c r="A260" s="44"/>
      <c r="B260" s="36"/>
      <c r="C260" s="36"/>
      <c r="D260" s="36"/>
      <c r="E260" s="36"/>
      <c r="F260" s="36"/>
      <c r="G260" s="36"/>
      <c r="H260" s="36"/>
      <c r="I260" s="36"/>
      <c r="J260" s="105"/>
      <c r="K260" s="36"/>
      <c r="L260" s="36"/>
      <c r="M260" s="36"/>
      <c r="N260" s="105"/>
      <c r="O260" s="36"/>
      <c r="P260" s="36"/>
      <c r="Q260" s="36"/>
      <c r="R260" s="105"/>
      <c r="S260" s="36"/>
      <c r="T260" s="36"/>
      <c r="U260" s="36"/>
      <c r="V260" s="36"/>
      <c r="W260" s="36"/>
      <c r="X260" s="36"/>
      <c r="Y260" s="36"/>
      <c r="Z260" s="36"/>
      <c r="AA260" s="36"/>
      <c r="AB260" s="42"/>
      <c r="AC260" s="42"/>
      <c r="AD260" s="36"/>
      <c r="AE260" s="36"/>
      <c r="AF260" s="42"/>
      <c r="AG260" s="42"/>
      <c r="AH260" s="36"/>
      <c r="AI260" s="36"/>
      <c r="AJ260" s="36"/>
      <c r="AK260" s="36"/>
      <c r="AL260" s="36"/>
      <c r="AM260" s="36"/>
      <c r="AN260" s="36"/>
    </row>
    <row r="261" spans="1:40" ht="15.75" x14ac:dyDescent="0.25">
      <c r="A261" s="44"/>
      <c r="B261" s="36"/>
      <c r="C261" s="36"/>
      <c r="D261" s="36"/>
      <c r="E261" s="36"/>
      <c r="F261" s="36"/>
      <c r="G261" s="36"/>
      <c r="H261" s="36"/>
      <c r="I261" s="36"/>
      <c r="J261" s="105"/>
      <c r="K261" s="36"/>
      <c r="L261" s="36"/>
      <c r="M261" s="36"/>
      <c r="N261" s="105"/>
      <c r="O261" s="36"/>
      <c r="P261" s="36"/>
      <c r="Q261" s="36"/>
      <c r="R261" s="105"/>
      <c r="S261" s="36"/>
      <c r="T261" s="36"/>
      <c r="U261" s="36"/>
      <c r="V261" s="36"/>
      <c r="W261" s="36"/>
      <c r="X261" s="36"/>
      <c r="Y261" s="36"/>
      <c r="Z261" s="36"/>
      <c r="AA261" s="36"/>
      <c r="AB261" s="42"/>
      <c r="AC261" s="42"/>
      <c r="AD261" s="36"/>
      <c r="AE261" s="36"/>
      <c r="AF261" s="42"/>
      <c r="AG261" s="42"/>
      <c r="AH261" s="36"/>
      <c r="AI261" s="36"/>
      <c r="AJ261" s="36"/>
      <c r="AK261" s="36"/>
      <c r="AL261" s="36"/>
      <c r="AM261" s="36"/>
      <c r="AN261" s="36"/>
    </row>
    <row r="262" spans="1:40" ht="15.75" x14ac:dyDescent="0.25">
      <c r="A262" s="44"/>
      <c r="B262" s="36"/>
      <c r="C262" s="36"/>
      <c r="D262" s="36"/>
      <c r="E262" s="36"/>
      <c r="F262" s="36"/>
      <c r="G262" s="36"/>
      <c r="H262" s="36"/>
      <c r="I262" s="36"/>
      <c r="J262" s="105"/>
      <c r="K262" s="36"/>
      <c r="L262" s="36"/>
      <c r="M262" s="36"/>
      <c r="N262" s="105"/>
      <c r="O262" s="36"/>
      <c r="P262" s="36"/>
      <c r="Q262" s="36"/>
      <c r="R262" s="105"/>
      <c r="S262" s="36"/>
      <c r="T262" s="36"/>
      <c r="U262" s="36"/>
      <c r="V262" s="36"/>
      <c r="W262" s="36"/>
      <c r="X262" s="36"/>
      <c r="Y262" s="36"/>
      <c r="Z262" s="36"/>
      <c r="AA262" s="36"/>
      <c r="AB262" s="42"/>
      <c r="AC262" s="42"/>
      <c r="AD262" s="36"/>
      <c r="AE262" s="36"/>
      <c r="AF262" s="42"/>
      <c r="AG262" s="42"/>
      <c r="AH262" s="36"/>
      <c r="AI262" s="36"/>
      <c r="AJ262" s="36"/>
      <c r="AK262" s="36"/>
      <c r="AL262" s="36"/>
      <c r="AM262" s="36"/>
      <c r="AN262" s="36"/>
    </row>
    <row r="263" spans="1:40" ht="15.75" x14ac:dyDescent="0.25">
      <c r="A263" s="44"/>
      <c r="B263" s="36"/>
      <c r="C263" s="36"/>
      <c r="D263" s="36"/>
      <c r="E263" s="36"/>
      <c r="F263" s="36"/>
      <c r="G263" s="36"/>
      <c r="H263" s="36"/>
      <c r="I263" s="36"/>
      <c r="J263" s="105"/>
      <c r="K263" s="36"/>
      <c r="L263" s="36"/>
      <c r="M263" s="36"/>
      <c r="N263" s="105"/>
      <c r="O263" s="36"/>
      <c r="P263" s="36"/>
      <c r="Q263" s="36"/>
      <c r="R263" s="105"/>
      <c r="S263" s="36"/>
      <c r="T263" s="36"/>
      <c r="U263" s="36"/>
      <c r="V263" s="36"/>
      <c r="W263" s="36"/>
      <c r="X263" s="36"/>
      <c r="Y263" s="36"/>
      <c r="Z263" s="36"/>
      <c r="AA263" s="36"/>
      <c r="AB263" s="42"/>
      <c r="AC263" s="42"/>
      <c r="AD263" s="36"/>
      <c r="AE263" s="36"/>
      <c r="AF263" s="42"/>
      <c r="AG263" s="42"/>
      <c r="AH263" s="36"/>
      <c r="AI263" s="36"/>
      <c r="AJ263" s="36"/>
      <c r="AK263" s="36"/>
      <c r="AL263" s="36"/>
      <c r="AM263" s="36"/>
      <c r="AN263" s="36"/>
    </row>
    <row r="264" spans="1:40" ht="15.75" x14ac:dyDescent="0.25">
      <c r="A264" s="44"/>
      <c r="B264" s="36"/>
      <c r="C264" s="36"/>
      <c r="D264" s="36"/>
      <c r="E264" s="36"/>
      <c r="F264" s="36"/>
      <c r="G264" s="36"/>
      <c r="H264" s="36"/>
      <c r="I264" s="36"/>
      <c r="J264" s="105"/>
      <c r="K264" s="36"/>
      <c r="L264" s="36"/>
      <c r="M264" s="36"/>
      <c r="N264" s="105"/>
      <c r="O264" s="36"/>
      <c r="P264" s="36"/>
      <c r="Q264" s="36"/>
      <c r="R264" s="105"/>
      <c r="S264" s="36"/>
      <c r="T264" s="36"/>
      <c r="U264" s="36"/>
      <c r="V264" s="36"/>
      <c r="W264" s="36"/>
      <c r="X264" s="36"/>
      <c r="Y264" s="36"/>
      <c r="Z264" s="36"/>
      <c r="AA264" s="36"/>
      <c r="AB264" s="42"/>
      <c r="AC264" s="42"/>
      <c r="AD264" s="36"/>
      <c r="AE264" s="36"/>
      <c r="AF264" s="42"/>
      <c r="AG264" s="42"/>
      <c r="AH264" s="36"/>
      <c r="AI264" s="36"/>
      <c r="AJ264" s="36"/>
      <c r="AK264" s="36"/>
      <c r="AL264" s="36"/>
      <c r="AM264" s="36"/>
      <c r="AN264" s="36"/>
    </row>
    <row r="265" spans="1:40" ht="15.75" x14ac:dyDescent="0.25">
      <c r="A265" s="44"/>
      <c r="B265" s="36"/>
      <c r="C265" s="36"/>
      <c r="D265" s="36"/>
      <c r="E265" s="36"/>
      <c r="F265" s="36"/>
      <c r="G265" s="36"/>
      <c r="H265" s="36"/>
      <c r="I265" s="36"/>
      <c r="J265" s="105"/>
      <c r="K265" s="36"/>
      <c r="L265" s="36"/>
      <c r="M265" s="36"/>
      <c r="N265" s="105"/>
      <c r="O265" s="36"/>
      <c r="P265" s="36"/>
      <c r="Q265" s="36"/>
      <c r="R265" s="105"/>
      <c r="S265" s="36"/>
      <c r="T265" s="36"/>
      <c r="U265" s="36"/>
      <c r="V265" s="36"/>
      <c r="W265" s="36"/>
      <c r="X265" s="36"/>
      <c r="Y265" s="36"/>
      <c r="Z265" s="36"/>
      <c r="AA265" s="36"/>
      <c r="AB265" s="42"/>
      <c r="AC265" s="42"/>
      <c r="AD265" s="36"/>
      <c r="AE265" s="36"/>
      <c r="AF265" s="42"/>
      <c r="AG265" s="42"/>
      <c r="AH265" s="36"/>
      <c r="AI265" s="36"/>
      <c r="AJ265" s="36"/>
      <c r="AK265" s="36"/>
      <c r="AL265" s="36"/>
      <c r="AM265" s="36"/>
      <c r="AN265" s="36"/>
    </row>
    <row r="266" spans="1:40" ht="15.75" x14ac:dyDescent="0.25">
      <c r="A266" s="44"/>
      <c r="B266" s="36"/>
      <c r="C266" s="36"/>
      <c r="D266" s="36"/>
      <c r="E266" s="36"/>
      <c r="F266" s="36"/>
      <c r="G266" s="36"/>
      <c r="H266" s="36"/>
      <c r="I266" s="36"/>
      <c r="J266" s="105"/>
      <c r="K266" s="36"/>
      <c r="L266" s="36"/>
      <c r="M266" s="36"/>
      <c r="N266" s="105"/>
      <c r="O266" s="36"/>
      <c r="P266" s="36"/>
      <c r="Q266" s="36"/>
      <c r="R266" s="105"/>
      <c r="S266" s="36"/>
      <c r="T266" s="36"/>
      <c r="U266" s="36"/>
      <c r="V266" s="36"/>
      <c r="W266" s="36"/>
      <c r="X266" s="36"/>
      <c r="Y266" s="36"/>
      <c r="Z266" s="36"/>
      <c r="AA266" s="36"/>
      <c r="AB266" s="42"/>
      <c r="AC266" s="42"/>
      <c r="AD266" s="36"/>
      <c r="AE266" s="36"/>
      <c r="AF266" s="42"/>
      <c r="AG266" s="42"/>
      <c r="AH266" s="36"/>
      <c r="AI266" s="36"/>
      <c r="AJ266" s="36"/>
      <c r="AK266" s="36"/>
      <c r="AL266" s="36"/>
      <c r="AM266" s="36"/>
      <c r="AN266" s="36"/>
    </row>
    <row r="267" spans="1:40" ht="15.75" x14ac:dyDescent="0.25">
      <c r="A267" s="44"/>
      <c r="B267" s="36"/>
      <c r="C267" s="36"/>
      <c r="D267" s="36"/>
      <c r="E267" s="36"/>
      <c r="F267" s="36"/>
      <c r="G267" s="36"/>
      <c r="H267" s="36"/>
      <c r="I267" s="36"/>
      <c r="J267" s="105"/>
      <c r="K267" s="36"/>
      <c r="L267" s="36"/>
      <c r="M267" s="36"/>
      <c r="N267" s="105"/>
      <c r="O267" s="36"/>
      <c r="P267" s="36"/>
      <c r="Q267" s="36"/>
      <c r="R267" s="105"/>
      <c r="S267" s="36"/>
      <c r="T267" s="36"/>
      <c r="U267" s="36"/>
      <c r="V267" s="36"/>
      <c r="W267" s="36"/>
      <c r="X267" s="36"/>
      <c r="Y267" s="36"/>
      <c r="Z267" s="36"/>
      <c r="AA267" s="36"/>
      <c r="AB267" s="42"/>
      <c r="AC267" s="42"/>
      <c r="AD267" s="36"/>
      <c r="AE267" s="36"/>
      <c r="AF267" s="42"/>
      <c r="AG267" s="42"/>
      <c r="AH267" s="36"/>
      <c r="AI267" s="36"/>
      <c r="AJ267" s="36"/>
      <c r="AK267" s="36"/>
      <c r="AL267" s="36"/>
      <c r="AM267" s="36"/>
      <c r="AN267" s="36"/>
    </row>
    <row r="268" spans="1:40" ht="15.75" x14ac:dyDescent="0.25">
      <c r="A268" s="44"/>
      <c r="B268" s="36"/>
      <c r="C268" s="36"/>
      <c r="D268" s="36"/>
      <c r="E268" s="36"/>
      <c r="F268" s="36"/>
      <c r="G268" s="36"/>
      <c r="H268" s="36"/>
      <c r="I268" s="36"/>
      <c r="J268" s="105"/>
      <c r="K268" s="36"/>
      <c r="L268" s="36"/>
      <c r="M268" s="36"/>
      <c r="N268" s="105"/>
      <c r="O268" s="36"/>
      <c r="P268" s="36"/>
      <c r="Q268" s="36"/>
      <c r="R268" s="105"/>
      <c r="S268" s="36"/>
      <c r="T268" s="36"/>
      <c r="U268" s="36"/>
      <c r="V268" s="36"/>
      <c r="W268" s="36"/>
      <c r="X268" s="36"/>
      <c r="Y268" s="36"/>
      <c r="Z268" s="36"/>
      <c r="AA268" s="36"/>
      <c r="AB268" s="42"/>
      <c r="AC268" s="42"/>
      <c r="AD268" s="36"/>
      <c r="AE268" s="36"/>
      <c r="AF268" s="42"/>
      <c r="AG268" s="42"/>
      <c r="AH268" s="36"/>
      <c r="AI268" s="36"/>
      <c r="AJ268" s="36"/>
      <c r="AK268" s="36"/>
      <c r="AL268" s="36"/>
      <c r="AM268" s="36"/>
      <c r="AN268" s="36"/>
    </row>
    <row r="269" spans="1:40" ht="15.75" x14ac:dyDescent="0.25">
      <c r="A269" s="44"/>
      <c r="B269" s="36"/>
      <c r="C269" s="36"/>
      <c r="D269" s="36"/>
      <c r="E269" s="36"/>
      <c r="F269" s="36"/>
      <c r="G269" s="36"/>
      <c r="H269" s="36"/>
      <c r="I269" s="36"/>
      <c r="J269" s="105"/>
      <c r="K269" s="36"/>
      <c r="L269" s="36"/>
      <c r="M269" s="36"/>
      <c r="N269" s="105"/>
      <c r="O269" s="36"/>
      <c r="P269" s="36"/>
      <c r="Q269" s="36"/>
      <c r="R269" s="105"/>
      <c r="S269" s="36"/>
      <c r="T269" s="36"/>
      <c r="U269" s="36"/>
      <c r="V269" s="36"/>
      <c r="W269" s="36"/>
      <c r="X269" s="36"/>
      <c r="Y269" s="36"/>
      <c r="Z269" s="36"/>
      <c r="AA269" s="36"/>
      <c r="AB269" s="42"/>
      <c r="AC269" s="42"/>
      <c r="AD269" s="36"/>
      <c r="AE269" s="36"/>
      <c r="AF269" s="42"/>
      <c r="AG269" s="42"/>
      <c r="AH269" s="36"/>
      <c r="AI269" s="36"/>
      <c r="AJ269" s="36"/>
      <c r="AK269" s="36"/>
      <c r="AL269" s="36"/>
      <c r="AM269" s="36"/>
      <c r="AN269" s="36"/>
    </row>
    <row r="270" spans="1:40" ht="15.75" x14ac:dyDescent="0.25">
      <c r="A270" s="44"/>
      <c r="B270" s="36"/>
      <c r="C270" s="36"/>
      <c r="D270" s="36"/>
      <c r="E270" s="36"/>
      <c r="F270" s="36"/>
      <c r="G270" s="36"/>
      <c r="H270" s="36"/>
      <c r="I270" s="36"/>
      <c r="J270" s="105"/>
      <c r="K270" s="36"/>
      <c r="L270" s="36"/>
      <c r="M270" s="36"/>
      <c r="N270" s="105"/>
      <c r="O270" s="36"/>
      <c r="P270" s="36"/>
      <c r="Q270" s="36"/>
      <c r="R270" s="105"/>
      <c r="S270" s="36"/>
      <c r="T270" s="36"/>
      <c r="U270" s="36"/>
      <c r="V270" s="36"/>
      <c r="W270" s="36"/>
      <c r="X270" s="36"/>
      <c r="Y270" s="36"/>
      <c r="Z270" s="36"/>
      <c r="AA270" s="36"/>
      <c r="AB270" s="42"/>
      <c r="AC270" s="42"/>
      <c r="AD270" s="36"/>
      <c r="AE270" s="36"/>
      <c r="AF270" s="42"/>
      <c r="AG270" s="42"/>
      <c r="AH270" s="36"/>
      <c r="AI270" s="36"/>
      <c r="AJ270" s="36"/>
      <c r="AK270" s="36"/>
      <c r="AL270" s="36"/>
      <c r="AM270" s="36"/>
      <c r="AN270" s="36"/>
    </row>
    <row r="271" spans="1:40" ht="15.75" x14ac:dyDescent="0.25">
      <c r="A271" s="44"/>
      <c r="B271" s="36"/>
      <c r="C271" s="36"/>
      <c r="D271" s="36"/>
      <c r="E271" s="36"/>
      <c r="F271" s="36"/>
      <c r="G271" s="36"/>
      <c r="H271" s="36"/>
      <c r="I271" s="36"/>
      <c r="J271" s="105"/>
      <c r="K271" s="36"/>
      <c r="L271" s="36"/>
      <c r="M271" s="36"/>
      <c r="N271" s="105"/>
      <c r="O271" s="36"/>
      <c r="P271" s="36"/>
      <c r="Q271" s="36"/>
      <c r="R271" s="105"/>
      <c r="S271" s="36"/>
      <c r="T271" s="36"/>
      <c r="U271" s="36"/>
      <c r="V271" s="36"/>
      <c r="W271" s="36"/>
      <c r="X271" s="36"/>
      <c r="Y271" s="36"/>
      <c r="Z271" s="36"/>
      <c r="AA271" s="36"/>
      <c r="AB271" s="42"/>
      <c r="AC271" s="42"/>
      <c r="AD271" s="36"/>
      <c r="AE271" s="36"/>
      <c r="AF271" s="42"/>
      <c r="AG271" s="42"/>
      <c r="AH271" s="36"/>
      <c r="AI271" s="36"/>
      <c r="AJ271" s="36"/>
      <c r="AK271" s="36"/>
      <c r="AL271" s="36"/>
      <c r="AM271" s="36"/>
      <c r="AN271" s="36"/>
    </row>
    <row r="272" spans="1:40" ht="15.75" x14ac:dyDescent="0.25">
      <c r="A272" s="44"/>
      <c r="B272" s="36"/>
      <c r="C272" s="36"/>
      <c r="D272" s="36"/>
      <c r="E272" s="36"/>
      <c r="F272" s="36"/>
      <c r="G272" s="36"/>
      <c r="H272" s="36"/>
      <c r="I272" s="36"/>
      <c r="J272" s="105"/>
      <c r="K272" s="36"/>
      <c r="L272" s="36"/>
      <c r="M272" s="36"/>
      <c r="N272" s="105"/>
      <c r="O272" s="36"/>
      <c r="P272" s="36"/>
      <c r="Q272" s="36"/>
      <c r="R272" s="105"/>
      <c r="S272" s="36"/>
      <c r="T272" s="36"/>
      <c r="U272" s="36"/>
      <c r="V272" s="36"/>
      <c r="W272" s="36"/>
      <c r="X272" s="36"/>
      <c r="Y272" s="36"/>
      <c r="Z272" s="36"/>
      <c r="AA272" s="36"/>
      <c r="AB272" s="42"/>
      <c r="AC272" s="42"/>
      <c r="AD272" s="36"/>
      <c r="AE272" s="36"/>
      <c r="AF272" s="42"/>
      <c r="AG272" s="42"/>
      <c r="AH272" s="36"/>
      <c r="AI272" s="36"/>
      <c r="AJ272" s="36"/>
      <c r="AK272" s="36"/>
      <c r="AL272" s="36"/>
      <c r="AM272" s="36"/>
      <c r="AN272" s="36"/>
    </row>
    <row r="273" spans="1:40" ht="15.75" x14ac:dyDescent="0.25">
      <c r="A273" s="44"/>
      <c r="B273" s="36"/>
      <c r="C273" s="36"/>
      <c r="D273" s="36"/>
      <c r="E273" s="36"/>
      <c r="F273" s="36"/>
      <c r="G273" s="36"/>
      <c r="H273" s="36"/>
      <c r="I273" s="36"/>
      <c r="J273" s="105"/>
      <c r="K273" s="36"/>
      <c r="L273" s="36"/>
      <c r="M273" s="36"/>
      <c r="N273" s="105"/>
      <c r="O273" s="36"/>
      <c r="P273" s="36"/>
      <c r="Q273" s="36"/>
      <c r="R273" s="105"/>
      <c r="S273" s="36"/>
      <c r="T273" s="36"/>
      <c r="U273" s="36"/>
      <c r="V273" s="36"/>
      <c r="W273" s="36"/>
      <c r="X273" s="36"/>
      <c r="Y273" s="36"/>
      <c r="Z273" s="36"/>
      <c r="AA273" s="36"/>
      <c r="AB273" s="42"/>
      <c r="AC273" s="42"/>
      <c r="AD273" s="36"/>
      <c r="AE273" s="36"/>
      <c r="AF273" s="42"/>
      <c r="AG273" s="42"/>
      <c r="AH273" s="36"/>
      <c r="AI273" s="36"/>
      <c r="AJ273" s="36"/>
      <c r="AK273" s="36"/>
      <c r="AL273" s="36"/>
      <c r="AM273" s="36"/>
      <c r="AN273" s="36"/>
    </row>
    <row r="274" spans="1:40" ht="15.75" x14ac:dyDescent="0.25">
      <c r="A274" s="44"/>
      <c r="B274" s="36"/>
      <c r="C274" s="36"/>
      <c r="D274" s="36"/>
      <c r="E274" s="36"/>
      <c r="F274" s="36"/>
      <c r="G274" s="36"/>
      <c r="H274" s="36"/>
      <c r="I274" s="36"/>
      <c r="J274" s="105"/>
      <c r="K274" s="36"/>
      <c r="L274" s="36"/>
      <c r="M274" s="36"/>
      <c r="N274" s="105"/>
      <c r="O274" s="36"/>
      <c r="P274" s="36"/>
      <c r="Q274" s="36"/>
      <c r="R274" s="105"/>
      <c r="S274" s="36"/>
      <c r="T274" s="36"/>
      <c r="U274" s="36"/>
      <c r="V274" s="36"/>
      <c r="W274" s="36"/>
      <c r="X274" s="36"/>
      <c r="Y274" s="36"/>
      <c r="Z274" s="36"/>
      <c r="AA274" s="36"/>
      <c r="AB274" s="42"/>
      <c r="AC274" s="42"/>
      <c r="AD274" s="36"/>
      <c r="AE274" s="36"/>
      <c r="AF274" s="42"/>
      <c r="AG274" s="42"/>
      <c r="AH274" s="36"/>
      <c r="AI274" s="36"/>
      <c r="AJ274" s="36"/>
      <c r="AK274" s="36"/>
      <c r="AL274" s="36"/>
      <c r="AM274" s="36"/>
      <c r="AN274" s="36"/>
    </row>
    <row r="275" spans="1:40" ht="15.75" x14ac:dyDescent="0.25">
      <c r="A275" s="44"/>
      <c r="B275" s="36"/>
      <c r="C275" s="36"/>
      <c r="D275" s="36"/>
      <c r="E275" s="36"/>
      <c r="F275" s="36"/>
      <c r="G275" s="36"/>
      <c r="H275" s="36"/>
      <c r="I275" s="36"/>
      <c r="J275" s="105"/>
      <c r="K275" s="36"/>
      <c r="L275" s="36"/>
      <c r="M275" s="36"/>
      <c r="N275" s="105"/>
      <c r="O275" s="36"/>
      <c r="P275" s="36"/>
      <c r="Q275" s="36"/>
      <c r="R275" s="105"/>
      <c r="S275" s="36"/>
      <c r="T275" s="36"/>
      <c r="U275" s="36"/>
      <c r="V275" s="36"/>
      <c r="W275" s="36"/>
      <c r="X275" s="36"/>
      <c r="Y275" s="36"/>
      <c r="Z275" s="36"/>
      <c r="AA275" s="36"/>
      <c r="AB275" s="42"/>
      <c r="AC275" s="42"/>
      <c r="AD275" s="36"/>
      <c r="AE275" s="36"/>
      <c r="AF275" s="42"/>
      <c r="AG275" s="42"/>
      <c r="AH275" s="36"/>
      <c r="AI275" s="36"/>
      <c r="AJ275" s="36"/>
      <c r="AK275" s="36"/>
      <c r="AL275" s="36"/>
      <c r="AM275" s="36"/>
      <c r="AN275" s="36"/>
    </row>
    <row r="276" spans="1:40" ht="15.75" x14ac:dyDescent="0.25">
      <c r="A276" s="44"/>
      <c r="B276" s="36"/>
      <c r="C276" s="36"/>
      <c r="D276" s="36"/>
      <c r="E276" s="36"/>
      <c r="F276" s="36"/>
      <c r="G276" s="36"/>
      <c r="H276" s="36"/>
      <c r="I276" s="36"/>
      <c r="J276" s="105"/>
      <c r="K276" s="36"/>
      <c r="L276" s="36"/>
      <c r="M276" s="36"/>
      <c r="N276" s="105"/>
      <c r="O276" s="36"/>
      <c r="P276" s="36"/>
      <c r="Q276" s="36"/>
      <c r="R276" s="105"/>
      <c r="S276" s="36"/>
      <c r="T276" s="36"/>
      <c r="U276" s="36"/>
      <c r="V276" s="36"/>
      <c r="W276" s="36"/>
      <c r="X276" s="36"/>
      <c r="Y276" s="36"/>
      <c r="Z276" s="36"/>
      <c r="AA276" s="36"/>
      <c r="AB276" s="42"/>
      <c r="AC276" s="42"/>
      <c r="AD276" s="36"/>
      <c r="AE276" s="36"/>
      <c r="AF276" s="42"/>
      <c r="AG276" s="42"/>
      <c r="AH276" s="36"/>
      <c r="AI276" s="36"/>
      <c r="AJ276" s="36"/>
      <c r="AK276" s="36"/>
      <c r="AL276" s="36"/>
      <c r="AM276" s="36"/>
      <c r="AN276" s="36"/>
    </row>
    <row r="277" spans="1:40" ht="15.75" x14ac:dyDescent="0.25">
      <c r="A277" s="44"/>
      <c r="B277" s="36"/>
      <c r="C277" s="36"/>
      <c r="D277" s="36"/>
      <c r="E277" s="36"/>
      <c r="F277" s="36"/>
      <c r="G277" s="36"/>
      <c r="H277" s="36"/>
      <c r="I277" s="36"/>
      <c r="J277" s="105"/>
      <c r="K277" s="36"/>
      <c r="L277" s="36"/>
      <c r="M277" s="36"/>
      <c r="N277" s="105"/>
      <c r="O277" s="36"/>
      <c r="P277" s="36"/>
      <c r="Q277" s="36"/>
      <c r="R277" s="105"/>
      <c r="S277" s="36"/>
      <c r="T277" s="36"/>
      <c r="U277" s="36"/>
      <c r="V277" s="36"/>
      <c r="W277" s="36"/>
      <c r="X277" s="36"/>
      <c r="Y277" s="36"/>
      <c r="Z277" s="36"/>
      <c r="AA277" s="36"/>
      <c r="AB277" s="42"/>
      <c r="AC277" s="42"/>
      <c r="AD277" s="36"/>
      <c r="AE277" s="36"/>
      <c r="AF277" s="42"/>
      <c r="AG277" s="42"/>
      <c r="AH277" s="36"/>
      <c r="AI277" s="36"/>
      <c r="AJ277" s="36"/>
      <c r="AK277" s="36"/>
      <c r="AL277" s="36"/>
      <c r="AM277" s="36"/>
      <c r="AN277" s="36"/>
    </row>
    <row r="278" spans="1:40" ht="15.75" x14ac:dyDescent="0.25">
      <c r="A278" s="44"/>
      <c r="B278" s="36"/>
      <c r="C278" s="36"/>
      <c r="D278" s="36"/>
      <c r="E278" s="36"/>
      <c r="F278" s="36"/>
      <c r="G278" s="36"/>
      <c r="H278" s="36"/>
      <c r="I278" s="36"/>
      <c r="J278" s="105"/>
      <c r="K278" s="36"/>
      <c r="L278" s="36"/>
      <c r="M278" s="36"/>
      <c r="N278" s="105"/>
      <c r="O278" s="36"/>
      <c r="P278" s="36"/>
      <c r="Q278" s="36"/>
      <c r="R278" s="105"/>
      <c r="S278" s="36"/>
      <c r="T278" s="36"/>
      <c r="U278" s="36"/>
      <c r="V278" s="36"/>
      <c r="W278" s="36"/>
      <c r="X278" s="36"/>
      <c r="Y278" s="36"/>
      <c r="Z278" s="36"/>
      <c r="AA278" s="36"/>
      <c r="AB278" s="42"/>
      <c r="AC278" s="42"/>
      <c r="AD278" s="36"/>
      <c r="AE278" s="36"/>
      <c r="AF278" s="42"/>
      <c r="AG278" s="42"/>
      <c r="AH278" s="36"/>
      <c r="AI278" s="36"/>
      <c r="AJ278" s="36"/>
      <c r="AK278" s="36"/>
      <c r="AL278" s="36"/>
      <c r="AM278" s="36"/>
      <c r="AN278" s="36"/>
    </row>
    <row r="279" spans="1:40" ht="15.75" x14ac:dyDescent="0.25">
      <c r="A279" s="44"/>
      <c r="B279" s="36"/>
      <c r="C279" s="36"/>
      <c r="D279" s="36"/>
      <c r="E279" s="36"/>
      <c r="F279" s="36"/>
      <c r="G279" s="36"/>
      <c r="H279" s="36"/>
      <c r="I279" s="36"/>
      <c r="J279" s="105"/>
      <c r="K279" s="36"/>
      <c r="L279" s="36"/>
      <c r="M279" s="36"/>
      <c r="N279" s="105"/>
      <c r="O279" s="36"/>
      <c r="P279" s="36"/>
      <c r="Q279" s="36"/>
      <c r="R279" s="105"/>
      <c r="S279" s="36"/>
      <c r="T279" s="36"/>
      <c r="U279" s="36"/>
      <c r="V279" s="36"/>
      <c r="W279" s="36"/>
      <c r="X279" s="36"/>
      <c r="Y279" s="36"/>
      <c r="Z279" s="36"/>
      <c r="AA279" s="36"/>
      <c r="AB279" s="42"/>
      <c r="AC279" s="42"/>
      <c r="AD279" s="36"/>
      <c r="AE279" s="36"/>
      <c r="AF279" s="42"/>
      <c r="AG279" s="42"/>
      <c r="AH279" s="36"/>
      <c r="AI279" s="36"/>
      <c r="AJ279" s="36"/>
      <c r="AK279" s="36"/>
      <c r="AL279" s="36"/>
      <c r="AM279" s="36"/>
      <c r="AN279" s="36"/>
    </row>
    <row r="280" spans="1:40" ht="15.75" x14ac:dyDescent="0.25">
      <c r="A280" s="44"/>
      <c r="B280" s="36"/>
      <c r="C280" s="36"/>
      <c r="D280" s="36"/>
      <c r="E280" s="36"/>
      <c r="F280" s="36"/>
      <c r="G280" s="36"/>
      <c r="H280" s="36"/>
      <c r="I280" s="36"/>
      <c r="J280" s="105"/>
      <c r="K280" s="36"/>
      <c r="L280" s="36"/>
      <c r="M280" s="36"/>
      <c r="N280" s="105"/>
      <c r="O280" s="36"/>
      <c r="P280" s="36"/>
      <c r="Q280" s="36"/>
      <c r="R280" s="105"/>
      <c r="S280" s="36"/>
      <c r="T280" s="36"/>
      <c r="U280" s="36"/>
      <c r="V280" s="36"/>
      <c r="W280" s="36"/>
      <c r="X280" s="36"/>
      <c r="Y280" s="36"/>
      <c r="Z280" s="36"/>
      <c r="AA280" s="36"/>
      <c r="AB280" s="42"/>
      <c r="AC280" s="42"/>
      <c r="AD280" s="36"/>
      <c r="AE280" s="36"/>
      <c r="AF280" s="42"/>
      <c r="AG280" s="42"/>
      <c r="AH280" s="36"/>
      <c r="AI280" s="36"/>
      <c r="AJ280" s="36"/>
      <c r="AK280" s="36"/>
      <c r="AL280" s="36"/>
      <c r="AM280" s="36"/>
      <c r="AN280" s="36"/>
    </row>
    <row r="281" spans="1:40" ht="15.75" x14ac:dyDescent="0.25">
      <c r="A281" s="44"/>
      <c r="B281" s="36"/>
      <c r="C281" s="36"/>
      <c r="D281" s="36"/>
      <c r="E281" s="36"/>
      <c r="F281" s="36"/>
      <c r="G281" s="36"/>
      <c r="H281" s="36"/>
      <c r="I281" s="36"/>
      <c r="J281" s="105"/>
      <c r="K281" s="36"/>
      <c r="L281" s="36"/>
      <c r="M281" s="36"/>
      <c r="N281" s="105"/>
      <c r="O281" s="36"/>
      <c r="P281" s="36"/>
      <c r="Q281" s="36"/>
      <c r="R281" s="105"/>
      <c r="S281" s="36"/>
      <c r="T281" s="36"/>
      <c r="U281" s="36"/>
      <c r="V281" s="36"/>
      <c r="W281" s="36"/>
      <c r="X281" s="36"/>
      <c r="Y281" s="36"/>
      <c r="Z281" s="36"/>
      <c r="AA281" s="36"/>
      <c r="AB281" s="42"/>
      <c r="AC281" s="42"/>
      <c r="AD281" s="36"/>
      <c r="AE281" s="36"/>
      <c r="AF281" s="42"/>
      <c r="AG281" s="42"/>
      <c r="AH281" s="36"/>
      <c r="AI281" s="36"/>
      <c r="AJ281" s="36"/>
      <c r="AK281" s="36"/>
      <c r="AL281" s="36"/>
      <c r="AM281" s="36"/>
      <c r="AN281" s="36"/>
    </row>
    <row r="282" spans="1:40" ht="15.75" x14ac:dyDescent="0.25">
      <c r="A282" s="44"/>
      <c r="B282" s="36"/>
      <c r="C282" s="36"/>
      <c r="D282" s="36"/>
      <c r="E282" s="36"/>
      <c r="F282" s="36"/>
      <c r="G282" s="36"/>
      <c r="H282" s="36"/>
      <c r="I282" s="36"/>
      <c r="J282" s="105"/>
      <c r="K282" s="36"/>
      <c r="L282" s="36"/>
      <c r="M282" s="36"/>
      <c r="N282" s="105"/>
      <c r="O282" s="36"/>
      <c r="P282" s="36"/>
      <c r="Q282" s="36"/>
      <c r="R282" s="105"/>
      <c r="S282" s="36"/>
      <c r="T282" s="36"/>
      <c r="U282" s="36"/>
      <c r="V282" s="36"/>
      <c r="W282" s="36"/>
      <c r="X282" s="36"/>
      <c r="Y282" s="36"/>
      <c r="Z282" s="36"/>
      <c r="AA282" s="36"/>
      <c r="AB282" s="42"/>
      <c r="AC282" s="42"/>
      <c r="AD282" s="36"/>
      <c r="AE282" s="36"/>
      <c r="AF282" s="42"/>
      <c r="AG282" s="42"/>
      <c r="AH282" s="36"/>
      <c r="AI282" s="36"/>
      <c r="AJ282" s="36"/>
      <c r="AK282" s="36"/>
      <c r="AL282" s="36"/>
      <c r="AM282" s="36"/>
      <c r="AN282" s="36"/>
    </row>
    <row r="283" spans="1:40" ht="15.75" x14ac:dyDescent="0.25">
      <c r="A283" s="44"/>
      <c r="B283" s="36"/>
      <c r="C283" s="36"/>
      <c r="D283" s="36"/>
      <c r="E283" s="36"/>
      <c r="F283" s="36"/>
      <c r="G283" s="36"/>
      <c r="H283" s="36"/>
      <c r="I283" s="36"/>
      <c r="J283" s="105"/>
      <c r="K283" s="36"/>
      <c r="L283" s="36"/>
      <c r="M283" s="36"/>
      <c r="N283" s="105"/>
      <c r="O283" s="36"/>
      <c r="P283" s="36"/>
      <c r="Q283" s="36"/>
      <c r="R283" s="105"/>
      <c r="S283" s="36"/>
      <c r="T283" s="36"/>
      <c r="U283" s="36"/>
      <c r="V283" s="36"/>
      <c r="W283" s="36"/>
      <c r="X283" s="36"/>
      <c r="Y283" s="36"/>
      <c r="Z283" s="36"/>
      <c r="AA283" s="36"/>
      <c r="AB283" s="42"/>
      <c r="AC283" s="42"/>
      <c r="AD283" s="36"/>
      <c r="AE283" s="36"/>
      <c r="AF283" s="42"/>
      <c r="AG283" s="42"/>
      <c r="AH283" s="36"/>
      <c r="AI283" s="36"/>
      <c r="AJ283" s="36"/>
      <c r="AK283" s="36"/>
      <c r="AL283" s="36"/>
      <c r="AM283" s="36"/>
      <c r="AN283" s="36"/>
    </row>
    <row r="284" spans="1:40" ht="15.75" x14ac:dyDescent="0.25">
      <c r="A284" s="44"/>
      <c r="B284" s="36"/>
      <c r="C284" s="36"/>
      <c r="D284" s="36"/>
      <c r="E284" s="36"/>
      <c r="F284" s="36"/>
      <c r="G284" s="36"/>
      <c r="H284" s="36"/>
      <c r="I284" s="36"/>
      <c r="J284" s="105"/>
      <c r="K284" s="36"/>
      <c r="L284" s="36"/>
      <c r="M284" s="36"/>
      <c r="N284" s="105"/>
      <c r="O284" s="36"/>
      <c r="P284" s="36"/>
      <c r="Q284" s="36"/>
      <c r="R284" s="105"/>
      <c r="S284" s="36"/>
      <c r="T284" s="36"/>
      <c r="U284" s="36"/>
      <c r="V284" s="36"/>
      <c r="W284" s="36"/>
      <c r="X284" s="36"/>
      <c r="Y284" s="36"/>
      <c r="Z284" s="36"/>
      <c r="AA284" s="36"/>
      <c r="AB284" s="42"/>
      <c r="AC284" s="42"/>
      <c r="AD284" s="36"/>
      <c r="AE284" s="36"/>
      <c r="AF284" s="42"/>
      <c r="AG284" s="42"/>
      <c r="AH284" s="36"/>
      <c r="AI284" s="36"/>
      <c r="AJ284" s="36"/>
      <c r="AK284" s="36"/>
      <c r="AL284" s="36"/>
      <c r="AM284" s="36"/>
      <c r="AN284" s="36"/>
    </row>
    <row r="285" spans="1:40" ht="15.75" x14ac:dyDescent="0.25">
      <c r="A285" s="44"/>
      <c r="B285" s="36"/>
      <c r="C285" s="36"/>
      <c r="D285" s="36"/>
      <c r="E285" s="36"/>
      <c r="F285" s="36"/>
      <c r="G285" s="36"/>
      <c r="H285" s="36"/>
      <c r="I285" s="36"/>
      <c r="J285" s="105"/>
      <c r="K285" s="36"/>
      <c r="L285" s="36"/>
      <c r="M285" s="36"/>
      <c r="N285" s="105"/>
      <c r="O285" s="36"/>
      <c r="P285" s="36"/>
      <c r="Q285" s="36"/>
      <c r="R285" s="105"/>
      <c r="S285" s="36"/>
      <c r="T285" s="36"/>
      <c r="U285" s="36"/>
      <c r="V285" s="36"/>
      <c r="W285" s="36"/>
      <c r="X285" s="36"/>
      <c r="Y285" s="36"/>
      <c r="Z285" s="36"/>
      <c r="AA285" s="36"/>
      <c r="AB285" s="42"/>
      <c r="AC285" s="42"/>
      <c r="AD285" s="36"/>
      <c r="AE285" s="36"/>
      <c r="AF285" s="42"/>
      <c r="AG285" s="42"/>
      <c r="AH285" s="36"/>
      <c r="AI285" s="36"/>
      <c r="AJ285" s="36"/>
      <c r="AK285" s="36"/>
      <c r="AL285" s="36"/>
      <c r="AM285" s="36"/>
      <c r="AN285" s="36"/>
    </row>
    <row r="286" spans="1:40" ht="15.75" x14ac:dyDescent="0.25">
      <c r="A286" s="44"/>
      <c r="B286" s="36"/>
      <c r="C286" s="36"/>
      <c r="D286" s="36"/>
      <c r="E286" s="36"/>
      <c r="F286" s="36"/>
      <c r="G286" s="36"/>
      <c r="H286" s="36"/>
      <c r="I286" s="36"/>
      <c r="J286" s="105"/>
      <c r="K286" s="36"/>
      <c r="L286" s="36"/>
      <c r="M286" s="36"/>
      <c r="N286" s="105"/>
      <c r="O286" s="36"/>
      <c r="P286" s="36"/>
      <c r="Q286" s="36"/>
      <c r="R286" s="105"/>
      <c r="S286" s="36"/>
      <c r="T286" s="36"/>
      <c r="U286" s="36"/>
      <c r="V286" s="36"/>
      <c r="W286" s="36"/>
      <c r="X286" s="36"/>
      <c r="Y286" s="36"/>
      <c r="Z286" s="36"/>
      <c r="AA286" s="36"/>
      <c r="AB286" s="42"/>
      <c r="AC286" s="42"/>
      <c r="AD286" s="36"/>
      <c r="AE286" s="36"/>
      <c r="AF286" s="42"/>
      <c r="AG286" s="42"/>
      <c r="AH286" s="36"/>
      <c r="AI286" s="36"/>
      <c r="AJ286" s="36"/>
      <c r="AK286" s="36"/>
      <c r="AL286" s="36"/>
      <c r="AM286" s="36"/>
      <c r="AN286" s="36"/>
    </row>
    <row r="287" spans="1:40" ht="15.75" x14ac:dyDescent="0.25">
      <c r="A287" s="44"/>
      <c r="B287" s="36"/>
      <c r="C287" s="36"/>
      <c r="D287" s="36"/>
      <c r="E287" s="36"/>
      <c r="F287" s="36"/>
      <c r="G287" s="36"/>
      <c r="H287" s="36"/>
      <c r="I287" s="36"/>
      <c r="J287" s="105"/>
      <c r="K287" s="36"/>
      <c r="L287" s="36"/>
      <c r="M287" s="36"/>
      <c r="N287" s="105"/>
      <c r="O287" s="36"/>
      <c r="P287" s="36"/>
      <c r="Q287" s="36"/>
      <c r="R287" s="105"/>
      <c r="S287" s="36"/>
      <c r="T287" s="36"/>
      <c r="U287" s="36"/>
      <c r="V287" s="36"/>
      <c r="W287" s="36"/>
      <c r="X287" s="36"/>
      <c r="Y287" s="36"/>
      <c r="Z287" s="36"/>
      <c r="AA287" s="36"/>
      <c r="AB287" s="42"/>
      <c r="AC287" s="42"/>
      <c r="AD287" s="36"/>
      <c r="AE287" s="36"/>
      <c r="AF287" s="42"/>
      <c r="AG287" s="42"/>
      <c r="AH287" s="36"/>
      <c r="AI287" s="36"/>
      <c r="AJ287" s="36"/>
      <c r="AK287" s="36"/>
      <c r="AL287" s="36"/>
      <c r="AM287" s="36"/>
      <c r="AN287" s="36"/>
    </row>
    <row r="288" spans="1:40" ht="15.75" x14ac:dyDescent="0.25">
      <c r="A288" s="44"/>
      <c r="B288" s="36"/>
      <c r="C288" s="36"/>
      <c r="D288" s="36"/>
      <c r="E288" s="36"/>
      <c r="F288" s="36"/>
      <c r="G288" s="36"/>
      <c r="H288" s="36"/>
      <c r="I288" s="36"/>
      <c r="J288" s="105"/>
      <c r="K288" s="36"/>
      <c r="L288" s="36"/>
      <c r="M288" s="36"/>
      <c r="N288" s="105"/>
      <c r="O288" s="36"/>
      <c r="P288" s="36"/>
      <c r="Q288" s="36"/>
      <c r="R288" s="105"/>
      <c r="S288" s="36"/>
      <c r="T288" s="36"/>
      <c r="U288" s="36"/>
      <c r="V288" s="36"/>
      <c r="W288" s="36"/>
      <c r="X288" s="36"/>
      <c r="Y288" s="36"/>
      <c r="Z288" s="36"/>
      <c r="AA288" s="36"/>
      <c r="AB288" s="42"/>
      <c r="AC288" s="42"/>
      <c r="AD288" s="36"/>
      <c r="AE288" s="36"/>
      <c r="AF288" s="42"/>
      <c r="AG288" s="42"/>
      <c r="AH288" s="36"/>
      <c r="AI288" s="36"/>
      <c r="AJ288" s="36"/>
      <c r="AK288" s="36"/>
      <c r="AL288" s="36"/>
      <c r="AM288" s="36"/>
      <c r="AN288" s="36"/>
    </row>
    <row r="289" spans="1:40" ht="15.75" x14ac:dyDescent="0.25">
      <c r="A289" s="44"/>
      <c r="B289" s="36"/>
      <c r="C289" s="36"/>
      <c r="D289" s="36"/>
      <c r="E289" s="36"/>
      <c r="F289" s="36"/>
      <c r="G289" s="36"/>
      <c r="H289" s="36"/>
      <c r="I289" s="36"/>
      <c r="J289" s="105"/>
      <c r="K289" s="36"/>
      <c r="L289" s="36"/>
      <c r="M289" s="36"/>
      <c r="N289" s="105"/>
      <c r="O289" s="36"/>
      <c r="P289" s="36"/>
      <c r="Q289" s="36"/>
      <c r="R289" s="105"/>
      <c r="S289" s="36"/>
      <c r="T289" s="36"/>
      <c r="U289" s="36"/>
      <c r="V289" s="36"/>
      <c r="W289" s="36"/>
      <c r="X289" s="36"/>
      <c r="Y289" s="36"/>
      <c r="Z289" s="36"/>
      <c r="AA289" s="36"/>
      <c r="AB289" s="42"/>
      <c r="AC289" s="42"/>
      <c r="AD289" s="36"/>
      <c r="AE289" s="36"/>
      <c r="AF289" s="42"/>
      <c r="AG289" s="42"/>
      <c r="AH289" s="36"/>
      <c r="AI289" s="36"/>
      <c r="AJ289" s="36"/>
      <c r="AK289" s="36"/>
      <c r="AL289" s="36"/>
      <c r="AM289" s="36"/>
      <c r="AN289" s="36"/>
    </row>
    <row r="290" spans="1:40" ht="15.75" x14ac:dyDescent="0.25">
      <c r="A290" s="44"/>
      <c r="B290" s="36"/>
      <c r="C290" s="36"/>
      <c r="D290" s="36"/>
      <c r="E290" s="36"/>
      <c r="F290" s="36"/>
      <c r="G290" s="36"/>
      <c r="H290" s="36"/>
      <c r="I290" s="36"/>
      <c r="J290" s="105"/>
      <c r="K290" s="36"/>
      <c r="L290" s="36"/>
      <c r="M290" s="36"/>
      <c r="N290" s="105"/>
      <c r="O290" s="36"/>
      <c r="P290" s="36"/>
      <c r="Q290" s="36"/>
      <c r="R290" s="105"/>
      <c r="S290" s="36"/>
      <c r="T290" s="36"/>
      <c r="U290" s="36"/>
      <c r="V290" s="36"/>
      <c r="W290" s="36"/>
      <c r="X290" s="36"/>
      <c r="Y290" s="36"/>
      <c r="Z290" s="36"/>
      <c r="AA290" s="36"/>
      <c r="AB290" s="42"/>
      <c r="AC290" s="42"/>
      <c r="AD290" s="36"/>
      <c r="AE290" s="36"/>
      <c r="AF290" s="42"/>
      <c r="AG290" s="42"/>
      <c r="AH290" s="36"/>
      <c r="AI290" s="36"/>
      <c r="AJ290" s="36"/>
      <c r="AK290" s="36"/>
      <c r="AL290" s="36"/>
      <c r="AM290" s="36"/>
      <c r="AN290" s="36"/>
    </row>
    <row r="291" spans="1:40" ht="15.75" x14ac:dyDescent="0.25">
      <c r="A291" s="44"/>
      <c r="B291" s="36"/>
      <c r="C291" s="36"/>
      <c r="D291" s="36"/>
      <c r="E291" s="36"/>
      <c r="F291" s="36"/>
      <c r="G291" s="36"/>
      <c r="H291" s="36"/>
      <c r="I291" s="36"/>
      <c r="J291" s="105"/>
      <c r="K291" s="36"/>
      <c r="L291" s="36"/>
      <c r="M291" s="36"/>
      <c r="N291" s="105"/>
      <c r="O291" s="36"/>
      <c r="P291" s="36"/>
      <c r="Q291" s="36"/>
      <c r="R291" s="105"/>
      <c r="S291" s="36"/>
      <c r="T291" s="36"/>
      <c r="U291" s="36"/>
      <c r="V291" s="36"/>
      <c r="W291" s="36"/>
      <c r="X291" s="36"/>
      <c r="Y291" s="36"/>
      <c r="Z291" s="36"/>
      <c r="AA291" s="36"/>
      <c r="AB291" s="42"/>
      <c r="AC291" s="42"/>
      <c r="AD291" s="36"/>
      <c r="AE291" s="36"/>
      <c r="AF291" s="42"/>
      <c r="AG291" s="42"/>
      <c r="AH291" s="36"/>
      <c r="AI291" s="36"/>
      <c r="AJ291" s="36"/>
      <c r="AK291" s="36"/>
      <c r="AL291" s="36"/>
      <c r="AM291" s="36"/>
      <c r="AN291" s="36"/>
    </row>
    <row r="292" spans="1:40" ht="15.75" x14ac:dyDescent="0.25">
      <c r="A292" s="44"/>
      <c r="B292" s="36"/>
      <c r="C292" s="36"/>
      <c r="D292" s="36"/>
      <c r="E292" s="36"/>
      <c r="F292" s="36"/>
      <c r="G292" s="36"/>
      <c r="H292" s="36"/>
      <c r="I292" s="36"/>
      <c r="J292" s="105"/>
      <c r="K292" s="36"/>
      <c r="L292" s="36"/>
      <c r="M292" s="36"/>
      <c r="N292" s="105"/>
      <c r="O292" s="36"/>
      <c r="P292" s="36"/>
      <c r="Q292" s="36"/>
      <c r="R292" s="105"/>
      <c r="S292" s="36"/>
      <c r="T292" s="36"/>
      <c r="U292" s="36"/>
      <c r="V292" s="36"/>
      <c r="W292" s="36"/>
      <c r="X292" s="36"/>
      <c r="Y292" s="36"/>
      <c r="Z292" s="36"/>
      <c r="AA292" s="36"/>
      <c r="AB292" s="42"/>
      <c r="AC292" s="42"/>
      <c r="AD292" s="36"/>
      <c r="AE292" s="36"/>
      <c r="AF292" s="42"/>
      <c r="AG292" s="42"/>
      <c r="AH292" s="36"/>
      <c r="AI292" s="36"/>
      <c r="AJ292" s="36"/>
      <c r="AK292" s="36"/>
      <c r="AL292" s="36"/>
      <c r="AM292" s="36"/>
      <c r="AN292" s="36"/>
    </row>
    <row r="293" spans="1:40" ht="15.75" x14ac:dyDescent="0.25">
      <c r="A293" s="44"/>
      <c r="B293" s="36"/>
      <c r="C293" s="36"/>
      <c r="D293" s="36"/>
      <c r="E293" s="36"/>
      <c r="F293" s="36"/>
      <c r="G293" s="36"/>
      <c r="H293" s="36"/>
      <c r="I293" s="36"/>
      <c r="J293" s="105"/>
      <c r="K293" s="36"/>
      <c r="L293" s="36"/>
      <c r="M293" s="36"/>
      <c r="N293" s="105"/>
      <c r="O293" s="36"/>
      <c r="P293" s="36"/>
      <c r="Q293" s="36"/>
      <c r="R293" s="105"/>
      <c r="S293" s="36"/>
      <c r="T293" s="36"/>
      <c r="U293" s="36"/>
      <c r="V293" s="36"/>
      <c r="W293" s="36"/>
      <c r="X293" s="36"/>
      <c r="Y293" s="36"/>
      <c r="Z293" s="36"/>
      <c r="AA293" s="36"/>
      <c r="AB293" s="42"/>
      <c r="AC293" s="42"/>
      <c r="AD293" s="36"/>
      <c r="AE293" s="36"/>
      <c r="AF293" s="42"/>
      <c r="AG293" s="42"/>
      <c r="AH293" s="36"/>
      <c r="AI293" s="36"/>
      <c r="AJ293" s="36"/>
      <c r="AK293" s="36"/>
      <c r="AL293" s="36"/>
      <c r="AM293" s="36"/>
      <c r="AN293" s="36"/>
    </row>
    <row r="294" spans="1:40" ht="15.75" x14ac:dyDescent="0.25">
      <c r="A294" s="44"/>
      <c r="B294" s="36"/>
      <c r="C294" s="36"/>
      <c r="D294" s="36"/>
      <c r="E294" s="36"/>
      <c r="F294" s="36"/>
      <c r="G294" s="36"/>
      <c r="H294" s="36"/>
      <c r="I294" s="36"/>
      <c r="J294" s="105"/>
      <c r="K294" s="36"/>
      <c r="L294" s="36"/>
      <c r="M294" s="36"/>
      <c r="N294" s="105"/>
      <c r="O294" s="36"/>
      <c r="P294" s="36"/>
      <c r="Q294" s="36"/>
      <c r="R294" s="105"/>
      <c r="S294" s="36"/>
      <c r="T294" s="36"/>
      <c r="U294" s="36"/>
      <c r="V294" s="36"/>
      <c r="W294" s="36"/>
      <c r="X294" s="36"/>
      <c r="Y294" s="36"/>
      <c r="Z294" s="36"/>
      <c r="AA294" s="36"/>
      <c r="AB294" s="42"/>
      <c r="AC294" s="42"/>
      <c r="AD294" s="36"/>
      <c r="AE294" s="36"/>
      <c r="AF294" s="42"/>
      <c r="AG294" s="42"/>
      <c r="AH294" s="36"/>
      <c r="AI294" s="36"/>
      <c r="AJ294" s="36"/>
      <c r="AK294" s="36"/>
      <c r="AL294" s="36"/>
      <c r="AM294" s="36"/>
      <c r="AN294" s="36"/>
    </row>
    <row r="295" spans="1:40" ht="15.75" x14ac:dyDescent="0.25">
      <c r="A295" s="44"/>
      <c r="B295" s="36"/>
      <c r="C295" s="36"/>
      <c r="D295" s="36"/>
      <c r="E295" s="36"/>
      <c r="F295" s="36"/>
      <c r="G295" s="36"/>
      <c r="H295" s="36"/>
      <c r="I295" s="36"/>
      <c r="J295" s="105"/>
      <c r="K295" s="36"/>
      <c r="L295" s="36"/>
      <c r="M295" s="36"/>
      <c r="N295" s="105"/>
      <c r="O295" s="36"/>
      <c r="P295" s="36"/>
      <c r="Q295" s="36"/>
      <c r="R295" s="105"/>
      <c r="S295" s="36"/>
      <c r="T295" s="36"/>
      <c r="U295" s="36"/>
      <c r="V295" s="36"/>
      <c r="W295" s="36"/>
      <c r="X295" s="36"/>
      <c r="Y295" s="36"/>
      <c r="Z295" s="36"/>
      <c r="AA295" s="36"/>
      <c r="AB295" s="42"/>
      <c r="AC295" s="42"/>
      <c r="AD295" s="36"/>
      <c r="AE295" s="36"/>
      <c r="AF295" s="42"/>
      <c r="AG295" s="42"/>
      <c r="AH295" s="36"/>
      <c r="AI295" s="36"/>
      <c r="AJ295" s="36"/>
      <c r="AK295" s="36"/>
      <c r="AL295" s="36"/>
      <c r="AM295" s="36"/>
      <c r="AN295" s="36"/>
    </row>
    <row r="296" spans="1:40" ht="15.75" x14ac:dyDescent="0.25">
      <c r="A296" s="44"/>
      <c r="B296" s="36"/>
      <c r="C296" s="36"/>
      <c r="D296" s="36"/>
      <c r="E296" s="36"/>
      <c r="F296" s="36"/>
      <c r="G296" s="36"/>
      <c r="H296" s="36"/>
      <c r="I296" s="36"/>
      <c r="J296" s="105"/>
      <c r="K296" s="36"/>
      <c r="L296" s="36"/>
      <c r="M296" s="36"/>
      <c r="N296" s="105"/>
      <c r="O296" s="36"/>
      <c r="P296" s="36"/>
      <c r="Q296" s="36"/>
      <c r="R296" s="105"/>
      <c r="S296" s="36"/>
      <c r="T296" s="36"/>
      <c r="U296" s="36"/>
      <c r="V296" s="36"/>
      <c r="W296" s="36"/>
      <c r="X296" s="36"/>
      <c r="Y296" s="36"/>
      <c r="Z296" s="36"/>
      <c r="AA296" s="36"/>
      <c r="AB296" s="42"/>
      <c r="AC296" s="42"/>
      <c r="AD296" s="36"/>
      <c r="AE296" s="36"/>
      <c r="AF296" s="42"/>
      <c r="AG296" s="42"/>
      <c r="AH296" s="36"/>
      <c r="AI296" s="36"/>
      <c r="AJ296" s="36"/>
      <c r="AK296" s="36"/>
      <c r="AL296" s="36"/>
      <c r="AM296" s="36"/>
      <c r="AN296" s="36"/>
    </row>
    <row r="297" spans="1:40" ht="15.75" x14ac:dyDescent="0.25">
      <c r="A297" s="44"/>
      <c r="B297" s="36"/>
      <c r="C297" s="36"/>
      <c r="D297" s="36"/>
      <c r="E297" s="36"/>
      <c r="F297" s="36"/>
      <c r="G297" s="36"/>
      <c r="H297" s="36"/>
      <c r="I297" s="36"/>
      <c r="J297" s="105"/>
      <c r="K297" s="36"/>
      <c r="L297" s="36"/>
      <c r="M297" s="36"/>
      <c r="N297" s="105"/>
      <c r="O297" s="36"/>
      <c r="P297" s="36"/>
      <c r="Q297" s="36"/>
      <c r="R297" s="105"/>
      <c r="S297" s="36"/>
      <c r="T297" s="36"/>
      <c r="U297" s="36"/>
      <c r="V297" s="36"/>
      <c r="W297" s="36"/>
      <c r="X297" s="36"/>
      <c r="Y297" s="36"/>
      <c r="Z297" s="36"/>
      <c r="AA297" s="36"/>
      <c r="AB297" s="42"/>
      <c r="AC297" s="42"/>
      <c r="AD297" s="36"/>
      <c r="AE297" s="36"/>
      <c r="AF297" s="42"/>
      <c r="AG297" s="42"/>
      <c r="AH297" s="36"/>
      <c r="AI297" s="36"/>
      <c r="AJ297" s="36"/>
      <c r="AK297" s="36"/>
      <c r="AL297" s="36"/>
      <c r="AM297" s="36"/>
      <c r="AN297" s="36"/>
    </row>
    <row r="298" spans="1:40" ht="15.75" x14ac:dyDescent="0.25">
      <c r="A298" s="44"/>
      <c r="B298" s="36"/>
      <c r="C298" s="36"/>
      <c r="D298" s="36"/>
      <c r="E298" s="36"/>
      <c r="F298" s="36"/>
      <c r="G298" s="36"/>
      <c r="H298" s="36"/>
      <c r="I298" s="36"/>
      <c r="J298" s="105"/>
      <c r="K298" s="36"/>
      <c r="L298" s="36"/>
      <c r="M298" s="36"/>
      <c r="N298" s="105"/>
      <c r="O298" s="36"/>
      <c r="P298" s="36"/>
      <c r="Q298" s="36"/>
      <c r="R298" s="105"/>
      <c r="S298" s="36"/>
      <c r="T298" s="36"/>
      <c r="U298" s="36"/>
      <c r="V298" s="36"/>
      <c r="W298" s="36"/>
      <c r="X298" s="36"/>
      <c r="Y298" s="36"/>
      <c r="Z298" s="36"/>
      <c r="AA298" s="36"/>
      <c r="AB298" s="42"/>
      <c r="AC298" s="42"/>
      <c r="AD298" s="36"/>
      <c r="AE298" s="36"/>
      <c r="AF298" s="42"/>
      <c r="AG298" s="42"/>
      <c r="AH298" s="36"/>
      <c r="AI298" s="36"/>
      <c r="AJ298" s="36"/>
      <c r="AK298" s="36"/>
      <c r="AL298" s="36"/>
      <c r="AM298" s="36"/>
      <c r="AN298" s="36"/>
    </row>
    <row r="299" spans="1:40" ht="15.75" x14ac:dyDescent="0.25">
      <c r="A299" s="44"/>
      <c r="B299" s="36"/>
      <c r="C299" s="36"/>
      <c r="D299" s="36"/>
      <c r="E299" s="36"/>
      <c r="F299" s="36"/>
      <c r="G299" s="36"/>
      <c r="H299" s="36"/>
      <c r="I299" s="36"/>
      <c r="J299" s="105"/>
      <c r="K299" s="36"/>
      <c r="L299" s="36"/>
      <c r="M299" s="36"/>
      <c r="N299" s="105"/>
      <c r="O299" s="36"/>
      <c r="P299" s="36"/>
      <c r="Q299" s="36"/>
      <c r="R299" s="105"/>
      <c r="S299" s="36"/>
      <c r="T299" s="36"/>
      <c r="U299" s="36"/>
      <c r="V299" s="36"/>
      <c r="W299" s="36"/>
      <c r="X299" s="36"/>
      <c r="Y299" s="36"/>
      <c r="Z299" s="36"/>
      <c r="AA299" s="36"/>
      <c r="AB299" s="42"/>
      <c r="AC299" s="42"/>
      <c r="AD299" s="36"/>
      <c r="AE299" s="36"/>
      <c r="AF299" s="42"/>
      <c r="AG299" s="42"/>
      <c r="AH299" s="36"/>
      <c r="AI299" s="36"/>
      <c r="AJ299" s="36"/>
      <c r="AK299" s="36"/>
      <c r="AL299" s="36"/>
      <c r="AM299" s="36"/>
      <c r="AN299" s="36"/>
    </row>
    <row r="300" spans="1:40" ht="15.75" x14ac:dyDescent="0.25">
      <c r="A300" s="44"/>
      <c r="B300" s="36"/>
      <c r="C300" s="36"/>
      <c r="D300" s="36"/>
      <c r="E300" s="36"/>
      <c r="F300" s="36"/>
      <c r="G300" s="36"/>
      <c r="H300" s="36"/>
      <c r="I300" s="36"/>
      <c r="J300" s="105"/>
      <c r="K300" s="36"/>
      <c r="L300" s="36"/>
      <c r="M300" s="36"/>
      <c r="N300" s="105"/>
      <c r="O300" s="36"/>
      <c r="P300" s="36"/>
      <c r="Q300" s="36"/>
      <c r="R300" s="105"/>
      <c r="S300" s="36"/>
      <c r="T300" s="36"/>
      <c r="U300" s="36"/>
      <c r="V300" s="36"/>
      <c r="W300" s="36"/>
      <c r="X300" s="36"/>
      <c r="Y300" s="36"/>
      <c r="Z300" s="36"/>
      <c r="AA300" s="36"/>
      <c r="AB300" s="42"/>
      <c r="AC300" s="42"/>
      <c r="AD300" s="36"/>
      <c r="AE300" s="36"/>
      <c r="AF300" s="42"/>
      <c r="AG300" s="42"/>
      <c r="AH300" s="36"/>
      <c r="AI300" s="36"/>
      <c r="AJ300" s="36"/>
      <c r="AK300" s="36"/>
      <c r="AL300" s="36"/>
      <c r="AM300" s="36"/>
      <c r="AN300" s="36"/>
    </row>
    <row r="301" spans="1:40" ht="15.75" x14ac:dyDescent="0.25">
      <c r="A301" s="44"/>
      <c r="B301" s="36"/>
      <c r="C301" s="36"/>
      <c r="D301" s="36"/>
      <c r="E301" s="36"/>
      <c r="F301" s="36"/>
      <c r="G301" s="36"/>
      <c r="H301" s="36"/>
      <c r="I301" s="36"/>
      <c r="J301" s="105"/>
      <c r="K301" s="36"/>
      <c r="L301" s="36"/>
      <c r="M301" s="36"/>
      <c r="N301" s="105"/>
      <c r="O301" s="36"/>
      <c r="P301" s="36"/>
      <c r="Q301" s="36"/>
      <c r="R301" s="105"/>
      <c r="S301" s="36"/>
      <c r="T301" s="36"/>
      <c r="U301" s="36"/>
      <c r="V301" s="36"/>
      <c r="W301" s="36"/>
      <c r="X301" s="36"/>
      <c r="Y301" s="36"/>
      <c r="Z301" s="36"/>
      <c r="AA301" s="36"/>
      <c r="AB301" s="42"/>
      <c r="AC301" s="42"/>
      <c r="AD301" s="36"/>
      <c r="AE301" s="36"/>
      <c r="AF301" s="42"/>
      <c r="AG301" s="42"/>
      <c r="AH301" s="36"/>
      <c r="AI301" s="36"/>
      <c r="AJ301" s="36"/>
      <c r="AK301" s="36"/>
      <c r="AL301" s="36"/>
      <c r="AM301" s="36"/>
      <c r="AN301" s="36"/>
    </row>
    <row r="302" spans="1:40" ht="15.75" x14ac:dyDescent="0.25">
      <c r="A302" s="44"/>
      <c r="B302" s="36"/>
      <c r="C302" s="36"/>
      <c r="D302" s="36"/>
      <c r="E302" s="36"/>
      <c r="F302" s="36"/>
      <c r="G302" s="36"/>
      <c r="H302" s="36"/>
      <c r="I302" s="36"/>
      <c r="J302" s="105"/>
      <c r="K302" s="36"/>
      <c r="L302" s="36"/>
      <c r="M302" s="36"/>
      <c r="N302" s="105"/>
      <c r="O302" s="36"/>
      <c r="P302" s="36"/>
      <c r="Q302" s="36"/>
      <c r="R302" s="105"/>
      <c r="S302" s="36"/>
      <c r="T302" s="36"/>
      <c r="U302" s="36"/>
      <c r="V302" s="36"/>
      <c r="W302" s="36"/>
      <c r="X302" s="36"/>
      <c r="Y302" s="36"/>
      <c r="Z302" s="36"/>
      <c r="AA302" s="36"/>
      <c r="AB302" s="42"/>
      <c r="AC302" s="42"/>
      <c r="AD302" s="36"/>
      <c r="AE302" s="36"/>
      <c r="AF302" s="42"/>
      <c r="AG302" s="42"/>
      <c r="AH302" s="36"/>
      <c r="AI302" s="36"/>
      <c r="AJ302" s="36"/>
      <c r="AK302" s="36"/>
      <c r="AL302" s="36"/>
      <c r="AM302" s="36"/>
      <c r="AN302" s="36"/>
    </row>
    <row r="303" spans="1:40" ht="15.75" x14ac:dyDescent="0.25">
      <c r="A303" s="44"/>
      <c r="B303" s="36"/>
      <c r="C303" s="36"/>
      <c r="D303" s="36"/>
      <c r="E303" s="36"/>
      <c r="F303" s="36"/>
      <c r="G303" s="36"/>
      <c r="H303" s="36"/>
      <c r="I303" s="36"/>
      <c r="J303" s="105"/>
      <c r="K303" s="36"/>
      <c r="L303" s="36"/>
      <c r="M303" s="36"/>
      <c r="N303" s="105"/>
      <c r="O303" s="36"/>
      <c r="P303" s="36"/>
      <c r="Q303" s="36"/>
      <c r="R303" s="105"/>
      <c r="S303" s="36"/>
      <c r="T303" s="36"/>
      <c r="U303" s="36"/>
      <c r="V303" s="36"/>
      <c r="W303" s="36"/>
      <c r="X303" s="36"/>
      <c r="Y303" s="36"/>
      <c r="Z303" s="36"/>
      <c r="AA303" s="36"/>
      <c r="AB303" s="42"/>
      <c r="AC303" s="42"/>
      <c r="AD303" s="36"/>
      <c r="AE303" s="36"/>
      <c r="AF303" s="42"/>
      <c r="AG303" s="42"/>
      <c r="AH303" s="36"/>
      <c r="AI303" s="36"/>
      <c r="AJ303" s="36"/>
      <c r="AK303" s="36"/>
      <c r="AL303" s="36"/>
      <c r="AM303" s="36"/>
      <c r="AN303" s="36"/>
    </row>
    <row r="304" spans="1:40" ht="15.75" x14ac:dyDescent="0.25">
      <c r="A304" s="44"/>
      <c r="B304" s="36"/>
      <c r="C304" s="36"/>
      <c r="D304" s="36"/>
      <c r="E304" s="36"/>
      <c r="F304" s="36"/>
      <c r="G304" s="36"/>
      <c r="H304" s="36"/>
      <c r="I304" s="36"/>
      <c r="J304" s="105"/>
      <c r="K304" s="36"/>
      <c r="L304" s="36"/>
      <c r="M304" s="36"/>
      <c r="N304" s="105"/>
      <c r="O304" s="36"/>
      <c r="P304" s="36"/>
      <c r="Q304" s="36"/>
      <c r="R304" s="105"/>
      <c r="S304" s="36"/>
      <c r="T304" s="36"/>
      <c r="U304" s="36"/>
      <c r="V304" s="36"/>
      <c r="W304" s="36"/>
      <c r="X304" s="36"/>
      <c r="Y304" s="36"/>
      <c r="Z304" s="36"/>
      <c r="AA304" s="36"/>
      <c r="AB304" s="42"/>
      <c r="AC304" s="42"/>
      <c r="AD304" s="36"/>
      <c r="AE304" s="36"/>
      <c r="AF304" s="42"/>
      <c r="AG304" s="42"/>
      <c r="AH304" s="36"/>
      <c r="AI304" s="36"/>
      <c r="AJ304" s="36"/>
      <c r="AK304" s="36"/>
      <c r="AL304" s="36"/>
      <c r="AM304" s="36"/>
      <c r="AN304" s="36"/>
    </row>
    <row r="305" spans="1:40" ht="15.75" x14ac:dyDescent="0.25">
      <c r="A305" s="44"/>
      <c r="B305" s="36"/>
      <c r="C305" s="36"/>
      <c r="D305" s="36"/>
      <c r="E305" s="36"/>
      <c r="F305" s="36"/>
      <c r="G305" s="36"/>
      <c r="H305" s="36"/>
      <c r="I305" s="36"/>
      <c r="J305" s="105"/>
      <c r="K305" s="36"/>
      <c r="L305" s="36"/>
      <c r="M305" s="36"/>
      <c r="N305" s="105"/>
      <c r="O305" s="36"/>
      <c r="P305" s="36"/>
      <c r="Q305" s="36"/>
      <c r="R305" s="105"/>
      <c r="S305" s="36"/>
      <c r="T305" s="36"/>
      <c r="U305" s="36"/>
      <c r="V305" s="36"/>
      <c r="W305" s="36"/>
      <c r="X305" s="36"/>
      <c r="Y305" s="36"/>
      <c r="Z305" s="36"/>
      <c r="AA305" s="36"/>
      <c r="AB305" s="42"/>
      <c r="AC305" s="42"/>
      <c r="AD305" s="36"/>
      <c r="AE305" s="36"/>
      <c r="AF305" s="42"/>
      <c r="AG305" s="42"/>
      <c r="AH305" s="36"/>
      <c r="AI305" s="36"/>
      <c r="AJ305" s="36"/>
      <c r="AK305" s="36"/>
      <c r="AL305" s="36"/>
      <c r="AM305" s="36"/>
      <c r="AN305" s="36"/>
    </row>
    <row r="306" spans="1:40" ht="15.75" x14ac:dyDescent="0.25">
      <c r="A306" s="44"/>
      <c r="B306" s="36"/>
      <c r="C306" s="36"/>
      <c r="D306" s="36"/>
      <c r="E306" s="36"/>
      <c r="F306" s="36"/>
      <c r="G306" s="36"/>
      <c r="H306" s="36"/>
      <c r="I306" s="36"/>
      <c r="J306" s="105"/>
      <c r="K306" s="36"/>
      <c r="L306" s="36"/>
      <c r="M306" s="36"/>
      <c r="N306" s="105"/>
      <c r="O306" s="36"/>
      <c r="P306" s="36"/>
      <c r="Q306" s="36"/>
      <c r="R306" s="105"/>
      <c r="S306" s="36"/>
      <c r="T306" s="36"/>
      <c r="U306" s="36"/>
      <c r="V306" s="36"/>
      <c r="W306" s="36"/>
      <c r="X306" s="36"/>
      <c r="Y306" s="36"/>
      <c r="Z306" s="36"/>
      <c r="AA306" s="36"/>
      <c r="AB306" s="42"/>
      <c r="AC306" s="42"/>
      <c r="AD306" s="36"/>
      <c r="AE306" s="36"/>
      <c r="AF306" s="42"/>
      <c r="AG306" s="42"/>
      <c r="AH306" s="36"/>
      <c r="AI306" s="36"/>
      <c r="AJ306" s="36"/>
      <c r="AK306" s="36"/>
      <c r="AL306" s="36"/>
      <c r="AM306" s="36"/>
      <c r="AN306" s="36"/>
    </row>
    <row r="307" spans="1:40" ht="15.75" x14ac:dyDescent="0.25">
      <c r="A307" s="44"/>
      <c r="B307" s="36"/>
      <c r="C307" s="36"/>
      <c r="D307" s="36"/>
      <c r="E307" s="36"/>
      <c r="F307" s="36"/>
      <c r="G307" s="36"/>
      <c r="H307" s="36"/>
      <c r="I307" s="36"/>
      <c r="J307" s="105"/>
      <c r="K307" s="36"/>
      <c r="L307" s="36"/>
      <c r="M307" s="36"/>
      <c r="N307" s="105"/>
      <c r="O307" s="36"/>
      <c r="P307" s="36"/>
      <c r="Q307" s="36"/>
      <c r="R307" s="105"/>
      <c r="S307" s="36"/>
      <c r="T307" s="36"/>
      <c r="U307" s="36"/>
      <c r="V307" s="36"/>
      <c r="W307" s="36"/>
      <c r="X307" s="36"/>
      <c r="Y307" s="36"/>
      <c r="Z307" s="36"/>
      <c r="AA307" s="36"/>
      <c r="AB307" s="42"/>
      <c r="AC307" s="42"/>
      <c r="AD307" s="36"/>
      <c r="AE307" s="36"/>
      <c r="AF307" s="42"/>
      <c r="AG307" s="42"/>
      <c r="AH307" s="36"/>
      <c r="AI307" s="36"/>
      <c r="AJ307" s="36"/>
      <c r="AK307" s="36"/>
      <c r="AL307" s="36"/>
      <c r="AM307" s="36"/>
      <c r="AN307" s="36"/>
    </row>
    <row r="308" spans="1:40" ht="15.75" x14ac:dyDescent="0.25">
      <c r="A308" s="44"/>
      <c r="B308" s="36"/>
      <c r="C308" s="36"/>
      <c r="D308" s="36"/>
      <c r="E308" s="36"/>
      <c r="F308" s="36"/>
      <c r="G308" s="36"/>
      <c r="H308" s="36"/>
      <c r="I308" s="36"/>
      <c r="J308" s="105"/>
      <c r="K308" s="36"/>
      <c r="L308" s="36"/>
      <c r="M308" s="36"/>
      <c r="N308" s="105"/>
      <c r="O308" s="36"/>
      <c r="P308" s="36"/>
      <c r="Q308" s="36"/>
      <c r="R308" s="105"/>
      <c r="S308" s="36"/>
      <c r="T308" s="36"/>
      <c r="U308" s="36"/>
      <c r="V308" s="36"/>
      <c r="W308" s="36"/>
      <c r="X308" s="36"/>
      <c r="Y308" s="36"/>
      <c r="Z308" s="36"/>
      <c r="AA308" s="36"/>
      <c r="AB308" s="42"/>
      <c r="AC308" s="42"/>
      <c r="AD308" s="36"/>
      <c r="AE308" s="36"/>
      <c r="AF308" s="42"/>
      <c r="AG308" s="42"/>
      <c r="AH308" s="36"/>
      <c r="AI308" s="36"/>
      <c r="AJ308" s="36"/>
      <c r="AK308" s="36"/>
      <c r="AL308" s="36"/>
      <c r="AM308" s="36"/>
      <c r="AN308" s="36"/>
    </row>
    <row r="309" spans="1:40" ht="15.75" x14ac:dyDescent="0.25">
      <c r="A309" s="44"/>
      <c r="B309" s="36"/>
      <c r="C309" s="36"/>
      <c r="D309" s="36"/>
      <c r="E309" s="36"/>
      <c r="F309" s="36"/>
      <c r="G309" s="36"/>
      <c r="H309" s="36"/>
      <c r="I309" s="36"/>
      <c r="J309" s="105"/>
      <c r="K309" s="36"/>
      <c r="L309" s="36"/>
      <c r="M309" s="36"/>
      <c r="N309" s="105"/>
      <c r="O309" s="36"/>
      <c r="P309" s="36"/>
      <c r="Q309" s="36"/>
      <c r="R309" s="105"/>
      <c r="S309" s="36"/>
      <c r="T309" s="36"/>
      <c r="U309" s="36"/>
      <c r="V309" s="36"/>
      <c r="W309" s="36"/>
      <c r="X309" s="36"/>
      <c r="Y309" s="36"/>
      <c r="Z309" s="36"/>
      <c r="AA309" s="36"/>
      <c r="AB309" s="42"/>
      <c r="AC309" s="42"/>
      <c r="AD309" s="36"/>
      <c r="AE309" s="36"/>
      <c r="AF309" s="42"/>
      <c r="AG309" s="42"/>
      <c r="AH309" s="36"/>
      <c r="AI309" s="36"/>
      <c r="AJ309" s="36"/>
      <c r="AK309" s="36"/>
      <c r="AL309" s="36"/>
      <c r="AM309" s="36"/>
      <c r="AN309" s="36"/>
    </row>
    <row r="310" spans="1:40" ht="15.75" x14ac:dyDescent="0.25">
      <c r="A310" s="44"/>
      <c r="B310" s="36"/>
      <c r="C310" s="36"/>
      <c r="D310" s="36"/>
      <c r="E310" s="36"/>
      <c r="F310" s="36"/>
      <c r="G310" s="36"/>
      <c r="H310" s="36"/>
      <c r="I310" s="36"/>
      <c r="J310" s="105"/>
      <c r="K310" s="36"/>
      <c r="L310" s="36"/>
      <c r="M310" s="36"/>
      <c r="N310" s="105"/>
      <c r="O310" s="36"/>
      <c r="P310" s="36"/>
      <c r="Q310" s="36"/>
      <c r="R310" s="105"/>
      <c r="S310" s="36"/>
      <c r="T310" s="36"/>
      <c r="U310" s="36"/>
      <c r="V310" s="36"/>
      <c r="W310" s="36"/>
      <c r="X310" s="36"/>
      <c r="Y310" s="36"/>
      <c r="Z310" s="36"/>
      <c r="AA310" s="36"/>
      <c r="AB310" s="42"/>
      <c r="AC310" s="42"/>
      <c r="AD310" s="36"/>
      <c r="AE310" s="36"/>
      <c r="AF310" s="42"/>
      <c r="AG310" s="42"/>
      <c r="AH310" s="36"/>
      <c r="AI310" s="36"/>
      <c r="AJ310" s="36"/>
      <c r="AK310" s="36"/>
      <c r="AL310" s="36"/>
      <c r="AM310" s="36"/>
      <c r="AN310" s="36"/>
    </row>
    <row r="311" spans="1:40" ht="15.75" x14ac:dyDescent="0.25">
      <c r="A311" s="44"/>
      <c r="B311" s="36"/>
      <c r="C311" s="36"/>
      <c r="D311" s="36"/>
      <c r="E311" s="36"/>
      <c r="F311" s="36"/>
      <c r="G311" s="36"/>
      <c r="H311" s="36"/>
      <c r="I311" s="36"/>
      <c r="J311" s="105"/>
      <c r="K311" s="36"/>
      <c r="L311" s="36"/>
      <c r="M311" s="36"/>
      <c r="N311" s="105"/>
      <c r="O311" s="36"/>
      <c r="P311" s="36"/>
      <c r="Q311" s="36"/>
      <c r="R311" s="105"/>
      <c r="S311" s="36"/>
      <c r="T311" s="36"/>
      <c r="U311" s="36"/>
      <c r="V311" s="36"/>
      <c r="W311" s="36"/>
      <c r="X311" s="36"/>
      <c r="Y311" s="36"/>
      <c r="Z311" s="36"/>
      <c r="AA311" s="36"/>
      <c r="AB311" s="42"/>
      <c r="AC311" s="42"/>
      <c r="AD311" s="36"/>
      <c r="AE311" s="36"/>
      <c r="AF311" s="42"/>
      <c r="AG311" s="42"/>
      <c r="AH311" s="36"/>
      <c r="AI311" s="36"/>
      <c r="AJ311" s="36"/>
      <c r="AK311" s="36"/>
      <c r="AL311" s="36"/>
      <c r="AM311" s="36"/>
      <c r="AN311" s="36"/>
    </row>
    <row r="312" spans="1:40" ht="15.75" x14ac:dyDescent="0.25">
      <c r="A312" s="44"/>
      <c r="B312" s="36"/>
      <c r="C312" s="36"/>
      <c r="D312" s="36"/>
      <c r="E312" s="36"/>
      <c r="F312" s="36"/>
      <c r="G312" s="36"/>
      <c r="H312" s="36"/>
      <c r="I312" s="36"/>
      <c r="J312" s="105"/>
      <c r="K312" s="36"/>
      <c r="L312" s="36"/>
      <c r="M312" s="36"/>
      <c r="N312" s="105"/>
      <c r="O312" s="36"/>
      <c r="P312" s="36"/>
      <c r="Q312" s="36"/>
      <c r="R312" s="105"/>
      <c r="S312" s="36"/>
      <c r="T312" s="36"/>
      <c r="U312" s="36"/>
      <c r="V312" s="36"/>
      <c r="W312" s="36"/>
      <c r="X312" s="36"/>
      <c r="Y312" s="36"/>
      <c r="Z312" s="36"/>
      <c r="AA312" s="36"/>
      <c r="AB312" s="42"/>
      <c r="AC312" s="42"/>
      <c r="AD312" s="36"/>
      <c r="AE312" s="36"/>
      <c r="AF312" s="42"/>
      <c r="AG312" s="42"/>
      <c r="AH312" s="36"/>
      <c r="AI312" s="36"/>
      <c r="AJ312" s="36"/>
      <c r="AK312" s="36"/>
      <c r="AL312" s="36"/>
      <c r="AM312" s="36"/>
      <c r="AN312" s="36"/>
    </row>
    <row r="313" spans="1:40" ht="15.75" x14ac:dyDescent="0.25">
      <c r="A313" s="44"/>
      <c r="B313" s="36"/>
      <c r="C313" s="36"/>
      <c r="D313" s="36"/>
      <c r="E313" s="36"/>
      <c r="F313" s="36"/>
      <c r="G313" s="36"/>
      <c r="H313" s="36"/>
      <c r="I313" s="36"/>
      <c r="J313" s="105"/>
      <c r="K313" s="36"/>
      <c r="L313" s="36"/>
      <c r="M313" s="36"/>
      <c r="N313" s="105"/>
      <c r="O313" s="36"/>
      <c r="P313" s="36"/>
      <c r="Q313" s="36"/>
      <c r="R313" s="105"/>
      <c r="S313" s="36"/>
      <c r="T313" s="36"/>
      <c r="U313" s="36"/>
      <c r="V313" s="36"/>
      <c r="W313" s="36"/>
      <c r="X313" s="36"/>
      <c r="Y313" s="36"/>
      <c r="Z313" s="36"/>
      <c r="AA313" s="36"/>
      <c r="AB313" s="42"/>
      <c r="AC313" s="42"/>
      <c r="AD313" s="36"/>
      <c r="AE313" s="36"/>
      <c r="AF313" s="42"/>
      <c r="AG313" s="42"/>
      <c r="AH313" s="36"/>
      <c r="AI313" s="36"/>
      <c r="AJ313" s="36"/>
      <c r="AK313" s="36"/>
      <c r="AL313" s="36"/>
      <c r="AM313" s="36"/>
      <c r="AN313" s="36"/>
    </row>
    <row r="314" spans="1:40" ht="15.75" x14ac:dyDescent="0.25">
      <c r="A314" s="44"/>
      <c r="B314" s="36"/>
      <c r="C314" s="36"/>
      <c r="D314" s="36"/>
      <c r="E314" s="36"/>
      <c r="F314" s="36"/>
      <c r="G314" s="36"/>
      <c r="H314" s="36"/>
      <c r="I314" s="36"/>
      <c r="J314" s="105"/>
      <c r="K314" s="36"/>
      <c r="L314" s="36"/>
      <c r="M314" s="36"/>
      <c r="N314" s="105"/>
      <c r="O314" s="36"/>
      <c r="P314" s="36"/>
      <c r="Q314" s="36"/>
      <c r="R314" s="105"/>
      <c r="S314" s="36"/>
      <c r="T314" s="36"/>
      <c r="U314" s="36"/>
      <c r="V314" s="36"/>
      <c r="W314" s="36"/>
      <c r="X314" s="36"/>
      <c r="Y314" s="36"/>
      <c r="Z314" s="36"/>
      <c r="AA314" s="36"/>
      <c r="AB314" s="42"/>
      <c r="AC314" s="42"/>
      <c r="AD314" s="36"/>
      <c r="AE314" s="36"/>
      <c r="AF314" s="42"/>
      <c r="AG314" s="42"/>
      <c r="AH314" s="36"/>
      <c r="AI314" s="36"/>
      <c r="AJ314" s="36"/>
      <c r="AK314" s="36"/>
      <c r="AL314" s="36"/>
      <c r="AM314" s="36"/>
      <c r="AN314" s="36"/>
    </row>
    <row r="315" spans="1:40" ht="15.75" x14ac:dyDescent="0.25">
      <c r="A315" s="44"/>
      <c r="B315" s="36"/>
      <c r="C315" s="36"/>
      <c r="D315" s="36"/>
      <c r="E315" s="36"/>
      <c r="F315" s="36"/>
      <c r="G315" s="36"/>
      <c r="H315" s="36"/>
      <c r="I315" s="36"/>
      <c r="J315" s="105"/>
      <c r="K315" s="36"/>
      <c r="L315" s="36"/>
      <c r="M315" s="36"/>
      <c r="N315" s="105"/>
      <c r="O315" s="36"/>
      <c r="P315" s="36"/>
      <c r="Q315" s="36"/>
      <c r="R315" s="105"/>
      <c r="S315" s="36"/>
      <c r="T315" s="36"/>
      <c r="U315" s="36"/>
      <c r="V315" s="36"/>
      <c r="W315" s="36"/>
      <c r="X315" s="36"/>
      <c r="Y315" s="36"/>
      <c r="Z315" s="36"/>
      <c r="AA315" s="36"/>
      <c r="AB315" s="42"/>
      <c r="AC315" s="42"/>
      <c r="AD315" s="36"/>
      <c r="AE315" s="36"/>
      <c r="AF315" s="42"/>
      <c r="AG315" s="42"/>
      <c r="AH315" s="36"/>
      <c r="AI315" s="36"/>
      <c r="AJ315" s="36"/>
      <c r="AK315" s="36"/>
      <c r="AL315" s="36"/>
      <c r="AM315" s="36"/>
      <c r="AN315" s="36"/>
    </row>
    <row r="316" spans="1:40" ht="15.75" x14ac:dyDescent="0.25">
      <c r="A316" s="44"/>
      <c r="B316" s="36"/>
      <c r="C316" s="36"/>
      <c r="D316" s="36"/>
      <c r="E316" s="36"/>
      <c r="F316" s="36"/>
      <c r="G316" s="36"/>
      <c r="H316" s="36"/>
      <c r="I316" s="36"/>
      <c r="J316" s="105"/>
      <c r="K316" s="36"/>
      <c r="L316" s="36"/>
      <c r="M316" s="36"/>
      <c r="N316" s="105"/>
      <c r="O316" s="36"/>
      <c r="P316" s="36"/>
      <c r="Q316" s="36"/>
      <c r="R316" s="105"/>
      <c r="S316" s="36"/>
      <c r="T316" s="36"/>
      <c r="U316" s="36"/>
      <c r="V316" s="36"/>
      <c r="W316" s="36"/>
      <c r="X316" s="36"/>
      <c r="Y316" s="36"/>
      <c r="Z316" s="36"/>
      <c r="AA316" s="36"/>
      <c r="AB316" s="42"/>
      <c r="AC316" s="42"/>
      <c r="AD316" s="36"/>
      <c r="AE316" s="36"/>
      <c r="AF316" s="42"/>
      <c r="AG316" s="42"/>
      <c r="AH316" s="36"/>
      <c r="AI316" s="36"/>
      <c r="AJ316" s="36"/>
      <c r="AK316" s="36"/>
      <c r="AL316" s="36"/>
      <c r="AM316" s="36"/>
      <c r="AN316" s="36"/>
    </row>
    <row r="317" spans="1:40" ht="15.75" x14ac:dyDescent="0.25">
      <c r="A317" s="44"/>
      <c r="B317" s="36"/>
      <c r="C317" s="36"/>
      <c r="D317" s="36"/>
      <c r="E317" s="36"/>
      <c r="F317" s="36"/>
      <c r="G317" s="36"/>
      <c r="H317" s="36"/>
      <c r="I317" s="36"/>
      <c r="J317" s="105"/>
      <c r="K317" s="36"/>
      <c r="L317" s="36"/>
      <c r="M317" s="36"/>
      <c r="N317" s="105"/>
      <c r="O317" s="36"/>
      <c r="P317" s="36"/>
      <c r="Q317" s="36"/>
      <c r="R317" s="105"/>
      <c r="S317" s="36"/>
      <c r="T317" s="36"/>
      <c r="U317" s="36"/>
      <c r="V317" s="36"/>
      <c r="W317" s="36"/>
      <c r="X317" s="36"/>
      <c r="Y317" s="36"/>
      <c r="Z317" s="36"/>
      <c r="AA317" s="36"/>
      <c r="AB317" s="42"/>
      <c r="AC317" s="42"/>
      <c r="AD317" s="36"/>
      <c r="AE317" s="36"/>
      <c r="AF317" s="42"/>
      <c r="AG317" s="42"/>
      <c r="AH317" s="36"/>
      <c r="AI317" s="36"/>
      <c r="AJ317" s="36"/>
      <c r="AK317" s="36"/>
      <c r="AL317" s="36"/>
      <c r="AM317" s="36"/>
      <c r="AN317" s="36"/>
    </row>
    <row r="318" spans="1:40" ht="15.75" x14ac:dyDescent="0.25">
      <c r="A318" s="44"/>
      <c r="B318" s="36"/>
      <c r="C318" s="36"/>
      <c r="D318" s="36"/>
      <c r="E318" s="36"/>
      <c r="F318" s="36"/>
      <c r="G318" s="36"/>
      <c r="H318" s="36"/>
      <c r="I318" s="36"/>
      <c r="J318" s="105"/>
      <c r="K318" s="36"/>
      <c r="L318" s="36"/>
      <c r="M318" s="36"/>
      <c r="N318" s="105"/>
      <c r="O318" s="36"/>
      <c r="P318" s="36"/>
      <c r="Q318" s="36"/>
      <c r="R318" s="105"/>
      <c r="S318" s="36"/>
      <c r="T318" s="36"/>
      <c r="U318" s="36"/>
      <c r="V318" s="36"/>
      <c r="W318" s="36"/>
      <c r="X318" s="36"/>
      <c r="Y318" s="36"/>
      <c r="Z318" s="36"/>
      <c r="AA318" s="36"/>
      <c r="AB318" s="42"/>
      <c r="AC318" s="42"/>
      <c r="AD318" s="36"/>
      <c r="AE318" s="36"/>
      <c r="AF318" s="42"/>
      <c r="AG318" s="42"/>
      <c r="AH318" s="36"/>
      <c r="AI318" s="36"/>
      <c r="AJ318" s="36"/>
      <c r="AK318" s="36"/>
      <c r="AL318" s="36"/>
      <c r="AM318" s="36"/>
      <c r="AN318" s="36"/>
    </row>
    <row r="319" spans="1:40" ht="15.75" x14ac:dyDescent="0.25">
      <c r="A319" s="44"/>
      <c r="B319" s="36"/>
      <c r="C319" s="36"/>
      <c r="D319" s="36"/>
      <c r="E319" s="36"/>
      <c r="F319" s="36"/>
      <c r="G319" s="36"/>
      <c r="H319" s="36"/>
      <c r="I319" s="36"/>
      <c r="J319" s="105"/>
      <c r="K319" s="36"/>
      <c r="L319" s="36"/>
      <c r="M319" s="36"/>
      <c r="N319" s="105"/>
      <c r="O319" s="36"/>
      <c r="P319" s="36"/>
      <c r="Q319" s="36"/>
      <c r="R319" s="105"/>
      <c r="S319" s="36"/>
      <c r="T319" s="36"/>
      <c r="U319" s="36"/>
      <c r="V319" s="36"/>
      <c r="W319" s="36"/>
      <c r="X319" s="36"/>
      <c r="Y319" s="36"/>
      <c r="Z319" s="36"/>
      <c r="AA319" s="36"/>
      <c r="AB319" s="42"/>
      <c r="AC319" s="42"/>
      <c r="AD319" s="36"/>
      <c r="AE319" s="36"/>
      <c r="AF319" s="42"/>
      <c r="AG319" s="42"/>
      <c r="AH319" s="36"/>
      <c r="AI319" s="36"/>
      <c r="AJ319" s="36"/>
      <c r="AK319" s="36"/>
      <c r="AL319" s="36"/>
      <c r="AM319" s="36"/>
      <c r="AN319" s="36"/>
    </row>
    <row r="320" spans="1:40" ht="15.75" x14ac:dyDescent="0.25">
      <c r="A320" s="44"/>
      <c r="B320" s="36"/>
      <c r="C320" s="36"/>
      <c r="D320" s="36"/>
      <c r="E320" s="36"/>
      <c r="F320" s="36"/>
      <c r="G320" s="36"/>
      <c r="H320" s="36"/>
      <c r="I320" s="36"/>
      <c r="J320" s="105"/>
      <c r="K320" s="36"/>
      <c r="L320" s="36"/>
      <c r="M320" s="36"/>
      <c r="N320" s="105"/>
      <c r="O320" s="36"/>
      <c r="P320" s="36"/>
      <c r="Q320" s="36"/>
      <c r="R320" s="105"/>
      <c r="S320" s="36"/>
      <c r="T320" s="36"/>
      <c r="U320" s="36"/>
      <c r="V320" s="36"/>
      <c r="W320" s="36"/>
      <c r="X320" s="36"/>
      <c r="Y320" s="36"/>
      <c r="Z320" s="36"/>
      <c r="AA320" s="36"/>
      <c r="AB320" s="42"/>
      <c r="AC320" s="42"/>
      <c r="AD320" s="36"/>
      <c r="AE320" s="36"/>
      <c r="AF320" s="42"/>
      <c r="AG320" s="42"/>
      <c r="AH320" s="36"/>
      <c r="AI320" s="36"/>
      <c r="AJ320" s="36"/>
      <c r="AK320" s="36"/>
      <c r="AL320" s="36"/>
      <c r="AM320" s="36"/>
      <c r="AN320" s="36"/>
    </row>
    <row r="321" spans="1:40" ht="15.75" x14ac:dyDescent="0.25">
      <c r="A321" s="44"/>
      <c r="B321" s="36"/>
      <c r="C321" s="36"/>
      <c r="D321" s="36"/>
      <c r="E321" s="36"/>
      <c r="F321" s="36"/>
      <c r="G321" s="36"/>
      <c r="H321" s="36"/>
      <c r="I321" s="36"/>
      <c r="J321" s="105"/>
      <c r="K321" s="36"/>
      <c r="L321" s="36"/>
      <c r="M321" s="36"/>
      <c r="N321" s="105"/>
      <c r="O321" s="36"/>
      <c r="P321" s="36"/>
      <c r="Q321" s="36"/>
      <c r="R321" s="105"/>
      <c r="S321" s="36"/>
      <c r="T321" s="36"/>
      <c r="U321" s="36"/>
      <c r="V321" s="36"/>
      <c r="W321" s="36"/>
      <c r="X321" s="36"/>
      <c r="Y321" s="36"/>
      <c r="Z321" s="36"/>
      <c r="AA321" s="36"/>
      <c r="AB321" s="42"/>
      <c r="AC321" s="42"/>
      <c r="AD321" s="36"/>
      <c r="AE321" s="36"/>
      <c r="AF321" s="42"/>
      <c r="AG321" s="42"/>
      <c r="AH321" s="36"/>
      <c r="AI321" s="36"/>
      <c r="AJ321" s="36"/>
      <c r="AK321" s="36"/>
      <c r="AL321" s="36"/>
      <c r="AM321" s="36"/>
      <c r="AN321" s="36"/>
    </row>
    <row r="322" spans="1:40" ht="15.75" x14ac:dyDescent="0.25">
      <c r="A322" s="44"/>
      <c r="B322" s="36"/>
      <c r="C322" s="36"/>
      <c r="D322" s="36"/>
      <c r="E322" s="36"/>
      <c r="F322" s="36"/>
      <c r="G322" s="36"/>
      <c r="H322" s="36"/>
      <c r="I322" s="36"/>
      <c r="J322" s="105"/>
      <c r="K322" s="36"/>
      <c r="L322" s="36"/>
      <c r="M322" s="36"/>
      <c r="N322" s="105"/>
      <c r="O322" s="36"/>
      <c r="P322" s="36"/>
      <c r="Q322" s="36"/>
      <c r="R322" s="105"/>
      <c r="S322" s="36"/>
      <c r="T322" s="36"/>
      <c r="U322" s="36"/>
      <c r="V322" s="36"/>
      <c r="W322" s="36"/>
      <c r="X322" s="36"/>
      <c r="Y322" s="36"/>
      <c r="Z322" s="36"/>
      <c r="AA322" s="36"/>
      <c r="AB322" s="42"/>
      <c r="AC322" s="42"/>
      <c r="AD322" s="36"/>
      <c r="AE322" s="36"/>
      <c r="AF322" s="42"/>
      <c r="AG322" s="42"/>
      <c r="AH322" s="36"/>
      <c r="AI322" s="36"/>
      <c r="AJ322" s="36"/>
      <c r="AK322" s="36"/>
      <c r="AL322" s="36"/>
      <c r="AM322" s="36"/>
      <c r="AN322" s="36"/>
    </row>
    <row r="323" spans="1:40" ht="15.75" x14ac:dyDescent="0.25">
      <c r="A323" s="44"/>
      <c r="B323" s="36"/>
      <c r="C323" s="36"/>
      <c r="D323" s="36"/>
      <c r="E323" s="36"/>
      <c r="F323" s="36"/>
      <c r="G323" s="36"/>
      <c r="H323" s="36"/>
      <c r="I323" s="36"/>
      <c r="J323" s="105"/>
      <c r="K323" s="36"/>
      <c r="L323" s="36"/>
      <c r="M323" s="36"/>
      <c r="N323" s="105"/>
      <c r="O323" s="36"/>
      <c r="P323" s="36"/>
      <c r="Q323" s="36"/>
      <c r="R323" s="105"/>
      <c r="S323" s="36"/>
      <c r="T323" s="36"/>
      <c r="U323" s="36"/>
      <c r="V323" s="36"/>
      <c r="W323" s="36"/>
      <c r="X323" s="36"/>
      <c r="Y323" s="36"/>
      <c r="Z323" s="36"/>
      <c r="AA323" s="36"/>
      <c r="AB323" s="42"/>
      <c r="AC323" s="42"/>
      <c r="AD323" s="36"/>
      <c r="AE323" s="36"/>
      <c r="AF323" s="42"/>
      <c r="AG323" s="42"/>
      <c r="AH323" s="36"/>
      <c r="AI323" s="36"/>
      <c r="AJ323" s="36"/>
      <c r="AK323" s="36"/>
      <c r="AL323" s="36"/>
      <c r="AM323" s="36"/>
      <c r="AN323" s="36"/>
    </row>
    <row r="324" spans="1:40" ht="15.75" x14ac:dyDescent="0.25">
      <c r="A324" s="44"/>
      <c r="B324" s="36"/>
      <c r="C324" s="36"/>
      <c r="D324" s="36"/>
      <c r="E324" s="36"/>
      <c r="F324" s="36"/>
      <c r="G324" s="36"/>
      <c r="H324" s="36"/>
      <c r="I324" s="36"/>
      <c r="J324" s="105"/>
      <c r="K324" s="36"/>
      <c r="L324" s="36"/>
      <c r="M324" s="36"/>
      <c r="N324" s="105"/>
      <c r="O324" s="36"/>
      <c r="P324" s="36"/>
      <c r="Q324" s="36"/>
      <c r="R324" s="105"/>
      <c r="S324" s="36"/>
      <c r="T324" s="36"/>
      <c r="U324" s="36"/>
      <c r="V324" s="36"/>
      <c r="W324" s="36"/>
      <c r="X324" s="36"/>
      <c r="Y324" s="36"/>
      <c r="Z324" s="36"/>
      <c r="AA324" s="36"/>
      <c r="AB324" s="42"/>
      <c r="AC324" s="42"/>
      <c r="AD324" s="36"/>
      <c r="AE324" s="36"/>
      <c r="AF324" s="42"/>
      <c r="AG324" s="42"/>
      <c r="AH324" s="36"/>
      <c r="AI324" s="36"/>
      <c r="AJ324" s="36"/>
      <c r="AK324" s="36"/>
      <c r="AL324" s="36"/>
      <c r="AM324" s="36"/>
      <c r="AN324" s="36"/>
    </row>
    <row r="325" spans="1:40" ht="15.75" x14ac:dyDescent="0.25">
      <c r="A325" s="44"/>
      <c r="B325" s="36"/>
      <c r="C325" s="36"/>
      <c r="D325" s="36"/>
      <c r="E325" s="36"/>
      <c r="F325" s="36"/>
      <c r="G325" s="36"/>
      <c r="H325" s="36"/>
      <c r="I325" s="36"/>
      <c r="J325" s="105"/>
      <c r="K325" s="36"/>
      <c r="L325" s="36"/>
      <c r="M325" s="36"/>
      <c r="N325" s="105"/>
      <c r="O325" s="36"/>
      <c r="P325" s="36"/>
      <c r="Q325" s="36"/>
      <c r="R325" s="105"/>
      <c r="S325" s="36"/>
      <c r="T325" s="36"/>
      <c r="U325" s="36"/>
      <c r="V325" s="36"/>
      <c r="W325" s="36"/>
      <c r="X325" s="36"/>
      <c r="Y325" s="36"/>
      <c r="Z325" s="36"/>
      <c r="AA325" s="36"/>
      <c r="AB325" s="42"/>
      <c r="AC325" s="42"/>
      <c r="AD325" s="36"/>
      <c r="AE325" s="36"/>
      <c r="AF325" s="42"/>
      <c r="AG325" s="42"/>
      <c r="AH325" s="36"/>
      <c r="AI325" s="36"/>
      <c r="AJ325" s="36"/>
      <c r="AK325" s="36"/>
      <c r="AL325" s="36"/>
      <c r="AM325" s="36"/>
      <c r="AN325" s="36"/>
    </row>
    <row r="326" spans="1:40" ht="15.75" x14ac:dyDescent="0.25">
      <c r="A326" s="44"/>
      <c r="B326" s="36"/>
      <c r="C326" s="36"/>
      <c r="D326" s="36"/>
      <c r="E326" s="36"/>
      <c r="F326" s="36"/>
      <c r="G326" s="36"/>
      <c r="H326" s="36"/>
      <c r="I326" s="36"/>
      <c r="J326" s="105"/>
      <c r="K326" s="36"/>
      <c r="L326" s="36"/>
      <c r="M326" s="36"/>
      <c r="N326" s="105"/>
      <c r="O326" s="36"/>
      <c r="P326" s="36"/>
      <c r="Q326" s="36"/>
      <c r="R326" s="105"/>
      <c r="S326" s="36"/>
      <c r="T326" s="36"/>
      <c r="U326" s="36"/>
      <c r="V326" s="36"/>
      <c r="W326" s="36"/>
      <c r="X326" s="36"/>
      <c r="Y326" s="36"/>
      <c r="Z326" s="36"/>
      <c r="AA326" s="36"/>
      <c r="AB326" s="42"/>
      <c r="AC326" s="42"/>
      <c r="AD326" s="36"/>
      <c r="AE326" s="36"/>
      <c r="AF326" s="42"/>
      <c r="AG326" s="42"/>
      <c r="AH326" s="36"/>
      <c r="AI326" s="36"/>
      <c r="AJ326" s="36"/>
      <c r="AK326" s="36"/>
      <c r="AL326" s="36"/>
      <c r="AM326" s="36"/>
      <c r="AN326" s="36"/>
    </row>
    <row r="327" spans="1:40" ht="15.75" x14ac:dyDescent="0.25">
      <c r="A327" s="44"/>
      <c r="B327" s="36"/>
      <c r="C327" s="36"/>
      <c r="D327" s="36"/>
      <c r="E327" s="36"/>
      <c r="F327" s="36"/>
      <c r="G327" s="36"/>
      <c r="H327" s="36"/>
      <c r="I327" s="36"/>
      <c r="J327" s="105"/>
      <c r="K327" s="36"/>
      <c r="L327" s="36"/>
      <c r="M327" s="36"/>
      <c r="N327" s="105"/>
      <c r="O327" s="36"/>
      <c r="P327" s="36"/>
      <c r="Q327" s="36"/>
      <c r="R327" s="105"/>
      <c r="S327" s="36"/>
      <c r="T327" s="36"/>
      <c r="U327" s="36"/>
      <c r="V327" s="36"/>
      <c r="W327" s="36"/>
      <c r="X327" s="36"/>
      <c r="Y327" s="36"/>
      <c r="Z327" s="36"/>
      <c r="AA327" s="36"/>
      <c r="AB327" s="42"/>
      <c r="AC327" s="42"/>
      <c r="AD327" s="36"/>
      <c r="AE327" s="36"/>
      <c r="AF327" s="42"/>
      <c r="AG327" s="42"/>
      <c r="AH327" s="36"/>
      <c r="AI327" s="36"/>
      <c r="AJ327" s="36"/>
      <c r="AK327" s="36"/>
      <c r="AL327" s="36"/>
      <c r="AM327" s="36"/>
      <c r="AN327" s="36"/>
    </row>
    <row r="328" spans="1:40" ht="15.75" x14ac:dyDescent="0.25">
      <c r="A328" s="44"/>
      <c r="B328" s="36"/>
      <c r="C328" s="36"/>
      <c r="D328" s="36"/>
      <c r="E328" s="36"/>
      <c r="F328" s="36"/>
      <c r="G328" s="36"/>
      <c r="H328" s="36"/>
      <c r="I328" s="36"/>
      <c r="J328" s="105"/>
      <c r="K328" s="36"/>
      <c r="L328" s="36"/>
      <c r="M328" s="36"/>
      <c r="N328" s="105"/>
      <c r="O328" s="36"/>
      <c r="P328" s="36"/>
      <c r="Q328" s="36"/>
      <c r="R328" s="105"/>
      <c r="S328" s="36"/>
      <c r="T328" s="36"/>
      <c r="U328" s="36"/>
      <c r="V328" s="36"/>
      <c r="W328" s="36"/>
      <c r="X328" s="36"/>
      <c r="Y328" s="36"/>
      <c r="Z328" s="36"/>
      <c r="AA328" s="36"/>
      <c r="AB328" s="42"/>
      <c r="AC328" s="42"/>
      <c r="AD328" s="36"/>
      <c r="AE328" s="36"/>
      <c r="AF328" s="42"/>
      <c r="AG328" s="42"/>
      <c r="AH328" s="36"/>
      <c r="AI328" s="36"/>
      <c r="AJ328" s="36"/>
      <c r="AK328" s="36"/>
      <c r="AL328" s="36"/>
      <c r="AM328" s="36"/>
      <c r="AN328" s="36"/>
    </row>
    <row r="329" spans="1:40" ht="15.75" x14ac:dyDescent="0.25">
      <c r="A329" s="44"/>
      <c r="B329" s="36"/>
      <c r="C329" s="36"/>
      <c r="D329" s="36"/>
      <c r="E329" s="36"/>
      <c r="F329" s="36"/>
      <c r="G329" s="36"/>
      <c r="H329" s="36"/>
      <c r="I329" s="36"/>
      <c r="J329" s="105"/>
      <c r="K329" s="36"/>
      <c r="L329" s="36"/>
      <c r="M329" s="36"/>
      <c r="N329" s="105"/>
      <c r="O329" s="36"/>
      <c r="P329" s="36"/>
      <c r="Q329" s="36"/>
      <c r="R329" s="105"/>
      <c r="S329" s="36"/>
      <c r="T329" s="36"/>
      <c r="U329" s="36"/>
      <c r="V329" s="36"/>
      <c r="W329" s="36"/>
      <c r="X329" s="36"/>
      <c r="Y329" s="36"/>
      <c r="Z329" s="36"/>
      <c r="AA329" s="36"/>
      <c r="AB329" s="42"/>
      <c r="AC329" s="42"/>
      <c r="AD329" s="36"/>
      <c r="AE329" s="36"/>
      <c r="AF329" s="42"/>
      <c r="AG329" s="42"/>
      <c r="AH329" s="36"/>
      <c r="AI329" s="36"/>
      <c r="AJ329" s="36"/>
      <c r="AK329" s="36"/>
      <c r="AL329" s="36"/>
      <c r="AM329" s="36"/>
      <c r="AN329" s="36"/>
    </row>
    <row r="330" spans="1:40" ht="15.75" x14ac:dyDescent="0.25">
      <c r="A330" s="44"/>
      <c r="B330" s="36"/>
      <c r="C330" s="36"/>
      <c r="D330" s="36"/>
      <c r="E330" s="36"/>
      <c r="F330" s="36"/>
      <c r="G330" s="36"/>
      <c r="H330" s="36"/>
      <c r="I330" s="36"/>
      <c r="J330" s="105"/>
      <c r="K330" s="36"/>
      <c r="L330" s="36"/>
      <c r="M330" s="36"/>
      <c r="N330" s="105"/>
      <c r="O330" s="36"/>
      <c r="P330" s="36"/>
      <c r="Q330" s="36"/>
      <c r="R330" s="105"/>
      <c r="S330" s="36"/>
      <c r="T330" s="36"/>
      <c r="U330" s="36"/>
      <c r="V330" s="36"/>
      <c r="W330" s="36"/>
      <c r="X330" s="36"/>
      <c r="Y330" s="36"/>
      <c r="Z330" s="36"/>
      <c r="AA330" s="36"/>
      <c r="AB330" s="42"/>
      <c r="AC330" s="42"/>
      <c r="AD330" s="36"/>
      <c r="AE330" s="36"/>
      <c r="AF330" s="42"/>
      <c r="AG330" s="42"/>
      <c r="AH330" s="36"/>
      <c r="AI330" s="36"/>
      <c r="AJ330" s="36"/>
      <c r="AK330" s="36"/>
      <c r="AL330" s="36"/>
      <c r="AM330" s="36"/>
      <c r="AN330" s="36"/>
    </row>
    <row r="331" spans="1:40" ht="15.75" x14ac:dyDescent="0.25">
      <c r="A331" s="44"/>
      <c r="B331" s="36"/>
      <c r="C331" s="36"/>
      <c r="D331" s="36"/>
      <c r="E331" s="36"/>
      <c r="F331" s="36"/>
      <c r="G331" s="36"/>
      <c r="H331" s="36"/>
      <c r="I331" s="36"/>
      <c r="J331" s="105"/>
      <c r="K331" s="36"/>
      <c r="L331" s="36"/>
      <c r="M331" s="36"/>
      <c r="N331" s="105"/>
      <c r="O331" s="36"/>
      <c r="P331" s="36"/>
      <c r="Q331" s="36"/>
      <c r="R331" s="105"/>
      <c r="S331" s="36"/>
      <c r="T331" s="36"/>
      <c r="U331" s="36"/>
      <c r="V331" s="36"/>
      <c r="W331" s="36"/>
      <c r="X331" s="36"/>
      <c r="Y331" s="36"/>
      <c r="Z331" s="36"/>
      <c r="AA331" s="36"/>
      <c r="AB331" s="42"/>
      <c r="AC331" s="42"/>
      <c r="AD331" s="36"/>
      <c r="AE331" s="36"/>
      <c r="AF331" s="42"/>
      <c r="AG331" s="42"/>
      <c r="AH331" s="36"/>
      <c r="AI331" s="36"/>
      <c r="AJ331" s="36"/>
      <c r="AK331" s="36"/>
      <c r="AL331" s="36"/>
      <c r="AM331" s="36"/>
      <c r="AN331" s="36"/>
    </row>
    <row r="332" spans="1:40" ht="15.75" x14ac:dyDescent="0.25">
      <c r="A332" s="44"/>
      <c r="B332" s="36"/>
      <c r="C332" s="36"/>
      <c r="D332" s="36"/>
      <c r="E332" s="36"/>
      <c r="F332" s="36"/>
      <c r="G332" s="36"/>
      <c r="H332" s="36"/>
      <c r="I332" s="36"/>
      <c r="J332" s="105"/>
      <c r="K332" s="36"/>
      <c r="L332" s="36"/>
      <c r="M332" s="36"/>
      <c r="N332" s="105"/>
      <c r="O332" s="36"/>
      <c r="P332" s="36"/>
      <c r="Q332" s="36"/>
      <c r="R332" s="105"/>
      <c r="S332" s="36"/>
      <c r="T332" s="36"/>
      <c r="U332" s="36"/>
      <c r="V332" s="36"/>
      <c r="W332" s="36"/>
      <c r="X332" s="36"/>
      <c r="Y332" s="36"/>
      <c r="Z332" s="36"/>
      <c r="AA332" s="36"/>
      <c r="AB332" s="42"/>
      <c r="AC332" s="42"/>
      <c r="AD332" s="36"/>
      <c r="AE332" s="36"/>
      <c r="AF332" s="42"/>
      <c r="AG332" s="42"/>
      <c r="AH332" s="36"/>
      <c r="AI332" s="36"/>
      <c r="AJ332" s="36"/>
      <c r="AK332" s="36"/>
      <c r="AL332" s="36"/>
      <c r="AM332" s="36"/>
      <c r="AN332" s="36"/>
    </row>
    <row r="333" spans="1:40" ht="15.75" x14ac:dyDescent="0.25">
      <c r="A333" s="44"/>
      <c r="B333" s="36"/>
      <c r="C333" s="36"/>
      <c r="D333" s="36"/>
      <c r="E333" s="36"/>
      <c r="F333" s="36"/>
      <c r="G333" s="36"/>
      <c r="H333" s="36"/>
      <c r="I333" s="36"/>
      <c r="J333" s="105"/>
      <c r="K333" s="36"/>
      <c r="L333" s="36"/>
      <c r="M333" s="36"/>
      <c r="N333" s="105"/>
      <c r="O333" s="36"/>
      <c r="P333" s="36"/>
      <c r="Q333" s="36"/>
      <c r="R333" s="105"/>
      <c r="S333" s="36"/>
      <c r="T333" s="36"/>
      <c r="U333" s="36"/>
      <c r="V333" s="36"/>
      <c r="W333" s="36"/>
      <c r="X333" s="36"/>
      <c r="Y333" s="36"/>
      <c r="Z333" s="36"/>
      <c r="AA333" s="36"/>
      <c r="AB333" s="42"/>
      <c r="AC333" s="42"/>
      <c r="AD333" s="36"/>
      <c r="AE333" s="36"/>
      <c r="AF333" s="42"/>
      <c r="AG333" s="42"/>
      <c r="AH333" s="36"/>
      <c r="AI333" s="36"/>
      <c r="AJ333" s="36"/>
      <c r="AK333" s="36"/>
      <c r="AL333" s="36"/>
      <c r="AM333" s="36"/>
      <c r="AN333" s="36"/>
    </row>
    <row r="334" spans="1:40" ht="15.75" x14ac:dyDescent="0.25">
      <c r="A334" s="44"/>
      <c r="B334" s="36"/>
      <c r="C334" s="36"/>
      <c r="D334" s="36"/>
      <c r="E334" s="36"/>
      <c r="F334" s="36"/>
      <c r="G334" s="36"/>
      <c r="H334" s="36"/>
      <c r="I334" s="36"/>
      <c r="J334" s="105"/>
      <c r="K334" s="36"/>
      <c r="L334" s="36"/>
      <c r="M334" s="36"/>
      <c r="N334" s="105"/>
      <c r="O334" s="36"/>
      <c r="P334" s="36"/>
      <c r="Q334" s="36"/>
      <c r="R334" s="105"/>
      <c r="S334" s="36"/>
      <c r="T334" s="36"/>
      <c r="U334" s="36"/>
      <c r="V334" s="36"/>
      <c r="W334" s="36"/>
      <c r="X334" s="36"/>
      <c r="Y334" s="36"/>
      <c r="Z334" s="36"/>
      <c r="AA334" s="36"/>
      <c r="AB334" s="42"/>
      <c r="AC334" s="42"/>
      <c r="AD334" s="36"/>
      <c r="AE334" s="36"/>
      <c r="AF334" s="42"/>
      <c r="AG334" s="42"/>
      <c r="AH334" s="36"/>
      <c r="AI334" s="36"/>
      <c r="AJ334" s="36"/>
      <c r="AK334" s="36"/>
      <c r="AL334" s="36"/>
      <c r="AM334" s="36"/>
      <c r="AN334" s="36"/>
    </row>
    <row r="335" spans="1:40" ht="15.75" x14ac:dyDescent="0.25">
      <c r="A335" s="44"/>
      <c r="B335" s="36"/>
      <c r="C335" s="36"/>
      <c r="D335" s="36"/>
      <c r="E335" s="36"/>
      <c r="F335" s="36"/>
      <c r="G335" s="36"/>
      <c r="H335" s="36"/>
      <c r="I335" s="36"/>
      <c r="J335" s="105"/>
      <c r="K335" s="36"/>
      <c r="L335" s="36"/>
      <c r="M335" s="36"/>
      <c r="N335" s="105"/>
      <c r="O335" s="36"/>
      <c r="P335" s="36"/>
      <c r="Q335" s="36"/>
      <c r="R335" s="105"/>
      <c r="S335" s="36"/>
      <c r="T335" s="36"/>
      <c r="U335" s="36"/>
      <c r="V335" s="36"/>
      <c r="W335" s="36"/>
      <c r="X335" s="36"/>
      <c r="Y335" s="36"/>
      <c r="Z335" s="36"/>
      <c r="AA335" s="36"/>
      <c r="AB335" s="42"/>
      <c r="AC335" s="42"/>
      <c r="AD335" s="36"/>
      <c r="AE335" s="36"/>
      <c r="AF335" s="42"/>
      <c r="AG335" s="42"/>
      <c r="AH335" s="36"/>
      <c r="AI335" s="36"/>
      <c r="AJ335" s="36"/>
      <c r="AK335" s="36"/>
      <c r="AL335" s="36"/>
      <c r="AM335" s="36"/>
      <c r="AN335" s="36"/>
    </row>
    <row r="336" spans="1:40" ht="15.75" x14ac:dyDescent="0.25">
      <c r="A336" s="44"/>
      <c r="B336" s="36"/>
      <c r="C336" s="36"/>
      <c r="D336" s="36"/>
      <c r="E336" s="36"/>
      <c r="F336" s="36"/>
      <c r="G336" s="36"/>
      <c r="H336" s="36"/>
      <c r="I336" s="36"/>
      <c r="J336" s="105"/>
      <c r="K336" s="36"/>
      <c r="L336" s="36"/>
      <c r="M336" s="36"/>
      <c r="N336" s="105"/>
      <c r="O336" s="36"/>
      <c r="P336" s="36"/>
      <c r="Q336" s="36"/>
      <c r="R336" s="105"/>
      <c r="S336" s="36"/>
      <c r="T336" s="36"/>
      <c r="U336" s="36"/>
      <c r="V336" s="36"/>
      <c r="W336" s="36"/>
      <c r="X336" s="36"/>
      <c r="Y336" s="36"/>
      <c r="Z336" s="36"/>
      <c r="AA336" s="36"/>
      <c r="AB336" s="42"/>
      <c r="AC336" s="42"/>
      <c r="AD336" s="36"/>
      <c r="AE336" s="36"/>
      <c r="AF336" s="42"/>
      <c r="AG336" s="42"/>
      <c r="AH336" s="36"/>
      <c r="AI336" s="36"/>
      <c r="AJ336" s="36"/>
      <c r="AK336" s="36"/>
      <c r="AL336" s="36"/>
      <c r="AM336" s="36"/>
      <c r="AN336" s="36"/>
    </row>
    <row r="337" spans="1:40" ht="15.75" x14ac:dyDescent="0.25">
      <c r="A337" s="44"/>
      <c r="B337" s="36"/>
      <c r="C337" s="36"/>
      <c r="D337" s="36"/>
      <c r="E337" s="36"/>
      <c r="F337" s="36"/>
      <c r="G337" s="36"/>
      <c r="H337" s="36"/>
      <c r="I337" s="36"/>
      <c r="J337" s="105"/>
      <c r="K337" s="36"/>
      <c r="L337" s="36"/>
      <c r="M337" s="36"/>
      <c r="N337" s="105"/>
      <c r="O337" s="36"/>
      <c r="P337" s="36"/>
      <c r="Q337" s="36"/>
      <c r="R337" s="105"/>
      <c r="S337" s="36"/>
      <c r="T337" s="36"/>
      <c r="U337" s="36"/>
      <c r="V337" s="36"/>
      <c r="W337" s="36"/>
      <c r="X337" s="36"/>
      <c r="Y337" s="36"/>
      <c r="Z337" s="36"/>
      <c r="AA337" s="36"/>
      <c r="AB337" s="42"/>
      <c r="AC337" s="42"/>
      <c r="AD337" s="36"/>
      <c r="AE337" s="36"/>
      <c r="AF337" s="42"/>
      <c r="AG337" s="42"/>
      <c r="AH337" s="36"/>
      <c r="AI337" s="36"/>
      <c r="AJ337" s="36"/>
      <c r="AK337" s="36"/>
      <c r="AL337" s="36"/>
      <c r="AM337" s="36"/>
      <c r="AN337" s="36"/>
    </row>
    <row r="338" spans="1:40" ht="15.75" x14ac:dyDescent="0.25">
      <c r="A338" s="44"/>
      <c r="B338" s="36"/>
      <c r="C338" s="36"/>
      <c r="D338" s="36"/>
      <c r="E338" s="36"/>
      <c r="F338" s="36"/>
      <c r="G338" s="36"/>
      <c r="H338" s="36"/>
      <c r="I338" s="36"/>
      <c r="J338" s="105"/>
      <c r="K338" s="36"/>
      <c r="L338" s="36"/>
      <c r="M338" s="36"/>
      <c r="N338" s="105"/>
      <c r="O338" s="36"/>
      <c r="P338" s="36"/>
      <c r="Q338" s="36"/>
      <c r="R338" s="105"/>
      <c r="S338" s="36"/>
      <c r="T338" s="36"/>
      <c r="U338" s="36"/>
      <c r="V338" s="36"/>
      <c r="W338" s="36"/>
      <c r="X338" s="36"/>
      <c r="Y338" s="36"/>
      <c r="Z338" s="36"/>
      <c r="AA338" s="36"/>
      <c r="AB338" s="42"/>
      <c r="AC338" s="42"/>
      <c r="AD338" s="36"/>
      <c r="AE338" s="36"/>
      <c r="AF338" s="42"/>
      <c r="AG338" s="42"/>
      <c r="AH338" s="36"/>
      <c r="AI338" s="36"/>
      <c r="AJ338" s="36"/>
      <c r="AK338" s="36"/>
      <c r="AL338" s="36"/>
      <c r="AM338" s="36"/>
      <c r="AN338" s="36"/>
    </row>
    <row r="339" spans="1:40" ht="15.75" x14ac:dyDescent="0.25">
      <c r="A339" s="44"/>
      <c r="B339" s="36"/>
      <c r="C339" s="36"/>
      <c r="D339" s="36"/>
      <c r="E339" s="36"/>
      <c r="F339" s="36"/>
      <c r="G339" s="36"/>
      <c r="H339" s="36"/>
      <c r="I339" s="36"/>
      <c r="J339" s="105"/>
      <c r="K339" s="36"/>
      <c r="L339" s="36"/>
      <c r="M339" s="36"/>
      <c r="N339" s="105"/>
      <c r="O339" s="36"/>
      <c r="P339" s="36"/>
      <c r="Q339" s="36"/>
      <c r="R339" s="105"/>
      <c r="S339" s="36"/>
      <c r="T339" s="36"/>
      <c r="U339" s="36"/>
      <c r="V339" s="36"/>
      <c r="W339" s="36"/>
      <c r="X339" s="36"/>
      <c r="Y339" s="36"/>
      <c r="Z339" s="36"/>
      <c r="AA339" s="36"/>
      <c r="AB339" s="42"/>
      <c r="AC339" s="42"/>
      <c r="AD339" s="36"/>
      <c r="AE339" s="36"/>
      <c r="AF339" s="42"/>
      <c r="AG339" s="42"/>
      <c r="AH339" s="36"/>
      <c r="AI339" s="36"/>
      <c r="AJ339" s="36"/>
      <c r="AK339" s="36"/>
      <c r="AL339" s="36"/>
      <c r="AM339" s="36"/>
      <c r="AN339" s="36"/>
    </row>
    <row r="340" spans="1:40" ht="15.75" x14ac:dyDescent="0.25">
      <c r="A340" s="44"/>
      <c r="B340" s="36"/>
      <c r="C340" s="36"/>
      <c r="D340" s="36"/>
      <c r="E340" s="36"/>
      <c r="F340" s="36"/>
      <c r="G340" s="36"/>
      <c r="H340" s="36"/>
      <c r="I340" s="36"/>
      <c r="J340" s="105"/>
      <c r="K340" s="36"/>
      <c r="L340" s="36"/>
      <c r="M340" s="36"/>
      <c r="N340" s="105"/>
      <c r="O340" s="36"/>
      <c r="P340" s="36"/>
      <c r="Q340" s="36"/>
      <c r="R340" s="105"/>
      <c r="S340" s="36"/>
      <c r="T340" s="36"/>
      <c r="U340" s="36"/>
      <c r="V340" s="36"/>
      <c r="W340" s="36"/>
      <c r="X340" s="36"/>
      <c r="Y340" s="36"/>
      <c r="Z340" s="36"/>
      <c r="AA340" s="36"/>
      <c r="AB340" s="42"/>
      <c r="AC340" s="42"/>
      <c r="AD340" s="36"/>
      <c r="AE340" s="36"/>
      <c r="AF340" s="42"/>
      <c r="AG340" s="42"/>
      <c r="AH340" s="36"/>
      <c r="AI340" s="36"/>
      <c r="AJ340" s="36"/>
      <c r="AK340" s="36"/>
      <c r="AL340" s="36"/>
      <c r="AM340" s="36"/>
      <c r="AN340" s="36"/>
    </row>
    <row r="341" spans="1:40" ht="15.75" x14ac:dyDescent="0.25">
      <c r="A341" s="44"/>
      <c r="B341" s="36"/>
      <c r="C341" s="36"/>
      <c r="D341" s="36"/>
      <c r="E341" s="36"/>
      <c r="F341" s="36"/>
      <c r="G341" s="36"/>
      <c r="H341" s="36"/>
      <c r="I341" s="36"/>
      <c r="J341" s="105"/>
      <c r="K341" s="36"/>
      <c r="L341" s="36"/>
      <c r="M341" s="36"/>
      <c r="N341" s="105"/>
      <c r="O341" s="36"/>
      <c r="P341" s="36"/>
      <c r="Q341" s="36"/>
      <c r="R341" s="105"/>
      <c r="S341" s="36"/>
      <c r="T341" s="36"/>
      <c r="U341" s="36"/>
      <c r="V341" s="36"/>
      <c r="W341" s="36"/>
      <c r="X341" s="36"/>
      <c r="Y341" s="36"/>
      <c r="Z341" s="36"/>
      <c r="AA341" s="36"/>
      <c r="AB341" s="42"/>
      <c r="AC341" s="42"/>
      <c r="AD341" s="36"/>
      <c r="AE341" s="36"/>
      <c r="AF341" s="42"/>
      <c r="AG341" s="42"/>
      <c r="AH341" s="36"/>
      <c r="AI341" s="36"/>
      <c r="AJ341" s="36"/>
      <c r="AK341" s="36"/>
      <c r="AL341" s="36"/>
      <c r="AM341" s="36"/>
      <c r="AN341" s="36"/>
    </row>
    <row r="342" spans="1:40" ht="15.75" x14ac:dyDescent="0.25">
      <c r="A342" s="44"/>
      <c r="B342" s="36"/>
      <c r="C342" s="36"/>
      <c r="D342" s="36"/>
      <c r="E342" s="36"/>
      <c r="F342" s="36"/>
      <c r="G342" s="36"/>
      <c r="H342" s="36"/>
      <c r="I342" s="36"/>
      <c r="J342" s="105"/>
      <c r="K342" s="36"/>
      <c r="L342" s="36"/>
      <c r="M342" s="36"/>
      <c r="N342" s="105"/>
      <c r="O342" s="36"/>
      <c r="P342" s="36"/>
      <c r="Q342" s="36"/>
      <c r="R342" s="105"/>
      <c r="S342" s="36"/>
      <c r="T342" s="36"/>
      <c r="U342" s="36"/>
      <c r="V342" s="36"/>
      <c r="W342" s="36"/>
      <c r="X342" s="36"/>
      <c r="Y342" s="36"/>
      <c r="Z342" s="36"/>
      <c r="AA342" s="36"/>
      <c r="AB342" s="42"/>
      <c r="AC342" s="42"/>
      <c r="AD342" s="36"/>
      <c r="AE342" s="36"/>
      <c r="AF342" s="42"/>
      <c r="AG342" s="42"/>
      <c r="AH342" s="36"/>
      <c r="AI342" s="36"/>
      <c r="AJ342" s="36"/>
      <c r="AK342" s="36"/>
      <c r="AL342" s="36"/>
      <c r="AM342" s="36"/>
      <c r="AN342" s="36"/>
    </row>
    <row r="343" spans="1:40" ht="15.75" x14ac:dyDescent="0.25">
      <c r="A343" s="44"/>
      <c r="B343" s="36"/>
      <c r="C343" s="36"/>
      <c r="D343" s="36"/>
      <c r="E343" s="36"/>
      <c r="F343" s="36"/>
      <c r="G343" s="36"/>
      <c r="H343" s="36"/>
      <c r="I343" s="36"/>
      <c r="J343" s="105"/>
      <c r="K343" s="36"/>
      <c r="L343" s="36"/>
      <c r="M343" s="36"/>
      <c r="N343" s="105"/>
      <c r="O343" s="36"/>
      <c r="P343" s="36"/>
      <c r="Q343" s="36"/>
      <c r="R343" s="105"/>
      <c r="S343" s="36"/>
      <c r="T343" s="36"/>
      <c r="U343" s="36"/>
      <c r="V343" s="36"/>
      <c r="W343" s="36"/>
      <c r="X343" s="36"/>
      <c r="Y343" s="36"/>
      <c r="Z343" s="36"/>
      <c r="AA343" s="36"/>
      <c r="AB343" s="42"/>
      <c r="AC343" s="42"/>
      <c r="AD343" s="36"/>
      <c r="AE343" s="36"/>
      <c r="AF343" s="42"/>
      <c r="AG343" s="42"/>
      <c r="AH343" s="36"/>
      <c r="AI343" s="36"/>
      <c r="AJ343" s="36"/>
      <c r="AK343" s="36"/>
      <c r="AL343" s="36"/>
      <c r="AM343" s="36"/>
      <c r="AN343" s="36"/>
    </row>
    <row r="344" spans="1:40" ht="15.75" x14ac:dyDescent="0.25">
      <c r="A344" s="44"/>
      <c r="B344" s="36"/>
      <c r="C344" s="36"/>
      <c r="D344" s="36"/>
      <c r="E344" s="36"/>
      <c r="F344" s="36"/>
      <c r="G344" s="36"/>
      <c r="H344" s="36"/>
      <c r="I344" s="36"/>
      <c r="J344" s="105"/>
      <c r="K344" s="36"/>
      <c r="L344" s="36"/>
      <c r="M344" s="36"/>
      <c r="N344" s="105"/>
      <c r="O344" s="36"/>
      <c r="P344" s="36"/>
      <c r="Q344" s="36"/>
      <c r="R344" s="105"/>
      <c r="S344" s="36"/>
      <c r="T344" s="36"/>
      <c r="U344" s="36"/>
      <c r="V344" s="36"/>
      <c r="W344" s="36"/>
      <c r="X344" s="36"/>
      <c r="Y344" s="36"/>
      <c r="Z344" s="36"/>
      <c r="AA344" s="36"/>
      <c r="AB344" s="42"/>
      <c r="AC344" s="42"/>
      <c r="AD344" s="36"/>
      <c r="AE344" s="36"/>
      <c r="AF344" s="42"/>
      <c r="AG344" s="42"/>
      <c r="AH344" s="36"/>
      <c r="AI344" s="36"/>
      <c r="AJ344" s="36"/>
      <c r="AK344" s="36"/>
      <c r="AL344" s="36"/>
      <c r="AM344" s="36"/>
      <c r="AN344" s="36"/>
    </row>
    <row r="345" spans="1:40" ht="15.75" x14ac:dyDescent="0.25">
      <c r="A345" s="44"/>
      <c r="B345" s="36"/>
      <c r="C345" s="36"/>
      <c r="D345" s="36"/>
      <c r="E345" s="36"/>
      <c r="F345" s="36"/>
      <c r="G345" s="36"/>
      <c r="H345" s="36"/>
      <c r="I345" s="36"/>
      <c r="J345" s="105"/>
      <c r="K345" s="36"/>
      <c r="L345" s="36"/>
      <c r="M345" s="36"/>
      <c r="N345" s="105"/>
      <c r="O345" s="36"/>
      <c r="P345" s="36"/>
      <c r="Q345" s="36"/>
      <c r="R345" s="105"/>
      <c r="S345" s="36"/>
      <c r="T345" s="36"/>
      <c r="U345" s="36"/>
      <c r="V345" s="36"/>
      <c r="W345" s="36"/>
      <c r="X345" s="36"/>
      <c r="Y345" s="36"/>
      <c r="Z345" s="36"/>
      <c r="AA345" s="36"/>
      <c r="AB345" s="42"/>
      <c r="AC345" s="42"/>
      <c r="AD345" s="36"/>
      <c r="AE345" s="36"/>
      <c r="AF345" s="42"/>
      <c r="AG345" s="42"/>
      <c r="AH345" s="36"/>
      <c r="AI345" s="36"/>
      <c r="AJ345" s="36"/>
      <c r="AK345" s="36"/>
      <c r="AL345" s="36"/>
      <c r="AM345" s="36"/>
      <c r="AN345" s="36"/>
    </row>
    <row r="346" spans="1:40" ht="15.75" x14ac:dyDescent="0.25">
      <c r="A346" s="44"/>
      <c r="B346" s="36"/>
      <c r="C346" s="36"/>
      <c r="D346" s="36"/>
      <c r="E346" s="36"/>
      <c r="F346" s="36"/>
      <c r="G346" s="36"/>
      <c r="H346" s="36"/>
      <c r="I346" s="36"/>
      <c r="J346" s="105"/>
      <c r="K346" s="36"/>
      <c r="L346" s="36"/>
      <c r="M346" s="36"/>
      <c r="N346" s="105"/>
      <c r="O346" s="36"/>
      <c r="P346" s="36"/>
      <c r="Q346" s="36"/>
      <c r="R346" s="105"/>
      <c r="S346" s="36"/>
      <c r="T346" s="36"/>
      <c r="U346" s="36"/>
      <c r="V346" s="36"/>
      <c r="W346" s="36"/>
      <c r="X346" s="36"/>
      <c r="Y346" s="36"/>
      <c r="Z346" s="36"/>
      <c r="AA346" s="36"/>
      <c r="AB346" s="42"/>
      <c r="AC346" s="42"/>
      <c r="AD346" s="36"/>
      <c r="AE346" s="36"/>
      <c r="AF346" s="42"/>
      <c r="AG346" s="42"/>
      <c r="AH346" s="36"/>
      <c r="AI346" s="36"/>
      <c r="AJ346" s="36"/>
      <c r="AK346" s="36"/>
      <c r="AL346" s="36"/>
      <c r="AM346" s="36"/>
      <c r="AN346" s="36"/>
    </row>
    <row r="347" spans="1:40" ht="15.75" x14ac:dyDescent="0.25">
      <c r="A347" s="44"/>
      <c r="B347" s="36"/>
      <c r="C347" s="36"/>
      <c r="D347" s="36"/>
      <c r="E347" s="36"/>
      <c r="F347" s="36"/>
      <c r="G347" s="36"/>
      <c r="H347" s="36"/>
      <c r="I347" s="36"/>
      <c r="J347" s="105"/>
      <c r="K347" s="36"/>
      <c r="L347" s="36"/>
      <c r="M347" s="36"/>
      <c r="N347" s="105"/>
      <c r="O347" s="36"/>
      <c r="P347" s="36"/>
      <c r="Q347" s="36"/>
      <c r="R347" s="105"/>
      <c r="S347" s="36"/>
      <c r="T347" s="36"/>
      <c r="U347" s="36"/>
      <c r="V347" s="36"/>
      <c r="W347" s="36"/>
      <c r="X347" s="36"/>
      <c r="Y347" s="36"/>
      <c r="Z347" s="36"/>
      <c r="AA347" s="36"/>
      <c r="AB347" s="42"/>
      <c r="AC347" s="42"/>
      <c r="AD347" s="36"/>
      <c r="AE347" s="36"/>
      <c r="AF347" s="42"/>
      <c r="AG347" s="42"/>
      <c r="AH347" s="36"/>
      <c r="AI347" s="36"/>
      <c r="AJ347" s="36"/>
      <c r="AK347" s="36"/>
      <c r="AL347" s="36"/>
      <c r="AM347" s="36"/>
      <c r="AN347" s="36"/>
    </row>
    <row r="348" spans="1:40" ht="15.75" x14ac:dyDescent="0.25">
      <c r="A348" s="44"/>
      <c r="B348" s="36"/>
      <c r="C348" s="36"/>
      <c r="D348" s="36"/>
      <c r="E348" s="36"/>
      <c r="F348" s="36"/>
      <c r="G348" s="36"/>
      <c r="H348" s="36"/>
      <c r="I348" s="36"/>
      <c r="J348" s="105"/>
      <c r="K348" s="36"/>
      <c r="L348" s="36"/>
      <c r="M348" s="36"/>
      <c r="N348" s="105"/>
      <c r="O348" s="36"/>
      <c r="P348" s="36"/>
      <c r="Q348" s="36"/>
      <c r="R348" s="105"/>
      <c r="S348" s="36"/>
      <c r="T348" s="36"/>
      <c r="U348" s="36"/>
      <c r="V348" s="36"/>
      <c r="W348" s="36"/>
      <c r="X348" s="36"/>
      <c r="Y348" s="36"/>
      <c r="Z348" s="36"/>
      <c r="AA348" s="36"/>
      <c r="AB348" s="42"/>
      <c r="AC348" s="42"/>
      <c r="AD348" s="36"/>
      <c r="AE348" s="36"/>
      <c r="AF348" s="42"/>
      <c r="AG348" s="42"/>
      <c r="AH348" s="36"/>
      <c r="AI348" s="36"/>
      <c r="AJ348" s="36"/>
      <c r="AK348" s="36"/>
      <c r="AL348" s="36"/>
      <c r="AM348" s="36"/>
      <c r="AN348" s="36"/>
    </row>
    <row r="349" spans="1:40" ht="15.75" x14ac:dyDescent="0.25">
      <c r="A349" s="44"/>
      <c r="B349" s="36"/>
      <c r="C349" s="36"/>
      <c r="D349" s="36"/>
      <c r="E349" s="36"/>
      <c r="F349" s="36"/>
      <c r="G349" s="36"/>
      <c r="H349" s="36"/>
      <c r="I349" s="36"/>
      <c r="J349" s="105"/>
      <c r="K349" s="36"/>
      <c r="L349" s="36"/>
      <c r="M349" s="36"/>
      <c r="N349" s="105"/>
      <c r="O349" s="36"/>
      <c r="P349" s="36"/>
      <c r="Q349" s="36"/>
      <c r="R349" s="105"/>
      <c r="S349" s="36"/>
      <c r="T349" s="36"/>
      <c r="U349" s="36"/>
      <c r="V349" s="36"/>
      <c r="W349" s="36"/>
      <c r="X349" s="36"/>
      <c r="Y349" s="36"/>
      <c r="Z349" s="36"/>
      <c r="AA349" s="36"/>
      <c r="AB349" s="42"/>
      <c r="AC349" s="42"/>
      <c r="AD349" s="36"/>
      <c r="AE349" s="36"/>
      <c r="AF349" s="42"/>
      <c r="AG349" s="42"/>
      <c r="AH349" s="36"/>
      <c r="AI349" s="36"/>
      <c r="AJ349" s="36"/>
      <c r="AK349" s="36"/>
      <c r="AL349" s="36"/>
      <c r="AM349" s="36"/>
      <c r="AN349" s="36"/>
    </row>
    <row r="350" spans="1:40" ht="15.75" x14ac:dyDescent="0.25">
      <c r="A350" s="44"/>
      <c r="B350" s="36"/>
      <c r="C350" s="36"/>
      <c r="D350" s="36"/>
      <c r="E350" s="36"/>
      <c r="F350" s="36"/>
      <c r="G350" s="36"/>
      <c r="H350" s="36"/>
      <c r="I350" s="36"/>
      <c r="J350" s="105"/>
      <c r="K350" s="36"/>
      <c r="L350" s="36"/>
      <c r="M350" s="36"/>
      <c r="N350" s="105"/>
      <c r="O350" s="36"/>
      <c r="P350" s="36"/>
      <c r="Q350" s="36"/>
      <c r="R350" s="105"/>
      <c r="S350" s="36"/>
      <c r="T350" s="36"/>
      <c r="U350" s="36"/>
      <c r="V350" s="36"/>
      <c r="W350" s="36"/>
      <c r="X350" s="36"/>
      <c r="Y350" s="36"/>
      <c r="Z350" s="36"/>
      <c r="AA350" s="36"/>
      <c r="AB350" s="42"/>
      <c r="AC350" s="42"/>
      <c r="AD350" s="36"/>
      <c r="AE350" s="36"/>
      <c r="AF350" s="42"/>
      <c r="AG350" s="42"/>
      <c r="AH350" s="36"/>
      <c r="AI350" s="36"/>
      <c r="AJ350" s="36"/>
      <c r="AK350" s="36"/>
      <c r="AL350" s="36"/>
      <c r="AM350" s="36"/>
      <c r="AN350" s="36"/>
    </row>
    <row r="351" spans="1:40" ht="15.75" x14ac:dyDescent="0.25">
      <c r="A351" s="44"/>
      <c r="B351" s="36"/>
      <c r="C351" s="36"/>
      <c r="D351" s="36"/>
      <c r="E351" s="36"/>
      <c r="F351" s="36"/>
      <c r="G351" s="36"/>
      <c r="H351" s="36"/>
      <c r="I351" s="36"/>
      <c r="J351" s="105"/>
      <c r="K351" s="36"/>
      <c r="L351" s="36"/>
      <c r="M351" s="36"/>
      <c r="N351" s="105"/>
      <c r="O351" s="36"/>
      <c r="P351" s="36"/>
      <c r="Q351" s="36"/>
      <c r="R351" s="105"/>
      <c r="S351" s="36"/>
      <c r="T351" s="36"/>
      <c r="U351" s="36"/>
      <c r="V351" s="36"/>
      <c r="W351" s="36"/>
      <c r="X351" s="36"/>
      <c r="Y351" s="36"/>
      <c r="Z351" s="36"/>
      <c r="AA351" s="36"/>
      <c r="AB351" s="42"/>
      <c r="AC351" s="42"/>
      <c r="AD351" s="36"/>
      <c r="AE351" s="36"/>
      <c r="AF351" s="42"/>
      <c r="AG351" s="42"/>
      <c r="AH351" s="36"/>
      <c r="AI351" s="36"/>
      <c r="AJ351" s="36"/>
      <c r="AK351" s="36"/>
      <c r="AL351" s="36"/>
      <c r="AM351" s="36"/>
      <c r="AN351" s="36"/>
    </row>
    <row r="352" spans="1:40" ht="15.75" x14ac:dyDescent="0.25">
      <c r="A352" s="44"/>
      <c r="B352" s="36"/>
      <c r="C352" s="36"/>
      <c r="D352" s="36"/>
      <c r="E352" s="36"/>
      <c r="F352" s="36"/>
      <c r="G352" s="36"/>
      <c r="H352" s="36"/>
      <c r="I352" s="36"/>
      <c r="J352" s="105"/>
      <c r="K352" s="36"/>
      <c r="L352" s="36"/>
      <c r="M352" s="36"/>
      <c r="N352" s="105"/>
      <c r="O352" s="36"/>
      <c r="P352" s="36"/>
      <c r="Q352" s="36"/>
      <c r="R352" s="105"/>
      <c r="S352" s="36"/>
      <c r="T352" s="36"/>
      <c r="U352" s="36"/>
      <c r="V352" s="36"/>
      <c r="W352" s="36"/>
      <c r="X352" s="36"/>
      <c r="Y352" s="36"/>
      <c r="Z352" s="36"/>
      <c r="AA352" s="36"/>
      <c r="AB352" s="42"/>
      <c r="AC352" s="42"/>
      <c r="AD352" s="36"/>
      <c r="AE352" s="36"/>
      <c r="AF352" s="42"/>
      <c r="AG352" s="42"/>
      <c r="AH352" s="36"/>
      <c r="AI352" s="36"/>
      <c r="AJ352" s="36"/>
      <c r="AK352" s="36"/>
      <c r="AL352" s="36"/>
      <c r="AM352" s="36"/>
      <c r="AN352" s="36"/>
    </row>
    <row r="353" spans="1:40" ht="15.75" x14ac:dyDescent="0.25">
      <c r="A353" s="44"/>
      <c r="B353" s="36"/>
      <c r="C353" s="36"/>
      <c r="D353" s="36"/>
      <c r="E353" s="36"/>
      <c r="F353" s="36"/>
      <c r="G353" s="36"/>
      <c r="H353" s="36"/>
      <c r="I353" s="36"/>
      <c r="J353" s="105"/>
      <c r="K353" s="36"/>
      <c r="L353" s="36"/>
      <c r="M353" s="36"/>
      <c r="N353" s="105"/>
      <c r="O353" s="36"/>
      <c r="P353" s="36"/>
      <c r="Q353" s="36"/>
      <c r="R353" s="105"/>
      <c r="S353" s="36"/>
      <c r="T353" s="36"/>
      <c r="U353" s="36"/>
      <c r="V353" s="36"/>
      <c r="W353" s="36"/>
      <c r="X353" s="36"/>
      <c r="Y353" s="36"/>
      <c r="Z353" s="36"/>
      <c r="AA353" s="36"/>
      <c r="AB353" s="42"/>
      <c r="AC353" s="42"/>
      <c r="AD353" s="36"/>
      <c r="AE353" s="36"/>
      <c r="AF353" s="42"/>
      <c r="AG353" s="42"/>
      <c r="AH353" s="36"/>
      <c r="AI353" s="36"/>
      <c r="AJ353" s="36"/>
      <c r="AK353" s="36"/>
      <c r="AL353" s="36"/>
      <c r="AM353" s="36"/>
      <c r="AN353" s="36"/>
    </row>
    <row r="354" spans="1:40" ht="15.75" x14ac:dyDescent="0.25">
      <c r="A354" s="44"/>
      <c r="B354" s="36"/>
      <c r="C354" s="36"/>
      <c r="D354" s="36"/>
      <c r="E354" s="36"/>
      <c r="F354" s="36"/>
      <c r="G354" s="36"/>
      <c r="H354" s="36"/>
      <c r="I354" s="36"/>
      <c r="J354" s="105"/>
      <c r="K354" s="36"/>
      <c r="L354" s="36"/>
      <c r="M354" s="36"/>
      <c r="N354" s="105"/>
      <c r="O354" s="36"/>
      <c r="P354" s="36"/>
      <c r="Q354" s="36"/>
      <c r="R354" s="105"/>
      <c r="S354" s="36"/>
      <c r="T354" s="36"/>
      <c r="U354" s="36"/>
      <c r="V354" s="36"/>
      <c r="W354" s="36"/>
      <c r="X354" s="36"/>
      <c r="Y354" s="36"/>
      <c r="Z354" s="36"/>
      <c r="AA354" s="36"/>
      <c r="AB354" s="42"/>
      <c r="AC354" s="42"/>
      <c r="AD354" s="36"/>
      <c r="AE354" s="36"/>
      <c r="AF354" s="42"/>
      <c r="AG354" s="42"/>
      <c r="AH354" s="36"/>
      <c r="AI354" s="36"/>
      <c r="AJ354" s="36"/>
      <c r="AK354" s="36"/>
      <c r="AL354" s="36"/>
      <c r="AM354" s="36"/>
      <c r="AN354" s="36"/>
    </row>
    <row r="355" spans="1:40" ht="15.75" x14ac:dyDescent="0.25">
      <c r="A355" s="44"/>
      <c r="B355" s="36"/>
      <c r="C355" s="36"/>
      <c r="D355" s="36"/>
      <c r="E355" s="36"/>
      <c r="F355" s="36"/>
      <c r="G355" s="36"/>
      <c r="H355" s="36"/>
      <c r="I355" s="36"/>
      <c r="J355" s="105"/>
      <c r="K355" s="36"/>
      <c r="L355" s="36"/>
      <c r="M355" s="36"/>
      <c r="N355" s="105"/>
      <c r="O355" s="36"/>
      <c r="P355" s="36"/>
      <c r="Q355" s="36"/>
      <c r="R355" s="105"/>
      <c r="S355" s="36"/>
      <c r="T355" s="36"/>
      <c r="U355" s="36"/>
      <c r="V355" s="36"/>
      <c r="W355" s="36"/>
      <c r="X355" s="36"/>
      <c r="Y355" s="36"/>
      <c r="Z355" s="36"/>
      <c r="AA355" s="36"/>
      <c r="AB355" s="42"/>
      <c r="AC355" s="42"/>
      <c r="AD355" s="36"/>
      <c r="AE355" s="36"/>
      <c r="AF355" s="42"/>
      <c r="AG355" s="42"/>
      <c r="AH355" s="36"/>
      <c r="AI355" s="36"/>
      <c r="AJ355" s="36"/>
      <c r="AK355" s="36"/>
      <c r="AL355" s="36"/>
      <c r="AM355" s="36"/>
      <c r="AN355" s="36"/>
    </row>
    <row r="356" spans="1:40" ht="15.75" x14ac:dyDescent="0.25">
      <c r="A356" s="44"/>
      <c r="B356" s="36"/>
      <c r="C356" s="36"/>
      <c r="D356" s="36"/>
      <c r="E356" s="36"/>
      <c r="F356" s="36"/>
      <c r="G356" s="36"/>
      <c r="H356" s="36"/>
      <c r="I356" s="36"/>
      <c r="J356" s="105"/>
      <c r="K356" s="36"/>
      <c r="L356" s="36"/>
      <c r="M356" s="36"/>
      <c r="N356" s="105"/>
      <c r="O356" s="36"/>
      <c r="P356" s="36"/>
      <c r="Q356" s="36"/>
      <c r="R356" s="105"/>
      <c r="S356" s="36"/>
      <c r="T356" s="36"/>
      <c r="U356" s="36"/>
      <c r="V356" s="36"/>
      <c r="W356" s="36"/>
      <c r="X356" s="36"/>
      <c r="Y356" s="36"/>
      <c r="Z356" s="36"/>
      <c r="AA356" s="36"/>
      <c r="AB356" s="42"/>
      <c r="AC356" s="42"/>
      <c r="AD356" s="36"/>
      <c r="AE356" s="36"/>
      <c r="AF356" s="42"/>
      <c r="AG356" s="42"/>
      <c r="AH356" s="36"/>
      <c r="AI356" s="36"/>
      <c r="AJ356" s="36"/>
      <c r="AK356" s="36"/>
      <c r="AL356" s="36"/>
      <c r="AM356" s="36"/>
      <c r="AN356" s="36"/>
    </row>
    <row r="357" spans="1:40" ht="15.75" x14ac:dyDescent="0.25">
      <c r="A357" s="44"/>
      <c r="B357" s="36"/>
      <c r="C357" s="36"/>
      <c r="D357" s="36"/>
      <c r="E357" s="36"/>
      <c r="F357" s="36"/>
      <c r="G357" s="36"/>
      <c r="H357" s="36"/>
      <c r="I357" s="36"/>
      <c r="J357" s="105"/>
      <c r="K357" s="36"/>
      <c r="L357" s="36"/>
      <c r="M357" s="36"/>
      <c r="N357" s="105"/>
      <c r="O357" s="36"/>
      <c r="P357" s="36"/>
      <c r="Q357" s="36"/>
      <c r="R357" s="105"/>
      <c r="S357" s="36"/>
      <c r="T357" s="36"/>
      <c r="U357" s="36"/>
      <c r="V357" s="36"/>
      <c r="W357" s="36"/>
      <c r="X357" s="36"/>
      <c r="Y357" s="36"/>
      <c r="Z357" s="36"/>
      <c r="AA357" s="36"/>
      <c r="AB357" s="42"/>
      <c r="AC357" s="42"/>
      <c r="AD357" s="36"/>
      <c r="AE357" s="36"/>
      <c r="AF357" s="42"/>
      <c r="AG357" s="42"/>
      <c r="AH357" s="36"/>
      <c r="AI357" s="36"/>
      <c r="AJ357" s="36"/>
      <c r="AK357" s="36"/>
      <c r="AL357" s="36"/>
      <c r="AM357" s="36"/>
      <c r="AN357" s="36"/>
    </row>
    <row r="358" spans="1:40" ht="15.75" x14ac:dyDescent="0.25">
      <c r="A358" s="44"/>
      <c r="B358" s="36"/>
      <c r="C358" s="36"/>
      <c r="D358" s="36"/>
      <c r="E358" s="36"/>
      <c r="F358" s="36"/>
      <c r="G358" s="36"/>
      <c r="H358" s="36"/>
      <c r="I358" s="36"/>
      <c r="J358" s="105"/>
      <c r="K358" s="36"/>
      <c r="L358" s="36"/>
      <c r="M358" s="36"/>
      <c r="N358" s="105"/>
      <c r="O358" s="36"/>
      <c r="P358" s="36"/>
      <c r="Q358" s="36"/>
      <c r="R358" s="105"/>
      <c r="S358" s="36"/>
      <c r="T358" s="36"/>
      <c r="U358" s="36"/>
      <c r="V358" s="36"/>
      <c r="W358" s="36"/>
      <c r="X358" s="36"/>
      <c r="Y358" s="36"/>
      <c r="Z358" s="36"/>
      <c r="AA358" s="36"/>
      <c r="AB358" s="42"/>
      <c r="AC358" s="42"/>
      <c r="AD358" s="36"/>
      <c r="AE358" s="36"/>
      <c r="AF358" s="42"/>
      <c r="AG358" s="42"/>
      <c r="AH358" s="36"/>
      <c r="AI358" s="36"/>
      <c r="AJ358" s="36"/>
      <c r="AK358" s="36"/>
      <c r="AL358" s="36"/>
      <c r="AM358" s="36"/>
      <c r="AN358" s="36"/>
    </row>
    <row r="359" spans="1:40" ht="15.75" x14ac:dyDescent="0.25">
      <c r="A359" s="44"/>
      <c r="B359" s="36"/>
      <c r="C359" s="36"/>
      <c r="D359" s="36"/>
      <c r="E359" s="36"/>
      <c r="F359" s="36"/>
      <c r="G359" s="36"/>
      <c r="H359" s="36"/>
      <c r="I359" s="36"/>
      <c r="J359" s="105"/>
      <c r="K359" s="36"/>
      <c r="L359" s="36"/>
      <c r="M359" s="36"/>
      <c r="N359" s="105"/>
      <c r="O359" s="36"/>
      <c r="P359" s="36"/>
      <c r="Q359" s="36"/>
      <c r="R359" s="105"/>
      <c r="S359" s="36"/>
      <c r="T359" s="36"/>
      <c r="U359" s="36"/>
      <c r="V359" s="36"/>
      <c r="W359" s="36"/>
      <c r="X359" s="36"/>
      <c r="Y359" s="36"/>
      <c r="Z359" s="36"/>
      <c r="AA359" s="36"/>
      <c r="AB359" s="42"/>
      <c r="AC359" s="42"/>
      <c r="AD359" s="36"/>
      <c r="AE359" s="36"/>
      <c r="AF359" s="42"/>
      <c r="AG359" s="42"/>
      <c r="AH359" s="36"/>
      <c r="AI359" s="36"/>
      <c r="AJ359" s="36"/>
      <c r="AK359" s="36"/>
      <c r="AL359" s="36"/>
      <c r="AM359" s="36"/>
      <c r="AN359" s="36"/>
    </row>
    <row r="360" spans="1:40" ht="15.75" x14ac:dyDescent="0.25">
      <c r="A360" s="44"/>
      <c r="B360" s="36"/>
      <c r="C360" s="36"/>
      <c r="D360" s="36"/>
      <c r="E360" s="36"/>
      <c r="F360" s="36"/>
      <c r="G360" s="36"/>
      <c r="H360" s="36"/>
      <c r="I360" s="36"/>
      <c r="J360" s="105"/>
      <c r="K360" s="36"/>
      <c r="L360" s="36"/>
      <c r="M360" s="36"/>
      <c r="N360" s="105"/>
      <c r="O360" s="36"/>
      <c r="P360" s="36"/>
      <c r="Q360" s="36"/>
      <c r="R360" s="105"/>
      <c r="S360" s="36"/>
      <c r="T360" s="36"/>
      <c r="U360" s="36"/>
      <c r="V360" s="36"/>
      <c r="W360" s="36"/>
      <c r="X360" s="36"/>
      <c r="Y360" s="36"/>
      <c r="Z360" s="36"/>
      <c r="AA360" s="36"/>
      <c r="AB360" s="42"/>
      <c r="AC360" s="42"/>
      <c r="AD360" s="36"/>
      <c r="AE360" s="36"/>
      <c r="AF360" s="42"/>
      <c r="AG360" s="42"/>
      <c r="AH360" s="36"/>
      <c r="AI360" s="36"/>
      <c r="AJ360" s="36"/>
      <c r="AK360" s="36"/>
      <c r="AL360" s="36"/>
      <c r="AM360" s="36"/>
      <c r="AN360" s="36"/>
    </row>
    <row r="361" spans="1:40" ht="15.75" x14ac:dyDescent="0.25">
      <c r="A361" s="44"/>
      <c r="B361" s="36"/>
      <c r="C361" s="36"/>
      <c r="D361" s="36"/>
      <c r="E361" s="36"/>
      <c r="F361" s="36"/>
      <c r="G361" s="36"/>
      <c r="H361" s="36"/>
      <c r="I361" s="36"/>
      <c r="J361" s="105"/>
      <c r="K361" s="36"/>
      <c r="L361" s="36"/>
      <c r="M361" s="36"/>
      <c r="N361" s="105"/>
      <c r="O361" s="36"/>
      <c r="P361" s="36"/>
      <c r="Q361" s="36"/>
      <c r="R361" s="105"/>
      <c r="S361" s="36"/>
      <c r="T361" s="36"/>
      <c r="U361" s="36"/>
      <c r="V361" s="36"/>
      <c r="W361" s="36"/>
      <c r="X361" s="36"/>
      <c r="Y361" s="36"/>
      <c r="Z361" s="36"/>
      <c r="AA361" s="36"/>
      <c r="AB361" s="42"/>
      <c r="AC361" s="42"/>
      <c r="AD361" s="36"/>
      <c r="AE361" s="36"/>
      <c r="AF361" s="42"/>
      <c r="AG361" s="42"/>
      <c r="AH361" s="36"/>
      <c r="AI361" s="36"/>
      <c r="AJ361" s="36"/>
      <c r="AK361" s="36"/>
      <c r="AL361" s="36"/>
      <c r="AM361" s="36"/>
      <c r="AN361" s="36"/>
    </row>
    <row r="362" spans="1:40" ht="15.75" x14ac:dyDescent="0.25">
      <c r="A362" s="44"/>
      <c r="B362" s="36"/>
      <c r="C362" s="36"/>
      <c r="D362" s="36"/>
      <c r="E362" s="36"/>
      <c r="F362" s="36"/>
      <c r="G362" s="36"/>
      <c r="H362" s="36"/>
      <c r="I362" s="36"/>
      <c r="J362" s="105"/>
      <c r="K362" s="36"/>
      <c r="L362" s="36"/>
      <c r="M362" s="36"/>
      <c r="N362" s="105"/>
      <c r="O362" s="36"/>
      <c r="P362" s="36"/>
      <c r="Q362" s="36"/>
      <c r="R362" s="105"/>
      <c r="S362" s="36"/>
      <c r="T362" s="36"/>
      <c r="U362" s="36"/>
      <c r="V362" s="36"/>
      <c r="W362" s="36"/>
      <c r="X362" s="36"/>
      <c r="Y362" s="36"/>
      <c r="Z362" s="36"/>
      <c r="AA362" s="36"/>
      <c r="AB362" s="42"/>
      <c r="AC362" s="42"/>
      <c r="AD362" s="36"/>
      <c r="AE362" s="36"/>
      <c r="AF362" s="42"/>
      <c r="AG362" s="42"/>
      <c r="AH362" s="36"/>
      <c r="AI362" s="36"/>
      <c r="AJ362" s="36"/>
      <c r="AK362" s="36"/>
      <c r="AL362" s="36"/>
      <c r="AM362" s="36"/>
      <c r="AN362" s="36"/>
    </row>
    <row r="363" spans="1:40" ht="15.75" x14ac:dyDescent="0.25">
      <c r="A363" s="44"/>
      <c r="B363" s="36"/>
      <c r="C363" s="36"/>
      <c r="D363" s="36"/>
      <c r="E363" s="36"/>
      <c r="F363" s="36"/>
      <c r="G363" s="36"/>
      <c r="H363" s="36"/>
      <c r="I363" s="36"/>
      <c r="J363" s="105"/>
      <c r="K363" s="36"/>
      <c r="L363" s="36"/>
      <c r="M363" s="36"/>
      <c r="N363" s="105"/>
      <c r="O363" s="36"/>
      <c r="P363" s="36"/>
      <c r="Q363" s="36"/>
      <c r="R363" s="105"/>
      <c r="S363" s="36"/>
      <c r="T363" s="36"/>
      <c r="U363" s="36"/>
      <c r="V363" s="36"/>
      <c r="W363" s="36"/>
      <c r="X363" s="36"/>
      <c r="Y363" s="36"/>
      <c r="Z363" s="36"/>
      <c r="AA363" s="36"/>
      <c r="AB363" s="42"/>
      <c r="AC363" s="42"/>
      <c r="AD363" s="36"/>
      <c r="AE363" s="36"/>
      <c r="AF363" s="42"/>
      <c r="AG363" s="42"/>
      <c r="AH363" s="36"/>
      <c r="AI363" s="36"/>
      <c r="AJ363" s="36"/>
      <c r="AK363" s="36"/>
      <c r="AL363" s="36"/>
      <c r="AM363" s="36"/>
      <c r="AN363" s="36"/>
    </row>
    <row r="364" spans="1:40" ht="15.75" x14ac:dyDescent="0.25">
      <c r="A364" s="44"/>
      <c r="B364" s="36"/>
      <c r="C364" s="36"/>
      <c r="D364" s="36"/>
      <c r="E364" s="36"/>
      <c r="F364" s="36"/>
      <c r="G364" s="36"/>
      <c r="H364" s="36"/>
      <c r="I364" s="36"/>
      <c r="J364" s="105"/>
      <c r="K364" s="36"/>
      <c r="L364" s="36"/>
      <c r="M364" s="36"/>
      <c r="N364" s="105"/>
      <c r="O364" s="36"/>
      <c r="P364" s="36"/>
      <c r="Q364" s="36"/>
      <c r="R364" s="105"/>
      <c r="S364" s="36"/>
      <c r="T364" s="36"/>
      <c r="U364" s="36"/>
      <c r="V364" s="36"/>
      <c r="W364" s="36"/>
      <c r="X364" s="36"/>
      <c r="Y364" s="36"/>
      <c r="Z364" s="36"/>
      <c r="AA364" s="36"/>
      <c r="AB364" s="42"/>
      <c r="AC364" s="42"/>
      <c r="AD364" s="36"/>
      <c r="AE364" s="36"/>
      <c r="AF364" s="42"/>
      <c r="AG364" s="42"/>
      <c r="AH364" s="36"/>
      <c r="AI364" s="36"/>
      <c r="AJ364" s="36"/>
      <c r="AK364" s="36"/>
      <c r="AL364" s="36"/>
      <c r="AM364" s="36"/>
      <c r="AN364" s="36"/>
    </row>
    <row r="365" spans="1:40" ht="15.75" x14ac:dyDescent="0.25">
      <c r="A365" s="44"/>
      <c r="B365" s="36"/>
      <c r="C365" s="36"/>
      <c r="D365" s="36"/>
      <c r="E365" s="36"/>
      <c r="F365" s="36"/>
      <c r="G365" s="36"/>
      <c r="H365" s="36"/>
      <c r="I365" s="36"/>
      <c r="J365" s="105"/>
      <c r="K365" s="36"/>
      <c r="L365" s="36"/>
      <c r="M365" s="36"/>
      <c r="N365" s="105"/>
      <c r="O365" s="36"/>
      <c r="P365" s="36"/>
      <c r="Q365" s="36"/>
      <c r="R365" s="105"/>
      <c r="S365" s="36"/>
      <c r="T365" s="36"/>
      <c r="U365" s="36"/>
      <c r="V365" s="36"/>
      <c r="W365" s="36"/>
      <c r="X365" s="36"/>
      <c r="Y365" s="36"/>
      <c r="Z365" s="36"/>
      <c r="AA365" s="36"/>
      <c r="AB365" s="42"/>
      <c r="AC365" s="42"/>
      <c r="AD365" s="36"/>
      <c r="AE365" s="36"/>
      <c r="AF365" s="42"/>
      <c r="AG365" s="42"/>
      <c r="AH365" s="36"/>
      <c r="AI365" s="36"/>
      <c r="AJ365" s="36"/>
      <c r="AK365" s="36"/>
      <c r="AL365" s="36"/>
      <c r="AM365" s="36"/>
      <c r="AN365" s="36"/>
    </row>
    <row r="366" spans="1:40" ht="15.75" x14ac:dyDescent="0.25">
      <c r="A366" s="44"/>
      <c r="B366" s="36"/>
      <c r="C366" s="36"/>
      <c r="D366" s="36"/>
      <c r="E366" s="36"/>
      <c r="F366" s="36"/>
      <c r="G366" s="36"/>
      <c r="H366" s="36"/>
      <c r="I366" s="36"/>
      <c r="J366" s="105"/>
      <c r="K366" s="36"/>
      <c r="L366" s="36"/>
      <c r="M366" s="36"/>
      <c r="N366" s="105"/>
      <c r="O366" s="36"/>
      <c r="P366" s="36"/>
      <c r="Q366" s="36"/>
      <c r="R366" s="105"/>
      <c r="S366" s="36"/>
      <c r="T366" s="36"/>
      <c r="U366" s="36"/>
      <c r="V366" s="36"/>
      <c r="W366" s="36"/>
      <c r="X366" s="36"/>
      <c r="Y366" s="36"/>
      <c r="Z366" s="36"/>
      <c r="AA366" s="36"/>
      <c r="AB366" s="42"/>
      <c r="AC366" s="42"/>
      <c r="AD366" s="36"/>
      <c r="AE366" s="36"/>
      <c r="AF366" s="42"/>
      <c r="AG366" s="42"/>
      <c r="AH366" s="36"/>
      <c r="AI366" s="36"/>
      <c r="AJ366" s="36"/>
      <c r="AK366" s="36"/>
      <c r="AL366" s="36"/>
      <c r="AM366" s="36"/>
      <c r="AN366" s="36"/>
    </row>
    <row r="367" spans="1:40" ht="15.75" x14ac:dyDescent="0.25">
      <c r="A367" s="44"/>
      <c r="B367" s="36"/>
      <c r="C367" s="36"/>
      <c r="D367" s="36"/>
      <c r="E367" s="36"/>
      <c r="F367" s="36"/>
      <c r="G367" s="36"/>
      <c r="H367" s="36"/>
      <c r="I367" s="36"/>
      <c r="J367" s="105"/>
      <c r="K367" s="36"/>
      <c r="L367" s="36"/>
      <c r="M367" s="36"/>
      <c r="N367" s="105"/>
      <c r="O367" s="36"/>
      <c r="P367" s="36"/>
      <c r="Q367" s="36"/>
      <c r="R367" s="105"/>
      <c r="S367" s="36"/>
      <c r="T367" s="36"/>
      <c r="U367" s="36"/>
      <c r="V367" s="36"/>
      <c r="W367" s="36"/>
      <c r="X367" s="36"/>
      <c r="Y367" s="36"/>
      <c r="Z367" s="36"/>
      <c r="AA367" s="36"/>
      <c r="AB367" s="42"/>
      <c r="AC367" s="42"/>
      <c r="AD367" s="36"/>
      <c r="AE367" s="36"/>
      <c r="AF367" s="42"/>
      <c r="AG367" s="42"/>
      <c r="AH367" s="36"/>
      <c r="AI367" s="36"/>
      <c r="AJ367" s="36"/>
      <c r="AK367" s="36"/>
      <c r="AL367" s="36"/>
      <c r="AM367" s="36"/>
      <c r="AN367" s="36"/>
    </row>
    <row r="368" spans="1:40" ht="15.75" x14ac:dyDescent="0.25">
      <c r="A368" s="44"/>
      <c r="B368" s="36"/>
      <c r="C368" s="36"/>
      <c r="D368" s="36"/>
      <c r="E368" s="36"/>
      <c r="F368" s="36"/>
      <c r="G368" s="36"/>
      <c r="H368" s="36"/>
      <c r="I368" s="36"/>
      <c r="J368" s="105"/>
      <c r="K368" s="36"/>
      <c r="L368" s="36"/>
      <c r="M368" s="36"/>
      <c r="N368" s="105"/>
      <c r="O368" s="36"/>
      <c r="P368" s="36"/>
      <c r="Q368" s="36"/>
      <c r="R368" s="105"/>
      <c r="S368" s="36"/>
      <c r="T368" s="36"/>
      <c r="U368" s="36"/>
      <c r="V368" s="36"/>
      <c r="W368" s="36"/>
      <c r="X368" s="36"/>
      <c r="Y368" s="36"/>
      <c r="Z368" s="36"/>
      <c r="AA368" s="36"/>
      <c r="AB368" s="42"/>
      <c r="AC368" s="42"/>
      <c r="AD368" s="36"/>
      <c r="AE368" s="36"/>
      <c r="AF368" s="42"/>
      <c r="AG368" s="42"/>
      <c r="AH368" s="36"/>
      <c r="AI368" s="36"/>
      <c r="AJ368" s="36"/>
      <c r="AK368" s="36"/>
      <c r="AL368" s="36"/>
      <c r="AM368" s="36"/>
      <c r="AN368" s="36"/>
    </row>
    <row r="369" spans="1:40" ht="15.75" x14ac:dyDescent="0.25">
      <c r="A369" s="44"/>
      <c r="B369" s="36"/>
      <c r="C369" s="36"/>
      <c r="D369" s="36"/>
      <c r="E369" s="36"/>
      <c r="F369" s="36"/>
      <c r="G369" s="36"/>
      <c r="H369" s="36"/>
      <c r="I369" s="36"/>
      <c r="J369" s="105"/>
      <c r="K369" s="36"/>
      <c r="L369" s="36"/>
      <c r="M369" s="36"/>
      <c r="N369" s="105"/>
      <c r="O369" s="36"/>
      <c r="P369" s="36"/>
      <c r="Q369" s="36"/>
      <c r="R369" s="105"/>
      <c r="S369" s="36"/>
      <c r="T369" s="36"/>
      <c r="U369" s="36"/>
      <c r="V369" s="36"/>
      <c r="W369" s="36"/>
      <c r="X369" s="36"/>
      <c r="Y369" s="36"/>
      <c r="Z369" s="36"/>
      <c r="AA369" s="36"/>
      <c r="AB369" s="42"/>
      <c r="AC369" s="42"/>
      <c r="AD369" s="36"/>
      <c r="AE369" s="36"/>
      <c r="AF369" s="42"/>
      <c r="AG369" s="42"/>
      <c r="AH369" s="36"/>
      <c r="AI369" s="36"/>
      <c r="AJ369" s="36"/>
      <c r="AK369" s="36"/>
      <c r="AL369" s="36"/>
      <c r="AM369" s="36"/>
      <c r="AN369" s="36"/>
    </row>
    <row r="370" spans="1:40" ht="15.75" x14ac:dyDescent="0.25">
      <c r="A370" s="44"/>
      <c r="B370" s="36"/>
      <c r="C370" s="36"/>
      <c r="D370" s="36"/>
      <c r="E370" s="36"/>
      <c r="F370" s="36"/>
      <c r="G370" s="36"/>
      <c r="H370" s="36"/>
      <c r="I370" s="36"/>
      <c r="J370" s="105"/>
      <c r="K370" s="36"/>
      <c r="L370" s="36"/>
      <c r="M370" s="36"/>
      <c r="N370" s="105"/>
      <c r="O370" s="36"/>
      <c r="P370" s="36"/>
      <c r="Q370" s="36"/>
      <c r="R370" s="105"/>
      <c r="S370" s="36"/>
      <c r="T370" s="36"/>
      <c r="U370" s="36"/>
      <c r="V370" s="36"/>
      <c r="W370" s="36"/>
      <c r="X370" s="36"/>
      <c r="Y370" s="36"/>
      <c r="Z370" s="36"/>
      <c r="AA370" s="36"/>
      <c r="AB370" s="42"/>
      <c r="AC370" s="42"/>
      <c r="AD370" s="36"/>
      <c r="AE370" s="36"/>
      <c r="AF370" s="42"/>
      <c r="AG370" s="42"/>
      <c r="AH370" s="36"/>
      <c r="AI370" s="36"/>
      <c r="AJ370" s="36"/>
      <c r="AK370" s="36"/>
      <c r="AL370" s="36"/>
      <c r="AM370" s="36"/>
      <c r="AN370" s="36"/>
    </row>
    <row r="371" spans="1:40" ht="15.75" x14ac:dyDescent="0.25">
      <c r="A371" s="44"/>
      <c r="B371" s="36"/>
      <c r="C371" s="36"/>
      <c r="D371" s="36"/>
      <c r="E371" s="36"/>
      <c r="F371" s="36"/>
      <c r="G371" s="36"/>
      <c r="H371" s="36"/>
      <c r="I371" s="36"/>
      <c r="J371" s="105"/>
      <c r="K371" s="36"/>
      <c r="L371" s="36"/>
      <c r="M371" s="36"/>
      <c r="N371" s="105"/>
      <c r="O371" s="36"/>
      <c r="P371" s="36"/>
      <c r="Q371" s="36"/>
      <c r="R371" s="105"/>
      <c r="S371" s="36"/>
      <c r="T371" s="36"/>
      <c r="U371" s="36"/>
      <c r="V371" s="36"/>
      <c r="W371" s="36"/>
      <c r="X371" s="36"/>
      <c r="Y371" s="36"/>
      <c r="Z371" s="36"/>
      <c r="AA371" s="36"/>
      <c r="AB371" s="42"/>
      <c r="AC371" s="42"/>
      <c r="AD371" s="36"/>
      <c r="AE371" s="36"/>
      <c r="AF371" s="42"/>
      <c r="AG371" s="42"/>
      <c r="AH371" s="36"/>
      <c r="AI371" s="36"/>
      <c r="AJ371" s="36"/>
      <c r="AK371" s="36"/>
      <c r="AL371" s="36"/>
      <c r="AM371" s="36"/>
      <c r="AN371" s="36"/>
    </row>
    <row r="372" spans="1:40" ht="15.75" x14ac:dyDescent="0.25">
      <c r="A372" s="44"/>
      <c r="B372" s="36"/>
      <c r="C372" s="36"/>
      <c r="D372" s="36"/>
      <c r="E372" s="36"/>
      <c r="F372" s="36"/>
      <c r="G372" s="36"/>
      <c r="H372" s="36"/>
      <c r="I372" s="36"/>
      <c r="J372" s="105"/>
      <c r="K372" s="36"/>
      <c r="L372" s="36"/>
      <c r="M372" s="36"/>
      <c r="N372" s="105"/>
      <c r="O372" s="36"/>
      <c r="P372" s="36"/>
      <c r="Q372" s="36"/>
      <c r="R372" s="105"/>
      <c r="S372" s="36"/>
      <c r="T372" s="36"/>
      <c r="U372" s="36"/>
      <c r="V372" s="36"/>
      <c r="W372" s="36"/>
      <c r="X372" s="36"/>
      <c r="Y372" s="36"/>
      <c r="Z372" s="36"/>
      <c r="AA372" s="36"/>
      <c r="AB372" s="42"/>
      <c r="AC372" s="42"/>
      <c r="AD372" s="36"/>
      <c r="AE372" s="36"/>
      <c r="AF372" s="42"/>
      <c r="AG372" s="42"/>
      <c r="AH372" s="36"/>
      <c r="AI372" s="36"/>
      <c r="AJ372" s="36"/>
      <c r="AK372" s="36"/>
      <c r="AL372" s="36"/>
      <c r="AM372" s="36"/>
      <c r="AN372" s="36"/>
    </row>
    <row r="373" spans="1:40" ht="15.75" x14ac:dyDescent="0.25">
      <c r="A373" s="44"/>
      <c r="B373" s="36"/>
      <c r="C373" s="36"/>
      <c r="D373" s="36"/>
      <c r="E373" s="36"/>
      <c r="F373" s="36"/>
      <c r="G373" s="36"/>
      <c r="H373" s="36"/>
      <c r="I373" s="36"/>
      <c r="J373" s="105"/>
      <c r="K373" s="36"/>
      <c r="L373" s="36"/>
      <c r="M373" s="36"/>
      <c r="N373" s="105"/>
      <c r="O373" s="36"/>
      <c r="P373" s="36"/>
      <c r="Q373" s="36"/>
      <c r="R373" s="105"/>
      <c r="S373" s="36"/>
      <c r="T373" s="36"/>
      <c r="U373" s="36"/>
      <c r="V373" s="36"/>
      <c r="W373" s="36"/>
      <c r="X373" s="36"/>
      <c r="Y373" s="36"/>
      <c r="Z373" s="36"/>
      <c r="AA373" s="36"/>
      <c r="AB373" s="42"/>
      <c r="AC373" s="42"/>
      <c r="AD373" s="36"/>
      <c r="AE373" s="36"/>
      <c r="AF373" s="42"/>
      <c r="AG373" s="42"/>
      <c r="AH373" s="36"/>
      <c r="AI373" s="36"/>
      <c r="AJ373" s="36"/>
      <c r="AK373" s="36"/>
      <c r="AL373" s="36"/>
      <c r="AM373" s="36"/>
      <c r="AN373" s="36"/>
    </row>
    <row r="374" spans="1:40" ht="15.75" x14ac:dyDescent="0.25">
      <c r="A374" s="44"/>
      <c r="B374" s="36"/>
      <c r="C374" s="36"/>
      <c r="D374" s="36"/>
      <c r="E374" s="36"/>
      <c r="F374" s="36"/>
      <c r="G374" s="36"/>
      <c r="H374" s="36"/>
      <c r="I374" s="36"/>
      <c r="J374" s="105"/>
      <c r="K374" s="36"/>
      <c r="L374" s="36"/>
      <c r="M374" s="36"/>
      <c r="N374" s="105"/>
      <c r="O374" s="36"/>
      <c r="P374" s="36"/>
      <c r="Q374" s="36"/>
      <c r="R374" s="105"/>
      <c r="S374" s="36"/>
      <c r="T374" s="36"/>
      <c r="U374" s="36"/>
      <c r="V374" s="36"/>
      <c r="W374" s="36"/>
      <c r="X374" s="36"/>
      <c r="Y374" s="36"/>
      <c r="Z374" s="36"/>
      <c r="AA374" s="36"/>
      <c r="AB374" s="42"/>
      <c r="AC374" s="42"/>
      <c r="AD374" s="36"/>
      <c r="AE374" s="36"/>
      <c r="AF374" s="42"/>
      <c r="AG374" s="42"/>
      <c r="AH374" s="36"/>
      <c r="AI374" s="36"/>
      <c r="AJ374" s="36"/>
      <c r="AK374" s="36"/>
      <c r="AL374" s="36"/>
      <c r="AM374" s="36"/>
      <c r="AN374" s="36"/>
    </row>
    <row r="375" spans="1:40" ht="15.75" x14ac:dyDescent="0.25">
      <c r="A375" s="44"/>
      <c r="B375" s="36"/>
      <c r="C375" s="36"/>
      <c r="D375" s="36"/>
      <c r="E375" s="36"/>
      <c r="F375" s="36"/>
      <c r="G375" s="36"/>
      <c r="H375" s="36"/>
      <c r="I375" s="36"/>
      <c r="J375" s="105"/>
      <c r="K375" s="36"/>
      <c r="L375" s="36"/>
      <c r="M375" s="36"/>
      <c r="N375" s="105"/>
      <c r="O375" s="36"/>
      <c r="P375" s="36"/>
      <c r="Q375" s="36"/>
      <c r="R375" s="105"/>
      <c r="S375" s="36"/>
      <c r="T375" s="36"/>
      <c r="U375" s="36"/>
      <c r="V375" s="36"/>
      <c r="W375" s="36"/>
      <c r="X375" s="36"/>
      <c r="Y375" s="36"/>
      <c r="Z375" s="36"/>
      <c r="AA375" s="36"/>
      <c r="AB375" s="42"/>
      <c r="AC375" s="42"/>
      <c r="AD375" s="36"/>
      <c r="AE375" s="36"/>
      <c r="AF375" s="42"/>
      <c r="AG375" s="42"/>
      <c r="AH375" s="36"/>
      <c r="AI375" s="36"/>
      <c r="AJ375" s="36"/>
      <c r="AK375" s="36"/>
      <c r="AL375" s="36"/>
      <c r="AM375" s="36"/>
      <c r="AN375" s="36"/>
    </row>
    <row r="376" spans="1:40" ht="15.75" x14ac:dyDescent="0.25">
      <c r="A376" s="44"/>
      <c r="B376" s="36"/>
      <c r="C376" s="36"/>
      <c r="D376" s="36"/>
      <c r="E376" s="36"/>
      <c r="F376" s="36"/>
      <c r="G376" s="36"/>
      <c r="H376" s="36"/>
      <c r="I376" s="36"/>
      <c r="J376" s="105"/>
      <c r="K376" s="36"/>
      <c r="L376" s="36"/>
      <c r="M376" s="36"/>
      <c r="N376" s="105"/>
      <c r="O376" s="36"/>
      <c r="P376" s="36"/>
      <c r="Q376" s="36"/>
      <c r="R376" s="105"/>
      <c r="S376" s="36"/>
      <c r="T376" s="36"/>
      <c r="U376" s="36"/>
      <c r="V376" s="36"/>
      <c r="W376" s="36"/>
      <c r="X376" s="36"/>
      <c r="Y376" s="36"/>
      <c r="Z376" s="36"/>
      <c r="AA376" s="36"/>
      <c r="AB376" s="42"/>
      <c r="AC376" s="42"/>
      <c r="AD376" s="36"/>
      <c r="AE376" s="36"/>
      <c r="AF376" s="42"/>
      <c r="AG376" s="42"/>
      <c r="AH376" s="36"/>
      <c r="AI376" s="36"/>
      <c r="AJ376" s="36"/>
      <c r="AK376" s="36"/>
      <c r="AL376" s="36"/>
      <c r="AM376" s="36"/>
      <c r="AN376" s="36"/>
    </row>
    <row r="377" spans="1:40" ht="15.75" x14ac:dyDescent="0.25">
      <c r="A377" s="44"/>
      <c r="B377" s="36"/>
      <c r="C377" s="36"/>
      <c r="D377" s="36"/>
      <c r="E377" s="36"/>
      <c r="F377" s="36"/>
      <c r="G377" s="36"/>
      <c r="H377" s="36"/>
      <c r="I377" s="36"/>
      <c r="J377" s="105"/>
      <c r="K377" s="36"/>
      <c r="L377" s="36"/>
      <c r="M377" s="36"/>
      <c r="N377" s="105"/>
      <c r="O377" s="36"/>
      <c r="P377" s="36"/>
      <c r="Q377" s="36"/>
      <c r="R377" s="105"/>
      <c r="S377" s="36"/>
      <c r="T377" s="36"/>
      <c r="U377" s="36"/>
      <c r="V377" s="36"/>
      <c r="W377" s="36"/>
      <c r="X377" s="36"/>
      <c r="Y377" s="36"/>
      <c r="Z377" s="36"/>
      <c r="AA377" s="36"/>
      <c r="AB377" s="42"/>
      <c r="AC377" s="42"/>
      <c r="AD377" s="36"/>
      <c r="AE377" s="36"/>
      <c r="AF377" s="42"/>
      <c r="AG377" s="42"/>
      <c r="AH377" s="36"/>
      <c r="AI377" s="36"/>
      <c r="AJ377" s="36"/>
      <c r="AK377" s="36"/>
      <c r="AL377" s="36"/>
      <c r="AM377" s="36"/>
      <c r="AN377" s="36"/>
    </row>
    <row r="378" spans="1:40" ht="15.75" x14ac:dyDescent="0.25">
      <c r="A378" s="44"/>
      <c r="B378" s="36"/>
      <c r="C378" s="36"/>
      <c r="D378" s="36"/>
      <c r="E378" s="36"/>
      <c r="F378" s="36"/>
      <c r="G378" s="36"/>
      <c r="H378" s="36"/>
      <c r="I378" s="36"/>
      <c r="J378" s="105"/>
      <c r="K378" s="36"/>
      <c r="L378" s="36"/>
      <c r="M378" s="36"/>
      <c r="N378" s="105"/>
      <c r="O378" s="36"/>
      <c r="P378" s="36"/>
      <c r="Q378" s="36"/>
      <c r="R378" s="105"/>
      <c r="S378" s="36"/>
      <c r="T378" s="36"/>
      <c r="U378" s="36"/>
      <c r="V378" s="36"/>
      <c r="W378" s="36"/>
      <c r="X378" s="36"/>
      <c r="Y378" s="36"/>
      <c r="Z378" s="36"/>
      <c r="AA378" s="36"/>
      <c r="AB378" s="42"/>
      <c r="AC378" s="42"/>
      <c r="AD378" s="36"/>
      <c r="AE378" s="36"/>
      <c r="AF378" s="42"/>
      <c r="AG378" s="42"/>
      <c r="AH378" s="36"/>
      <c r="AI378" s="36"/>
      <c r="AJ378" s="36"/>
      <c r="AK378" s="36"/>
      <c r="AL378" s="36"/>
      <c r="AM378" s="36"/>
      <c r="AN378" s="36"/>
    </row>
    <row r="379" spans="1:40" ht="15.75" x14ac:dyDescent="0.25">
      <c r="A379" s="44"/>
      <c r="B379" s="36"/>
      <c r="C379" s="36"/>
      <c r="D379" s="36"/>
      <c r="E379" s="36"/>
      <c r="F379" s="36"/>
      <c r="G379" s="36"/>
      <c r="H379" s="36"/>
      <c r="I379" s="36"/>
      <c r="J379" s="105"/>
      <c r="K379" s="36"/>
      <c r="L379" s="36"/>
      <c r="M379" s="36"/>
      <c r="N379" s="105"/>
      <c r="O379" s="36"/>
      <c r="P379" s="36"/>
      <c r="Q379" s="36"/>
      <c r="R379" s="105"/>
      <c r="S379" s="36"/>
      <c r="T379" s="36"/>
      <c r="U379" s="36"/>
      <c r="V379" s="36"/>
      <c r="W379" s="36"/>
      <c r="X379" s="36"/>
      <c r="Y379" s="36"/>
      <c r="Z379" s="36"/>
      <c r="AA379" s="36"/>
      <c r="AB379" s="42"/>
      <c r="AC379" s="42"/>
      <c r="AD379" s="36"/>
      <c r="AE379" s="36"/>
      <c r="AF379" s="42"/>
      <c r="AG379" s="42"/>
      <c r="AH379" s="36"/>
      <c r="AI379" s="36"/>
      <c r="AJ379" s="36"/>
      <c r="AK379" s="36"/>
      <c r="AL379" s="36"/>
      <c r="AM379" s="36"/>
      <c r="AN379" s="36"/>
    </row>
    <row r="380" spans="1:40" ht="15.75" x14ac:dyDescent="0.25">
      <c r="A380" s="44"/>
      <c r="B380" s="36"/>
      <c r="C380" s="36"/>
      <c r="D380" s="36"/>
      <c r="E380" s="36"/>
      <c r="F380" s="36"/>
      <c r="G380" s="36"/>
      <c r="H380" s="36"/>
      <c r="I380" s="36"/>
      <c r="J380" s="105"/>
      <c r="K380" s="36"/>
      <c r="L380" s="36"/>
      <c r="M380" s="36"/>
      <c r="N380" s="105"/>
      <c r="O380" s="36"/>
      <c r="P380" s="36"/>
      <c r="Q380" s="36"/>
      <c r="R380" s="105"/>
      <c r="S380" s="36"/>
      <c r="T380" s="36"/>
      <c r="U380" s="36"/>
      <c r="V380" s="36"/>
      <c r="W380" s="36"/>
      <c r="X380" s="36"/>
      <c r="Y380" s="36"/>
      <c r="Z380" s="36"/>
      <c r="AA380" s="36"/>
      <c r="AB380" s="42"/>
      <c r="AC380" s="42"/>
      <c r="AD380" s="36"/>
      <c r="AE380" s="36"/>
      <c r="AF380" s="42"/>
      <c r="AG380" s="42"/>
      <c r="AH380" s="36"/>
      <c r="AI380" s="36"/>
      <c r="AJ380" s="36"/>
      <c r="AK380" s="36"/>
      <c r="AL380" s="36"/>
      <c r="AM380" s="36"/>
      <c r="AN380" s="36"/>
    </row>
    <row r="381" spans="1:40" ht="15.75" x14ac:dyDescent="0.25">
      <c r="A381" s="44"/>
      <c r="B381" s="36"/>
      <c r="C381" s="36"/>
      <c r="D381" s="36"/>
      <c r="E381" s="36"/>
      <c r="F381" s="36"/>
      <c r="G381" s="36"/>
      <c r="H381" s="36"/>
      <c r="I381" s="36"/>
      <c r="J381" s="105"/>
      <c r="K381" s="36"/>
      <c r="L381" s="36"/>
      <c r="M381" s="36"/>
      <c r="N381" s="105"/>
      <c r="O381" s="36"/>
      <c r="P381" s="36"/>
      <c r="Q381" s="36"/>
      <c r="R381" s="105"/>
      <c r="S381" s="36"/>
      <c r="T381" s="36"/>
      <c r="U381" s="36"/>
      <c r="V381" s="36"/>
      <c r="W381" s="36"/>
      <c r="X381" s="36"/>
      <c r="Y381" s="36"/>
      <c r="Z381" s="36"/>
      <c r="AA381" s="36"/>
      <c r="AB381" s="42"/>
      <c r="AC381" s="42"/>
      <c r="AD381" s="36"/>
      <c r="AE381" s="36"/>
      <c r="AF381" s="42"/>
      <c r="AG381" s="42"/>
      <c r="AH381" s="36"/>
      <c r="AI381" s="36"/>
      <c r="AJ381" s="36"/>
      <c r="AK381" s="36"/>
      <c r="AL381" s="36"/>
      <c r="AM381" s="36"/>
      <c r="AN381" s="36"/>
    </row>
    <row r="382" spans="1:40" ht="15.75" x14ac:dyDescent="0.25">
      <c r="A382" s="44"/>
      <c r="B382" s="36"/>
      <c r="C382" s="36"/>
      <c r="D382" s="36"/>
      <c r="E382" s="36"/>
      <c r="F382" s="36"/>
      <c r="G382" s="36"/>
      <c r="H382" s="36"/>
      <c r="I382" s="36"/>
      <c r="J382" s="105"/>
      <c r="K382" s="36"/>
      <c r="L382" s="36"/>
      <c r="M382" s="36"/>
      <c r="N382" s="105"/>
      <c r="O382" s="36"/>
      <c r="P382" s="36"/>
      <c r="Q382" s="36"/>
      <c r="R382" s="105"/>
      <c r="S382" s="36"/>
      <c r="T382" s="36"/>
      <c r="U382" s="36"/>
      <c r="V382" s="36"/>
      <c r="W382" s="36"/>
      <c r="X382" s="36"/>
      <c r="Y382" s="36"/>
      <c r="Z382" s="36"/>
      <c r="AA382" s="36"/>
      <c r="AB382" s="42"/>
      <c r="AC382" s="42"/>
      <c r="AD382" s="36"/>
      <c r="AE382" s="36"/>
      <c r="AF382" s="42"/>
      <c r="AG382" s="42"/>
      <c r="AH382" s="36"/>
      <c r="AI382" s="36"/>
      <c r="AJ382" s="36"/>
      <c r="AK382" s="36"/>
      <c r="AL382" s="36"/>
      <c r="AM382" s="36"/>
      <c r="AN382" s="36"/>
    </row>
    <row r="383" spans="1:40" ht="15.75" x14ac:dyDescent="0.25">
      <c r="A383" s="44"/>
      <c r="B383" s="36"/>
      <c r="C383" s="36"/>
      <c r="D383" s="36"/>
      <c r="E383" s="36"/>
      <c r="F383" s="36"/>
      <c r="G383" s="36"/>
      <c r="H383" s="36"/>
      <c r="I383" s="36"/>
      <c r="J383" s="105"/>
      <c r="K383" s="36"/>
      <c r="L383" s="36"/>
      <c r="M383" s="36"/>
      <c r="N383" s="105"/>
      <c r="O383" s="36"/>
      <c r="P383" s="36"/>
      <c r="Q383" s="36"/>
      <c r="R383" s="105"/>
      <c r="S383" s="36"/>
      <c r="T383" s="36"/>
      <c r="U383" s="36"/>
      <c r="V383" s="36"/>
      <c r="W383" s="36"/>
      <c r="X383" s="36"/>
      <c r="Y383" s="36"/>
      <c r="Z383" s="36"/>
      <c r="AA383" s="36"/>
      <c r="AB383" s="42"/>
      <c r="AC383" s="42"/>
      <c r="AD383" s="36"/>
      <c r="AE383" s="36"/>
      <c r="AF383" s="42"/>
      <c r="AG383" s="42"/>
      <c r="AH383" s="36"/>
      <c r="AI383" s="36"/>
      <c r="AJ383" s="36"/>
      <c r="AK383" s="36"/>
      <c r="AL383" s="36"/>
      <c r="AM383" s="36"/>
      <c r="AN383" s="36"/>
    </row>
    <row r="384" spans="1:40" ht="15.75" x14ac:dyDescent="0.25">
      <c r="A384" s="44"/>
      <c r="B384" s="36"/>
      <c r="C384" s="36"/>
      <c r="D384" s="36"/>
      <c r="E384" s="36"/>
      <c r="F384" s="36"/>
      <c r="G384" s="36"/>
      <c r="H384" s="36"/>
      <c r="I384" s="36"/>
      <c r="J384" s="105"/>
      <c r="K384" s="36"/>
      <c r="L384" s="36"/>
      <c r="M384" s="36"/>
      <c r="N384" s="105"/>
      <c r="O384" s="36"/>
      <c r="P384" s="36"/>
      <c r="Q384" s="36"/>
      <c r="R384" s="105"/>
      <c r="S384" s="36"/>
      <c r="T384" s="36"/>
      <c r="U384" s="36"/>
      <c r="V384" s="36"/>
      <c r="W384" s="36"/>
      <c r="X384" s="36"/>
      <c r="Y384" s="36"/>
      <c r="Z384" s="36"/>
      <c r="AA384" s="36"/>
      <c r="AB384" s="42"/>
      <c r="AC384" s="42"/>
      <c r="AD384" s="36"/>
      <c r="AE384" s="36"/>
      <c r="AF384" s="42"/>
      <c r="AG384" s="42"/>
      <c r="AH384" s="36"/>
      <c r="AI384" s="36"/>
      <c r="AJ384" s="36"/>
      <c r="AK384" s="36"/>
      <c r="AL384" s="36"/>
      <c r="AM384" s="36"/>
      <c r="AN384" s="36"/>
    </row>
    <row r="385" spans="1:40" ht="15.75" x14ac:dyDescent="0.25">
      <c r="A385" s="44"/>
      <c r="B385" s="36"/>
      <c r="C385" s="36"/>
      <c r="D385" s="36"/>
      <c r="E385" s="36"/>
      <c r="F385" s="36"/>
      <c r="G385" s="36"/>
      <c r="H385" s="36"/>
      <c r="I385" s="36"/>
      <c r="J385" s="105"/>
      <c r="K385" s="36"/>
      <c r="L385" s="36"/>
      <c r="M385" s="36"/>
      <c r="N385" s="105"/>
      <c r="O385" s="36"/>
      <c r="P385" s="36"/>
      <c r="Q385" s="36"/>
      <c r="R385" s="105"/>
      <c r="S385" s="36"/>
      <c r="T385" s="36"/>
      <c r="U385" s="36"/>
      <c r="V385" s="36"/>
      <c r="W385" s="36"/>
      <c r="X385" s="36"/>
      <c r="Y385" s="36"/>
      <c r="Z385" s="36"/>
      <c r="AA385" s="36"/>
      <c r="AB385" s="42"/>
      <c r="AC385" s="42"/>
      <c r="AD385" s="36"/>
      <c r="AE385" s="36"/>
      <c r="AF385" s="42"/>
      <c r="AG385" s="42"/>
      <c r="AH385" s="36"/>
      <c r="AI385" s="36"/>
      <c r="AJ385" s="36"/>
      <c r="AK385" s="36"/>
      <c r="AL385" s="36"/>
      <c r="AM385" s="36"/>
      <c r="AN385" s="36"/>
    </row>
    <row r="386" spans="1:40" ht="15.75" x14ac:dyDescent="0.25">
      <c r="A386" s="44"/>
      <c r="B386" s="36"/>
      <c r="C386" s="36"/>
      <c r="D386" s="36"/>
      <c r="E386" s="36"/>
      <c r="F386" s="36"/>
      <c r="G386" s="36"/>
      <c r="H386" s="36"/>
      <c r="I386" s="36"/>
      <c r="J386" s="105"/>
      <c r="K386" s="36"/>
      <c r="L386" s="36"/>
      <c r="M386" s="36"/>
      <c r="N386" s="105"/>
      <c r="O386" s="36"/>
      <c r="P386" s="36"/>
      <c r="Q386" s="36"/>
      <c r="R386" s="105"/>
      <c r="S386" s="36"/>
      <c r="T386" s="36"/>
      <c r="U386" s="36"/>
      <c r="V386" s="36"/>
      <c r="W386" s="36"/>
      <c r="X386" s="36"/>
      <c r="Y386" s="36"/>
      <c r="Z386" s="36"/>
      <c r="AA386" s="36"/>
      <c r="AB386" s="42"/>
      <c r="AC386" s="42"/>
      <c r="AD386" s="36"/>
      <c r="AE386" s="36"/>
      <c r="AF386" s="42"/>
      <c r="AG386" s="42"/>
      <c r="AH386" s="36"/>
      <c r="AI386" s="36"/>
      <c r="AJ386" s="36"/>
      <c r="AK386" s="36"/>
      <c r="AL386" s="36"/>
      <c r="AM386" s="36"/>
      <c r="AN386" s="36"/>
    </row>
    <row r="387" spans="1:40" ht="15.75" x14ac:dyDescent="0.25">
      <c r="A387" s="44"/>
      <c r="B387" s="36"/>
      <c r="C387" s="36"/>
      <c r="D387" s="36"/>
      <c r="E387" s="36"/>
      <c r="F387" s="36"/>
      <c r="G387" s="36"/>
      <c r="H387" s="36"/>
      <c r="I387" s="36"/>
      <c r="J387" s="105"/>
      <c r="K387" s="36"/>
      <c r="L387" s="36"/>
      <c r="M387" s="36"/>
      <c r="N387" s="105"/>
      <c r="O387" s="36"/>
      <c r="P387" s="36"/>
      <c r="Q387" s="36"/>
      <c r="R387" s="105"/>
      <c r="S387" s="36"/>
      <c r="T387" s="36"/>
      <c r="U387" s="36"/>
      <c r="V387" s="36"/>
      <c r="W387" s="36"/>
      <c r="X387" s="36"/>
      <c r="Y387" s="36"/>
      <c r="Z387" s="36"/>
      <c r="AA387" s="36"/>
      <c r="AB387" s="42"/>
      <c r="AC387" s="42"/>
      <c r="AD387" s="36"/>
      <c r="AE387" s="36"/>
      <c r="AF387" s="42"/>
      <c r="AG387" s="42"/>
      <c r="AH387" s="36"/>
      <c r="AI387" s="36"/>
      <c r="AJ387" s="36"/>
      <c r="AK387" s="36"/>
      <c r="AL387" s="36"/>
      <c r="AM387" s="36"/>
      <c r="AN387" s="36"/>
    </row>
    <row r="388" spans="1:40" ht="15.75" x14ac:dyDescent="0.25">
      <c r="A388" s="44"/>
      <c r="B388" s="36"/>
      <c r="C388" s="36"/>
      <c r="D388" s="36"/>
      <c r="E388" s="36"/>
      <c r="F388" s="36"/>
      <c r="G388" s="36"/>
      <c r="H388" s="36"/>
      <c r="I388" s="36"/>
      <c r="J388" s="105"/>
      <c r="K388" s="36"/>
      <c r="L388" s="36"/>
      <c r="M388" s="36"/>
      <c r="N388" s="105"/>
      <c r="O388" s="36"/>
      <c r="P388" s="36"/>
      <c r="Q388" s="36"/>
      <c r="R388" s="105"/>
      <c r="S388" s="36"/>
      <c r="T388" s="36"/>
      <c r="U388" s="36"/>
      <c r="V388" s="36"/>
      <c r="W388" s="36"/>
      <c r="X388" s="36"/>
      <c r="Y388" s="36"/>
      <c r="Z388" s="36"/>
      <c r="AA388" s="36"/>
      <c r="AB388" s="42"/>
      <c r="AC388" s="42"/>
      <c r="AD388" s="36"/>
      <c r="AE388" s="36"/>
      <c r="AF388" s="42"/>
      <c r="AG388" s="42"/>
      <c r="AH388" s="36"/>
      <c r="AI388" s="36"/>
      <c r="AJ388" s="36"/>
      <c r="AK388" s="36"/>
      <c r="AL388" s="36"/>
      <c r="AM388" s="36"/>
      <c r="AN388" s="36"/>
    </row>
    <row r="389" spans="1:40" ht="15.75" x14ac:dyDescent="0.25">
      <c r="A389" s="44"/>
      <c r="B389" s="36"/>
      <c r="C389" s="36"/>
      <c r="D389" s="36"/>
      <c r="E389" s="36"/>
      <c r="F389" s="36"/>
      <c r="G389" s="36"/>
      <c r="H389" s="36"/>
      <c r="I389" s="36"/>
      <c r="J389" s="105"/>
      <c r="K389" s="36"/>
      <c r="L389" s="36"/>
      <c r="M389" s="36"/>
      <c r="N389" s="105"/>
      <c r="O389" s="36"/>
      <c r="P389" s="36"/>
      <c r="Q389" s="36"/>
      <c r="R389" s="105"/>
      <c r="S389" s="36"/>
      <c r="T389" s="36"/>
      <c r="U389" s="36"/>
      <c r="V389" s="36"/>
      <c r="W389" s="36"/>
      <c r="X389" s="36"/>
      <c r="Y389" s="36"/>
      <c r="Z389" s="36"/>
      <c r="AA389" s="36"/>
      <c r="AB389" s="42"/>
      <c r="AC389" s="42"/>
      <c r="AD389" s="36"/>
      <c r="AE389" s="36"/>
      <c r="AF389" s="42"/>
      <c r="AG389" s="42"/>
      <c r="AH389" s="36"/>
      <c r="AI389" s="36"/>
      <c r="AJ389" s="36"/>
      <c r="AK389" s="36"/>
      <c r="AL389" s="36"/>
      <c r="AM389" s="36"/>
      <c r="AN389" s="36"/>
    </row>
    <row r="390" spans="1:40" ht="15.75" x14ac:dyDescent="0.25">
      <c r="A390" s="44"/>
      <c r="B390" s="36"/>
      <c r="C390" s="36"/>
      <c r="D390" s="36"/>
      <c r="E390" s="36"/>
      <c r="F390" s="36"/>
      <c r="G390" s="36"/>
      <c r="H390" s="36"/>
      <c r="I390" s="36"/>
      <c r="J390" s="105"/>
      <c r="K390" s="36"/>
      <c r="L390" s="36"/>
      <c r="M390" s="36"/>
      <c r="N390" s="105"/>
      <c r="O390" s="36"/>
      <c r="P390" s="36"/>
      <c r="Q390" s="36"/>
      <c r="R390" s="105"/>
      <c r="S390" s="36"/>
      <c r="T390" s="36"/>
      <c r="U390" s="36"/>
      <c r="V390" s="36"/>
      <c r="W390" s="36"/>
      <c r="X390" s="36"/>
      <c r="Y390" s="36"/>
      <c r="Z390" s="36"/>
      <c r="AA390" s="36"/>
      <c r="AB390" s="42"/>
      <c r="AC390" s="42"/>
      <c r="AD390" s="36"/>
      <c r="AE390" s="36"/>
      <c r="AF390" s="42"/>
      <c r="AG390" s="42"/>
      <c r="AH390" s="36"/>
      <c r="AI390" s="36"/>
      <c r="AJ390" s="36"/>
      <c r="AK390" s="36"/>
      <c r="AL390" s="36"/>
      <c r="AM390" s="36"/>
      <c r="AN390" s="36"/>
    </row>
    <row r="391" spans="1:40" ht="15.75" x14ac:dyDescent="0.25">
      <c r="A391" s="44"/>
      <c r="B391" s="36"/>
      <c r="C391" s="36"/>
      <c r="D391" s="36"/>
      <c r="E391" s="36"/>
      <c r="F391" s="36"/>
      <c r="G391" s="36"/>
      <c r="H391" s="36"/>
      <c r="I391" s="36"/>
      <c r="J391" s="105"/>
      <c r="K391" s="36"/>
      <c r="L391" s="36"/>
      <c r="M391" s="36"/>
      <c r="N391" s="105"/>
      <c r="O391" s="36"/>
      <c r="P391" s="36"/>
      <c r="Q391" s="36"/>
      <c r="R391" s="105"/>
      <c r="S391" s="36"/>
      <c r="T391" s="36"/>
      <c r="U391" s="36"/>
      <c r="V391" s="36"/>
      <c r="W391" s="36"/>
      <c r="X391" s="36"/>
      <c r="Y391" s="36"/>
      <c r="Z391" s="36"/>
      <c r="AA391" s="36"/>
      <c r="AB391" s="42"/>
      <c r="AC391" s="42"/>
      <c r="AD391" s="36"/>
      <c r="AE391" s="36"/>
      <c r="AF391" s="42"/>
      <c r="AG391" s="42"/>
      <c r="AH391" s="36"/>
      <c r="AI391" s="36"/>
      <c r="AJ391" s="36"/>
      <c r="AK391" s="36"/>
      <c r="AL391" s="36"/>
      <c r="AM391" s="36"/>
      <c r="AN391" s="36"/>
    </row>
    <row r="392" spans="1:40" ht="15.75" x14ac:dyDescent="0.25">
      <c r="A392" s="44"/>
      <c r="B392" s="36"/>
      <c r="C392" s="36"/>
      <c r="D392" s="36"/>
      <c r="E392" s="36"/>
      <c r="F392" s="36"/>
      <c r="G392" s="36"/>
      <c r="H392" s="36"/>
      <c r="I392" s="36"/>
      <c r="J392" s="105"/>
      <c r="K392" s="36"/>
      <c r="L392" s="36"/>
      <c r="M392" s="36"/>
      <c r="N392" s="105"/>
      <c r="O392" s="36"/>
      <c r="P392" s="36"/>
      <c r="Q392" s="36"/>
      <c r="R392" s="105"/>
      <c r="S392" s="36"/>
      <c r="T392" s="36"/>
      <c r="U392" s="36"/>
      <c r="V392" s="36"/>
      <c r="W392" s="36"/>
      <c r="X392" s="36"/>
      <c r="Y392" s="36"/>
      <c r="Z392" s="36"/>
      <c r="AA392" s="36"/>
      <c r="AB392" s="42"/>
      <c r="AC392" s="42"/>
      <c r="AD392" s="36"/>
      <c r="AE392" s="36"/>
      <c r="AF392" s="42"/>
      <c r="AG392" s="42"/>
      <c r="AH392" s="36"/>
      <c r="AI392" s="36"/>
      <c r="AJ392" s="36"/>
      <c r="AK392" s="36"/>
      <c r="AL392" s="36"/>
      <c r="AM392" s="36"/>
      <c r="AN392" s="36"/>
    </row>
    <row r="393" spans="1:40" ht="15.75" x14ac:dyDescent="0.25">
      <c r="A393" s="44"/>
      <c r="B393" s="36"/>
      <c r="C393" s="36"/>
      <c r="D393" s="36"/>
      <c r="E393" s="36"/>
      <c r="F393" s="36"/>
      <c r="G393" s="36"/>
      <c r="H393" s="36"/>
      <c r="I393" s="36"/>
      <c r="J393" s="105"/>
      <c r="K393" s="36"/>
      <c r="L393" s="36"/>
      <c r="M393" s="36"/>
      <c r="N393" s="105"/>
      <c r="O393" s="36"/>
      <c r="P393" s="36"/>
      <c r="Q393" s="36"/>
      <c r="R393" s="105"/>
      <c r="S393" s="36"/>
      <c r="T393" s="36"/>
      <c r="U393" s="36"/>
      <c r="V393" s="36"/>
      <c r="W393" s="36"/>
      <c r="X393" s="36"/>
      <c r="Y393" s="36"/>
      <c r="Z393" s="36"/>
      <c r="AA393" s="36"/>
      <c r="AB393" s="42"/>
      <c r="AC393" s="42"/>
      <c r="AD393" s="36"/>
      <c r="AE393" s="36"/>
      <c r="AF393" s="42"/>
      <c r="AG393" s="42"/>
      <c r="AH393" s="36"/>
      <c r="AI393" s="36"/>
      <c r="AJ393" s="36"/>
      <c r="AK393" s="36"/>
      <c r="AL393" s="36"/>
      <c r="AM393" s="36"/>
      <c r="AN393" s="36"/>
    </row>
    <row r="394" spans="1:40" ht="15.75" x14ac:dyDescent="0.25">
      <c r="A394" s="44"/>
      <c r="B394" s="36"/>
      <c r="C394" s="36"/>
      <c r="D394" s="36"/>
      <c r="E394" s="36"/>
      <c r="F394" s="36"/>
      <c r="G394" s="36"/>
      <c r="H394" s="36"/>
      <c r="I394" s="36"/>
      <c r="J394" s="105"/>
      <c r="K394" s="36"/>
      <c r="L394" s="36"/>
      <c r="M394" s="36"/>
      <c r="N394" s="105"/>
      <c r="O394" s="36"/>
      <c r="P394" s="36"/>
      <c r="Q394" s="36"/>
      <c r="R394" s="105"/>
      <c r="S394" s="36"/>
      <c r="T394" s="36"/>
      <c r="U394" s="36"/>
      <c r="V394" s="36"/>
      <c r="W394" s="36"/>
      <c r="X394" s="36"/>
      <c r="Y394" s="36"/>
      <c r="Z394" s="36"/>
      <c r="AA394" s="36"/>
      <c r="AB394" s="42"/>
      <c r="AC394" s="42"/>
      <c r="AD394" s="36"/>
      <c r="AE394" s="36"/>
      <c r="AF394" s="42"/>
      <c r="AG394" s="42"/>
      <c r="AH394" s="36"/>
      <c r="AI394" s="36"/>
      <c r="AJ394" s="36"/>
      <c r="AK394" s="36"/>
      <c r="AL394" s="36"/>
      <c r="AM394" s="36"/>
      <c r="AN394" s="36"/>
    </row>
    <row r="395" spans="1:40" ht="15.75" x14ac:dyDescent="0.25">
      <c r="A395" s="44"/>
      <c r="B395" s="36"/>
      <c r="C395" s="36"/>
      <c r="D395" s="36"/>
      <c r="E395" s="36"/>
      <c r="F395" s="36"/>
      <c r="G395" s="36"/>
      <c r="H395" s="36"/>
      <c r="I395" s="36"/>
      <c r="J395" s="105"/>
      <c r="K395" s="36"/>
      <c r="L395" s="36"/>
      <c r="M395" s="36"/>
      <c r="N395" s="105"/>
      <c r="O395" s="36"/>
      <c r="P395" s="36"/>
      <c r="Q395" s="36"/>
      <c r="R395" s="105"/>
      <c r="S395" s="36"/>
      <c r="T395" s="36"/>
      <c r="U395" s="36"/>
      <c r="V395" s="36"/>
      <c r="W395" s="36"/>
      <c r="X395" s="36"/>
      <c r="Y395" s="36"/>
      <c r="Z395" s="36"/>
      <c r="AA395" s="36"/>
      <c r="AB395" s="42"/>
      <c r="AC395" s="42"/>
      <c r="AD395" s="36"/>
      <c r="AE395" s="36"/>
      <c r="AF395" s="42"/>
      <c r="AG395" s="42"/>
      <c r="AH395" s="36"/>
      <c r="AI395" s="36"/>
      <c r="AJ395" s="36"/>
      <c r="AK395" s="36"/>
      <c r="AL395" s="36"/>
      <c r="AM395" s="36"/>
      <c r="AN395" s="36"/>
    </row>
    <row r="396" spans="1:40" ht="15.75" x14ac:dyDescent="0.25">
      <c r="A396" s="44"/>
      <c r="B396" s="36"/>
      <c r="C396" s="36"/>
      <c r="D396" s="36"/>
      <c r="E396" s="36"/>
      <c r="F396" s="36"/>
      <c r="G396" s="36"/>
      <c r="H396" s="36"/>
      <c r="I396" s="36"/>
      <c r="J396" s="105"/>
      <c r="K396" s="36"/>
      <c r="L396" s="36"/>
      <c r="M396" s="36"/>
      <c r="N396" s="105"/>
      <c r="O396" s="36"/>
      <c r="P396" s="36"/>
      <c r="Q396" s="36"/>
      <c r="R396" s="105"/>
      <c r="S396" s="36"/>
      <c r="T396" s="36"/>
      <c r="U396" s="36"/>
      <c r="V396" s="36"/>
      <c r="W396" s="36"/>
      <c r="X396" s="36"/>
      <c r="Y396" s="36"/>
      <c r="Z396" s="36"/>
      <c r="AA396" s="36"/>
      <c r="AB396" s="42"/>
      <c r="AC396" s="42"/>
      <c r="AD396" s="36"/>
      <c r="AE396" s="36"/>
      <c r="AF396" s="42"/>
      <c r="AG396" s="42"/>
      <c r="AH396" s="36"/>
      <c r="AI396" s="36"/>
      <c r="AJ396" s="36"/>
      <c r="AK396" s="36"/>
      <c r="AL396" s="36"/>
      <c r="AM396" s="36"/>
      <c r="AN396" s="36"/>
    </row>
    <row r="397" spans="1:40" ht="15.75" x14ac:dyDescent="0.25">
      <c r="A397" s="44"/>
      <c r="B397" s="36"/>
      <c r="C397" s="36"/>
      <c r="D397" s="36"/>
      <c r="E397" s="36"/>
      <c r="F397" s="36"/>
      <c r="G397" s="36"/>
      <c r="H397" s="36"/>
      <c r="I397" s="36"/>
      <c r="J397" s="105"/>
      <c r="K397" s="36"/>
      <c r="L397" s="36"/>
      <c r="M397" s="36"/>
      <c r="N397" s="105"/>
      <c r="O397" s="36"/>
      <c r="P397" s="36"/>
      <c r="Q397" s="36"/>
      <c r="R397" s="105"/>
      <c r="S397" s="36"/>
      <c r="T397" s="36"/>
      <c r="U397" s="36"/>
      <c r="V397" s="36"/>
      <c r="W397" s="36"/>
      <c r="X397" s="36"/>
      <c r="Y397" s="36"/>
      <c r="Z397" s="36"/>
      <c r="AA397" s="36"/>
      <c r="AB397" s="42"/>
      <c r="AC397" s="42"/>
      <c r="AD397" s="36"/>
      <c r="AE397" s="36"/>
      <c r="AF397" s="42"/>
      <c r="AG397" s="42"/>
      <c r="AH397" s="36"/>
      <c r="AI397" s="36"/>
      <c r="AJ397" s="36"/>
      <c r="AK397" s="36"/>
      <c r="AL397" s="36"/>
      <c r="AM397" s="36"/>
      <c r="AN397" s="36"/>
    </row>
    <row r="398" spans="1:40" ht="15.75" x14ac:dyDescent="0.25">
      <c r="A398" s="44"/>
      <c r="B398" s="36"/>
      <c r="C398" s="36"/>
      <c r="D398" s="36"/>
      <c r="E398" s="36"/>
      <c r="F398" s="36"/>
      <c r="G398" s="36"/>
      <c r="H398" s="36"/>
      <c r="I398" s="36"/>
      <c r="J398" s="105"/>
      <c r="K398" s="36"/>
      <c r="L398" s="36"/>
      <c r="M398" s="36"/>
      <c r="N398" s="105"/>
      <c r="O398" s="36"/>
      <c r="P398" s="36"/>
      <c r="Q398" s="36"/>
      <c r="R398" s="105"/>
      <c r="S398" s="36"/>
      <c r="T398" s="36"/>
      <c r="U398" s="36"/>
      <c r="V398" s="36"/>
      <c r="W398" s="36"/>
      <c r="X398" s="36"/>
      <c r="Y398" s="36"/>
      <c r="Z398" s="36"/>
      <c r="AA398" s="36"/>
      <c r="AB398" s="42"/>
      <c r="AC398" s="42"/>
      <c r="AD398" s="36"/>
      <c r="AE398" s="36"/>
      <c r="AF398" s="42"/>
      <c r="AG398" s="42"/>
      <c r="AH398" s="36"/>
      <c r="AI398" s="36"/>
      <c r="AJ398" s="36"/>
      <c r="AK398" s="36"/>
      <c r="AL398" s="36"/>
      <c r="AM398" s="36"/>
      <c r="AN398" s="36"/>
    </row>
    <row r="399" spans="1:40" ht="15.75" x14ac:dyDescent="0.25">
      <c r="A399" s="44"/>
      <c r="B399" s="36"/>
      <c r="C399" s="36"/>
      <c r="D399" s="36"/>
      <c r="E399" s="36"/>
      <c r="F399" s="36"/>
      <c r="G399" s="36"/>
      <c r="H399" s="36"/>
      <c r="I399" s="36"/>
      <c r="J399" s="105"/>
      <c r="K399" s="36"/>
      <c r="L399" s="36"/>
      <c r="M399" s="36"/>
      <c r="N399" s="105"/>
      <c r="O399" s="36"/>
      <c r="P399" s="36"/>
      <c r="Q399" s="36"/>
      <c r="R399" s="105"/>
      <c r="S399" s="36"/>
      <c r="T399" s="36"/>
      <c r="U399" s="36"/>
      <c r="V399" s="36"/>
      <c r="W399" s="36"/>
      <c r="X399" s="36"/>
      <c r="Y399" s="36"/>
      <c r="Z399" s="36"/>
      <c r="AA399" s="36"/>
      <c r="AB399" s="42"/>
      <c r="AC399" s="42"/>
      <c r="AD399" s="36"/>
      <c r="AE399" s="36"/>
      <c r="AF399" s="42"/>
      <c r="AG399" s="42"/>
      <c r="AH399" s="36"/>
      <c r="AI399" s="36"/>
      <c r="AJ399" s="36"/>
      <c r="AK399" s="36"/>
      <c r="AL399" s="36"/>
      <c r="AM399" s="36"/>
      <c r="AN399" s="36"/>
    </row>
    <row r="400" spans="1:40" ht="15.75" x14ac:dyDescent="0.25">
      <c r="A400" s="44"/>
      <c r="B400" s="36"/>
      <c r="C400" s="36"/>
      <c r="D400" s="36"/>
      <c r="E400" s="36"/>
      <c r="F400" s="36"/>
      <c r="G400" s="36"/>
      <c r="H400" s="36"/>
      <c r="I400" s="36"/>
      <c r="J400" s="105"/>
      <c r="K400" s="36"/>
      <c r="L400" s="36"/>
      <c r="M400" s="36"/>
      <c r="N400" s="105"/>
      <c r="O400" s="36"/>
      <c r="P400" s="36"/>
      <c r="Q400" s="36"/>
      <c r="R400" s="105"/>
      <c r="S400" s="36"/>
      <c r="T400" s="36"/>
      <c r="U400" s="36"/>
      <c r="V400" s="36"/>
      <c r="W400" s="36"/>
      <c r="X400" s="36"/>
      <c r="Y400" s="36"/>
      <c r="Z400" s="36"/>
      <c r="AA400" s="36"/>
      <c r="AB400" s="42"/>
      <c r="AC400" s="42"/>
      <c r="AD400" s="36"/>
      <c r="AE400" s="36"/>
      <c r="AF400" s="42"/>
      <c r="AG400" s="42"/>
      <c r="AH400" s="36"/>
      <c r="AI400" s="36"/>
      <c r="AJ400" s="36"/>
      <c r="AK400" s="36"/>
      <c r="AL400" s="36"/>
      <c r="AM400" s="36"/>
      <c r="AN400" s="36"/>
    </row>
    <row r="401" spans="1:40" ht="15.75" x14ac:dyDescent="0.25">
      <c r="A401" s="44"/>
      <c r="B401" s="36"/>
      <c r="C401" s="36"/>
      <c r="D401" s="36"/>
      <c r="E401" s="36"/>
      <c r="F401" s="36"/>
      <c r="G401" s="36"/>
      <c r="H401" s="36"/>
      <c r="I401" s="36"/>
      <c r="J401" s="105"/>
      <c r="K401" s="36"/>
      <c r="L401" s="36"/>
      <c r="M401" s="36"/>
      <c r="N401" s="105"/>
      <c r="O401" s="36"/>
      <c r="P401" s="36"/>
      <c r="Q401" s="36"/>
      <c r="R401" s="105"/>
      <c r="S401" s="36"/>
      <c r="T401" s="36"/>
      <c r="U401" s="36"/>
      <c r="V401" s="36"/>
      <c r="W401" s="36"/>
      <c r="X401" s="36"/>
      <c r="Y401" s="36"/>
      <c r="Z401" s="36"/>
      <c r="AA401" s="36"/>
      <c r="AB401" s="42"/>
      <c r="AC401" s="42"/>
      <c r="AD401" s="36"/>
      <c r="AE401" s="36"/>
      <c r="AF401" s="42"/>
      <c r="AG401" s="42"/>
      <c r="AH401" s="36"/>
      <c r="AI401" s="36"/>
      <c r="AJ401" s="36"/>
      <c r="AK401" s="36"/>
      <c r="AL401" s="36"/>
      <c r="AM401" s="36"/>
      <c r="AN401" s="36"/>
    </row>
    <row r="402" spans="1:40" ht="15.75" x14ac:dyDescent="0.25">
      <c r="A402" s="44"/>
      <c r="B402" s="36"/>
      <c r="C402" s="36"/>
      <c r="D402" s="36"/>
      <c r="E402" s="36"/>
      <c r="F402" s="36"/>
      <c r="G402" s="36"/>
      <c r="H402" s="36"/>
      <c r="I402" s="36"/>
      <c r="J402" s="105"/>
      <c r="K402" s="36"/>
      <c r="L402" s="36"/>
      <c r="M402" s="36"/>
      <c r="N402" s="105"/>
      <c r="O402" s="36"/>
      <c r="P402" s="36"/>
      <c r="Q402" s="36"/>
      <c r="R402" s="105"/>
      <c r="S402" s="36"/>
      <c r="T402" s="36"/>
      <c r="U402" s="36"/>
      <c r="V402" s="36"/>
      <c r="W402" s="36"/>
      <c r="X402" s="36"/>
      <c r="Y402" s="36"/>
      <c r="Z402" s="36"/>
      <c r="AA402" s="36"/>
      <c r="AB402" s="42"/>
      <c r="AC402" s="42"/>
      <c r="AD402" s="36"/>
      <c r="AE402" s="36"/>
      <c r="AF402" s="42"/>
      <c r="AG402" s="42"/>
      <c r="AH402" s="36"/>
      <c r="AI402" s="36"/>
      <c r="AJ402" s="36"/>
      <c r="AK402" s="36"/>
      <c r="AL402" s="36"/>
      <c r="AM402" s="36"/>
      <c r="AN402" s="36"/>
    </row>
    <row r="403" spans="1:40" ht="15.75" x14ac:dyDescent="0.25">
      <c r="A403" s="44"/>
      <c r="B403" s="36"/>
      <c r="C403" s="36"/>
      <c r="D403" s="36"/>
      <c r="E403" s="36"/>
      <c r="F403" s="36"/>
      <c r="G403" s="36"/>
      <c r="H403" s="36"/>
      <c r="I403" s="36"/>
      <c r="J403" s="105"/>
      <c r="K403" s="36"/>
      <c r="L403" s="36"/>
      <c r="M403" s="36"/>
      <c r="N403" s="105"/>
      <c r="O403" s="36"/>
      <c r="P403" s="36"/>
      <c r="Q403" s="36"/>
      <c r="R403" s="105"/>
      <c r="S403" s="36"/>
      <c r="T403" s="36"/>
      <c r="U403" s="36"/>
      <c r="V403" s="36"/>
      <c r="W403" s="36"/>
      <c r="X403" s="36"/>
      <c r="Y403" s="36"/>
      <c r="Z403" s="36"/>
      <c r="AA403" s="36"/>
      <c r="AB403" s="42"/>
      <c r="AC403" s="42"/>
      <c r="AD403" s="36"/>
      <c r="AE403" s="36"/>
      <c r="AF403" s="42"/>
      <c r="AG403" s="42"/>
      <c r="AH403" s="36"/>
      <c r="AI403" s="36"/>
      <c r="AJ403" s="36"/>
      <c r="AK403" s="36"/>
      <c r="AL403" s="36"/>
      <c r="AM403" s="36"/>
      <c r="AN403" s="36"/>
    </row>
    <row r="404" spans="1:40" ht="15.75" x14ac:dyDescent="0.25">
      <c r="A404" s="44"/>
      <c r="B404" s="36"/>
      <c r="C404" s="36"/>
      <c r="D404" s="36"/>
      <c r="E404" s="36"/>
      <c r="F404" s="36"/>
      <c r="G404" s="36"/>
      <c r="H404" s="36"/>
      <c r="I404" s="36"/>
      <c r="J404" s="105"/>
      <c r="K404" s="36"/>
      <c r="L404" s="36"/>
      <c r="M404" s="36"/>
      <c r="N404" s="105"/>
      <c r="O404" s="36"/>
      <c r="P404" s="36"/>
      <c r="Q404" s="36"/>
      <c r="R404" s="105"/>
      <c r="S404" s="36"/>
      <c r="T404" s="36"/>
      <c r="U404" s="36"/>
      <c r="V404" s="36"/>
      <c r="W404" s="36"/>
      <c r="X404" s="36"/>
      <c r="Y404" s="36"/>
      <c r="Z404" s="36"/>
      <c r="AA404" s="36"/>
      <c r="AB404" s="42"/>
      <c r="AC404" s="42"/>
      <c r="AD404" s="36"/>
      <c r="AE404" s="36"/>
      <c r="AF404" s="42"/>
      <c r="AG404" s="42"/>
      <c r="AH404" s="36"/>
      <c r="AI404" s="36"/>
      <c r="AJ404" s="36"/>
      <c r="AK404" s="36"/>
      <c r="AL404" s="36"/>
      <c r="AM404" s="36"/>
      <c r="AN404" s="36"/>
    </row>
    <row r="405" spans="1:40" ht="15.75" x14ac:dyDescent="0.25">
      <c r="A405" s="44"/>
      <c r="B405" s="36"/>
      <c r="C405" s="36"/>
      <c r="D405" s="36"/>
      <c r="E405" s="36"/>
      <c r="F405" s="36"/>
      <c r="G405" s="36"/>
      <c r="H405" s="36"/>
      <c r="I405" s="36"/>
      <c r="J405" s="105"/>
      <c r="K405" s="36"/>
      <c r="L405" s="36"/>
      <c r="M405" s="36"/>
      <c r="N405" s="105"/>
      <c r="O405" s="36"/>
      <c r="P405" s="36"/>
      <c r="Q405" s="36"/>
      <c r="R405" s="105"/>
      <c r="S405" s="36"/>
      <c r="T405" s="36"/>
      <c r="U405" s="36"/>
      <c r="V405" s="36"/>
      <c r="W405" s="36"/>
      <c r="X405" s="36"/>
      <c r="Y405" s="36"/>
      <c r="Z405" s="36"/>
      <c r="AA405" s="36"/>
      <c r="AB405" s="42"/>
      <c r="AC405" s="42"/>
      <c r="AD405" s="36"/>
      <c r="AE405" s="36"/>
      <c r="AF405" s="42"/>
      <c r="AG405" s="42"/>
      <c r="AH405" s="36"/>
      <c r="AI405" s="36"/>
      <c r="AJ405" s="36"/>
      <c r="AK405" s="36"/>
      <c r="AL405" s="36"/>
      <c r="AM405" s="36"/>
      <c r="AN405" s="36"/>
    </row>
    <row r="406" spans="1:40" ht="15.75" x14ac:dyDescent="0.25">
      <c r="A406" s="44"/>
      <c r="B406" s="36"/>
      <c r="C406" s="36"/>
      <c r="D406" s="36"/>
      <c r="E406" s="36"/>
      <c r="F406" s="36"/>
      <c r="G406" s="36"/>
      <c r="H406" s="36"/>
      <c r="I406" s="36"/>
      <c r="J406" s="105"/>
      <c r="K406" s="36"/>
      <c r="L406" s="36"/>
      <c r="M406" s="36"/>
      <c r="N406" s="105"/>
      <c r="O406" s="36"/>
      <c r="P406" s="36"/>
      <c r="Q406" s="36"/>
      <c r="R406" s="105"/>
      <c r="S406" s="36"/>
      <c r="T406" s="36"/>
      <c r="U406" s="36"/>
      <c r="V406" s="36"/>
      <c r="W406" s="36"/>
      <c r="X406" s="36"/>
      <c r="Y406" s="36"/>
      <c r="Z406" s="36"/>
      <c r="AA406" s="36"/>
      <c r="AB406" s="42"/>
      <c r="AC406" s="42"/>
      <c r="AD406" s="36"/>
      <c r="AE406" s="36"/>
      <c r="AF406" s="42"/>
      <c r="AG406" s="42"/>
      <c r="AH406" s="36"/>
      <c r="AI406" s="36"/>
      <c r="AJ406" s="36"/>
      <c r="AK406" s="36"/>
      <c r="AL406" s="36"/>
      <c r="AM406" s="36"/>
      <c r="AN406" s="36"/>
    </row>
    <row r="407" spans="1:40" ht="15.75" x14ac:dyDescent="0.25">
      <c r="A407" s="44"/>
      <c r="B407" s="36"/>
      <c r="C407" s="36"/>
      <c r="D407" s="36"/>
      <c r="E407" s="36"/>
      <c r="F407" s="36"/>
      <c r="G407" s="36"/>
      <c r="H407" s="36"/>
      <c r="I407" s="36"/>
      <c r="J407" s="105"/>
      <c r="K407" s="36"/>
      <c r="L407" s="36"/>
      <c r="M407" s="36"/>
      <c r="N407" s="105"/>
      <c r="O407" s="36"/>
      <c r="P407" s="36"/>
      <c r="Q407" s="36"/>
      <c r="R407" s="105"/>
      <c r="S407" s="36"/>
      <c r="T407" s="36"/>
      <c r="U407" s="36"/>
      <c r="V407" s="36"/>
      <c r="W407" s="36"/>
      <c r="X407" s="36"/>
      <c r="Y407" s="36"/>
      <c r="Z407" s="36"/>
      <c r="AA407" s="36"/>
      <c r="AB407" s="42"/>
      <c r="AC407" s="42"/>
      <c r="AD407" s="36"/>
      <c r="AE407" s="36"/>
      <c r="AF407" s="42"/>
      <c r="AG407" s="42"/>
      <c r="AH407" s="36"/>
      <c r="AI407" s="36"/>
      <c r="AJ407" s="36"/>
      <c r="AK407" s="36"/>
      <c r="AL407" s="36"/>
      <c r="AM407" s="36"/>
      <c r="AN407" s="36"/>
    </row>
    <row r="408" spans="1:40" ht="15.75" x14ac:dyDescent="0.25">
      <c r="A408" s="44"/>
      <c r="B408" s="36"/>
      <c r="C408" s="36"/>
      <c r="D408" s="36"/>
      <c r="E408" s="36"/>
      <c r="F408" s="36"/>
      <c r="G408" s="36"/>
      <c r="H408" s="36"/>
      <c r="I408" s="36"/>
      <c r="J408" s="105"/>
      <c r="K408" s="36"/>
      <c r="L408" s="36"/>
      <c r="M408" s="36"/>
      <c r="N408" s="105"/>
      <c r="O408" s="36"/>
      <c r="P408" s="36"/>
      <c r="Q408" s="36"/>
      <c r="R408" s="105"/>
      <c r="S408" s="36"/>
      <c r="T408" s="36"/>
      <c r="U408" s="36"/>
      <c r="V408" s="36"/>
      <c r="W408" s="36"/>
      <c r="X408" s="36"/>
      <c r="Y408" s="36"/>
      <c r="Z408" s="36"/>
      <c r="AA408" s="36"/>
      <c r="AB408" s="42"/>
      <c r="AC408" s="42"/>
      <c r="AD408" s="36"/>
      <c r="AE408" s="36"/>
      <c r="AF408" s="42"/>
      <c r="AG408" s="42"/>
      <c r="AH408" s="36"/>
      <c r="AI408" s="36"/>
      <c r="AJ408" s="36"/>
      <c r="AK408" s="36"/>
      <c r="AL408" s="36"/>
      <c r="AM408" s="36"/>
      <c r="AN408" s="36"/>
    </row>
    <row r="409" spans="1:40" ht="15.75" x14ac:dyDescent="0.25">
      <c r="A409" s="44"/>
      <c r="B409" s="36"/>
      <c r="C409" s="36"/>
      <c r="D409" s="36"/>
      <c r="E409" s="36"/>
      <c r="F409" s="36"/>
      <c r="G409" s="36"/>
      <c r="H409" s="36"/>
      <c r="I409" s="36"/>
      <c r="J409" s="105"/>
      <c r="K409" s="36"/>
      <c r="L409" s="36"/>
      <c r="M409" s="36"/>
      <c r="N409" s="105"/>
      <c r="O409" s="36"/>
      <c r="P409" s="36"/>
      <c r="Q409" s="36"/>
      <c r="R409" s="105"/>
      <c r="S409" s="36"/>
      <c r="T409" s="36"/>
      <c r="U409" s="36"/>
      <c r="V409" s="36"/>
      <c r="W409" s="36"/>
      <c r="X409" s="36"/>
      <c r="Y409" s="36"/>
      <c r="Z409" s="36"/>
      <c r="AA409" s="36"/>
      <c r="AB409" s="42"/>
      <c r="AC409" s="42"/>
      <c r="AD409" s="36"/>
      <c r="AE409" s="36"/>
      <c r="AF409" s="42"/>
      <c r="AG409" s="42"/>
      <c r="AH409" s="36"/>
      <c r="AI409" s="36"/>
      <c r="AJ409" s="36"/>
      <c r="AK409" s="36"/>
      <c r="AL409" s="36"/>
      <c r="AM409" s="36"/>
      <c r="AN409" s="36"/>
    </row>
    <row r="410" spans="1:40" ht="15.75" x14ac:dyDescent="0.25">
      <c r="A410" s="44"/>
      <c r="B410" s="36"/>
      <c r="C410" s="36"/>
      <c r="D410" s="36"/>
      <c r="E410" s="36"/>
      <c r="F410" s="36"/>
      <c r="G410" s="36"/>
      <c r="H410" s="36"/>
      <c r="I410" s="36"/>
      <c r="J410" s="105"/>
      <c r="K410" s="36"/>
      <c r="L410" s="36"/>
      <c r="M410" s="36"/>
      <c r="N410" s="105"/>
      <c r="O410" s="36"/>
      <c r="P410" s="36"/>
      <c r="Q410" s="36"/>
      <c r="R410" s="105"/>
      <c r="S410" s="36"/>
      <c r="T410" s="36"/>
      <c r="U410" s="36"/>
      <c r="V410" s="36"/>
      <c r="W410" s="36"/>
      <c r="X410" s="36"/>
      <c r="Y410" s="36"/>
      <c r="Z410" s="36"/>
      <c r="AA410" s="36"/>
      <c r="AB410" s="42"/>
      <c r="AC410" s="42"/>
      <c r="AD410" s="36"/>
      <c r="AE410" s="36"/>
      <c r="AF410" s="42"/>
      <c r="AG410" s="42"/>
      <c r="AH410" s="36"/>
      <c r="AI410" s="36"/>
      <c r="AJ410" s="36"/>
      <c r="AK410" s="36"/>
      <c r="AL410" s="36"/>
      <c r="AM410" s="36"/>
      <c r="AN410" s="36"/>
    </row>
    <row r="411" spans="1:40" ht="15.75" x14ac:dyDescent="0.25">
      <c r="A411" s="44"/>
      <c r="B411" s="36"/>
      <c r="C411" s="36"/>
      <c r="D411" s="36"/>
      <c r="E411" s="36"/>
      <c r="F411" s="36"/>
      <c r="G411" s="36"/>
      <c r="H411" s="36"/>
      <c r="I411" s="36"/>
      <c r="J411" s="105"/>
      <c r="K411" s="36"/>
      <c r="L411" s="36"/>
      <c r="M411" s="36"/>
      <c r="N411" s="105"/>
      <c r="O411" s="36"/>
      <c r="P411" s="36"/>
      <c r="Q411" s="36"/>
      <c r="R411" s="105"/>
      <c r="S411" s="36"/>
      <c r="T411" s="36"/>
      <c r="U411" s="36"/>
      <c r="V411" s="36"/>
      <c r="W411" s="36"/>
      <c r="X411" s="36"/>
      <c r="Y411" s="36"/>
      <c r="Z411" s="36"/>
      <c r="AA411" s="36"/>
      <c r="AB411" s="42"/>
      <c r="AC411" s="42"/>
      <c r="AD411" s="36"/>
      <c r="AE411" s="36"/>
      <c r="AF411" s="42"/>
      <c r="AG411" s="42"/>
      <c r="AH411" s="36"/>
      <c r="AI411" s="36"/>
      <c r="AJ411" s="36"/>
      <c r="AK411" s="36"/>
      <c r="AL411" s="36"/>
      <c r="AM411" s="36"/>
      <c r="AN411" s="36"/>
    </row>
    <row r="412" spans="1:40" ht="15.75" x14ac:dyDescent="0.25">
      <c r="A412" s="44"/>
      <c r="B412" s="36"/>
      <c r="C412" s="36"/>
      <c r="D412" s="36"/>
      <c r="E412" s="36"/>
      <c r="F412" s="36"/>
      <c r="G412" s="36"/>
      <c r="H412" s="36"/>
      <c r="I412" s="36"/>
      <c r="J412" s="105"/>
      <c r="K412" s="36"/>
      <c r="L412" s="36"/>
      <c r="M412" s="36"/>
      <c r="N412" s="105"/>
      <c r="O412" s="36"/>
      <c r="P412" s="36"/>
      <c r="Q412" s="36"/>
      <c r="R412" s="105"/>
      <c r="S412" s="36"/>
      <c r="T412" s="36"/>
      <c r="U412" s="36"/>
      <c r="V412" s="36"/>
      <c r="W412" s="36"/>
      <c r="X412" s="36"/>
      <c r="Y412" s="36"/>
      <c r="Z412" s="36"/>
      <c r="AA412" s="36"/>
      <c r="AB412" s="42"/>
      <c r="AC412" s="42"/>
      <c r="AD412" s="36"/>
      <c r="AE412" s="36"/>
      <c r="AF412" s="42"/>
      <c r="AG412" s="42"/>
      <c r="AH412" s="36"/>
      <c r="AI412" s="36"/>
      <c r="AJ412" s="36"/>
      <c r="AK412" s="36"/>
      <c r="AL412" s="36"/>
      <c r="AM412" s="36"/>
      <c r="AN412" s="36"/>
    </row>
    <row r="413" spans="1:40" ht="15.75" x14ac:dyDescent="0.25">
      <c r="A413" s="44"/>
      <c r="B413" s="36"/>
      <c r="C413" s="36"/>
      <c r="D413" s="36"/>
      <c r="E413" s="36"/>
      <c r="F413" s="36"/>
      <c r="G413" s="36"/>
      <c r="H413" s="36"/>
      <c r="I413" s="36"/>
      <c r="J413" s="105"/>
      <c r="K413" s="36"/>
      <c r="L413" s="36"/>
      <c r="M413" s="36"/>
      <c r="N413" s="105"/>
      <c r="O413" s="36"/>
      <c r="P413" s="36"/>
      <c r="Q413" s="36"/>
      <c r="R413" s="105"/>
      <c r="S413" s="36"/>
      <c r="T413" s="36"/>
      <c r="U413" s="36"/>
      <c r="V413" s="36"/>
      <c r="W413" s="36"/>
      <c r="X413" s="36"/>
      <c r="Y413" s="36"/>
      <c r="Z413" s="36"/>
      <c r="AA413" s="36"/>
      <c r="AB413" s="42"/>
      <c r="AC413" s="42"/>
      <c r="AD413" s="36"/>
      <c r="AE413" s="36"/>
      <c r="AF413" s="42"/>
      <c r="AG413" s="42"/>
      <c r="AH413" s="36"/>
      <c r="AI413" s="36"/>
      <c r="AJ413" s="36"/>
      <c r="AK413" s="36"/>
      <c r="AL413" s="36"/>
      <c r="AM413" s="36"/>
      <c r="AN413" s="36"/>
    </row>
    <row r="414" spans="1:40" ht="15.75" x14ac:dyDescent="0.25">
      <c r="A414" s="44"/>
      <c r="B414" s="36"/>
      <c r="C414" s="36"/>
      <c r="D414" s="36"/>
      <c r="E414" s="36"/>
      <c r="F414" s="36"/>
      <c r="G414" s="36"/>
      <c r="H414" s="36"/>
      <c r="I414" s="36"/>
      <c r="J414" s="105"/>
      <c r="K414" s="36"/>
      <c r="L414" s="36"/>
      <c r="M414" s="36"/>
      <c r="N414" s="105"/>
      <c r="O414" s="36"/>
      <c r="P414" s="36"/>
      <c r="Q414" s="36"/>
      <c r="R414" s="105"/>
      <c r="S414" s="36"/>
      <c r="T414" s="36"/>
      <c r="U414" s="36"/>
      <c r="V414" s="36"/>
      <c r="W414" s="36"/>
      <c r="X414" s="36"/>
      <c r="Y414" s="36"/>
      <c r="Z414" s="36"/>
      <c r="AA414" s="36"/>
      <c r="AB414" s="42"/>
      <c r="AC414" s="42"/>
      <c r="AD414" s="36"/>
      <c r="AE414" s="36"/>
      <c r="AF414" s="42"/>
      <c r="AG414" s="42"/>
      <c r="AH414" s="36"/>
      <c r="AI414" s="36"/>
      <c r="AJ414" s="36"/>
      <c r="AK414" s="36"/>
      <c r="AL414" s="36"/>
      <c r="AM414" s="36"/>
      <c r="AN414" s="36"/>
    </row>
    <row r="415" spans="1:40" ht="15.75" x14ac:dyDescent="0.25">
      <c r="A415" s="44"/>
      <c r="B415" s="36"/>
      <c r="C415" s="36"/>
      <c r="D415" s="36"/>
      <c r="E415" s="36"/>
      <c r="F415" s="36"/>
      <c r="G415" s="36"/>
      <c r="H415" s="36"/>
      <c r="I415" s="36"/>
      <c r="J415" s="105"/>
      <c r="K415" s="36"/>
      <c r="L415" s="36"/>
      <c r="M415" s="36"/>
      <c r="N415" s="105"/>
      <c r="O415" s="36"/>
      <c r="P415" s="36"/>
      <c r="Q415" s="36"/>
      <c r="R415" s="105"/>
      <c r="S415" s="36"/>
      <c r="T415" s="36"/>
      <c r="U415" s="36"/>
      <c r="V415" s="36"/>
      <c r="W415" s="36"/>
      <c r="X415" s="36"/>
      <c r="Y415" s="36"/>
      <c r="Z415" s="36"/>
      <c r="AA415" s="36"/>
      <c r="AB415" s="42"/>
      <c r="AC415" s="42"/>
      <c r="AD415" s="36"/>
      <c r="AE415" s="36"/>
      <c r="AF415" s="42"/>
      <c r="AG415" s="42"/>
      <c r="AH415" s="36"/>
      <c r="AI415" s="36"/>
      <c r="AJ415" s="36"/>
      <c r="AK415" s="36"/>
      <c r="AL415" s="36"/>
      <c r="AM415" s="36"/>
      <c r="AN415" s="36"/>
    </row>
    <row r="416" spans="1:40" ht="15.75" x14ac:dyDescent="0.25">
      <c r="A416" s="44"/>
      <c r="B416" s="36"/>
      <c r="C416" s="36"/>
      <c r="D416" s="36"/>
      <c r="E416" s="36"/>
      <c r="F416" s="36"/>
      <c r="G416" s="36"/>
      <c r="H416" s="36"/>
      <c r="I416" s="36"/>
      <c r="J416" s="105"/>
      <c r="K416" s="36"/>
      <c r="L416" s="36"/>
      <c r="M416" s="36"/>
      <c r="N416" s="105"/>
      <c r="O416" s="36"/>
      <c r="P416" s="36"/>
      <c r="Q416" s="36"/>
      <c r="R416" s="105"/>
      <c r="S416" s="36"/>
      <c r="T416" s="36"/>
      <c r="U416" s="36"/>
      <c r="V416" s="36"/>
      <c r="W416" s="36"/>
      <c r="X416" s="36"/>
      <c r="Y416" s="36"/>
      <c r="Z416" s="36"/>
      <c r="AA416" s="36"/>
      <c r="AB416" s="42"/>
      <c r="AC416" s="42"/>
      <c r="AD416" s="36"/>
      <c r="AE416" s="36"/>
      <c r="AF416" s="42"/>
      <c r="AG416" s="42"/>
      <c r="AH416" s="36"/>
      <c r="AI416" s="36"/>
      <c r="AJ416" s="36"/>
      <c r="AK416" s="36"/>
      <c r="AL416" s="36"/>
      <c r="AM416" s="36"/>
      <c r="AN416" s="36"/>
    </row>
    <row r="417" spans="1:40" ht="15.75" x14ac:dyDescent="0.25">
      <c r="A417" s="44"/>
      <c r="B417" s="36"/>
      <c r="C417" s="36"/>
      <c r="D417" s="36"/>
      <c r="E417" s="36"/>
      <c r="F417" s="36"/>
      <c r="G417" s="36"/>
      <c r="H417" s="36"/>
      <c r="I417" s="36"/>
      <c r="J417" s="105"/>
      <c r="K417" s="36"/>
      <c r="L417" s="36"/>
      <c r="M417" s="36"/>
      <c r="N417" s="105"/>
      <c r="O417" s="36"/>
      <c r="P417" s="36"/>
      <c r="Q417" s="36"/>
      <c r="R417" s="105"/>
      <c r="S417" s="36"/>
      <c r="T417" s="36"/>
      <c r="U417" s="36"/>
      <c r="V417" s="36"/>
      <c r="W417" s="36"/>
      <c r="X417" s="36"/>
      <c r="Y417" s="36"/>
      <c r="Z417" s="36"/>
      <c r="AA417" s="36"/>
      <c r="AB417" s="42"/>
      <c r="AC417" s="42"/>
      <c r="AD417" s="36"/>
      <c r="AE417" s="36"/>
      <c r="AF417" s="42"/>
      <c r="AG417" s="42"/>
      <c r="AH417" s="36"/>
      <c r="AI417" s="36"/>
      <c r="AJ417" s="36"/>
      <c r="AK417" s="36"/>
      <c r="AL417" s="36"/>
      <c r="AM417" s="36"/>
      <c r="AN417" s="36"/>
    </row>
    <row r="418" spans="1:40" ht="15.75" x14ac:dyDescent="0.25">
      <c r="A418" s="44"/>
      <c r="B418" s="36"/>
      <c r="C418" s="36"/>
      <c r="D418" s="36"/>
      <c r="E418" s="36"/>
      <c r="F418" s="36"/>
      <c r="G418" s="36"/>
      <c r="H418" s="36"/>
      <c r="I418" s="36"/>
      <c r="J418" s="105"/>
      <c r="K418" s="36"/>
      <c r="L418" s="36"/>
      <c r="M418" s="36"/>
      <c r="N418" s="105"/>
      <c r="O418" s="36"/>
      <c r="P418" s="36"/>
      <c r="Q418" s="36"/>
      <c r="R418" s="105"/>
      <c r="S418" s="36"/>
      <c r="T418" s="36"/>
      <c r="U418" s="36"/>
      <c r="V418" s="36"/>
      <c r="W418" s="36"/>
      <c r="X418" s="36"/>
      <c r="Y418" s="36"/>
      <c r="Z418" s="36"/>
      <c r="AA418" s="36"/>
      <c r="AB418" s="42"/>
      <c r="AC418" s="42"/>
      <c r="AD418" s="36"/>
      <c r="AE418" s="36"/>
      <c r="AF418" s="42"/>
      <c r="AG418" s="42"/>
      <c r="AH418" s="36"/>
      <c r="AI418" s="36"/>
      <c r="AJ418" s="36"/>
      <c r="AK418" s="36"/>
      <c r="AL418" s="36"/>
      <c r="AM418" s="36"/>
      <c r="AN418" s="36"/>
    </row>
    <row r="419" spans="1:40" ht="15.75" x14ac:dyDescent="0.25">
      <c r="A419" s="44"/>
      <c r="B419" s="36"/>
      <c r="C419" s="36"/>
      <c r="D419" s="36"/>
      <c r="E419" s="36"/>
      <c r="F419" s="36"/>
      <c r="G419" s="36"/>
      <c r="H419" s="36"/>
      <c r="I419" s="36"/>
      <c r="J419" s="105"/>
      <c r="K419" s="36"/>
      <c r="L419" s="36"/>
      <c r="M419" s="36"/>
      <c r="N419" s="105"/>
      <c r="O419" s="36"/>
      <c r="P419" s="36"/>
      <c r="Q419" s="36"/>
      <c r="R419" s="105"/>
      <c r="S419" s="36"/>
      <c r="T419" s="36"/>
      <c r="U419" s="36"/>
      <c r="V419" s="36"/>
      <c r="W419" s="36"/>
      <c r="X419" s="36"/>
      <c r="Y419" s="36"/>
      <c r="Z419" s="36"/>
      <c r="AA419" s="36"/>
      <c r="AB419" s="42"/>
      <c r="AC419" s="42"/>
      <c r="AD419" s="36"/>
      <c r="AE419" s="36"/>
      <c r="AF419" s="42"/>
      <c r="AG419" s="42"/>
      <c r="AH419" s="36"/>
      <c r="AI419" s="36"/>
      <c r="AJ419" s="36"/>
      <c r="AK419" s="36"/>
      <c r="AL419" s="36"/>
      <c r="AM419" s="36"/>
      <c r="AN419" s="36"/>
    </row>
    <row r="420" spans="1:40" ht="15.75" x14ac:dyDescent="0.25">
      <c r="A420" s="44"/>
      <c r="B420" s="36"/>
      <c r="C420" s="36"/>
      <c r="D420" s="36"/>
      <c r="E420" s="36"/>
      <c r="F420" s="36"/>
      <c r="G420" s="36"/>
      <c r="H420" s="36"/>
      <c r="I420" s="36"/>
      <c r="J420" s="105"/>
      <c r="K420" s="36"/>
      <c r="L420" s="36"/>
      <c r="M420" s="36"/>
      <c r="N420" s="105"/>
      <c r="O420" s="36"/>
      <c r="P420" s="36"/>
      <c r="Q420" s="36"/>
      <c r="R420" s="105"/>
      <c r="S420" s="36"/>
      <c r="T420" s="36"/>
      <c r="U420" s="36"/>
      <c r="V420" s="36"/>
      <c r="W420" s="36"/>
      <c r="X420" s="36"/>
      <c r="Y420" s="36"/>
      <c r="Z420" s="36"/>
      <c r="AA420" s="36"/>
      <c r="AB420" s="42"/>
      <c r="AC420" s="42"/>
      <c r="AD420" s="36"/>
      <c r="AE420" s="36"/>
      <c r="AF420" s="42"/>
      <c r="AG420" s="42"/>
      <c r="AH420" s="36"/>
      <c r="AI420" s="36"/>
      <c r="AJ420" s="36"/>
      <c r="AK420" s="36"/>
      <c r="AL420" s="36"/>
      <c r="AM420" s="36"/>
      <c r="AN420" s="36"/>
    </row>
    <row r="421" spans="1:40" ht="15.75" x14ac:dyDescent="0.25">
      <c r="A421" s="44"/>
      <c r="B421" s="36"/>
      <c r="C421" s="36"/>
      <c r="D421" s="36"/>
      <c r="E421" s="36"/>
      <c r="F421" s="36"/>
      <c r="G421" s="36"/>
      <c r="H421" s="36"/>
      <c r="I421" s="36"/>
      <c r="J421" s="105"/>
      <c r="K421" s="36"/>
      <c r="L421" s="36"/>
      <c r="M421" s="36"/>
      <c r="N421" s="105"/>
      <c r="O421" s="36"/>
      <c r="P421" s="36"/>
      <c r="Q421" s="36"/>
      <c r="R421" s="105"/>
      <c r="S421" s="36"/>
      <c r="T421" s="36"/>
      <c r="U421" s="36"/>
      <c r="V421" s="36"/>
      <c r="W421" s="36"/>
      <c r="X421" s="36"/>
      <c r="Y421" s="36"/>
      <c r="Z421" s="36"/>
      <c r="AA421" s="36"/>
      <c r="AB421" s="42"/>
      <c r="AC421" s="42"/>
      <c r="AD421" s="36"/>
      <c r="AE421" s="36"/>
      <c r="AF421" s="42"/>
      <c r="AG421" s="42"/>
      <c r="AH421" s="36"/>
      <c r="AI421" s="36"/>
      <c r="AJ421" s="36"/>
      <c r="AK421" s="36"/>
      <c r="AL421" s="36"/>
      <c r="AM421" s="36"/>
      <c r="AN421" s="36"/>
    </row>
    <row r="422" spans="1:40" ht="15.75" x14ac:dyDescent="0.25">
      <c r="A422" s="44"/>
      <c r="B422" s="36"/>
      <c r="C422" s="36"/>
      <c r="D422" s="36"/>
      <c r="E422" s="36"/>
      <c r="F422" s="36"/>
      <c r="G422" s="36"/>
      <c r="H422" s="36"/>
      <c r="I422" s="36"/>
      <c r="J422" s="105"/>
      <c r="K422" s="36"/>
      <c r="L422" s="36"/>
      <c r="M422" s="36"/>
      <c r="N422" s="105"/>
      <c r="O422" s="36"/>
      <c r="P422" s="36"/>
      <c r="Q422" s="36"/>
      <c r="R422" s="105"/>
      <c r="S422" s="36"/>
      <c r="T422" s="36"/>
      <c r="U422" s="36"/>
      <c r="V422" s="36"/>
      <c r="W422" s="36"/>
      <c r="X422" s="36"/>
      <c r="Y422" s="36"/>
      <c r="Z422" s="36"/>
      <c r="AA422" s="36"/>
      <c r="AB422" s="42"/>
      <c r="AC422" s="42"/>
      <c r="AD422" s="36"/>
      <c r="AE422" s="36"/>
      <c r="AF422" s="42"/>
      <c r="AG422" s="42"/>
      <c r="AH422" s="36"/>
      <c r="AI422" s="36"/>
      <c r="AJ422" s="36"/>
      <c r="AK422" s="36"/>
      <c r="AL422" s="36"/>
      <c r="AM422" s="36"/>
      <c r="AN422" s="36"/>
    </row>
    <row r="423" spans="1:40" ht="15.75" x14ac:dyDescent="0.25">
      <c r="A423" s="44"/>
      <c r="B423" s="36"/>
      <c r="C423" s="36"/>
      <c r="D423" s="36"/>
      <c r="E423" s="36"/>
      <c r="F423" s="36"/>
      <c r="G423" s="36"/>
      <c r="H423" s="36"/>
      <c r="I423" s="36"/>
      <c r="J423" s="105"/>
      <c r="K423" s="36"/>
      <c r="L423" s="36"/>
      <c r="M423" s="36"/>
      <c r="N423" s="105"/>
      <c r="O423" s="36"/>
      <c r="P423" s="36"/>
      <c r="Q423" s="36"/>
      <c r="R423" s="105"/>
      <c r="S423" s="36"/>
      <c r="T423" s="36"/>
      <c r="U423" s="36"/>
      <c r="V423" s="36"/>
      <c r="W423" s="36"/>
      <c r="X423" s="36"/>
      <c r="Y423" s="36"/>
      <c r="Z423" s="36"/>
      <c r="AA423" s="36"/>
      <c r="AB423" s="42"/>
      <c r="AC423" s="42"/>
      <c r="AD423" s="36"/>
      <c r="AE423" s="36"/>
      <c r="AF423" s="42"/>
      <c r="AG423" s="42"/>
      <c r="AH423" s="36"/>
      <c r="AI423" s="36"/>
      <c r="AJ423" s="36"/>
      <c r="AK423" s="36"/>
      <c r="AL423" s="36"/>
      <c r="AM423" s="36"/>
      <c r="AN423" s="36"/>
    </row>
    <row r="424" spans="1:40" ht="15.75" x14ac:dyDescent="0.25">
      <c r="A424" s="44"/>
      <c r="B424" s="36"/>
      <c r="C424" s="36"/>
      <c r="D424" s="36"/>
      <c r="E424" s="36"/>
      <c r="F424" s="36"/>
      <c r="G424" s="36"/>
      <c r="H424" s="36"/>
      <c r="I424" s="36"/>
      <c r="J424" s="105"/>
      <c r="K424" s="36"/>
      <c r="L424" s="36"/>
      <c r="M424" s="36"/>
      <c r="N424" s="105"/>
      <c r="O424" s="36"/>
      <c r="P424" s="36"/>
      <c r="Q424" s="36"/>
      <c r="R424" s="105"/>
      <c r="S424" s="36"/>
      <c r="T424" s="36"/>
      <c r="U424" s="36"/>
      <c r="V424" s="36"/>
      <c r="W424" s="36"/>
      <c r="X424" s="36"/>
      <c r="Y424" s="36"/>
      <c r="Z424" s="36"/>
      <c r="AA424" s="36"/>
      <c r="AB424" s="42"/>
      <c r="AC424" s="42"/>
      <c r="AD424" s="36"/>
      <c r="AE424" s="36"/>
      <c r="AF424" s="42"/>
      <c r="AG424" s="42"/>
      <c r="AH424" s="36"/>
      <c r="AI424" s="36"/>
      <c r="AJ424" s="36"/>
      <c r="AK424" s="36"/>
      <c r="AL424" s="36"/>
      <c r="AM424" s="36"/>
      <c r="AN424" s="36"/>
    </row>
    <row r="425" spans="1:40" ht="15.75" x14ac:dyDescent="0.25">
      <c r="A425" s="44"/>
      <c r="B425" s="36"/>
      <c r="C425" s="36"/>
      <c r="D425" s="36"/>
      <c r="E425" s="36"/>
      <c r="F425" s="36"/>
      <c r="G425" s="36"/>
      <c r="H425" s="36"/>
      <c r="I425" s="36"/>
      <c r="J425" s="105"/>
      <c r="K425" s="36"/>
      <c r="L425" s="36"/>
      <c r="M425" s="36"/>
      <c r="N425" s="105"/>
      <c r="O425" s="36"/>
      <c r="P425" s="36"/>
      <c r="Q425" s="36"/>
      <c r="R425" s="105"/>
      <c r="S425" s="36"/>
      <c r="T425" s="36"/>
      <c r="U425" s="36"/>
      <c r="V425" s="36"/>
      <c r="W425" s="36"/>
      <c r="X425" s="36"/>
      <c r="Y425" s="36"/>
      <c r="Z425" s="36"/>
      <c r="AA425" s="36"/>
      <c r="AB425" s="42"/>
      <c r="AC425" s="42"/>
      <c r="AD425" s="36"/>
      <c r="AE425" s="36"/>
      <c r="AF425" s="42"/>
      <c r="AG425" s="42"/>
      <c r="AH425" s="36"/>
      <c r="AI425" s="36"/>
      <c r="AJ425" s="36"/>
      <c r="AK425" s="36"/>
      <c r="AL425" s="36"/>
      <c r="AM425" s="36"/>
      <c r="AN425" s="36"/>
    </row>
    <row r="426" spans="1:40" ht="15.75" x14ac:dyDescent="0.25">
      <c r="A426" s="44"/>
      <c r="B426" s="36"/>
      <c r="C426" s="36"/>
      <c r="D426" s="36"/>
      <c r="E426" s="36"/>
      <c r="F426" s="36"/>
      <c r="G426" s="36"/>
      <c r="H426" s="36"/>
      <c r="I426" s="36"/>
      <c r="J426" s="105"/>
      <c r="K426" s="36"/>
      <c r="L426" s="36"/>
      <c r="M426" s="36"/>
      <c r="N426" s="105"/>
      <c r="O426" s="36"/>
      <c r="P426" s="36"/>
      <c r="Q426" s="36"/>
      <c r="R426" s="105"/>
      <c r="S426" s="36"/>
      <c r="T426" s="36"/>
      <c r="U426" s="36"/>
      <c r="V426" s="36"/>
      <c r="W426" s="36"/>
      <c r="X426" s="36"/>
      <c r="Y426" s="36"/>
      <c r="Z426" s="36"/>
      <c r="AA426" s="36"/>
      <c r="AB426" s="42"/>
      <c r="AC426" s="42"/>
      <c r="AD426" s="36"/>
      <c r="AE426" s="36"/>
      <c r="AF426" s="42"/>
      <c r="AG426" s="42"/>
      <c r="AH426" s="36"/>
      <c r="AI426" s="36"/>
      <c r="AJ426" s="36"/>
      <c r="AK426" s="36"/>
      <c r="AL426" s="36"/>
      <c r="AM426" s="36"/>
      <c r="AN426" s="36"/>
    </row>
    <row r="427" spans="1:40" ht="15.75" x14ac:dyDescent="0.25">
      <c r="A427" s="44"/>
      <c r="B427" s="36"/>
      <c r="C427" s="36"/>
      <c r="D427" s="36"/>
      <c r="E427" s="36"/>
      <c r="F427" s="36"/>
      <c r="G427" s="36"/>
      <c r="H427" s="36"/>
      <c r="I427" s="36"/>
      <c r="J427" s="105"/>
      <c r="K427" s="36"/>
      <c r="L427" s="36"/>
      <c r="M427" s="36"/>
      <c r="N427" s="105"/>
      <c r="O427" s="36"/>
      <c r="P427" s="36"/>
      <c r="Q427" s="36"/>
      <c r="R427" s="105"/>
      <c r="S427" s="36"/>
      <c r="T427" s="36"/>
      <c r="U427" s="36"/>
      <c r="V427" s="36"/>
      <c r="W427" s="36"/>
      <c r="X427" s="36"/>
      <c r="Y427" s="36"/>
      <c r="Z427" s="36"/>
      <c r="AA427" s="36"/>
      <c r="AB427" s="42"/>
      <c r="AC427" s="42"/>
      <c r="AD427" s="36"/>
      <c r="AE427" s="36"/>
      <c r="AF427" s="42"/>
      <c r="AG427" s="42"/>
      <c r="AH427" s="36"/>
      <c r="AI427" s="36"/>
      <c r="AJ427" s="36"/>
      <c r="AK427" s="36"/>
      <c r="AL427" s="36"/>
      <c r="AM427" s="36"/>
      <c r="AN427" s="36"/>
    </row>
    <row r="428" spans="1:40" ht="15.75" x14ac:dyDescent="0.25">
      <c r="A428" s="44"/>
      <c r="B428" s="36"/>
      <c r="C428" s="36"/>
      <c r="D428" s="36"/>
      <c r="E428" s="36"/>
      <c r="F428" s="36"/>
      <c r="G428" s="36"/>
      <c r="H428" s="36"/>
      <c r="I428" s="36"/>
      <c r="J428" s="105"/>
      <c r="K428" s="36"/>
      <c r="L428" s="36"/>
      <c r="M428" s="36"/>
      <c r="N428" s="105"/>
      <c r="O428" s="36"/>
      <c r="P428" s="36"/>
      <c r="Q428" s="36"/>
      <c r="R428" s="105"/>
      <c r="S428" s="36"/>
      <c r="T428" s="36"/>
      <c r="U428" s="36"/>
      <c r="V428" s="36"/>
      <c r="W428" s="36"/>
      <c r="X428" s="36"/>
      <c r="Y428" s="36"/>
      <c r="Z428" s="36"/>
      <c r="AA428" s="36"/>
      <c r="AB428" s="42"/>
      <c r="AC428" s="42"/>
      <c r="AD428" s="36"/>
      <c r="AE428" s="36"/>
      <c r="AF428" s="42"/>
      <c r="AG428" s="42"/>
      <c r="AH428" s="36"/>
      <c r="AI428" s="36"/>
      <c r="AJ428" s="36"/>
      <c r="AK428" s="36"/>
      <c r="AL428" s="36"/>
      <c r="AM428" s="36"/>
      <c r="AN428" s="36"/>
    </row>
    <row r="429" spans="1:40" ht="15.75" x14ac:dyDescent="0.25">
      <c r="A429" s="44"/>
      <c r="B429" s="36"/>
      <c r="C429" s="36"/>
      <c r="D429" s="36"/>
      <c r="E429" s="36"/>
      <c r="F429" s="36"/>
      <c r="G429" s="36"/>
      <c r="H429" s="36"/>
      <c r="I429" s="36"/>
      <c r="J429" s="105"/>
      <c r="K429" s="36"/>
      <c r="L429" s="36"/>
      <c r="M429" s="36"/>
      <c r="N429" s="105"/>
      <c r="O429" s="36"/>
      <c r="P429" s="36"/>
      <c r="Q429" s="36"/>
      <c r="R429" s="105"/>
      <c r="S429" s="36"/>
      <c r="T429" s="36"/>
      <c r="U429" s="36"/>
      <c r="V429" s="36"/>
      <c r="W429" s="36"/>
      <c r="X429" s="36"/>
      <c r="Y429" s="36"/>
      <c r="Z429" s="36"/>
      <c r="AA429" s="36"/>
      <c r="AB429" s="42"/>
      <c r="AC429" s="42"/>
      <c r="AD429" s="36"/>
      <c r="AE429" s="36"/>
      <c r="AF429" s="42"/>
      <c r="AG429" s="42"/>
      <c r="AH429" s="36"/>
      <c r="AI429" s="36"/>
      <c r="AJ429" s="36"/>
      <c r="AK429" s="36"/>
      <c r="AL429" s="36"/>
      <c r="AM429" s="36"/>
      <c r="AN429" s="36"/>
    </row>
    <row r="430" spans="1:40" ht="15.75" x14ac:dyDescent="0.25">
      <c r="A430" s="44"/>
      <c r="B430" s="36"/>
      <c r="C430" s="36"/>
      <c r="D430" s="36"/>
      <c r="E430" s="36"/>
      <c r="F430" s="36"/>
      <c r="G430" s="36"/>
      <c r="H430" s="36"/>
      <c r="I430" s="36"/>
      <c r="J430" s="105"/>
      <c r="K430" s="36"/>
      <c r="L430" s="36"/>
      <c r="M430" s="36"/>
      <c r="N430" s="105"/>
      <c r="O430" s="36"/>
      <c r="P430" s="36"/>
      <c r="Q430" s="36"/>
      <c r="R430" s="105"/>
      <c r="S430" s="36"/>
      <c r="T430" s="36"/>
      <c r="U430" s="36"/>
      <c r="V430" s="36"/>
      <c r="W430" s="36"/>
      <c r="X430" s="36"/>
      <c r="Y430" s="36"/>
      <c r="Z430" s="36"/>
      <c r="AA430" s="36"/>
      <c r="AB430" s="42"/>
      <c r="AC430" s="42"/>
      <c r="AD430" s="36"/>
      <c r="AE430" s="36"/>
      <c r="AF430" s="42"/>
      <c r="AG430" s="42"/>
      <c r="AH430" s="36"/>
      <c r="AI430" s="36"/>
      <c r="AJ430" s="36"/>
      <c r="AK430" s="36"/>
      <c r="AL430" s="36"/>
      <c r="AM430" s="36"/>
      <c r="AN430" s="36"/>
    </row>
    <row r="431" spans="1:40" ht="15.75" x14ac:dyDescent="0.25">
      <c r="A431" s="44"/>
      <c r="B431" s="36"/>
      <c r="C431" s="36"/>
      <c r="D431" s="36"/>
      <c r="E431" s="36"/>
      <c r="F431" s="36"/>
      <c r="G431" s="36"/>
      <c r="H431" s="36"/>
      <c r="I431" s="36"/>
      <c r="J431" s="105"/>
      <c r="K431" s="36"/>
      <c r="L431" s="36"/>
      <c r="M431" s="36"/>
      <c r="N431" s="105"/>
      <c r="O431" s="36"/>
      <c r="P431" s="36"/>
      <c r="Q431" s="36"/>
      <c r="R431" s="105"/>
      <c r="S431" s="36"/>
      <c r="T431" s="36"/>
      <c r="U431" s="36"/>
      <c r="V431" s="36"/>
      <c r="W431" s="36"/>
      <c r="X431" s="36"/>
      <c r="Y431" s="36"/>
      <c r="Z431" s="36"/>
      <c r="AA431" s="36"/>
      <c r="AB431" s="42"/>
      <c r="AC431" s="42"/>
      <c r="AD431" s="36"/>
      <c r="AE431" s="36"/>
      <c r="AF431" s="42"/>
      <c r="AG431" s="42"/>
      <c r="AH431" s="36"/>
      <c r="AI431" s="36"/>
      <c r="AJ431" s="36"/>
      <c r="AK431" s="36"/>
      <c r="AL431" s="36"/>
      <c r="AM431" s="36"/>
      <c r="AN431" s="36"/>
    </row>
    <row r="432" spans="1:40" ht="15.75" x14ac:dyDescent="0.25">
      <c r="A432" s="44"/>
      <c r="B432" s="36"/>
      <c r="C432" s="36"/>
      <c r="D432" s="36"/>
      <c r="E432" s="36"/>
      <c r="F432" s="36"/>
      <c r="G432" s="36"/>
      <c r="H432" s="36"/>
      <c r="I432" s="36"/>
      <c r="J432" s="105"/>
      <c r="K432" s="36"/>
      <c r="L432" s="36"/>
      <c r="M432" s="36"/>
      <c r="N432" s="105"/>
      <c r="O432" s="36"/>
      <c r="P432" s="36"/>
      <c r="Q432" s="36"/>
      <c r="R432" s="105"/>
      <c r="S432" s="36"/>
      <c r="T432" s="36"/>
      <c r="U432" s="36"/>
      <c r="V432" s="36"/>
      <c r="W432" s="36"/>
      <c r="X432" s="36"/>
      <c r="Y432" s="36"/>
      <c r="Z432" s="36"/>
      <c r="AA432" s="36"/>
      <c r="AB432" s="42"/>
      <c r="AC432" s="42"/>
      <c r="AD432" s="36"/>
      <c r="AE432" s="36"/>
      <c r="AF432" s="42"/>
      <c r="AG432" s="42"/>
      <c r="AH432" s="36"/>
      <c r="AI432" s="36"/>
      <c r="AJ432" s="36"/>
      <c r="AK432" s="36"/>
      <c r="AL432" s="36"/>
      <c r="AM432" s="36"/>
      <c r="AN432" s="36"/>
    </row>
    <row r="433" spans="1:40" ht="15.75" x14ac:dyDescent="0.25">
      <c r="A433" s="44"/>
      <c r="B433" s="36"/>
      <c r="C433" s="36"/>
      <c r="D433" s="36"/>
      <c r="E433" s="36"/>
      <c r="F433" s="36"/>
      <c r="G433" s="36"/>
      <c r="H433" s="36"/>
      <c r="I433" s="36"/>
      <c r="J433" s="105"/>
      <c r="K433" s="36"/>
      <c r="L433" s="36"/>
      <c r="M433" s="36"/>
      <c r="N433" s="105"/>
      <c r="O433" s="36"/>
      <c r="P433" s="36"/>
      <c r="Q433" s="36"/>
      <c r="R433" s="105"/>
      <c r="S433" s="36"/>
      <c r="T433" s="36"/>
      <c r="U433" s="36"/>
      <c r="V433" s="36"/>
      <c r="W433" s="36"/>
      <c r="X433" s="36"/>
      <c r="Y433" s="36"/>
      <c r="Z433" s="36"/>
      <c r="AA433" s="36"/>
      <c r="AB433" s="42"/>
      <c r="AC433" s="42"/>
      <c r="AD433" s="36"/>
      <c r="AE433" s="36"/>
      <c r="AF433" s="42"/>
      <c r="AG433" s="42"/>
      <c r="AH433" s="36"/>
      <c r="AI433" s="36"/>
      <c r="AJ433" s="36"/>
      <c r="AK433" s="36"/>
      <c r="AL433" s="36"/>
      <c r="AM433" s="36"/>
      <c r="AN433" s="36"/>
    </row>
    <row r="434" spans="1:40" ht="15.75" x14ac:dyDescent="0.25">
      <c r="A434" s="44"/>
      <c r="B434" s="36"/>
      <c r="C434" s="36"/>
      <c r="D434" s="36"/>
      <c r="E434" s="36"/>
      <c r="F434" s="36"/>
      <c r="G434" s="36"/>
      <c r="H434" s="36"/>
      <c r="I434" s="36"/>
      <c r="J434" s="105"/>
      <c r="K434" s="36"/>
      <c r="L434" s="36"/>
      <c r="M434" s="36"/>
      <c r="N434" s="105"/>
      <c r="O434" s="36"/>
      <c r="P434" s="36"/>
      <c r="Q434" s="36"/>
      <c r="R434" s="105"/>
      <c r="S434" s="36"/>
      <c r="T434" s="36"/>
      <c r="U434" s="36"/>
      <c r="V434" s="36"/>
      <c r="W434" s="36"/>
      <c r="X434" s="36"/>
      <c r="Y434" s="36"/>
      <c r="Z434" s="36"/>
      <c r="AA434" s="36"/>
      <c r="AB434" s="42"/>
      <c r="AC434" s="42"/>
      <c r="AD434" s="36"/>
      <c r="AE434" s="36"/>
      <c r="AF434" s="42"/>
      <c r="AG434" s="42"/>
      <c r="AH434" s="36"/>
      <c r="AI434" s="36"/>
      <c r="AJ434" s="36"/>
      <c r="AK434" s="36"/>
      <c r="AL434" s="36"/>
      <c r="AM434" s="36"/>
      <c r="AN434" s="36"/>
    </row>
    <row r="435" spans="1:40" ht="15.75" x14ac:dyDescent="0.25">
      <c r="A435" s="44"/>
      <c r="B435" s="36"/>
      <c r="C435" s="36"/>
      <c r="D435" s="36"/>
      <c r="E435" s="36"/>
      <c r="F435" s="36"/>
      <c r="G435" s="36"/>
      <c r="H435" s="36"/>
      <c r="I435" s="36"/>
      <c r="J435" s="105"/>
      <c r="K435" s="36"/>
      <c r="L435" s="36"/>
      <c r="M435" s="36"/>
      <c r="N435" s="105"/>
      <c r="O435" s="36"/>
      <c r="P435" s="36"/>
      <c r="Q435" s="36"/>
      <c r="R435" s="105"/>
      <c r="S435" s="36"/>
      <c r="T435" s="36"/>
      <c r="U435" s="36"/>
      <c r="V435" s="36"/>
      <c r="W435" s="36"/>
      <c r="X435" s="36"/>
      <c r="Y435" s="36"/>
      <c r="Z435" s="36"/>
      <c r="AA435" s="36"/>
      <c r="AB435" s="42"/>
      <c r="AC435" s="42"/>
      <c r="AD435" s="36"/>
      <c r="AE435" s="36"/>
      <c r="AF435" s="42"/>
      <c r="AG435" s="42"/>
      <c r="AH435" s="36"/>
      <c r="AI435" s="36"/>
      <c r="AJ435" s="36"/>
      <c r="AK435" s="36"/>
      <c r="AL435" s="36"/>
      <c r="AM435" s="36"/>
      <c r="AN435" s="36"/>
    </row>
    <row r="436" spans="1:40" ht="15.75" x14ac:dyDescent="0.25">
      <c r="A436" s="44"/>
      <c r="B436" s="36"/>
      <c r="C436" s="36"/>
      <c r="D436" s="36"/>
      <c r="E436" s="36"/>
      <c r="F436" s="36"/>
      <c r="G436" s="36"/>
      <c r="H436" s="36"/>
      <c r="I436" s="36"/>
      <c r="J436" s="105"/>
      <c r="K436" s="36"/>
      <c r="L436" s="36"/>
      <c r="M436" s="36"/>
      <c r="N436" s="105"/>
      <c r="O436" s="36"/>
      <c r="P436" s="36"/>
      <c r="Q436" s="36"/>
      <c r="R436" s="105"/>
      <c r="S436" s="36"/>
      <c r="T436" s="36"/>
      <c r="U436" s="36"/>
      <c r="V436" s="36"/>
      <c r="W436" s="36"/>
      <c r="X436" s="36"/>
      <c r="Y436" s="36"/>
      <c r="Z436" s="36"/>
      <c r="AA436" s="36"/>
      <c r="AB436" s="42"/>
      <c r="AC436" s="42"/>
      <c r="AD436" s="36"/>
      <c r="AE436" s="36"/>
      <c r="AF436" s="42"/>
      <c r="AG436" s="42"/>
      <c r="AH436" s="36"/>
      <c r="AI436" s="36"/>
      <c r="AJ436" s="36"/>
      <c r="AK436" s="36"/>
      <c r="AL436" s="36"/>
      <c r="AM436" s="36"/>
      <c r="AN436" s="36"/>
    </row>
    <row r="437" spans="1:40" ht="15.75" x14ac:dyDescent="0.25">
      <c r="A437" s="44"/>
      <c r="B437" s="36"/>
      <c r="C437" s="36"/>
      <c r="D437" s="36"/>
      <c r="E437" s="36"/>
      <c r="F437" s="36"/>
      <c r="G437" s="36"/>
      <c r="H437" s="36"/>
      <c r="I437" s="36"/>
      <c r="J437" s="105"/>
      <c r="K437" s="36"/>
      <c r="L437" s="36"/>
      <c r="M437" s="36"/>
      <c r="N437" s="105"/>
      <c r="O437" s="36"/>
      <c r="P437" s="36"/>
      <c r="Q437" s="36"/>
      <c r="R437" s="105"/>
      <c r="S437" s="36"/>
      <c r="T437" s="36"/>
      <c r="U437" s="36"/>
      <c r="V437" s="36"/>
      <c r="W437" s="36"/>
      <c r="X437" s="36"/>
      <c r="Y437" s="36"/>
      <c r="Z437" s="36"/>
      <c r="AA437" s="36"/>
      <c r="AB437" s="42"/>
      <c r="AC437" s="42"/>
      <c r="AD437" s="36"/>
      <c r="AE437" s="36"/>
      <c r="AF437" s="42"/>
      <c r="AG437" s="42"/>
      <c r="AH437" s="36"/>
      <c r="AI437" s="36"/>
      <c r="AJ437" s="36"/>
      <c r="AK437" s="36"/>
      <c r="AL437" s="36"/>
      <c r="AM437" s="36"/>
      <c r="AN437" s="36"/>
    </row>
    <row r="438" spans="1:40" ht="15.75" x14ac:dyDescent="0.25">
      <c r="A438" s="44"/>
      <c r="B438" s="36"/>
      <c r="C438" s="36"/>
      <c r="D438" s="36"/>
      <c r="E438" s="36"/>
      <c r="F438" s="36"/>
      <c r="G438" s="36"/>
      <c r="H438" s="36"/>
      <c r="I438" s="36"/>
      <c r="J438" s="105"/>
      <c r="K438" s="36"/>
      <c r="L438" s="36"/>
      <c r="M438" s="36"/>
      <c r="N438" s="105"/>
      <c r="O438" s="36"/>
      <c r="P438" s="36"/>
      <c r="Q438" s="36"/>
      <c r="R438" s="105"/>
      <c r="S438" s="36"/>
      <c r="T438" s="36"/>
      <c r="U438" s="36"/>
      <c r="V438" s="36"/>
      <c r="W438" s="36"/>
      <c r="X438" s="36"/>
      <c r="Y438" s="36"/>
      <c r="Z438" s="36"/>
      <c r="AA438" s="36"/>
      <c r="AB438" s="42"/>
      <c r="AC438" s="42"/>
      <c r="AD438" s="36"/>
      <c r="AE438" s="36"/>
      <c r="AF438" s="42"/>
      <c r="AG438" s="42"/>
      <c r="AH438" s="36"/>
      <c r="AI438" s="36"/>
      <c r="AJ438" s="36"/>
      <c r="AK438" s="36"/>
      <c r="AL438" s="36"/>
      <c r="AM438" s="36"/>
      <c r="AN438" s="36"/>
    </row>
    <row r="439" spans="1:40" ht="15.75" x14ac:dyDescent="0.25">
      <c r="A439" s="44"/>
      <c r="B439" s="36"/>
      <c r="C439" s="36"/>
      <c r="D439" s="36"/>
      <c r="E439" s="36"/>
      <c r="F439" s="36"/>
      <c r="G439" s="36"/>
      <c r="H439" s="36"/>
      <c r="I439" s="36"/>
      <c r="J439" s="105"/>
      <c r="K439" s="36"/>
      <c r="L439" s="36"/>
      <c r="M439" s="36"/>
      <c r="N439" s="105"/>
      <c r="O439" s="36"/>
      <c r="P439" s="36"/>
      <c r="Q439" s="36"/>
      <c r="R439" s="105"/>
      <c r="S439" s="36"/>
      <c r="T439" s="36"/>
      <c r="U439" s="36"/>
      <c r="V439" s="36"/>
      <c r="W439" s="36"/>
      <c r="X439" s="36"/>
      <c r="Y439" s="36"/>
      <c r="Z439" s="36"/>
      <c r="AA439" s="36"/>
      <c r="AB439" s="42"/>
      <c r="AC439" s="42"/>
      <c r="AD439" s="36"/>
      <c r="AE439" s="36"/>
      <c r="AF439" s="42"/>
      <c r="AG439" s="42"/>
      <c r="AH439" s="36"/>
      <c r="AI439" s="36"/>
      <c r="AJ439" s="36"/>
      <c r="AK439" s="36"/>
      <c r="AL439" s="36"/>
      <c r="AM439" s="36"/>
      <c r="AN439" s="36"/>
    </row>
    <row r="440" spans="1:40" ht="15.75" x14ac:dyDescent="0.25">
      <c r="A440" s="44"/>
      <c r="B440" s="36"/>
      <c r="C440" s="36"/>
      <c r="D440" s="36"/>
      <c r="E440" s="36"/>
      <c r="F440" s="36"/>
      <c r="G440" s="36"/>
      <c r="H440" s="36"/>
      <c r="I440" s="36"/>
      <c r="J440" s="105"/>
      <c r="K440" s="36"/>
      <c r="L440" s="36"/>
      <c r="M440" s="36"/>
      <c r="N440" s="105"/>
      <c r="O440" s="36"/>
      <c r="P440" s="36"/>
      <c r="Q440" s="36"/>
      <c r="R440" s="105"/>
      <c r="S440" s="36"/>
      <c r="T440" s="36"/>
      <c r="U440" s="36"/>
      <c r="V440" s="36"/>
      <c r="W440" s="36"/>
      <c r="X440" s="36"/>
      <c r="Y440" s="36"/>
      <c r="Z440" s="36"/>
      <c r="AA440" s="36"/>
      <c r="AB440" s="42"/>
      <c r="AC440" s="42"/>
      <c r="AD440" s="36"/>
      <c r="AE440" s="36"/>
      <c r="AF440" s="42"/>
      <c r="AG440" s="42"/>
      <c r="AH440" s="36"/>
      <c r="AI440" s="36"/>
      <c r="AJ440" s="36"/>
      <c r="AK440" s="36"/>
      <c r="AL440" s="36"/>
      <c r="AM440" s="36"/>
      <c r="AN440" s="36"/>
    </row>
    <row r="441" spans="1:40" ht="15.75" x14ac:dyDescent="0.25">
      <c r="A441" s="44"/>
      <c r="B441" s="36"/>
      <c r="C441" s="36"/>
      <c r="D441" s="36"/>
      <c r="E441" s="36"/>
      <c r="F441" s="36"/>
      <c r="G441" s="36"/>
      <c r="H441" s="36"/>
      <c r="I441" s="36"/>
      <c r="J441" s="105"/>
      <c r="K441" s="36"/>
      <c r="L441" s="36"/>
      <c r="M441" s="36"/>
      <c r="N441" s="105"/>
      <c r="O441" s="36"/>
      <c r="P441" s="36"/>
      <c r="Q441" s="36"/>
      <c r="R441" s="105"/>
      <c r="S441" s="36"/>
      <c r="T441" s="36"/>
      <c r="U441" s="36"/>
      <c r="V441" s="36"/>
      <c r="W441" s="36"/>
      <c r="X441" s="36"/>
      <c r="Y441" s="36"/>
      <c r="Z441" s="36"/>
      <c r="AA441" s="36"/>
      <c r="AB441" s="42"/>
      <c r="AC441" s="42"/>
      <c r="AD441" s="36"/>
      <c r="AE441" s="36"/>
      <c r="AF441" s="42"/>
      <c r="AG441" s="42"/>
      <c r="AH441" s="36"/>
      <c r="AI441" s="36"/>
      <c r="AJ441" s="36"/>
      <c r="AK441" s="36"/>
      <c r="AL441" s="36"/>
      <c r="AM441" s="36"/>
      <c r="AN441" s="36"/>
    </row>
    <row r="442" spans="1:40" ht="15.75" x14ac:dyDescent="0.25">
      <c r="A442" s="44"/>
      <c r="B442" s="36"/>
      <c r="C442" s="36"/>
      <c r="D442" s="36"/>
      <c r="E442" s="36"/>
      <c r="F442" s="36"/>
      <c r="G442" s="36"/>
      <c r="H442" s="36"/>
      <c r="I442" s="36"/>
      <c r="J442" s="105"/>
      <c r="K442" s="36"/>
      <c r="L442" s="36"/>
      <c r="M442" s="36"/>
      <c r="N442" s="105"/>
      <c r="O442" s="36"/>
      <c r="P442" s="36"/>
      <c r="Q442" s="36"/>
      <c r="R442" s="105"/>
      <c r="S442" s="36"/>
      <c r="T442" s="36"/>
      <c r="U442" s="36"/>
      <c r="V442" s="36"/>
      <c r="W442" s="36"/>
      <c r="X442" s="36"/>
      <c r="Y442" s="36"/>
      <c r="Z442" s="36"/>
      <c r="AA442" s="36"/>
      <c r="AB442" s="42"/>
      <c r="AC442" s="42"/>
      <c r="AD442" s="36"/>
      <c r="AE442" s="36"/>
      <c r="AF442" s="42"/>
      <c r="AG442" s="42"/>
      <c r="AH442" s="36"/>
      <c r="AI442" s="36"/>
      <c r="AJ442" s="36"/>
      <c r="AK442" s="36"/>
      <c r="AL442" s="36"/>
      <c r="AM442" s="36"/>
      <c r="AN442" s="36"/>
    </row>
    <row r="443" spans="1:40" ht="15.75" x14ac:dyDescent="0.25">
      <c r="A443" s="44"/>
      <c r="B443" s="36"/>
      <c r="C443" s="36"/>
      <c r="D443" s="36"/>
      <c r="E443" s="36"/>
      <c r="F443" s="36"/>
      <c r="G443" s="36"/>
      <c r="H443" s="36"/>
      <c r="I443" s="36"/>
      <c r="J443" s="105"/>
      <c r="K443" s="36"/>
      <c r="L443" s="36"/>
      <c r="M443" s="36"/>
      <c r="N443" s="105"/>
      <c r="O443" s="36"/>
      <c r="P443" s="36"/>
      <c r="Q443" s="36"/>
      <c r="R443" s="105"/>
      <c r="S443" s="36"/>
      <c r="T443" s="36"/>
      <c r="U443" s="36"/>
      <c r="V443" s="36"/>
      <c r="W443" s="36"/>
      <c r="X443" s="36"/>
      <c r="Y443" s="36"/>
      <c r="Z443" s="36"/>
      <c r="AA443" s="36"/>
      <c r="AB443" s="42"/>
      <c r="AC443" s="42"/>
      <c r="AD443" s="36"/>
      <c r="AE443" s="36"/>
      <c r="AF443" s="42"/>
      <c r="AG443" s="42"/>
      <c r="AH443" s="36"/>
      <c r="AI443" s="36"/>
      <c r="AJ443" s="36"/>
      <c r="AK443" s="36"/>
      <c r="AL443" s="36"/>
      <c r="AM443" s="36"/>
      <c r="AN443" s="36"/>
    </row>
    <row r="444" spans="1:40" ht="15.75" x14ac:dyDescent="0.25">
      <c r="A444" s="44"/>
      <c r="B444" s="36"/>
      <c r="C444" s="36"/>
      <c r="D444" s="36"/>
      <c r="E444" s="36"/>
      <c r="F444" s="36"/>
      <c r="G444" s="36"/>
      <c r="H444" s="36"/>
      <c r="I444" s="36"/>
      <c r="J444" s="105"/>
      <c r="K444" s="36"/>
      <c r="L444" s="36"/>
      <c r="M444" s="36"/>
      <c r="N444" s="105"/>
      <c r="O444" s="36"/>
      <c r="P444" s="36"/>
      <c r="Q444" s="36"/>
      <c r="R444" s="105"/>
      <c r="S444" s="36"/>
      <c r="T444" s="36"/>
      <c r="U444" s="36"/>
      <c r="V444" s="36"/>
      <c r="W444" s="36"/>
      <c r="X444" s="36"/>
      <c r="Y444" s="36"/>
      <c r="Z444" s="36"/>
      <c r="AA444" s="36"/>
      <c r="AB444" s="42"/>
      <c r="AC444" s="42"/>
      <c r="AD444" s="36"/>
      <c r="AE444" s="36"/>
      <c r="AF444" s="42"/>
      <c r="AG444" s="42"/>
      <c r="AH444" s="36"/>
      <c r="AI444" s="36"/>
      <c r="AJ444" s="36"/>
      <c r="AK444" s="36"/>
      <c r="AL444" s="36"/>
      <c r="AM444" s="36"/>
      <c r="AN444" s="36"/>
    </row>
    <row r="445" spans="1:40" ht="15.75" x14ac:dyDescent="0.25">
      <c r="A445" s="44"/>
      <c r="B445" s="36"/>
      <c r="C445" s="36"/>
      <c r="D445" s="36"/>
      <c r="E445" s="36"/>
      <c r="F445" s="36"/>
      <c r="G445" s="36"/>
      <c r="H445" s="36"/>
      <c r="I445" s="36"/>
      <c r="J445" s="105"/>
      <c r="K445" s="36"/>
      <c r="L445" s="36"/>
      <c r="M445" s="36"/>
      <c r="N445" s="105"/>
      <c r="O445" s="36"/>
      <c r="P445" s="36"/>
      <c r="Q445" s="36"/>
      <c r="R445" s="105"/>
      <c r="S445" s="36"/>
      <c r="T445" s="36"/>
      <c r="U445" s="36"/>
      <c r="V445" s="36"/>
      <c r="W445" s="36"/>
      <c r="X445" s="36"/>
      <c r="Y445" s="36"/>
      <c r="Z445" s="36"/>
      <c r="AA445" s="36"/>
      <c r="AB445" s="42"/>
      <c r="AC445" s="42"/>
      <c r="AD445" s="36"/>
      <c r="AE445" s="36"/>
      <c r="AF445" s="42"/>
      <c r="AG445" s="42"/>
      <c r="AH445" s="36"/>
      <c r="AI445" s="36"/>
      <c r="AJ445" s="36"/>
      <c r="AK445" s="36"/>
      <c r="AL445" s="36"/>
      <c r="AM445" s="36"/>
      <c r="AN445" s="36"/>
    </row>
    <row r="446" spans="1:40" ht="15.75" x14ac:dyDescent="0.25">
      <c r="A446" s="44"/>
      <c r="B446" s="36"/>
      <c r="C446" s="36"/>
      <c r="D446" s="36"/>
      <c r="E446" s="36"/>
      <c r="F446" s="36"/>
      <c r="G446" s="36"/>
      <c r="H446" s="36"/>
      <c r="I446" s="36"/>
      <c r="J446" s="105"/>
      <c r="K446" s="36"/>
      <c r="L446" s="36"/>
      <c r="M446" s="36"/>
      <c r="N446" s="105"/>
      <c r="O446" s="36"/>
      <c r="P446" s="36"/>
      <c r="Q446" s="36"/>
      <c r="R446" s="105"/>
      <c r="S446" s="36"/>
      <c r="T446" s="36"/>
      <c r="U446" s="36"/>
      <c r="V446" s="36"/>
      <c r="W446" s="36"/>
      <c r="X446" s="36"/>
      <c r="Y446" s="36"/>
      <c r="Z446" s="36"/>
      <c r="AA446" s="36"/>
      <c r="AB446" s="42"/>
      <c r="AC446" s="42"/>
      <c r="AD446" s="36"/>
      <c r="AE446" s="36"/>
      <c r="AF446" s="42"/>
      <c r="AG446" s="42"/>
      <c r="AH446" s="36"/>
      <c r="AI446" s="36"/>
      <c r="AJ446" s="36"/>
      <c r="AK446" s="36"/>
      <c r="AL446" s="36"/>
      <c r="AM446" s="36"/>
      <c r="AN446" s="36"/>
    </row>
    <row r="447" spans="1:40" ht="15.75" x14ac:dyDescent="0.25">
      <c r="A447" s="44"/>
      <c r="B447" s="36"/>
      <c r="C447" s="36"/>
      <c r="D447" s="36"/>
      <c r="E447" s="36"/>
      <c r="F447" s="36"/>
      <c r="G447" s="36"/>
      <c r="H447" s="36"/>
      <c r="I447" s="36"/>
      <c r="J447" s="105"/>
      <c r="K447" s="36"/>
      <c r="L447" s="36"/>
      <c r="M447" s="36"/>
      <c r="N447" s="105"/>
      <c r="O447" s="36"/>
      <c r="P447" s="36"/>
      <c r="Q447" s="36"/>
      <c r="R447" s="105"/>
      <c r="S447" s="36"/>
      <c r="T447" s="36"/>
      <c r="U447" s="36"/>
      <c r="V447" s="36"/>
      <c r="W447" s="36"/>
      <c r="X447" s="36"/>
      <c r="Y447" s="36"/>
      <c r="Z447" s="36"/>
      <c r="AA447" s="36"/>
      <c r="AB447" s="42"/>
      <c r="AC447" s="42"/>
      <c r="AD447" s="36"/>
      <c r="AE447" s="36"/>
      <c r="AF447" s="42"/>
      <c r="AG447" s="42"/>
      <c r="AH447" s="36"/>
      <c r="AI447" s="36"/>
      <c r="AJ447" s="36"/>
      <c r="AK447" s="36"/>
      <c r="AL447" s="36"/>
      <c r="AM447" s="36"/>
      <c r="AN447" s="36"/>
    </row>
    <row r="448" spans="1:40" ht="15.75" x14ac:dyDescent="0.25">
      <c r="A448" s="44"/>
      <c r="B448" s="36"/>
      <c r="C448" s="36"/>
      <c r="D448" s="36"/>
      <c r="E448" s="36"/>
      <c r="F448" s="36"/>
      <c r="G448" s="36"/>
      <c r="H448" s="36"/>
      <c r="I448" s="36"/>
      <c r="J448" s="105"/>
      <c r="K448" s="36"/>
      <c r="L448" s="36"/>
      <c r="M448" s="36"/>
      <c r="N448" s="105"/>
      <c r="O448" s="36"/>
      <c r="P448" s="36"/>
      <c r="Q448" s="36"/>
      <c r="R448" s="105"/>
      <c r="S448" s="36"/>
      <c r="T448" s="36"/>
      <c r="U448" s="36"/>
      <c r="V448" s="36"/>
      <c r="W448" s="36"/>
      <c r="X448" s="36"/>
      <c r="Y448" s="36"/>
      <c r="Z448" s="36"/>
      <c r="AA448" s="36"/>
      <c r="AB448" s="42"/>
      <c r="AC448" s="42"/>
      <c r="AD448" s="36"/>
      <c r="AE448" s="36"/>
      <c r="AF448" s="42"/>
      <c r="AG448" s="42"/>
      <c r="AH448" s="36"/>
      <c r="AI448" s="36"/>
      <c r="AJ448" s="36"/>
      <c r="AK448" s="36"/>
      <c r="AL448" s="36"/>
      <c r="AM448" s="36"/>
      <c r="AN448" s="36"/>
    </row>
    <row r="449" spans="1:40" ht="15.75" x14ac:dyDescent="0.25">
      <c r="A449" s="44"/>
      <c r="B449" s="36"/>
      <c r="C449" s="36"/>
      <c r="D449" s="36"/>
      <c r="E449" s="36"/>
      <c r="F449" s="36"/>
      <c r="G449" s="36"/>
      <c r="H449" s="36"/>
      <c r="I449" s="36"/>
      <c r="J449" s="105"/>
      <c r="K449" s="36"/>
      <c r="L449" s="36"/>
      <c r="M449" s="36"/>
      <c r="N449" s="105"/>
      <c r="O449" s="36"/>
      <c r="P449" s="36"/>
      <c r="Q449" s="36"/>
      <c r="R449" s="105"/>
      <c r="S449" s="36"/>
      <c r="T449" s="36"/>
      <c r="U449" s="36"/>
      <c r="V449" s="36"/>
      <c r="W449" s="36"/>
      <c r="X449" s="36"/>
      <c r="Y449" s="36"/>
      <c r="Z449" s="36"/>
      <c r="AA449" s="36"/>
      <c r="AB449" s="42"/>
      <c r="AC449" s="42"/>
      <c r="AD449" s="36"/>
      <c r="AE449" s="36"/>
      <c r="AF449" s="42"/>
      <c r="AG449" s="42"/>
      <c r="AH449" s="36"/>
      <c r="AI449" s="36"/>
      <c r="AJ449" s="36"/>
      <c r="AK449" s="36"/>
      <c r="AL449" s="36"/>
      <c r="AM449" s="36"/>
      <c r="AN449" s="36"/>
    </row>
    <row r="450" spans="1:40" ht="15.75" x14ac:dyDescent="0.25">
      <c r="A450" s="44"/>
      <c r="B450" s="36"/>
      <c r="C450" s="36"/>
      <c r="D450" s="36"/>
      <c r="E450" s="36"/>
      <c r="F450" s="36"/>
      <c r="G450" s="36"/>
      <c r="H450" s="36"/>
      <c r="I450" s="36"/>
      <c r="J450" s="105"/>
      <c r="K450" s="36"/>
      <c r="L450" s="36"/>
      <c r="M450" s="36"/>
      <c r="N450" s="105"/>
      <c r="O450" s="36"/>
      <c r="P450" s="36"/>
      <c r="Q450" s="36"/>
      <c r="R450" s="105"/>
      <c r="S450" s="36"/>
      <c r="T450" s="36"/>
      <c r="U450" s="36"/>
      <c r="V450" s="36"/>
      <c r="W450" s="36"/>
      <c r="X450" s="36"/>
      <c r="Y450" s="36"/>
      <c r="Z450" s="36"/>
      <c r="AA450" s="36"/>
      <c r="AB450" s="42"/>
      <c r="AC450" s="42"/>
      <c r="AD450" s="36"/>
      <c r="AE450" s="36"/>
      <c r="AF450" s="42"/>
      <c r="AG450" s="42"/>
      <c r="AH450" s="36"/>
      <c r="AI450" s="36"/>
      <c r="AJ450" s="36"/>
      <c r="AK450" s="36"/>
      <c r="AL450" s="36"/>
      <c r="AM450" s="36"/>
      <c r="AN450" s="36"/>
    </row>
    <row r="451" spans="1:40" ht="15.75" x14ac:dyDescent="0.25">
      <c r="A451" s="44"/>
      <c r="B451" s="36"/>
      <c r="C451" s="36"/>
      <c r="D451" s="36"/>
      <c r="E451" s="36"/>
      <c r="F451" s="36"/>
      <c r="G451" s="36"/>
      <c r="H451" s="36"/>
      <c r="I451" s="36"/>
      <c r="J451" s="105"/>
      <c r="K451" s="36"/>
      <c r="L451" s="36"/>
      <c r="M451" s="36"/>
      <c r="N451" s="105"/>
      <c r="O451" s="36"/>
      <c r="P451" s="36"/>
      <c r="Q451" s="36"/>
      <c r="R451" s="105"/>
      <c r="S451" s="36"/>
      <c r="T451" s="36"/>
      <c r="U451" s="36"/>
      <c r="V451" s="36"/>
      <c r="W451" s="36"/>
      <c r="X451" s="36"/>
      <c r="Y451" s="36"/>
      <c r="Z451" s="36"/>
      <c r="AA451" s="36"/>
      <c r="AB451" s="42"/>
      <c r="AC451" s="42"/>
      <c r="AD451" s="36"/>
      <c r="AE451" s="36"/>
      <c r="AF451" s="42"/>
      <c r="AG451" s="42"/>
      <c r="AH451" s="36"/>
      <c r="AI451" s="36"/>
      <c r="AJ451" s="36"/>
      <c r="AK451" s="36"/>
      <c r="AL451" s="36"/>
      <c r="AM451" s="36"/>
      <c r="AN451" s="36"/>
    </row>
    <row r="452" spans="1:40" ht="15.75" x14ac:dyDescent="0.25">
      <c r="A452" s="44"/>
      <c r="B452" s="36"/>
      <c r="C452" s="36"/>
      <c r="D452" s="36"/>
      <c r="E452" s="36"/>
      <c r="F452" s="36"/>
      <c r="G452" s="36"/>
      <c r="H452" s="36"/>
      <c r="I452" s="36"/>
      <c r="J452" s="105"/>
      <c r="K452" s="36"/>
      <c r="L452" s="36"/>
      <c r="M452" s="36"/>
      <c r="N452" s="105"/>
      <c r="O452" s="36"/>
      <c r="P452" s="36"/>
      <c r="Q452" s="36"/>
      <c r="R452" s="105"/>
      <c r="S452" s="36"/>
      <c r="T452" s="36"/>
      <c r="U452" s="36"/>
      <c r="V452" s="36"/>
      <c r="W452" s="36"/>
      <c r="X452" s="36"/>
      <c r="Y452" s="36"/>
      <c r="Z452" s="36"/>
      <c r="AA452" s="36"/>
      <c r="AB452" s="42"/>
      <c r="AC452" s="42"/>
      <c r="AD452" s="36"/>
      <c r="AE452" s="36"/>
      <c r="AF452" s="42"/>
      <c r="AG452" s="42"/>
      <c r="AH452" s="36"/>
      <c r="AI452" s="36"/>
      <c r="AJ452" s="36"/>
      <c r="AK452" s="36"/>
      <c r="AL452" s="36"/>
      <c r="AM452" s="36"/>
      <c r="AN452" s="36"/>
    </row>
    <row r="453" spans="1:40" ht="15.75" x14ac:dyDescent="0.25">
      <c r="A453" s="44"/>
      <c r="B453" s="36"/>
      <c r="C453" s="36"/>
      <c r="D453" s="36"/>
      <c r="E453" s="36"/>
      <c r="F453" s="36"/>
      <c r="G453" s="36"/>
      <c r="H453" s="36"/>
      <c r="I453" s="36"/>
      <c r="J453" s="105"/>
      <c r="K453" s="36"/>
      <c r="L453" s="36"/>
      <c r="M453" s="36"/>
      <c r="N453" s="105"/>
      <c r="O453" s="36"/>
      <c r="P453" s="36"/>
      <c r="Q453" s="36"/>
      <c r="R453" s="105"/>
      <c r="S453" s="36"/>
      <c r="T453" s="36"/>
      <c r="U453" s="36"/>
      <c r="V453" s="36"/>
      <c r="W453" s="36"/>
      <c r="X453" s="36"/>
      <c r="Y453" s="36"/>
      <c r="Z453" s="36"/>
      <c r="AA453" s="36"/>
      <c r="AB453" s="42"/>
      <c r="AC453" s="42"/>
      <c r="AD453" s="36"/>
      <c r="AE453" s="36"/>
      <c r="AF453" s="42"/>
      <c r="AG453" s="42"/>
      <c r="AH453" s="36"/>
      <c r="AI453" s="36"/>
      <c r="AJ453" s="36"/>
      <c r="AK453" s="36"/>
      <c r="AL453" s="36"/>
      <c r="AM453" s="36"/>
      <c r="AN453" s="36"/>
    </row>
    <row r="454" spans="1:40" ht="15.75" x14ac:dyDescent="0.25">
      <c r="A454" s="44"/>
      <c r="B454" s="36"/>
      <c r="C454" s="36"/>
      <c r="D454" s="36"/>
      <c r="E454" s="36"/>
      <c r="F454" s="36"/>
      <c r="G454" s="36"/>
      <c r="H454" s="36"/>
      <c r="I454" s="36"/>
      <c r="J454" s="105"/>
      <c r="K454" s="36"/>
      <c r="L454" s="36"/>
      <c r="M454" s="36"/>
      <c r="N454" s="105"/>
      <c r="O454" s="36"/>
      <c r="P454" s="36"/>
      <c r="Q454" s="36"/>
      <c r="R454" s="105"/>
      <c r="S454" s="36"/>
      <c r="T454" s="36"/>
      <c r="U454" s="36"/>
      <c r="V454" s="36"/>
      <c r="W454" s="36"/>
      <c r="X454" s="36"/>
      <c r="Y454" s="36"/>
      <c r="Z454" s="36"/>
      <c r="AA454" s="36"/>
      <c r="AB454" s="42"/>
      <c r="AC454" s="42"/>
      <c r="AD454" s="36"/>
      <c r="AE454" s="36"/>
      <c r="AF454" s="42"/>
      <c r="AG454" s="42"/>
      <c r="AH454" s="36"/>
      <c r="AI454" s="36"/>
      <c r="AJ454" s="36"/>
      <c r="AK454" s="36"/>
      <c r="AL454" s="36"/>
      <c r="AM454" s="36"/>
      <c r="AN454" s="36"/>
    </row>
    <row r="455" spans="1:40" ht="15.75" x14ac:dyDescent="0.25">
      <c r="A455" s="44"/>
      <c r="B455" s="36"/>
      <c r="C455" s="36"/>
      <c r="D455" s="36"/>
      <c r="E455" s="36"/>
      <c r="F455" s="36"/>
      <c r="G455" s="36"/>
      <c r="H455" s="36"/>
      <c r="I455" s="36"/>
      <c r="J455" s="105"/>
      <c r="K455" s="36"/>
      <c r="L455" s="36"/>
      <c r="M455" s="36"/>
      <c r="N455" s="105"/>
      <c r="O455" s="36"/>
      <c r="P455" s="36"/>
      <c r="Q455" s="36"/>
      <c r="R455" s="105"/>
      <c r="S455" s="36"/>
      <c r="T455" s="36"/>
      <c r="U455" s="36"/>
      <c r="V455" s="36"/>
      <c r="W455" s="36"/>
      <c r="X455" s="36"/>
      <c r="Y455" s="36"/>
      <c r="Z455" s="36"/>
      <c r="AA455" s="36"/>
      <c r="AB455" s="42"/>
      <c r="AC455" s="42"/>
      <c r="AD455" s="36"/>
      <c r="AE455" s="36"/>
      <c r="AF455" s="42"/>
      <c r="AG455" s="42"/>
      <c r="AH455" s="36"/>
      <c r="AI455" s="36"/>
      <c r="AJ455" s="36"/>
      <c r="AK455" s="36"/>
      <c r="AL455" s="36"/>
      <c r="AM455" s="36"/>
      <c r="AN455" s="36"/>
    </row>
    <row r="456" spans="1:40" ht="15.75" x14ac:dyDescent="0.25">
      <c r="A456" s="44"/>
      <c r="B456" s="36"/>
      <c r="C456" s="36"/>
      <c r="D456" s="36"/>
      <c r="E456" s="36"/>
      <c r="F456" s="36"/>
      <c r="G456" s="36"/>
      <c r="H456" s="36"/>
      <c r="I456" s="36"/>
      <c r="J456" s="105"/>
      <c r="K456" s="36"/>
      <c r="L456" s="36"/>
      <c r="M456" s="36"/>
      <c r="N456" s="105"/>
      <c r="O456" s="36"/>
      <c r="P456" s="36"/>
      <c r="Q456" s="36"/>
      <c r="R456" s="105"/>
      <c r="S456" s="36"/>
      <c r="T456" s="36"/>
      <c r="U456" s="36"/>
      <c r="V456" s="36"/>
      <c r="W456" s="36"/>
      <c r="X456" s="36"/>
      <c r="Y456" s="36"/>
      <c r="Z456" s="36"/>
      <c r="AA456" s="36"/>
      <c r="AB456" s="42"/>
      <c r="AC456" s="42"/>
      <c r="AD456" s="36"/>
      <c r="AE456" s="36"/>
      <c r="AF456" s="42"/>
      <c r="AG456" s="42"/>
      <c r="AH456" s="36"/>
      <c r="AI456" s="36"/>
      <c r="AJ456" s="36"/>
      <c r="AK456" s="36"/>
      <c r="AL456" s="36"/>
      <c r="AM456" s="36"/>
      <c r="AN456" s="36"/>
    </row>
    <row r="457" spans="1:40" ht="15.75" x14ac:dyDescent="0.25">
      <c r="A457" s="44"/>
      <c r="B457" s="36"/>
      <c r="C457" s="36"/>
      <c r="D457" s="36"/>
      <c r="E457" s="36"/>
      <c r="F457" s="36"/>
      <c r="G457" s="36"/>
      <c r="H457" s="36"/>
      <c r="I457" s="36"/>
      <c r="J457" s="105"/>
      <c r="K457" s="36"/>
      <c r="L457" s="36"/>
      <c r="M457" s="36"/>
      <c r="N457" s="105"/>
      <c r="O457" s="36"/>
      <c r="P457" s="36"/>
      <c r="Q457" s="36"/>
      <c r="R457" s="105"/>
      <c r="S457" s="36"/>
      <c r="T457" s="36"/>
      <c r="U457" s="36"/>
      <c r="V457" s="36"/>
      <c r="W457" s="36"/>
      <c r="X457" s="36"/>
      <c r="Y457" s="36"/>
      <c r="Z457" s="36"/>
      <c r="AA457" s="36"/>
      <c r="AB457" s="42"/>
      <c r="AC457" s="42"/>
      <c r="AD457" s="36"/>
      <c r="AE457" s="36"/>
      <c r="AF457" s="42"/>
      <c r="AG457" s="42"/>
      <c r="AH457" s="36"/>
      <c r="AI457" s="36"/>
      <c r="AJ457" s="36"/>
      <c r="AK457" s="36"/>
      <c r="AL457" s="36"/>
      <c r="AM457" s="36"/>
      <c r="AN457" s="36"/>
    </row>
    <row r="458" spans="1:40" ht="15.75" x14ac:dyDescent="0.25">
      <c r="A458" s="44"/>
      <c r="B458" s="36"/>
      <c r="C458" s="36"/>
      <c r="D458" s="36"/>
      <c r="E458" s="36"/>
      <c r="F458" s="36"/>
      <c r="G458" s="36"/>
      <c r="H458" s="36"/>
      <c r="I458" s="36"/>
      <c r="J458" s="105"/>
      <c r="K458" s="36"/>
      <c r="L458" s="36"/>
      <c r="M458" s="36"/>
      <c r="N458" s="105"/>
      <c r="O458" s="36"/>
      <c r="P458" s="36"/>
      <c r="Q458" s="36"/>
      <c r="R458" s="105"/>
      <c r="S458" s="36"/>
      <c r="T458" s="36"/>
      <c r="U458" s="36"/>
      <c r="V458" s="36"/>
      <c r="W458" s="36"/>
      <c r="X458" s="36"/>
      <c r="Y458" s="36"/>
      <c r="Z458" s="36"/>
      <c r="AA458" s="36"/>
      <c r="AB458" s="42"/>
      <c r="AC458" s="42"/>
      <c r="AD458" s="36"/>
      <c r="AE458" s="36"/>
      <c r="AF458" s="42"/>
      <c r="AG458" s="42"/>
      <c r="AH458" s="36"/>
      <c r="AI458" s="36"/>
      <c r="AJ458" s="36"/>
      <c r="AK458" s="36"/>
      <c r="AL458" s="36"/>
      <c r="AM458" s="36"/>
      <c r="AN458" s="36"/>
    </row>
    <row r="459" spans="1:40" ht="15.75" x14ac:dyDescent="0.25">
      <c r="A459" s="44"/>
      <c r="B459" s="36"/>
      <c r="C459" s="36"/>
      <c r="D459" s="36"/>
      <c r="E459" s="36"/>
      <c r="F459" s="36"/>
      <c r="G459" s="36"/>
      <c r="H459" s="36"/>
      <c r="I459" s="36"/>
      <c r="J459" s="105"/>
      <c r="K459" s="36"/>
      <c r="L459" s="36"/>
      <c r="M459" s="36"/>
      <c r="N459" s="105"/>
      <c r="O459" s="36"/>
      <c r="P459" s="36"/>
      <c r="Q459" s="36"/>
      <c r="R459" s="105"/>
      <c r="S459" s="36"/>
      <c r="T459" s="36"/>
      <c r="U459" s="36"/>
      <c r="V459" s="36"/>
      <c r="W459" s="36"/>
      <c r="X459" s="36"/>
      <c r="Y459" s="36"/>
      <c r="Z459" s="36"/>
      <c r="AA459" s="36"/>
      <c r="AB459" s="42"/>
      <c r="AC459" s="42"/>
      <c r="AD459" s="36"/>
      <c r="AE459" s="36"/>
      <c r="AF459" s="42"/>
      <c r="AG459" s="42"/>
      <c r="AH459" s="36"/>
      <c r="AI459" s="36"/>
      <c r="AJ459" s="36"/>
      <c r="AK459" s="36"/>
      <c r="AL459" s="36"/>
      <c r="AM459" s="36"/>
      <c r="AN459" s="36"/>
    </row>
    <row r="460" spans="1:40" ht="15.75" x14ac:dyDescent="0.25">
      <c r="A460" s="44"/>
      <c r="B460" s="36"/>
      <c r="C460" s="36"/>
      <c r="D460" s="36"/>
      <c r="E460" s="36"/>
      <c r="F460" s="36"/>
      <c r="G460" s="36"/>
      <c r="H460" s="36"/>
      <c r="I460" s="36"/>
      <c r="J460" s="105"/>
      <c r="K460" s="36"/>
      <c r="L460" s="36"/>
      <c r="M460" s="36"/>
      <c r="N460" s="105"/>
      <c r="O460" s="36"/>
      <c r="P460" s="36"/>
      <c r="Q460" s="36"/>
      <c r="R460" s="105"/>
      <c r="S460" s="36"/>
      <c r="T460" s="36"/>
      <c r="U460" s="36"/>
      <c r="V460" s="36"/>
      <c r="W460" s="36"/>
      <c r="X460" s="36"/>
      <c r="Y460" s="36"/>
      <c r="Z460" s="36"/>
      <c r="AA460" s="36"/>
      <c r="AB460" s="42"/>
      <c r="AC460" s="42"/>
      <c r="AD460" s="36"/>
      <c r="AE460" s="36"/>
      <c r="AF460" s="42"/>
      <c r="AG460" s="42"/>
      <c r="AH460" s="36"/>
      <c r="AI460" s="36"/>
      <c r="AJ460" s="36"/>
      <c r="AK460" s="36"/>
      <c r="AL460" s="36"/>
      <c r="AM460" s="36"/>
      <c r="AN460" s="36"/>
    </row>
    <row r="461" spans="1:40" ht="15.75" x14ac:dyDescent="0.25">
      <c r="A461" s="44"/>
      <c r="B461" s="36"/>
      <c r="C461" s="36"/>
      <c r="D461" s="36"/>
      <c r="E461" s="36"/>
      <c r="F461" s="36"/>
      <c r="G461" s="36"/>
      <c r="H461" s="36"/>
      <c r="I461" s="36"/>
      <c r="J461" s="105"/>
      <c r="K461" s="36"/>
      <c r="L461" s="36"/>
      <c r="M461" s="36"/>
      <c r="N461" s="105"/>
      <c r="O461" s="36"/>
      <c r="P461" s="36"/>
      <c r="Q461" s="36"/>
      <c r="R461" s="105"/>
      <c r="S461" s="36"/>
      <c r="T461" s="36"/>
      <c r="U461" s="36"/>
      <c r="V461" s="36"/>
      <c r="W461" s="36"/>
      <c r="X461" s="36"/>
      <c r="Y461" s="36"/>
      <c r="Z461" s="36"/>
      <c r="AA461" s="36"/>
      <c r="AB461" s="42"/>
      <c r="AC461" s="42"/>
      <c r="AD461" s="36"/>
      <c r="AE461" s="36"/>
      <c r="AF461" s="42"/>
      <c r="AG461" s="42"/>
      <c r="AH461" s="36"/>
      <c r="AI461" s="36"/>
      <c r="AJ461" s="36"/>
      <c r="AK461" s="36"/>
      <c r="AL461" s="36"/>
      <c r="AM461" s="36"/>
      <c r="AN461" s="36"/>
    </row>
    <row r="462" spans="1:40" ht="15.75" x14ac:dyDescent="0.25">
      <c r="A462" s="44"/>
      <c r="B462" s="36"/>
      <c r="C462" s="36"/>
      <c r="D462" s="36"/>
      <c r="E462" s="36"/>
      <c r="F462" s="36"/>
      <c r="G462" s="36"/>
      <c r="H462" s="36"/>
      <c r="I462" s="36"/>
      <c r="J462" s="105"/>
      <c r="K462" s="36"/>
      <c r="L462" s="36"/>
      <c r="M462" s="36"/>
      <c r="N462" s="105"/>
      <c r="O462" s="36"/>
      <c r="P462" s="36"/>
      <c r="Q462" s="36"/>
      <c r="R462" s="105"/>
      <c r="S462" s="36"/>
      <c r="T462" s="36"/>
      <c r="U462" s="36"/>
      <c r="V462" s="36"/>
      <c r="W462" s="36"/>
      <c r="X462" s="36"/>
      <c r="Y462" s="36"/>
      <c r="Z462" s="36"/>
      <c r="AA462" s="36"/>
      <c r="AB462" s="42"/>
      <c r="AC462" s="42"/>
      <c r="AD462" s="36"/>
      <c r="AE462" s="36"/>
      <c r="AF462" s="42"/>
      <c r="AG462" s="42"/>
      <c r="AH462" s="36"/>
      <c r="AI462" s="36"/>
      <c r="AJ462" s="36"/>
      <c r="AK462" s="36"/>
      <c r="AL462" s="36"/>
      <c r="AM462" s="36"/>
      <c r="AN462" s="36"/>
    </row>
    <row r="463" spans="1:40" ht="15.75" x14ac:dyDescent="0.25">
      <c r="A463" s="44"/>
      <c r="B463" s="36"/>
      <c r="C463" s="36"/>
      <c r="D463" s="36"/>
      <c r="E463" s="36"/>
      <c r="F463" s="36"/>
      <c r="G463" s="36"/>
      <c r="H463" s="36"/>
      <c r="I463" s="36"/>
      <c r="J463" s="105"/>
      <c r="K463" s="36"/>
      <c r="L463" s="36"/>
      <c r="M463" s="36"/>
      <c r="N463" s="105"/>
      <c r="O463" s="36"/>
      <c r="P463" s="36"/>
      <c r="Q463" s="36"/>
      <c r="R463" s="105"/>
      <c r="S463" s="36"/>
      <c r="T463" s="36"/>
      <c r="U463" s="36"/>
      <c r="V463" s="36"/>
      <c r="W463" s="36"/>
      <c r="X463" s="36"/>
      <c r="Y463" s="36"/>
      <c r="Z463" s="36"/>
      <c r="AA463" s="36"/>
      <c r="AB463" s="42"/>
      <c r="AC463" s="42"/>
      <c r="AD463" s="36"/>
      <c r="AE463" s="36"/>
      <c r="AF463" s="42"/>
      <c r="AG463" s="42"/>
      <c r="AH463" s="36"/>
      <c r="AI463" s="36"/>
      <c r="AJ463" s="36"/>
      <c r="AK463" s="36"/>
      <c r="AL463" s="36"/>
      <c r="AM463" s="36"/>
      <c r="AN463" s="36"/>
    </row>
    <row r="464" spans="1:40" ht="15.75" x14ac:dyDescent="0.25">
      <c r="A464" s="44"/>
      <c r="B464" s="36"/>
      <c r="C464" s="36"/>
      <c r="D464" s="36"/>
      <c r="E464" s="36"/>
      <c r="F464" s="36"/>
      <c r="G464" s="36"/>
      <c r="H464" s="36"/>
      <c r="I464" s="36"/>
      <c r="J464" s="105"/>
      <c r="K464" s="36"/>
      <c r="L464" s="36"/>
      <c r="M464" s="36"/>
      <c r="N464" s="105"/>
      <c r="O464" s="36"/>
      <c r="P464" s="36"/>
      <c r="Q464" s="36"/>
      <c r="R464" s="105"/>
      <c r="S464" s="36"/>
      <c r="T464" s="36"/>
      <c r="U464" s="36"/>
      <c r="V464" s="36"/>
      <c r="W464" s="36"/>
      <c r="X464" s="36"/>
      <c r="Y464" s="36"/>
      <c r="Z464" s="36"/>
      <c r="AA464" s="36"/>
      <c r="AB464" s="42"/>
      <c r="AC464" s="42"/>
      <c r="AD464" s="36"/>
      <c r="AE464" s="36"/>
      <c r="AF464" s="42"/>
      <c r="AG464" s="42"/>
      <c r="AH464" s="36"/>
      <c r="AI464" s="36"/>
      <c r="AJ464" s="36"/>
      <c r="AK464" s="36"/>
      <c r="AL464" s="36"/>
      <c r="AM464" s="36"/>
      <c r="AN464" s="36"/>
    </row>
    <row r="465" spans="1:40" ht="15.75" x14ac:dyDescent="0.25">
      <c r="A465" s="44"/>
      <c r="B465" s="36"/>
      <c r="C465" s="36"/>
      <c r="D465" s="36"/>
      <c r="E465" s="36"/>
      <c r="F465" s="36"/>
      <c r="G465" s="36"/>
      <c r="H465" s="36"/>
      <c r="I465" s="36"/>
      <c r="J465" s="105"/>
      <c r="K465" s="36"/>
      <c r="L465" s="36"/>
      <c r="M465" s="36"/>
      <c r="N465" s="105"/>
      <c r="O465" s="36"/>
      <c r="P465" s="36"/>
      <c r="Q465" s="36"/>
      <c r="R465" s="105"/>
      <c r="S465" s="36"/>
      <c r="T465" s="36"/>
      <c r="U465" s="36"/>
      <c r="V465" s="36"/>
      <c r="W465" s="36"/>
      <c r="X465" s="36"/>
      <c r="Y465" s="36"/>
      <c r="Z465" s="36"/>
      <c r="AA465" s="36"/>
      <c r="AB465" s="42"/>
      <c r="AC465" s="42"/>
      <c r="AD465" s="36"/>
      <c r="AE465" s="36"/>
      <c r="AF465" s="42"/>
      <c r="AG465" s="42"/>
      <c r="AH465" s="36"/>
      <c r="AI465" s="36"/>
      <c r="AJ465" s="36"/>
      <c r="AK465" s="36"/>
      <c r="AL465" s="36"/>
      <c r="AM465" s="36"/>
      <c r="AN465" s="36"/>
    </row>
    <row r="466" spans="1:40" ht="15.75" x14ac:dyDescent="0.25">
      <c r="A466" s="44"/>
      <c r="B466" s="36"/>
      <c r="C466" s="36"/>
      <c r="D466" s="36"/>
      <c r="E466" s="36"/>
      <c r="F466" s="36"/>
      <c r="G466" s="36"/>
      <c r="H466" s="36"/>
      <c r="I466" s="36"/>
      <c r="J466" s="105"/>
      <c r="K466" s="36"/>
      <c r="L466" s="36"/>
      <c r="M466" s="36"/>
      <c r="N466" s="105"/>
      <c r="O466" s="36"/>
      <c r="P466" s="36"/>
      <c r="Q466" s="36"/>
      <c r="R466" s="105"/>
      <c r="S466" s="36"/>
      <c r="T466" s="36"/>
      <c r="U466" s="36"/>
      <c r="V466" s="36"/>
      <c r="W466" s="36"/>
      <c r="X466" s="36"/>
      <c r="Y466" s="36"/>
      <c r="Z466" s="36"/>
      <c r="AA466" s="36"/>
      <c r="AB466" s="42"/>
      <c r="AC466" s="42"/>
      <c r="AD466" s="36"/>
      <c r="AE466" s="36"/>
      <c r="AF466" s="42"/>
      <c r="AG466" s="42"/>
      <c r="AH466" s="36"/>
      <c r="AI466" s="36"/>
      <c r="AJ466" s="36"/>
      <c r="AK466" s="36"/>
      <c r="AL466" s="36"/>
      <c r="AM466" s="36"/>
      <c r="AN466" s="36"/>
    </row>
    <row r="467" spans="1:40" ht="15.75" x14ac:dyDescent="0.25">
      <c r="A467" s="44"/>
      <c r="B467" s="36"/>
      <c r="C467" s="36"/>
      <c r="D467" s="36"/>
      <c r="E467" s="36"/>
      <c r="F467" s="36"/>
      <c r="G467" s="36"/>
      <c r="H467" s="36"/>
      <c r="I467" s="36"/>
      <c r="J467" s="105"/>
      <c r="K467" s="36"/>
      <c r="L467" s="36"/>
      <c r="M467" s="36"/>
      <c r="N467" s="105"/>
      <c r="O467" s="36"/>
      <c r="P467" s="36"/>
      <c r="Q467" s="36"/>
      <c r="R467" s="105"/>
      <c r="S467" s="36"/>
      <c r="T467" s="36"/>
      <c r="U467" s="36"/>
      <c r="V467" s="36"/>
      <c r="W467" s="36"/>
      <c r="X467" s="36"/>
      <c r="Y467" s="36"/>
      <c r="Z467" s="36"/>
      <c r="AA467" s="36"/>
      <c r="AB467" s="42"/>
      <c r="AC467" s="42"/>
      <c r="AD467" s="36"/>
      <c r="AE467" s="36"/>
      <c r="AF467" s="42"/>
      <c r="AG467" s="42"/>
      <c r="AH467" s="36"/>
      <c r="AI467" s="36"/>
      <c r="AJ467" s="36"/>
      <c r="AK467" s="36"/>
      <c r="AL467" s="36"/>
      <c r="AM467" s="36"/>
      <c r="AN467" s="36"/>
    </row>
    <row r="468" spans="1:40" ht="15.75" x14ac:dyDescent="0.25">
      <c r="A468" s="44"/>
      <c r="B468" s="36"/>
      <c r="C468" s="36"/>
      <c r="D468" s="36"/>
      <c r="E468" s="36"/>
      <c r="F468" s="36"/>
      <c r="G468" s="36"/>
      <c r="H468" s="36"/>
      <c r="I468" s="36"/>
      <c r="J468" s="105"/>
      <c r="K468" s="36"/>
      <c r="L468" s="36"/>
      <c r="M468" s="36"/>
      <c r="N468" s="105"/>
      <c r="O468" s="36"/>
      <c r="P468" s="36"/>
      <c r="Q468" s="36"/>
      <c r="R468" s="105"/>
      <c r="S468" s="36"/>
      <c r="T468" s="36"/>
      <c r="U468" s="36"/>
      <c r="V468" s="36"/>
      <c r="W468" s="36"/>
      <c r="X468" s="36"/>
      <c r="Y468" s="36"/>
      <c r="Z468" s="36"/>
      <c r="AA468" s="36"/>
      <c r="AB468" s="42"/>
      <c r="AC468" s="42"/>
      <c r="AD468" s="36"/>
      <c r="AE468" s="36"/>
      <c r="AF468" s="42"/>
      <c r="AG468" s="42"/>
      <c r="AH468" s="36"/>
      <c r="AI468" s="36"/>
      <c r="AJ468" s="36"/>
      <c r="AK468" s="36"/>
      <c r="AL468" s="36"/>
      <c r="AM468" s="36"/>
      <c r="AN468" s="36"/>
    </row>
    <row r="469" spans="1:40" ht="15.75" x14ac:dyDescent="0.25">
      <c r="A469" s="44"/>
      <c r="B469" s="36"/>
      <c r="C469" s="36"/>
      <c r="D469" s="36"/>
      <c r="E469" s="36"/>
      <c r="F469" s="36"/>
      <c r="G469" s="36"/>
      <c r="H469" s="36"/>
      <c r="I469" s="36"/>
      <c r="J469" s="105"/>
      <c r="K469" s="36"/>
      <c r="L469" s="36"/>
      <c r="M469" s="36"/>
      <c r="N469" s="105"/>
      <c r="O469" s="36"/>
      <c r="P469" s="36"/>
      <c r="Q469" s="36"/>
      <c r="R469" s="105"/>
      <c r="S469" s="36"/>
      <c r="T469" s="36"/>
      <c r="U469" s="36"/>
      <c r="V469" s="36"/>
      <c r="W469" s="36"/>
      <c r="X469" s="36"/>
      <c r="Y469" s="36"/>
      <c r="Z469" s="36"/>
      <c r="AA469" s="36"/>
      <c r="AB469" s="42"/>
      <c r="AC469" s="42"/>
      <c r="AD469" s="36"/>
      <c r="AE469" s="36"/>
      <c r="AF469" s="42"/>
      <c r="AG469" s="42"/>
      <c r="AH469" s="36"/>
      <c r="AI469" s="36"/>
      <c r="AJ469" s="36"/>
      <c r="AK469" s="36"/>
      <c r="AL469" s="36"/>
      <c r="AM469" s="36"/>
      <c r="AN469" s="36"/>
    </row>
    <row r="470" spans="1:40" ht="15.75" x14ac:dyDescent="0.25">
      <c r="A470" s="44"/>
      <c r="B470" s="36"/>
      <c r="C470" s="36"/>
      <c r="D470" s="36"/>
      <c r="E470" s="36"/>
      <c r="F470" s="36"/>
      <c r="G470" s="36"/>
      <c r="H470" s="36"/>
      <c r="I470" s="36"/>
      <c r="J470" s="105"/>
      <c r="K470" s="36"/>
      <c r="L470" s="36"/>
      <c r="M470" s="36"/>
      <c r="N470" s="105"/>
      <c r="O470" s="36"/>
      <c r="P470" s="36"/>
      <c r="Q470" s="36"/>
      <c r="R470" s="105"/>
      <c r="S470" s="36"/>
      <c r="T470" s="36"/>
      <c r="U470" s="36"/>
      <c r="V470" s="36"/>
      <c r="W470" s="36"/>
      <c r="X470" s="36"/>
      <c r="Y470" s="36"/>
      <c r="Z470" s="36"/>
      <c r="AA470" s="36"/>
      <c r="AB470" s="42"/>
      <c r="AC470" s="42"/>
      <c r="AD470" s="36"/>
      <c r="AE470" s="36"/>
      <c r="AF470" s="42"/>
      <c r="AG470" s="42"/>
      <c r="AH470" s="36"/>
      <c r="AI470" s="36"/>
      <c r="AJ470" s="36"/>
      <c r="AK470" s="36"/>
      <c r="AL470" s="36"/>
      <c r="AM470" s="36"/>
      <c r="AN470" s="36"/>
    </row>
    <row r="471" spans="1:40" ht="15.75" x14ac:dyDescent="0.25">
      <c r="A471" s="44"/>
      <c r="B471" s="36"/>
      <c r="C471" s="36"/>
      <c r="D471" s="36"/>
      <c r="E471" s="36"/>
      <c r="F471" s="36"/>
      <c r="G471" s="36"/>
      <c r="H471" s="36"/>
      <c r="I471" s="36"/>
      <c r="J471" s="105"/>
      <c r="K471" s="36"/>
      <c r="L471" s="36"/>
      <c r="M471" s="36"/>
      <c r="N471" s="105"/>
      <c r="O471" s="36"/>
      <c r="P471" s="36"/>
      <c r="Q471" s="36"/>
      <c r="R471" s="105"/>
      <c r="S471" s="36"/>
      <c r="T471" s="36"/>
      <c r="U471" s="36"/>
      <c r="V471" s="36"/>
      <c r="W471" s="36"/>
      <c r="X471" s="36"/>
      <c r="Y471" s="36"/>
      <c r="Z471" s="36"/>
      <c r="AA471" s="36"/>
      <c r="AB471" s="42"/>
      <c r="AC471" s="42"/>
      <c r="AD471" s="36"/>
      <c r="AE471" s="36"/>
      <c r="AF471" s="42"/>
      <c r="AG471" s="42"/>
      <c r="AH471" s="36"/>
      <c r="AI471" s="36"/>
      <c r="AJ471" s="36"/>
      <c r="AK471" s="36"/>
      <c r="AL471" s="36"/>
      <c r="AM471" s="36"/>
      <c r="AN471" s="36"/>
    </row>
    <row r="472" spans="1:40" ht="15.75" x14ac:dyDescent="0.25">
      <c r="A472" s="44"/>
      <c r="B472" s="36"/>
      <c r="C472" s="36"/>
      <c r="D472" s="36"/>
      <c r="E472" s="36"/>
      <c r="F472" s="36"/>
      <c r="G472" s="36"/>
      <c r="H472" s="36"/>
      <c r="I472" s="36"/>
      <c r="J472" s="105"/>
      <c r="K472" s="36"/>
      <c r="L472" s="36"/>
      <c r="M472" s="36"/>
      <c r="N472" s="105"/>
      <c r="O472" s="36"/>
      <c r="P472" s="36"/>
      <c r="Q472" s="36"/>
      <c r="R472" s="105"/>
      <c r="S472" s="36"/>
      <c r="T472" s="36"/>
      <c r="U472" s="36"/>
      <c r="V472" s="36"/>
      <c r="W472" s="36"/>
      <c r="X472" s="36"/>
      <c r="Y472" s="36"/>
      <c r="Z472" s="36"/>
      <c r="AA472" s="36"/>
      <c r="AB472" s="42"/>
      <c r="AC472" s="42"/>
      <c r="AD472" s="36"/>
      <c r="AE472" s="36"/>
      <c r="AF472" s="42"/>
      <c r="AG472" s="42"/>
      <c r="AH472" s="36"/>
      <c r="AI472" s="36"/>
      <c r="AJ472" s="36"/>
      <c r="AK472" s="36"/>
      <c r="AL472" s="36"/>
      <c r="AM472" s="36"/>
      <c r="AN472" s="36"/>
    </row>
    <row r="473" spans="1:40" ht="15.75" x14ac:dyDescent="0.25">
      <c r="A473" s="44"/>
      <c r="B473" s="36"/>
      <c r="C473" s="36"/>
      <c r="D473" s="36"/>
      <c r="E473" s="36"/>
      <c r="F473" s="36"/>
      <c r="G473" s="36"/>
      <c r="H473" s="36"/>
      <c r="I473" s="36"/>
      <c r="J473" s="105"/>
      <c r="K473" s="36"/>
      <c r="L473" s="36"/>
      <c r="M473" s="36"/>
      <c r="N473" s="105"/>
      <c r="O473" s="36"/>
      <c r="P473" s="36"/>
      <c r="Q473" s="36"/>
      <c r="R473" s="105"/>
      <c r="S473" s="36"/>
      <c r="T473" s="36"/>
      <c r="U473" s="36"/>
      <c r="V473" s="36"/>
      <c r="W473" s="36"/>
      <c r="X473" s="36"/>
      <c r="Y473" s="36"/>
      <c r="Z473" s="36"/>
      <c r="AA473" s="36"/>
      <c r="AB473" s="42"/>
      <c r="AC473" s="42"/>
      <c r="AD473" s="36"/>
      <c r="AE473" s="36"/>
      <c r="AF473" s="42"/>
      <c r="AG473" s="42"/>
      <c r="AH473" s="36"/>
      <c r="AI473" s="36"/>
      <c r="AJ473" s="36"/>
      <c r="AK473" s="36"/>
      <c r="AL473" s="36"/>
      <c r="AM473" s="36"/>
      <c r="AN473" s="36"/>
    </row>
    <row r="474" spans="1:40" ht="15.75" x14ac:dyDescent="0.25">
      <c r="A474" s="44"/>
      <c r="B474" s="36"/>
      <c r="C474" s="36"/>
      <c r="D474" s="36"/>
      <c r="E474" s="36"/>
      <c r="F474" s="36"/>
      <c r="G474" s="36"/>
      <c r="H474" s="36"/>
      <c r="I474" s="36"/>
      <c r="J474" s="105"/>
      <c r="K474" s="36"/>
      <c r="L474" s="36"/>
      <c r="M474" s="36"/>
      <c r="N474" s="105"/>
      <c r="O474" s="36"/>
      <c r="P474" s="36"/>
      <c r="Q474" s="36"/>
      <c r="R474" s="105"/>
      <c r="S474" s="36"/>
      <c r="T474" s="36"/>
      <c r="U474" s="36"/>
      <c r="V474" s="36"/>
      <c r="W474" s="36"/>
      <c r="X474" s="36"/>
      <c r="Y474" s="36"/>
      <c r="Z474" s="36"/>
      <c r="AA474" s="36"/>
      <c r="AB474" s="42"/>
      <c r="AC474" s="42"/>
      <c r="AD474" s="36"/>
      <c r="AE474" s="36"/>
      <c r="AF474" s="42"/>
      <c r="AG474" s="42"/>
      <c r="AH474" s="36"/>
      <c r="AI474" s="36"/>
      <c r="AJ474" s="36"/>
      <c r="AK474" s="36"/>
      <c r="AL474" s="36"/>
      <c r="AM474" s="36"/>
      <c r="AN474" s="36"/>
    </row>
    <row r="475" spans="1:40" ht="15.75" x14ac:dyDescent="0.25">
      <c r="A475" s="44"/>
      <c r="B475" s="36"/>
      <c r="C475" s="36"/>
      <c r="D475" s="36"/>
      <c r="E475" s="36"/>
      <c r="F475" s="36"/>
      <c r="G475" s="36"/>
      <c r="H475" s="36"/>
      <c r="I475" s="36"/>
      <c r="J475" s="105"/>
      <c r="K475" s="36"/>
      <c r="L475" s="36"/>
      <c r="M475" s="36"/>
      <c r="N475" s="105"/>
      <c r="O475" s="36"/>
      <c r="P475" s="36"/>
      <c r="Q475" s="36"/>
      <c r="R475" s="105"/>
      <c r="S475" s="36"/>
      <c r="T475" s="36"/>
      <c r="U475" s="36"/>
      <c r="V475" s="36"/>
      <c r="W475" s="36"/>
      <c r="X475" s="36"/>
      <c r="Y475" s="36"/>
      <c r="Z475" s="36"/>
      <c r="AA475" s="36"/>
      <c r="AB475" s="42"/>
      <c r="AC475" s="42"/>
      <c r="AD475" s="36"/>
      <c r="AE475" s="36"/>
      <c r="AF475" s="42"/>
      <c r="AG475" s="42"/>
      <c r="AH475" s="36"/>
      <c r="AI475" s="36"/>
      <c r="AJ475" s="36"/>
      <c r="AK475" s="36"/>
      <c r="AL475" s="36"/>
      <c r="AM475" s="36"/>
      <c r="AN475" s="36"/>
    </row>
    <row r="476" spans="1:40" ht="15.75" x14ac:dyDescent="0.25">
      <c r="A476" s="44"/>
      <c r="B476" s="36"/>
      <c r="C476" s="36"/>
      <c r="D476" s="36"/>
      <c r="E476" s="36"/>
      <c r="F476" s="36"/>
      <c r="G476" s="36"/>
      <c r="H476" s="36"/>
      <c r="I476" s="36"/>
      <c r="J476" s="105"/>
      <c r="K476" s="36"/>
      <c r="L476" s="36"/>
      <c r="M476" s="36"/>
      <c r="N476" s="105"/>
      <c r="O476" s="36"/>
      <c r="P476" s="36"/>
      <c r="Q476" s="36"/>
      <c r="R476" s="105"/>
      <c r="S476" s="36"/>
      <c r="T476" s="36"/>
      <c r="U476" s="36"/>
      <c r="V476" s="36"/>
      <c r="W476" s="36"/>
      <c r="X476" s="36"/>
      <c r="Y476" s="36"/>
      <c r="Z476" s="36"/>
      <c r="AA476" s="36"/>
      <c r="AB476" s="42"/>
      <c r="AC476" s="42"/>
      <c r="AD476" s="36"/>
      <c r="AE476" s="36"/>
      <c r="AF476" s="42"/>
      <c r="AG476" s="42"/>
      <c r="AH476" s="36"/>
      <c r="AI476" s="36"/>
      <c r="AJ476" s="36"/>
      <c r="AK476" s="36"/>
      <c r="AL476" s="36"/>
      <c r="AM476" s="36"/>
      <c r="AN476" s="36"/>
    </row>
    <row r="477" spans="1:40" ht="15.75" x14ac:dyDescent="0.25">
      <c r="A477" s="44"/>
      <c r="B477" s="36"/>
      <c r="C477" s="36"/>
      <c r="D477" s="36"/>
      <c r="E477" s="36"/>
      <c r="F477" s="36"/>
      <c r="G477" s="36"/>
      <c r="H477" s="36"/>
      <c r="I477" s="36"/>
      <c r="J477" s="105"/>
      <c r="K477" s="36"/>
      <c r="L477" s="36"/>
      <c r="M477" s="36"/>
      <c r="N477" s="105"/>
      <c r="O477" s="36"/>
      <c r="P477" s="36"/>
      <c r="Q477" s="36"/>
      <c r="R477" s="105"/>
      <c r="S477" s="36"/>
      <c r="T477" s="36"/>
      <c r="U477" s="36"/>
      <c r="V477" s="36"/>
      <c r="W477" s="36"/>
      <c r="X477" s="36"/>
      <c r="Y477" s="36"/>
      <c r="Z477" s="36"/>
      <c r="AA477" s="36"/>
      <c r="AB477" s="42"/>
      <c r="AC477" s="42"/>
      <c r="AD477" s="36"/>
      <c r="AE477" s="36"/>
      <c r="AF477" s="42"/>
      <c r="AG477" s="42"/>
      <c r="AH477" s="36"/>
      <c r="AI477" s="36"/>
      <c r="AJ477" s="36"/>
      <c r="AK477" s="36"/>
      <c r="AL477" s="36"/>
      <c r="AM477" s="36"/>
      <c r="AN477" s="36"/>
    </row>
    <row r="478" spans="1:40" ht="15.75" x14ac:dyDescent="0.25">
      <c r="A478" s="44"/>
      <c r="B478" s="36"/>
      <c r="C478" s="36"/>
      <c r="D478" s="36"/>
      <c r="E478" s="36"/>
      <c r="F478" s="36"/>
      <c r="G478" s="36"/>
      <c r="H478" s="36"/>
      <c r="I478" s="36"/>
      <c r="J478" s="105"/>
      <c r="K478" s="36"/>
      <c r="L478" s="36"/>
      <c r="M478" s="36"/>
      <c r="N478" s="105"/>
      <c r="O478" s="36"/>
      <c r="P478" s="36"/>
      <c r="Q478" s="36"/>
      <c r="R478" s="105"/>
      <c r="S478" s="36"/>
      <c r="T478" s="36"/>
      <c r="U478" s="36"/>
      <c r="V478" s="36"/>
      <c r="W478" s="36"/>
      <c r="X478" s="36"/>
      <c r="Y478" s="36"/>
      <c r="Z478" s="36"/>
      <c r="AA478" s="36"/>
      <c r="AB478" s="42"/>
      <c r="AC478" s="42"/>
      <c r="AD478" s="36"/>
      <c r="AE478" s="36"/>
      <c r="AF478" s="42"/>
      <c r="AG478" s="42"/>
      <c r="AH478" s="36"/>
      <c r="AI478" s="36"/>
      <c r="AJ478" s="36"/>
      <c r="AK478" s="36"/>
      <c r="AL478" s="36"/>
      <c r="AM478" s="36"/>
      <c r="AN478" s="36"/>
    </row>
    <row r="479" spans="1:40" ht="15.75" x14ac:dyDescent="0.25">
      <c r="A479" s="44"/>
      <c r="B479" s="36"/>
      <c r="C479" s="36"/>
      <c r="D479" s="36"/>
      <c r="E479" s="36"/>
      <c r="F479" s="36"/>
      <c r="G479" s="36"/>
      <c r="H479" s="36"/>
      <c r="I479" s="36"/>
      <c r="J479" s="105"/>
      <c r="K479" s="36"/>
      <c r="L479" s="36"/>
      <c r="M479" s="36"/>
      <c r="N479" s="105"/>
      <c r="O479" s="36"/>
      <c r="P479" s="36"/>
      <c r="Q479" s="36"/>
      <c r="R479" s="105"/>
      <c r="S479" s="36"/>
      <c r="T479" s="36"/>
      <c r="U479" s="36"/>
      <c r="V479" s="36"/>
      <c r="W479" s="36"/>
      <c r="X479" s="36"/>
      <c r="Y479" s="36"/>
      <c r="Z479" s="36"/>
      <c r="AA479" s="36"/>
      <c r="AB479" s="42"/>
      <c r="AC479" s="42"/>
      <c r="AD479" s="36"/>
      <c r="AE479" s="36"/>
      <c r="AF479" s="42"/>
      <c r="AG479" s="42"/>
      <c r="AH479" s="36"/>
      <c r="AI479" s="36"/>
      <c r="AJ479" s="36"/>
      <c r="AK479" s="36"/>
      <c r="AL479" s="36"/>
      <c r="AM479" s="36"/>
      <c r="AN479" s="36"/>
    </row>
    <row r="480" spans="1:40" ht="15.75" x14ac:dyDescent="0.25">
      <c r="A480" s="44"/>
      <c r="B480" s="36"/>
      <c r="C480" s="36"/>
      <c r="D480" s="36"/>
      <c r="E480" s="36"/>
      <c r="F480" s="36"/>
      <c r="G480" s="36"/>
      <c r="H480" s="36"/>
      <c r="I480" s="36"/>
      <c r="J480" s="105"/>
      <c r="K480" s="36"/>
      <c r="L480" s="36"/>
      <c r="M480" s="36"/>
      <c r="N480" s="105"/>
      <c r="O480" s="36"/>
      <c r="P480" s="36"/>
      <c r="Q480" s="36"/>
      <c r="R480" s="105"/>
      <c r="S480" s="36"/>
      <c r="T480" s="36"/>
      <c r="U480" s="36"/>
      <c r="V480" s="36"/>
      <c r="W480" s="36"/>
      <c r="X480" s="36"/>
      <c r="Y480" s="36"/>
      <c r="Z480" s="36"/>
      <c r="AA480" s="36"/>
      <c r="AB480" s="42"/>
      <c r="AC480" s="42"/>
      <c r="AD480" s="36"/>
      <c r="AE480" s="36"/>
      <c r="AF480" s="42"/>
      <c r="AG480" s="42"/>
      <c r="AH480" s="36"/>
      <c r="AI480" s="36"/>
      <c r="AJ480" s="36"/>
      <c r="AK480" s="36"/>
      <c r="AL480" s="36"/>
      <c r="AM480" s="36"/>
      <c r="AN480" s="36"/>
    </row>
    <row r="481" spans="1:40" ht="15.75" x14ac:dyDescent="0.25">
      <c r="A481" s="44"/>
      <c r="B481" s="36"/>
      <c r="C481" s="36"/>
      <c r="D481" s="36"/>
      <c r="E481" s="36"/>
      <c r="F481" s="36"/>
      <c r="G481" s="36"/>
      <c r="H481" s="36"/>
      <c r="I481" s="36"/>
      <c r="J481" s="105"/>
      <c r="K481" s="36"/>
      <c r="L481" s="36"/>
      <c r="M481" s="36"/>
      <c r="N481" s="105"/>
      <c r="O481" s="36"/>
      <c r="P481" s="36"/>
      <c r="Q481" s="36"/>
      <c r="R481" s="105"/>
      <c r="S481" s="36"/>
      <c r="T481" s="36"/>
      <c r="U481" s="36"/>
      <c r="V481" s="36"/>
      <c r="W481" s="36"/>
      <c r="X481" s="36"/>
      <c r="Y481" s="36"/>
      <c r="Z481" s="36"/>
      <c r="AA481" s="36"/>
      <c r="AB481" s="42"/>
      <c r="AC481" s="42"/>
      <c r="AD481" s="36"/>
      <c r="AE481" s="36"/>
      <c r="AF481" s="42"/>
      <c r="AG481" s="42"/>
      <c r="AH481" s="36"/>
      <c r="AI481" s="36"/>
      <c r="AJ481" s="36"/>
      <c r="AK481" s="36"/>
      <c r="AL481" s="36"/>
      <c r="AM481" s="36"/>
      <c r="AN481" s="36"/>
    </row>
    <row r="482" spans="1:40" ht="15.75" x14ac:dyDescent="0.25">
      <c r="A482" s="44"/>
      <c r="B482" s="36"/>
      <c r="C482" s="36"/>
      <c r="D482" s="36"/>
      <c r="E482" s="36"/>
      <c r="F482" s="36"/>
      <c r="G482" s="36"/>
      <c r="H482" s="36"/>
      <c r="I482" s="36"/>
      <c r="J482" s="105"/>
      <c r="K482" s="36"/>
      <c r="L482" s="36"/>
      <c r="M482" s="36"/>
      <c r="N482" s="105"/>
      <c r="O482" s="36"/>
      <c r="P482" s="36"/>
      <c r="Q482" s="36"/>
      <c r="R482" s="105"/>
      <c r="S482" s="36"/>
      <c r="T482" s="36"/>
      <c r="U482" s="36"/>
      <c r="V482" s="36"/>
      <c r="W482" s="36"/>
      <c r="X482" s="36"/>
      <c r="Y482" s="36"/>
      <c r="Z482" s="36"/>
      <c r="AA482" s="36"/>
      <c r="AB482" s="42"/>
      <c r="AC482" s="42"/>
      <c r="AD482" s="36"/>
      <c r="AE482" s="36"/>
      <c r="AF482" s="42"/>
      <c r="AG482" s="42"/>
      <c r="AH482" s="36"/>
      <c r="AI482" s="36"/>
      <c r="AJ482" s="36"/>
      <c r="AK482" s="36"/>
      <c r="AL482" s="36"/>
      <c r="AM482" s="36"/>
      <c r="AN482" s="36"/>
    </row>
    <row r="483" spans="1:40" ht="15.75" x14ac:dyDescent="0.25">
      <c r="A483" s="44"/>
      <c r="B483" s="36"/>
      <c r="C483" s="36"/>
      <c r="D483" s="36"/>
      <c r="E483" s="36"/>
      <c r="F483" s="36"/>
      <c r="G483" s="36"/>
      <c r="H483" s="36"/>
      <c r="I483" s="36"/>
      <c r="J483" s="105"/>
      <c r="K483" s="36"/>
      <c r="L483" s="36"/>
      <c r="M483" s="36"/>
      <c r="N483" s="105"/>
      <c r="O483" s="36"/>
      <c r="P483" s="36"/>
      <c r="Q483" s="36"/>
      <c r="R483" s="105"/>
      <c r="S483" s="36"/>
      <c r="T483" s="36"/>
      <c r="U483" s="36"/>
      <c r="V483" s="36"/>
      <c r="W483" s="36"/>
      <c r="X483" s="36"/>
      <c r="Y483" s="36"/>
      <c r="Z483" s="36"/>
      <c r="AA483" s="36"/>
      <c r="AB483" s="42"/>
      <c r="AC483" s="42"/>
      <c r="AD483" s="36"/>
      <c r="AE483" s="36"/>
      <c r="AF483" s="42"/>
      <c r="AG483" s="42"/>
      <c r="AH483" s="36"/>
      <c r="AI483" s="36"/>
      <c r="AJ483" s="36"/>
      <c r="AK483" s="36"/>
      <c r="AL483" s="36"/>
      <c r="AM483" s="36"/>
      <c r="AN483" s="36"/>
    </row>
    <row r="484" spans="1:40" ht="15.75" x14ac:dyDescent="0.25">
      <c r="A484" s="44"/>
      <c r="B484" s="36"/>
      <c r="C484" s="36"/>
      <c r="D484" s="36"/>
      <c r="E484" s="36"/>
      <c r="F484" s="36"/>
      <c r="G484" s="36"/>
      <c r="H484" s="36"/>
      <c r="I484" s="36"/>
      <c r="J484" s="105"/>
      <c r="K484" s="36"/>
      <c r="L484" s="36"/>
      <c r="M484" s="36"/>
      <c r="N484" s="105"/>
      <c r="O484" s="36"/>
      <c r="P484" s="36"/>
      <c r="Q484" s="36"/>
      <c r="R484" s="105"/>
      <c r="S484" s="36"/>
      <c r="T484" s="36"/>
      <c r="U484" s="36"/>
      <c r="V484" s="36"/>
      <c r="W484" s="36"/>
      <c r="X484" s="36"/>
      <c r="Y484" s="36"/>
      <c r="Z484" s="36"/>
      <c r="AA484" s="36"/>
      <c r="AB484" s="42"/>
      <c r="AC484" s="42"/>
      <c r="AD484" s="36"/>
      <c r="AE484" s="36"/>
      <c r="AF484" s="42"/>
      <c r="AG484" s="42"/>
      <c r="AH484" s="36"/>
      <c r="AI484" s="36"/>
      <c r="AJ484" s="36"/>
      <c r="AK484" s="36"/>
      <c r="AL484" s="36"/>
      <c r="AM484" s="36"/>
      <c r="AN484" s="36"/>
    </row>
    <row r="485" spans="1:40" ht="15.75" x14ac:dyDescent="0.25">
      <c r="A485" s="44"/>
      <c r="B485" s="36"/>
      <c r="C485" s="36"/>
      <c r="D485" s="36"/>
      <c r="E485" s="36"/>
      <c r="F485" s="36"/>
      <c r="G485" s="36"/>
      <c r="H485" s="36"/>
      <c r="I485" s="36"/>
      <c r="J485" s="105"/>
      <c r="K485" s="36"/>
      <c r="L485" s="36"/>
      <c r="M485" s="36"/>
      <c r="N485" s="105"/>
      <c r="O485" s="36"/>
      <c r="P485" s="36"/>
      <c r="Q485" s="36"/>
      <c r="R485" s="105"/>
      <c r="S485" s="36"/>
      <c r="T485" s="36"/>
      <c r="U485" s="36"/>
      <c r="V485" s="36"/>
      <c r="W485" s="36"/>
      <c r="X485" s="36"/>
      <c r="Y485" s="36"/>
      <c r="Z485" s="36"/>
      <c r="AA485" s="36"/>
      <c r="AB485" s="42"/>
      <c r="AC485" s="42"/>
      <c r="AD485" s="36"/>
      <c r="AE485" s="36"/>
      <c r="AF485" s="42"/>
      <c r="AG485" s="42"/>
      <c r="AH485" s="36"/>
      <c r="AI485" s="36"/>
      <c r="AJ485" s="36"/>
      <c r="AK485" s="36"/>
      <c r="AL485" s="36"/>
      <c r="AM485" s="36"/>
      <c r="AN485" s="36"/>
    </row>
    <row r="486" spans="1:40" ht="15.75" x14ac:dyDescent="0.25">
      <c r="A486" s="44"/>
      <c r="B486" s="36"/>
      <c r="C486" s="36"/>
      <c r="D486" s="36"/>
      <c r="E486" s="36"/>
      <c r="F486" s="36"/>
      <c r="G486" s="36"/>
      <c r="H486" s="36"/>
      <c r="I486" s="36"/>
      <c r="J486" s="105"/>
      <c r="K486" s="36"/>
      <c r="L486" s="36"/>
      <c r="M486" s="36"/>
      <c r="N486" s="105"/>
      <c r="O486" s="36"/>
      <c r="P486" s="36"/>
      <c r="Q486" s="36"/>
      <c r="R486" s="105"/>
      <c r="S486" s="36"/>
      <c r="T486" s="36"/>
      <c r="U486" s="36"/>
      <c r="V486" s="36"/>
      <c r="W486" s="36"/>
      <c r="X486" s="36"/>
      <c r="Y486" s="36"/>
      <c r="Z486" s="36"/>
      <c r="AA486" s="36"/>
      <c r="AB486" s="42"/>
      <c r="AC486" s="42"/>
      <c r="AD486" s="36"/>
      <c r="AE486" s="36"/>
      <c r="AF486" s="42"/>
      <c r="AG486" s="42"/>
      <c r="AH486" s="36"/>
      <c r="AI486" s="36"/>
      <c r="AJ486" s="36"/>
      <c r="AK486" s="36"/>
      <c r="AL486" s="36"/>
      <c r="AM486" s="36"/>
      <c r="AN486" s="36"/>
    </row>
    <row r="487" spans="1:40" ht="15.75" x14ac:dyDescent="0.25">
      <c r="A487" s="44"/>
      <c r="B487" s="36"/>
      <c r="C487" s="36"/>
      <c r="D487" s="36"/>
      <c r="E487" s="36"/>
      <c r="F487" s="36"/>
      <c r="G487" s="36"/>
      <c r="H487" s="36"/>
      <c r="I487" s="36"/>
      <c r="J487" s="105"/>
      <c r="K487" s="36"/>
      <c r="L487" s="36"/>
      <c r="M487" s="36"/>
      <c r="N487" s="105"/>
      <c r="O487" s="36"/>
      <c r="P487" s="36"/>
      <c r="Q487" s="36"/>
      <c r="R487" s="105"/>
      <c r="S487" s="36"/>
      <c r="T487" s="36"/>
      <c r="U487" s="36"/>
      <c r="V487" s="36"/>
      <c r="W487" s="36"/>
      <c r="X487" s="36"/>
      <c r="Y487" s="36"/>
      <c r="Z487" s="36"/>
      <c r="AA487" s="36"/>
      <c r="AB487" s="42"/>
      <c r="AC487" s="42"/>
      <c r="AD487" s="36"/>
      <c r="AE487" s="36"/>
      <c r="AF487" s="42"/>
      <c r="AG487" s="42"/>
      <c r="AH487" s="36"/>
      <c r="AI487" s="36"/>
      <c r="AJ487" s="36"/>
      <c r="AK487" s="36"/>
      <c r="AL487" s="36"/>
      <c r="AM487" s="36"/>
      <c r="AN487" s="36"/>
    </row>
    <row r="488" spans="1:40" ht="15.75" x14ac:dyDescent="0.25">
      <c r="A488" s="44"/>
      <c r="B488" s="36"/>
      <c r="C488" s="36"/>
      <c r="D488" s="36"/>
      <c r="E488" s="36"/>
      <c r="F488" s="36"/>
      <c r="G488" s="36"/>
      <c r="H488" s="36"/>
      <c r="I488" s="36"/>
      <c r="J488" s="105"/>
      <c r="K488" s="36"/>
      <c r="L488" s="36"/>
      <c r="M488" s="36"/>
      <c r="N488" s="105"/>
      <c r="O488" s="36"/>
      <c r="P488" s="36"/>
      <c r="Q488" s="36"/>
      <c r="R488" s="105"/>
      <c r="S488" s="36"/>
      <c r="T488" s="36"/>
      <c r="U488" s="36"/>
      <c r="V488" s="36"/>
      <c r="W488" s="36"/>
      <c r="X488" s="36"/>
      <c r="Y488" s="36"/>
      <c r="Z488" s="36"/>
      <c r="AA488" s="36"/>
      <c r="AB488" s="42"/>
      <c r="AC488" s="42"/>
      <c r="AD488" s="36"/>
      <c r="AE488" s="36"/>
      <c r="AF488" s="42"/>
      <c r="AG488" s="42"/>
      <c r="AH488" s="36"/>
      <c r="AI488" s="36"/>
      <c r="AJ488" s="36"/>
      <c r="AK488" s="36"/>
      <c r="AL488" s="36"/>
      <c r="AM488" s="36"/>
      <c r="AN488" s="36"/>
    </row>
    <row r="489" spans="1:40" ht="15.75" x14ac:dyDescent="0.25">
      <c r="A489" s="44"/>
      <c r="B489" s="36"/>
      <c r="C489" s="36"/>
      <c r="D489" s="36"/>
      <c r="E489" s="36"/>
      <c r="F489" s="36"/>
      <c r="G489" s="36"/>
      <c r="H489" s="36"/>
      <c r="I489" s="36"/>
      <c r="J489" s="105"/>
      <c r="K489" s="36"/>
      <c r="L489" s="36"/>
      <c r="M489" s="36"/>
      <c r="N489" s="105"/>
      <c r="O489" s="36"/>
      <c r="P489" s="36"/>
      <c r="Q489" s="36"/>
      <c r="R489" s="105"/>
      <c r="S489" s="36"/>
      <c r="T489" s="36"/>
      <c r="U489" s="36"/>
      <c r="V489" s="36"/>
      <c r="W489" s="36"/>
      <c r="X489" s="36"/>
      <c r="Y489" s="36"/>
      <c r="Z489" s="36"/>
      <c r="AA489" s="36"/>
      <c r="AB489" s="42"/>
      <c r="AC489" s="42"/>
      <c r="AD489" s="36"/>
      <c r="AE489" s="36"/>
      <c r="AF489" s="42"/>
      <c r="AG489" s="42"/>
      <c r="AH489" s="36"/>
      <c r="AI489" s="36"/>
      <c r="AJ489" s="36"/>
      <c r="AK489" s="36"/>
      <c r="AL489" s="36"/>
      <c r="AM489" s="36"/>
      <c r="AN489" s="36"/>
    </row>
    <row r="490" spans="1:40" ht="15.75" x14ac:dyDescent="0.25">
      <c r="A490" s="44"/>
      <c r="B490" s="36"/>
      <c r="C490" s="36"/>
      <c r="D490" s="36"/>
      <c r="E490" s="36"/>
      <c r="F490" s="36"/>
      <c r="G490" s="36"/>
      <c r="H490" s="36"/>
      <c r="I490" s="36"/>
      <c r="J490" s="105"/>
      <c r="K490" s="36"/>
      <c r="L490" s="36"/>
      <c r="M490" s="36"/>
      <c r="N490" s="105"/>
      <c r="O490" s="36"/>
      <c r="P490" s="36"/>
      <c r="Q490" s="36"/>
      <c r="R490" s="105"/>
      <c r="S490" s="36"/>
      <c r="T490" s="36"/>
      <c r="U490" s="36"/>
      <c r="V490" s="36"/>
      <c r="W490" s="36"/>
      <c r="X490" s="36"/>
      <c r="Y490" s="36"/>
      <c r="Z490" s="36"/>
      <c r="AA490" s="36"/>
      <c r="AB490" s="42"/>
      <c r="AC490" s="42"/>
      <c r="AD490" s="36"/>
      <c r="AE490" s="36"/>
      <c r="AF490" s="42"/>
      <c r="AG490" s="42"/>
      <c r="AH490" s="36"/>
      <c r="AI490" s="36"/>
      <c r="AJ490" s="36"/>
      <c r="AK490" s="36"/>
      <c r="AL490" s="36"/>
      <c r="AM490" s="36"/>
      <c r="AN490" s="36"/>
    </row>
    <row r="491" spans="1:40" ht="15.75" x14ac:dyDescent="0.25">
      <c r="A491" s="44"/>
      <c r="B491" s="36"/>
      <c r="C491" s="36"/>
      <c r="D491" s="36"/>
      <c r="E491" s="36"/>
      <c r="F491" s="36"/>
      <c r="G491" s="36"/>
      <c r="H491" s="36"/>
      <c r="I491" s="36"/>
      <c r="J491" s="105"/>
      <c r="K491" s="36"/>
      <c r="L491" s="36"/>
      <c r="M491" s="36"/>
      <c r="N491" s="105"/>
      <c r="O491" s="36"/>
      <c r="P491" s="36"/>
      <c r="Q491" s="36"/>
      <c r="R491" s="105"/>
      <c r="S491" s="36"/>
      <c r="T491" s="36"/>
      <c r="U491" s="36"/>
      <c r="V491" s="36"/>
      <c r="W491" s="36"/>
      <c r="X491" s="36"/>
      <c r="Y491" s="36"/>
      <c r="Z491" s="36"/>
      <c r="AA491" s="36"/>
      <c r="AB491" s="42"/>
      <c r="AC491" s="42"/>
      <c r="AD491" s="36"/>
      <c r="AE491" s="36"/>
      <c r="AF491" s="42"/>
      <c r="AG491" s="42"/>
      <c r="AH491" s="36"/>
      <c r="AI491" s="36"/>
      <c r="AJ491" s="36"/>
      <c r="AK491" s="36"/>
      <c r="AL491" s="36"/>
      <c r="AM491" s="36"/>
      <c r="AN491" s="36"/>
    </row>
    <row r="492" spans="1:40" ht="15.75" x14ac:dyDescent="0.25">
      <c r="A492" s="44"/>
      <c r="B492" s="36"/>
      <c r="C492" s="36"/>
      <c r="D492" s="36"/>
      <c r="E492" s="36"/>
      <c r="F492" s="36"/>
      <c r="G492" s="36"/>
      <c r="H492" s="36"/>
      <c r="I492" s="36"/>
      <c r="J492" s="105"/>
      <c r="K492" s="36"/>
      <c r="L492" s="36"/>
      <c r="M492" s="36"/>
      <c r="N492" s="105"/>
      <c r="O492" s="36"/>
      <c r="P492" s="36"/>
      <c r="Q492" s="36"/>
      <c r="R492" s="105"/>
      <c r="S492" s="36"/>
      <c r="T492" s="36"/>
      <c r="U492" s="36"/>
      <c r="V492" s="36"/>
      <c r="W492" s="36"/>
      <c r="X492" s="36"/>
      <c r="Y492" s="36"/>
      <c r="Z492" s="36"/>
      <c r="AA492" s="36"/>
      <c r="AB492" s="42"/>
      <c r="AC492" s="42"/>
      <c r="AD492" s="36"/>
      <c r="AE492" s="36"/>
      <c r="AF492" s="42"/>
      <c r="AG492" s="42"/>
      <c r="AH492" s="36"/>
      <c r="AI492" s="36"/>
      <c r="AJ492" s="36"/>
      <c r="AK492" s="36"/>
      <c r="AL492" s="36"/>
      <c r="AM492" s="36"/>
      <c r="AN492" s="36"/>
    </row>
    <row r="493" spans="1:40" ht="15.75" x14ac:dyDescent="0.25">
      <c r="A493" s="44"/>
      <c r="B493" s="36"/>
      <c r="C493" s="36"/>
      <c r="D493" s="36"/>
      <c r="E493" s="36"/>
      <c r="F493" s="36"/>
      <c r="G493" s="36"/>
      <c r="H493" s="36"/>
      <c r="I493" s="36"/>
      <c r="J493" s="105"/>
      <c r="K493" s="36"/>
      <c r="L493" s="36"/>
      <c r="M493" s="36"/>
      <c r="N493" s="105"/>
      <c r="O493" s="36"/>
      <c r="P493" s="36"/>
      <c r="Q493" s="36"/>
      <c r="R493" s="105"/>
      <c r="S493" s="36"/>
      <c r="T493" s="36"/>
      <c r="U493" s="36"/>
      <c r="V493" s="36"/>
      <c r="W493" s="36"/>
      <c r="X493" s="36"/>
      <c r="Y493" s="36"/>
      <c r="Z493" s="36"/>
      <c r="AA493" s="36"/>
      <c r="AB493" s="42"/>
      <c r="AC493" s="42"/>
      <c r="AD493" s="36"/>
      <c r="AE493" s="36"/>
      <c r="AF493" s="42"/>
      <c r="AG493" s="42"/>
      <c r="AH493" s="36"/>
      <c r="AI493" s="36"/>
      <c r="AJ493" s="36"/>
      <c r="AK493" s="36"/>
      <c r="AL493" s="36"/>
      <c r="AM493" s="36"/>
      <c r="AN493" s="36"/>
    </row>
    <row r="494" spans="1:40" ht="15.75" x14ac:dyDescent="0.25">
      <c r="A494" s="44"/>
      <c r="B494" s="36"/>
      <c r="C494" s="36"/>
      <c r="D494" s="36"/>
      <c r="E494" s="36"/>
      <c r="F494" s="36"/>
      <c r="G494" s="36"/>
      <c r="H494" s="36"/>
      <c r="I494" s="36"/>
      <c r="J494" s="105"/>
      <c r="K494" s="36"/>
      <c r="L494" s="36"/>
      <c r="M494" s="36"/>
      <c r="N494" s="105"/>
      <c r="O494" s="36"/>
      <c r="P494" s="36"/>
      <c r="Q494" s="36"/>
      <c r="R494" s="105"/>
      <c r="S494" s="36"/>
      <c r="T494" s="36"/>
      <c r="U494" s="36"/>
      <c r="V494" s="36"/>
      <c r="W494" s="36"/>
      <c r="X494" s="36"/>
      <c r="Y494" s="36"/>
      <c r="Z494" s="36"/>
      <c r="AA494" s="36"/>
      <c r="AB494" s="42"/>
      <c r="AC494" s="42"/>
      <c r="AD494" s="36"/>
      <c r="AE494" s="36"/>
      <c r="AF494" s="42"/>
      <c r="AG494" s="42"/>
      <c r="AH494" s="36"/>
      <c r="AI494" s="36"/>
      <c r="AJ494" s="36"/>
      <c r="AK494" s="36"/>
      <c r="AL494" s="36"/>
      <c r="AM494" s="36"/>
      <c r="AN494" s="36"/>
    </row>
    <row r="495" spans="1:40" ht="15.75" x14ac:dyDescent="0.25">
      <c r="A495" s="44"/>
      <c r="B495" s="36"/>
      <c r="C495" s="36"/>
      <c r="D495" s="36"/>
      <c r="E495" s="36"/>
      <c r="F495" s="36"/>
      <c r="G495" s="36"/>
      <c r="H495" s="36"/>
      <c r="I495" s="36"/>
      <c r="J495" s="105"/>
      <c r="K495" s="36"/>
      <c r="L495" s="36"/>
      <c r="M495" s="36"/>
      <c r="N495" s="105"/>
      <c r="O495" s="36"/>
      <c r="P495" s="36"/>
      <c r="Q495" s="36"/>
      <c r="R495" s="105"/>
      <c r="S495" s="36"/>
      <c r="T495" s="36"/>
      <c r="U495" s="36"/>
      <c r="V495" s="36"/>
      <c r="W495" s="36"/>
      <c r="X495" s="36"/>
      <c r="Y495" s="36"/>
      <c r="Z495" s="36"/>
      <c r="AA495" s="36"/>
      <c r="AB495" s="42"/>
      <c r="AC495" s="42"/>
      <c r="AD495" s="36"/>
      <c r="AE495" s="36"/>
      <c r="AF495" s="42"/>
      <c r="AG495" s="42"/>
      <c r="AH495" s="36"/>
      <c r="AI495" s="36"/>
      <c r="AJ495" s="36"/>
      <c r="AK495" s="36"/>
      <c r="AL495" s="36"/>
      <c r="AM495" s="36"/>
      <c r="AN495" s="36"/>
    </row>
    <row r="496" spans="1:40" ht="15.75" x14ac:dyDescent="0.25">
      <c r="A496" s="44"/>
      <c r="B496" s="36"/>
      <c r="C496" s="36"/>
      <c r="D496" s="36"/>
      <c r="E496" s="36"/>
      <c r="F496" s="36"/>
      <c r="G496" s="36"/>
      <c r="H496" s="36"/>
      <c r="I496" s="36"/>
      <c r="J496" s="105"/>
      <c r="K496" s="36"/>
      <c r="L496" s="36"/>
      <c r="M496" s="36"/>
      <c r="N496" s="105"/>
      <c r="O496" s="36"/>
      <c r="P496" s="36"/>
      <c r="Q496" s="36"/>
      <c r="R496" s="105"/>
      <c r="S496" s="36"/>
      <c r="T496" s="36"/>
      <c r="U496" s="36"/>
      <c r="V496" s="36"/>
      <c r="W496" s="36"/>
      <c r="X496" s="36"/>
      <c r="Y496" s="36"/>
      <c r="Z496" s="36"/>
      <c r="AA496" s="36"/>
      <c r="AB496" s="42"/>
      <c r="AC496" s="42"/>
      <c r="AD496" s="36"/>
      <c r="AE496" s="36"/>
      <c r="AF496" s="42"/>
      <c r="AG496" s="42"/>
      <c r="AH496" s="36"/>
      <c r="AI496" s="36"/>
      <c r="AJ496" s="36"/>
      <c r="AK496" s="36"/>
      <c r="AL496" s="36"/>
      <c r="AM496" s="36"/>
      <c r="AN496" s="36"/>
    </row>
    <row r="497" spans="1:40" ht="15.75" x14ac:dyDescent="0.25">
      <c r="A497" s="44"/>
      <c r="B497" s="36"/>
      <c r="C497" s="36"/>
      <c r="D497" s="36"/>
      <c r="E497" s="36"/>
      <c r="F497" s="36"/>
      <c r="G497" s="36"/>
      <c r="H497" s="36"/>
      <c r="I497" s="36"/>
      <c r="J497" s="105"/>
      <c r="K497" s="36"/>
      <c r="L497" s="36"/>
      <c r="M497" s="36"/>
      <c r="N497" s="105"/>
      <c r="O497" s="36"/>
      <c r="P497" s="36"/>
      <c r="Q497" s="36"/>
      <c r="R497" s="105"/>
      <c r="S497" s="36"/>
      <c r="T497" s="36"/>
      <c r="U497" s="36"/>
      <c r="V497" s="36"/>
      <c r="W497" s="36"/>
      <c r="X497" s="36"/>
      <c r="Y497" s="36"/>
      <c r="Z497" s="36"/>
      <c r="AA497" s="36"/>
      <c r="AB497" s="42"/>
      <c r="AC497" s="42"/>
      <c r="AD497" s="36"/>
      <c r="AE497" s="36"/>
      <c r="AF497" s="42"/>
      <c r="AG497" s="42"/>
      <c r="AH497" s="36"/>
      <c r="AI497" s="36"/>
      <c r="AJ497" s="36"/>
      <c r="AK497" s="36"/>
      <c r="AL497" s="36"/>
      <c r="AM497" s="36"/>
      <c r="AN497" s="36"/>
    </row>
    <row r="498" spans="1:40" ht="15.75" x14ac:dyDescent="0.25">
      <c r="A498" s="44"/>
      <c r="B498" s="36"/>
      <c r="C498" s="36"/>
      <c r="D498" s="36"/>
      <c r="E498" s="36"/>
      <c r="F498" s="36"/>
      <c r="G498" s="36"/>
      <c r="H498" s="36"/>
      <c r="I498" s="36"/>
      <c r="J498" s="105"/>
      <c r="K498" s="36"/>
      <c r="L498" s="36"/>
      <c r="M498" s="36"/>
      <c r="N498" s="105"/>
      <c r="O498" s="36"/>
      <c r="P498" s="36"/>
      <c r="Q498" s="36"/>
      <c r="R498" s="105"/>
      <c r="S498" s="36"/>
      <c r="T498" s="36"/>
      <c r="U498" s="36"/>
      <c r="V498" s="36"/>
      <c r="W498" s="36"/>
      <c r="X498" s="36"/>
      <c r="Y498" s="36"/>
      <c r="Z498" s="36"/>
      <c r="AA498" s="36"/>
      <c r="AB498" s="42"/>
      <c r="AC498" s="42"/>
      <c r="AD498" s="36"/>
      <c r="AE498" s="36"/>
      <c r="AF498" s="42"/>
      <c r="AG498" s="42"/>
      <c r="AH498" s="36"/>
      <c r="AI498" s="36"/>
      <c r="AJ498" s="36"/>
      <c r="AK498" s="36"/>
      <c r="AL498" s="36"/>
      <c r="AM498" s="36"/>
      <c r="AN498" s="36"/>
    </row>
    <row r="499" spans="1:40" ht="15.75" x14ac:dyDescent="0.25">
      <c r="A499" s="44"/>
      <c r="B499" s="36"/>
      <c r="C499" s="36"/>
      <c r="D499" s="36"/>
      <c r="E499" s="36"/>
      <c r="F499" s="36"/>
      <c r="G499" s="36"/>
      <c r="H499" s="36"/>
      <c r="I499" s="36"/>
      <c r="J499" s="105"/>
      <c r="K499" s="36"/>
      <c r="L499" s="36"/>
      <c r="M499" s="36"/>
      <c r="N499" s="105"/>
      <c r="O499" s="36"/>
      <c r="P499" s="36"/>
      <c r="Q499" s="36"/>
      <c r="R499" s="105"/>
      <c r="S499" s="36"/>
      <c r="T499" s="36"/>
      <c r="U499" s="36"/>
      <c r="V499" s="36"/>
      <c r="W499" s="36"/>
      <c r="X499" s="36"/>
      <c r="Y499" s="36"/>
      <c r="Z499" s="36"/>
      <c r="AA499" s="36"/>
      <c r="AB499" s="42"/>
      <c r="AC499" s="42"/>
      <c r="AD499" s="36"/>
      <c r="AE499" s="36"/>
      <c r="AF499" s="42"/>
      <c r="AG499" s="42"/>
      <c r="AH499" s="36"/>
      <c r="AI499" s="36"/>
      <c r="AJ499" s="36"/>
      <c r="AK499" s="36"/>
      <c r="AL499" s="36"/>
      <c r="AM499" s="36"/>
      <c r="AN499" s="36"/>
    </row>
    <row r="500" spans="1:40" ht="15.75" x14ac:dyDescent="0.25">
      <c r="A500" s="44"/>
      <c r="B500" s="36"/>
      <c r="C500" s="36"/>
      <c r="D500" s="36"/>
      <c r="E500" s="36"/>
      <c r="F500" s="36"/>
      <c r="G500" s="36"/>
      <c r="H500" s="36"/>
      <c r="I500" s="36"/>
      <c r="J500" s="105"/>
      <c r="K500" s="36"/>
      <c r="L500" s="36"/>
      <c r="M500" s="36"/>
      <c r="N500" s="105"/>
      <c r="O500" s="36"/>
      <c r="P500" s="36"/>
      <c r="Q500" s="36"/>
      <c r="R500" s="105"/>
      <c r="S500" s="36"/>
      <c r="T500" s="36"/>
      <c r="U500" s="36"/>
      <c r="V500" s="36"/>
      <c r="W500" s="36"/>
      <c r="X500" s="36"/>
      <c r="Y500" s="36"/>
      <c r="Z500" s="36"/>
      <c r="AA500" s="36"/>
      <c r="AB500" s="42"/>
      <c r="AC500" s="42"/>
      <c r="AD500" s="36"/>
      <c r="AE500" s="36"/>
      <c r="AF500" s="42"/>
      <c r="AG500" s="42"/>
      <c r="AH500" s="36"/>
      <c r="AI500" s="36"/>
      <c r="AJ500" s="36"/>
      <c r="AK500" s="36"/>
      <c r="AL500" s="36"/>
      <c r="AM500" s="36"/>
      <c r="AN500" s="36"/>
    </row>
    <row r="501" spans="1:40" ht="15.75" x14ac:dyDescent="0.25">
      <c r="A501" s="44"/>
      <c r="B501" s="36"/>
      <c r="C501" s="36"/>
      <c r="D501" s="36"/>
      <c r="E501" s="36"/>
      <c r="F501" s="36"/>
      <c r="G501" s="36"/>
      <c r="H501" s="36"/>
      <c r="I501" s="36"/>
      <c r="J501" s="105"/>
      <c r="K501" s="36"/>
      <c r="L501" s="36"/>
      <c r="M501" s="36"/>
      <c r="N501" s="105"/>
      <c r="O501" s="36"/>
      <c r="P501" s="36"/>
      <c r="Q501" s="36"/>
      <c r="R501" s="105"/>
      <c r="S501" s="36"/>
      <c r="T501" s="36"/>
      <c r="U501" s="36"/>
      <c r="V501" s="36"/>
      <c r="W501" s="36"/>
      <c r="X501" s="36"/>
      <c r="Y501" s="36"/>
      <c r="Z501" s="36"/>
      <c r="AA501" s="36"/>
      <c r="AB501" s="42"/>
      <c r="AC501" s="42"/>
      <c r="AD501" s="36"/>
      <c r="AE501" s="36"/>
      <c r="AF501" s="42"/>
      <c r="AG501" s="42"/>
      <c r="AH501" s="36"/>
      <c r="AI501" s="36"/>
      <c r="AJ501" s="36"/>
      <c r="AK501" s="36"/>
      <c r="AL501" s="36"/>
      <c r="AM501" s="36"/>
      <c r="AN501" s="36"/>
    </row>
    <row r="502" spans="1:40" ht="15.75" x14ac:dyDescent="0.25">
      <c r="A502" s="44"/>
      <c r="B502" s="36"/>
      <c r="C502" s="36"/>
      <c r="D502" s="36"/>
      <c r="E502" s="36"/>
      <c r="F502" s="36"/>
      <c r="G502" s="36"/>
      <c r="H502" s="36"/>
      <c r="I502" s="36"/>
      <c r="J502" s="105"/>
      <c r="K502" s="36"/>
      <c r="L502" s="36"/>
      <c r="M502" s="36"/>
      <c r="N502" s="105"/>
      <c r="O502" s="36"/>
      <c r="P502" s="36"/>
      <c r="Q502" s="36"/>
      <c r="R502" s="105"/>
      <c r="S502" s="36"/>
      <c r="T502" s="36"/>
      <c r="U502" s="36"/>
      <c r="V502" s="36"/>
      <c r="W502" s="36"/>
      <c r="X502" s="36"/>
      <c r="Y502" s="36"/>
      <c r="Z502" s="36"/>
      <c r="AA502" s="36"/>
      <c r="AB502" s="42"/>
      <c r="AC502" s="42"/>
      <c r="AD502" s="36"/>
      <c r="AE502" s="36"/>
      <c r="AF502" s="42"/>
      <c r="AG502" s="42"/>
      <c r="AH502" s="36"/>
      <c r="AI502" s="36"/>
      <c r="AJ502" s="36"/>
      <c r="AK502" s="36"/>
      <c r="AL502" s="36"/>
      <c r="AM502" s="36"/>
      <c r="AN502" s="36"/>
    </row>
    <row r="503" spans="1:40" ht="15.75" x14ac:dyDescent="0.25">
      <c r="A503" s="44"/>
      <c r="B503" s="36"/>
      <c r="C503" s="36"/>
      <c r="D503" s="36"/>
      <c r="E503" s="36"/>
      <c r="F503" s="36"/>
      <c r="G503" s="36"/>
      <c r="H503" s="36"/>
      <c r="I503" s="36"/>
      <c r="J503" s="105"/>
      <c r="K503" s="36"/>
      <c r="L503" s="36"/>
      <c r="M503" s="36"/>
      <c r="N503" s="105"/>
      <c r="O503" s="36"/>
      <c r="P503" s="36"/>
      <c r="Q503" s="36"/>
      <c r="R503" s="105"/>
      <c r="S503" s="36"/>
      <c r="T503" s="36"/>
      <c r="U503" s="36"/>
      <c r="V503" s="36"/>
      <c r="W503" s="36"/>
      <c r="X503" s="36"/>
      <c r="Y503" s="36"/>
      <c r="Z503" s="36"/>
      <c r="AA503" s="36"/>
      <c r="AB503" s="42"/>
      <c r="AC503" s="42"/>
      <c r="AD503" s="36"/>
      <c r="AE503" s="36"/>
      <c r="AF503" s="42"/>
      <c r="AG503" s="42"/>
      <c r="AH503" s="36"/>
      <c r="AI503" s="36"/>
      <c r="AJ503" s="36"/>
      <c r="AK503" s="36"/>
      <c r="AL503" s="36"/>
      <c r="AM503" s="36"/>
      <c r="AN503" s="36"/>
    </row>
    <row r="504" spans="1:40" ht="15.75" x14ac:dyDescent="0.25">
      <c r="A504" s="44"/>
      <c r="B504" s="36"/>
      <c r="C504" s="36"/>
      <c r="D504" s="36"/>
      <c r="E504" s="36"/>
      <c r="F504" s="36"/>
      <c r="G504" s="36"/>
      <c r="H504" s="36"/>
      <c r="I504" s="36"/>
      <c r="J504" s="105"/>
      <c r="K504" s="36"/>
      <c r="L504" s="36"/>
      <c r="M504" s="36"/>
      <c r="N504" s="105"/>
      <c r="O504" s="36"/>
      <c r="P504" s="36"/>
      <c r="Q504" s="36"/>
      <c r="R504" s="105"/>
      <c r="S504" s="36"/>
      <c r="T504" s="36"/>
      <c r="U504" s="36"/>
      <c r="V504" s="36"/>
      <c r="W504" s="36"/>
      <c r="X504" s="36"/>
      <c r="Y504" s="36"/>
      <c r="Z504" s="36"/>
      <c r="AA504" s="36"/>
      <c r="AB504" s="42"/>
      <c r="AC504" s="42"/>
      <c r="AD504" s="36"/>
      <c r="AE504" s="36"/>
      <c r="AF504" s="42"/>
      <c r="AG504" s="42"/>
      <c r="AH504" s="36"/>
      <c r="AI504" s="36"/>
      <c r="AJ504" s="36"/>
      <c r="AK504" s="36"/>
      <c r="AL504" s="36"/>
      <c r="AM504" s="36"/>
      <c r="AN504" s="36"/>
    </row>
    <row r="505" spans="1:40" ht="15.75" x14ac:dyDescent="0.25">
      <c r="A505" s="44"/>
      <c r="B505" s="36"/>
      <c r="C505" s="36"/>
      <c r="D505" s="36"/>
      <c r="E505" s="36"/>
      <c r="F505" s="36"/>
      <c r="G505" s="36"/>
      <c r="H505" s="36"/>
      <c r="I505" s="36"/>
      <c r="J505" s="105"/>
      <c r="K505" s="36"/>
      <c r="L505" s="36"/>
      <c r="M505" s="36"/>
      <c r="N505" s="105"/>
      <c r="O505" s="36"/>
      <c r="P505" s="36"/>
      <c r="Q505" s="36"/>
      <c r="R505" s="105"/>
      <c r="S505" s="36"/>
      <c r="T505" s="36"/>
      <c r="U505" s="36"/>
      <c r="V505" s="36"/>
      <c r="W505" s="36"/>
      <c r="X505" s="36"/>
      <c r="Y505" s="36"/>
      <c r="Z505" s="36"/>
      <c r="AA505" s="36"/>
      <c r="AB505" s="42"/>
      <c r="AC505" s="42"/>
      <c r="AD505" s="36"/>
      <c r="AE505" s="36"/>
      <c r="AF505" s="42"/>
      <c r="AG505" s="42"/>
      <c r="AH505" s="36"/>
      <c r="AI505" s="36"/>
      <c r="AJ505" s="36"/>
      <c r="AK505" s="36"/>
      <c r="AL505" s="36"/>
      <c r="AM505" s="36"/>
      <c r="AN505" s="36"/>
    </row>
    <row r="506" spans="1:40" ht="15.75" x14ac:dyDescent="0.25">
      <c r="A506" s="44"/>
      <c r="B506" s="36"/>
      <c r="C506" s="36"/>
      <c r="D506" s="36"/>
      <c r="E506" s="36"/>
      <c r="F506" s="36"/>
      <c r="G506" s="36"/>
      <c r="H506" s="36"/>
      <c r="I506" s="36"/>
      <c r="J506" s="105"/>
      <c r="K506" s="36"/>
      <c r="L506" s="36"/>
      <c r="M506" s="36"/>
      <c r="N506" s="105"/>
      <c r="O506" s="36"/>
      <c r="P506" s="36"/>
      <c r="Q506" s="36"/>
      <c r="R506" s="105"/>
      <c r="S506" s="36"/>
      <c r="T506" s="36"/>
      <c r="U506" s="36"/>
      <c r="V506" s="36"/>
      <c r="W506" s="36"/>
      <c r="X506" s="36"/>
      <c r="Y506" s="36"/>
      <c r="Z506" s="36"/>
      <c r="AA506" s="36"/>
      <c r="AB506" s="42"/>
      <c r="AC506" s="42"/>
      <c r="AD506" s="36"/>
      <c r="AE506" s="36"/>
      <c r="AF506" s="42"/>
      <c r="AG506" s="42"/>
      <c r="AH506" s="36"/>
      <c r="AI506" s="36"/>
      <c r="AJ506" s="36"/>
      <c r="AK506" s="36"/>
      <c r="AL506" s="36"/>
      <c r="AM506" s="36"/>
      <c r="AN506" s="36"/>
    </row>
    <row r="507" spans="1:40" ht="15.75" x14ac:dyDescent="0.25">
      <c r="A507" s="44"/>
      <c r="B507" s="36"/>
      <c r="C507" s="36"/>
      <c r="D507" s="36"/>
      <c r="E507" s="36"/>
      <c r="F507" s="36"/>
      <c r="G507" s="36"/>
      <c r="H507" s="36"/>
      <c r="I507" s="36"/>
      <c r="J507" s="105"/>
      <c r="K507" s="36"/>
      <c r="L507" s="36"/>
      <c r="M507" s="36"/>
      <c r="N507" s="105"/>
      <c r="O507" s="36"/>
      <c r="P507" s="36"/>
      <c r="Q507" s="36"/>
      <c r="R507" s="105"/>
      <c r="S507" s="36"/>
      <c r="T507" s="36"/>
      <c r="U507" s="36"/>
      <c r="V507" s="36"/>
      <c r="W507" s="36"/>
      <c r="X507" s="36"/>
      <c r="Y507" s="36"/>
      <c r="Z507" s="36"/>
      <c r="AA507" s="36"/>
      <c r="AB507" s="42"/>
      <c r="AC507" s="42"/>
      <c r="AD507" s="36"/>
      <c r="AE507" s="36"/>
      <c r="AF507" s="42"/>
      <c r="AG507" s="42"/>
      <c r="AH507" s="36"/>
      <c r="AI507" s="36"/>
      <c r="AJ507" s="36"/>
      <c r="AK507" s="36"/>
      <c r="AL507" s="36"/>
      <c r="AM507" s="36"/>
      <c r="AN507" s="36"/>
    </row>
    <row r="508" spans="1:40" ht="15.75" x14ac:dyDescent="0.25">
      <c r="A508" s="44"/>
      <c r="B508" s="36"/>
      <c r="C508" s="36"/>
      <c r="D508" s="36"/>
      <c r="E508" s="36"/>
      <c r="F508" s="36"/>
      <c r="G508" s="36"/>
      <c r="H508" s="36"/>
      <c r="I508" s="36"/>
      <c r="J508" s="105"/>
      <c r="K508" s="36"/>
      <c r="L508" s="36"/>
      <c r="M508" s="36"/>
      <c r="N508" s="105"/>
      <c r="O508" s="36"/>
      <c r="P508" s="36"/>
      <c r="Q508" s="36"/>
      <c r="R508" s="105"/>
      <c r="S508" s="36"/>
      <c r="T508" s="36"/>
      <c r="U508" s="36"/>
      <c r="V508" s="36"/>
      <c r="W508" s="36"/>
      <c r="X508" s="36"/>
      <c r="Y508" s="36"/>
      <c r="Z508" s="36"/>
      <c r="AA508" s="36"/>
      <c r="AB508" s="42"/>
      <c r="AC508" s="42"/>
      <c r="AD508" s="36"/>
      <c r="AE508" s="36"/>
      <c r="AF508" s="42"/>
      <c r="AG508" s="42"/>
      <c r="AH508" s="36"/>
      <c r="AI508" s="36"/>
      <c r="AJ508" s="36"/>
      <c r="AK508" s="36"/>
      <c r="AL508" s="36"/>
      <c r="AM508" s="36"/>
      <c r="AN508" s="36"/>
    </row>
    <row r="509" spans="1:40" ht="15.75" x14ac:dyDescent="0.25">
      <c r="A509" s="44"/>
      <c r="B509" s="36"/>
      <c r="C509" s="36"/>
      <c r="D509" s="36"/>
      <c r="E509" s="36"/>
      <c r="F509" s="36"/>
      <c r="G509" s="36"/>
      <c r="H509" s="36"/>
      <c r="I509" s="36"/>
      <c r="J509" s="105"/>
      <c r="K509" s="36"/>
      <c r="L509" s="36"/>
      <c r="M509" s="36"/>
      <c r="N509" s="105"/>
      <c r="O509" s="36"/>
      <c r="P509" s="36"/>
      <c r="Q509" s="36"/>
      <c r="R509" s="105"/>
      <c r="S509" s="36"/>
      <c r="T509" s="36"/>
      <c r="U509" s="36"/>
      <c r="V509" s="36"/>
      <c r="W509" s="36"/>
      <c r="X509" s="36"/>
      <c r="Y509" s="36"/>
      <c r="Z509" s="36"/>
      <c r="AA509" s="36"/>
      <c r="AB509" s="42"/>
      <c r="AC509" s="42"/>
      <c r="AD509" s="36"/>
      <c r="AE509" s="36"/>
      <c r="AF509" s="42"/>
      <c r="AG509" s="42"/>
      <c r="AH509" s="36"/>
      <c r="AI509" s="36"/>
      <c r="AJ509" s="36"/>
      <c r="AK509" s="36"/>
      <c r="AL509" s="36"/>
      <c r="AM509" s="36"/>
      <c r="AN509" s="36"/>
    </row>
    <row r="510" spans="1:40" ht="15.75" x14ac:dyDescent="0.25">
      <c r="A510" s="44"/>
      <c r="B510" s="36"/>
      <c r="C510" s="36"/>
      <c r="D510" s="36"/>
      <c r="E510" s="36"/>
      <c r="F510" s="36"/>
      <c r="G510" s="36"/>
      <c r="H510" s="36"/>
      <c r="I510" s="36"/>
      <c r="J510" s="105"/>
      <c r="K510" s="36"/>
      <c r="L510" s="36"/>
      <c r="M510" s="36"/>
      <c r="N510" s="105"/>
      <c r="O510" s="36"/>
      <c r="P510" s="36"/>
      <c r="Q510" s="36"/>
      <c r="R510" s="105"/>
      <c r="S510" s="36"/>
      <c r="T510" s="36"/>
      <c r="U510" s="36"/>
      <c r="V510" s="36"/>
      <c r="W510" s="36"/>
      <c r="X510" s="36"/>
      <c r="Y510" s="36"/>
      <c r="Z510" s="36"/>
      <c r="AA510" s="36"/>
      <c r="AB510" s="42"/>
      <c r="AC510" s="42"/>
      <c r="AD510" s="36"/>
      <c r="AE510" s="36"/>
      <c r="AF510" s="42"/>
      <c r="AG510" s="42"/>
      <c r="AH510" s="36"/>
      <c r="AI510" s="36"/>
      <c r="AJ510" s="36"/>
      <c r="AK510" s="36"/>
      <c r="AL510" s="36"/>
      <c r="AM510" s="36"/>
      <c r="AN510" s="36"/>
    </row>
    <row r="511" spans="1:40" ht="15.75" x14ac:dyDescent="0.25">
      <c r="A511" s="44"/>
      <c r="B511" s="36"/>
      <c r="C511" s="36"/>
      <c r="D511" s="36"/>
      <c r="E511" s="36"/>
      <c r="F511" s="36"/>
      <c r="G511" s="36"/>
      <c r="H511" s="36"/>
      <c r="I511" s="36"/>
      <c r="J511" s="105"/>
      <c r="K511" s="36"/>
      <c r="L511" s="36"/>
      <c r="M511" s="36"/>
      <c r="N511" s="105"/>
      <c r="O511" s="36"/>
      <c r="P511" s="36"/>
      <c r="Q511" s="36"/>
      <c r="R511" s="105"/>
      <c r="S511" s="36"/>
      <c r="T511" s="36"/>
      <c r="U511" s="36"/>
      <c r="V511" s="36"/>
      <c r="W511" s="36"/>
      <c r="X511" s="36"/>
      <c r="Y511" s="36"/>
      <c r="Z511" s="36"/>
      <c r="AA511" s="36"/>
      <c r="AB511" s="42"/>
      <c r="AC511" s="42"/>
      <c r="AD511" s="36"/>
      <c r="AE511" s="36"/>
      <c r="AF511" s="42"/>
      <c r="AG511" s="42"/>
      <c r="AH511" s="36"/>
      <c r="AI511" s="36"/>
      <c r="AJ511" s="36"/>
      <c r="AK511" s="36"/>
      <c r="AL511" s="36"/>
      <c r="AM511" s="36"/>
      <c r="AN511" s="36"/>
    </row>
    <row r="512" spans="1:40" ht="15.75" x14ac:dyDescent="0.25">
      <c r="A512" s="44"/>
      <c r="B512" s="36"/>
      <c r="C512" s="36"/>
      <c r="D512" s="36"/>
      <c r="E512" s="36"/>
      <c r="F512" s="36"/>
      <c r="G512" s="36"/>
      <c r="H512" s="36"/>
      <c r="I512" s="36"/>
      <c r="J512" s="105"/>
      <c r="K512" s="36"/>
      <c r="L512" s="36"/>
      <c r="M512" s="36"/>
      <c r="N512" s="105"/>
      <c r="O512" s="36"/>
      <c r="P512" s="36"/>
      <c r="Q512" s="36"/>
      <c r="R512" s="105"/>
      <c r="S512" s="36"/>
      <c r="T512" s="36"/>
      <c r="U512" s="36"/>
      <c r="V512" s="36"/>
      <c r="W512" s="36"/>
      <c r="X512" s="36"/>
      <c r="Y512" s="36"/>
      <c r="Z512" s="36"/>
      <c r="AA512" s="36"/>
      <c r="AB512" s="42"/>
      <c r="AC512" s="42"/>
      <c r="AD512" s="36"/>
      <c r="AE512" s="36"/>
      <c r="AF512" s="42"/>
      <c r="AG512" s="42"/>
      <c r="AH512" s="36"/>
      <c r="AI512" s="36"/>
      <c r="AJ512" s="36"/>
      <c r="AK512" s="36"/>
      <c r="AL512" s="36"/>
      <c r="AM512" s="36"/>
      <c r="AN512" s="36"/>
    </row>
    <row r="513" spans="1:40" ht="15.75" x14ac:dyDescent="0.25">
      <c r="A513" s="44"/>
      <c r="B513" s="36"/>
      <c r="C513" s="36"/>
      <c r="D513" s="36"/>
      <c r="E513" s="36"/>
      <c r="F513" s="36"/>
      <c r="G513" s="36"/>
      <c r="H513" s="36"/>
      <c r="I513" s="36"/>
      <c r="J513" s="105"/>
      <c r="K513" s="36"/>
      <c r="L513" s="36"/>
      <c r="M513" s="36"/>
      <c r="N513" s="105"/>
      <c r="O513" s="36"/>
      <c r="P513" s="36"/>
      <c r="Q513" s="36"/>
      <c r="R513" s="105"/>
      <c r="S513" s="36"/>
      <c r="T513" s="36"/>
      <c r="U513" s="36"/>
      <c r="V513" s="36"/>
      <c r="W513" s="36"/>
      <c r="X513" s="36"/>
      <c r="Y513" s="36"/>
      <c r="Z513" s="36"/>
      <c r="AA513" s="36"/>
      <c r="AB513" s="42"/>
      <c r="AC513" s="42"/>
      <c r="AD513" s="36"/>
      <c r="AE513" s="36"/>
      <c r="AF513" s="42"/>
      <c r="AG513" s="42"/>
      <c r="AH513" s="36"/>
      <c r="AI513" s="36"/>
      <c r="AJ513" s="36"/>
      <c r="AK513" s="36"/>
      <c r="AL513" s="36"/>
      <c r="AM513" s="36"/>
      <c r="AN513" s="36"/>
    </row>
    <row r="514" spans="1:40" ht="15.75" x14ac:dyDescent="0.25">
      <c r="A514" s="44"/>
      <c r="B514" s="36"/>
      <c r="C514" s="36"/>
      <c r="D514" s="36"/>
      <c r="E514" s="36"/>
      <c r="F514" s="36"/>
      <c r="G514" s="36"/>
      <c r="H514" s="36"/>
      <c r="I514" s="36"/>
      <c r="J514" s="105"/>
      <c r="K514" s="36"/>
      <c r="L514" s="36"/>
      <c r="M514" s="36"/>
      <c r="N514" s="105"/>
      <c r="O514" s="36"/>
      <c r="P514" s="36"/>
      <c r="Q514" s="36"/>
      <c r="R514" s="105"/>
      <c r="S514" s="36"/>
      <c r="T514" s="36"/>
      <c r="U514" s="36"/>
      <c r="V514" s="36"/>
      <c r="W514" s="36"/>
      <c r="X514" s="36"/>
      <c r="Y514" s="36"/>
      <c r="Z514" s="36"/>
      <c r="AA514" s="36"/>
      <c r="AB514" s="42"/>
      <c r="AC514" s="42"/>
      <c r="AD514" s="36"/>
      <c r="AE514" s="36"/>
      <c r="AF514" s="42"/>
      <c r="AG514" s="42"/>
      <c r="AH514" s="36"/>
      <c r="AI514" s="36"/>
      <c r="AJ514" s="36"/>
      <c r="AK514" s="36"/>
      <c r="AL514" s="36"/>
      <c r="AM514" s="36"/>
      <c r="AN514" s="36"/>
    </row>
    <row r="515" spans="1:40" ht="15.75" x14ac:dyDescent="0.25">
      <c r="A515" s="44"/>
      <c r="B515" s="36"/>
      <c r="C515" s="36"/>
      <c r="D515" s="36"/>
      <c r="E515" s="36"/>
      <c r="F515" s="36"/>
      <c r="G515" s="36"/>
      <c r="H515" s="36"/>
      <c r="I515" s="36"/>
      <c r="J515" s="105"/>
      <c r="K515" s="36"/>
      <c r="L515" s="36"/>
      <c r="M515" s="36"/>
      <c r="N515" s="105"/>
      <c r="O515" s="36"/>
      <c r="P515" s="36"/>
      <c r="Q515" s="36"/>
      <c r="R515" s="105"/>
      <c r="S515" s="36"/>
      <c r="T515" s="36"/>
      <c r="U515" s="36"/>
      <c r="V515" s="36"/>
      <c r="W515" s="36"/>
      <c r="X515" s="36"/>
      <c r="Y515" s="36"/>
      <c r="Z515" s="36"/>
      <c r="AA515" s="36"/>
      <c r="AB515" s="42"/>
      <c r="AC515" s="42"/>
      <c r="AD515" s="36"/>
      <c r="AE515" s="36"/>
      <c r="AF515" s="42"/>
      <c r="AG515" s="42"/>
      <c r="AH515" s="36"/>
      <c r="AI515" s="36"/>
      <c r="AJ515" s="36"/>
      <c r="AK515" s="36"/>
      <c r="AL515" s="36"/>
      <c r="AM515" s="36"/>
      <c r="AN515" s="36"/>
    </row>
    <row r="516" spans="1:40" ht="15.75" x14ac:dyDescent="0.25">
      <c r="A516" s="44"/>
      <c r="B516" s="36"/>
      <c r="C516" s="36"/>
      <c r="D516" s="36"/>
      <c r="E516" s="36"/>
      <c r="F516" s="36"/>
      <c r="G516" s="36"/>
      <c r="H516" s="36"/>
      <c r="I516" s="36"/>
      <c r="J516" s="105"/>
      <c r="K516" s="36"/>
      <c r="L516" s="36"/>
      <c r="M516" s="36"/>
      <c r="N516" s="105"/>
      <c r="O516" s="36"/>
      <c r="P516" s="36"/>
      <c r="Q516" s="36"/>
      <c r="R516" s="105"/>
      <c r="S516" s="36"/>
      <c r="T516" s="36"/>
      <c r="U516" s="36"/>
      <c r="V516" s="36"/>
      <c r="W516" s="36"/>
      <c r="X516" s="36"/>
      <c r="Y516" s="36"/>
      <c r="Z516" s="36"/>
      <c r="AA516" s="36"/>
      <c r="AB516" s="42"/>
      <c r="AC516" s="42"/>
      <c r="AD516" s="36"/>
      <c r="AE516" s="36"/>
      <c r="AF516" s="42"/>
      <c r="AG516" s="42"/>
      <c r="AH516" s="36"/>
      <c r="AI516" s="36"/>
      <c r="AJ516" s="36"/>
      <c r="AK516" s="36"/>
      <c r="AL516" s="36"/>
      <c r="AM516" s="36"/>
      <c r="AN516" s="36"/>
    </row>
    <row r="517" spans="1:40" ht="15.75" x14ac:dyDescent="0.25">
      <c r="A517" s="44"/>
      <c r="B517" s="36"/>
      <c r="C517" s="36"/>
      <c r="D517" s="36"/>
      <c r="E517" s="36"/>
      <c r="F517" s="36"/>
      <c r="G517" s="36"/>
      <c r="H517" s="36"/>
      <c r="I517" s="36"/>
      <c r="J517" s="105"/>
      <c r="K517" s="36"/>
      <c r="L517" s="36"/>
      <c r="M517" s="36"/>
      <c r="N517" s="105"/>
      <c r="O517" s="36"/>
      <c r="P517" s="36"/>
      <c r="Q517" s="36"/>
      <c r="R517" s="105"/>
      <c r="S517" s="36"/>
      <c r="T517" s="36"/>
      <c r="U517" s="36"/>
      <c r="V517" s="36"/>
      <c r="W517" s="36"/>
      <c r="X517" s="36"/>
      <c r="Y517" s="36"/>
      <c r="Z517" s="36"/>
      <c r="AA517" s="36"/>
      <c r="AB517" s="42"/>
      <c r="AC517" s="42"/>
      <c r="AD517" s="36"/>
      <c r="AE517" s="36"/>
      <c r="AF517" s="42"/>
      <c r="AG517" s="42"/>
      <c r="AH517" s="36"/>
      <c r="AI517" s="36"/>
      <c r="AJ517" s="36"/>
      <c r="AK517" s="36"/>
      <c r="AL517" s="36"/>
      <c r="AM517" s="36"/>
      <c r="AN517" s="36"/>
    </row>
    <row r="518" spans="1:40" ht="15.75" x14ac:dyDescent="0.25">
      <c r="A518" s="44"/>
      <c r="B518" s="36"/>
      <c r="C518" s="36"/>
      <c r="D518" s="36"/>
      <c r="E518" s="36"/>
      <c r="F518" s="36"/>
      <c r="G518" s="36"/>
      <c r="H518" s="36"/>
      <c r="I518" s="36"/>
      <c r="J518" s="105"/>
      <c r="K518" s="36"/>
      <c r="L518" s="36"/>
      <c r="M518" s="36"/>
      <c r="N518" s="105"/>
      <c r="O518" s="36"/>
      <c r="P518" s="36"/>
      <c r="Q518" s="36"/>
      <c r="R518" s="105"/>
      <c r="S518" s="36"/>
      <c r="T518" s="36"/>
      <c r="U518" s="36"/>
      <c r="V518" s="36"/>
      <c r="W518" s="36"/>
      <c r="X518" s="36"/>
      <c r="Y518" s="36"/>
      <c r="Z518" s="36"/>
      <c r="AA518" s="36"/>
      <c r="AB518" s="42"/>
      <c r="AC518" s="42"/>
      <c r="AD518" s="36"/>
      <c r="AE518" s="36"/>
      <c r="AF518" s="42"/>
      <c r="AG518" s="42"/>
      <c r="AH518" s="36"/>
      <c r="AI518" s="36"/>
      <c r="AJ518" s="36"/>
      <c r="AK518" s="36"/>
      <c r="AL518" s="36"/>
      <c r="AM518" s="36"/>
      <c r="AN518" s="36"/>
    </row>
    <row r="519" spans="1:40" ht="15.75" x14ac:dyDescent="0.25">
      <c r="A519" s="44"/>
      <c r="B519" s="36"/>
      <c r="C519" s="36"/>
      <c r="D519" s="36"/>
      <c r="E519" s="36"/>
      <c r="F519" s="36"/>
      <c r="G519" s="36"/>
      <c r="H519" s="36"/>
      <c r="I519" s="36"/>
      <c r="J519" s="105"/>
      <c r="K519" s="36"/>
      <c r="L519" s="36"/>
      <c r="M519" s="36"/>
      <c r="N519" s="105"/>
      <c r="O519" s="36"/>
      <c r="P519" s="36"/>
      <c r="Q519" s="36"/>
      <c r="R519" s="105"/>
      <c r="S519" s="36"/>
      <c r="T519" s="36"/>
      <c r="U519" s="36"/>
      <c r="V519" s="36"/>
      <c r="W519" s="36"/>
      <c r="X519" s="36"/>
      <c r="Y519" s="36"/>
      <c r="Z519" s="36"/>
      <c r="AA519" s="36"/>
      <c r="AB519" s="42"/>
      <c r="AC519" s="42"/>
      <c r="AD519" s="36"/>
      <c r="AE519" s="36"/>
      <c r="AF519" s="42"/>
      <c r="AG519" s="42"/>
      <c r="AH519" s="36"/>
      <c r="AI519" s="36"/>
      <c r="AJ519" s="36"/>
      <c r="AK519" s="36"/>
      <c r="AL519" s="36"/>
      <c r="AM519" s="36"/>
      <c r="AN519" s="36"/>
    </row>
    <row r="520" spans="1:40" ht="15.75" x14ac:dyDescent="0.25">
      <c r="A520" s="44"/>
      <c r="B520" s="36"/>
      <c r="C520" s="36"/>
      <c r="D520" s="36"/>
      <c r="E520" s="36"/>
      <c r="F520" s="36"/>
      <c r="G520" s="36"/>
      <c r="H520" s="36"/>
      <c r="I520" s="36"/>
      <c r="J520" s="105"/>
      <c r="K520" s="36"/>
      <c r="L520" s="36"/>
      <c r="M520" s="36"/>
      <c r="N520" s="105"/>
      <c r="O520" s="36"/>
      <c r="P520" s="36"/>
      <c r="Q520" s="36"/>
      <c r="R520" s="105"/>
      <c r="S520" s="36"/>
      <c r="T520" s="36"/>
      <c r="U520" s="36"/>
      <c r="V520" s="36"/>
      <c r="W520" s="36"/>
      <c r="X520" s="36"/>
      <c r="Y520" s="36"/>
      <c r="Z520" s="36"/>
      <c r="AA520" s="36"/>
      <c r="AB520" s="42"/>
      <c r="AC520" s="42"/>
      <c r="AD520" s="36"/>
      <c r="AE520" s="36"/>
      <c r="AF520" s="42"/>
      <c r="AG520" s="42"/>
      <c r="AH520" s="36"/>
      <c r="AI520" s="36"/>
      <c r="AJ520" s="36"/>
      <c r="AK520" s="36"/>
      <c r="AL520" s="36"/>
      <c r="AM520" s="36"/>
      <c r="AN520" s="36"/>
    </row>
    <row r="521" spans="1:40" ht="15.75" x14ac:dyDescent="0.25">
      <c r="A521" s="44"/>
      <c r="B521" s="36"/>
      <c r="C521" s="36"/>
      <c r="D521" s="36"/>
      <c r="E521" s="36"/>
      <c r="F521" s="36"/>
      <c r="G521" s="36"/>
      <c r="H521" s="36"/>
      <c r="I521" s="36"/>
      <c r="J521" s="105"/>
      <c r="K521" s="36"/>
      <c r="L521" s="36"/>
      <c r="M521" s="36"/>
      <c r="N521" s="105"/>
      <c r="O521" s="36"/>
      <c r="P521" s="36"/>
      <c r="Q521" s="36"/>
      <c r="R521" s="105"/>
      <c r="S521" s="36"/>
      <c r="T521" s="36"/>
      <c r="U521" s="36"/>
      <c r="V521" s="36"/>
      <c r="W521" s="36"/>
      <c r="X521" s="36"/>
      <c r="Y521" s="36"/>
      <c r="Z521" s="36"/>
      <c r="AA521" s="36"/>
      <c r="AB521" s="42"/>
      <c r="AC521" s="42"/>
      <c r="AD521" s="36"/>
      <c r="AE521" s="36"/>
      <c r="AF521" s="42"/>
      <c r="AG521" s="42"/>
      <c r="AH521" s="36"/>
      <c r="AI521" s="36"/>
      <c r="AJ521" s="36"/>
      <c r="AK521" s="36"/>
      <c r="AL521" s="36"/>
      <c r="AM521" s="36"/>
      <c r="AN521" s="36"/>
    </row>
    <row r="522" spans="1:40" ht="15.75" x14ac:dyDescent="0.25">
      <c r="A522" s="44"/>
      <c r="B522" s="36"/>
      <c r="C522" s="36"/>
      <c r="D522" s="36"/>
      <c r="E522" s="36"/>
      <c r="F522" s="36"/>
      <c r="G522" s="36"/>
      <c r="H522" s="36"/>
      <c r="I522" s="36"/>
      <c r="J522" s="105"/>
      <c r="K522" s="36"/>
      <c r="L522" s="36"/>
      <c r="M522" s="36"/>
      <c r="N522" s="105"/>
      <c r="O522" s="36"/>
      <c r="P522" s="36"/>
      <c r="Q522" s="36"/>
      <c r="R522" s="105"/>
      <c r="S522" s="36"/>
      <c r="T522" s="36"/>
      <c r="U522" s="36"/>
      <c r="V522" s="36"/>
      <c r="W522" s="36"/>
      <c r="X522" s="36"/>
      <c r="Y522" s="36"/>
      <c r="Z522" s="36"/>
      <c r="AA522" s="36"/>
      <c r="AB522" s="42"/>
      <c r="AC522" s="42"/>
      <c r="AD522" s="36"/>
      <c r="AE522" s="36"/>
      <c r="AF522" s="42"/>
      <c r="AG522" s="42"/>
      <c r="AH522" s="36"/>
      <c r="AI522" s="36"/>
      <c r="AJ522" s="36"/>
      <c r="AK522" s="36"/>
      <c r="AL522" s="36"/>
      <c r="AM522" s="36"/>
      <c r="AN522" s="36"/>
    </row>
    <row r="523" spans="1:40" ht="15.75" x14ac:dyDescent="0.25">
      <c r="A523" s="44"/>
      <c r="B523" s="36"/>
      <c r="C523" s="36"/>
      <c r="D523" s="36"/>
      <c r="E523" s="36"/>
      <c r="F523" s="36"/>
      <c r="G523" s="36"/>
      <c r="H523" s="36"/>
      <c r="I523" s="36"/>
      <c r="J523" s="105"/>
      <c r="K523" s="36"/>
      <c r="L523" s="36"/>
      <c r="M523" s="36"/>
      <c r="N523" s="105"/>
      <c r="O523" s="36"/>
      <c r="P523" s="36"/>
      <c r="Q523" s="36"/>
      <c r="R523" s="105"/>
      <c r="S523" s="36"/>
      <c r="T523" s="36"/>
      <c r="U523" s="36"/>
      <c r="V523" s="36"/>
      <c r="W523" s="36"/>
      <c r="X523" s="36"/>
      <c r="Y523" s="36"/>
      <c r="Z523" s="36"/>
      <c r="AA523" s="36"/>
      <c r="AB523" s="42"/>
      <c r="AC523" s="42"/>
      <c r="AD523" s="36"/>
      <c r="AE523" s="36"/>
      <c r="AF523" s="42"/>
      <c r="AG523" s="42"/>
      <c r="AH523" s="36"/>
      <c r="AI523" s="36"/>
      <c r="AJ523" s="36"/>
      <c r="AK523" s="36"/>
      <c r="AL523" s="36"/>
      <c r="AM523" s="36"/>
      <c r="AN523" s="36"/>
    </row>
    <row r="524" spans="1:40" ht="15.75" x14ac:dyDescent="0.25">
      <c r="A524" s="44"/>
      <c r="B524" s="36"/>
      <c r="C524" s="36"/>
      <c r="D524" s="36"/>
      <c r="E524" s="36"/>
      <c r="F524" s="36"/>
      <c r="G524" s="36"/>
      <c r="H524" s="36"/>
      <c r="I524" s="36"/>
      <c r="J524" s="105"/>
      <c r="K524" s="36"/>
      <c r="L524" s="36"/>
      <c r="M524" s="36"/>
      <c r="N524" s="105"/>
      <c r="O524" s="36"/>
      <c r="P524" s="36"/>
      <c r="Q524" s="36"/>
      <c r="R524" s="105"/>
      <c r="S524" s="36"/>
      <c r="T524" s="36"/>
      <c r="U524" s="36"/>
      <c r="V524" s="36"/>
      <c r="W524" s="36"/>
      <c r="X524" s="36"/>
      <c r="Y524" s="36"/>
      <c r="Z524" s="36"/>
      <c r="AA524" s="36"/>
      <c r="AB524" s="42"/>
      <c r="AC524" s="42"/>
      <c r="AD524" s="36"/>
      <c r="AE524" s="36"/>
      <c r="AF524" s="42"/>
      <c r="AG524" s="42"/>
      <c r="AH524" s="36"/>
      <c r="AI524" s="36"/>
      <c r="AJ524" s="36"/>
      <c r="AK524" s="36"/>
      <c r="AL524" s="36"/>
      <c r="AM524" s="36"/>
      <c r="AN524" s="36"/>
    </row>
    <row r="525" spans="1:40" ht="15.75" x14ac:dyDescent="0.25">
      <c r="A525" s="44"/>
      <c r="B525" s="36"/>
      <c r="C525" s="36"/>
      <c r="D525" s="36"/>
      <c r="E525" s="36"/>
      <c r="F525" s="36"/>
      <c r="G525" s="36"/>
      <c r="H525" s="36"/>
      <c r="I525" s="36"/>
      <c r="J525" s="105"/>
      <c r="K525" s="36"/>
      <c r="L525" s="36"/>
      <c r="M525" s="36"/>
      <c r="N525" s="105"/>
      <c r="O525" s="36"/>
      <c r="P525" s="36"/>
      <c r="Q525" s="36"/>
      <c r="R525" s="105"/>
      <c r="S525" s="36"/>
      <c r="T525" s="36"/>
      <c r="U525" s="36"/>
      <c r="V525" s="36"/>
      <c r="W525" s="36"/>
      <c r="X525" s="36"/>
      <c r="Y525" s="36"/>
      <c r="Z525" s="36"/>
      <c r="AA525" s="36"/>
      <c r="AB525" s="42"/>
      <c r="AC525" s="42"/>
      <c r="AD525" s="36"/>
      <c r="AE525" s="36"/>
      <c r="AF525" s="42"/>
      <c r="AG525" s="42"/>
      <c r="AH525" s="36"/>
      <c r="AI525" s="36"/>
      <c r="AJ525" s="36"/>
      <c r="AK525" s="36"/>
      <c r="AL525" s="36"/>
      <c r="AM525" s="36"/>
      <c r="AN525" s="36"/>
    </row>
    <row r="526" spans="1:40" ht="15.75" x14ac:dyDescent="0.25">
      <c r="A526" s="44"/>
      <c r="B526" s="36"/>
      <c r="C526" s="36"/>
      <c r="D526" s="36"/>
      <c r="E526" s="36"/>
      <c r="F526" s="36"/>
      <c r="G526" s="36"/>
      <c r="H526" s="36"/>
      <c r="I526" s="36"/>
      <c r="J526" s="105"/>
      <c r="K526" s="36"/>
      <c r="L526" s="36"/>
      <c r="M526" s="36"/>
      <c r="N526" s="105"/>
      <c r="O526" s="36"/>
      <c r="P526" s="36"/>
      <c r="Q526" s="36"/>
      <c r="R526" s="105"/>
      <c r="S526" s="36"/>
      <c r="T526" s="36"/>
      <c r="U526" s="36"/>
      <c r="V526" s="36"/>
      <c r="W526" s="36"/>
      <c r="X526" s="36"/>
      <c r="Y526" s="36"/>
      <c r="Z526" s="36"/>
      <c r="AA526" s="36"/>
      <c r="AB526" s="42"/>
      <c r="AC526" s="42"/>
      <c r="AD526" s="36"/>
      <c r="AE526" s="36"/>
      <c r="AF526" s="42"/>
      <c r="AG526" s="42"/>
      <c r="AH526" s="36"/>
      <c r="AI526" s="36"/>
      <c r="AJ526" s="36"/>
      <c r="AK526" s="36"/>
      <c r="AL526" s="36"/>
      <c r="AM526" s="36"/>
      <c r="AN526" s="36"/>
    </row>
    <row r="527" spans="1:40" ht="15.75" x14ac:dyDescent="0.25">
      <c r="A527" s="44"/>
      <c r="B527" s="36"/>
      <c r="C527" s="36"/>
      <c r="D527" s="36"/>
      <c r="E527" s="36"/>
      <c r="F527" s="36"/>
      <c r="G527" s="36"/>
      <c r="H527" s="36"/>
      <c r="I527" s="36"/>
      <c r="J527" s="105"/>
      <c r="K527" s="36"/>
      <c r="L527" s="36"/>
      <c r="M527" s="36"/>
      <c r="N527" s="105"/>
      <c r="O527" s="36"/>
      <c r="P527" s="36"/>
      <c r="Q527" s="36"/>
      <c r="R527" s="105"/>
      <c r="S527" s="36"/>
      <c r="T527" s="36"/>
      <c r="U527" s="36"/>
      <c r="V527" s="36"/>
      <c r="W527" s="36"/>
      <c r="X527" s="36"/>
      <c r="Y527" s="36"/>
      <c r="Z527" s="36"/>
      <c r="AA527" s="36"/>
      <c r="AB527" s="42"/>
      <c r="AC527" s="42"/>
      <c r="AD527" s="36"/>
      <c r="AE527" s="36"/>
      <c r="AF527" s="42"/>
      <c r="AG527" s="42"/>
      <c r="AH527" s="36"/>
      <c r="AI527" s="36"/>
      <c r="AJ527" s="36"/>
      <c r="AK527" s="36"/>
      <c r="AL527" s="36"/>
      <c r="AM527" s="36"/>
      <c r="AN527" s="36"/>
    </row>
    <row r="528" spans="1:40" ht="15.75" x14ac:dyDescent="0.25">
      <c r="A528" s="44"/>
      <c r="B528" s="36"/>
      <c r="C528" s="36"/>
      <c r="D528" s="36"/>
      <c r="E528" s="36"/>
      <c r="F528" s="36"/>
      <c r="G528" s="36"/>
      <c r="H528" s="36"/>
      <c r="I528" s="36"/>
      <c r="J528" s="105"/>
      <c r="K528" s="36"/>
      <c r="L528" s="36"/>
      <c r="M528" s="36"/>
      <c r="N528" s="105"/>
      <c r="O528" s="36"/>
      <c r="P528" s="36"/>
      <c r="Q528" s="36"/>
      <c r="R528" s="105"/>
      <c r="S528" s="36"/>
      <c r="T528" s="36"/>
      <c r="U528" s="36"/>
      <c r="V528" s="36"/>
      <c r="W528" s="36"/>
      <c r="X528" s="36"/>
      <c r="Y528" s="36"/>
      <c r="Z528" s="36"/>
      <c r="AA528" s="36"/>
      <c r="AB528" s="42"/>
      <c r="AC528" s="42"/>
      <c r="AD528" s="36"/>
      <c r="AE528" s="36"/>
      <c r="AF528" s="42"/>
      <c r="AG528" s="42"/>
      <c r="AH528" s="36"/>
      <c r="AI528" s="36"/>
      <c r="AJ528" s="36"/>
      <c r="AK528" s="36"/>
      <c r="AL528" s="36"/>
      <c r="AM528" s="36"/>
      <c r="AN528" s="36"/>
    </row>
    <row r="529" spans="1:40" ht="15.75" x14ac:dyDescent="0.25">
      <c r="A529" s="44"/>
      <c r="B529" s="36"/>
      <c r="C529" s="36"/>
      <c r="D529" s="36"/>
      <c r="E529" s="36"/>
      <c r="F529" s="36"/>
      <c r="G529" s="36"/>
      <c r="H529" s="36"/>
      <c r="I529" s="36"/>
      <c r="J529" s="105"/>
      <c r="K529" s="36"/>
      <c r="L529" s="36"/>
      <c r="M529" s="36"/>
      <c r="N529" s="105"/>
      <c r="O529" s="36"/>
      <c r="P529" s="36"/>
      <c r="Q529" s="36"/>
      <c r="R529" s="105"/>
      <c r="S529" s="36"/>
      <c r="T529" s="36"/>
      <c r="U529" s="36"/>
      <c r="V529" s="36"/>
      <c r="W529" s="36"/>
      <c r="X529" s="36"/>
      <c r="Y529" s="36"/>
      <c r="Z529" s="36"/>
      <c r="AA529" s="36"/>
      <c r="AB529" s="42"/>
      <c r="AC529" s="42"/>
      <c r="AD529" s="36"/>
      <c r="AE529" s="36"/>
      <c r="AF529" s="42"/>
      <c r="AG529" s="42"/>
      <c r="AH529" s="36"/>
      <c r="AI529" s="36"/>
      <c r="AJ529" s="36"/>
      <c r="AK529" s="36"/>
      <c r="AL529" s="36"/>
      <c r="AM529" s="36"/>
      <c r="AN529" s="36"/>
    </row>
    <row r="530" spans="1:40" ht="15.75" x14ac:dyDescent="0.25">
      <c r="A530" s="44"/>
      <c r="B530" s="36"/>
      <c r="C530" s="36"/>
      <c r="D530" s="36"/>
      <c r="E530" s="36"/>
      <c r="F530" s="36"/>
      <c r="G530" s="36"/>
      <c r="H530" s="36"/>
      <c r="I530" s="36"/>
      <c r="J530" s="105"/>
      <c r="K530" s="36"/>
      <c r="L530" s="36"/>
      <c r="M530" s="36"/>
      <c r="N530" s="105"/>
      <c r="O530" s="36"/>
      <c r="P530" s="36"/>
      <c r="Q530" s="36"/>
      <c r="R530" s="105"/>
      <c r="S530" s="36"/>
      <c r="T530" s="36"/>
      <c r="U530" s="36"/>
      <c r="V530" s="36"/>
      <c r="W530" s="36"/>
      <c r="X530" s="36"/>
      <c r="Y530" s="36"/>
      <c r="Z530" s="36"/>
      <c r="AA530" s="36"/>
      <c r="AB530" s="42"/>
      <c r="AC530" s="42"/>
      <c r="AD530" s="36"/>
      <c r="AE530" s="36"/>
      <c r="AF530" s="42"/>
      <c r="AG530" s="42"/>
      <c r="AH530" s="36"/>
      <c r="AI530" s="36"/>
      <c r="AJ530" s="36"/>
      <c r="AK530" s="36"/>
      <c r="AL530" s="36"/>
      <c r="AM530" s="36"/>
      <c r="AN530" s="36"/>
    </row>
    <row r="531" spans="1:40" ht="15.75" x14ac:dyDescent="0.25">
      <c r="A531" s="44"/>
      <c r="B531" s="36"/>
      <c r="C531" s="36"/>
      <c r="D531" s="36"/>
      <c r="E531" s="36"/>
      <c r="F531" s="36"/>
      <c r="G531" s="36"/>
      <c r="H531" s="36"/>
      <c r="I531" s="36"/>
      <c r="J531" s="105"/>
      <c r="K531" s="36"/>
      <c r="L531" s="36"/>
      <c r="M531" s="36"/>
      <c r="N531" s="105"/>
      <c r="O531" s="36"/>
      <c r="P531" s="36"/>
      <c r="Q531" s="36"/>
      <c r="R531" s="105"/>
      <c r="S531" s="36"/>
      <c r="T531" s="36"/>
      <c r="U531" s="36"/>
      <c r="V531" s="36"/>
      <c r="W531" s="36"/>
      <c r="X531" s="36"/>
      <c r="Y531" s="36"/>
      <c r="Z531" s="36"/>
      <c r="AA531" s="36"/>
      <c r="AB531" s="42"/>
      <c r="AC531" s="42"/>
      <c r="AD531" s="36"/>
      <c r="AE531" s="36"/>
      <c r="AF531" s="42"/>
      <c r="AG531" s="42"/>
      <c r="AH531" s="36"/>
      <c r="AI531" s="36"/>
      <c r="AJ531" s="36"/>
      <c r="AK531" s="36"/>
      <c r="AL531" s="36"/>
      <c r="AM531" s="36"/>
      <c r="AN531" s="36"/>
    </row>
    <row r="532" spans="1:40" ht="15.75" x14ac:dyDescent="0.25">
      <c r="A532" s="44"/>
      <c r="B532" s="36"/>
      <c r="C532" s="36"/>
      <c r="D532" s="36"/>
      <c r="E532" s="36"/>
      <c r="F532" s="36"/>
      <c r="G532" s="36"/>
      <c r="H532" s="36"/>
      <c r="I532" s="36"/>
      <c r="J532" s="105"/>
      <c r="K532" s="36"/>
      <c r="L532" s="36"/>
      <c r="M532" s="36"/>
      <c r="N532" s="105"/>
      <c r="O532" s="36"/>
      <c r="P532" s="36"/>
      <c r="Q532" s="36"/>
      <c r="R532" s="105"/>
      <c r="S532" s="36"/>
      <c r="T532" s="36"/>
      <c r="U532" s="36"/>
      <c r="V532" s="36"/>
      <c r="W532" s="36"/>
      <c r="X532" s="36"/>
      <c r="Y532" s="36"/>
      <c r="Z532" s="36"/>
      <c r="AA532" s="36"/>
      <c r="AB532" s="42"/>
      <c r="AC532" s="42"/>
      <c r="AD532" s="36"/>
      <c r="AE532" s="36"/>
      <c r="AF532" s="42"/>
      <c r="AG532" s="42"/>
      <c r="AH532" s="36"/>
      <c r="AI532" s="36"/>
      <c r="AJ532" s="36"/>
      <c r="AK532" s="36"/>
      <c r="AL532" s="36"/>
      <c r="AM532" s="36"/>
      <c r="AN532" s="36"/>
    </row>
    <row r="533" spans="1:40" ht="15.75" x14ac:dyDescent="0.25">
      <c r="A533" s="44"/>
      <c r="B533" s="36"/>
      <c r="C533" s="36"/>
      <c r="D533" s="36"/>
      <c r="E533" s="36"/>
      <c r="F533" s="36"/>
      <c r="G533" s="36"/>
      <c r="H533" s="36"/>
      <c r="I533" s="36"/>
      <c r="J533" s="105"/>
      <c r="K533" s="36"/>
      <c r="L533" s="36"/>
      <c r="M533" s="36"/>
      <c r="N533" s="105"/>
      <c r="O533" s="36"/>
      <c r="P533" s="36"/>
      <c r="Q533" s="36"/>
      <c r="R533" s="105"/>
      <c r="S533" s="36"/>
      <c r="T533" s="36"/>
      <c r="U533" s="36"/>
      <c r="V533" s="36"/>
      <c r="W533" s="36"/>
      <c r="X533" s="36"/>
      <c r="Y533" s="36"/>
      <c r="Z533" s="36"/>
      <c r="AA533" s="36"/>
      <c r="AB533" s="42"/>
      <c r="AC533" s="42"/>
      <c r="AD533" s="36"/>
      <c r="AE533" s="36"/>
      <c r="AF533" s="42"/>
      <c r="AG533" s="42"/>
      <c r="AH533" s="36"/>
      <c r="AI533" s="36"/>
      <c r="AJ533" s="36"/>
      <c r="AK533" s="36"/>
      <c r="AL533" s="36"/>
      <c r="AM533" s="36"/>
      <c r="AN533" s="36"/>
    </row>
    <row r="534" spans="1:40" ht="15.75" x14ac:dyDescent="0.25">
      <c r="A534" s="44"/>
      <c r="B534" s="36"/>
      <c r="C534" s="36"/>
      <c r="D534" s="36"/>
      <c r="E534" s="36"/>
      <c r="F534" s="36"/>
      <c r="G534" s="36"/>
      <c r="H534" s="36"/>
      <c r="I534" s="36"/>
      <c r="J534" s="105"/>
      <c r="K534" s="36"/>
      <c r="L534" s="36"/>
      <c r="M534" s="36"/>
      <c r="N534" s="105"/>
      <c r="O534" s="36"/>
      <c r="P534" s="36"/>
      <c r="Q534" s="36"/>
      <c r="R534" s="105"/>
      <c r="S534" s="36"/>
      <c r="T534" s="36"/>
      <c r="U534" s="36"/>
      <c r="V534" s="36"/>
      <c r="W534" s="36"/>
      <c r="X534" s="36"/>
      <c r="Y534" s="36"/>
      <c r="Z534" s="36"/>
      <c r="AA534" s="36"/>
      <c r="AB534" s="42"/>
      <c r="AC534" s="42"/>
      <c r="AD534" s="36"/>
      <c r="AE534" s="36"/>
      <c r="AF534" s="42"/>
      <c r="AG534" s="42"/>
      <c r="AH534" s="36"/>
      <c r="AI534" s="36"/>
      <c r="AJ534" s="36"/>
      <c r="AK534" s="36"/>
      <c r="AL534" s="36"/>
      <c r="AM534" s="36"/>
      <c r="AN534" s="36"/>
    </row>
    <row r="535" spans="1:40" ht="15.75" x14ac:dyDescent="0.25">
      <c r="A535" s="44"/>
      <c r="B535" s="36"/>
      <c r="C535" s="36"/>
      <c r="D535" s="36"/>
      <c r="E535" s="36"/>
      <c r="F535" s="36"/>
      <c r="G535" s="36"/>
      <c r="H535" s="36"/>
      <c r="I535" s="36"/>
      <c r="J535" s="105"/>
      <c r="K535" s="36"/>
      <c r="L535" s="36"/>
      <c r="M535" s="36"/>
      <c r="N535" s="105"/>
      <c r="O535" s="36"/>
      <c r="P535" s="36"/>
      <c r="Q535" s="36"/>
      <c r="R535" s="105"/>
      <c r="S535" s="36"/>
      <c r="T535" s="36"/>
      <c r="U535" s="36"/>
      <c r="V535" s="36"/>
      <c r="W535" s="36"/>
      <c r="X535" s="36"/>
      <c r="Y535" s="36"/>
      <c r="Z535" s="36"/>
      <c r="AA535" s="36"/>
      <c r="AB535" s="42"/>
      <c r="AC535" s="42"/>
      <c r="AD535" s="36"/>
      <c r="AE535" s="36"/>
      <c r="AF535" s="42"/>
      <c r="AG535" s="42"/>
      <c r="AH535" s="36"/>
      <c r="AI535" s="36"/>
      <c r="AJ535" s="36"/>
      <c r="AK535" s="36"/>
      <c r="AL535" s="36"/>
      <c r="AM535" s="36"/>
      <c r="AN535" s="36"/>
    </row>
    <row r="536" spans="1:40" ht="15.75" x14ac:dyDescent="0.25">
      <c r="A536" s="44"/>
      <c r="B536" s="36"/>
      <c r="C536" s="36"/>
      <c r="D536" s="36"/>
      <c r="E536" s="36"/>
      <c r="F536" s="36"/>
      <c r="G536" s="36"/>
      <c r="H536" s="36"/>
      <c r="I536" s="36"/>
      <c r="J536" s="105"/>
      <c r="K536" s="36"/>
      <c r="L536" s="36"/>
      <c r="M536" s="36"/>
      <c r="N536" s="105"/>
      <c r="O536" s="36"/>
      <c r="P536" s="36"/>
      <c r="Q536" s="36"/>
      <c r="R536" s="105"/>
      <c r="S536" s="36"/>
      <c r="T536" s="36"/>
      <c r="U536" s="36"/>
      <c r="V536" s="36"/>
      <c r="W536" s="36"/>
      <c r="X536" s="36"/>
      <c r="Y536" s="36"/>
      <c r="Z536" s="36"/>
      <c r="AA536" s="36"/>
      <c r="AB536" s="42"/>
      <c r="AC536" s="42"/>
      <c r="AD536" s="36"/>
      <c r="AE536" s="36"/>
      <c r="AF536" s="42"/>
      <c r="AG536" s="42"/>
      <c r="AH536" s="36"/>
      <c r="AI536" s="36"/>
      <c r="AJ536" s="36"/>
      <c r="AK536" s="36"/>
      <c r="AL536" s="36"/>
      <c r="AM536" s="36"/>
      <c r="AN536" s="36"/>
    </row>
    <row r="537" spans="1:40" ht="15.75" x14ac:dyDescent="0.25">
      <c r="A537" s="44"/>
      <c r="B537" s="36"/>
      <c r="C537" s="36"/>
      <c r="D537" s="36"/>
      <c r="E537" s="36"/>
      <c r="F537" s="36"/>
      <c r="G537" s="36"/>
      <c r="H537" s="36"/>
      <c r="I537" s="36"/>
      <c r="J537" s="105"/>
      <c r="K537" s="36"/>
      <c r="L537" s="36"/>
      <c r="M537" s="36"/>
      <c r="N537" s="105"/>
      <c r="O537" s="36"/>
      <c r="P537" s="36"/>
      <c r="Q537" s="36"/>
      <c r="R537" s="105"/>
      <c r="S537" s="36"/>
      <c r="T537" s="36"/>
      <c r="U537" s="36"/>
      <c r="V537" s="36"/>
      <c r="W537" s="36"/>
      <c r="X537" s="36"/>
      <c r="Y537" s="36"/>
      <c r="Z537" s="36"/>
      <c r="AA537" s="36"/>
      <c r="AB537" s="42"/>
      <c r="AC537" s="42"/>
      <c r="AD537" s="36"/>
      <c r="AE537" s="36"/>
      <c r="AF537" s="42"/>
      <c r="AG537" s="42"/>
      <c r="AH537" s="36"/>
      <c r="AI537" s="36"/>
      <c r="AJ537" s="36"/>
      <c r="AK537" s="36"/>
      <c r="AL537" s="36"/>
      <c r="AM537" s="36"/>
      <c r="AN537" s="36"/>
    </row>
    <row r="538" spans="1:40" ht="15.75" x14ac:dyDescent="0.25">
      <c r="A538" s="44"/>
      <c r="B538" s="36"/>
      <c r="C538" s="36"/>
      <c r="D538" s="36"/>
      <c r="E538" s="36"/>
      <c r="F538" s="36"/>
      <c r="G538" s="36"/>
      <c r="H538" s="36"/>
      <c r="I538" s="36"/>
      <c r="J538" s="105"/>
      <c r="K538" s="36"/>
      <c r="L538" s="36"/>
      <c r="M538" s="36"/>
      <c r="N538" s="105"/>
      <c r="O538" s="36"/>
      <c r="P538" s="36"/>
      <c r="Q538" s="36"/>
      <c r="R538" s="105"/>
      <c r="S538" s="36"/>
      <c r="T538" s="36"/>
      <c r="U538" s="36"/>
      <c r="V538" s="36"/>
      <c r="W538" s="36"/>
      <c r="X538" s="36"/>
      <c r="Y538" s="36"/>
      <c r="Z538" s="36"/>
      <c r="AA538" s="36"/>
      <c r="AB538" s="42"/>
      <c r="AC538" s="42"/>
      <c r="AD538" s="36"/>
      <c r="AE538" s="36"/>
      <c r="AF538" s="42"/>
      <c r="AG538" s="42"/>
      <c r="AH538" s="36"/>
      <c r="AI538" s="36"/>
      <c r="AJ538" s="36"/>
      <c r="AK538" s="36"/>
      <c r="AL538" s="36"/>
      <c r="AM538" s="36"/>
      <c r="AN538" s="36"/>
    </row>
    <row r="539" spans="1:40" ht="15.75" x14ac:dyDescent="0.25">
      <c r="A539" s="44"/>
      <c r="B539" s="36"/>
      <c r="C539" s="36"/>
      <c r="D539" s="36"/>
      <c r="E539" s="36"/>
      <c r="F539" s="36"/>
      <c r="G539" s="36"/>
      <c r="H539" s="36"/>
      <c r="I539" s="36"/>
      <c r="J539" s="105"/>
      <c r="K539" s="36"/>
      <c r="L539" s="36"/>
      <c r="M539" s="36"/>
      <c r="N539" s="105"/>
      <c r="O539" s="36"/>
      <c r="P539" s="36"/>
      <c r="Q539" s="36"/>
      <c r="R539" s="105"/>
      <c r="S539" s="36"/>
      <c r="T539" s="36"/>
      <c r="U539" s="36"/>
      <c r="V539" s="36"/>
      <c r="W539" s="36"/>
      <c r="X539" s="36"/>
      <c r="Y539" s="36"/>
      <c r="Z539" s="36"/>
      <c r="AA539" s="36"/>
      <c r="AB539" s="42"/>
      <c r="AC539" s="42"/>
      <c r="AD539" s="36"/>
      <c r="AE539" s="36"/>
      <c r="AF539" s="42"/>
      <c r="AG539" s="42"/>
      <c r="AH539" s="36"/>
      <c r="AI539" s="36"/>
      <c r="AJ539" s="36"/>
      <c r="AK539" s="36"/>
      <c r="AL539" s="36"/>
      <c r="AM539" s="36"/>
      <c r="AN539" s="36"/>
    </row>
    <row r="540" spans="1:40" ht="15.75" x14ac:dyDescent="0.25">
      <c r="A540" s="44"/>
      <c r="B540" s="36"/>
      <c r="C540" s="36"/>
      <c r="D540" s="36"/>
      <c r="E540" s="36"/>
      <c r="F540" s="36"/>
      <c r="G540" s="36"/>
      <c r="H540" s="36"/>
      <c r="I540" s="36"/>
      <c r="J540" s="105"/>
      <c r="K540" s="36"/>
      <c r="L540" s="36"/>
      <c r="M540" s="36"/>
      <c r="N540" s="105"/>
      <c r="O540" s="36"/>
      <c r="P540" s="36"/>
      <c r="Q540" s="36"/>
      <c r="R540" s="105"/>
      <c r="S540" s="36"/>
      <c r="T540" s="36"/>
      <c r="U540" s="36"/>
      <c r="V540" s="36"/>
      <c r="W540" s="36"/>
      <c r="X540" s="36"/>
      <c r="Y540" s="36"/>
      <c r="Z540" s="36"/>
      <c r="AA540" s="36"/>
      <c r="AB540" s="42"/>
      <c r="AC540" s="42"/>
      <c r="AD540" s="36"/>
      <c r="AE540" s="36"/>
      <c r="AF540" s="42"/>
      <c r="AG540" s="42"/>
      <c r="AH540" s="36"/>
      <c r="AI540" s="36"/>
      <c r="AJ540" s="36"/>
      <c r="AK540" s="36"/>
      <c r="AL540" s="36"/>
      <c r="AM540" s="36"/>
      <c r="AN540" s="36"/>
    </row>
    <row r="541" spans="1:40" ht="15.75" x14ac:dyDescent="0.25">
      <c r="A541" s="44"/>
      <c r="B541" s="36"/>
      <c r="C541" s="36"/>
      <c r="D541" s="36"/>
      <c r="E541" s="36"/>
      <c r="F541" s="36"/>
      <c r="G541" s="36"/>
      <c r="H541" s="36"/>
      <c r="I541" s="36"/>
      <c r="J541" s="105"/>
      <c r="K541" s="36"/>
      <c r="L541" s="36"/>
      <c r="M541" s="36"/>
      <c r="N541" s="105"/>
      <c r="O541" s="36"/>
      <c r="P541" s="36"/>
      <c r="Q541" s="36"/>
      <c r="R541" s="105"/>
      <c r="S541" s="36"/>
      <c r="T541" s="36"/>
      <c r="U541" s="36"/>
      <c r="V541" s="36"/>
      <c r="W541" s="36"/>
      <c r="X541" s="36"/>
      <c r="Y541" s="36"/>
      <c r="Z541" s="36"/>
      <c r="AA541" s="36"/>
      <c r="AB541" s="42"/>
      <c r="AC541" s="42"/>
      <c r="AD541" s="36"/>
      <c r="AE541" s="36"/>
      <c r="AF541" s="42"/>
      <c r="AG541" s="42"/>
      <c r="AH541" s="36"/>
      <c r="AI541" s="36"/>
      <c r="AJ541" s="36"/>
      <c r="AK541" s="36"/>
      <c r="AL541" s="36"/>
      <c r="AM541" s="36"/>
      <c r="AN541" s="36"/>
    </row>
    <row r="542" spans="1:40" ht="15.75" x14ac:dyDescent="0.25">
      <c r="A542" s="44"/>
      <c r="B542" s="36"/>
      <c r="C542" s="36"/>
      <c r="D542" s="36"/>
      <c r="E542" s="36"/>
      <c r="F542" s="36"/>
      <c r="G542" s="36"/>
      <c r="H542" s="36"/>
      <c r="I542" s="36"/>
      <c r="J542" s="105"/>
      <c r="K542" s="36"/>
      <c r="L542" s="36"/>
      <c r="M542" s="36"/>
      <c r="N542" s="105"/>
      <c r="O542" s="36"/>
      <c r="P542" s="36"/>
      <c r="Q542" s="36"/>
      <c r="R542" s="105"/>
      <c r="S542" s="36"/>
      <c r="T542" s="36"/>
      <c r="U542" s="36"/>
      <c r="V542" s="36"/>
      <c r="W542" s="36"/>
      <c r="X542" s="36"/>
      <c r="Y542" s="36"/>
      <c r="Z542" s="36"/>
      <c r="AA542" s="36"/>
      <c r="AB542" s="42"/>
      <c r="AC542" s="42"/>
      <c r="AD542" s="36"/>
      <c r="AE542" s="36"/>
      <c r="AF542" s="42"/>
      <c r="AG542" s="42"/>
      <c r="AH542" s="36"/>
      <c r="AI542" s="36"/>
      <c r="AJ542" s="36"/>
      <c r="AK542" s="36"/>
      <c r="AL542" s="36"/>
      <c r="AM542" s="36"/>
      <c r="AN542" s="36"/>
    </row>
    <row r="543" spans="1:40" ht="15.75" x14ac:dyDescent="0.25">
      <c r="A543" s="44"/>
      <c r="B543" s="36"/>
      <c r="C543" s="36"/>
      <c r="D543" s="36"/>
      <c r="E543" s="36"/>
      <c r="F543" s="36"/>
      <c r="G543" s="36"/>
      <c r="H543" s="36"/>
      <c r="I543" s="36"/>
      <c r="J543" s="105"/>
      <c r="K543" s="36"/>
      <c r="L543" s="36"/>
      <c r="M543" s="36"/>
      <c r="N543" s="105"/>
      <c r="O543" s="36"/>
      <c r="P543" s="36"/>
      <c r="Q543" s="36"/>
      <c r="R543" s="105"/>
      <c r="S543" s="36"/>
      <c r="T543" s="36"/>
      <c r="U543" s="36"/>
      <c r="V543" s="36"/>
      <c r="W543" s="36"/>
      <c r="X543" s="36"/>
      <c r="Y543" s="36"/>
      <c r="Z543" s="36"/>
      <c r="AA543" s="36"/>
      <c r="AB543" s="42"/>
      <c r="AC543" s="42"/>
      <c r="AD543" s="36"/>
      <c r="AE543" s="36"/>
      <c r="AF543" s="42"/>
      <c r="AG543" s="42"/>
      <c r="AH543" s="36"/>
      <c r="AI543" s="36"/>
      <c r="AJ543" s="36"/>
      <c r="AK543" s="36"/>
      <c r="AL543" s="36"/>
      <c r="AM543" s="36"/>
      <c r="AN543" s="36"/>
    </row>
    <row r="544" spans="1:40" ht="15.75" x14ac:dyDescent="0.25">
      <c r="A544" s="44"/>
      <c r="B544" s="36"/>
      <c r="C544" s="36"/>
      <c r="D544" s="36"/>
      <c r="E544" s="36"/>
      <c r="F544" s="36"/>
      <c r="G544" s="36"/>
      <c r="H544" s="36"/>
      <c r="I544" s="36"/>
      <c r="J544" s="105"/>
      <c r="K544" s="36"/>
      <c r="L544" s="36"/>
      <c r="M544" s="36"/>
      <c r="N544" s="105"/>
      <c r="O544" s="36"/>
      <c r="P544" s="36"/>
      <c r="Q544" s="36"/>
      <c r="R544" s="105"/>
      <c r="S544" s="36"/>
      <c r="T544" s="36"/>
      <c r="U544" s="36"/>
      <c r="V544" s="36"/>
      <c r="W544" s="36"/>
      <c r="X544" s="36"/>
      <c r="Y544" s="36"/>
      <c r="Z544" s="36"/>
      <c r="AA544" s="36"/>
      <c r="AB544" s="42"/>
      <c r="AC544" s="42"/>
      <c r="AD544" s="36"/>
      <c r="AE544" s="36"/>
      <c r="AF544" s="42"/>
      <c r="AG544" s="42"/>
      <c r="AH544" s="36"/>
      <c r="AI544" s="36"/>
      <c r="AJ544" s="36"/>
      <c r="AK544" s="36"/>
      <c r="AL544" s="36"/>
      <c r="AM544" s="36"/>
      <c r="AN544" s="36"/>
    </row>
    <row r="545" spans="1:40" ht="15.75" x14ac:dyDescent="0.25">
      <c r="A545" s="44"/>
      <c r="B545" s="36"/>
      <c r="C545" s="36"/>
      <c r="D545" s="36"/>
      <c r="E545" s="36"/>
      <c r="F545" s="36"/>
      <c r="G545" s="36"/>
      <c r="H545" s="36"/>
      <c r="I545" s="36"/>
      <c r="J545" s="105"/>
      <c r="K545" s="36"/>
      <c r="L545" s="36"/>
      <c r="M545" s="36"/>
      <c r="N545" s="105"/>
      <c r="O545" s="36"/>
      <c r="P545" s="36"/>
      <c r="Q545" s="36"/>
      <c r="R545" s="105"/>
      <c r="S545" s="36"/>
      <c r="T545" s="36"/>
      <c r="U545" s="36"/>
      <c r="V545" s="36"/>
      <c r="W545" s="36"/>
      <c r="X545" s="36"/>
      <c r="Y545" s="36"/>
      <c r="Z545" s="36"/>
      <c r="AA545" s="36"/>
      <c r="AB545" s="42"/>
      <c r="AC545" s="42"/>
      <c r="AD545" s="36"/>
      <c r="AE545" s="36"/>
      <c r="AF545" s="42"/>
      <c r="AG545" s="42"/>
      <c r="AH545" s="36"/>
      <c r="AI545" s="36"/>
      <c r="AJ545" s="36"/>
      <c r="AK545" s="36"/>
      <c r="AL545" s="36"/>
      <c r="AM545" s="36"/>
      <c r="AN545" s="36"/>
    </row>
    <row r="546" spans="1:40" ht="15.75" x14ac:dyDescent="0.25">
      <c r="A546" s="44"/>
      <c r="B546" s="36"/>
      <c r="C546" s="36"/>
      <c r="D546" s="36"/>
      <c r="E546" s="36"/>
      <c r="F546" s="36"/>
      <c r="G546" s="36"/>
      <c r="H546" s="36"/>
      <c r="I546" s="36"/>
      <c r="J546" s="105"/>
      <c r="K546" s="36"/>
      <c r="L546" s="36"/>
      <c r="M546" s="36"/>
      <c r="N546" s="105"/>
      <c r="O546" s="36"/>
      <c r="P546" s="36"/>
      <c r="Q546" s="36"/>
      <c r="R546" s="105"/>
      <c r="S546" s="36"/>
      <c r="T546" s="36"/>
      <c r="U546" s="36"/>
      <c r="V546" s="36"/>
      <c r="W546" s="36"/>
      <c r="X546" s="36"/>
      <c r="Y546" s="36"/>
      <c r="Z546" s="36"/>
      <c r="AA546" s="36"/>
      <c r="AB546" s="42"/>
      <c r="AC546" s="42"/>
      <c r="AD546" s="36"/>
      <c r="AE546" s="36"/>
      <c r="AF546" s="42"/>
      <c r="AG546" s="42"/>
      <c r="AH546" s="36"/>
      <c r="AI546" s="36"/>
      <c r="AJ546" s="36"/>
      <c r="AK546" s="36"/>
      <c r="AL546" s="36"/>
      <c r="AM546" s="36"/>
      <c r="AN546" s="36"/>
    </row>
    <row r="547" spans="1:40" ht="15.75" x14ac:dyDescent="0.25">
      <c r="A547" s="44"/>
      <c r="B547" s="36"/>
      <c r="C547" s="36"/>
      <c r="D547" s="36"/>
      <c r="E547" s="36"/>
      <c r="F547" s="36"/>
      <c r="G547" s="36"/>
      <c r="H547" s="36"/>
      <c r="I547" s="36"/>
      <c r="J547" s="105"/>
      <c r="K547" s="36"/>
      <c r="L547" s="36"/>
      <c r="M547" s="36"/>
      <c r="N547" s="105"/>
      <c r="O547" s="36"/>
      <c r="P547" s="36"/>
      <c r="Q547" s="36"/>
      <c r="R547" s="105"/>
      <c r="S547" s="36"/>
      <c r="T547" s="36"/>
      <c r="U547" s="36"/>
      <c r="V547" s="36"/>
      <c r="W547" s="36"/>
      <c r="X547" s="36"/>
      <c r="Y547" s="36"/>
      <c r="Z547" s="36"/>
      <c r="AA547" s="36"/>
      <c r="AB547" s="42"/>
      <c r="AC547" s="42"/>
      <c r="AD547" s="36"/>
      <c r="AE547" s="36"/>
      <c r="AF547" s="42"/>
      <c r="AG547" s="42"/>
      <c r="AH547" s="36"/>
      <c r="AI547" s="36"/>
      <c r="AJ547" s="36"/>
      <c r="AK547" s="36"/>
      <c r="AL547" s="36"/>
      <c r="AM547" s="36"/>
      <c r="AN547" s="36"/>
    </row>
    <row r="548" spans="1:40" ht="15.75" x14ac:dyDescent="0.25">
      <c r="A548" s="44"/>
      <c r="B548" s="36"/>
      <c r="C548" s="36"/>
      <c r="D548" s="36"/>
      <c r="E548" s="36"/>
      <c r="F548" s="36"/>
      <c r="G548" s="36"/>
      <c r="H548" s="36"/>
      <c r="I548" s="36"/>
      <c r="J548" s="105"/>
      <c r="K548" s="36"/>
      <c r="L548" s="36"/>
      <c r="M548" s="36"/>
      <c r="N548" s="105"/>
      <c r="O548" s="36"/>
      <c r="P548" s="36"/>
      <c r="Q548" s="36"/>
      <c r="R548" s="105"/>
      <c r="S548" s="36"/>
      <c r="T548" s="36"/>
      <c r="U548" s="36"/>
      <c r="V548" s="36"/>
      <c r="W548" s="36"/>
      <c r="X548" s="36"/>
      <c r="Y548" s="36"/>
      <c r="Z548" s="36"/>
      <c r="AA548" s="36"/>
      <c r="AB548" s="42"/>
      <c r="AC548" s="42"/>
      <c r="AD548" s="36"/>
      <c r="AE548" s="36"/>
      <c r="AF548" s="42"/>
      <c r="AG548" s="42"/>
      <c r="AH548" s="36"/>
      <c r="AI548" s="36"/>
      <c r="AJ548" s="36"/>
      <c r="AK548" s="36"/>
      <c r="AL548" s="36"/>
      <c r="AM548" s="36"/>
      <c r="AN548" s="36"/>
    </row>
    <row r="549" spans="1:40" ht="15.75" x14ac:dyDescent="0.25">
      <c r="A549" s="44"/>
      <c r="B549" s="36"/>
      <c r="C549" s="36"/>
      <c r="D549" s="36"/>
      <c r="E549" s="36"/>
      <c r="F549" s="36"/>
      <c r="G549" s="36"/>
      <c r="H549" s="36"/>
      <c r="I549" s="36"/>
      <c r="J549" s="105"/>
      <c r="K549" s="36"/>
      <c r="L549" s="36"/>
      <c r="M549" s="36"/>
      <c r="N549" s="105"/>
      <c r="O549" s="36"/>
      <c r="P549" s="36"/>
      <c r="Q549" s="36"/>
      <c r="R549" s="105"/>
      <c r="S549" s="36"/>
      <c r="T549" s="36"/>
      <c r="U549" s="36"/>
      <c r="V549" s="36"/>
      <c r="W549" s="36"/>
      <c r="X549" s="36"/>
      <c r="Y549" s="36"/>
      <c r="Z549" s="36"/>
      <c r="AA549" s="36"/>
      <c r="AB549" s="42"/>
      <c r="AC549" s="42"/>
      <c r="AD549" s="36"/>
      <c r="AE549" s="36"/>
      <c r="AF549" s="42"/>
      <c r="AG549" s="42"/>
      <c r="AH549" s="36"/>
      <c r="AI549" s="36"/>
      <c r="AJ549" s="36"/>
      <c r="AK549" s="36"/>
      <c r="AL549" s="36"/>
      <c r="AM549" s="36"/>
      <c r="AN549" s="36"/>
    </row>
    <row r="550" spans="1:40" ht="15.75" x14ac:dyDescent="0.25">
      <c r="A550" s="44"/>
      <c r="B550" s="36"/>
      <c r="C550" s="36"/>
      <c r="D550" s="36"/>
      <c r="E550" s="36"/>
      <c r="F550" s="36"/>
      <c r="G550" s="36"/>
      <c r="H550" s="36"/>
      <c r="I550" s="36"/>
      <c r="J550" s="105"/>
      <c r="K550" s="36"/>
      <c r="L550" s="36"/>
      <c r="M550" s="36"/>
      <c r="N550" s="105"/>
      <c r="O550" s="36"/>
      <c r="P550" s="36"/>
      <c r="Q550" s="36"/>
      <c r="R550" s="105"/>
      <c r="S550" s="36"/>
      <c r="T550" s="36"/>
      <c r="U550" s="36"/>
      <c r="V550" s="36"/>
      <c r="W550" s="36"/>
      <c r="X550" s="36"/>
      <c r="Y550" s="36"/>
      <c r="Z550" s="36"/>
      <c r="AA550" s="36"/>
      <c r="AB550" s="42"/>
      <c r="AC550" s="42"/>
      <c r="AD550" s="36"/>
      <c r="AE550" s="36"/>
      <c r="AF550" s="42"/>
      <c r="AG550" s="42"/>
      <c r="AH550" s="36"/>
      <c r="AI550" s="36"/>
      <c r="AJ550" s="36"/>
      <c r="AK550" s="36"/>
      <c r="AL550" s="36"/>
      <c r="AM550" s="36"/>
      <c r="AN550" s="36"/>
    </row>
    <row r="551" spans="1:40" ht="15.75" x14ac:dyDescent="0.25">
      <c r="A551" s="44"/>
      <c r="B551" s="36"/>
      <c r="C551" s="36"/>
      <c r="D551" s="36"/>
      <c r="E551" s="36"/>
      <c r="F551" s="36"/>
      <c r="G551" s="36"/>
      <c r="H551" s="36"/>
      <c r="I551" s="36"/>
      <c r="J551" s="105"/>
      <c r="K551" s="36"/>
      <c r="L551" s="36"/>
      <c r="M551" s="36"/>
      <c r="N551" s="105"/>
      <c r="O551" s="36"/>
      <c r="P551" s="36"/>
      <c r="Q551" s="36"/>
      <c r="R551" s="105"/>
      <c r="S551" s="36"/>
      <c r="T551" s="36"/>
      <c r="U551" s="36"/>
      <c r="V551" s="36"/>
      <c r="W551" s="36"/>
      <c r="X551" s="36"/>
      <c r="Y551" s="36"/>
      <c r="Z551" s="36"/>
      <c r="AA551" s="36"/>
      <c r="AB551" s="42"/>
      <c r="AC551" s="42"/>
      <c r="AD551" s="36"/>
      <c r="AE551" s="36"/>
      <c r="AF551" s="42"/>
      <c r="AG551" s="42"/>
      <c r="AH551" s="36"/>
      <c r="AI551" s="36"/>
      <c r="AJ551" s="36"/>
      <c r="AK551" s="36"/>
      <c r="AL551" s="36"/>
      <c r="AM551" s="36"/>
      <c r="AN551" s="36"/>
    </row>
    <row r="552" spans="1:40" ht="15.75" x14ac:dyDescent="0.25">
      <c r="A552" s="44"/>
      <c r="B552" s="36"/>
      <c r="C552" s="36"/>
      <c r="D552" s="36"/>
      <c r="E552" s="36"/>
      <c r="F552" s="36"/>
      <c r="G552" s="36"/>
      <c r="H552" s="36"/>
      <c r="I552" s="36"/>
      <c r="J552" s="105"/>
      <c r="K552" s="36"/>
      <c r="L552" s="36"/>
      <c r="M552" s="36"/>
      <c r="N552" s="105"/>
      <c r="O552" s="36"/>
      <c r="P552" s="36"/>
      <c r="Q552" s="36"/>
      <c r="R552" s="105"/>
      <c r="S552" s="36"/>
      <c r="T552" s="36"/>
      <c r="U552" s="36"/>
      <c r="V552" s="36"/>
      <c r="W552" s="36"/>
      <c r="X552" s="36"/>
      <c r="Y552" s="36"/>
      <c r="Z552" s="36"/>
      <c r="AA552" s="36"/>
      <c r="AB552" s="42"/>
      <c r="AC552" s="42"/>
      <c r="AD552" s="36"/>
      <c r="AE552" s="36"/>
      <c r="AF552" s="42"/>
      <c r="AG552" s="42"/>
      <c r="AH552" s="36"/>
      <c r="AI552" s="36"/>
      <c r="AJ552" s="36"/>
      <c r="AK552" s="36"/>
      <c r="AL552" s="36"/>
      <c r="AM552" s="36"/>
      <c r="AN552" s="36"/>
    </row>
    <row r="553" spans="1:40" ht="15.75" x14ac:dyDescent="0.25">
      <c r="A553" s="44"/>
      <c r="B553" s="36"/>
      <c r="C553" s="36"/>
      <c r="D553" s="36"/>
      <c r="E553" s="36"/>
      <c r="F553" s="36"/>
      <c r="G553" s="36"/>
      <c r="H553" s="36"/>
      <c r="I553" s="36"/>
      <c r="J553" s="105"/>
      <c r="K553" s="36"/>
      <c r="L553" s="36"/>
      <c r="M553" s="36"/>
      <c r="N553" s="105"/>
      <c r="O553" s="36"/>
      <c r="P553" s="36"/>
      <c r="Q553" s="36"/>
      <c r="R553" s="105"/>
      <c r="S553" s="36"/>
      <c r="T553" s="36"/>
      <c r="U553" s="36"/>
      <c r="V553" s="36"/>
      <c r="W553" s="36"/>
      <c r="X553" s="36"/>
      <c r="Y553" s="36"/>
      <c r="Z553" s="36"/>
      <c r="AA553" s="36"/>
      <c r="AB553" s="42"/>
      <c r="AC553" s="42"/>
      <c r="AD553" s="36"/>
      <c r="AE553" s="36"/>
      <c r="AF553" s="42"/>
      <c r="AG553" s="42"/>
      <c r="AH553" s="36"/>
      <c r="AI553" s="36"/>
      <c r="AJ553" s="36"/>
      <c r="AK553" s="36"/>
      <c r="AL553" s="36"/>
      <c r="AM553" s="36"/>
      <c r="AN553" s="36"/>
    </row>
    <row r="554" spans="1:40" ht="15.75" x14ac:dyDescent="0.25">
      <c r="A554" s="44"/>
      <c r="B554" s="36"/>
      <c r="C554" s="36"/>
      <c r="D554" s="36"/>
      <c r="E554" s="36"/>
      <c r="F554" s="36"/>
      <c r="G554" s="36"/>
      <c r="H554" s="36"/>
      <c r="I554" s="36"/>
      <c r="J554" s="105"/>
      <c r="K554" s="36"/>
      <c r="L554" s="36"/>
      <c r="M554" s="36"/>
      <c r="N554" s="105"/>
      <c r="O554" s="36"/>
      <c r="P554" s="36"/>
      <c r="Q554" s="36"/>
      <c r="R554" s="105"/>
      <c r="S554" s="36"/>
      <c r="T554" s="36"/>
      <c r="U554" s="36"/>
      <c r="V554" s="36"/>
      <c r="W554" s="36"/>
      <c r="X554" s="36"/>
      <c r="Y554" s="36"/>
      <c r="Z554" s="36"/>
      <c r="AA554" s="36"/>
      <c r="AB554" s="42"/>
      <c r="AC554" s="42"/>
      <c r="AD554" s="36"/>
      <c r="AE554" s="36"/>
      <c r="AF554" s="42"/>
      <c r="AG554" s="42"/>
      <c r="AH554" s="36"/>
      <c r="AI554" s="36"/>
      <c r="AJ554" s="36"/>
      <c r="AK554" s="36"/>
      <c r="AL554" s="36"/>
      <c r="AM554" s="36"/>
      <c r="AN554" s="36"/>
    </row>
    <row r="555" spans="1:40" ht="15.75" x14ac:dyDescent="0.25">
      <c r="A555" s="44"/>
      <c r="B555" s="36"/>
      <c r="C555" s="36"/>
      <c r="D555" s="36"/>
      <c r="E555" s="36"/>
      <c r="F555" s="36"/>
      <c r="G555" s="36"/>
      <c r="H555" s="36"/>
      <c r="I555" s="36"/>
      <c r="J555" s="105"/>
      <c r="K555" s="36"/>
      <c r="L555" s="36"/>
      <c r="M555" s="36"/>
      <c r="N555" s="105"/>
      <c r="O555" s="36"/>
      <c r="P555" s="36"/>
      <c r="Q555" s="36"/>
      <c r="R555" s="105"/>
      <c r="S555" s="36"/>
      <c r="T555" s="36"/>
      <c r="U555" s="36"/>
      <c r="V555" s="36"/>
      <c r="W555" s="36"/>
      <c r="X555" s="36"/>
      <c r="Y555" s="36"/>
      <c r="Z555" s="36"/>
      <c r="AA555" s="36"/>
      <c r="AB555" s="42"/>
      <c r="AC555" s="42"/>
      <c r="AD555" s="36"/>
      <c r="AE555" s="36"/>
      <c r="AF555" s="42"/>
      <c r="AG555" s="42"/>
      <c r="AH555" s="36"/>
      <c r="AI555" s="36"/>
      <c r="AJ555" s="36"/>
      <c r="AK555" s="36"/>
      <c r="AL555" s="36"/>
      <c r="AM555" s="36"/>
      <c r="AN555" s="36"/>
    </row>
    <row r="556" spans="1:40" ht="15.75" x14ac:dyDescent="0.25">
      <c r="A556" s="44"/>
      <c r="B556" s="36"/>
      <c r="C556" s="36"/>
      <c r="D556" s="36"/>
      <c r="E556" s="36"/>
      <c r="F556" s="36"/>
      <c r="G556" s="36"/>
      <c r="H556" s="36"/>
      <c r="I556" s="36"/>
      <c r="J556" s="105"/>
      <c r="K556" s="36"/>
      <c r="L556" s="36"/>
      <c r="M556" s="36"/>
      <c r="N556" s="105"/>
      <c r="O556" s="36"/>
      <c r="P556" s="36"/>
      <c r="Q556" s="36"/>
      <c r="R556" s="105"/>
      <c r="S556" s="36"/>
      <c r="T556" s="36"/>
      <c r="U556" s="36"/>
      <c r="V556" s="36"/>
      <c r="W556" s="36"/>
      <c r="X556" s="36"/>
      <c r="Y556" s="36"/>
      <c r="Z556" s="36"/>
      <c r="AA556" s="36"/>
      <c r="AB556" s="42"/>
      <c r="AC556" s="42"/>
      <c r="AD556" s="36"/>
      <c r="AE556" s="36"/>
      <c r="AF556" s="42"/>
      <c r="AG556" s="42"/>
      <c r="AH556" s="36"/>
      <c r="AI556" s="36"/>
      <c r="AJ556" s="36"/>
      <c r="AK556" s="36"/>
      <c r="AL556" s="36"/>
      <c r="AM556" s="36"/>
      <c r="AN556" s="36"/>
    </row>
    <row r="557" spans="1:40" ht="15.75" x14ac:dyDescent="0.25">
      <c r="A557" s="44"/>
      <c r="B557" s="36"/>
      <c r="C557" s="36"/>
      <c r="D557" s="36"/>
      <c r="E557" s="36"/>
      <c r="F557" s="36"/>
      <c r="G557" s="36"/>
      <c r="H557" s="36"/>
      <c r="I557" s="36"/>
      <c r="J557" s="105"/>
      <c r="K557" s="36"/>
      <c r="L557" s="36"/>
      <c r="M557" s="36"/>
      <c r="N557" s="105"/>
      <c r="O557" s="36"/>
      <c r="P557" s="36"/>
      <c r="Q557" s="36"/>
      <c r="R557" s="105"/>
      <c r="S557" s="36"/>
      <c r="T557" s="36"/>
      <c r="U557" s="36"/>
      <c r="V557" s="36"/>
      <c r="W557" s="36"/>
      <c r="X557" s="36"/>
      <c r="Y557" s="36"/>
      <c r="Z557" s="36"/>
      <c r="AA557" s="36"/>
      <c r="AB557" s="42"/>
      <c r="AC557" s="42"/>
      <c r="AD557" s="36"/>
      <c r="AE557" s="36"/>
      <c r="AF557" s="42"/>
      <c r="AG557" s="42"/>
      <c r="AH557" s="36"/>
      <c r="AI557" s="36"/>
      <c r="AJ557" s="36"/>
      <c r="AK557" s="36"/>
      <c r="AL557" s="36"/>
      <c r="AM557" s="36"/>
      <c r="AN557" s="36"/>
    </row>
    <row r="558" spans="1:40" ht="15.75" x14ac:dyDescent="0.25">
      <c r="A558" s="44"/>
      <c r="B558" s="36"/>
      <c r="C558" s="36"/>
      <c r="D558" s="36"/>
      <c r="E558" s="36"/>
      <c r="F558" s="36"/>
      <c r="G558" s="36"/>
      <c r="H558" s="36"/>
      <c r="I558" s="36"/>
      <c r="J558" s="105"/>
      <c r="K558" s="36"/>
      <c r="L558" s="36"/>
      <c r="M558" s="36"/>
      <c r="N558" s="105"/>
      <c r="O558" s="36"/>
      <c r="P558" s="36"/>
      <c r="Q558" s="36"/>
      <c r="R558" s="105"/>
      <c r="S558" s="36"/>
      <c r="T558" s="36"/>
      <c r="U558" s="36"/>
      <c r="V558" s="36"/>
      <c r="W558" s="36"/>
      <c r="X558" s="36"/>
      <c r="Y558" s="36"/>
      <c r="Z558" s="36"/>
      <c r="AA558" s="36"/>
      <c r="AB558" s="42"/>
      <c r="AC558" s="42"/>
      <c r="AD558" s="36"/>
      <c r="AE558" s="36"/>
      <c r="AF558" s="42"/>
      <c r="AG558" s="42"/>
      <c r="AH558" s="36"/>
      <c r="AI558" s="36"/>
      <c r="AJ558" s="36"/>
      <c r="AK558" s="36"/>
      <c r="AL558" s="36"/>
      <c r="AM558" s="36"/>
      <c r="AN558" s="36"/>
    </row>
    <row r="559" spans="1:40" ht="15.75" x14ac:dyDescent="0.25">
      <c r="A559" s="44"/>
      <c r="B559" s="36"/>
      <c r="C559" s="36"/>
      <c r="D559" s="36"/>
      <c r="E559" s="36"/>
      <c r="F559" s="36"/>
      <c r="G559" s="36"/>
      <c r="H559" s="36"/>
      <c r="I559" s="36"/>
      <c r="J559" s="105"/>
      <c r="K559" s="36"/>
      <c r="L559" s="36"/>
      <c r="M559" s="36"/>
      <c r="N559" s="105"/>
      <c r="O559" s="36"/>
      <c r="P559" s="36"/>
      <c r="Q559" s="36"/>
      <c r="R559" s="105"/>
      <c r="S559" s="36"/>
      <c r="T559" s="36"/>
      <c r="U559" s="36"/>
      <c r="V559" s="36"/>
      <c r="W559" s="36"/>
      <c r="X559" s="36"/>
      <c r="Y559" s="36"/>
      <c r="Z559" s="36"/>
      <c r="AA559" s="36"/>
      <c r="AB559" s="42"/>
      <c r="AC559" s="42"/>
      <c r="AD559" s="36"/>
      <c r="AE559" s="36"/>
      <c r="AF559" s="42"/>
      <c r="AG559" s="42"/>
      <c r="AH559" s="36"/>
      <c r="AI559" s="36"/>
      <c r="AJ559" s="36"/>
      <c r="AK559" s="36"/>
      <c r="AL559" s="36"/>
      <c r="AM559" s="36"/>
      <c r="AN559" s="36"/>
    </row>
    <row r="560" spans="1:40" ht="15.75" x14ac:dyDescent="0.25">
      <c r="A560" s="44"/>
      <c r="B560" s="36"/>
      <c r="C560" s="36"/>
      <c r="D560" s="36"/>
      <c r="E560" s="36"/>
      <c r="F560" s="36"/>
      <c r="G560" s="36"/>
      <c r="H560" s="36"/>
      <c r="I560" s="36"/>
      <c r="J560" s="105"/>
      <c r="K560" s="36"/>
      <c r="L560" s="36"/>
      <c r="M560" s="36"/>
      <c r="N560" s="105"/>
      <c r="O560" s="36"/>
      <c r="P560" s="36"/>
      <c r="Q560" s="36"/>
      <c r="R560" s="105"/>
      <c r="S560" s="36"/>
      <c r="T560" s="36"/>
      <c r="U560" s="36"/>
      <c r="V560" s="36"/>
      <c r="W560" s="36"/>
      <c r="X560" s="36"/>
      <c r="Y560" s="36"/>
      <c r="Z560" s="36"/>
      <c r="AA560" s="36"/>
      <c r="AB560" s="42"/>
      <c r="AC560" s="42"/>
      <c r="AD560" s="36"/>
      <c r="AE560" s="36"/>
      <c r="AF560" s="42"/>
      <c r="AG560" s="42"/>
      <c r="AH560" s="36"/>
      <c r="AI560" s="36"/>
      <c r="AJ560" s="36"/>
      <c r="AK560" s="36"/>
      <c r="AL560" s="36"/>
      <c r="AM560" s="36"/>
      <c r="AN560" s="36"/>
    </row>
    <row r="561" spans="1:40" ht="15.75" x14ac:dyDescent="0.25">
      <c r="A561" s="44"/>
      <c r="B561" s="36"/>
      <c r="C561" s="36"/>
      <c r="D561" s="36"/>
      <c r="E561" s="36"/>
      <c r="F561" s="36"/>
      <c r="G561" s="36"/>
      <c r="H561" s="36"/>
      <c r="I561" s="36"/>
      <c r="J561" s="105"/>
      <c r="K561" s="36"/>
      <c r="L561" s="36"/>
      <c r="M561" s="36"/>
      <c r="N561" s="105"/>
      <c r="O561" s="36"/>
      <c r="P561" s="36"/>
      <c r="Q561" s="36"/>
      <c r="R561" s="105"/>
      <c r="S561" s="36"/>
      <c r="T561" s="36"/>
      <c r="U561" s="36"/>
      <c r="V561" s="36"/>
      <c r="W561" s="36"/>
      <c r="X561" s="36"/>
      <c r="Y561" s="36"/>
      <c r="Z561" s="36"/>
      <c r="AA561" s="36"/>
      <c r="AB561" s="42"/>
      <c r="AC561" s="42"/>
      <c r="AD561" s="36"/>
      <c r="AE561" s="36"/>
      <c r="AF561" s="42"/>
      <c r="AG561" s="42"/>
      <c r="AH561" s="36"/>
      <c r="AI561" s="36"/>
      <c r="AJ561" s="36"/>
      <c r="AK561" s="36"/>
      <c r="AL561" s="36"/>
      <c r="AM561" s="36"/>
      <c r="AN561" s="36"/>
    </row>
    <row r="562" spans="1:40" ht="15.75" x14ac:dyDescent="0.25">
      <c r="A562" s="44"/>
      <c r="B562" s="36"/>
      <c r="C562" s="36"/>
      <c r="D562" s="36"/>
      <c r="E562" s="36"/>
      <c r="F562" s="36"/>
      <c r="G562" s="36"/>
      <c r="H562" s="36"/>
      <c r="I562" s="36"/>
      <c r="J562" s="105"/>
      <c r="K562" s="36"/>
      <c r="L562" s="36"/>
      <c r="M562" s="36"/>
      <c r="N562" s="105"/>
      <c r="O562" s="36"/>
      <c r="P562" s="36"/>
      <c r="Q562" s="36"/>
      <c r="R562" s="105"/>
      <c r="S562" s="36"/>
      <c r="T562" s="36"/>
      <c r="U562" s="36"/>
      <c r="V562" s="36"/>
      <c r="W562" s="36"/>
      <c r="X562" s="36"/>
      <c r="Y562" s="36"/>
      <c r="Z562" s="36"/>
      <c r="AA562" s="36"/>
      <c r="AB562" s="42"/>
      <c r="AC562" s="42"/>
      <c r="AD562" s="36"/>
      <c r="AE562" s="36"/>
      <c r="AF562" s="42"/>
      <c r="AG562" s="42"/>
      <c r="AH562" s="36"/>
      <c r="AI562" s="36"/>
      <c r="AJ562" s="36"/>
      <c r="AK562" s="36"/>
      <c r="AL562" s="36"/>
      <c r="AM562" s="36"/>
      <c r="AN562" s="36"/>
    </row>
    <row r="563" spans="1:40" ht="15.75" x14ac:dyDescent="0.25">
      <c r="A563" s="44"/>
      <c r="B563" s="36"/>
      <c r="C563" s="36"/>
      <c r="D563" s="36"/>
      <c r="E563" s="36"/>
      <c r="F563" s="36"/>
      <c r="G563" s="36"/>
      <c r="H563" s="36"/>
      <c r="I563" s="36"/>
      <c r="J563" s="105"/>
      <c r="K563" s="36"/>
      <c r="L563" s="36"/>
      <c r="M563" s="36"/>
      <c r="N563" s="105"/>
      <c r="O563" s="36"/>
      <c r="P563" s="36"/>
      <c r="Q563" s="36"/>
      <c r="R563" s="105"/>
      <c r="S563" s="36"/>
      <c r="T563" s="36"/>
      <c r="U563" s="36"/>
      <c r="V563" s="36"/>
      <c r="W563" s="36"/>
      <c r="X563" s="36"/>
      <c r="Y563" s="36"/>
      <c r="Z563" s="36"/>
      <c r="AA563" s="36"/>
      <c r="AB563" s="42"/>
      <c r="AC563" s="42"/>
      <c r="AD563" s="36"/>
      <c r="AE563" s="36"/>
      <c r="AF563" s="42"/>
      <c r="AG563" s="42"/>
      <c r="AH563" s="36"/>
      <c r="AI563" s="36"/>
      <c r="AJ563" s="36"/>
      <c r="AK563" s="36"/>
      <c r="AL563" s="36"/>
      <c r="AM563" s="36"/>
      <c r="AN563" s="36"/>
    </row>
    <row r="564" spans="1:40" ht="15.75" x14ac:dyDescent="0.25">
      <c r="A564" s="44"/>
      <c r="B564" s="36"/>
      <c r="C564" s="36"/>
      <c r="D564" s="36"/>
      <c r="E564" s="36"/>
      <c r="F564" s="36"/>
      <c r="G564" s="36"/>
      <c r="H564" s="36"/>
      <c r="I564" s="36"/>
      <c r="J564" s="105"/>
      <c r="K564" s="36"/>
      <c r="L564" s="36"/>
      <c r="M564" s="36"/>
      <c r="N564" s="105"/>
      <c r="O564" s="36"/>
      <c r="P564" s="36"/>
      <c r="Q564" s="36"/>
      <c r="R564" s="105"/>
      <c r="S564" s="36"/>
      <c r="T564" s="36"/>
      <c r="U564" s="36"/>
      <c r="V564" s="36"/>
      <c r="W564" s="36"/>
      <c r="X564" s="36"/>
      <c r="Y564" s="36"/>
      <c r="Z564" s="36"/>
      <c r="AA564" s="36"/>
      <c r="AB564" s="42"/>
      <c r="AC564" s="42"/>
      <c r="AD564" s="36"/>
      <c r="AE564" s="36"/>
      <c r="AF564" s="42"/>
      <c r="AG564" s="42"/>
      <c r="AH564" s="36"/>
      <c r="AI564" s="36"/>
      <c r="AJ564" s="36"/>
      <c r="AK564" s="36"/>
      <c r="AL564" s="36"/>
      <c r="AM564" s="36"/>
      <c r="AN564" s="36"/>
    </row>
    <row r="565" spans="1:40" ht="15.75" x14ac:dyDescent="0.25">
      <c r="A565" s="44"/>
      <c r="B565" s="36"/>
      <c r="C565" s="36"/>
      <c r="D565" s="36"/>
      <c r="E565" s="36"/>
      <c r="F565" s="36"/>
      <c r="G565" s="36"/>
      <c r="H565" s="36"/>
      <c r="I565" s="36"/>
      <c r="J565" s="105"/>
      <c r="K565" s="36"/>
      <c r="L565" s="36"/>
      <c r="M565" s="36"/>
      <c r="N565" s="105"/>
      <c r="O565" s="36"/>
      <c r="P565" s="36"/>
      <c r="Q565" s="36"/>
      <c r="R565" s="105"/>
      <c r="S565" s="36"/>
      <c r="T565" s="36"/>
      <c r="U565" s="36"/>
      <c r="V565" s="36"/>
      <c r="W565" s="36"/>
      <c r="X565" s="36"/>
      <c r="Y565" s="36"/>
      <c r="Z565" s="36"/>
      <c r="AA565" s="36"/>
      <c r="AB565" s="42"/>
      <c r="AC565" s="42"/>
      <c r="AD565" s="36"/>
      <c r="AE565" s="36"/>
      <c r="AF565" s="42"/>
      <c r="AG565" s="42"/>
      <c r="AH565" s="36"/>
      <c r="AI565" s="36"/>
      <c r="AJ565" s="36"/>
      <c r="AK565" s="36"/>
      <c r="AL565" s="36"/>
      <c r="AM565" s="36"/>
      <c r="AN565" s="36"/>
    </row>
    <row r="566" spans="1:40" ht="15.75" x14ac:dyDescent="0.25">
      <c r="A566" s="44"/>
      <c r="B566" s="36"/>
      <c r="C566" s="36"/>
      <c r="D566" s="36"/>
      <c r="E566" s="36"/>
      <c r="F566" s="36"/>
      <c r="G566" s="36"/>
      <c r="H566" s="36"/>
      <c r="I566" s="36"/>
      <c r="J566" s="105"/>
      <c r="K566" s="36"/>
      <c r="L566" s="36"/>
      <c r="M566" s="36"/>
      <c r="N566" s="105"/>
      <c r="O566" s="36"/>
      <c r="P566" s="36"/>
      <c r="Q566" s="36"/>
      <c r="R566" s="105"/>
      <c r="S566" s="36"/>
      <c r="T566" s="36"/>
      <c r="U566" s="36"/>
      <c r="V566" s="36"/>
      <c r="W566" s="36"/>
      <c r="X566" s="36"/>
      <c r="Y566" s="36"/>
      <c r="Z566" s="36"/>
      <c r="AA566" s="36"/>
      <c r="AB566" s="42"/>
      <c r="AC566" s="42"/>
      <c r="AD566" s="36"/>
      <c r="AE566" s="36"/>
      <c r="AF566" s="42"/>
      <c r="AG566" s="42"/>
      <c r="AH566" s="36"/>
      <c r="AI566" s="36"/>
      <c r="AJ566" s="36"/>
      <c r="AK566" s="36"/>
      <c r="AL566" s="36"/>
      <c r="AM566" s="36"/>
      <c r="AN566" s="36"/>
    </row>
    <row r="567" spans="1:40" ht="15.75" x14ac:dyDescent="0.25">
      <c r="A567" s="44"/>
      <c r="B567" s="36"/>
      <c r="C567" s="36"/>
      <c r="D567" s="36"/>
      <c r="E567" s="36"/>
      <c r="F567" s="36"/>
      <c r="G567" s="36"/>
      <c r="H567" s="36"/>
      <c r="I567" s="36"/>
      <c r="J567" s="105"/>
      <c r="K567" s="36"/>
      <c r="L567" s="36"/>
      <c r="M567" s="36"/>
      <c r="N567" s="105"/>
      <c r="O567" s="36"/>
      <c r="P567" s="36"/>
      <c r="Q567" s="36"/>
      <c r="R567" s="105"/>
      <c r="S567" s="36"/>
      <c r="T567" s="36"/>
      <c r="U567" s="36"/>
      <c r="V567" s="36"/>
      <c r="W567" s="36"/>
      <c r="X567" s="36"/>
      <c r="Y567" s="36"/>
      <c r="Z567" s="36"/>
      <c r="AA567" s="36"/>
      <c r="AB567" s="42"/>
      <c r="AC567" s="42"/>
      <c r="AD567" s="36"/>
      <c r="AE567" s="36"/>
      <c r="AF567" s="42"/>
      <c r="AG567" s="42"/>
      <c r="AH567" s="36"/>
      <c r="AI567" s="36"/>
      <c r="AJ567" s="36"/>
      <c r="AK567" s="36"/>
      <c r="AL567" s="36"/>
      <c r="AM567" s="36"/>
      <c r="AN567" s="36"/>
    </row>
    <row r="568" spans="1:40" ht="15.75" x14ac:dyDescent="0.25">
      <c r="A568" s="44"/>
      <c r="B568" s="36"/>
      <c r="C568" s="36"/>
      <c r="D568" s="36"/>
      <c r="E568" s="36"/>
      <c r="F568" s="36"/>
      <c r="G568" s="36"/>
      <c r="H568" s="36"/>
      <c r="I568" s="36"/>
      <c r="J568" s="105"/>
      <c r="K568" s="36"/>
      <c r="L568" s="36"/>
      <c r="M568" s="36"/>
      <c r="N568" s="105"/>
      <c r="O568" s="36"/>
      <c r="P568" s="36"/>
      <c r="Q568" s="36"/>
      <c r="R568" s="105"/>
      <c r="S568" s="36"/>
      <c r="T568" s="36"/>
      <c r="U568" s="36"/>
      <c r="V568" s="36"/>
      <c r="W568" s="36"/>
      <c r="X568" s="36"/>
      <c r="Y568" s="36"/>
      <c r="Z568" s="36"/>
      <c r="AA568" s="36"/>
      <c r="AB568" s="42"/>
      <c r="AC568" s="42"/>
      <c r="AD568" s="36"/>
      <c r="AE568" s="36"/>
      <c r="AF568" s="42"/>
      <c r="AG568" s="42"/>
      <c r="AH568" s="36"/>
      <c r="AI568" s="36"/>
      <c r="AJ568" s="36"/>
      <c r="AK568" s="36"/>
      <c r="AL568" s="36"/>
      <c r="AM568" s="36"/>
      <c r="AN568" s="36"/>
    </row>
    <row r="569" spans="1:40" ht="15.75" x14ac:dyDescent="0.25">
      <c r="A569" s="44"/>
      <c r="B569" s="36"/>
      <c r="C569" s="36"/>
      <c r="D569" s="36"/>
      <c r="E569" s="36"/>
      <c r="F569" s="36"/>
      <c r="G569" s="36"/>
      <c r="H569" s="36"/>
      <c r="I569" s="36"/>
      <c r="J569" s="105"/>
      <c r="K569" s="36"/>
      <c r="L569" s="36"/>
      <c r="M569" s="36"/>
      <c r="N569" s="105"/>
      <c r="O569" s="36"/>
      <c r="P569" s="36"/>
      <c r="Q569" s="36"/>
      <c r="R569" s="105"/>
      <c r="S569" s="36"/>
      <c r="T569" s="36"/>
      <c r="U569" s="36"/>
      <c r="V569" s="36"/>
      <c r="W569" s="36"/>
      <c r="X569" s="36"/>
      <c r="Y569" s="36"/>
      <c r="Z569" s="36"/>
      <c r="AA569" s="36"/>
      <c r="AB569" s="42"/>
      <c r="AC569" s="42"/>
      <c r="AD569" s="36"/>
      <c r="AE569" s="36"/>
      <c r="AF569" s="42"/>
      <c r="AG569" s="42"/>
      <c r="AH569" s="36"/>
      <c r="AI569" s="36"/>
      <c r="AJ569" s="36"/>
      <c r="AK569" s="36"/>
      <c r="AL569" s="36"/>
      <c r="AM569" s="36"/>
      <c r="AN569" s="36"/>
    </row>
    <row r="570" spans="1:40" ht="15.75" x14ac:dyDescent="0.25">
      <c r="A570" s="44"/>
      <c r="B570" s="36"/>
      <c r="C570" s="36"/>
      <c r="D570" s="36"/>
      <c r="E570" s="36"/>
      <c r="F570" s="36"/>
      <c r="G570" s="36"/>
      <c r="H570" s="36"/>
      <c r="I570" s="36"/>
      <c r="J570" s="105"/>
      <c r="K570" s="36"/>
      <c r="L570" s="36"/>
      <c r="M570" s="36"/>
      <c r="N570" s="105"/>
      <c r="O570" s="36"/>
      <c r="P570" s="36"/>
      <c r="Q570" s="36"/>
      <c r="R570" s="105"/>
      <c r="S570" s="36"/>
      <c r="T570" s="36"/>
      <c r="U570" s="36"/>
      <c r="V570" s="36"/>
      <c r="W570" s="36"/>
      <c r="X570" s="36"/>
      <c r="Y570" s="36"/>
      <c r="Z570" s="36"/>
      <c r="AA570" s="36"/>
      <c r="AB570" s="42"/>
      <c r="AC570" s="42"/>
      <c r="AD570" s="36"/>
      <c r="AE570" s="36"/>
      <c r="AF570" s="42"/>
      <c r="AG570" s="42"/>
      <c r="AH570" s="36"/>
      <c r="AI570" s="36"/>
      <c r="AJ570" s="36"/>
      <c r="AK570" s="36"/>
      <c r="AL570" s="36"/>
      <c r="AM570" s="36"/>
      <c r="AN570" s="36"/>
    </row>
    <row r="571" spans="1:40" ht="15.75" x14ac:dyDescent="0.25">
      <c r="A571" s="44"/>
      <c r="B571" s="36"/>
      <c r="C571" s="36"/>
      <c r="D571" s="36"/>
      <c r="E571" s="36"/>
      <c r="F571" s="36"/>
      <c r="G571" s="36"/>
      <c r="H571" s="36"/>
      <c r="I571" s="36"/>
      <c r="J571" s="105"/>
      <c r="K571" s="36"/>
      <c r="L571" s="36"/>
      <c r="M571" s="36"/>
      <c r="N571" s="105"/>
      <c r="O571" s="36"/>
      <c r="P571" s="36"/>
      <c r="Q571" s="36"/>
      <c r="R571" s="105"/>
      <c r="S571" s="36"/>
      <c r="T571" s="36"/>
      <c r="U571" s="36"/>
      <c r="V571" s="36"/>
      <c r="W571" s="36"/>
      <c r="X571" s="36"/>
      <c r="Y571" s="36"/>
      <c r="Z571" s="36"/>
      <c r="AA571" s="36"/>
      <c r="AB571" s="42"/>
      <c r="AC571" s="42"/>
      <c r="AD571" s="36"/>
      <c r="AE571" s="36"/>
      <c r="AF571" s="42"/>
      <c r="AG571" s="42"/>
      <c r="AH571" s="36"/>
      <c r="AI571" s="36"/>
      <c r="AJ571" s="36"/>
      <c r="AK571" s="36"/>
      <c r="AL571" s="36"/>
      <c r="AM571" s="36"/>
      <c r="AN571" s="36"/>
    </row>
    <row r="572" spans="1:40" ht="15.75" x14ac:dyDescent="0.25">
      <c r="A572" s="44"/>
      <c r="B572" s="36"/>
      <c r="C572" s="36"/>
      <c r="D572" s="36"/>
      <c r="E572" s="36"/>
      <c r="F572" s="36"/>
      <c r="G572" s="36"/>
      <c r="H572" s="36"/>
      <c r="I572" s="36"/>
      <c r="J572" s="105"/>
      <c r="K572" s="36"/>
      <c r="L572" s="36"/>
      <c r="M572" s="36"/>
      <c r="N572" s="105"/>
      <c r="O572" s="36"/>
      <c r="P572" s="36"/>
      <c r="Q572" s="36"/>
      <c r="R572" s="105"/>
      <c r="S572" s="36"/>
      <c r="T572" s="36"/>
      <c r="U572" s="36"/>
      <c r="V572" s="36"/>
      <c r="W572" s="36"/>
      <c r="X572" s="36"/>
      <c r="Y572" s="36"/>
      <c r="Z572" s="36"/>
      <c r="AA572" s="36"/>
      <c r="AB572" s="42"/>
      <c r="AC572" s="42"/>
      <c r="AD572" s="36"/>
      <c r="AE572" s="36"/>
      <c r="AF572" s="42"/>
      <c r="AG572" s="42"/>
      <c r="AH572" s="36"/>
      <c r="AI572" s="36"/>
      <c r="AJ572" s="36"/>
      <c r="AK572" s="36"/>
      <c r="AL572" s="36"/>
      <c r="AM572" s="36"/>
      <c r="AN572" s="36"/>
    </row>
    <row r="573" spans="1:40" ht="15.75" x14ac:dyDescent="0.25">
      <c r="A573" s="44"/>
      <c r="B573" s="36"/>
      <c r="C573" s="36"/>
      <c r="D573" s="36"/>
      <c r="E573" s="36"/>
      <c r="F573" s="36"/>
      <c r="G573" s="36"/>
      <c r="H573" s="36"/>
      <c r="I573" s="36"/>
      <c r="J573" s="105"/>
      <c r="K573" s="36"/>
      <c r="L573" s="36"/>
      <c r="M573" s="36"/>
      <c r="N573" s="105"/>
      <c r="O573" s="36"/>
      <c r="P573" s="36"/>
      <c r="Q573" s="36"/>
      <c r="R573" s="105"/>
      <c r="S573" s="36"/>
      <c r="T573" s="36"/>
      <c r="U573" s="36"/>
      <c r="V573" s="36"/>
      <c r="W573" s="36"/>
      <c r="X573" s="36"/>
      <c r="Y573" s="36"/>
      <c r="Z573" s="36"/>
      <c r="AA573" s="36"/>
      <c r="AB573" s="42"/>
      <c r="AC573" s="42"/>
      <c r="AD573" s="36"/>
      <c r="AE573" s="36"/>
      <c r="AF573" s="42"/>
      <c r="AG573" s="42"/>
      <c r="AH573" s="36"/>
      <c r="AI573" s="36"/>
      <c r="AJ573" s="36"/>
      <c r="AK573" s="36"/>
      <c r="AL573" s="36"/>
      <c r="AM573" s="36"/>
      <c r="AN573" s="36"/>
    </row>
    <row r="574" spans="1:40" ht="15.75" x14ac:dyDescent="0.25">
      <c r="A574" s="44"/>
      <c r="B574" s="36"/>
      <c r="C574" s="36"/>
      <c r="D574" s="36"/>
      <c r="E574" s="36"/>
      <c r="F574" s="36"/>
      <c r="G574" s="36"/>
      <c r="H574" s="36"/>
      <c r="I574" s="36"/>
      <c r="J574" s="105"/>
      <c r="K574" s="36"/>
      <c r="L574" s="36"/>
      <c r="M574" s="36"/>
      <c r="N574" s="105"/>
      <c r="O574" s="36"/>
      <c r="P574" s="36"/>
      <c r="Q574" s="36"/>
      <c r="R574" s="105"/>
      <c r="S574" s="36"/>
      <c r="T574" s="36"/>
      <c r="U574" s="36"/>
      <c r="V574" s="36"/>
      <c r="W574" s="36"/>
      <c r="X574" s="36"/>
      <c r="Y574" s="36"/>
      <c r="Z574" s="36"/>
      <c r="AA574" s="36"/>
      <c r="AB574" s="42"/>
      <c r="AC574" s="42"/>
      <c r="AD574" s="36"/>
      <c r="AE574" s="36"/>
      <c r="AF574" s="42"/>
      <c r="AG574" s="42"/>
      <c r="AH574" s="36"/>
      <c r="AI574" s="36"/>
      <c r="AJ574" s="36"/>
      <c r="AK574" s="36"/>
      <c r="AL574" s="36"/>
      <c r="AM574" s="36"/>
      <c r="AN574" s="36"/>
    </row>
    <row r="575" spans="1:40" ht="15.75" x14ac:dyDescent="0.25">
      <c r="A575" s="44"/>
      <c r="B575" s="36"/>
      <c r="C575" s="36"/>
      <c r="D575" s="36"/>
      <c r="E575" s="36"/>
      <c r="F575" s="36"/>
      <c r="G575" s="36"/>
      <c r="H575" s="36"/>
      <c r="I575" s="36"/>
      <c r="J575" s="105"/>
      <c r="K575" s="36"/>
      <c r="L575" s="36"/>
      <c r="M575" s="36"/>
      <c r="N575" s="105"/>
      <c r="O575" s="36"/>
      <c r="P575" s="36"/>
      <c r="Q575" s="36"/>
      <c r="R575" s="105"/>
      <c r="S575" s="36"/>
      <c r="T575" s="36"/>
      <c r="U575" s="36"/>
      <c r="V575" s="36"/>
      <c r="W575" s="36"/>
      <c r="X575" s="36"/>
      <c r="Y575" s="36"/>
      <c r="Z575" s="36"/>
      <c r="AA575" s="36"/>
      <c r="AB575" s="42"/>
      <c r="AC575" s="42"/>
      <c r="AD575" s="36"/>
      <c r="AE575" s="36"/>
      <c r="AF575" s="42"/>
      <c r="AG575" s="42"/>
      <c r="AH575" s="36"/>
      <c r="AI575" s="36"/>
      <c r="AJ575" s="36"/>
      <c r="AK575" s="36"/>
      <c r="AL575" s="36"/>
      <c r="AM575" s="36"/>
      <c r="AN575" s="36"/>
    </row>
    <row r="576" spans="1:40" ht="15.75" x14ac:dyDescent="0.25">
      <c r="A576" s="44"/>
      <c r="B576" s="36"/>
      <c r="C576" s="36"/>
      <c r="D576" s="36"/>
      <c r="E576" s="36"/>
      <c r="F576" s="36"/>
      <c r="G576" s="36"/>
      <c r="H576" s="36"/>
      <c r="I576" s="36"/>
      <c r="J576" s="105"/>
      <c r="K576" s="36"/>
      <c r="L576" s="36"/>
      <c r="M576" s="36"/>
      <c r="N576" s="105"/>
      <c r="O576" s="36"/>
      <c r="P576" s="36"/>
      <c r="Q576" s="36"/>
      <c r="R576" s="105"/>
      <c r="S576" s="36"/>
      <c r="T576" s="36"/>
      <c r="U576" s="36"/>
      <c r="V576" s="36"/>
      <c r="W576" s="36"/>
      <c r="X576" s="36"/>
      <c r="Y576" s="36"/>
      <c r="Z576" s="36"/>
      <c r="AA576" s="36"/>
      <c r="AB576" s="42"/>
      <c r="AC576" s="42"/>
      <c r="AD576" s="36"/>
      <c r="AE576" s="36"/>
      <c r="AF576" s="42"/>
      <c r="AG576" s="42"/>
      <c r="AH576" s="36"/>
      <c r="AI576" s="36"/>
      <c r="AJ576" s="36"/>
      <c r="AK576" s="36"/>
      <c r="AL576" s="36"/>
      <c r="AM576" s="36"/>
      <c r="AN576" s="36"/>
    </row>
    <row r="577" spans="1:40" ht="15.75" x14ac:dyDescent="0.25">
      <c r="A577" s="44"/>
      <c r="B577" s="36"/>
      <c r="C577" s="36"/>
      <c r="D577" s="36"/>
      <c r="E577" s="36"/>
      <c r="F577" s="36"/>
      <c r="G577" s="36"/>
      <c r="H577" s="36"/>
      <c r="I577" s="36"/>
      <c r="J577" s="105"/>
      <c r="K577" s="36"/>
      <c r="L577" s="36"/>
      <c r="M577" s="36"/>
      <c r="N577" s="105"/>
      <c r="O577" s="36"/>
      <c r="P577" s="36"/>
      <c r="Q577" s="36"/>
      <c r="R577" s="105"/>
      <c r="S577" s="36"/>
      <c r="T577" s="36"/>
      <c r="U577" s="36"/>
      <c r="V577" s="36"/>
      <c r="W577" s="36"/>
      <c r="X577" s="36"/>
      <c r="Y577" s="36"/>
      <c r="Z577" s="36"/>
      <c r="AA577" s="36"/>
      <c r="AB577" s="42"/>
      <c r="AC577" s="42"/>
      <c r="AD577" s="36"/>
      <c r="AE577" s="36"/>
      <c r="AF577" s="42"/>
      <c r="AG577" s="42"/>
      <c r="AH577" s="36"/>
      <c r="AI577" s="36"/>
      <c r="AJ577" s="36"/>
      <c r="AK577" s="36"/>
      <c r="AL577" s="36"/>
      <c r="AM577" s="36"/>
      <c r="AN577" s="36"/>
    </row>
    <row r="578" spans="1:40" ht="15.75" x14ac:dyDescent="0.25">
      <c r="A578" s="44"/>
      <c r="B578" s="36"/>
      <c r="C578" s="36"/>
      <c r="D578" s="36"/>
      <c r="E578" s="36"/>
      <c r="F578" s="36"/>
      <c r="G578" s="36"/>
      <c r="H578" s="36"/>
      <c r="I578" s="36"/>
      <c r="J578" s="105"/>
      <c r="K578" s="36"/>
      <c r="L578" s="36"/>
      <c r="M578" s="36"/>
      <c r="N578" s="105"/>
      <c r="O578" s="36"/>
      <c r="P578" s="36"/>
      <c r="Q578" s="36"/>
      <c r="R578" s="105"/>
      <c r="S578" s="36"/>
      <c r="T578" s="36"/>
      <c r="U578" s="36"/>
      <c r="V578" s="36"/>
      <c r="W578" s="36"/>
      <c r="X578" s="36"/>
      <c r="Y578" s="36"/>
      <c r="Z578" s="36"/>
      <c r="AA578" s="36"/>
      <c r="AB578" s="42"/>
      <c r="AC578" s="42"/>
      <c r="AD578" s="36"/>
      <c r="AE578" s="36"/>
      <c r="AF578" s="42"/>
      <c r="AG578" s="42"/>
      <c r="AH578" s="36"/>
      <c r="AI578" s="36"/>
      <c r="AJ578" s="36"/>
      <c r="AK578" s="36"/>
      <c r="AL578" s="36"/>
      <c r="AM578" s="36"/>
      <c r="AN578" s="36"/>
    </row>
    <row r="579" spans="1:40" ht="15.75" x14ac:dyDescent="0.25">
      <c r="A579" s="44"/>
      <c r="B579" s="36"/>
      <c r="C579" s="36"/>
      <c r="D579" s="36"/>
      <c r="E579" s="36"/>
      <c r="F579" s="36"/>
      <c r="G579" s="36"/>
      <c r="H579" s="36"/>
      <c r="I579" s="36"/>
      <c r="J579" s="105"/>
      <c r="K579" s="36"/>
      <c r="L579" s="36"/>
      <c r="M579" s="36"/>
      <c r="N579" s="105"/>
      <c r="O579" s="36"/>
      <c r="P579" s="36"/>
      <c r="Q579" s="36"/>
      <c r="R579" s="105"/>
      <c r="S579" s="36"/>
      <c r="T579" s="36"/>
      <c r="U579" s="36"/>
      <c r="V579" s="36"/>
      <c r="W579" s="36"/>
      <c r="X579" s="36"/>
      <c r="Y579" s="36"/>
      <c r="Z579" s="36"/>
      <c r="AA579" s="36"/>
      <c r="AB579" s="42"/>
      <c r="AC579" s="42"/>
      <c r="AD579" s="36"/>
      <c r="AE579" s="36"/>
      <c r="AF579" s="42"/>
      <c r="AG579" s="42"/>
      <c r="AH579" s="36"/>
      <c r="AI579" s="36"/>
      <c r="AJ579" s="36"/>
      <c r="AK579" s="36"/>
      <c r="AL579" s="36"/>
      <c r="AM579" s="36"/>
      <c r="AN579" s="36"/>
    </row>
    <row r="580" spans="1:40" ht="15.75" x14ac:dyDescent="0.25">
      <c r="A580" s="44"/>
      <c r="B580" s="36"/>
      <c r="C580" s="36"/>
      <c r="D580" s="36"/>
      <c r="E580" s="36"/>
      <c r="F580" s="36"/>
      <c r="G580" s="36"/>
      <c r="H580" s="36"/>
      <c r="I580" s="36"/>
      <c r="J580" s="105"/>
      <c r="K580" s="36"/>
      <c r="L580" s="36"/>
      <c r="M580" s="36"/>
      <c r="N580" s="105"/>
      <c r="O580" s="36"/>
      <c r="P580" s="36"/>
      <c r="Q580" s="36"/>
      <c r="R580" s="105"/>
      <c r="S580" s="36"/>
      <c r="T580" s="36"/>
      <c r="U580" s="36"/>
      <c r="V580" s="36"/>
      <c r="W580" s="36"/>
      <c r="X580" s="36"/>
      <c r="Y580" s="36"/>
      <c r="Z580" s="36"/>
      <c r="AA580" s="36"/>
      <c r="AB580" s="42"/>
      <c r="AC580" s="42"/>
      <c r="AD580" s="36"/>
      <c r="AE580" s="36"/>
      <c r="AF580" s="42"/>
      <c r="AG580" s="42"/>
      <c r="AH580" s="36"/>
      <c r="AI580" s="36"/>
      <c r="AJ580" s="36"/>
      <c r="AK580" s="36"/>
      <c r="AL580" s="36"/>
      <c r="AM580" s="36"/>
      <c r="AN580" s="36"/>
    </row>
    <row r="581" spans="1:40" ht="15.75" x14ac:dyDescent="0.25">
      <c r="A581" s="44"/>
      <c r="B581" s="36"/>
      <c r="C581" s="36"/>
      <c r="D581" s="36"/>
      <c r="E581" s="36"/>
      <c r="F581" s="36"/>
      <c r="G581" s="36"/>
      <c r="H581" s="36"/>
      <c r="I581" s="36"/>
      <c r="J581" s="105"/>
      <c r="K581" s="36"/>
      <c r="L581" s="36"/>
      <c r="M581" s="36"/>
      <c r="N581" s="105"/>
      <c r="O581" s="36"/>
      <c r="P581" s="36"/>
      <c r="Q581" s="36"/>
      <c r="R581" s="105"/>
      <c r="S581" s="36"/>
      <c r="T581" s="36"/>
      <c r="U581" s="36"/>
      <c r="V581" s="36"/>
      <c r="W581" s="36"/>
      <c r="X581" s="36"/>
      <c r="Y581" s="36"/>
      <c r="Z581" s="36"/>
      <c r="AA581" s="36"/>
      <c r="AB581" s="42"/>
      <c r="AC581" s="42"/>
      <c r="AD581" s="36"/>
      <c r="AE581" s="36"/>
      <c r="AF581" s="42"/>
      <c r="AG581" s="42"/>
      <c r="AH581" s="36"/>
      <c r="AI581" s="36"/>
      <c r="AJ581" s="36"/>
      <c r="AK581" s="36"/>
      <c r="AL581" s="36"/>
      <c r="AM581" s="36"/>
      <c r="AN581" s="36"/>
    </row>
    <row r="582" spans="1:40" ht="15.75" x14ac:dyDescent="0.25">
      <c r="A582" s="44"/>
      <c r="B582" s="36"/>
      <c r="C582" s="36"/>
      <c r="D582" s="36"/>
      <c r="E582" s="36"/>
      <c r="F582" s="36"/>
      <c r="G582" s="36"/>
      <c r="H582" s="36"/>
      <c r="I582" s="36"/>
      <c r="J582" s="105"/>
      <c r="K582" s="36"/>
      <c r="L582" s="36"/>
      <c r="M582" s="36"/>
      <c r="N582" s="105"/>
      <c r="O582" s="36"/>
      <c r="P582" s="36"/>
      <c r="Q582" s="36"/>
      <c r="R582" s="105"/>
      <c r="S582" s="36"/>
      <c r="T582" s="36"/>
      <c r="U582" s="36"/>
      <c r="V582" s="36"/>
      <c r="W582" s="36"/>
      <c r="X582" s="36"/>
      <c r="Y582" s="36"/>
      <c r="Z582" s="36"/>
      <c r="AA582" s="36"/>
      <c r="AB582" s="42"/>
      <c r="AC582" s="42"/>
      <c r="AD582" s="36"/>
      <c r="AE582" s="36"/>
      <c r="AF582" s="42"/>
      <c r="AG582" s="42"/>
      <c r="AH582" s="36"/>
      <c r="AI582" s="36"/>
      <c r="AJ582" s="36"/>
      <c r="AK582" s="36"/>
      <c r="AL582" s="36"/>
      <c r="AM582" s="36"/>
      <c r="AN582" s="36"/>
    </row>
    <row r="583" spans="1:40" ht="15.75" x14ac:dyDescent="0.25">
      <c r="A583" s="44"/>
      <c r="B583" s="36"/>
      <c r="C583" s="36"/>
      <c r="D583" s="36"/>
      <c r="E583" s="36"/>
      <c r="F583" s="36"/>
      <c r="G583" s="36"/>
      <c r="H583" s="36"/>
      <c r="I583" s="36"/>
      <c r="J583" s="105"/>
      <c r="K583" s="36"/>
      <c r="L583" s="36"/>
      <c r="M583" s="36"/>
      <c r="N583" s="105"/>
      <c r="O583" s="36"/>
      <c r="P583" s="36"/>
      <c r="Q583" s="36"/>
      <c r="R583" s="105"/>
      <c r="S583" s="36"/>
      <c r="T583" s="36"/>
      <c r="U583" s="36"/>
      <c r="V583" s="36"/>
      <c r="W583" s="36"/>
      <c r="X583" s="36"/>
      <c r="Y583" s="36"/>
      <c r="Z583" s="36"/>
      <c r="AA583" s="36"/>
      <c r="AB583" s="42"/>
      <c r="AC583" s="42"/>
      <c r="AD583" s="36"/>
      <c r="AE583" s="36"/>
      <c r="AF583" s="42"/>
      <c r="AG583" s="42"/>
      <c r="AH583" s="36"/>
      <c r="AI583" s="36"/>
      <c r="AJ583" s="36"/>
      <c r="AK583" s="36"/>
      <c r="AL583" s="36"/>
      <c r="AM583" s="36"/>
      <c r="AN583" s="36"/>
    </row>
    <row r="584" spans="1:40" ht="15.75" x14ac:dyDescent="0.25">
      <c r="A584" s="44"/>
      <c r="B584" s="36"/>
      <c r="C584" s="36"/>
      <c r="D584" s="36"/>
      <c r="E584" s="36"/>
      <c r="F584" s="36"/>
      <c r="G584" s="36"/>
      <c r="H584" s="36"/>
      <c r="I584" s="36"/>
      <c r="J584" s="105"/>
      <c r="K584" s="36"/>
      <c r="L584" s="36"/>
      <c r="M584" s="36"/>
      <c r="N584" s="105"/>
      <c r="O584" s="36"/>
      <c r="P584" s="36"/>
      <c r="Q584" s="36"/>
      <c r="R584" s="105"/>
      <c r="S584" s="36"/>
      <c r="T584" s="36"/>
      <c r="U584" s="36"/>
      <c r="V584" s="36"/>
      <c r="W584" s="36"/>
      <c r="X584" s="36"/>
      <c r="Y584" s="36"/>
      <c r="Z584" s="36"/>
      <c r="AA584" s="36"/>
      <c r="AB584" s="42"/>
      <c r="AC584" s="42"/>
      <c r="AD584" s="36"/>
      <c r="AE584" s="36"/>
      <c r="AF584" s="42"/>
      <c r="AG584" s="42"/>
      <c r="AH584" s="36"/>
      <c r="AI584" s="36"/>
      <c r="AJ584" s="36"/>
      <c r="AK584" s="36"/>
      <c r="AL584" s="36"/>
      <c r="AM584" s="36"/>
      <c r="AN584" s="36"/>
    </row>
    <row r="585" spans="1:40" ht="15.75" x14ac:dyDescent="0.25">
      <c r="A585" s="44"/>
      <c r="B585" s="36"/>
      <c r="C585" s="36"/>
      <c r="D585" s="36"/>
      <c r="E585" s="36"/>
      <c r="F585" s="36"/>
      <c r="G585" s="36"/>
      <c r="H585" s="36"/>
      <c r="I585" s="36"/>
      <c r="J585" s="105"/>
      <c r="K585" s="36"/>
      <c r="L585" s="36"/>
      <c r="M585" s="36"/>
      <c r="N585" s="105"/>
      <c r="O585" s="36"/>
      <c r="P585" s="36"/>
      <c r="Q585" s="36"/>
      <c r="R585" s="105"/>
      <c r="S585" s="36"/>
      <c r="T585" s="36"/>
      <c r="U585" s="36"/>
      <c r="V585" s="36"/>
      <c r="W585" s="36"/>
      <c r="X585" s="36"/>
      <c r="Y585" s="36"/>
      <c r="Z585" s="36"/>
      <c r="AA585" s="36"/>
      <c r="AB585" s="42"/>
      <c r="AC585" s="42"/>
      <c r="AD585" s="36"/>
      <c r="AE585" s="36"/>
      <c r="AF585" s="42"/>
      <c r="AG585" s="42"/>
      <c r="AH585" s="36"/>
      <c r="AI585" s="36"/>
      <c r="AJ585" s="36"/>
      <c r="AK585" s="36"/>
      <c r="AL585" s="36"/>
      <c r="AM585" s="36"/>
      <c r="AN585" s="36"/>
    </row>
    <row r="586" spans="1:40" ht="15.75" x14ac:dyDescent="0.25">
      <c r="A586" s="44"/>
      <c r="B586" s="36"/>
      <c r="C586" s="36"/>
      <c r="D586" s="36"/>
      <c r="E586" s="36"/>
      <c r="F586" s="36"/>
      <c r="G586" s="36"/>
      <c r="H586" s="36"/>
      <c r="I586" s="36"/>
      <c r="J586" s="105"/>
      <c r="K586" s="36"/>
      <c r="L586" s="36"/>
      <c r="M586" s="36"/>
      <c r="N586" s="105"/>
      <c r="O586" s="36"/>
      <c r="P586" s="36"/>
      <c r="Q586" s="36"/>
      <c r="R586" s="105"/>
      <c r="S586" s="36"/>
      <c r="T586" s="36"/>
      <c r="U586" s="36"/>
      <c r="V586" s="36"/>
      <c r="W586" s="36"/>
      <c r="X586" s="36"/>
      <c r="Y586" s="36"/>
      <c r="Z586" s="36"/>
      <c r="AA586" s="36"/>
      <c r="AB586" s="42"/>
      <c r="AC586" s="42"/>
      <c r="AD586" s="36"/>
      <c r="AE586" s="36"/>
      <c r="AF586" s="42"/>
      <c r="AG586" s="42"/>
      <c r="AH586" s="36"/>
      <c r="AI586" s="36"/>
      <c r="AJ586" s="36"/>
      <c r="AK586" s="36"/>
      <c r="AL586" s="36"/>
      <c r="AM586" s="36"/>
      <c r="AN586" s="36"/>
    </row>
    <row r="587" spans="1:40" ht="15.75" x14ac:dyDescent="0.25">
      <c r="A587" s="44"/>
      <c r="B587" s="36"/>
      <c r="C587" s="36"/>
      <c r="D587" s="36"/>
      <c r="E587" s="36"/>
      <c r="F587" s="36"/>
      <c r="G587" s="36"/>
      <c r="H587" s="36"/>
      <c r="I587" s="36"/>
      <c r="J587" s="105"/>
      <c r="K587" s="36"/>
      <c r="L587" s="36"/>
      <c r="M587" s="36"/>
      <c r="N587" s="105"/>
      <c r="O587" s="36"/>
      <c r="P587" s="36"/>
      <c r="Q587" s="36"/>
      <c r="R587" s="105"/>
      <c r="S587" s="36"/>
      <c r="T587" s="36"/>
      <c r="U587" s="36"/>
      <c r="V587" s="36"/>
      <c r="W587" s="36"/>
      <c r="X587" s="36"/>
      <c r="Y587" s="36"/>
      <c r="Z587" s="36"/>
      <c r="AA587" s="36"/>
      <c r="AB587" s="42"/>
      <c r="AC587" s="42"/>
      <c r="AD587" s="36"/>
      <c r="AE587" s="36"/>
      <c r="AF587" s="42"/>
      <c r="AG587" s="42"/>
      <c r="AH587" s="36"/>
      <c r="AI587" s="36"/>
      <c r="AJ587" s="36"/>
      <c r="AK587" s="36"/>
      <c r="AL587" s="36"/>
      <c r="AM587" s="36"/>
      <c r="AN587" s="36"/>
    </row>
    <row r="588" spans="1:40" ht="15.75" x14ac:dyDescent="0.25">
      <c r="A588" s="44"/>
      <c r="B588" s="36"/>
      <c r="C588" s="36"/>
      <c r="D588" s="36"/>
      <c r="E588" s="36"/>
      <c r="F588" s="36"/>
      <c r="G588" s="36"/>
      <c r="H588" s="36"/>
      <c r="I588" s="36"/>
      <c r="J588" s="105"/>
      <c r="K588" s="36"/>
      <c r="L588" s="36"/>
      <c r="M588" s="36"/>
      <c r="N588" s="105"/>
      <c r="O588" s="36"/>
      <c r="P588" s="36"/>
      <c r="Q588" s="36"/>
      <c r="R588" s="105"/>
      <c r="S588" s="36"/>
      <c r="T588" s="36"/>
      <c r="U588" s="36"/>
      <c r="V588" s="36"/>
      <c r="W588" s="36"/>
      <c r="X588" s="36"/>
      <c r="Y588" s="36"/>
      <c r="Z588" s="36"/>
      <c r="AA588" s="36"/>
      <c r="AB588" s="42"/>
      <c r="AC588" s="42"/>
      <c r="AD588" s="36"/>
      <c r="AE588" s="36"/>
      <c r="AF588" s="42"/>
      <c r="AG588" s="42"/>
      <c r="AH588" s="36"/>
      <c r="AI588" s="36"/>
      <c r="AJ588" s="36"/>
      <c r="AK588" s="36"/>
      <c r="AL588" s="36"/>
      <c r="AM588" s="36"/>
      <c r="AN588" s="36"/>
    </row>
    <row r="589" spans="1:40" ht="15.75" x14ac:dyDescent="0.25">
      <c r="A589" s="44"/>
      <c r="B589" s="36"/>
      <c r="C589" s="36"/>
      <c r="D589" s="36"/>
      <c r="E589" s="36"/>
      <c r="F589" s="36"/>
      <c r="G589" s="36"/>
      <c r="H589" s="36"/>
      <c r="I589" s="36"/>
      <c r="J589" s="105"/>
      <c r="K589" s="36"/>
      <c r="L589" s="36"/>
      <c r="M589" s="36"/>
      <c r="N589" s="105"/>
      <c r="O589" s="36"/>
      <c r="P589" s="36"/>
      <c r="Q589" s="36"/>
      <c r="R589" s="105"/>
      <c r="S589" s="36"/>
      <c r="T589" s="36"/>
      <c r="U589" s="36"/>
      <c r="V589" s="36"/>
      <c r="W589" s="36"/>
      <c r="X589" s="36"/>
      <c r="Y589" s="36"/>
      <c r="Z589" s="36"/>
      <c r="AA589" s="36"/>
      <c r="AB589" s="42"/>
      <c r="AC589" s="42"/>
      <c r="AD589" s="36"/>
      <c r="AE589" s="36"/>
      <c r="AF589" s="42"/>
      <c r="AG589" s="42"/>
      <c r="AH589" s="36"/>
      <c r="AI589" s="36"/>
      <c r="AJ589" s="36"/>
      <c r="AK589" s="36"/>
      <c r="AL589" s="36"/>
      <c r="AM589" s="36"/>
      <c r="AN589" s="36"/>
    </row>
    <row r="590" spans="1:40" ht="15.75" x14ac:dyDescent="0.25">
      <c r="A590" s="44"/>
      <c r="B590" s="36"/>
      <c r="C590" s="36"/>
      <c r="D590" s="36"/>
      <c r="E590" s="36"/>
      <c r="F590" s="36"/>
      <c r="G590" s="36"/>
      <c r="H590" s="36"/>
      <c r="I590" s="36"/>
      <c r="J590" s="105"/>
      <c r="K590" s="36"/>
      <c r="L590" s="36"/>
      <c r="M590" s="36"/>
      <c r="N590" s="105"/>
      <c r="O590" s="36"/>
      <c r="P590" s="36"/>
      <c r="Q590" s="36"/>
      <c r="R590" s="105"/>
      <c r="S590" s="36"/>
      <c r="T590" s="36"/>
      <c r="U590" s="36"/>
      <c r="V590" s="36"/>
      <c r="W590" s="36"/>
      <c r="X590" s="36"/>
      <c r="Y590" s="36"/>
      <c r="Z590" s="36"/>
      <c r="AA590" s="36"/>
      <c r="AB590" s="42"/>
      <c r="AC590" s="42"/>
      <c r="AD590" s="36"/>
      <c r="AE590" s="36"/>
      <c r="AF590" s="42"/>
      <c r="AG590" s="42"/>
      <c r="AH590" s="36"/>
      <c r="AI590" s="36"/>
      <c r="AJ590" s="36"/>
      <c r="AK590" s="36"/>
      <c r="AL590" s="36"/>
      <c r="AM590" s="36"/>
      <c r="AN590" s="36"/>
    </row>
    <row r="591" spans="1:40" ht="15.75" x14ac:dyDescent="0.25">
      <c r="A591" s="44"/>
      <c r="B591" s="36"/>
      <c r="C591" s="36"/>
      <c r="D591" s="36"/>
      <c r="E591" s="36"/>
      <c r="F591" s="36"/>
      <c r="G591" s="36"/>
      <c r="H591" s="36"/>
      <c r="I591" s="36"/>
      <c r="J591" s="105"/>
      <c r="K591" s="36"/>
      <c r="L591" s="36"/>
      <c r="M591" s="36"/>
      <c r="N591" s="105"/>
      <c r="O591" s="36"/>
      <c r="P591" s="36"/>
      <c r="Q591" s="36"/>
      <c r="R591" s="105"/>
      <c r="S591" s="36"/>
      <c r="T591" s="36"/>
      <c r="U591" s="36"/>
      <c r="V591" s="36"/>
      <c r="W591" s="36"/>
      <c r="X591" s="36"/>
      <c r="Y591" s="36"/>
      <c r="Z591" s="36"/>
      <c r="AA591" s="36"/>
      <c r="AB591" s="42"/>
      <c r="AC591" s="42"/>
      <c r="AD591" s="36"/>
      <c r="AE591" s="36"/>
      <c r="AF591" s="42"/>
      <c r="AG591" s="42"/>
      <c r="AH591" s="36"/>
      <c r="AI591" s="36"/>
      <c r="AJ591" s="36"/>
      <c r="AK591" s="36"/>
      <c r="AL591" s="36"/>
      <c r="AM591" s="36"/>
      <c r="AN591" s="36"/>
    </row>
    <row r="592" spans="1:40" ht="15.75" x14ac:dyDescent="0.25">
      <c r="A592" s="44"/>
      <c r="B592" s="36"/>
      <c r="C592" s="36"/>
      <c r="D592" s="36"/>
      <c r="E592" s="36"/>
      <c r="F592" s="36"/>
      <c r="G592" s="36"/>
      <c r="H592" s="36"/>
      <c r="I592" s="36"/>
      <c r="J592" s="105"/>
      <c r="K592" s="36"/>
      <c r="L592" s="36"/>
      <c r="M592" s="36"/>
      <c r="N592" s="105"/>
      <c r="O592" s="36"/>
      <c r="P592" s="36"/>
      <c r="Q592" s="36"/>
      <c r="R592" s="105"/>
      <c r="S592" s="36"/>
      <c r="T592" s="36"/>
      <c r="U592" s="36"/>
      <c r="V592" s="36"/>
      <c r="W592" s="36"/>
      <c r="X592" s="36"/>
      <c r="Y592" s="36"/>
      <c r="Z592" s="36"/>
      <c r="AA592" s="36"/>
      <c r="AB592" s="42"/>
      <c r="AC592" s="42"/>
      <c r="AD592" s="36"/>
      <c r="AE592" s="36"/>
      <c r="AF592" s="42"/>
      <c r="AG592" s="42"/>
      <c r="AH592" s="36"/>
      <c r="AI592" s="36"/>
      <c r="AJ592" s="36"/>
      <c r="AK592" s="36"/>
      <c r="AL592" s="36"/>
      <c r="AM592" s="36"/>
      <c r="AN592" s="36"/>
    </row>
    <row r="593" spans="1:40" ht="15.75" x14ac:dyDescent="0.25">
      <c r="A593" s="44"/>
      <c r="B593" s="36"/>
      <c r="C593" s="36"/>
      <c r="D593" s="36"/>
      <c r="E593" s="36"/>
      <c r="F593" s="36"/>
      <c r="G593" s="36"/>
      <c r="H593" s="36"/>
      <c r="I593" s="36"/>
      <c r="J593" s="105"/>
      <c r="K593" s="36"/>
      <c r="L593" s="36"/>
      <c r="M593" s="36"/>
      <c r="N593" s="105"/>
      <c r="O593" s="36"/>
      <c r="P593" s="36"/>
      <c r="Q593" s="36"/>
      <c r="R593" s="105"/>
      <c r="S593" s="36"/>
      <c r="T593" s="36"/>
      <c r="U593" s="36"/>
      <c r="V593" s="36"/>
      <c r="W593" s="36"/>
      <c r="X593" s="36"/>
      <c r="Y593" s="36"/>
      <c r="Z593" s="36"/>
      <c r="AA593" s="36"/>
      <c r="AB593" s="42"/>
      <c r="AC593" s="42"/>
      <c r="AD593" s="36"/>
      <c r="AE593" s="36"/>
      <c r="AF593" s="42"/>
      <c r="AG593" s="42"/>
      <c r="AH593" s="36"/>
      <c r="AI593" s="36"/>
      <c r="AJ593" s="36"/>
      <c r="AK593" s="36"/>
      <c r="AL593" s="36"/>
      <c r="AM593" s="36"/>
      <c r="AN593" s="36"/>
    </row>
    <row r="594" spans="1:40" ht="15.75" x14ac:dyDescent="0.25">
      <c r="A594" s="44"/>
      <c r="B594" s="36"/>
      <c r="C594" s="36"/>
      <c r="D594" s="36"/>
      <c r="E594" s="36"/>
      <c r="F594" s="36"/>
      <c r="G594" s="36"/>
      <c r="H594" s="36"/>
      <c r="I594" s="36"/>
      <c r="J594" s="105"/>
      <c r="K594" s="36"/>
      <c r="L594" s="36"/>
      <c r="M594" s="36"/>
      <c r="N594" s="105"/>
      <c r="O594" s="36"/>
      <c r="P594" s="36"/>
      <c r="Q594" s="36"/>
      <c r="R594" s="105"/>
      <c r="S594" s="36"/>
      <c r="T594" s="36"/>
      <c r="U594" s="36"/>
      <c r="V594" s="36"/>
      <c r="W594" s="36"/>
      <c r="X594" s="36"/>
      <c r="Y594" s="36"/>
      <c r="Z594" s="36"/>
      <c r="AA594" s="36"/>
      <c r="AB594" s="42"/>
      <c r="AC594" s="42"/>
      <c r="AD594" s="36"/>
      <c r="AE594" s="36"/>
      <c r="AF594" s="42"/>
      <c r="AG594" s="42"/>
      <c r="AH594" s="36"/>
      <c r="AI594" s="36"/>
      <c r="AJ594" s="36"/>
      <c r="AK594" s="36"/>
      <c r="AL594" s="36"/>
      <c r="AM594" s="36"/>
      <c r="AN594" s="36"/>
    </row>
    <row r="595" spans="1:40" ht="15.75" x14ac:dyDescent="0.25">
      <c r="A595" s="44"/>
      <c r="B595" s="36"/>
      <c r="C595" s="36"/>
      <c r="D595" s="36"/>
      <c r="E595" s="36"/>
      <c r="F595" s="36"/>
      <c r="G595" s="36"/>
      <c r="H595" s="36"/>
      <c r="I595" s="36"/>
      <c r="J595" s="105"/>
      <c r="K595" s="36"/>
      <c r="L595" s="36"/>
      <c r="M595" s="36"/>
      <c r="N595" s="105"/>
      <c r="O595" s="36"/>
      <c r="P595" s="36"/>
      <c r="Q595" s="36"/>
      <c r="R595" s="105"/>
      <c r="S595" s="36"/>
      <c r="T595" s="36"/>
      <c r="U595" s="36"/>
      <c r="V595" s="36"/>
      <c r="W595" s="36"/>
      <c r="X595" s="36"/>
      <c r="Y595" s="36"/>
      <c r="Z595" s="36"/>
      <c r="AA595" s="36"/>
      <c r="AB595" s="42"/>
      <c r="AC595" s="42"/>
      <c r="AD595" s="36"/>
      <c r="AE595" s="36"/>
      <c r="AF595" s="42"/>
      <c r="AG595" s="42"/>
      <c r="AH595" s="36"/>
      <c r="AI595" s="36"/>
      <c r="AJ595" s="36"/>
      <c r="AK595" s="36"/>
      <c r="AL595" s="36"/>
      <c r="AM595" s="36"/>
      <c r="AN595" s="36"/>
    </row>
    <row r="596" spans="1:40" ht="15.75" x14ac:dyDescent="0.25">
      <c r="A596" s="44"/>
      <c r="B596" s="36"/>
      <c r="C596" s="36"/>
      <c r="D596" s="36"/>
      <c r="E596" s="36"/>
      <c r="F596" s="36"/>
      <c r="G596" s="36"/>
      <c r="H596" s="36"/>
      <c r="I596" s="36"/>
      <c r="J596" s="105"/>
      <c r="K596" s="36"/>
      <c r="L596" s="36"/>
      <c r="M596" s="36"/>
      <c r="N596" s="105"/>
      <c r="O596" s="36"/>
      <c r="P596" s="36"/>
      <c r="Q596" s="36"/>
      <c r="R596" s="105"/>
      <c r="S596" s="36"/>
      <c r="T596" s="36"/>
      <c r="U596" s="36"/>
      <c r="V596" s="36"/>
      <c r="W596" s="36"/>
      <c r="X596" s="36"/>
      <c r="Y596" s="36"/>
      <c r="Z596" s="36"/>
      <c r="AA596" s="36"/>
      <c r="AB596" s="42"/>
      <c r="AC596" s="42"/>
      <c r="AD596" s="36"/>
      <c r="AE596" s="36"/>
      <c r="AF596" s="42"/>
      <c r="AG596" s="42"/>
      <c r="AH596" s="36"/>
      <c r="AI596" s="36"/>
      <c r="AJ596" s="36"/>
      <c r="AK596" s="36"/>
      <c r="AL596" s="36"/>
      <c r="AM596" s="36"/>
      <c r="AN596" s="36"/>
    </row>
    <row r="597" spans="1:40" ht="15.75" x14ac:dyDescent="0.25">
      <c r="A597" s="44"/>
      <c r="B597" s="36"/>
      <c r="C597" s="36"/>
      <c r="D597" s="36"/>
      <c r="E597" s="36"/>
      <c r="F597" s="36"/>
      <c r="G597" s="36"/>
      <c r="H597" s="36"/>
      <c r="I597" s="36"/>
      <c r="J597" s="105"/>
      <c r="K597" s="36"/>
      <c r="L597" s="36"/>
      <c r="M597" s="36"/>
      <c r="N597" s="105"/>
      <c r="O597" s="36"/>
      <c r="P597" s="36"/>
      <c r="Q597" s="36"/>
      <c r="R597" s="105"/>
      <c r="S597" s="36"/>
      <c r="T597" s="36"/>
      <c r="U597" s="36"/>
      <c r="V597" s="36"/>
      <c r="W597" s="36"/>
      <c r="X597" s="36"/>
      <c r="Y597" s="36"/>
      <c r="Z597" s="36"/>
      <c r="AA597" s="36"/>
      <c r="AB597" s="42"/>
      <c r="AC597" s="42"/>
      <c r="AD597" s="36"/>
      <c r="AE597" s="36"/>
      <c r="AF597" s="42"/>
      <c r="AG597" s="42"/>
      <c r="AH597" s="36"/>
      <c r="AI597" s="36"/>
      <c r="AJ597" s="36"/>
      <c r="AK597" s="36"/>
      <c r="AL597" s="36"/>
      <c r="AM597" s="36"/>
      <c r="AN597" s="36"/>
    </row>
    <row r="598" spans="1:40" ht="15.75" x14ac:dyDescent="0.25">
      <c r="A598" s="44"/>
      <c r="B598" s="36"/>
      <c r="C598" s="36"/>
      <c r="D598" s="36"/>
      <c r="E598" s="36"/>
      <c r="F598" s="36"/>
      <c r="G598" s="36"/>
      <c r="H598" s="36"/>
      <c r="I598" s="36"/>
      <c r="J598" s="105"/>
      <c r="K598" s="36"/>
      <c r="L598" s="36"/>
      <c r="M598" s="36"/>
      <c r="N598" s="105"/>
      <c r="O598" s="36"/>
      <c r="P598" s="36"/>
      <c r="Q598" s="36"/>
      <c r="R598" s="105"/>
      <c r="S598" s="36"/>
      <c r="T598" s="36"/>
      <c r="U598" s="36"/>
      <c r="V598" s="36"/>
      <c r="W598" s="36"/>
      <c r="X598" s="36"/>
      <c r="Y598" s="36"/>
      <c r="Z598" s="36"/>
      <c r="AA598" s="36"/>
      <c r="AB598" s="42"/>
      <c r="AC598" s="42"/>
      <c r="AD598" s="36"/>
      <c r="AE598" s="36"/>
      <c r="AF598" s="42"/>
      <c r="AG598" s="42"/>
      <c r="AH598" s="36"/>
      <c r="AI598" s="36"/>
      <c r="AJ598" s="36"/>
      <c r="AK598" s="36"/>
      <c r="AL598" s="36"/>
      <c r="AM598" s="36"/>
      <c r="AN598" s="36"/>
    </row>
    <row r="599" spans="1:40" ht="15.75" x14ac:dyDescent="0.25">
      <c r="A599" s="44"/>
      <c r="B599" s="36"/>
      <c r="C599" s="36"/>
      <c r="D599" s="36"/>
      <c r="E599" s="36"/>
      <c r="F599" s="36"/>
      <c r="G599" s="36"/>
      <c r="H599" s="36"/>
      <c r="I599" s="36"/>
      <c r="J599" s="105"/>
      <c r="K599" s="36"/>
      <c r="L599" s="36"/>
      <c r="M599" s="36"/>
      <c r="N599" s="105"/>
      <c r="O599" s="36"/>
      <c r="P599" s="36"/>
      <c r="Q599" s="36"/>
      <c r="R599" s="105"/>
      <c r="S599" s="36"/>
      <c r="T599" s="36"/>
      <c r="U599" s="36"/>
      <c r="V599" s="36"/>
      <c r="W599" s="36"/>
      <c r="X599" s="36"/>
      <c r="Y599" s="36"/>
      <c r="Z599" s="36"/>
      <c r="AA599" s="36"/>
      <c r="AB599" s="42"/>
      <c r="AC599" s="42"/>
      <c r="AD599" s="36"/>
      <c r="AE599" s="36"/>
      <c r="AF599" s="42"/>
      <c r="AG599" s="42"/>
      <c r="AH599" s="36"/>
      <c r="AI599" s="36"/>
      <c r="AJ599" s="36"/>
      <c r="AK599" s="36"/>
      <c r="AL599" s="36"/>
      <c r="AM599" s="36"/>
      <c r="AN599" s="36"/>
    </row>
    <row r="600" spans="1:40" ht="15.75" x14ac:dyDescent="0.25">
      <c r="A600" s="44"/>
      <c r="B600" s="36"/>
      <c r="C600" s="36"/>
      <c r="D600" s="36"/>
      <c r="E600" s="36"/>
      <c r="F600" s="36"/>
      <c r="G600" s="36"/>
      <c r="H600" s="36"/>
      <c r="I600" s="36"/>
      <c r="J600" s="105"/>
      <c r="K600" s="36"/>
      <c r="L600" s="36"/>
      <c r="M600" s="36"/>
      <c r="N600" s="105"/>
      <c r="O600" s="36"/>
      <c r="P600" s="36"/>
      <c r="Q600" s="36"/>
      <c r="R600" s="105"/>
      <c r="S600" s="36"/>
      <c r="T600" s="36"/>
      <c r="U600" s="36"/>
      <c r="V600" s="36"/>
      <c r="W600" s="36"/>
      <c r="X600" s="36"/>
      <c r="Y600" s="36"/>
      <c r="Z600" s="36"/>
      <c r="AA600" s="36"/>
      <c r="AB600" s="42"/>
      <c r="AC600" s="42"/>
      <c r="AD600" s="36"/>
      <c r="AE600" s="36"/>
      <c r="AF600" s="42"/>
      <c r="AG600" s="42"/>
      <c r="AH600" s="36"/>
      <c r="AI600" s="36"/>
      <c r="AJ600" s="36"/>
      <c r="AK600" s="36"/>
      <c r="AL600" s="36"/>
      <c r="AM600" s="36"/>
      <c r="AN600" s="36"/>
    </row>
    <row r="601" spans="1:40" ht="15.75" x14ac:dyDescent="0.25">
      <c r="A601" s="44"/>
      <c r="B601" s="36"/>
      <c r="C601" s="36"/>
      <c r="D601" s="36"/>
      <c r="E601" s="36"/>
      <c r="F601" s="36"/>
      <c r="G601" s="36"/>
      <c r="H601" s="36"/>
      <c r="I601" s="36"/>
      <c r="J601" s="105"/>
      <c r="K601" s="36"/>
      <c r="L601" s="36"/>
      <c r="M601" s="36"/>
      <c r="N601" s="105"/>
      <c r="O601" s="36"/>
      <c r="P601" s="36"/>
      <c r="Q601" s="36"/>
      <c r="R601" s="105"/>
      <c r="S601" s="36"/>
      <c r="T601" s="36"/>
      <c r="U601" s="36"/>
      <c r="V601" s="36"/>
      <c r="W601" s="36"/>
      <c r="X601" s="36"/>
      <c r="Y601" s="36"/>
      <c r="Z601" s="36"/>
      <c r="AA601" s="36"/>
      <c r="AB601" s="42"/>
      <c r="AC601" s="42"/>
      <c r="AD601" s="36"/>
      <c r="AE601" s="36"/>
      <c r="AF601" s="42"/>
      <c r="AG601" s="42"/>
      <c r="AH601" s="36"/>
      <c r="AI601" s="36"/>
      <c r="AJ601" s="36"/>
      <c r="AK601" s="36"/>
      <c r="AL601" s="36"/>
      <c r="AM601" s="36"/>
      <c r="AN601" s="36"/>
    </row>
    <row r="602" spans="1:40" ht="15.75" x14ac:dyDescent="0.25">
      <c r="A602" s="44"/>
      <c r="B602" s="36"/>
      <c r="C602" s="36"/>
      <c r="D602" s="36"/>
      <c r="E602" s="36"/>
      <c r="F602" s="36"/>
      <c r="G602" s="36"/>
      <c r="H602" s="36"/>
      <c r="I602" s="36"/>
      <c r="J602" s="105"/>
      <c r="K602" s="36"/>
      <c r="L602" s="36"/>
      <c r="M602" s="36"/>
      <c r="N602" s="105"/>
      <c r="O602" s="36"/>
      <c r="P602" s="36"/>
      <c r="Q602" s="36"/>
      <c r="R602" s="105"/>
      <c r="S602" s="36"/>
      <c r="T602" s="36"/>
      <c r="U602" s="36"/>
      <c r="V602" s="36"/>
      <c r="W602" s="36"/>
      <c r="X602" s="36"/>
      <c r="Y602" s="36"/>
      <c r="Z602" s="36"/>
      <c r="AA602" s="36"/>
      <c r="AB602" s="42"/>
      <c r="AC602" s="42"/>
      <c r="AD602" s="36"/>
      <c r="AE602" s="36"/>
      <c r="AF602" s="42"/>
      <c r="AG602" s="42"/>
      <c r="AH602" s="36"/>
      <c r="AI602" s="36"/>
      <c r="AJ602" s="36"/>
      <c r="AK602" s="36"/>
      <c r="AL602" s="36"/>
      <c r="AM602" s="36"/>
      <c r="AN602" s="36"/>
    </row>
    <row r="603" spans="1:40" ht="15.75" x14ac:dyDescent="0.25">
      <c r="A603" s="44"/>
      <c r="B603" s="36"/>
      <c r="C603" s="36"/>
      <c r="D603" s="36"/>
      <c r="E603" s="36"/>
      <c r="F603" s="36"/>
      <c r="G603" s="36"/>
      <c r="H603" s="36"/>
      <c r="I603" s="36"/>
      <c r="J603" s="105"/>
      <c r="K603" s="36"/>
      <c r="L603" s="36"/>
      <c r="M603" s="36"/>
      <c r="N603" s="105"/>
      <c r="O603" s="36"/>
      <c r="P603" s="36"/>
      <c r="Q603" s="36"/>
      <c r="R603" s="105"/>
      <c r="S603" s="36"/>
      <c r="T603" s="36"/>
      <c r="U603" s="36"/>
      <c r="V603" s="36"/>
      <c r="W603" s="36"/>
      <c r="X603" s="36"/>
      <c r="Y603" s="36"/>
      <c r="Z603" s="36"/>
      <c r="AA603" s="36"/>
      <c r="AB603" s="42"/>
      <c r="AC603" s="42"/>
      <c r="AD603" s="36"/>
      <c r="AE603" s="36"/>
      <c r="AF603" s="42"/>
      <c r="AG603" s="42"/>
      <c r="AH603" s="36"/>
      <c r="AI603" s="36"/>
      <c r="AJ603" s="36"/>
      <c r="AK603" s="36"/>
      <c r="AL603" s="36"/>
      <c r="AM603" s="36"/>
      <c r="AN603" s="36"/>
    </row>
    <row r="604" spans="1:40" ht="15.75" x14ac:dyDescent="0.25">
      <c r="A604" s="44"/>
      <c r="B604" s="36"/>
      <c r="C604" s="36"/>
      <c r="D604" s="36"/>
      <c r="E604" s="36"/>
      <c r="F604" s="36"/>
      <c r="G604" s="36"/>
      <c r="H604" s="36"/>
      <c r="I604" s="36"/>
      <c r="J604" s="105"/>
      <c r="K604" s="36"/>
      <c r="L604" s="36"/>
      <c r="M604" s="36"/>
      <c r="N604" s="105"/>
      <c r="O604" s="36"/>
      <c r="P604" s="36"/>
      <c r="Q604" s="36"/>
      <c r="R604" s="105"/>
      <c r="S604" s="36"/>
      <c r="T604" s="36"/>
      <c r="U604" s="36"/>
      <c r="V604" s="36"/>
      <c r="W604" s="36"/>
      <c r="X604" s="36"/>
      <c r="Y604" s="36"/>
      <c r="Z604" s="36"/>
      <c r="AA604" s="36"/>
      <c r="AB604" s="42"/>
      <c r="AC604" s="42"/>
      <c r="AD604" s="36"/>
      <c r="AE604" s="36"/>
      <c r="AF604" s="42"/>
      <c r="AG604" s="42"/>
      <c r="AH604" s="36"/>
      <c r="AI604" s="36"/>
      <c r="AJ604" s="36"/>
      <c r="AK604" s="36"/>
      <c r="AL604" s="36"/>
      <c r="AM604" s="36"/>
      <c r="AN604" s="36"/>
    </row>
    <row r="605" spans="1:40" ht="15.75" x14ac:dyDescent="0.25">
      <c r="A605" s="44"/>
      <c r="B605" s="36"/>
      <c r="C605" s="36"/>
      <c r="D605" s="36"/>
      <c r="E605" s="36"/>
      <c r="F605" s="36"/>
      <c r="G605" s="36"/>
      <c r="H605" s="36"/>
      <c r="I605" s="36"/>
      <c r="J605" s="105"/>
      <c r="K605" s="36"/>
      <c r="L605" s="36"/>
      <c r="M605" s="36"/>
      <c r="N605" s="105"/>
      <c r="O605" s="36"/>
      <c r="P605" s="36"/>
      <c r="Q605" s="36"/>
      <c r="R605" s="105"/>
      <c r="S605" s="36"/>
      <c r="T605" s="36"/>
      <c r="U605" s="36"/>
      <c r="V605" s="36"/>
      <c r="W605" s="36"/>
      <c r="X605" s="36"/>
      <c r="Y605" s="36"/>
      <c r="Z605" s="36"/>
      <c r="AA605" s="36"/>
      <c r="AB605" s="42"/>
      <c r="AC605" s="42"/>
      <c r="AD605" s="36"/>
      <c r="AE605" s="36"/>
      <c r="AF605" s="42"/>
      <c r="AG605" s="42"/>
      <c r="AH605" s="36"/>
      <c r="AI605" s="36"/>
      <c r="AJ605" s="36"/>
      <c r="AK605" s="36"/>
      <c r="AL605" s="36"/>
      <c r="AM605" s="36"/>
      <c r="AN605" s="36"/>
    </row>
    <row r="606" spans="1:40" ht="15.75" x14ac:dyDescent="0.25">
      <c r="A606" s="44"/>
      <c r="B606" s="36"/>
      <c r="C606" s="36"/>
      <c r="D606" s="36"/>
      <c r="E606" s="36"/>
      <c r="F606" s="36"/>
      <c r="G606" s="36"/>
      <c r="H606" s="36"/>
      <c r="I606" s="36"/>
      <c r="J606" s="105"/>
      <c r="K606" s="36"/>
      <c r="L606" s="36"/>
      <c r="M606" s="36"/>
      <c r="N606" s="105"/>
      <c r="O606" s="36"/>
      <c r="P606" s="36"/>
      <c r="Q606" s="36"/>
      <c r="R606" s="105"/>
      <c r="S606" s="36"/>
      <c r="T606" s="36"/>
      <c r="U606" s="36"/>
      <c r="V606" s="36"/>
      <c r="W606" s="36"/>
      <c r="X606" s="36"/>
      <c r="Y606" s="36"/>
      <c r="Z606" s="36"/>
      <c r="AA606" s="36"/>
      <c r="AB606" s="42"/>
      <c r="AC606" s="42"/>
      <c r="AD606" s="36"/>
      <c r="AE606" s="36"/>
      <c r="AF606" s="42"/>
      <c r="AG606" s="42"/>
      <c r="AH606" s="36"/>
      <c r="AI606" s="36"/>
      <c r="AJ606" s="36"/>
      <c r="AK606" s="36"/>
      <c r="AL606" s="36"/>
      <c r="AM606" s="36"/>
      <c r="AN606" s="36"/>
    </row>
    <row r="607" spans="1:40" ht="15.75" x14ac:dyDescent="0.25">
      <c r="A607" s="44"/>
      <c r="B607" s="36"/>
      <c r="C607" s="36"/>
      <c r="D607" s="36"/>
      <c r="E607" s="36"/>
      <c r="F607" s="36"/>
      <c r="G607" s="36"/>
      <c r="H607" s="36"/>
      <c r="I607" s="36"/>
      <c r="J607" s="105"/>
      <c r="K607" s="36"/>
      <c r="L607" s="36"/>
      <c r="M607" s="36"/>
      <c r="N607" s="105"/>
      <c r="O607" s="36"/>
      <c r="P607" s="36"/>
      <c r="Q607" s="36"/>
      <c r="R607" s="105"/>
      <c r="S607" s="36"/>
      <c r="T607" s="36"/>
      <c r="U607" s="36"/>
      <c r="V607" s="36"/>
      <c r="W607" s="36"/>
      <c r="X607" s="36"/>
      <c r="Y607" s="36"/>
      <c r="Z607" s="36"/>
      <c r="AA607" s="36"/>
      <c r="AB607" s="42"/>
      <c r="AC607" s="42"/>
      <c r="AD607" s="36"/>
      <c r="AE607" s="36"/>
      <c r="AF607" s="42"/>
      <c r="AG607" s="42"/>
      <c r="AH607" s="36"/>
      <c r="AI607" s="36"/>
      <c r="AJ607" s="36"/>
      <c r="AK607" s="36"/>
      <c r="AL607" s="36"/>
      <c r="AM607" s="36"/>
      <c r="AN607" s="36"/>
    </row>
    <row r="608" spans="1:40" ht="15.75" x14ac:dyDescent="0.25">
      <c r="A608" s="44"/>
      <c r="B608" s="36"/>
      <c r="C608" s="36"/>
      <c r="D608" s="36"/>
      <c r="E608" s="36"/>
      <c r="F608" s="36"/>
      <c r="G608" s="36"/>
      <c r="H608" s="36"/>
      <c r="I608" s="36"/>
      <c r="J608" s="105"/>
      <c r="K608" s="36"/>
      <c r="L608" s="36"/>
      <c r="M608" s="36"/>
      <c r="N608" s="105"/>
      <c r="O608" s="36"/>
      <c r="P608" s="36"/>
      <c r="Q608" s="36"/>
      <c r="R608" s="105"/>
      <c r="S608" s="36"/>
      <c r="T608" s="36"/>
      <c r="U608" s="36"/>
      <c r="V608" s="36"/>
      <c r="W608" s="36"/>
      <c r="X608" s="36"/>
      <c r="Y608" s="36"/>
      <c r="Z608" s="36"/>
      <c r="AA608" s="36"/>
      <c r="AB608" s="42"/>
      <c r="AC608" s="42"/>
      <c r="AD608" s="36"/>
      <c r="AE608" s="36"/>
      <c r="AF608" s="42"/>
      <c r="AG608" s="42"/>
      <c r="AH608" s="36"/>
      <c r="AI608" s="36"/>
      <c r="AJ608" s="36"/>
      <c r="AK608" s="36"/>
      <c r="AL608" s="36"/>
      <c r="AM608" s="36"/>
      <c r="AN608" s="36"/>
    </row>
    <row r="609" spans="1:40" ht="15.75" x14ac:dyDescent="0.25">
      <c r="A609" s="44"/>
      <c r="B609" s="36"/>
      <c r="C609" s="36"/>
      <c r="D609" s="36"/>
      <c r="E609" s="36"/>
      <c r="F609" s="36"/>
      <c r="G609" s="36"/>
      <c r="H609" s="36"/>
      <c r="I609" s="36"/>
      <c r="J609" s="105"/>
      <c r="K609" s="36"/>
      <c r="L609" s="36"/>
      <c r="M609" s="36"/>
      <c r="N609" s="105"/>
      <c r="O609" s="36"/>
      <c r="P609" s="36"/>
      <c r="Q609" s="36"/>
      <c r="R609" s="105"/>
      <c r="S609" s="36"/>
      <c r="T609" s="36"/>
      <c r="U609" s="36"/>
      <c r="V609" s="36"/>
      <c r="W609" s="36"/>
      <c r="X609" s="36"/>
      <c r="Y609" s="36"/>
      <c r="Z609" s="36"/>
      <c r="AA609" s="36"/>
      <c r="AB609" s="42"/>
      <c r="AC609" s="42"/>
      <c r="AD609" s="36"/>
      <c r="AE609" s="36"/>
      <c r="AF609" s="42"/>
      <c r="AG609" s="42"/>
      <c r="AH609" s="36"/>
      <c r="AI609" s="36"/>
      <c r="AJ609" s="36"/>
      <c r="AK609" s="36"/>
      <c r="AL609" s="36"/>
      <c r="AM609" s="36"/>
      <c r="AN609" s="36"/>
    </row>
    <row r="610" spans="1:40" ht="15.75" x14ac:dyDescent="0.25">
      <c r="A610" s="44"/>
      <c r="B610" s="36"/>
      <c r="C610" s="36"/>
      <c r="D610" s="36"/>
      <c r="E610" s="36"/>
      <c r="F610" s="36"/>
      <c r="G610" s="36"/>
      <c r="H610" s="36"/>
      <c r="I610" s="36"/>
      <c r="J610" s="105"/>
      <c r="K610" s="36"/>
      <c r="L610" s="36"/>
      <c r="M610" s="36"/>
      <c r="N610" s="105"/>
      <c r="O610" s="36"/>
      <c r="P610" s="36"/>
      <c r="Q610" s="36"/>
      <c r="R610" s="105"/>
      <c r="S610" s="36"/>
      <c r="T610" s="36"/>
      <c r="U610" s="36"/>
      <c r="V610" s="36"/>
      <c r="W610" s="36"/>
      <c r="X610" s="36"/>
      <c r="Y610" s="36"/>
      <c r="Z610" s="36"/>
      <c r="AA610" s="36"/>
      <c r="AB610" s="42"/>
      <c r="AC610" s="42"/>
      <c r="AD610" s="36"/>
      <c r="AE610" s="36"/>
      <c r="AF610" s="42"/>
      <c r="AG610" s="42"/>
      <c r="AH610" s="36"/>
      <c r="AI610" s="36"/>
      <c r="AJ610" s="36"/>
      <c r="AK610" s="36"/>
      <c r="AL610" s="36"/>
      <c r="AM610" s="36"/>
      <c r="AN610" s="36"/>
    </row>
    <row r="611" spans="1:40" ht="15.75" x14ac:dyDescent="0.25">
      <c r="A611" s="44"/>
      <c r="B611" s="36"/>
      <c r="C611" s="36"/>
      <c r="D611" s="36"/>
      <c r="E611" s="36"/>
      <c r="F611" s="36"/>
      <c r="G611" s="36"/>
      <c r="H611" s="36"/>
      <c r="I611" s="36"/>
      <c r="J611" s="105"/>
      <c r="K611" s="36"/>
      <c r="L611" s="36"/>
      <c r="M611" s="36"/>
      <c r="N611" s="105"/>
      <c r="O611" s="36"/>
      <c r="P611" s="36"/>
      <c r="Q611" s="36"/>
      <c r="R611" s="105"/>
      <c r="S611" s="36"/>
      <c r="T611" s="36"/>
      <c r="U611" s="36"/>
      <c r="V611" s="36"/>
      <c r="W611" s="36"/>
      <c r="X611" s="36"/>
      <c r="Y611" s="36"/>
      <c r="Z611" s="36"/>
      <c r="AA611" s="36"/>
      <c r="AB611" s="42"/>
      <c r="AC611" s="42"/>
      <c r="AD611" s="36"/>
      <c r="AE611" s="36"/>
      <c r="AF611" s="42"/>
      <c r="AG611" s="42"/>
      <c r="AH611" s="36"/>
      <c r="AI611" s="36"/>
      <c r="AJ611" s="36"/>
      <c r="AK611" s="36"/>
      <c r="AL611" s="36"/>
      <c r="AM611" s="36"/>
      <c r="AN611" s="36"/>
    </row>
    <row r="612" spans="1:40" ht="15.75" x14ac:dyDescent="0.25">
      <c r="A612" s="44"/>
      <c r="B612" s="36"/>
      <c r="C612" s="36"/>
      <c r="D612" s="36"/>
      <c r="E612" s="36"/>
      <c r="F612" s="36"/>
      <c r="G612" s="36"/>
      <c r="H612" s="36"/>
      <c r="I612" s="36"/>
      <c r="J612" s="105"/>
      <c r="K612" s="36"/>
      <c r="L612" s="36"/>
      <c r="M612" s="36"/>
      <c r="N612" s="105"/>
      <c r="O612" s="36"/>
      <c r="P612" s="36"/>
      <c r="Q612" s="36"/>
      <c r="R612" s="105"/>
      <c r="S612" s="36"/>
      <c r="T612" s="36"/>
      <c r="U612" s="36"/>
      <c r="V612" s="36"/>
      <c r="W612" s="36"/>
      <c r="X612" s="36"/>
      <c r="Y612" s="36"/>
      <c r="Z612" s="36"/>
      <c r="AA612" s="36"/>
      <c r="AB612" s="42"/>
      <c r="AC612" s="42"/>
      <c r="AD612" s="36"/>
      <c r="AE612" s="36"/>
      <c r="AF612" s="42"/>
      <c r="AG612" s="42"/>
      <c r="AH612" s="36"/>
      <c r="AI612" s="36"/>
      <c r="AJ612" s="36"/>
      <c r="AK612" s="36"/>
      <c r="AL612" s="36"/>
      <c r="AM612" s="36"/>
      <c r="AN612" s="36"/>
    </row>
    <row r="613" spans="1:40" ht="15.75" x14ac:dyDescent="0.25">
      <c r="A613" s="44"/>
      <c r="B613" s="36"/>
      <c r="C613" s="36"/>
      <c r="D613" s="36"/>
      <c r="E613" s="36"/>
      <c r="F613" s="36"/>
      <c r="G613" s="36"/>
      <c r="H613" s="36"/>
      <c r="I613" s="36"/>
      <c r="J613" s="105"/>
      <c r="K613" s="36"/>
      <c r="L613" s="36"/>
      <c r="M613" s="36"/>
      <c r="N613" s="105"/>
      <c r="O613" s="36"/>
      <c r="P613" s="36"/>
      <c r="Q613" s="36"/>
      <c r="R613" s="105"/>
      <c r="S613" s="36"/>
      <c r="T613" s="36"/>
      <c r="U613" s="36"/>
      <c r="V613" s="36"/>
      <c r="W613" s="36"/>
      <c r="X613" s="36"/>
      <c r="Y613" s="36"/>
      <c r="Z613" s="36"/>
      <c r="AA613" s="36"/>
      <c r="AB613" s="42"/>
      <c r="AC613" s="42"/>
      <c r="AD613" s="36"/>
      <c r="AE613" s="36"/>
      <c r="AF613" s="42"/>
      <c r="AG613" s="42"/>
      <c r="AH613" s="36"/>
      <c r="AI613" s="36"/>
      <c r="AJ613" s="36"/>
      <c r="AK613" s="36"/>
      <c r="AL613" s="36"/>
      <c r="AM613" s="36"/>
      <c r="AN613" s="36"/>
    </row>
    <row r="614" spans="1:40" ht="15.75" x14ac:dyDescent="0.25">
      <c r="A614" s="44"/>
      <c r="B614" s="36"/>
      <c r="C614" s="36"/>
      <c r="D614" s="36"/>
      <c r="E614" s="36"/>
      <c r="F614" s="36"/>
      <c r="G614" s="36"/>
      <c r="H614" s="36"/>
      <c r="I614" s="36"/>
      <c r="J614" s="105"/>
      <c r="K614" s="36"/>
      <c r="L614" s="36"/>
      <c r="M614" s="36"/>
      <c r="N614" s="105"/>
      <c r="O614" s="36"/>
      <c r="P614" s="36"/>
      <c r="Q614" s="36"/>
      <c r="R614" s="105"/>
      <c r="S614" s="36"/>
      <c r="T614" s="36"/>
      <c r="U614" s="36"/>
      <c r="V614" s="36"/>
      <c r="W614" s="36"/>
      <c r="X614" s="36"/>
      <c r="Y614" s="36"/>
      <c r="Z614" s="36"/>
      <c r="AA614" s="36"/>
      <c r="AB614" s="42"/>
      <c r="AC614" s="42"/>
      <c r="AD614" s="36"/>
      <c r="AE614" s="36"/>
      <c r="AF614" s="42"/>
      <c r="AG614" s="42"/>
      <c r="AH614" s="36"/>
      <c r="AI614" s="36"/>
      <c r="AJ614" s="36"/>
      <c r="AK614" s="36"/>
      <c r="AL614" s="36"/>
      <c r="AM614" s="36"/>
      <c r="AN614" s="36"/>
    </row>
    <row r="615" spans="1:40" ht="15.75" x14ac:dyDescent="0.25">
      <c r="A615" s="44"/>
      <c r="B615" s="36"/>
      <c r="C615" s="36"/>
      <c r="D615" s="36"/>
      <c r="E615" s="36"/>
      <c r="F615" s="36"/>
      <c r="G615" s="36"/>
      <c r="H615" s="36"/>
      <c r="I615" s="36"/>
      <c r="J615" s="105"/>
      <c r="K615" s="36"/>
      <c r="L615" s="36"/>
      <c r="M615" s="36"/>
      <c r="N615" s="105"/>
      <c r="O615" s="36"/>
      <c r="P615" s="36"/>
      <c r="Q615" s="36"/>
      <c r="R615" s="105"/>
      <c r="S615" s="36"/>
      <c r="T615" s="36"/>
      <c r="U615" s="36"/>
      <c r="V615" s="36"/>
      <c r="W615" s="36"/>
      <c r="X615" s="36"/>
      <c r="Y615" s="36"/>
      <c r="Z615" s="36"/>
      <c r="AA615" s="36"/>
      <c r="AB615" s="42"/>
      <c r="AC615" s="42"/>
      <c r="AD615" s="36"/>
      <c r="AE615" s="36"/>
      <c r="AF615" s="42"/>
      <c r="AG615" s="42"/>
      <c r="AH615" s="36"/>
      <c r="AI615" s="36"/>
      <c r="AJ615" s="36"/>
      <c r="AK615" s="36"/>
      <c r="AL615" s="36"/>
      <c r="AM615" s="36"/>
      <c r="AN615" s="36"/>
    </row>
    <row r="616" spans="1:40" ht="15.75" x14ac:dyDescent="0.25">
      <c r="A616" s="44"/>
      <c r="B616" s="36"/>
      <c r="C616" s="36"/>
      <c r="D616" s="36"/>
      <c r="E616" s="36"/>
      <c r="F616" s="36"/>
      <c r="G616" s="36"/>
      <c r="H616" s="36"/>
      <c r="I616" s="36"/>
      <c r="J616" s="105"/>
      <c r="K616" s="36"/>
      <c r="L616" s="36"/>
      <c r="M616" s="36"/>
      <c r="N616" s="105"/>
      <c r="O616" s="36"/>
      <c r="P616" s="36"/>
      <c r="Q616" s="36"/>
      <c r="R616" s="105"/>
      <c r="S616" s="36"/>
      <c r="T616" s="36"/>
      <c r="U616" s="36"/>
      <c r="V616" s="36"/>
      <c r="W616" s="36"/>
      <c r="X616" s="36"/>
      <c r="Y616" s="36"/>
      <c r="Z616" s="36"/>
      <c r="AA616" s="36"/>
      <c r="AB616" s="42"/>
      <c r="AC616" s="42"/>
      <c r="AD616" s="36"/>
      <c r="AE616" s="36"/>
      <c r="AF616" s="42"/>
      <c r="AG616" s="42"/>
      <c r="AH616" s="36"/>
      <c r="AI616" s="36"/>
      <c r="AJ616" s="36"/>
      <c r="AK616" s="36"/>
      <c r="AL616" s="36"/>
      <c r="AM616" s="36"/>
      <c r="AN616" s="36"/>
    </row>
    <row r="617" spans="1:40" ht="15.75" x14ac:dyDescent="0.25">
      <c r="A617" s="44"/>
      <c r="B617" s="36"/>
      <c r="C617" s="36"/>
      <c r="D617" s="36"/>
      <c r="E617" s="36"/>
      <c r="F617" s="36"/>
      <c r="G617" s="36"/>
      <c r="H617" s="36"/>
      <c r="I617" s="36"/>
      <c r="J617" s="105"/>
      <c r="K617" s="36"/>
      <c r="L617" s="36"/>
      <c r="M617" s="36"/>
      <c r="N617" s="105"/>
      <c r="O617" s="36"/>
      <c r="P617" s="36"/>
      <c r="Q617" s="36"/>
      <c r="R617" s="105"/>
      <c r="S617" s="36"/>
      <c r="T617" s="36"/>
      <c r="U617" s="36"/>
      <c r="V617" s="36"/>
      <c r="W617" s="36"/>
      <c r="X617" s="36"/>
      <c r="Y617" s="36"/>
      <c r="Z617" s="36"/>
      <c r="AA617" s="36"/>
      <c r="AB617" s="42"/>
      <c r="AC617" s="42"/>
      <c r="AD617" s="36"/>
      <c r="AE617" s="36"/>
      <c r="AF617" s="42"/>
      <c r="AG617" s="42"/>
      <c r="AH617" s="36"/>
      <c r="AI617" s="36"/>
      <c r="AJ617" s="36"/>
      <c r="AK617" s="36"/>
      <c r="AL617" s="36"/>
      <c r="AM617" s="36"/>
      <c r="AN617" s="36"/>
    </row>
    <row r="618" spans="1:40" ht="15.75" x14ac:dyDescent="0.25">
      <c r="A618" s="44"/>
      <c r="B618" s="36"/>
      <c r="C618" s="36"/>
      <c r="D618" s="36"/>
      <c r="E618" s="36"/>
      <c r="F618" s="36"/>
      <c r="G618" s="36"/>
      <c r="H618" s="36"/>
      <c r="I618" s="36"/>
      <c r="J618" s="105"/>
      <c r="K618" s="36"/>
      <c r="L618" s="36"/>
      <c r="M618" s="36"/>
      <c r="N618" s="105"/>
      <c r="O618" s="36"/>
      <c r="P618" s="36"/>
      <c r="Q618" s="36"/>
      <c r="R618" s="105"/>
      <c r="S618" s="36"/>
      <c r="T618" s="36"/>
      <c r="U618" s="36"/>
      <c r="V618" s="36"/>
      <c r="W618" s="36"/>
      <c r="X618" s="36"/>
      <c r="Y618" s="36"/>
      <c r="Z618" s="36"/>
      <c r="AA618" s="36"/>
      <c r="AB618" s="42"/>
      <c r="AC618" s="42"/>
      <c r="AD618" s="36"/>
      <c r="AE618" s="36"/>
      <c r="AF618" s="42"/>
      <c r="AG618" s="42"/>
      <c r="AH618" s="36"/>
      <c r="AI618" s="36"/>
      <c r="AJ618" s="36"/>
      <c r="AK618" s="36"/>
      <c r="AL618" s="36"/>
      <c r="AM618" s="36"/>
      <c r="AN618" s="36"/>
    </row>
    <row r="619" spans="1:40" ht="15.75" x14ac:dyDescent="0.25">
      <c r="A619" s="44"/>
      <c r="B619" s="36"/>
      <c r="C619" s="36"/>
      <c r="D619" s="36"/>
      <c r="E619" s="36"/>
      <c r="F619" s="36"/>
      <c r="G619" s="36"/>
      <c r="H619" s="36"/>
      <c r="I619" s="36"/>
      <c r="J619" s="105"/>
      <c r="K619" s="36"/>
      <c r="L619" s="36"/>
      <c r="M619" s="36"/>
      <c r="N619" s="105"/>
      <c r="O619" s="36"/>
      <c r="P619" s="36"/>
      <c r="Q619" s="36"/>
      <c r="R619" s="105"/>
      <c r="S619" s="36"/>
      <c r="T619" s="36"/>
      <c r="U619" s="36"/>
      <c r="V619" s="36"/>
      <c r="W619" s="36"/>
      <c r="X619" s="36"/>
      <c r="Y619" s="36"/>
      <c r="Z619" s="36"/>
      <c r="AA619" s="36"/>
      <c r="AB619" s="42"/>
      <c r="AC619" s="42"/>
      <c r="AD619" s="36"/>
      <c r="AE619" s="36"/>
      <c r="AF619" s="42"/>
      <c r="AG619" s="42"/>
      <c r="AH619" s="36"/>
      <c r="AI619" s="36"/>
      <c r="AJ619" s="36"/>
      <c r="AK619" s="36"/>
      <c r="AL619" s="36"/>
      <c r="AM619" s="36"/>
      <c r="AN619" s="36"/>
    </row>
    <row r="620" spans="1:40" ht="15.75" x14ac:dyDescent="0.25">
      <c r="A620" s="44"/>
      <c r="B620" s="36"/>
      <c r="C620" s="36"/>
      <c r="D620" s="36"/>
      <c r="E620" s="36"/>
      <c r="F620" s="36"/>
      <c r="G620" s="36"/>
      <c r="H620" s="36"/>
      <c r="I620" s="36"/>
      <c r="J620" s="105"/>
      <c r="K620" s="36"/>
      <c r="L620" s="36"/>
      <c r="M620" s="36"/>
      <c r="N620" s="105"/>
      <c r="O620" s="36"/>
      <c r="P620" s="36"/>
      <c r="Q620" s="36"/>
      <c r="R620" s="105"/>
      <c r="S620" s="36"/>
      <c r="T620" s="36"/>
      <c r="U620" s="36"/>
      <c r="V620" s="36"/>
      <c r="W620" s="36"/>
      <c r="X620" s="36"/>
      <c r="Y620" s="36"/>
      <c r="Z620" s="36"/>
      <c r="AA620" s="36"/>
      <c r="AB620" s="42"/>
      <c r="AC620" s="42"/>
      <c r="AD620" s="36"/>
      <c r="AE620" s="36"/>
      <c r="AF620" s="42"/>
      <c r="AG620" s="42"/>
      <c r="AH620" s="36"/>
      <c r="AI620" s="36"/>
      <c r="AJ620" s="36"/>
      <c r="AK620" s="36"/>
      <c r="AL620" s="36"/>
      <c r="AM620" s="36"/>
      <c r="AN620" s="36"/>
    </row>
    <row r="621" spans="1:40" ht="15.75" x14ac:dyDescent="0.25">
      <c r="A621" s="44"/>
      <c r="B621" s="36"/>
      <c r="C621" s="36"/>
      <c r="D621" s="36"/>
      <c r="E621" s="36"/>
      <c r="F621" s="36"/>
      <c r="G621" s="36"/>
      <c r="H621" s="36"/>
      <c r="I621" s="36"/>
      <c r="J621" s="105"/>
      <c r="K621" s="36"/>
      <c r="L621" s="36"/>
      <c r="M621" s="36"/>
      <c r="N621" s="105"/>
      <c r="O621" s="36"/>
      <c r="P621" s="36"/>
      <c r="Q621" s="36"/>
      <c r="R621" s="105"/>
      <c r="S621" s="36"/>
      <c r="T621" s="36"/>
      <c r="U621" s="36"/>
      <c r="V621" s="36"/>
      <c r="W621" s="36"/>
      <c r="X621" s="36"/>
      <c r="Y621" s="36"/>
      <c r="Z621" s="36"/>
      <c r="AA621" s="36"/>
      <c r="AB621" s="42"/>
      <c r="AC621" s="42"/>
      <c r="AD621" s="36"/>
      <c r="AE621" s="36"/>
      <c r="AF621" s="42"/>
      <c r="AG621" s="42"/>
      <c r="AH621" s="36"/>
      <c r="AI621" s="36"/>
      <c r="AJ621" s="36"/>
      <c r="AK621" s="36"/>
      <c r="AL621" s="36"/>
      <c r="AM621" s="36"/>
      <c r="AN621" s="36"/>
    </row>
    <row r="622" spans="1:40" ht="15.75" x14ac:dyDescent="0.25">
      <c r="A622" s="44"/>
      <c r="B622" s="36"/>
      <c r="C622" s="36"/>
      <c r="D622" s="36"/>
      <c r="E622" s="36"/>
      <c r="F622" s="36"/>
      <c r="G622" s="36"/>
      <c r="H622" s="36"/>
      <c r="I622" s="36"/>
      <c r="J622" s="105"/>
      <c r="K622" s="36"/>
      <c r="L622" s="36"/>
      <c r="M622" s="36"/>
      <c r="N622" s="105"/>
      <c r="O622" s="36"/>
      <c r="P622" s="36"/>
      <c r="Q622" s="36"/>
      <c r="R622" s="105"/>
      <c r="S622" s="36"/>
      <c r="T622" s="36"/>
      <c r="U622" s="36"/>
      <c r="V622" s="36"/>
      <c r="W622" s="36"/>
      <c r="X622" s="36"/>
      <c r="Y622" s="36"/>
      <c r="Z622" s="36"/>
      <c r="AA622" s="36"/>
      <c r="AB622" s="42"/>
      <c r="AC622" s="42"/>
      <c r="AD622" s="36"/>
      <c r="AE622" s="36"/>
      <c r="AF622" s="42"/>
      <c r="AG622" s="42"/>
      <c r="AH622" s="36"/>
      <c r="AI622" s="36"/>
      <c r="AJ622" s="36"/>
      <c r="AK622" s="36"/>
      <c r="AL622" s="36"/>
      <c r="AM622" s="36"/>
      <c r="AN622" s="36"/>
    </row>
    <row r="623" spans="1:40" ht="15.75" x14ac:dyDescent="0.25">
      <c r="A623" s="44"/>
      <c r="B623" s="36"/>
      <c r="C623" s="36"/>
      <c r="D623" s="36"/>
      <c r="E623" s="36"/>
      <c r="F623" s="36"/>
      <c r="G623" s="36"/>
      <c r="H623" s="36"/>
      <c r="I623" s="36"/>
      <c r="J623" s="105"/>
      <c r="K623" s="36"/>
      <c r="L623" s="36"/>
      <c r="M623" s="36"/>
      <c r="N623" s="105"/>
      <c r="O623" s="36"/>
      <c r="P623" s="36"/>
      <c r="Q623" s="36"/>
      <c r="R623" s="105"/>
      <c r="S623" s="36"/>
      <c r="T623" s="36"/>
      <c r="U623" s="36"/>
      <c r="V623" s="36"/>
      <c r="W623" s="36"/>
      <c r="X623" s="36"/>
      <c r="Y623" s="36"/>
      <c r="Z623" s="36"/>
      <c r="AA623" s="36"/>
      <c r="AB623" s="42"/>
      <c r="AC623" s="42"/>
      <c r="AD623" s="36"/>
      <c r="AE623" s="36"/>
      <c r="AF623" s="42"/>
      <c r="AG623" s="42"/>
      <c r="AH623" s="36"/>
      <c r="AI623" s="36"/>
      <c r="AJ623" s="36"/>
      <c r="AK623" s="36"/>
      <c r="AL623" s="36"/>
      <c r="AM623" s="36"/>
      <c r="AN623" s="36"/>
    </row>
    <row r="624" spans="1:40" ht="15.75" x14ac:dyDescent="0.25">
      <c r="A624" s="44"/>
      <c r="B624" s="36"/>
      <c r="C624" s="36"/>
      <c r="D624" s="36"/>
      <c r="E624" s="36"/>
      <c r="F624" s="36"/>
      <c r="G624" s="36"/>
      <c r="H624" s="36"/>
      <c r="I624" s="36"/>
      <c r="J624" s="105"/>
      <c r="K624" s="36"/>
      <c r="L624" s="36"/>
      <c r="M624" s="36"/>
      <c r="N624" s="105"/>
      <c r="O624" s="36"/>
      <c r="P624" s="36"/>
      <c r="Q624" s="36"/>
      <c r="R624" s="105"/>
      <c r="S624" s="36"/>
      <c r="T624" s="36"/>
      <c r="U624" s="36"/>
      <c r="V624" s="36"/>
      <c r="W624" s="36"/>
      <c r="X624" s="36"/>
      <c r="Y624" s="36"/>
      <c r="Z624" s="36"/>
      <c r="AA624" s="36"/>
      <c r="AB624" s="42"/>
      <c r="AC624" s="42"/>
      <c r="AD624" s="36"/>
      <c r="AE624" s="36"/>
      <c r="AF624" s="42"/>
      <c r="AG624" s="42"/>
      <c r="AH624" s="36"/>
      <c r="AI624" s="36"/>
      <c r="AJ624" s="36"/>
      <c r="AK624" s="36"/>
      <c r="AL624" s="36"/>
      <c r="AM624" s="36"/>
      <c r="AN624" s="36"/>
    </row>
    <row r="625" spans="1:40" ht="15.75" x14ac:dyDescent="0.25">
      <c r="A625" s="44"/>
      <c r="B625" s="36"/>
      <c r="C625" s="36"/>
      <c r="D625" s="36"/>
      <c r="E625" s="36"/>
      <c r="F625" s="36"/>
      <c r="G625" s="36"/>
      <c r="H625" s="36"/>
      <c r="I625" s="36"/>
      <c r="J625" s="105"/>
      <c r="K625" s="36"/>
      <c r="L625" s="36"/>
      <c r="M625" s="36"/>
      <c r="N625" s="105"/>
      <c r="O625" s="36"/>
      <c r="P625" s="36"/>
      <c r="Q625" s="36"/>
      <c r="R625" s="105"/>
      <c r="S625" s="36"/>
      <c r="T625" s="36"/>
      <c r="U625" s="36"/>
      <c r="V625" s="36"/>
      <c r="W625" s="36"/>
      <c r="X625" s="36"/>
      <c r="Y625" s="36"/>
      <c r="Z625" s="36"/>
      <c r="AA625" s="36"/>
      <c r="AB625" s="42"/>
      <c r="AC625" s="42"/>
      <c r="AD625" s="36"/>
      <c r="AE625" s="36"/>
      <c r="AF625" s="42"/>
      <c r="AG625" s="42"/>
      <c r="AH625" s="36"/>
      <c r="AI625" s="36"/>
      <c r="AJ625" s="36"/>
      <c r="AK625" s="36"/>
      <c r="AL625" s="36"/>
      <c r="AM625" s="36"/>
      <c r="AN625" s="36"/>
    </row>
    <row r="626" spans="1:40" ht="15.75" x14ac:dyDescent="0.25">
      <c r="A626" s="44"/>
      <c r="B626" s="36"/>
      <c r="C626" s="36"/>
      <c r="D626" s="36"/>
      <c r="E626" s="36"/>
      <c r="F626" s="36"/>
      <c r="G626" s="36"/>
      <c r="H626" s="36"/>
      <c r="I626" s="36"/>
      <c r="J626" s="105"/>
      <c r="K626" s="36"/>
      <c r="L626" s="36"/>
      <c r="M626" s="36"/>
      <c r="N626" s="105"/>
      <c r="O626" s="36"/>
      <c r="P626" s="36"/>
      <c r="Q626" s="36"/>
      <c r="R626" s="105"/>
      <c r="S626" s="36"/>
      <c r="T626" s="36"/>
      <c r="U626" s="36"/>
      <c r="V626" s="36"/>
      <c r="W626" s="36"/>
      <c r="X626" s="36"/>
      <c r="Y626" s="36"/>
      <c r="Z626" s="36"/>
      <c r="AA626" s="36"/>
      <c r="AB626" s="42"/>
      <c r="AC626" s="42"/>
      <c r="AD626" s="36"/>
      <c r="AE626" s="36"/>
      <c r="AF626" s="42"/>
      <c r="AG626" s="42"/>
      <c r="AH626" s="36"/>
      <c r="AI626" s="36"/>
      <c r="AJ626" s="36"/>
      <c r="AK626" s="36"/>
      <c r="AL626" s="36"/>
      <c r="AM626" s="36"/>
      <c r="AN626" s="36"/>
    </row>
    <row r="627" spans="1:40" ht="15.75" x14ac:dyDescent="0.25">
      <c r="A627" s="44"/>
      <c r="B627" s="36"/>
      <c r="C627" s="36"/>
      <c r="D627" s="36"/>
      <c r="E627" s="36"/>
      <c r="F627" s="36"/>
      <c r="G627" s="36"/>
      <c r="H627" s="36"/>
      <c r="I627" s="36"/>
      <c r="J627" s="105"/>
      <c r="K627" s="36"/>
      <c r="L627" s="36"/>
      <c r="M627" s="36"/>
      <c r="N627" s="105"/>
      <c r="O627" s="36"/>
      <c r="P627" s="36"/>
      <c r="Q627" s="36"/>
      <c r="R627" s="105"/>
      <c r="S627" s="36"/>
      <c r="T627" s="36"/>
      <c r="U627" s="36"/>
      <c r="V627" s="36"/>
      <c r="W627" s="36"/>
      <c r="X627" s="36"/>
      <c r="Y627" s="36"/>
      <c r="Z627" s="36"/>
      <c r="AA627" s="36"/>
      <c r="AB627" s="42"/>
      <c r="AC627" s="42"/>
      <c r="AD627" s="36"/>
      <c r="AE627" s="36"/>
      <c r="AF627" s="42"/>
      <c r="AG627" s="42"/>
      <c r="AH627" s="36"/>
      <c r="AI627" s="36"/>
      <c r="AJ627" s="36"/>
      <c r="AK627" s="36"/>
      <c r="AL627" s="36"/>
      <c r="AM627" s="36"/>
      <c r="AN627" s="36"/>
    </row>
    <row r="628" spans="1:40" ht="15.75" x14ac:dyDescent="0.25">
      <c r="A628" s="44"/>
      <c r="B628" s="36"/>
      <c r="C628" s="36"/>
      <c r="D628" s="36"/>
      <c r="E628" s="36"/>
      <c r="F628" s="36"/>
      <c r="G628" s="36"/>
      <c r="H628" s="36"/>
      <c r="I628" s="36"/>
      <c r="J628" s="105"/>
      <c r="K628" s="36"/>
      <c r="L628" s="36"/>
      <c r="M628" s="36"/>
      <c r="N628" s="105"/>
      <c r="O628" s="36"/>
      <c r="P628" s="36"/>
      <c r="Q628" s="36"/>
      <c r="R628" s="105"/>
      <c r="S628" s="36"/>
      <c r="T628" s="36"/>
      <c r="U628" s="36"/>
      <c r="V628" s="36"/>
      <c r="W628" s="36"/>
      <c r="X628" s="36"/>
      <c r="Y628" s="36"/>
      <c r="Z628" s="36"/>
      <c r="AA628" s="36"/>
      <c r="AB628" s="42"/>
      <c r="AC628" s="42"/>
      <c r="AD628" s="36"/>
      <c r="AE628" s="36"/>
      <c r="AF628" s="42"/>
      <c r="AG628" s="42"/>
      <c r="AH628" s="36"/>
      <c r="AI628" s="36"/>
      <c r="AJ628" s="36"/>
      <c r="AK628" s="36"/>
      <c r="AL628" s="36"/>
      <c r="AM628" s="36"/>
      <c r="AN628" s="36"/>
    </row>
    <row r="629" spans="1:40" ht="15.75" x14ac:dyDescent="0.25">
      <c r="A629" s="44"/>
      <c r="B629" s="36"/>
      <c r="C629" s="36"/>
      <c r="D629" s="36"/>
      <c r="E629" s="36"/>
      <c r="F629" s="36"/>
      <c r="G629" s="36"/>
      <c r="H629" s="36"/>
      <c r="I629" s="36"/>
      <c r="J629" s="105"/>
      <c r="K629" s="36"/>
      <c r="L629" s="36"/>
      <c r="M629" s="36"/>
      <c r="N629" s="105"/>
      <c r="O629" s="36"/>
      <c r="P629" s="36"/>
      <c r="Q629" s="36"/>
      <c r="R629" s="105"/>
      <c r="S629" s="36"/>
      <c r="T629" s="36"/>
      <c r="U629" s="36"/>
      <c r="V629" s="36"/>
      <c r="W629" s="36"/>
      <c r="X629" s="36"/>
      <c r="Y629" s="36"/>
      <c r="Z629" s="36"/>
      <c r="AA629" s="36"/>
      <c r="AB629" s="42"/>
      <c r="AC629" s="42"/>
      <c r="AD629" s="36"/>
      <c r="AE629" s="36"/>
      <c r="AF629" s="42"/>
      <c r="AG629" s="42"/>
      <c r="AH629" s="36"/>
      <c r="AI629" s="36"/>
      <c r="AJ629" s="36"/>
      <c r="AK629" s="36"/>
      <c r="AL629" s="36"/>
      <c r="AM629" s="36"/>
      <c r="AN629" s="36"/>
    </row>
    <row r="630" spans="1:40" ht="15.75" x14ac:dyDescent="0.25">
      <c r="A630" s="44"/>
      <c r="B630" s="36"/>
      <c r="C630" s="36"/>
      <c r="D630" s="36"/>
      <c r="E630" s="36"/>
      <c r="F630" s="36"/>
      <c r="G630" s="36"/>
      <c r="H630" s="36"/>
      <c r="I630" s="36"/>
      <c r="J630" s="105"/>
      <c r="K630" s="36"/>
      <c r="L630" s="36"/>
      <c r="M630" s="36"/>
      <c r="N630" s="105"/>
      <c r="O630" s="36"/>
      <c r="P630" s="36"/>
      <c r="Q630" s="36"/>
      <c r="R630" s="105"/>
      <c r="S630" s="36"/>
      <c r="T630" s="36"/>
      <c r="U630" s="36"/>
      <c r="V630" s="36"/>
      <c r="W630" s="36"/>
      <c r="X630" s="36"/>
      <c r="Y630" s="36"/>
      <c r="Z630" s="36"/>
      <c r="AA630" s="36"/>
      <c r="AB630" s="42"/>
      <c r="AC630" s="42"/>
      <c r="AD630" s="36"/>
      <c r="AE630" s="36"/>
      <c r="AF630" s="42"/>
      <c r="AG630" s="42"/>
      <c r="AH630" s="36"/>
      <c r="AI630" s="36"/>
      <c r="AJ630" s="36"/>
      <c r="AK630" s="36"/>
      <c r="AL630" s="36"/>
      <c r="AM630" s="36"/>
      <c r="AN630" s="36"/>
    </row>
    <row r="631" spans="1:40" ht="15.75" x14ac:dyDescent="0.25">
      <c r="A631" s="44"/>
      <c r="B631" s="36"/>
      <c r="C631" s="36"/>
      <c r="D631" s="36"/>
      <c r="E631" s="36"/>
      <c r="F631" s="36"/>
      <c r="G631" s="36"/>
      <c r="H631" s="36"/>
      <c r="I631" s="36"/>
      <c r="J631" s="105"/>
      <c r="K631" s="36"/>
      <c r="L631" s="36"/>
      <c r="M631" s="36"/>
      <c r="N631" s="105"/>
      <c r="O631" s="36"/>
      <c r="P631" s="36"/>
      <c r="Q631" s="36"/>
      <c r="R631" s="105"/>
      <c r="S631" s="36"/>
      <c r="T631" s="36"/>
      <c r="U631" s="36"/>
      <c r="V631" s="36"/>
      <c r="W631" s="36"/>
      <c r="X631" s="36"/>
      <c r="Y631" s="36"/>
      <c r="Z631" s="36"/>
      <c r="AA631" s="36"/>
      <c r="AB631" s="42"/>
      <c r="AC631" s="42"/>
      <c r="AD631" s="36"/>
      <c r="AE631" s="36"/>
      <c r="AF631" s="42"/>
      <c r="AG631" s="42"/>
      <c r="AH631" s="36"/>
      <c r="AI631" s="36"/>
      <c r="AJ631" s="36"/>
      <c r="AK631" s="36"/>
      <c r="AL631" s="36"/>
      <c r="AM631" s="36"/>
      <c r="AN631" s="36"/>
    </row>
    <row r="632" spans="1:40" ht="15.75" x14ac:dyDescent="0.25">
      <c r="A632" s="44"/>
      <c r="B632" s="36"/>
      <c r="C632" s="36"/>
      <c r="D632" s="36"/>
      <c r="E632" s="36"/>
      <c r="F632" s="36"/>
      <c r="G632" s="36"/>
      <c r="H632" s="36"/>
      <c r="I632" s="36"/>
      <c r="J632" s="105"/>
      <c r="K632" s="36"/>
      <c r="L632" s="36"/>
      <c r="M632" s="36"/>
      <c r="N632" s="105"/>
      <c r="O632" s="36"/>
      <c r="P632" s="36"/>
      <c r="Q632" s="36"/>
      <c r="R632" s="105"/>
      <c r="S632" s="36"/>
      <c r="T632" s="36"/>
      <c r="U632" s="36"/>
      <c r="V632" s="36"/>
      <c r="W632" s="36"/>
      <c r="X632" s="36"/>
      <c r="Y632" s="36"/>
      <c r="Z632" s="36"/>
      <c r="AA632" s="36"/>
      <c r="AB632" s="42"/>
      <c r="AC632" s="42"/>
      <c r="AD632" s="36"/>
      <c r="AE632" s="36"/>
      <c r="AF632" s="42"/>
      <c r="AG632" s="42"/>
      <c r="AH632" s="36"/>
      <c r="AI632" s="36"/>
      <c r="AJ632" s="36"/>
      <c r="AK632" s="36"/>
      <c r="AL632" s="36"/>
      <c r="AM632" s="36"/>
      <c r="AN632" s="36"/>
    </row>
    <row r="633" spans="1:40" ht="15.75" x14ac:dyDescent="0.25">
      <c r="A633" s="44"/>
      <c r="B633" s="36"/>
      <c r="C633" s="36"/>
      <c r="D633" s="36"/>
      <c r="E633" s="36"/>
      <c r="F633" s="36"/>
      <c r="G633" s="36"/>
      <c r="H633" s="36"/>
      <c r="I633" s="36"/>
      <c r="J633" s="105"/>
      <c r="K633" s="36"/>
      <c r="L633" s="36"/>
      <c r="M633" s="36"/>
      <c r="N633" s="105"/>
      <c r="O633" s="36"/>
      <c r="P633" s="36"/>
      <c r="Q633" s="36"/>
      <c r="R633" s="105"/>
      <c r="S633" s="36"/>
      <c r="T633" s="36"/>
      <c r="U633" s="36"/>
      <c r="V633" s="36"/>
      <c r="W633" s="36"/>
      <c r="X633" s="36"/>
      <c r="Y633" s="36"/>
      <c r="Z633" s="36"/>
      <c r="AA633" s="36"/>
      <c r="AB633" s="42"/>
      <c r="AC633" s="42"/>
      <c r="AD633" s="36"/>
      <c r="AE633" s="36"/>
      <c r="AF633" s="42"/>
      <c r="AG633" s="42"/>
      <c r="AH633" s="36"/>
      <c r="AI633" s="36"/>
      <c r="AJ633" s="36"/>
      <c r="AK633" s="36"/>
      <c r="AL633" s="36"/>
      <c r="AM633" s="36"/>
      <c r="AN633" s="36"/>
    </row>
    <row r="634" spans="1:40" ht="15.75" x14ac:dyDescent="0.25">
      <c r="A634" s="44"/>
      <c r="B634" s="36"/>
      <c r="C634" s="36"/>
      <c r="D634" s="36"/>
      <c r="E634" s="36"/>
      <c r="F634" s="36"/>
      <c r="G634" s="36"/>
      <c r="H634" s="36"/>
      <c r="I634" s="36"/>
      <c r="J634" s="105"/>
      <c r="K634" s="36"/>
      <c r="L634" s="36"/>
      <c r="M634" s="36"/>
      <c r="N634" s="105"/>
      <c r="O634" s="36"/>
      <c r="P634" s="36"/>
      <c r="Q634" s="36"/>
      <c r="R634" s="105"/>
      <c r="S634" s="36"/>
      <c r="T634" s="36"/>
      <c r="U634" s="36"/>
      <c r="V634" s="36"/>
      <c r="W634" s="36"/>
      <c r="X634" s="36"/>
      <c r="Y634" s="36"/>
      <c r="Z634" s="36"/>
      <c r="AA634" s="36"/>
      <c r="AB634" s="42"/>
      <c r="AC634" s="42"/>
      <c r="AD634" s="36"/>
      <c r="AE634" s="36"/>
      <c r="AF634" s="42"/>
      <c r="AG634" s="42"/>
      <c r="AH634" s="36"/>
      <c r="AI634" s="36"/>
      <c r="AJ634" s="36"/>
      <c r="AK634" s="36"/>
      <c r="AL634" s="36"/>
      <c r="AM634" s="36"/>
      <c r="AN634" s="36"/>
    </row>
    <row r="635" spans="1:40" ht="15.75" x14ac:dyDescent="0.25">
      <c r="A635" s="44"/>
      <c r="B635" s="36"/>
      <c r="C635" s="36"/>
      <c r="D635" s="36"/>
      <c r="E635" s="36"/>
      <c r="F635" s="36"/>
      <c r="G635" s="36"/>
      <c r="H635" s="36"/>
      <c r="I635" s="36"/>
      <c r="J635" s="105"/>
      <c r="K635" s="36"/>
      <c r="L635" s="36"/>
      <c r="M635" s="36"/>
      <c r="N635" s="105"/>
      <c r="O635" s="36"/>
      <c r="P635" s="36"/>
      <c r="Q635" s="36"/>
      <c r="R635" s="105"/>
      <c r="S635" s="36"/>
      <c r="T635" s="36"/>
      <c r="U635" s="36"/>
      <c r="V635" s="36"/>
      <c r="W635" s="36"/>
      <c r="X635" s="36"/>
      <c r="Y635" s="36"/>
      <c r="Z635" s="36"/>
      <c r="AA635" s="36"/>
      <c r="AB635" s="42"/>
      <c r="AC635" s="42"/>
      <c r="AD635" s="36"/>
      <c r="AE635" s="36"/>
      <c r="AF635" s="42"/>
      <c r="AG635" s="42"/>
      <c r="AH635" s="36"/>
      <c r="AI635" s="36"/>
      <c r="AJ635" s="36"/>
      <c r="AK635" s="36"/>
      <c r="AL635" s="36"/>
      <c r="AM635" s="36"/>
      <c r="AN635" s="36"/>
    </row>
    <row r="636" spans="1:40" ht="15.75" x14ac:dyDescent="0.25">
      <c r="A636" s="44"/>
      <c r="B636" s="36"/>
      <c r="C636" s="36"/>
      <c r="D636" s="36"/>
      <c r="E636" s="36"/>
      <c r="F636" s="36"/>
      <c r="G636" s="36"/>
      <c r="H636" s="36"/>
      <c r="I636" s="36"/>
      <c r="J636" s="105"/>
      <c r="K636" s="36"/>
      <c r="L636" s="36"/>
      <c r="M636" s="36"/>
      <c r="N636" s="105"/>
      <c r="O636" s="36"/>
      <c r="P636" s="36"/>
      <c r="Q636" s="36"/>
      <c r="R636" s="105"/>
      <c r="S636" s="36"/>
      <c r="T636" s="36"/>
      <c r="U636" s="36"/>
      <c r="V636" s="36"/>
      <c r="W636" s="36"/>
      <c r="X636" s="36"/>
      <c r="Y636" s="36"/>
      <c r="Z636" s="36"/>
      <c r="AA636" s="36"/>
      <c r="AB636" s="42"/>
      <c r="AC636" s="42"/>
      <c r="AD636" s="36"/>
      <c r="AE636" s="36"/>
      <c r="AF636" s="42"/>
      <c r="AG636" s="42"/>
      <c r="AH636" s="36"/>
      <c r="AI636" s="36"/>
      <c r="AJ636" s="36"/>
      <c r="AK636" s="36"/>
      <c r="AL636" s="36"/>
      <c r="AM636" s="36"/>
      <c r="AN636" s="36"/>
    </row>
    <row r="637" spans="1:40" ht="15.75" x14ac:dyDescent="0.25">
      <c r="A637" s="44"/>
      <c r="B637" s="36"/>
      <c r="C637" s="36"/>
      <c r="D637" s="36"/>
      <c r="E637" s="36"/>
      <c r="F637" s="36"/>
      <c r="G637" s="36"/>
      <c r="H637" s="36"/>
      <c r="I637" s="36"/>
      <c r="J637" s="105"/>
      <c r="K637" s="36"/>
      <c r="L637" s="36"/>
      <c r="M637" s="36"/>
      <c r="N637" s="105"/>
      <c r="O637" s="36"/>
      <c r="P637" s="36"/>
      <c r="Q637" s="36"/>
      <c r="R637" s="105"/>
      <c r="S637" s="36"/>
      <c r="T637" s="36"/>
      <c r="U637" s="36"/>
      <c r="V637" s="36"/>
      <c r="W637" s="36"/>
      <c r="X637" s="36"/>
      <c r="Y637" s="36"/>
      <c r="Z637" s="36"/>
      <c r="AA637" s="36"/>
      <c r="AB637" s="42"/>
      <c r="AC637" s="42"/>
      <c r="AD637" s="36"/>
      <c r="AE637" s="36"/>
      <c r="AF637" s="42"/>
      <c r="AG637" s="42"/>
      <c r="AH637" s="36"/>
      <c r="AI637" s="36"/>
      <c r="AJ637" s="36"/>
      <c r="AK637" s="36"/>
      <c r="AL637" s="36"/>
      <c r="AM637" s="36"/>
      <c r="AN637" s="36"/>
    </row>
    <row r="638" spans="1:40" ht="15.75" x14ac:dyDescent="0.25">
      <c r="A638" s="44"/>
      <c r="B638" s="36"/>
      <c r="C638" s="36"/>
      <c r="D638" s="36"/>
      <c r="E638" s="36"/>
      <c r="F638" s="36"/>
      <c r="G638" s="36"/>
      <c r="H638" s="36"/>
      <c r="I638" s="36"/>
      <c r="J638" s="105"/>
      <c r="K638" s="36"/>
      <c r="L638" s="36"/>
      <c r="M638" s="36"/>
      <c r="N638" s="105"/>
      <c r="O638" s="36"/>
      <c r="P638" s="36"/>
      <c r="Q638" s="36"/>
      <c r="R638" s="105"/>
      <c r="S638" s="36"/>
      <c r="T638" s="36"/>
      <c r="U638" s="36"/>
      <c r="V638" s="36"/>
      <c r="W638" s="36"/>
      <c r="X638" s="36"/>
      <c r="Y638" s="36"/>
      <c r="Z638" s="36"/>
      <c r="AA638" s="36"/>
      <c r="AB638" s="42"/>
      <c r="AC638" s="42"/>
      <c r="AD638" s="36"/>
      <c r="AE638" s="36"/>
      <c r="AF638" s="42"/>
      <c r="AG638" s="42"/>
      <c r="AH638" s="36"/>
      <c r="AI638" s="36"/>
      <c r="AJ638" s="36"/>
      <c r="AK638" s="36"/>
      <c r="AL638" s="36"/>
      <c r="AM638" s="36"/>
      <c r="AN638" s="36"/>
    </row>
    <row r="639" spans="1:40" ht="15.75" x14ac:dyDescent="0.25">
      <c r="A639" s="44"/>
      <c r="B639" s="36"/>
      <c r="C639" s="36"/>
      <c r="D639" s="36"/>
      <c r="E639" s="36"/>
      <c r="F639" s="36"/>
      <c r="G639" s="36"/>
      <c r="H639" s="36"/>
      <c r="I639" s="36"/>
      <c r="J639" s="105"/>
      <c r="K639" s="36"/>
      <c r="L639" s="36"/>
      <c r="M639" s="36"/>
      <c r="N639" s="105"/>
      <c r="O639" s="36"/>
      <c r="P639" s="36"/>
      <c r="Q639" s="36"/>
      <c r="R639" s="105"/>
      <c r="S639" s="36"/>
      <c r="T639" s="36"/>
      <c r="U639" s="36"/>
      <c r="V639" s="36"/>
      <c r="W639" s="36"/>
      <c r="X639" s="36"/>
      <c r="Y639" s="36"/>
      <c r="Z639" s="36"/>
      <c r="AA639" s="36"/>
      <c r="AB639" s="42"/>
      <c r="AC639" s="42"/>
      <c r="AD639" s="36"/>
      <c r="AE639" s="36"/>
      <c r="AF639" s="42"/>
      <c r="AG639" s="42"/>
      <c r="AH639" s="36"/>
      <c r="AI639" s="36"/>
      <c r="AJ639" s="36"/>
      <c r="AK639" s="36"/>
      <c r="AL639" s="36"/>
      <c r="AM639" s="36"/>
      <c r="AN639" s="36"/>
    </row>
    <row r="640" spans="1:40" ht="15.75" x14ac:dyDescent="0.25">
      <c r="A640" s="44"/>
      <c r="B640" s="36"/>
      <c r="C640" s="36"/>
      <c r="D640" s="36"/>
      <c r="E640" s="36"/>
      <c r="F640" s="36"/>
      <c r="G640" s="36"/>
      <c r="H640" s="36"/>
      <c r="I640" s="36"/>
      <c r="J640" s="105"/>
      <c r="K640" s="36"/>
      <c r="L640" s="36"/>
      <c r="M640" s="36"/>
      <c r="N640" s="105"/>
      <c r="O640" s="36"/>
      <c r="P640" s="36"/>
      <c r="Q640" s="36"/>
      <c r="R640" s="105"/>
      <c r="S640" s="36"/>
      <c r="T640" s="36"/>
      <c r="U640" s="36"/>
      <c r="V640" s="36"/>
      <c r="W640" s="36"/>
      <c r="X640" s="36"/>
      <c r="Y640" s="36"/>
      <c r="Z640" s="36"/>
      <c r="AA640" s="36"/>
      <c r="AB640" s="42"/>
      <c r="AC640" s="42"/>
      <c r="AD640" s="36"/>
      <c r="AE640" s="36"/>
      <c r="AF640" s="42"/>
      <c r="AG640" s="42"/>
      <c r="AH640" s="36"/>
      <c r="AI640" s="36"/>
      <c r="AJ640" s="36"/>
      <c r="AK640" s="36"/>
      <c r="AL640" s="36"/>
      <c r="AM640" s="36"/>
      <c r="AN640" s="36"/>
    </row>
    <row r="641" spans="1:40" ht="15.75" x14ac:dyDescent="0.25">
      <c r="A641" s="44"/>
      <c r="B641" s="36"/>
      <c r="C641" s="36"/>
      <c r="D641" s="36"/>
      <c r="E641" s="36"/>
      <c r="F641" s="36"/>
      <c r="G641" s="36"/>
      <c r="H641" s="36"/>
      <c r="I641" s="36"/>
      <c r="J641" s="105"/>
      <c r="K641" s="36"/>
      <c r="L641" s="36"/>
      <c r="M641" s="36"/>
      <c r="N641" s="105"/>
      <c r="O641" s="36"/>
      <c r="P641" s="36"/>
      <c r="Q641" s="36"/>
      <c r="R641" s="105"/>
      <c r="S641" s="36"/>
      <c r="T641" s="36"/>
      <c r="U641" s="36"/>
      <c r="V641" s="36"/>
      <c r="W641" s="36"/>
      <c r="X641" s="36"/>
      <c r="Y641" s="36"/>
      <c r="Z641" s="36"/>
      <c r="AA641" s="36"/>
      <c r="AB641" s="42"/>
      <c r="AC641" s="42"/>
      <c r="AD641" s="36"/>
      <c r="AE641" s="36"/>
      <c r="AF641" s="42"/>
      <c r="AG641" s="42"/>
      <c r="AH641" s="36"/>
      <c r="AI641" s="36"/>
      <c r="AJ641" s="36"/>
      <c r="AK641" s="36"/>
      <c r="AL641" s="36"/>
      <c r="AM641" s="36"/>
      <c r="AN641" s="36"/>
    </row>
    <row r="642" spans="1:40" ht="15.75" x14ac:dyDescent="0.25">
      <c r="A642" s="44"/>
      <c r="B642" s="36"/>
      <c r="C642" s="36"/>
      <c r="D642" s="36"/>
      <c r="E642" s="36"/>
      <c r="F642" s="36"/>
      <c r="G642" s="36"/>
      <c r="H642" s="36"/>
      <c r="I642" s="36"/>
      <c r="J642" s="105"/>
      <c r="K642" s="36"/>
      <c r="L642" s="36"/>
      <c r="M642" s="36"/>
      <c r="N642" s="105"/>
      <c r="O642" s="36"/>
      <c r="P642" s="36"/>
      <c r="Q642" s="36"/>
      <c r="R642" s="105"/>
      <c r="S642" s="36"/>
      <c r="T642" s="36"/>
      <c r="U642" s="36"/>
      <c r="V642" s="36"/>
      <c r="W642" s="36"/>
      <c r="X642" s="36"/>
      <c r="Y642" s="36"/>
      <c r="Z642" s="36"/>
      <c r="AA642" s="36"/>
      <c r="AB642" s="42"/>
      <c r="AC642" s="42"/>
      <c r="AD642" s="36"/>
      <c r="AE642" s="36"/>
      <c r="AF642" s="42"/>
      <c r="AG642" s="42"/>
      <c r="AH642" s="36"/>
      <c r="AI642" s="36"/>
      <c r="AJ642" s="36"/>
      <c r="AK642" s="36"/>
      <c r="AL642" s="36"/>
      <c r="AM642" s="36"/>
      <c r="AN642" s="36"/>
    </row>
    <row r="643" spans="1:40" ht="15.75" x14ac:dyDescent="0.25">
      <c r="A643" s="44"/>
      <c r="B643" s="36"/>
      <c r="C643" s="36"/>
      <c r="D643" s="36"/>
      <c r="E643" s="36"/>
      <c r="F643" s="36"/>
      <c r="G643" s="36"/>
      <c r="H643" s="36"/>
      <c r="I643" s="36"/>
      <c r="J643" s="105"/>
      <c r="K643" s="36"/>
      <c r="L643" s="36"/>
      <c r="M643" s="36"/>
      <c r="N643" s="105"/>
      <c r="O643" s="36"/>
      <c r="P643" s="36"/>
      <c r="Q643" s="36"/>
      <c r="R643" s="105"/>
      <c r="S643" s="36"/>
      <c r="T643" s="36"/>
      <c r="U643" s="36"/>
      <c r="V643" s="36"/>
      <c r="W643" s="36"/>
      <c r="X643" s="36"/>
      <c r="Y643" s="36"/>
      <c r="Z643" s="36"/>
      <c r="AA643" s="36"/>
      <c r="AB643" s="42"/>
      <c r="AC643" s="42"/>
      <c r="AD643" s="36"/>
      <c r="AE643" s="36"/>
      <c r="AF643" s="42"/>
      <c r="AG643" s="42"/>
      <c r="AH643" s="36"/>
      <c r="AI643" s="36"/>
      <c r="AJ643" s="36"/>
      <c r="AK643" s="36"/>
      <c r="AL643" s="36"/>
      <c r="AM643" s="36"/>
      <c r="AN643" s="36"/>
    </row>
    <row r="644" spans="1:40" ht="15.75" x14ac:dyDescent="0.25">
      <c r="A644" s="44"/>
      <c r="B644" s="36"/>
      <c r="C644" s="36"/>
      <c r="D644" s="36"/>
      <c r="E644" s="36"/>
      <c r="F644" s="36"/>
      <c r="G644" s="36"/>
      <c r="H644" s="36"/>
      <c r="I644" s="36"/>
      <c r="J644" s="105"/>
      <c r="K644" s="36"/>
      <c r="L644" s="36"/>
      <c r="M644" s="36"/>
      <c r="N644" s="105"/>
      <c r="O644" s="36"/>
      <c r="P644" s="36"/>
      <c r="Q644" s="36"/>
      <c r="R644" s="105"/>
      <c r="S644" s="36"/>
      <c r="T644" s="36"/>
      <c r="U644" s="36"/>
      <c r="V644" s="36"/>
      <c r="W644" s="36"/>
      <c r="X644" s="36"/>
      <c r="Y644" s="36"/>
      <c r="Z644" s="36"/>
      <c r="AA644" s="36"/>
      <c r="AB644" s="42"/>
      <c r="AC644" s="42"/>
      <c r="AD644" s="36"/>
      <c r="AE644" s="36"/>
      <c r="AF644" s="42"/>
      <c r="AG644" s="42"/>
      <c r="AH644" s="36"/>
      <c r="AI644" s="36"/>
      <c r="AJ644" s="36"/>
      <c r="AK644" s="36"/>
      <c r="AL644" s="36"/>
      <c r="AM644" s="36"/>
      <c r="AN644" s="36"/>
    </row>
    <row r="645" spans="1:40" ht="15.75" x14ac:dyDescent="0.25">
      <c r="A645" s="44"/>
      <c r="B645" s="36"/>
      <c r="C645" s="36"/>
      <c r="D645" s="36"/>
      <c r="E645" s="36"/>
      <c r="F645" s="36"/>
      <c r="G645" s="36"/>
      <c r="H645" s="36"/>
      <c r="I645" s="36"/>
      <c r="J645" s="105"/>
      <c r="K645" s="36"/>
      <c r="L645" s="36"/>
      <c r="M645" s="36"/>
      <c r="N645" s="105"/>
      <c r="O645" s="36"/>
      <c r="P645" s="36"/>
      <c r="Q645" s="36"/>
      <c r="R645" s="105"/>
      <c r="S645" s="36"/>
      <c r="T645" s="36"/>
      <c r="U645" s="36"/>
      <c r="V645" s="36"/>
      <c r="W645" s="36"/>
      <c r="X645" s="36"/>
      <c r="Y645" s="36"/>
      <c r="Z645" s="36"/>
      <c r="AA645" s="36"/>
      <c r="AB645" s="42"/>
      <c r="AC645" s="42"/>
      <c r="AD645" s="36"/>
      <c r="AE645" s="36"/>
      <c r="AF645" s="42"/>
      <c r="AG645" s="42"/>
      <c r="AH645" s="36"/>
      <c r="AI645" s="36"/>
      <c r="AJ645" s="36"/>
      <c r="AK645" s="36"/>
      <c r="AL645" s="36"/>
      <c r="AM645" s="36"/>
      <c r="AN645" s="36"/>
    </row>
    <row r="646" spans="1:40" ht="15.75" x14ac:dyDescent="0.25">
      <c r="A646" s="44"/>
      <c r="B646" s="36"/>
      <c r="C646" s="36"/>
      <c r="D646" s="36"/>
      <c r="E646" s="36"/>
      <c r="F646" s="36"/>
      <c r="G646" s="36"/>
      <c r="H646" s="36"/>
      <c r="I646" s="36"/>
      <c r="J646" s="105"/>
      <c r="K646" s="36"/>
      <c r="L646" s="36"/>
      <c r="M646" s="36"/>
      <c r="N646" s="105"/>
      <c r="O646" s="36"/>
      <c r="P646" s="36"/>
      <c r="Q646" s="36"/>
      <c r="R646" s="105"/>
      <c r="S646" s="36"/>
      <c r="T646" s="36"/>
      <c r="U646" s="36"/>
      <c r="V646" s="36"/>
      <c r="W646" s="36"/>
      <c r="X646" s="36"/>
      <c r="Y646" s="36"/>
      <c r="Z646" s="36"/>
      <c r="AA646" s="36"/>
      <c r="AB646" s="42"/>
      <c r="AC646" s="42"/>
      <c r="AD646" s="36"/>
      <c r="AE646" s="36"/>
      <c r="AF646" s="42"/>
      <c r="AG646" s="42"/>
      <c r="AH646" s="36"/>
      <c r="AI646" s="36"/>
      <c r="AJ646" s="36"/>
      <c r="AK646" s="36"/>
      <c r="AL646" s="36"/>
      <c r="AM646" s="36"/>
      <c r="AN646" s="36"/>
    </row>
    <row r="647" spans="1:40" ht="15.75" x14ac:dyDescent="0.25">
      <c r="A647" s="44"/>
      <c r="B647" s="36"/>
      <c r="C647" s="36"/>
      <c r="D647" s="36"/>
      <c r="E647" s="36"/>
      <c r="F647" s="36"/>
      <c r="G647" s="36"/>
      <c r="H647" s="36"/>
      <c r="I647" s="36"/>
      <c r="J647" s="105"/>
      <c r="K647" s="36"/>
      <c r="L647" s="36"/>
      <c r="M647" s="36"/>
      <c r="N647" s="105"/>
      <c r="O647" s="36"/>
      <c r="P647" s="36"/>
      <c r="Q647" s="36"/>
      <c r="R647" s="105"/>
      <c r="S647" s="36"/>
      <c r="T647" s="36"/>
      <c r="U647" s="36"/>
      <c r="V647" s="36"/>
      <c r="W647" s="36"/>
      <c r="X647" s="36"/>
      <c r="Y647" s="36"/>
      <c r="Z647" s="36"/>
      <c r="AA647" s="36"/>
      <c r="AB647" s="42"/>
      <c r="AC647" s="42"/>
      <c r="AD647" s="36"/>
      <c r="AE647" s="36"/>
      <c r="AF647" s="42"/>
      <c r="AG647" s="42"/>
      <c r="AH647" s="36"/>
      <c r="AI647" s="36"/>
      <c r="AJ647" s="36"/>
      <c r="AK647" s="36"/>
      <c r="AL647" s="36"/>
      <c r="AM647" s="36"/>
      <c r="AN647" s="36"/>
    </row>
    <row r="648" spans="1:40" ht="15.75" x14ac:dyDescent="0.25">
      <c r="A648" s="44"/>
      <c r="B648" s="36"/>
      <c r="C648" s="36"/>
      <c r="D648" s="36"/>
      <c r="E648" s="36"/>
      <c r="F648" s="36"/>
      <c r="G648" s="36"/>
      <c r="H648" s="36"/>
      <c r="I648" s="36"/>
      <c r="J648" s="105"/>
      <c r="K648" s="36"/>
      <c r="L648" s="36"/>
      <c r="M648" s="36"/>
      <c r="N648" s="105"/>
      <c r="O648" s="36"/>
      <c r="P648" s="36"/>
      <c r="Q648" s="36"/>
      <c r="R648" s="105"/>
      <c r="S648" s="36"/>
      <c r="T648" s="36"/>
      <c r="U648" s="36"/>
      <c r="V648" s="36"/>
      <c r="W648" s="36"/>
      <c r="X648" s="36"/>
      <c r="Y648" s="36"/>
      <c r="Z648" s="36"/>
      <c r="AA648" s="36"/>
      <c r="AB648" s="42"/>
      <c r="AC648" s="42"/>
      <c r="AD648" s="36"/>
      <c r="AE648" s="36"/>
      <c r="AF648" s="42"/>
      <c r="AG648" s="42"/>
      <c r="AH648" s="36"/>
      <c r="AI648" s="36"/>
      <c r="AJ648" s="36"/>
      <c r="AK648" s="36"/>
      <c r="AL648" s="36"/>
      <c r="AM648" s="36"/>
      <c r="AN648" s="36"/>
    </row>
    <row r="649" spans="1:40" ht="15.75" x14ac:dyDescent="0.25">
      <c r="A649" s="44"/>
      <c r="B649" s="36"/>
      <c r="C649" s="36"/>
      <c r="D649" s="36"/>
      <c r="E649" s="36"/>
      <c r="F649" s="36"/>
      <c r="G649" s="36"/>
      <c r="H649" s="36"/>
      <c r="I649" s="36"/>
      <c r="J649" s="105"/>
      <c r="K649" s="36"/>
      <c r="L649" s="36"/>
      <c r="M649" s="36"/>
      <c r="N649" s="105"/>
      <c r="O649" s="36"/>
      <c r="P649" s="36"/>
      <c r="Q649" s="36"/>
      <c r="R649" s="105"/>
      <c r="S649" s="36"/>
      <c r="T649" s="36"/>
      <c r="U649" s="36"/>
      <c r="V649" s="36"/>
      <c r="W649" s="36"/>
      <c r="X649" s="36"/>
      <c r="Y649" s="36"/>
      <c r="Z649" s="36"/>
      <c r="AA649" s="36"/>
      <c r="AB649" s="42"/>
      <c r="AC649" s="42"/>
      <c r="AD649" s="36"/>
      <c r="AE649" s="36"/>
      <c r="AF649" s="42"/>
      <c r="AG649" s="42"/>
      <c r="AH649" s="36"/>
      <c r="AI649" s="36"/>
      <c r="AJ649" s="36"/>
      <c r="AK649" s="36"/>
      <c r="AL649" s="36"/>
      <c r="AM649" s="36"/>
      <c r="AN649" s="36"/>
    </row>
    <row r="650" spans="1:40" ht="15.75" x14ac:dyDescent="0.25">
      <c r="A650" s="44"/>
      <c r="B650" s="36"/>
      <c r="C650" s="36"/>
      <c r="D650" s="36"/>
      <c r="E650" s="36"/>
      <c r="F650" s="36"/>
      <c r="G650" s="36"/>
      <c r="H650" s="36"/>
      <c r="I650" s="36"/>
      <c r="J650" s="105"/>
      <c r="K650" s="36"/>
      <c r="L650" s="36"/>
      <c r="M650" s="36"/>
      <c r="N650" s="105"/>
      <c r="O650" s="36"/>
      <c r="P650" s="36"/>
      <c r="Q650" s="36"/>
      <c r="R650" s="105"/>
      <c r="S650" s="36"/>
      <c r="T650" s="36"/>
      <c r="U650" s="36"/>
      <c r="V650" s="36"/>
      <c r="W650" s="36"/>
      <c r="X650" s="36"/>
      <c r="Y650" s="36"/>
      <c r="Z650" s="36"/>
      <c r="AA650" s="36"/>
      <c r="AB650" s="42"/>
      <c r="AC650" s="42"/>
      <c r="AD650" s="36"/>
      <c r="AE650" s="36"/>
      <c r="AF650" s="42"/>
      <c r="AG650" s="42"/>
      <c r="AH650" s="36"/>
      <c r="AI650" s="36"/>
      <c r="AJ650" s="36"/>
      <c r="AK650" s="36"/>
      <c r="AL650" s="36"/>
      <c r="AM650" s="36"/>
      <c r="AN650" s="36"/>
    </row>
    <row r="651" spans="1:40" ht="15.75" x14ac:dyDescent="0.25">
      <c r="A651" s="44"/>
      <c r="B651" s="36"/>
      <c r="C651" s="36"/>
      <c r="D651" s="36"/>
      <c r="E651" s="36"/>
      <c r="F651" s="36"/>
      <c r="G651" s="36"/>
      <c r="H651" s="36"/>
      <c r="I651" s="36"/>
      <c r="J651" s="105"/>
      <c r="K651" s="36"/>
      <c r="L651" s="36"/>
      <c r="M651" s="36"/>
      <c r="N651" s="105"/>
      <c r="O651" s="36"/>
      <c r="P651" s="36"/>
      <c r="Q651" s="36"/>
      <c r="R651" s="105"/>
      <c r="S651" s="36"/>
      <c r="T651" s="36"/>
      <c r="U651" s="36"/>
      <c r="V651" s="36"/>
      <c r="W651" s="36"/>
      <c r="X651" s="36"/>
      <c r="Y651" s="36"/>
      <c r="Z651" s="36"/>
      <c r="AA651" s="36"/>
      <c r="AB651" s="42"/>
      <c r="AC651" s="42"/>
      <c r="AD651" s="36"/>
      <c r="AE651" s="36"/>
      <c r="AF651" s="42"/>
      <c r="AG651" s="42"/>
      <c r="AH651" s="36"/>
      <c r="AI651" s="36"/>
      <c r="AJ651" s="36"/>
      <c r="AK651" s="36"/>
      <c r="AL651" s="36"/>
      <c r="AM651" s="36"/>
      <c r="AN651" s="36"/>
    </row>
    <row r="652" spans="1:40" ht="15.75" x14ac:dyDescent="0.25">
      <c r="A652" s="44"/>
      <c r="B652" s="36"/>
      <c r="C652" s="36"/>
      <c r="D652" s="36"/>
      <c r="E652" s="36"/>
      <c r="F652" s="36"/>
      <c r="G652" s="36"/>
      <c r="H652" s="36"/>
      <c r="I652" s="36"/>
      <c r="J652" s="105"/>
      <c r="K652" s="36"/>
      <c r="L652" s="36"/>
      <c r="M652" s="36"/>
      <c r="N652" s="105"/>
      <c r="O652" s="36"/>
      <c r="P652" s="36"/>
      <c r="Q652" s="36"/>
      <c r="R652" s="105"/>
      <c r="S652" s="36"/>
      <c r="T652" s="36"/>
      <c r="U652" s="36"/>
      <c r="V652" s="36"/>
      <c r="W652" s="36"/>
      <c r="X652" s="36"/>
      <c r="Y652" s="36"/>
      <c r="Z652" s="36"/>
      <c r="AA652" s="36"/>
      <c r="AB652" s="42"/>
      <c r="AC652" s="42"/>
      <c r="AD652" s="36"/>
      <c r="AE652" s="36"/>
      <c r="AF652" s="42"/>
      <c r="AG652" s="42"/>
      <c r="AH652" s="36"/>
      <c r="AI652" s="36"/>
      <c r="AJ652" s="36"/>
      <c r="AK652" s="36"/>
      <c r="AL652" s="36"/>
      <c r="AM652" s="36"/>
      <c r="AN652" s="36"/>
    </row>
    <row r="653" spans="1:40" ht="15.75" x14ac:dyDescent="0.25">
      <c r="A653" s="44"/>
      <c r="B653" s="36"/>
      <c r="C653" s="36"/>
      <c r="D653" s="36"/>
      <c r="E653" s="36"/>
      <c r="F653" s="36"/>
      <c r="G653" s="36"/>
      <c r="H653" s="36"/>
      <c r="I653" s="36"/>
      <c r="J653" s="105"/>
      <c r="K653" s="36"/>
      <c r="L653" s="36"/>
      <c r="M653" s="36"/>
      <c r="N653" s="105"/>
      <c r="O653" s="36"/>
      <c r="P653" s="36"/>
      <c r="Q653" s="36"/>
      <c r="R653" s="105"/>
      <c r="S653" s="36"/>
      <c r="T653" s="36"/>
      <c r="U653" s="36"/>
      <c r="V653" s="36"/>
      <c r="W653" s="36"/>
      <c r="X653" s="36"/>
      <c r="Y653" s="36"/>
      <c r="Z653" s="36"/>
      <c r="AA653" s="36"/>
      <c r="AB653" s="42"/>
      <c r="AC653" s="42"/>
      <c r="AD653" s="36"/>
      <c r="AE653" s="36"/>
      <c r="AF653" s="42"/>
      <c r="AG653" s="42"/>
      <c r="AH653" s="36"/>
      <c r="AI653" s="36"/>
      <c r="AJ653" s="36"/>
      <c r="AK653" s="36"/>
      <c r="AL653" s="36"/>
      <c r="AM653" s="36"/>
      <c r="AN653" s="36"/>
    </row>
    <row r="654" spans="1:40" ht="15.75" x14ac:dyDescent="0.25">
      <c r="A654" s="44"/>
      <c r="B654" s="36"/>
      <c r="C654" s="36"/>
      <c r="D654" s="36"/>
      <c r="E654" s="36"/>
      <c r="F654" s="36"/>
      <c r="G654" s="36"/>
      <c r="H654" s="36"/>
      <c r="I654" s="36"/>
      <c r="J654" s="105"/>
      <c r="K654" s="36"/>
      <c r="L654" s="36"/>
      <c r="M654" s="36"/>
      <c r="N654" s="105"/>
      <c r="O654" s="36"/>
      <c r="P654" s="36"/>
      <c r="Q654" s="36"/>
      <c r="R654" s="105"/>
      <c r="S654" s="36"/>
      <c r="T654" s="36"/>
      <c r="U654" s="36"/>
      <c r="V654" s="36"/>
      <c r="W654" s="36"/>
      <c r="X654" s="36"/>
      <c r="Y654" s="36"/>
      <c r="Z654" s="36"/>
      <c r="AA654" s="36"/>
      <c r="AB654" s="42"/>
      <c r="AC654" s="42"/>
      <c r="AD654" s="36"/>
      <c r="AE654" s="36"/>
      <c r="AF654" s="42"/>
      <c r="AG654" s="42"/>
      <c r="AH654" s="36"/>
      <c r="AI654" s="36"/>
      <c r="AJ654" s="36"/>
      <c r="AK654" s="36"/>
      <c r="AL654" s="36"/>
      <c r="AM654" s="36"/>
      <c r="AN654" s="36"/>
    </row>
    <row r="655" spans="1:40" ht="15.75" x14ac:dyDescent="0.25">
      <c r="A655" s="44"/>
      <c r="B655" s="36"/>
      <c r="C655" s="36"/>
      <c r="D655" s="36"/>
      <c r="E655" s="36"/>
      <c r="F655" s="36"/>
      <c r="G655" s="36"/>
      <c r="H655" s="36"/>
      <c r="I655" s="36"/>
      <c r="J655" s="105"/>
      <c r="K655" s="36"/>
      <c r="L655" s="36"/>
      <c r="M655" s="36"/>
      <c r="N655" s="105"/>
      <c r="O655" s="36"/>
      <c r="P655" s="36"/>
      <c r="Q655" s="36"/>
      <c r="R655" s="105"/>
      <c r="S655" s="36"/>
      <c r="T655" s="36"/>
      <c r="U655" s="36"/>
      <c r="V655" s="36"/>
      <c r="W655" s="36"/>
      <c r="X655" s="36"/>
      <c r="Y655" s="36"/>
      <c r="Z655" s="36"/>
      <c r="AA655" s="36"/>
      <c r="AB655" s="42"/>
      <c r="AC655" s="42"/>
      <c r="AD655" s="36"/>
      <c r="AE655" s="36"/>
      <c r="AF655" s="42"/>
      <c r="AG655" s="42"/>
      <c r="AH655" s="36"/>
      <c r="AI655" s="36"/>
      <c r="AJ655" s="36"/>
      <c r="AK655" s="36"/>
      <c r="AL655" s="36"/>
      <c r="AM655" s="36"/>
      <c r="AN655" s="36"/>
    </row>
    <row r="656" spans="1:40" ht="15.75" x14ac:dyDescent="0.25">
      <c r="A656" s="44"/>
      <c r="B656" s="36"/>
      <c r="C656" s="36"/>
      <c r="D656" s="36"/>
      <c r="E656" s="36"/>
      <c r="F656" s="36"/>
      <c r="G656" s="36"/>
      <c r="H656" s="36"/>
      <c r="I656" s="36"/>
      <c r="J656" s="105"/>
      <c r="K656" s="36"/>
      <c r="L656" s="36"/>
      <c r="M656" s="36"/>
      <c r="N656" s="105"/>
      <c r="O656" s="36"/>
      <c r="P656" s="36"/>
      <c r="Q656" s="36"/>
      <c r="R656" s="105"/>
      <c r="S656" s="36"/>
      <c r="T656" s="36"/>
      <c r="U656" s="36"/>
      <c r="V656" s="36"/>
      <c r="W656" s="36"/>
      <c r="X656" s="36"/>
      <c r="Y656" s="36"/>
      <c r="Z656" s="36"/>
      <c r="AA656" s="36"/>
      <c r="AB656" s="42"/>
      <c r="AC656" s="42"/>
      <c r="AD656" s="36"/>
      <c r="AE656" s="36"/>
      <c r="AF656" s="42"/>
      <c r="AG656" s="42"/>
      <c r="AH656" s="36"/>
      <c r="AI656" s="36"/>
      <c r="AJ656" s="36"/>
      <c r="AK656" s="36"/>
      <c r="AL656" s="36"/>
      <c r="AM656" s="36"/>
      <c r="AN656" s="36"/>
    </row>
    <row r="657" spans="1:40" ht="15.75" x14ac:dyDescent="0.25">
      <c r="A657" s="44"/>
      <c r="B657" s="36"/>
      <c r="C657" s="36"/>
      <c r="D657" s="36"/>
      <c r="E657" s="36"/>
      <c r="F657" s="36"/>
      <c r="G657" s="36"/>
      <c r="H657" s="36"/>
      <c r="I657" s="36"/>
      <c r="J657" s="105"/>
      <c r="K657" s="36"/>
      <c r="L657" s="36"/>
      <c r="M657" s="36"/>
      <c r="N657" s="105"/>
      <c r="O657" s="36"/>
      <c r="P657" s="36"/>
      <c r="Q657" s="36"/>
      <c r="R657" s="105"/>
      <c r="S657" s="36"/>
      <c r="T657" s="36"/>
      <c r="U657" s="36"/>
      <c r="V657" s="36"/>
      <c r="W657" s="36"/>
      <c r="X657" s="36"/>
      <c r="Y657" s="36"/>
      <c r="Z657" s="36"/>
      <c r="AA657" s="36"/>
      <c r="AB657" s="42"/>
      <c r="AC657" s="42"/>
      <c r="AD657" s="36"/>
      <c r="AE657" s="36"/>
      <c r="AF657" s="42"/>
      <c r="AG657" s="42"/>
      <c r="AH657" s="36"/>
      <c r="AI657" s="36"/>
      <c r="AJ657" s="36"/>
      <c r="AK657" s="36"/>
      <c r="AL657" s="36"/>
      <c r="AM657" s="36"/>
      <c r="AN657" s="36"/>
    </row>
    <row r="658" spans="1:40" ht="15.75" x14ac:dyDescent="0.25">
      <c r="A658" s="44"/>
      <c r="B658" s="36"/>
      <c r="C658" s="36"/>
      <c r="D658" s="36"/>
      <c r="E658" s="36"/>
      <c r="F658" s="36"/>
      <c r="G658" s="36"/>
      <c r="H658" s="36"/>
      <c r="I658" s="36"/>
      <c r="J658" s="105"/>
      <c r="K658" s="36"/>
      <c r="L658" s="36"/>
      <c r="M658" s="36"/>
      <c r="N658" s="105"/>
      <c r="O658" s="36"/>
      <c r="P658" s="36"/>
      <c r="Q658" s="36"/>
      <c r="R658" s="105"/>
      <c r="S658" s="36"/>
      <c r="T658" s="36"/>
      <c r="U658" s="36"/>
      <c r="V658" s="36"/>
      <c r="W658" s="36"/>
      <c r="X658" s="36"/>
      <c r="Y658" s="36"/>
      <c r="Z658" s="36"/>
      <c r="AA658" s="36"/>
      <c r="AB658" s="42"/>
      <c r="AC658" s="42"/>
      <c r="AD658" s="36"/>
      <c r="AE658" s="36"/>
      <c r="AF658" s="42"/>
      <c r="AG658" s="42"/>
      <c r="AH658" s="36"/>
      <c r="AI658" s="36"/>
      <c r="AJ658" s="36"/>
      <c r="AK658" s="36"/>
      <c r="AL658" s="36"/>
      <c r="AM658" s="36"/>
      <c r="AN658" s="36"/>
    </row>
    <row r="659" spans="1:40" ht="15.75" x14ac:dyDescent="0.25">
      <c r="A659" s="44"/>
      <c r="B659" s="36"/>
      <c r="C659" s="36"/>
      <c r="D659" s="36"/>
      <c r="E659" s="36"/>
      <c r="F659" s="36"/>
      <c r="G659" s="36"/>
      <c r="H659" s="36"/>
      <c r="I659" s="36"/>
      <c r="J659" s="105"/>
      <c r="K659" s="36"/>
      <c r="L659" s="36"/>
      <c r="M659" s="36"/>
      <c r="N659" s="105"/>
      <c r="O659" s="36"/>
      <c r="P659" s="36"/>
      <c r="Q659" s="36"/>
      <c r="R659" s="105"/>
      <c r="S659" s="36"/>
      <c r="T659" s="36"/>
      <c r="U659" s="36"/>
      <c r="V659" s="36"/>
      <c r="W659" s="36"/>
      <c r="X659" s="36"/>
      <c r="Y659" s="36"/>
      <c r="Z659" s="36"/>
      <c r="AA659" s="36"/>
      <c r="AB659" s="42"/>
      <c r="AC659" s="42"/>
      <c r="AD659" s="36"/>
      <c r="AE659" s="36"/>
      <c r="AF659" s="42"/>
      <c r="AG659" s="42"/>
      <c r="AH659" s="36"/>
      <c r="AI659" s="36"/>
      <c r="AJ659" s="36"/>
      <c r="AK659" s="36"/>
      <c r="AL659" s="36"/>
      <c r="AM659" s="36"/>
      <c r="AN659" s="36"/>
    </row>
    <row r="660" spans="1:40" ht="15.75" x14ac:dyDescent="0.25">
      <c r="A660" s="44"/>
      <c r="B660" s="36"/>
      <c r="C660" s="36"/>
      <c r="D660" s="36"/>
      <c r="E660" s="36"/>
      <c r="F660" s="36"/>
      <c r="G660" s="36"/>
      <c r="H660" s="36"/>
      <c r="I660" s="36"/>
      <c r="J660" s="105"/>
      <c r="K660" s="36"/>
      <c r="L660" s="36"/>
      <c r="M660" s="36"/>
      <c r="N660" s="105"/>
      <c r="O660" s="36"/>
      <c r="P660" s="36"/>
      <c r="Q660" s="36"/>
      <c r="R660" s="105"/>
      <c r="S660" s="36"/>
      <c r="T660" s="36"/>
      <c r="U660" s="36"/>
      <c r="V660" s="36"/>
      <c r="W660" s="36"/>
      <c r="X660" s="36"/>
      <c r="Y660" s="36"/>
      <c r="Z660" s="36"/>
      <c r="AA660" s="36"/>
      <c r="AB660" s="42"/>
      <c r="AC660" s="42"/>
      <c r="AD660" s="36"/>
      <c r="AE660" s="36"/>
      <c r="AF660" s="42"/>
      <c r="AG660" s="42"/>
      <c r="AH660" s="36"/>
      <c r="AI660" s="36"/>
      <c r="AJ660" s="36"/>
      <c r="AK660" s="36"/>
      <c r="AL660" s="36"/>
      <c r="AM660" s="36"/>
      <c r="AN660" s="36"/>
    </row>
    <row r="661" spans="1:40" ht="15.75" x14ac:dyDescent="0.25">
      <c r="A661" s="44"/>
      <c r="B661" s="36"/>
      <c r="C661" s="36"/>
      <c r="D661" s="36"/>
      <c r="E661" s="36"/>
      <c r="F661" s="36"/>
      <c r="G661" s="36"/>
      <c r="H661" s="36"/>
      <c r="I661" s="36"/>
      <c r="J661" s="105"/>
      <c r="K661" s="36"/>
      <c r="L661" s="36"/>
      <c r="M661" s="36"/>
      <c r="N661" s="105"/>
      <c r="O661" s="36"/>
      <c r="P661" s="36"/>
      <c r="Q661" s="36"/>
      <c r="R661" s="105"/>
      <c r="S661" s="36"/>
      <c r="T661" s="36"/>
      <c r="U661" s="36"/>
      <c r="V661" s="36"/>
      <c r="W661" s="36"/>
      <c r="X661" s="36"/>
      <c r="Y661" s="36"/>
      <c r="Z661" s="36"/>
      <c r="AA661" s="36"/>
      <c r="AB661" s="42"/>
      <c r="AC661" s="42"/>
      <c r="AD661" s="36"/>
      <c r="AE661" s="36"/>
      <c r="AF661" s="42"/>
      <c r="AG661" s="42"/>
      <c r="AH661" s="36"/>
      <c r="AI661" s="36"/>
      <c r="AJ661" s="36"/>
      <c r="AK661" s="36"/>
      <c r="AL661" s="36"/>
      <c r="AM661" s="36"/>
      <c r="AN661" s="36"/>
    </row>
    <row r="662" spans="1:40" ht="15.75" x14ac:dyDescent="0.25">
      <c r="A662" s="44"/>
      <c r="B662" s="36"/>
      <c r="C662" s="36"/>
      <c r="D662" s="36"/>
      <c r="E662" s="36"/>
      <c r="F662" s="36"/>
      <c r="G662" s="36"/>
      <c r="H662" s="36"/>
      <c r="I662" s="36"/>
      <c r="J662" s="105"/>
      <c r="K662" s="36"/>
      <c r="L662" s="36"/>
      <c r="M662" s="36"/>
      <c r="N662" s="105"/>
      <c r="O662" s="36"/>
      <c r="P662" s="36"/>
      <c r="Q662" s="36"/>
      <c r="R662" s="105"/>
      <c r="S662" s="36"/>
      <c r="T662" s="36"/>
      <c r="U662" s="36"/>
      <c r="V662" s="36"/>
      <c r="W662" s="36"/>
      <c r="X662" s="36"/>
      <c r="Y662" s="36"/>
      <c r="Z662" s="36"/>
      <c r="AA662" s="36"/>
      <c r="AB662" s="42"/>
      <c r="AC662" s="42"/>
      <c r="AD662" s="36"/>
      <c r="AE662" s="36"/>
      <c r="AF662" s="42"/>
      <c r="AG662" s="42"/>
      <c r="AH662" s="36"/>
      <c r="AI662" s="36"/>
      <c r="AJ662" s="36"/>
      <c r="AK662" s="36"/>
      <c r="AL662" s="36"/>
      <c r="AM662" s="36"/>
      <c r="AN662" s="36"/>
    </row>
    <row r="663" spans="1:40" ht="15.75" x14ac:dyDescent="0.25">
      <c r="A663" s="44"/>
      <c r="B663" s="36"/>
      <c r="C663" s="36"/>
      <c r="D663" s="36"/>
      <c r="E663" s="36"/>
      <c r="F663" s="36"/>
      <c r="G663" s="36"/>
      <c r="H663" s="36"/>
      <c r="I663" s="36"/>
      <c r="J663" s="105"/>
      <c r="K663" s="36"/>
      <c r="L663" s="36"/>
      <c r="M663" s="36"/>
      <c r="N663" s="105"/>
      <c r="O663" s="36"/>
      <c r="P663" s="36"/>
      <c r="Q663" s="36"/>
      <c r="R663" s="105"/>
      <c r="S663" s="36"/>
      <c r="T663" s="36"/>
      <c r="U663" s="36"/>
      <c r="V663" s="36"/>
      <c r="W663" s="36"/>
      <c r="X663" s="36"/>
      <c r="Y663" s="36"/>
      <c r="Z663" s="36"/>
      <c r="AA663" s="36"/>
      <c r="AB663" s="42"/>
      <c r="AC663" s="42"/>
      <c r="AD663" s="36"/>
      <c r="AE663" s="36"/>
      <c r="AF663" s="42"/>
      <c r="AG663" s="42"/>
      <c r="AH663" s="36"/>
      <c r="AI663" s="36"/>
      <c r="AJ663" s="36"/>
      <c r="AK663" s="36"/>
      <c r="AL663" s="36"/>
      <c r="AM663" s="36"/>
      <c r="AN663" s="36"/>
    </row>
    <row r="664" spans="1:40" ht="15.75" x14ac:dyDescent="0.25">
      <c r="A664" s="44"/>
      <c r="B664" s="36"/>
      <c r="C664" s="36"/>
      <c r="D664" s="36"/>
      <c r="E664" s="36"/>
      <c r="F664" s="36"/>
      <c r="G664" s="36"/>
      <c r="H664" s="36"/>
      <c r="I664" s="36"/>
      <c r="J664" s="105"/>
      <c r="K664" s="36"/>
      <c r="L664" s="36"/>
      <c r="M664" s="36"/>
      <c r="N664" s="105"/>
      <c r="O664" s="36"/>
      <c r="P664" s="36"/>
      <c r="Q664" s="36"/>
      <c r="R664" s="105"/>
      <c r="S664" s="36"/>
      <c r="T664" s="36"/>
      <c r="U664" s="36"/>
      <c r="V664" s="36"/>
      <c r="W664" s="36"/>
      <c r="X664" s="36"/>
      <c r="Y664" s="36"/>
      <c r="Z664" s="36"/>
      <c r="AA664" s="36"/>
      <c r="AB664" s="42"/>
      <c r="AC664" s="42"/>
      <c r="AD664" s="36"/>
      <c r="AE664" s="36"/>
      <c r="AF664" s="42"/>
      <c r="AG664" s="42"/>
      <c r="AH664" s="36"/>
      <c r="AI664" s="36"/>
      <c r="AJ664" s="36"/>
      <c r="AK664" s="36"/>
      <c r="AL664" s="36"/>
      <c r="AM664" s="36"/>
      <c r="AN664" s="36"/>
    </row>
    <row r="665" spans="1:40" ht="15.75" x14ac:dyDescent="0.25">
      <c r="A665" s="44"/>
      <c r="B665" s="36"/>
      <c r="C665" s="36"/>
      <c r="D665" s="36"/>
      <c r="E665" s="36"/>
      <c r="F665" s="36"/>
      <c r="G665" s="36"/>
      <c r="H665" s="36"/>
      <c r="I665" s="36"/>
      <c r="J665" s="105"/>
      <c r="K665" s="36"/>
      <c r="L665" s="36"/>
      <c r="M665" s="36"/>
      <c r="N665" s="105"/>
      <c r="O665" s="36"/>
      <c r="P665" s="36"/>
      <c r="Q665" s="36"/>
      <c r="R665" s="105"/>
      <c r="S665" s="36"/>
      <c r="T665" s="36"/>
      <c r="U665" s="36"/>
      <c r="V665" s="36"/>
      <c r="W665" s="36"/>
      <c r="X665" s="36"/>
      <c r="Y665" s="36"/>
      <c r="Z665" s="36"/>
      <c r="AA665" s="36"/>
      <c r="AB665" s="42"/>
      <c r="AC665" s="42"/>
      <c r="AD665" s="36"/>
      <c r="AE665" s="36"/>
      <c r="AF665" s="42"/>
      <c r="AG665" s="42"/>
      <c r="AH665" s="36"/>
      <c r="AI665" s="36"/>
      <c r="AJ665" s="36"/>
      <c r="AK665" s="36"/>
      <c r="AL665" s="36"/>
      <c r="AM665" s="36"/>
      <c r="AN665" s="36"/>
    </row>
    <row r="666" spans="1:40" ht="15.75" x14ac:dyDescent="0.25">
      <c r="A666" s="44"/>
      <c r="B666" s="36"/>
      <c r="C666" s="36"/>
      <c r="D666" s="36"/>
      <c r="E666" s="36"/>
      <c r="F666" s="36"/>
      <c r="G666" s="36"/>
      <c r="H666" s="36"/>
      <c r="I666" s="36"/>
      <c r="J666" s="105"/>
      <c r="K666" s="36"/>
      <c r="L666" s="36"/>
      <c r="M666" s="36"/>
      <c r="N666" s="105"/>
      <c r="O666" s="36"/>
      <c r="P666" s="36"/>
      <c r="Q666" s="36"/>
      <c r="R666" s="105"/>
      <c r="S666" s="36"/>
      <c r="T666" s="36"/>
      <c r="U666" s="36"/>
      <c r="V666" s="36"/>
      <c r="W666" s="36"/>
      <c r="X666" s="36"/>
      <c r="Y666" s="36"/>
      <c r="Z666" s="36"/>
      <c r="AA666" s="36"/>
      <c r="AB666" s="42"/>
      <c r="AC666" s="42"/>
      <c r="AD666" s="36"/>
      <c r="AE666" s="36"/>
      <c r="AF666" s="42"/>
      <c r="AG666" s="42"/>
      <c r="AH666" s="36"/>
      <c r="AI666" s="36"/>
      <c r="AJ666" s="36"/>
      <c r="AK666" s="36"/>
      <c r="AL666" s="36"/>
      <c r="AM666" s="36"/>
      <c r="AN666" s="36"/>
    </row>
    <row r="667" spans="1:40" ht="15.75" x14ac:dyDescent="0.25">
      <c r="A667" s="44"/>
      <c r="B667" s="36"/>
      <c r="C667" s="36"/>
      <c r="D667" s="36"/>
      <c r="E667" s="36"/>
      <c r="F667" s="36"/>
      <c r="G667" s="36"/>
      <c r="H667" s="36"/>
      <c r="I667" s="36"/>
      <c r="J667" s="105"/>
      <c r="K667" s="36"/>
      <c r="L667" s="36"/>
      <c r="M667" s="36"/>
      <c r="N667" s="105"/>
      <c r="O667" s="36"/>
      <c r="P667" s="36"/>
      <c r="Q667" s="36"/>
      <c r="R667" s="105"/>
      <c r="S667" s="36"/>
      <c r="T667" s="36"/>
      <c r="U667" s="36"/>
      <c r="V667" s="36"/>
      <c r="W667" s="36"/>
      <c r="X667" s="36"/>
      <c r="Y667" s="36"/>
      <c r="Z667" s="36"/>
      <c r="AA667" s="36"/>
      <c r="AB667" s="42"/>
      <c r="AC667" s="42"/>
      <c r="AD667" s="36"/>
      <c r="AE667" s="36"/>
      <c r="AF667" s="42"/>
      <c r="AG667" s="42"/>
      <c r="AH667" s="36"/>
      <c r="AI667" s="36"/>
      <c r="AJ667" s="36"/>
      <c r="AK667" s="36"/>
      <c r="AL667" s="36"/>
      <c r="AM667" s="36"/>
      <c r="AN667" s="36"/>
    </row>
    <row r="668" spans="1:40" ht="15.75" x14ac:dyDescent="0.25">
      <c r="A668" s="44"/>
      <c r="B668" s="36"/>
      <c r="C668" s="36"/>
      <c r="D668" s="36"/>
      <c r="E668" s="36"/>
      <c r="F668" s="36"/>
      <c r="G668" s="36"/>
      <c r="H668" s="36"/>
      <c r="I668" s="36"/>
      <c r="J668" s="105"/>
      <c r="K668" s="36"/>
      <c r="L668" s="36"/>
      <c r="M668" s="36"/>
      <c r="N668" s="105"/>
      <c r="O668" s="36"/>
      <c r="P668" s="36"/>
      <c r="Q668" s="36"/>
      <c r="R668" s="105"/>
      <c r="S668" s="36"/>
      <c r="T668" s="36"/>
      <c r="U668" s="36"/>
      <c r="V668" s="36"/>
      <c r="W668" s="36"/>
      <c r="X668" s="36"/>
      <c r="Y668" s="36"/>
      <c r="Z668" s="36"/>
      <c r="AA668" s="36"/>
      <c r="AB668" s="42"/>
      <c r="AC668" s="42"/>
      <c r="AD668" s="36"/>
      <c r="AE668" s="36"/>
      <c r="AF668" s="42"/>
      <c r="AG668" s="42"/>
      <c r="AH668" s="36"/>
      <c r="AI668" s="36"/>
      <c r="AJ668" s="36"/>
      <c r="AK668" s="36"/>
      <c r="AL668" s="36"/>
      <c r="AM668" s="36"/>
      <c r="AN668" s="36"/>
    </row>
    <row r="669" spans="1:40" ht="15.75" x14ac:dyDescent="0.25">
      <c r="A669" s="44"/>
      <c r="B669" s="36"/>
      <c r="C669" s="36"/>
      <c r="D669" s="36"/>
      <c r="E669" s="36"/>
      <c r="F669" s="36"/>
      <c r="G669" s="36"/>
      <c r="H669" s="36"/>
      <c r="I669" s="36"/>
      <c r="J669" s="105"/>
      <c r="K669" s="36"/>
      <c r="L669" s="36"/>
      <c r="M669" s="36"/>
      <c r="N669" s="105"/>
      <c r="O669" s="36"/>
      <c r="P669" s="36"/>
      <c r="Q669" s="36"/>
      <c r="R669" s="105"/>
      <c r="S669" s="36"/>
      <c r="T669" s="36"/>
      <c r="U669" s="36"/>
      <c r="V669" s="36"/>
      <c r="W669" s="36"/>
      <c r="X669" s="36"/>
      <c r="Y669" s="36"/>
      <c r="Z669" s="36"/>
      <c r="AA669" s="36"/>
      <c r="AB669" s="42"/>
      <c r="AC669" s="42"/>
      <c r="AD669" s="36"/>
      <c r="AE669" s="36"/>
      <c r="AF669" s="42"/>
      <c r="AG669" s="42"/>
      <c r="AH669" s="36"/>
      <c r="AI669" s="36"/>
      <c r="AJ669" s="36"/>
      <c r="AK669" s="36"/>
      <c r="AL669" s="36"/>
      <c r="AM669" s="36"/>
      <c r="AN669" s="36"/>
    </row>
    <row r="670" spans="1:40" ht="15.75" x14ac:dyDescent="0.25">
      <c r="A670" s="44"/>
      <c r="B670" s="36"/>
      <c r="C670" s="36"/>
      <c r="D670" s="36"/>
      <c r="E670" s="36"/>
      <c r="F670" s="36"/>
      <c r="G670" s="36"/>
      <c r="H670" s="36"/>
      <c r="I670" s="36"/>
      <c r="J670" s="105"/>
      <c r="K670" s="36"/>
      <c r="L670" s="36"/>
      <c r="M670" s="36"/>
      <c r="N670" s="105"/>
      <c r="O670" s="36"/>
      <c r="P670" s="36"/>
      <c r="Q670" s="36"/>
      <c r="R670" s="105"/>
      <c r="S670" s="36"/>
      <c r="T670" s="36"/>
      <c r="U670" s="36"/>
      <c r="V670" s="36"/>
      <c r="W670" s="36"/>
      <c r="X670" s="36"/>
      <c r="Y670" s="36"/>
      <c r="Z670" s="36"/>
      <c r="AA670" s="36"/>
      <c r="AB670" s="42"/>
      <c r="AC670" s="42"/>
      <c r="AD670" s="36"/>
      <c r="AE670" s="36"/>
      <c r="AF670" s="42"/>
      <c r="AG670" s="42"/>
      <c r="AH670" s="36"/>
      <c r="AI670" s="36"/>
      <c r="AJ670" s="36"/>
      <c r="AK670" s="36"/>
      <c r="AL670" s="36"/>
      <c r="AM670" s="36"/>
      <c r="AN670" s="36"/>
    </row>
    <row r="671" spans="1:40" ht="15.75" x14ac:dyDescent="0.25">
      <c r="A671" s="44"/>
      <c r="B671" s="36"/>
      <c r="C671" s="36"/>
      <c r="D671" s="36"/>
      <c r="E671" s="36"/>
      <c r="F671" s="36"/>
      <c r="G671" s="36"/>
      <c r="H671" s="36"/>
      <c r="I671" s="36"/>
      <c r="J671" s="105"/>
      <c r="K671" s="36"/>
      <c r="L671" s="36"/>
      <c r="M671" s="36"/>
      <c r="N671" s="105"/>
      <c r="O671" s="36"/>
      <c r="P671" s="36"/>
      <c r="Q671" s="36"/>
      <c r="R671" s="105"/>
      <c r="S671" s="36"/>
      <c r="T671" s="36"/>
      <c r="U671" s="36"/>
      <c r="V671" s="36"/>
      <c r="W671" s="36"/>
      <c r="X671" s="36"/>
      <c r="Y671" s="36"/>
      <c r="Z671" s="36"/>
      <c r="AA671" s="36"/>
      <c r="AB671" s="42"/>
      <c r="AC671" s="42"/>
      <c r="AD671" s="36"/>
      <c r="AE671" s="36"/>
      <c r="AF671" s="42"/>
      <c r="AG671" s="42"/>
      <c r="AH671" s="36"/>
      <c r="AI671" s="36"/>
      <c r="AJ671" s="36"/>
      <c r="AK671" s="36"/>
      <c r="AL671" s="36"/>
      <c r="AM671" s="36"/>
      <c r="AN671" s="36"/>
    </row>
    <row r="672" spans="1:40" ht="15.75" x14ac:dyDescent="0.25">
      <c r="A672" s="44"/>
      <c r="B672" s="36"/>
      <c r="C672" s="36"/>
      <c r="D672" s="36"/>
      <c r="E672" s="36"/>
      <c r="F672" s="36"/>
      <c r="G672" s="36"/>
      <c r="H672" s="36"/>
      <c r="I672" s="36"/>
      <c r="J672" s="105"/>
      <c r="K672" s="36"/>
      <c r="L672" s="36"/>
      <c r="M672" s="36"/>
      <c r="N672" s="105"/>
      <c r="O672" s="36"/>
      <c r="P672" s="36"/>
      <c r="Q672" s="36"/>
      <c r="R672" s="105"/>
      <c r="S672" s="36"/>
      <c r="T672" s="36"/>
      <c r="U672" s="36"/>
      <c r="V672" s="36"/>
      <c r="W672" s="36"/>
      <c r="X672" s="36"/>
      <c r="Y672" s="36"/>
      <c r="Z672" s="36"/>
      <c r="AA672" s="36"/>
      <c r="AB672" s="42"/>
      <c r="AC672" s="42"/>
      <c r="AD672" s="36"/>
      <c r="AE672" s="36"/>
      <c r="AF672" s="42"/>
      <c r="AG672" s="42"/>
      <c r="AH672" s="36"/>
      <c r="AI672" s="36"/>
      <c r="AJ672" s="36"/>
      <c r="AK672" s="36"/>
      <c r="AL672" s="36"/>
      <c r="AM672" s="36"/>
      <c r="AN672" s="36"/>
    </row>
    <row r="673" spans="1:40" ht="15.75" x14ac:dyDescent="0.25">
      <c r="A673" s="44"/>
      <c r="B673" s="36"/>
      <c r="C673" s="36"/>
      <c r="D673" s="36"/>
      <c r="E673" s="36"/>
      <c r="F673" s="36"/>
      <c r="G673" s="36"/>
      <c r="H673" s="36"/>
      <c r="I673" s="36"/>
      <c r="J673" s="105"/>
      <c r="K673" s="36"/>
      <c r="L673" s="36"/>
      <c r="M673" s="36"/>
      <c r="N673" s="105"/>
      <c r="O673" s="36"/>
      <c r="P673" s="36"/>
      <c r="Q673" s="36"/>
      <c r="R673" s="105"/>
      <c r="S673" s="36"/>
      <c r="T673" s="36"/>
      <c r="U673" s="36"/>
      <c r="V673" s="36"/>
      <c r="W673" s="36"/>
      <c r="X673" s="36"/>
      <c r="Y673" s="36"/>
      <c r="Z673" s="36"/>
      <c r="AA673" s="36"/>
      <c r="AB673" s="42"/>
      <c r="AC673" s="42"/>
      <c r="AD673" s="36"/>
      <c r="AE673" s="36"/>
      <c r="AF673" s="42"/>
      <c r="AG673" s="42"/>
      <c r="AH673" s="36"/>
      <c r="AI673" s="36"/>
      <c r="AJ673" s="36"/>
      <c r="AK673" s="36"/>
      <c r="AL673" s="36"/>
      <c r="AM673" s="36"/>
      <c r="AN673" s="36"/>
    </row>
    <row r="674" spans="1:40" ht="15.75" x14ac:dyDescent="0.25">
      <c r="A674" s="44"/>
      <c r="B674" s="36"/>
      <c r="C674" s="36"/>
      <c r="D674" s="36"/>
      <c r="E674" s="36"/>
      <c r="F674" s="36"/>
      <c r="G674" s="36"/>
      <c r="H674" s="36"/>
      <c r="I674" s="36"/>
      <c r="J674" s="105"/>
      <c r="K674" s="36"/>
      <c r="L674" s="36"/>
      <c r="M674" s="36"/>
      <c r="N674" s="105"/>
      <c r="O674" s="36"/>
      <c r="P674" s="36"/>
      <c r="Q674" s="36"/>
      <c r="R674" s="105"/>
      <c r="S674" s="36"/>
      <c r="T674" s="36"/>
      <c r="U674" s="36"/>
      <c r="V674" s="36"/>
      <c r="W674" s="36"/>
      <c r="X674" s="36"/>
      <c r="Y674" s="36"/>
      <c r="Z674" s="36"/>
      <c r="AA674" s="36"/>
      <c r="AB674" s="42"/>
      <c r="AC674" s="42"/>
      <c r="AD674" s="36"/>
      <c r="AE674" s="36"/>
      <c r="AF674" s="42"/>
      <c r="AG674" s="42"/>
      <c r="AH674" s="36"/>
      <c r="AI674" s="36"/>
      <c r="AJ674" s="36"/>
      <c r="AK674" s="36"/>
      <c r="AL674" s="36"/>
      <c r="AM674" s="36"/>
      <c r="AN674" s="36"/>
    </row>
    <row r="675" spans="1:40" ht="15.75" x14ac:dyDescent="0.25">
      <c r="A675" s="44"/>
      <c r="B675" s="36"/>
      <c r="C675" s="36"/>
      <c r="D675" s="36"/>
      <c r="E675" s="36"/>
      <c r="F675" s="36"/>
      <c r="G675" s="36"/>
      <c r="H675" s="36"/>
      <c r="I675" s="36"/>
      <c r="J675" s="105"/>
      <c r="K675" s="36"/>
      <c r="L675" s="36"/>
      <c r="M675" s="36"/>
      <c r="N675" s="105"/>
      <c r="O675" s="36"/>
      <c r="P675" s="36"/>
      <c r="Q675" s="36"/>
      <c r="R675" s="105"/>
      <c r="S675" s="36"/>
      <c r="T675" s="36"/>
      <c r="U675" s="36"/>
      <c r="V675" s="36"/>
      <c r="W675" s="36"/>
      <c r="X675" s="36"/>
      <c r="Y675" s="36"/>
      <c r="Z675" s="36"/>
      <c r="AA675" s="36"/>
      <c r="AB675" s="42"/>
      <c r="AC675" s="42"/>
      <c r="AD675" s="36"/>
      <c r="AE675" s="36"/>
      <c r="AF675" s="42"/>
      <c r="AG675" s="42"/>
      <c r="AH675" s="36"/>
      <c r="AI675" s="36"/>
      <c r="AJ675" s="36"/>
      <c r="AK675" s="36"/>
      <c r="AL675" s="36"/>
      <c r="AM675" s="36"/>
      <c r="AN675" s="36"/>
    </row>
    <row r="676" spans="1:40" ht="15.75" x14ac:dyDescent="0.25">
      <c r="A676" s="44"/>
      <c r="B676" s="36"/>
      <c r="C676" s="36"/>
      <c r="D676" s="36"/>
      <c r="E676" s="36"/>
      <c r="F676" s="36"/>
      <c r="G676" s="36"/>
      <c r="H676" s="36"/>
      <c r="I676" s="36"/>
      <c r="J676" s="105"/>
      <c r="K676" s="36"/>
      <c r="L676" s="36"/>
      <c r="M676" s="36"/>
      <c r="N676" s="105"/>
      <c r="O676" s="36"/>
      <c r="P676" s="36"/>
      <c r="Q676" s="36"/>
      <c r="R676" s="105"/>
      <c r="S676" s="36"/>
      <c r="T676" s="36"/>
      <c r="U676" s="36"/>
      <c r="V676" s="36"/>
      <c r="W676" s="36"/>
      <c r="X676" s="36"/>
      <c r="Y676" s="36"/>
      <c r="Z676" s="36"/>
      <c r="AA676" s="36"/>
      <c r="AB676" s="42"/>
      <c r="AC676" s="42"/>
      <c r="AD676" s="36"/>
      <c r="AE676" s="36"/>
      <c r="AF676" s="42"/>
      <c r="AG676" s="42"/>
      <c r="AH676" s="36"/>
      <c r="AI676" s="36"/>
      <c r="AJ676" s="36"/>
      <c r="AK676" s="36"/>
      <c r="AL676" s="36"/>
      <c r="AM676" s="36"/>
      <c r="AN676" s="36"/>
    </row>
    <row r="677" spans="1:40" ht="15.75" x14ac:dyDescent="0.25">
      <c r="A677" s="44"/>
      <c r="B677" s="36"/>
      <c r="C677" s="36"/>
      <c r="D677" s="36"/>
      <c r="E677" s="36"/>
      <c r="F677" s="36"/>
      <c r="G677" s="36"/>
      <c r="H677" s="36"/>
      <c r="I677" s="36"/>
      <c r="J677" s="105"/>
      <c r="K677" s="36"/>
      <c r="L677" s="36"/>
      <c r="M677" s="36"/>
      <c r="N677" s="105"/>
      <c r="O677" s="36"/>
      <c r="P677" s="36"/>
      <c r="Q677" s="36"/>
      <c r="R677" s="105"/>
      <c r="S677" s="36"/>
      <c r="T677" s="36"/>
      <c r="U677" s="36"/>
      <c r="V677" s="36"/>
      <c r="W677" s="36"/>
      <c r="X677" s="36"/>
      <c r="Y677" s="36"/>
      <c r="Z677" s="36"/>
      <c r="AA677" s="36"/>
      <c r="AB677" s="42"/>
      <c r="AC677" s="42"/>
      <c r="AD677" s="36"/>
      <c r="AE677" s="36"/>
      <c r="AF677" s="42"/>
      <c r="AG677" s="42"/>
      <c r="AH677" s="36"/>
      <c r="AI677" s="36"/>
      <c r="AJ677" s="36"/>
      <c r="AK677" s="36"/>
      <c r="AL677" s="36"/>
      <c r="AM677" s="36"/>
      <c r="AN677" s="36"/>
    </row>
    <row r="678" spans="1:40" ht="15.75" x14ac:dyDescent="0.25">
      <c r="A678" s="44"/>
      <c r="B678" s="36"/>
      <c r="C678" s="36"/>
      <c r="D678" s="36"/>
      <c r="E678" s="36"/>
      <c r="F678" s="36"/>
      <c r="G678" s="36"/>
      <c r="H678" s="36"/>
      <c r="I678" s="36"/>
      <c r="J678" s="105"/>
      <c r="K678" s="36"/>
      <c r="L678" s="36"/>
      <c r="M678" s="36"/>
      <c r="N678" s="105"/>
      <c r="O678" s="36"/>
      <c r="P678" s="36"/>
      <c r="Q678" s="36"/>
      <c r="R678" s="105"/>
      <c r="S678" s="36"/>
      <c r="T678" s="36"/>
      <c r="U678" s="36"/>
      <c r="V678" s="36"/>
      <c r="W678" s="36"/>
      <c r="X678" s="36"/>
      <c r="Y678" s="36"/>
      <c r="Z678" s="36"/>
      <c r="AA678" s="36"/>
      <c r="AB678" s="42"/>
      <c r="AC678" s="42"/>
      <c r="AD678" s="36"/>
      <c r="AE678" s="36"/>
      <c r="AF678" s="42"/>
      <c r="AG678" s="42"/>
      <c r="AH678" s="36"/>
      <c r="AI678" s="36"/>
      <c r="AJ678" s="36"/>
      <c r="AK678" s="36"/>
      <c r="AL678" s="36"/>
      <c r="AM678" s="36"/>
      <c r="AN678" s="36"/>
    </row>
    <row r="679" spans="1:40" ht="15.75" x14ac:dyDescent="0.25">
      <c r="A679" s="44"/>
      <c r="B679" s="36"/>
      <c r="C679" s="36"/>
      <c r="D679" s="36"/>
      <c r="E679" s="36"/>
      <c r="F679" s="36"/>
      <c r="G679" s="36"/>
      <c r="H679" s="36"/>
      <c r="I679" s="36"/>
      <c r="J679" s="105"/>
      <c r="K679" s="36"/>
      <c r="L679" s="36"/>
      <c r="M679" s="36"/>
      <c r="N679" s="105"/>
      <c r="O679" s="36"/>
      <c r="P679" s="36"/>
      <c r="Q679" s="36"/>
      <c r="R679" s="105"/>
      <c r="S679" s="36"/>
      <c r="T679" s="36"/>
      <c r="U679" s="36"/>
      <c r="V679" s="36"/>
      <c r="W679" s="36"/>
      <c r="X679" s="36"/>
      <c r="Y679" s="36"/>
      <c r="Z679" s="36"/>
      <c r="AA679" s="36"/>
      <c r="AB679" s="42"/>
      <c r="AC679" s="42"/>
      <c r="AD679" s="36"/>
      <c r="AE679" s="36"/>
      <c r="AF679" s="42"/>
      <c r="AG679" s="42"/>
      <c r="AH679" s="36"/>
      <c r="AI679" s="36"/>
      <c r="AJ679" s="36"/>
      <c r="AK679" s="36"/>
      <c r="AL679" s="36"/>
      <c r="AM679" s="36"/>
      <c r="AN679" s="36"/>
    </row>
    <row r="680" spans="1:40" ht="15.75" x14ac:dyDescent="0.25">
      <c r="A680" s="44"/>
      <c r="B680" s="36"/>
      <c r="C680" s="36"/>
      <c r="D680" s="36"/>
      <c r="E680" s="36"/>
      <c r="F680" s="36"/>
      <c r="G680" s="36"/>
      <c r="H680" s="36"/>
      <c r="I680" s="36"/>
      <c r="J680" s="105"/>
      <c r="K680" s="36"/>
      <c r="L680" s="36"/>
      <c r="M680" s="36"/>
      <c r="N680" s="105"/>
      <c r="O680" s="36"/>
      <c r="P680" s="36"/>
      <c r="Q680" s="36"/>
      <c r="R680" s="105"/>
      <c r="S680" s="36"/>
      <c r="T680" s="36"/>
      <c r="U680" s="36"/>
      <c r="V680" s="36"/>
      <c r="W680" s="36"/>
      <c r="X680" s="36"/>
      <c r="Y680" s="36"/>
      <c r="Z680" s="36"/>
      <c r="AA680" s="36"/>
      <c r="AB680" s="42"/>
      <c r="AC680" s="42"/>
      <c r="AD680" s="36"/>
      <c r="AE680" s="36"/>
      <c r="AF680" s="42"/>
      <c r="AG680" s="42"/>
      <c r="AH680" s="36"/>
      <c r="AI680" s="36"/>
      <c r="AJ680" s="36"/>
      <c r="AK680" s="36"/>
      <c r="AL680" s="36"/>
      <c r="AM680" s="36"/>
      <c r="AN680" s="36"/>
    </row>
    <row r="681" spans="1:40" ht="15.75" x14ac:dyDescent="0.25">
      <c r="A681" s="44"/>
      <c r="B681" s="36"/>
      <c r="C681" s="36"/>
      <c r="D681" s="36"/>
      <c r="E681" s="36"/>
      <c r="F681" s="36"/>
      <c r="G681" s="36"/>
      <c r="H681" s="36"/>
      <c r="I681" s="36"/>
      <c r="J681" s="105"/>
      <c r="K681" s="36"/>
      <c r="L681" s="36"/>
      <c r="M681" s="36"/>
      <c r="N681" s="105"/>
      <c r="O681" s="36"/>
      <c r="P681" s="36"/>
      <c r="Q681" s="36"/>
      <c r="R681" s="105"/>
      <c r="S681" s="36"/>
      <c r="T681" s="36"/>
      <c r="U681" s="36"/>
      <c r="V681" s="36"/>
      <c r="W681" s="36"/>
      <c r="X681" s="36"/>
      <c r="Y681" s="36"/>
      <c r="Z681" s="36"/>
      <c r="AA681" s="36"/>
      <c r="AB681" s="42"/>
      <c r="AC681" s="42"/>
      <c r="AD681" s="36"/>
      <c r="AE681" s="36"/>
      <c r="AF681" s="42"/>
      <c r="AG681" s="42"/>
      <c r="AH681" s="36"/>
      <c r="AI681" s="36"/>
      <c r="AJ681" s="36"/>
      <c r="AK681" s="36"/>
      <c r="AL681" s="36"/>
      <c r="AM681" s="36"/>
      <c r="AN681" s="36"/>
    </row>
    <row r="682" spans="1:40" ht="15.75" x14ac:dyDescent="0.25">
      <c r="A682" s="44"/>
      <c r="B682" s="36"/>
      <c r="C682" s="36"/>
      <c r="D682" s="36"/>
      <c r="E682" s="36"/>
      <c r="F682" s="36"/>
      <c r="G682" s="36"/>
      <c r="H682" s="36"/>
      <c r="I682" s="36"/>
      <c r="J682" s="105"/>
      <c r="K682" s="36"/>
      <c r="L682" s="36"/>
      <c r="M682" s="36"/>
      <c r="N682" s="105"/>
      <c r="O682" s="36"/>
      <c r="P682" s="36"/>
      <c r="Q682" s="36"/>
      <c r="R682" s="105"/>
      <c r="S682" s="36"/>
      <c r="T682" s="36"/>
      <c r="U682" s="36"/>
      <c r="V682" s="36"/>
      <c r="W682" s="36"/>
      <c r="X682" s="36"/>
      <c r="Y682" s="36"/>
      <c r="Z682" s="36"/>
      <c r="AA682" s="36"/>
      <c r="AB682" s="42"/>
      <c r="AC682" s="42"/>
      <c r="AD682" s="36"/>
      <c r="AE682" s="36"/>
      <c r="AF682" s="42"/>
      <c r="AG682" s="42"/>
      <c r="AH682" s="36"/>
      <c r="AI682" s="36"/>
      <c r="AJ682" s="36"/>
      <c r="AK682" s="36"/>
      <c r="AL682" s="36"/>
      <c r="AM682" s="36"/>
      <c r="AN682" s="36"/>
    </row>
    <row r="683" spans="1:40" ht="15.75" x14ac:dyDescent="0.25">
      <c r="A683" s="44"/>
      <c r="B683" s="36"/>
      <c r="C683" s="36"/>
      <c r="D683" s="36"/>
      <c r="E683" s="36"/>
      <c r="F683" s="36"/>
      <c r="G683" s="36"/>
      <c r="H683" s="36"/>
      <c r="I683" s="36"/>
      <c r="J683" s="105"/>
      <c r="K683" s="36"/>
      <c r="L683" s="36"/>
      <c r="M683" s="36"/>
      <c r="N683" s="105"/>
      <c r="O683" s="36"/>
      <c r="P683" s="36"/>
      <c r="Q683" s="36"/>
      <c r="R683" s="105"/>
      <c r="S683" s="36"/>
      <c r="T683" s="36"/>
      <c r="U683" s="36"/>
      <c r="V683" s="36"/>
      <c r="W683" s="36"/>
      <c r="X683" s="36"/>
      <c r="Y683" s="36"/>
      <c r="Z683" s="36"/>
      <c r="AA683" s="36"/>
      <c r="AB683" s="42"/>
      <c r="AC683" s="42"/>
      <c r="AD683" s="36"/>
      <c r="AE683" s="36"/>
      <c r="AF683" s="42"/>
      <c r="AG683" s="42"/>
      <c r="AH683" s="36"/>
      <c r="AI683" s="36"/>
      <c r="AJ683" s="36"/>
      <c r="AK683" s="36"/>
      <c r="AL683" s="36"/>
      <c r="AM683" s="36"/>
      <c r="AN683" s="36"/>
    </row>
    <row r="684" spans="1:40" ht="15.75" x14ac:dyDescent="0.25">
      <c r="A684" s="44"/>
      <c r="B684" s="36"/>
      <c r="C684" s="36"/>
      <c r="D684" s="36"/>
      <c r="E684" s="36"/>
      <c r="F684" s="36"/>
      <c r="G684" s="36"/>
      <c r="H684" s="36"/>
      <c r="I684" s="36"/>
      <c r="J684" s="105"/>
      <c r="K684" s="36"/>
      <c r="L684" s="36"/>
      <c r="M684" s="36"/>
      <c r="N684" s="105"/>
      <c r="O684" s="36"/>
      <c r="P684" s="36"/>
      <c r="Q684" s="36"/>
      <c r="R684" s="105"/>
      <c r="S684" s="36"/>
      <c r="T684" s="36"/>
      <c r="U684" s="36"/>
      <c r="V684" s="36"/>
      <c r="W684" s="36"/>
      <c r="X684" s="36"/>
      <c r="Y684" s="36"/>
      <c r="Z684" s="36"/>
      <c r="AA684" s="36"/>
      <c r="AB684" s="42"/>
      <c r="AC684" s="42"/>
      <c r="AD684" s="36"/>
      <c r="AE684" s="36"/>
      <c r="AF684" s="42"/>
      <c r="AG684" s="42"/>
      <c r="AH684" s="36"/>
      <c r="AI684" s="36"/>
      <c r="AJ684" s="36"/>
      <c r="AK684" s="36"/>
      <c r="AL684" s="36"/>
      <c r="AM684" s="36"/>
      <c r="AN684" s="36"/>
    </row>
    <row r="685" spans="1:40" ht="15.75" x14ac:dyDescent="0.25">
      <c r="A685" s="44"/>
      <c r="B685" s="36"/>
      <c r="C685" s="36"/>
      <c r="D685" s="36"/>
      <c r="E685" s="36"/>
      <c r="F685" s="36"/>
      <c r="G685" s="36"/>
      <c r="H685" s="36"/>
      <c r="I685" s="36"/>
      <c r="J685" s="105"/>
      <c r="K685" s="36"/>
      <c r="L685" s="36"/>
      <c r="M685" s="36"/>
      <c r="N685" s="105"/>
      <c r="O685" s="36"/>
      <c r="P685" s="36"/>
      <c r="Q685" s="36"/>
      <c r="R685" s="105"/>
      <c r="S685" s="36"/>
      <c r="T685" s="36"/>
      <c r="U685" s="36"/>
      <c r="V685" s="36"/>
      <c r="W685" s="36"/>
      <c r="X685" s="36"/>
      <c r="Y685" s="36"/>
      <c r="Z685" s="36"/>
      <c r="AA685" s="36"/>
      <c r="AB685" s="42"/>
      <c r="AC685" s="42"/>
      <c r="AD685" s="36"/>
      <c r="AE685" s="36"/>
      <c r="AF685" s="42"/>
      <c r="AG685" s="42"/>
      <c r="AH685" s="36"/>
      <c r="AI685" s="36"/>
      <c r="AJ685" s="36"/>
      <c r="AK685" s="36"/>
      <c r="AL685" s="36"/>
      <c r="AM685" s="36"/>
      <c r="AN685" s="36"/>
    </row>
    <row r="686" spans="1:40" ht="15.75" x14ac:dyDescent="0.25">
      <c r="A686" s="44"/>
      <c r="B686" s="36"/>
      <c r="C686" s="36"/>
      <c r="D686" s="36"/>
      <c r="E686" s="36"/>
      <c r="F686" s="36"/>
      <c r="G686" s="36"/>
      <c r="H686" s="36"/>
      <c r="I686" s="36"/>
      <c r="J686" s="105"/>
      <c r="K686" s="36"/>
      <c r="L686" s="36"/>
      <c r="M686" s="36"/>
      <c r="N686" s="105"/>
      <c r="O686" s="36"/>
      <c r="P686" s="36"/>
      <c r="Q686" s="36"/>
      <c r="R686" s="105"/>
      <c r="S686" s="36"/>
      <c r="T686" s="36"/>
      <c r="U686" s="36"/>
      <c r="V686" s="36"/>
      <c r="W686" s="36"/>
      <c r="X686" s="36"/>
      <c r="Y686" s="36"/>
      <c r="Z686" s="36"/>
      <c r="AA686" s="36"/>
      <c r="AB686" s="42"/>
      <c r="AC686" s="42"/>
      <c r="AD686" s="36"/>
      <c r="AE686" s="36"/>
      <c r="AF686" s="42"/>
      <c r="AG686" s="42"/>
      <c r="AH686" s="36"/>
      <c r="AI686" s="36"/>
      <c r="AJ686" s="36"/>
      <c r="AK686" s="36"/>
      <c r="AL686" s="36"/>
      <c r="AM686" s="36"/>
      <c r="AN686" s="36"/>
    </row>
    <row r="687" spans="1:40" ht="15.75" x14ac:dyDescent="0.25">
      <c r="A687" s="44"/>
      <c r="B687" s="36"/>
      <c r="C687" s="36"/>
      <c r="D687" s="36"/>
      <c r="E687" s="36"/>
      <c r="F687" s="36"/>
      <c r="G687" s="36"/>
      <c r="H687" s="36"/>
      <c r="I687" s="36"/>
      <c r="J687" s="105"/>
      <c r="K687" s="36"/>
      <c r="L687" s="36"/>
      <c r="M687" s="36"/>
      <c r="N687" s="105"/>
      <c r="O687" s="36"/>
      <c r="P687" s="36"/>
      <c r="Q687" s="36"/>
      <c r="R687" s="105"/>
      <c r="S687" s="36"/>
      <c r="T687" s="36"/>
      <c r="U687" s="36"/>
      <c r="V687" s="36"/>
      <c r="W687" s="36"/>
      <c r="X687" s="36"/>
      <c r="Y687" s="36"/>
      <c r="Z687" s="36"/>
      <c r="AA687" s="36"/>
      <c r="AB687" s="42"/>
      <c r="AC687" s="42"/>
      <c r="AD687" s="36"/>
      <c r="AE687" s="36"/>
      <c r="AF687" s="42"/>
      <c r="AG687" s="42"/>
      <c r="AH687" s="36"/>
      <c r="AI687" s="36"/>
      <c r="AJ687" s="36"/>
      <c r="AK687" s="36"/>
      <c r="AL687" s="36"/>
      <c r="AM687" s="36"/>
      <c r="AN687" s="36"/>
    </row>
    <row r="688" spans="1:40" ht="15.75" x14ac:dyDescent="0.25">
      <c r="A688" s="44"/>
      <c r="B688" s="36"/>
      <c r="C688" s="36"/>
      <c r="D688" s="36"/>
      <c r="E688" s="36"/>
      <c r="F688" s="36"/>
      <c r="G688" s="36"/>
      <c r="H688" s="36"/>
      <c r="I688" s="36"/>
      <c r="J688" s="105"/>
      <c r="K688" s="36"/>
      <c r="L688" s="36"/>
      <c r="M688" s="36"/>
      <c r="N688" s="105"/>
      <c r="O688" s="36"/>
      <c r="P688" s="36"/>
      <c r="Q688" s="36"/>
      <c r="R688" s="105"/>
      <c r="S688" s="36"/>
      <c r="T688" s="36"/>
      <c r="U688" s="36"/>
      <c r="V688" s="36"/>
      <c r="W688" s="36"/>
      <c r="X688" s="36"/>
      <c r="Y688" s="36"/>
      <c r="Z688" s="36"/>
      <c r="AA688" s="36"/>
      <c r="AB688" s="42"/>
      <c r="AC688" s="42"/>
      <c r="AD688" s="36"/>
      <c r="AE688" s="36"/>
      <c r="AF688" s="42"/>
      <c r="AG688" s="42"/>
      <c r="AH688" s="36"/>
      <c r="AI688" s="36"/>
      <c r="AJ688" s="36"/>
      <c r="AK688" s="36"/>
      <c r="AL688" s="36"/>
      <c r="AM688" s="36"/>
      <c r="AN688" s="36"/>
    </row>
    <row r="689" spans="1:40" ht="15.75" x14ac:dyDescent="0.25">
      <c r="A689" s="44"/>
      <c r="B689" s="36"/>
      <c r="C689" s="36"/>
      <c r="D689" s="36"/>
      <c r="E689" s="36"/>
      <c r="F689" s="36"/>
      <c r="G689" s="36"/>
      <c r="H689" s="36"/>
      <c r="I689" s="36"/>
      <c r="J689" s="105"/>
      <c r="K689" s="36"/>
      <c r="L689" s="36"/>
      <c r="M689" s="36"/>
      <c r="N689" s="105"/>
      <c r="O689" s="36"/>
      <c r="P689" s="36"/>
      <c r="Q689" s="36"/>
      <c r="R689" s="105"/>
      <c r="S689" s="36"/>
      <c r="T689" s="36"/>
      <c r="U689" s="36"/>
      <c r="V689" s="36"/>
      <c r="W689" s="36"/>
      <c r="X689" s="36"/>
      <c r="Y689" s="36"/>
      <c r="Z689" s="36"/>
      <c r="AA689" s="36"/>
      <c r="AB689" s="42"/>
      <c r="AC689" s="42"/>
      <c r="AD689" s="36"/>
      <c r="AE689" s="36"/>
      <c r="AF689" s="42"/>
      <c r="AG689" s="42"/>
      <c r="AH689" s="36"/>
      <c r="AI689" s="36"/>
      <c r="AJ689" s="36"/>
      <c r="AK689" s="36"/>
      <c r="AL689" s="36"/>
      <c r="AM689" s="36"/>
      <c r="AN689" s="36"/>
    </row>
    <row r="690" spans="1:40" ht="15.75" x14ac:dyDescent="0.25">
      <c r="A690" s="44"/>
      <c r="B690" s="36"/>
      <c r="C690" s="36"/>
      <c r="D690" s="36"/>
      <c r="E690" s="36"/>
      <c r="F690" s="36"/>
      <c r="G690" s="36"/>
      <c r="H690" s="36"/>
      <c r="I690" s="36"/>
      <c r="J690" s="105"/>
      <c r="K690" s="36"/>
      <c r="L690" s="36"/>
      <c r="M690" s="36"/>
      <c r="N690" s="105"/>
      <c r="O690" s="36"/>
      <c r="P690" s="36"/>
      <c r="Q690" s="36"/>
      <c r="R690" s="105"/>
      <c r="S690" s="36"/>
      <c r="T690" s="36"/>
      <c r="U690" s="36"/>
      <c r="V690" s="36"/>
      <c r="W690" s="36"/>
      <c r="X690" s="36"/>
      <c r="Y690" s="36"/>
      <c r="Z690" s="36"/>
      <c r="AA690" s="36"/>
      <c r="AB690" s="42"/>
      <c r="AC690" s="42"/>
      <c r="AD690" s="36"/>
      <c r="AE690" s="36"/>
      <c r="AF690" s="42"/>
      <c r="AG690" s="42"/>
      <c r="AH690" s="36"/>
      <c r="AI690" s="36"/>
      <c r="AJ690" s="36"/>
      <c r="AK690" s="36"/>
      <c r="AL690" s="36"/>
      <c r="AM690" s="36"/>
      <c r="AN690" s="36"/>
    </row>
    <row r="691" spans="1:40" ht="15.75" x14ac:dyDescent="0.25">
      <c r="A691" s="44"/>
      <c r="B691" s="36"/>
      <c r="C691" s="36"/>
      <c r="D691" s="36"/>
      <c r="E691" s="36"/>
      <c r="F691" s="36"/>
      <c r="G691" s="36"/>
      <c r="H691" s="36"/>
      <c r="I691" s="36"/>
      <c r="J691" s="105"/>
      <c r="K691" s="36"/>
      <c r="L691" s="36"/>
      <c r="M691" s="36"/>
      <c r="N691" s="105"/>
      <c r="O691" s="36"/>
      <c r="P691" s="36"/>
      <c r="Q691" s="36"/>
      <c r="R691" s="105"/>
      <c r="S691" s="36"/>
      <c r="T691" s="36"/>
      <c r="U691" s="36"/>
      <c r="V691" s="36"/>
      <c r="W691" s="36"/>
      <c r="X691" s="36"/>
      <c r="Y691" s="36"/>
      <c r="Z691" s="36"/>
      <c r="AA691" s="36"/>
      <c r="AB691" s="42"/>
      <c r="AC691" s="42"/>
      <c r="AD691" s="36"/>
      <c r="AE691" s="36"/>
      <c r="AF691" s="42"/>
      <c r="AG691" s="42"/>
      <c r="AH691" s="36"/>
      <c r="AI691" s="36"/>
      <c r="AJ691" s="36"/>
      <c r="AK691" s="36"/>
      <c r="AL691" s="36"/>
      <c r="AM691" s="36"/>
      <c r="AN691" s="36"/>
    </row>
    <row r="692" spans="1:40" ht="15.75" x14ac:dyDescent="0.25">
      <c r="A692" s="44"/>
      <c r="B692" s="36"/>
      <c r="C692" s="36"/>
      <c r="D692" s="36"/>
      <c r="E692" s="36"/>
      <c r="F692" s="36"/>
      <c r="G692" s="36"/>
      <c r="H692" s="36"/>
      <c r="I692" s="36"/>
      <c r="J692" s="105"/>
      <c r="K692" s="36"/>
      <c r="L692" s="36"/>
      <c r="M692" s="36"/>
      <c r="N692" s="105"/>
      <c r="O692" s="36"/>
      <c r="P692" s="36"/>
      <c r="Q692" s="36"/>
      <c r="R692" s="105"/>
      <c r="S692" s="36"/>
      <c r="T692" s="36"/>
      <c r="U692" s="36"/>
      <c r="V692" s="36"/>
      <c r="W692" s="36"/>
      <c r="X692" s="36"/>
      <c r="Y692" s="36"/>
      <c r="Z692" s="36"/>
      <c r="AA692" s="36"/>
      <c r="AB692" s="42"/>
      <c r="AC692" s="42"/>
      <c r="AD692" s="36"/>
      <c r="AE692" s="36"/>
      <c r="AF692" s="42"/>
      <c r="AG692" s="42"/>
      <c r="AH692" s="36"/>
      <c r="AI692" s="36"/>
      <c r="AJ692" s="36"/>
      <c r="AK692" s="36"/>
      <c r="AL692" s="36"/>
      <c r="AM692" s="36"/>
      <c r="AN692" s="36"/>
    </row>
    <row r="693" spans="1:40" ht="15.75" x14ac:dyDescent="0.25">
      <c r="A693" s="44"/>
      <c r="B693" s="36"/>
      <c r="C693" s="36"/>
      <c r="D693" s="36"/>
      <c r="E693" s="36"/>
      <c r="F693" s="36"/>
      <c r="G693" s="36"/>
      <c r="H693" s="36"/>
      <c r="I693" s="36"/>
      <c r="J693" s="105"/>
      <c r="K693" s="36"/>
      <c r="L693" s="36"/>
      <c r="M693" s="36"/>
      <c r="N693" s="105"/>
      <c r="O693" s="36"/>
      <c r="P693" s="36"/>
      <c r="Q693" s="36"/>
      <c r="R693" s="105"/>
      <c r="S693" s="36"/>
      <c r="T693" s="36"/>
      <c r="U693" s="36"/>
      <c r="V693" s="36"/>
      <c r="W693" s="36"/>
      <c r="X693" s="36"/>
      <c r="Y693" s="36"/>
      <c r="Z693" s="36"/>
      <c r="AA693" s="36"/>
      <c r="AB693" s="42"/>
      <c r="AC693" s="42"/>
      <c r="AD693" s="36"/>
      <c r="AE693" s="36"/>
      <c r="AF693" s="42"/>
      <c r="AG693" s="42"/>
      <c r="AH693" s="36"/>
      <c r="AI693" s="36"/>
      <c r="AJ693" s="36"/>
      <c r="AK693" s="36"/>
      <c r="AL693" s="36"/>
      <c r="AM693" s="36"/>
      <c r="AN693" s="36"/>
    </row>
    <row r="694" spans="1:40" ht="15.75" x14ac:dyDescent="0.25">
      <c r="A694" s="44"/>
      <c r="B694" s="36"/>
      <c r="C694" s="36"/>
      <c r="D694" s="36"/>
      <c r="E694" s="36"/>
      <c r="F694" s="36"/>
      <c r="G694" s="36"/>
      <c r="H694" s="36"/>
      <c r="I694" s="36"/>
      <c r="J694" s="105"/>
      <c r="K694" s="36"/>
      <c r="L694" s="36"/>
      <c r="M694" s="36"/>
      <c r="N694" s="105"/>
      <c r="O694" s="36"/>
      <c r="P694" s="36"/>
      <c r="Q694" s="36"/>
      <c r="R694" s="105"/>
      <c r="S694" s="36"/>
      <c r="T694" s="36"/>
      <c r="U694" s="36"/>
      <c r="V694" s="36"/>
      <c r="W694" s="36"/>
      <c r="X694" s="36"/>
      <c r="Y694" s="36"/>
      <c r="Z694" s="36"/>
      <c r="AA694" s="36"/>
      <c r="AB694" s="42"/>
      <c r="AC694" s="42"/>
      <c r="AD694" s="36"/>
      <c r="AE694" s="36"/>
      <c r="AF694" s="42"/>
      <c r="AG694" s="42"/>
      <c r="AH694" s="36"/>
      <c r="AI694" s="36"/>
      <c r="AJ694" s="36"/>
      <c r="AK694" s="36"/>
      <c r="AL694" s="36"/>
      <c r="AM694" s="36"/>
      <c r="AN694" s="36"/>
    </row>
    <row r="695" spans="1:40" ht="15.75" x14ac:dyDescent="0.25">
      <c r="A695" s="44"/>
      <c r="B695" s="36"/>
      <c r="C695" s="36"/>
      <c r="D695" s="36"/>
      <c r="E695" s="36"/>
      <c r="F695" s="36"/>
      <c r="G695" s="36"/>
      <c r="H695" s="36"/>
      <c r="I695" s="36"/>
      <c r="J695" s="105"/>
      <c r="K695" s="36"/>
      <c r="L695" s="36"/>
      <c r="M695" s="36"/>
      <c r="N695" s="105"/>
      <c r="O695" s="36"/>
      <c r="P695" s="36"/>
      <c r="Q695" s="36"/>
      <c r="R695" s="105"/>
      <c r="S695" s="36"/>
      <c r="T695" s="36"/>
      <c r="U695" s="36"/>
      <c r="V695" s="36"/>
      <c r="W695" s="36"/>
      <c r="X695" s="36"/>
      <c r="Y695" s="36"/>
      <c r="Z695" s="36"/>
      <c r="AA695" s="36"/>
      <c r="AB695" s="42"/>
      <c r="AC695" s="42"/>
      <c r="AD695" s="36"/>
      <c r="AE695" s="36"/>
      <c r="AF695" s="42"/>
      <c r="AG695" s="42"/>
      <c r="AH695" s="36"/>
      <c r="AI695" s="36"/>
      <c r="AJ695" s="36"/>
      <c r="AK695" s="36"/>
      <c r="AL695" s="36"/>
      <c r="AM695" s="36"/>
      <c r="AN695" s="36"/>
    </row>
    <row r="696" spans="1:40" ht="15.75" x14ac:dyDescent="0.25">
      <c r="A696" s="44"/>
      <c r="B696" s="36"/>
      <c r="C696" s="36"/>
      <c r="D696" s="36"/>
      <c r="E696" s="36"/>
      <c r="F696" s="36"/>
      <c r="G696" s="36"/>
      <c r="H696" s="36"/>
      <c r="I696" s="36"/>
      <c r="J696" s="105"/>
      <c r="K696" s="36"/>
      <c r="L696" s="36"/>
      <c r="M696" s="36"/>
      <c r="N696" s="105"/>
      <c r="O696" s="36"/>
      <c r="P696" s="36"/>
      <c r="Q696" s="36"/>
      <c r="R696" s="105"/>
      <c r="S696" s="36"/>
      <c r="T696" s="36"/>
      <c r="U696" s="36"/>
      <c r="V696" s="36"/>
      <c r="W696" s="36"/>
      <c r="X696" s="36"/>
      <c r="Y696" s="36"/>
      <c r="Z696" s="36"/>
      <c r="AA696" s="36"/>
      <c r="AB696" s="42"/>
      <c r="AC696" s="42"/>
      <c r="AD696" s="36"/>
      <c r="AE696" s="36"/>
      <c r="AF696" s="42"/>
      <c r="AG696" s="42"/>
      <c r="AH696" s="36"/>
      <c r="AI696" s="36"/>
      <c r="AJ696" s="36"/>
      <c r="AK696" s="36"/>
      <c r="AL696" s="36"/>
      <c r="AM696" s="36"/>
      <c r="AN696" s="36"/>
    </row>
    <row r="697" spans="1:40" ht="15.75" x14ac:dyDescent="0.25">
      <c r="A697" s="44"/>
      <c r="B697" s="36"/>
      <c r="C697" s="36"/>
      <c r="D697" s="36"/>
      <c r="E697" s="36"/>
      <c r="F697" s="36"/>
      <c r="G697" s="36"/>
      <c r="H697" s="36"/>
      <c r="I697" s="36"/>
      <c r="J697" s="105"/>
      <c r="K697" s="36"/>
      <c r="L697" s="36"/>
      <c r="M697" s="36"/>
      <c r="N697" s="105"/>
      <c r="O697" s="36"/>
      <c r="P697" s="36"/>
      <c r="Q697" s="36"/>
      <c r="R697" s="105"/>
      <c r="S697" s="36"/>
      <c r="T697" s="36"/>
      <c r="U697" s="36"/>
      <c r="V697" s="36"/>
      <c r="W697" s="36"/>
      <c r="X697" s="36"/>
      <c r="Y697" s="36"/>
      <c r="Z697" s="36"/>
      <c r="AA697" s="36"/>
      <c r="AB697" s="42"/>
      <c r="AC697" s="42"/>
      <c r="AD697" s="36"/>
      <c r="AE697" s="36"/>
      <c r="AF697" s="42"/>
      <c r="AG697" s="42"/>
      <c r="AH697" s="36"/>
      <c r="AI697" s="36"/>
      <c r="AJ697" s="36"/>
      <c r="AK697" s="36"/>
      <c r="AL697" s="36"/>
      <c r="AM697" s="36"/>
      <c r="AN697" s="36"/>
    </row>
    <row r="698" spans="1:40" ht="15.75" x14ac:dyDescent="0.25">
      <c r="A698" s="44"/>
      <c r="B698" s="36"/>
      <c r="C698" s="36"/>
      <c r="D698" s="36"/>
      <c r="E698" s="36"/>
      <c r="F698" s="36"/>
      <c r="G698" s="36"/>
      <c r="H698" s="36"/>
      <c r="I698" s="36"/>
      <c r="J698" s="105"/>
      <c r="K698" s="36"/>
      <c r="L698" s="36"/>
      <c r="M698" s="36"/>
      <c r="N698" s="105"/>
      <c r="O698" s="36"/>
      <c r="P698" s="36"/>
      <c r="Q698" s="36"/>
      <c r="R698" s="105"/>
      <c r="S698" s="36"/>
      <c r="T698" s="36"/>
      <c r="U698" s="36"/>
      <c r="V698" s="36"/>
      <c r="W698" s="36"/>
      <c r="X698" s="36"/>
      <c r="Y698" s="36"/>
      <c r="Z698" s="36"/>
      <c r="AA698" s="36"/>
      <c r="AB698" s="42"/>
      <c r="AC698" s="42"/>
      <c r="AD698" s="36"/>
      <c r="AE698" s="36"/>
      <c r="AF698" s="42"/>
      <c r="AG698" s="42"/>
      <c r="AH698" s="36"/>
      <c r="AI698" s="36"/>
      <c r="AJ698" s="36"/>
      <c r="AK698" s="36"/>
      <c r="AL698" s="36"/>
      <c r="AM698" s="36"/>
      <c r="AN698" s="36"/>
    </row>
    <row r="699" spans="1:40" ht="15.75" x14ac:dyDescent="0.25">
      <c r="A699" s="44"/>
      <c r="B699" s="36"/>
      <c r="C699" s="36"/>
      <c r="D699" s="36"/>
      <c r="E699" s="36"/>
      <c r="F699" s="36"/>
      <c r="G699" s="36"/>
      <c r="H699" s="36"/>
      <c r="I699" s="36"/>
      <c r="J699" s="105"/>
      <c r="K699" s="36"/>
      <c r="L699" s="36"/>
      <c r="M699" s="36"/>
      <c r="N699" s="105"/>
      <c r="O699" s="36"/>
      <c r="P699" s="36"/>
      <c r="Q699" s="36"/>
      <c r="R699" s="105"/>
      <c r="S699" s="36"/>
      <c r="T699" s="36"/>
      <c r="U699" s="36"/>
      <c r="V699" s="36"/>
      <c r="W699" s="36"/>
      <c r="X699" s="36"/>
      <c r="Y699" s="36"/>
      <c r="Z699" s="36"/>
      <c r="AA699" s="36"/>
      <c r="AB699" s="42"/>
      <c r="AC699" s="42"/>
      <c r="AD699" s="36"/>
      <c r="AE699" s="36"/>
      <c r="AF699" s="42"/>
      <c r="AG699" s="42"/>
      <c r="AH699" s="36"/>
      <c r="AI699" s="36"/>
      <c r="AJ699" s="36"/>
      <c r="AK699" s="36"/>
      <c r="AL699" s="36"/>
      <c r="AM699" s="36"/>
      <c r="AN699" s="36"/>
    </row>
    <row r="700" spans="1:40" ht="15.75" x14ac:dyDescent="0.25">
      <c r="A700" s="44"/>
      <c r="B700" s="36"/>
      <c r="C700" s="36"/>
      <c r="D700" s="36"/>
      <c r="E700" s="36"/>
      <c r="F700" s="36"/>
      <c r="G700" s="36"/>
      <c r="H700" s="36"/>
      <c r="I700" s="36"/>
      <c r="J700" s="105"/>
      <c r="K700" s="36"/>
      <c r="L700" s="36"/>
      <c r="M700" s="36"/>
      <c r="N700" s="105"/>
      <c r="O700" s="36"/>
      <c r="P700" s="36"/>
      <c r="Q700" s="36"/>
      <c r="R700" s="105"/>
      <c r="S700" s="36"/>
      <c r="T700" s="36"/>
      <c r="U700" s="36"/>
      <c r="V700" s="36"/>
      <c r="W700" s="36"/>
      <c r="X700" s="36"/>
      <c r="Y700" s="36"/>
      <c r="Z700" s="36"/>
      <c r="AA700" s="36"/>
      <c r="AB700" s="42"/>
      <c r="AC700" s="42"/>
      <c r="AD700" s="36"/>
      <c r="AE700" s="36"/>
      <c r="AF700" s="42"/>
      <c r="AG700" s="42"/>
      <c r="AH700" s="36"/>
      <c r="AI700" s="36"/>
      <c r="AJ700" s="36"/>
      <c r="AK700" s="36"/>
      <c r="AL700" s="36"/>
      <c r="AM700" s="36"/>
      <c r="AN700" s="36"/>
    </row>
    <row r="701" spans="1:40" ht="15.75" x14ac:dyDescent="0.25">
      <c r="A701" s="44"/>
      <c r="B701" s="36"/>
      <c r="C701" s="36"/>
      <c r="D701" s="36"/>
      <c r="E701" s="36"/>
      <c r="F701" s="36"/>
      <c r="G701" s="36"/>
      <c r="H701" s="36"/>
      <c r="I701" s="36"/>
      <c r="J701" s="105"/>
      <c r="K701" s="36"/>
      <c r="L701" s="36"/>
      <c r="M701" s="36"/>
      <c r="N701" s="105"/>
      <c r="O701" s="36"/>
      <c r="P701" s="36"/>
      <c r="Q701" s="36"/>
      <c r="R701" s="105"/>
      <c r="S701" s="36"/>
      <c r="T701" s="36"/>
      <c r="U701" s="36"/>
      <c r="V701" s="36"/>
      <c r="W701" s="36"/>
      <c r="X701" s="36"/>
      <c r="Y701" s="36"/>
      <c r="Z701" s="36"/>
      <c r="AA701" s="36"/>
      <c r="AB701" s="42"/>
      <c r="AC701" s="42"/>
      <c r="AD701" s="36"/>
      <c r="AE701" s="36"/>
      <c r="AF701" s="42"/>
      <c r="AG701" s="42"/>
      <c r="AH701" s="36"/>
      <c r="AI701" s="36"/>
      <c r="AJ701" s="36"/>
      <c r="AK701" s="36"/>
      <c r="AL701" s="36"/>
      <c r="AM701" s="36"/>
      <c r="AN701" s="36"/>
    </row>
    <row r="702" spans="1:40" ht="15.75" x14ac:dyDescent="0.25">
      <c r="A702" s="44"/>
      <c r="B702" s="36"/>
      <c r="C702" s="36"/>
      <c r="D702" s="36"/>
      <c r="E702" s="36"/>
      <c r="F702" s="36"/>
      <c r="G702" s="36"/>
      <c r="H702" s="36"/>
      <c r="I702" s="36"/>
      <c r="J702" s="105"/>
      <c r="K702" s="36"/>
      <c r="L702" s="36"/>
      <c r="M702" s="36"/>
      <c r="N702" s="105"/>
      <c r="O702" s="36"/>
      <c r="P702" s="36"/>
      <c r="Q702" s="36"/>
      <c r="R702" s="105"/>
      <c r="S702" s="36"/>
      <c r="T702" s="36"/>
      <c r="U702" s="36"/>
      <c r="V702" s="36"/>
      <c r="W702" s="36"/>
      <c r="X702" s="36"/>
      <c r="Y702" s="36"/>
      <c r="Z702" s="36"/>
      <c r="AA702" s="36"/>
      <c r="AB702" s="42"/>
      <c r="AC702" s="42"/>
      <c r="AD702" s="36"/>
      <c r="AE702" s="36"/>
      <c r="AF702" s="42"/>
      <c r="AG702" s="42"/>
      <c r="AH702" s="36"/>
      <c r="AI702" s="36"/>
      <c r="AJ702" s="36"/>
      <c r="AK702" s="36"/>
      <c r="AL702" s="36"/>
      <c r="AM702" s="36"/>
      <c r="AN702" s="36"/>
    </row>
    <row r="703" spans="1:40" ht="15.75" x14ac:dyDescent="0.25">
      <c r="A703" s="44"/>
      <c r="B703" s="36"/>
      <c r="C703" s="36"/>
      <c r="D703" s="36"/>
      <c r="E703" s="36"/>
      <c r="F703" s="36"/>
      <c r="G703" s="36"/>
      <c r="H703" s="36"/>
      <c r="I703" s="36"/>
      <c r="J703" s="105"/>
      <c r="K703" s="36"/>
      <c r="L703" s="36"/>
      <c r="M703" s="36"/>
      <c r="N703" s="105"/>
      <c r="O703" s="36"/>
      <c r="P703" s="36"/>
      <c r="Q703" s="36"/>
      <c r="R703" s="105"/>
      <c r="S703" s="36"/>
      <c r="T703" s="36"/>
      <c r="U703" s="36"/>
      <c r="V703" s="36"/>
      <c r="W703" s="36"/>
      <c r="X703" s="36"/>
      <c r="Y703" s="36"/>
      <c r="Z703" s="36"/>
      <c r="AA703" s="36"/>
      <c r="AB703" s="42"/>
      <c r="AC703" s="42"/>
      <c r="AD703" s="36"/>
      <c r="AE703" s="36"/>
      <c r="AF703" s="42"/>
      <c r="AG703" s="42"/>
      <c r="AH703" s="36"/>
      <c r="AI703" s="36"/>
      <c r="AJ703" s="36"/>
      <c r="AK703" s="36"/>
      <c r="AL703" s="36"/>
      <c r="AM703" s="36"/>
      <c r="AN703" s="36"/>
    </row>
    <row r="704" spans="1:40" ht="15.75" x14ac:dyDescent="0.25">
      <c r="A704" s="44"/>
      <c r="B704" s="36"/>
      <c r="C704" s="36"/>
      <c r="D704" s="36"/>
      <c r="E704" s="36"/>
      <c r="F704" s="36"/>
      <c r="G704" s="36"/>
      <c r="H704" s="36"/>
      <c r="I704" s="36"/>
      <c r="J704" s="105"/>
      <c r="K704" s="36"/>
      <c r="L704" s="36"/>
      <c r="M704" s="36"/>
      <c r="N704" s="105"/>
      <c r="O704" s="36"/>
      <c r="P704" s="36"/>
      <c r="Q704" s="36"/>
      <c r="R704" s="105"/>
      <c r="S704" s="36"/>
      <c r="T704" s="36"/>
      <c r="U704" s="36"/>
      <c r="V704" s="36"/>
      <c r="W704" s="36"/>
      <c r="X704" s="36"/>
      <c r="Y704" s="36"/>
      <c r="Z704" s="36"/>
      <c r="AA704" s="36"/>
      <c r="AB704" s="42"/>
      <c r="AC704" s="42"/>
      <c r="AD704" s="36"/>
      <c r="AE704" s="36"/>
      <c r="AF704" s="42"/>
      <c r="AG704" s="42"/>
      <c r="AH704" s="36"/>
      <c r="AI704" s="36"/>
      <c r="AJ704" s="36"/>
      <c r="AK704" s="36"/>
      <c r="AL704" s="36"/>
      <c r="AM704" s="36"/>
      <c r="AN704" s="36"/>
    </row>
    <row r="705" spans="1:40" ht="15.75" x14ac:dyDescent="0.25">
      <c r="A705" s="44"/>
      <c r="B705" s="36"/>
      <c r="C705" s="36"/>
      <c r="D705" s="36"/>
      <c r="E705" s="36"/>
      <c r="F705" s="36"/>
      <c r="G705" s="36"/>
      <c r="H705" s="36"/>
      <c r="I705" s="36"/>
      <c r="J705" s="105"/>
      <c r="K705" s="36"/>
      <c r="L705" s="36"/>
      <c r="M705" s="36"/>
      <c r="N705" s="105"/>
      <c r="O705" s="36"/>
      <c r="P705" s="36"/>
      <c r="Q705" s="36"/>
      <c r="R705" s="105"/>
      <c r="S705" s="36"/>
      <c r="T705" s="36"/>
      <c r="U705" s="36"/>
      <c r="V705" s="36"/>
      <c r="W705" s="36"/>
      <c r="X705" s="36"/>
      <c r="Y705" s="36"/>
      <c r="Z705" s="36"/>
      <c r="AA705" s="36"/>
      <c r="AB705" s="42"/>
      <c r="AC705" s="42"/>
      <c r="AD705" s="36"/>
      <c r="AE705" s="36"/>
      <c r="AF705" s="42"/>
      <c r="AG705" s="42"/>
      <c r="AH705" s="36"/>
      <c r="AI705" s="36"/>
      <c r="AJ705" s="36"/>
      <c r="AK705" s="36"/>
      <c r="AL705" s="36"/>
      <c r="AM705" s="36"/>
      <c r="AN705" s="36"/>
    </row>
    <row r="706" spans="1:40" ht="15.75" x14ac:dyDescent="0.25">
      <c r="A706" s="44"/>
      <c r="B706" s="36"/>
      <c r="C706" s="36"/>
      <c r="D706" s="36"/>
      <c r="E706" s="36"/>
      <c r="F706" s="36"/>
      <c r="G706" s="36"/>
      <c r="H706" s="36"/>
      <c r="I706" s="36"/>
      <c r="J706" s="105"/>
      <c r="K706" s="36"/>
      <c r="L706" s="36"/>
      <c r="M706" s="36"/>
      <c r="N706" s="105"/>
      <c r="O706" s="36"/>
      <c r="P706" s="36"/>
      <c r="Q706" s="36"/>
      <c r="R706" s="105"/>
      <c r="S706" s="36"/>
      <c r="T706" s="36"/>
      <c r="U706" s="36"/>
      <c r="V706" s="36"/>
      <c r="W706" s="36"/>
      <c r="X706" s="36"/>
      <c r="Y706" s="36"/>
      <c r="Z706" s="36"/>
      <c r="AA706" s="36"/>
      <c r="AB706" s="42"/>
      <c r="AC706" s="42"/>
      <c r="AD706" s="36"/>
      <c r="AE706" s="36"/>
      <c r="AF706" s="42"/>
      <c r="AG706" s="42"/>
      <c r="AH706" s="36"/>
      <c r="AI706" s="36"/>
      <c r="AJ706" s="36"/>
      <c r="AK706" s="36"/>
      <c r="AL706" s="36"/>
      <c r="AM706" s="36"/>
      <c r="AN706" s="36"/>
    </row>
    <row r="707" spans="1:40" ht="15.75" x14ac:dyDescent="0.25">
      <c r="A707" s="44"/>
      <c r="B707" s="36"/>
      <c r="C707" s="36"/>
      <c r="D707" s="36"/>
      <c r="E707" s="36"/>
      <c r="F707" s="36"/>
      <c r="G707" s="36"/>
      <c r="H707" s="36"/>
      <c r="I707" s="36"/>
      <c r="J707" s="105"/>
      <c r="K707" s="36"/>
      <c r="L707" s="36"/>
      <c r="M707" s="36"/>
      <c r="N707" s="105"/>
      <c r="O707" s="36"/>
      <c r="P707" s="36"/>
      <c r="Q707" s="36"/>
      <c r="R707" s="105"/>
      <c r="S707" s="36"/>
      <c r="T707" s="36"/>
      <c r="U707" s="36"/>
      <c r="V707" s="36"/>
      <c r="W707" s="36"/>
      <c r="X707" s="36"/>
      <c r="Y707" s="36"/>
      <c r="Z707" s="36"/>
      <c r="AA707" s="36"/>
      <c r="AB707" s="42"/>
      <c r="AC707" s="42"/>
      <c r="AD707" s="36"/>
      <c r="AE707" s="36"/>
      <c r="AF707" s="42"/>
      <c r="AG707" s="42"/>
      <c r="AH707" s="36"/>
      <c r="AI707" s="36"/>
      <c r="AJ707" s="36"/>
      <c r="AK707" s="36"/>
      <c r="AL707" s="36"/>
      <c r="AM707" s="36"/>
      <c r="AN707" s="36"/>
    </row>
    <row r="708" spans="1:40" ht="15.75" x14ac:dyDescent="0.25">
      <c r="A708" s="44"/>
      <c r="B708" s="36"/>
      <c r="C708" s="36"/>
      <c r="D708" s="36"/>
      <c r="E708" s="36"/>
      <c r="F708" s="36"/>
      <c r="G708" s="36"/>
      <c r="H708" s="36"/>
      <c r="I708" s="36"/>
      <c r="J708" s="105"/>
      <c r="K708" s="36"/>
      <c r="L708" s="36"/>
      <c r="M708" s="36"/>
      <c r="N708" s="105"/>
      <c r="O708" s="36"/>
      <c r="P708" s="36"/>
      <c r="Q708" s="36"/>
      <c r="R708" s="105"/>
      <c r="S708" s="36"/>
      <c r="T708" s="36"/>
      <c r="U708" s="36"/>
      <c r="V708" s="36"/>
      <c r="W708" s="36"/>
      <c r="X708" s="36"/>
      <c r="Y708" s="36"/>
      <c r="Z708" s="36"/>
      <c r="AA708" s="36"/>
      <c r="AB708" s="42"/>
      <c r="AC708" s="42"/>
      <c r="AD708" s="36"/>
      <c r="AE708" s="36"/>
      <c r="AF708" s="42"/>
      <c r="AG708" s="42"/>
      <c r="AH708" s="36"/>
      <c r="AI708" s="36"/>
      <c r="AJ708" s="36"/>
      <c r="AK708" s="36"/>
      <c r="AL708" s="36"/>
      <c r="AM708" s="36"/>
      <c r="AN708" s="36"/>
    </row>
    <row r="709" spans="1:40" ht="15.75" x14ac:dyDescent="0.25">
      <c r="A709" s="44"/>
      <c r="B709" s="36"/>
      <c r="C709" s="36"/>
      <c r="D709" s="36"/>
      <c r="E709" s="36"/>
      <c r="F709" s="36"/>
      <c r="G709" s="36"/>
      <c r="H709" s="36"/>
      <c r="I709" s="36"/>
      <c r="J709" s="105"/>
      <c r="K709" s="36"/>
      <c r="L709" s="36"/>
      <c r="M709" s="36"/>
      <c r="N709" s="105"/>
      <c r="O709" s="36"/>
      <c r="P709" s="36"/>
      <c r="Q709" s="36"/>
      <c r="R709" s="105"/>
      <c r="S709" s="36"/>
      <c r="T709" s="36"/>
      <c r="U709" s="36"/>
      <c r="V709" s="36"/>
      <c r="W709" s="36"/>
      <c r="X709" s="36"/>
      <c r="Y709" s="36"/>
      <c r="Z709" s="36"/>
      <c r="AA709" s="36"/>
      <c r="AB709" s="42"/>
      <c r="AC709" s="42"/>
      <c r="AD709" s="36"/>
      <c r="AE709" s="36"/>
      <c r="AF709" s="42"/>
      <c r="AG709" s="42"/>
      <c r="AH709" s="36"/>
      <c r="AI709" s="36"/>
      <c r="AJ709" s="36"/>
      <c r="AK709" s="36"/>
      <c r="AL709" s="36"/>
      <c r="AM709" s="36"/>
      <c r="AN709" s="36"/>
    </row>
    <row r="710" spans="1:40" ht="15.75" x14ac:dyDescent="0.25">
      <c r="A710" s="44"/>
      <c r="B710" s="36"/>
      <c r="C710" s="36"/>
      <c r="D710" s="36"/>
      <c r="E710" s="36"/>
      <c r="F710" s="36"/>
      <c r="G710" s="36"/>
      <c r="H710" s="36"/>
      <c r="I710" s="36"/>
      <c r="J710" s="105"/>
      <c r="K710" s="36"/>
      <c r="L710" s="36"/>
      <c r="M710" s="36"/>
      <c r="N710" s="105"/>
      <c r="O710" s="36"/>
      <c r="P710" s="36"/>
      <c r="Q710" s="36"/>
      <c r="R710" s="105"/>
      <c r="S710" s="36"/>
      <c r="T710" s="36"/>
      <c r="U710" s="36"/>
      <c r="V710" s="36"/>
      <c r="W710" s="36"/>
      <c r="X710" s="36"/>
      <c r="Y710" s="36"/>
      <c r="Z710" s="36"/>
      <c r="AA710" s="36"/>
      <c r="AB710" s="42"/>
      <c r="AC710" s="42"/>
      <c r="AD710" s="36"/>
      <c r="AE710" s="36"/>
      <c r="AF710" s="42"/>
      <c r="AG710" s="42"/>
      <c r="AH710" s="36"/>
      <c r="AI710" s="36"/>
      <c r="AJ710" s="36"/>
      <c r="AK710" s="36"/>
      <c r="AL710" s="36"/>
      <c r="AM710" s="36"/>
      <c r="AN710" s="36"/>
    </row>
    <row r="711" spans="1:40" ht="15.75" x14ac:dyDescent="0.25">
      <c r="A711" s="44"/>
      <c r="B711" s="36"/>
      <c r="C711" s="36"/>
      <c r="D711" s="36"/>
      <c r="E711" s="36"/>
      <c r="F711" s="36"/>
      <c r="G711" s="36"/>
      <c r="H711" s="36"/>
      <c r="I711" s="36"/>
      <c r="J711" s="105"/>
      <c r="K711" s="36"/>
      <c r="L711" s="36"/>
      <c r="M711" s="36"/>
      <c r="N711" s="105"/>
      <c r="O711" s="36"/>
      <c r="P711" s="36"/>
      <c r="Q711" s="36"/>
      <c r="R711" s="105"/>
      <c r="S711" s="36"/>
      <c r="T711" s="36"/>
      <c r="U711" s="36"/>
      <c r="V711" s="36"/>
      <c r="W711" s="36"/>
      <c r="X711" s="36"/>
      <c r="Y711" s="36"/>
      <c r="Z711" s="36"/>
      <c r="AA711" s="36"/>
      <c r="AB711" s="42"/>
      <c r="AC711" s="42"/>
      <c r="AD711" s="36"/>
      <c r="AE711" s="36"/>
      <c r="AF711" s="42"/>
      <c r="AG711" s="42"/>
      <c r="AH711" s="36"/>
      <c r="AI711" s="36"/>
      <c r="AJ711" s="36"/>
      <c r="AK711" s="36"/>
      <c r="AL711" s="36"/>
      <c r="AM711" s="36"/>
      <c r="AN711" s="36"/>
    </row>
    <row r="712" spans="1:40" ht="15.75" x14ac:dyDescent="0.25">
      <c r="A712" s="44"/>
      <c r="B712" s="36"/>
      <c r="C712" s="36"/>
      <c r="D712" s="36"/>
      <c r="E712" s="36"/>
      <c r="F712" s="36"/>
      <c r="G712" s="36"/>
      <c r="H712" s="36"/>
      <c r="I712" s="36"/>
      <c r="J712" s="105"/>
      <c r="K712" s="36"/>
      <c r="L712" s="36"/>
      <c r="M712" s="36"/>
      <c r="N712" s="105"/>
      <c r="O712" s="36"/>
      <c r="P712" s="36"/>
      <c r="Q712" s="36"/>
      <c r="R712" s="105"/>
      <c r="S712" s="36"/>
      <c r="T712" s="36"/>
      <c r="U712" s="36"/>
      <c r="V712" s="36"/>
      <c r="W712" s="36"/>
      <c r="X712" s="36"/>
      <c r="Y712" s="36"/>
      <c r="Z712" s="36"/>
      <c r="AA712" s="36"/>
      <c r="AB712" s="42"/>
      <c r="AC712" s="42"/>
      <c r="AD712" s="36"/>
      <c r="AE712" s="36"/>
      <c r="AF712" s="42"/>
      <c r="AG712" s="42"/>
      <c r="AH712" s="36"/>
      <c r="AI712" s="36"/>
      <c r="AJ712" s="36"/>
      <c r="AK712" s="36"/>
      <c r="AL712" s="36"/>
      <c r="AM712" s="36"/>
      <c r="AN712" s="36"/>
    </row>
    <row r="713" spans="1:40" ht="15.75" x14ac:dyDescent="0.25">
      <c r="A713" s="44"/>
      <c r="B713" s="36"/>
      <c r="C713" s="36"/>
      <c r="D713" s="36"/>
      <c r="E713" s="36"/>
      <c r="F713" s="36"/>
      <c r="G713" s="36"/>
      <c r="H713" s="36"/>
      <c r="I713" s="36"/>
      <c r="J713" s="105"/>
      <c r="K713" s="36"/>
      <c r="L713" s="36"/>
      <c r="M713" s="36"/>
      <c r="N713" s="105"/>
      <c r="O713" s="36"/>
      <c r="P713" s="36"/>
      <c r="Q713" s="36"/>
      <c r="R713" s="105"/>
      <c r="S713" s="36"/>
      <c r="T713" s="36"/>
      <c r="U713" s="36"/>
      <c r="V713" s="36"/>
      <c r="W713" s="36"/>
      <c r="X713" s="36"/>
      <c r="Y713" s="36"/>
      <c r="Z713" s="36"/>
      <c r="AA713" s="36"/>
      <c r="AB713" s="42"/>
      <c r="AC713" s="42"/>
      <c r="AD713" s="36"/>
      <c r="AE713" s="36"/>
      <c r="AF713" s="42"/>
      <c r="AG713" s="42"/>
      <c r="AH713" s="36"/>
      <c r="AI713" s="36"/>
      <c r="AJ713" s="36"/>
      <c r="AK713" s="36"/>
      <c r="AL713" s="36"/>
      <c r="AM713" s="36"/>
      <c r="AN713" s="36"/>
    </row>
    <row r="714" spans="1:40" ht="15.75" x14ac:dyDescent="0.25">
      <c r="A714" s="44"/>
      <c r="B714" s="36"/>
      <c r="C714" s="36"/>
      <c r="D714" s="36"/>
      <c r="E714" s="36"/>
      <c r="F714" s="36"/>
      <c r="G714" s="36"/>
      <c r="H714" s="36"/>
      <c r="I714" s="36"/>
      <c r="J714" s="105"/>
      <c r="K714" s="36"/>
      <c r="L714" s="36"/>
      <c r="M714" s="36"/>
      <c r="N714" s="105"/>
      <c r="O714" s="36"/>
      <c r="P714" s="36"/>
      <c r="Q714" s="36"/>
      <c r="R714" s="105"/>
      <c r="S714" s="36"/>
      <c r="T714" s="36"/>
      <c r="U714" s="36"/>
      <c r="V714" s="36"/>
      <c r="W714" s="36"/>
      <c r="X714" s="36"/>
      <c r="Y714" s="36"/>
      <c r="Z714" s="36"/>
      <c r="AA714" s="36"/>
      <c r="AB714" s="42"/>
      <c r="AC714" s="42"/>
      <c r="AD714" s="36"/>
      <c r="AE714" s="36"/>
      <c r="AF714" s="42"/>
      <c r="AG714" s="42"/>
      <c r="AH714" s="36"/>
      <c r="AI714" s="36"/>
      <c r="AJ714" s="36"/>
      <c r="AK714" s="36"/>
      <c r="AL714" s="36"/>
      <c r="AM714" s="36"/>
      <c r="AN714" s="36"/>
    </row>
    <row r="715" spans="1:40" ht="15.75" x14ac:dyDescent="0.25">
      <c r="A715" s="44"/>
      <c r="B715" s="36"/>
      <c r="C715" s="36"/>
      <c r="D715" s="36"/>
      <c r="E715" s="36"/>
      <c r="F715" s="36"/>
      <c r="G715" s="36"/>
      <c r="H715" s="36"/>
      <c r="I715" s="36"/>
      <c r="J715" s="105"/>
      <c r="K715" s="36"/>
      <c r="L715" s="36"/>
      <c r="M715" s="36"/>
      <c r="N715" s="105"/>
      <c r="O715" s="36"/>
      <c r="P715" s="36"/>
      <c r="Q715" s="36"/>
      <c r="R715" s="105"/>
      <c r="S715" s="36"/>
      <c r="T715" s="36"/>
      <c r="U715" s="36"/>
      <c r="V715" s="36"/>
      <c r="W715" s="36"/>
      <c r="X715" s="36"/>
      <c r="Y715" s="36"/>
      <c r="Z715" s="36"/>
      <c r="AA715" s="36"/>
      <c r="AB715" s="42"/>
      <c r="AC715" s="42"/>
      <c r="AD715" s="36"/>
      <c r="AE715" s="36"/>
      <c r="AF715" s="42"/>
      <c r="AG715" s="42"/>
      <c r="AH715" s="36"/>
      <c r="AI715" s="36"/>
      <c r="AJ715" s="36"/>
      <c r="AK715" s="36"/>
      <c r="AL715" s="36"/>
      <c r="AM715" s="36"/>
      <c r="AN715" s="36"/>
    </row>
    <row r="716" spans="1:40" ht="15.75" x14ac:dyDescent="0.25">
      <c r="A716" s="44"/>
      <c r="B716" s="36"/>
      <c r="C716" s="36"/>
      <c r="D716" s="36"/>
      <c r="E716" s="36"/>
      <c r="F716" s="36"/>
      <c r="G716" s="36"/>
      <c r="H716" s="36"/>
      <c r="I716" s="36"/>
      <c r="J716" s="105"/>
      <c r="K716" s="36"/>
      <c r="L716" s="36"/>
      <c r="M716" s="36"/>
      <c r="N716" s="105"/>
      <c r="O716" s="36"/>
      <c r="P716" s="36"/>
      <c r="Q716" s="36"/>
      <c r="R716" s="105"/>
      <c r="S716" s="36"/>
      <c r="T716" s="36"/>
      <c r="U716" s="36"/>
      <c r="V716" s="36"/>
      <c r="W716" s="36"/>
      <c r="X716" s="36"/>
      <c r="Y716" s="36"/>
      <c r="Z716" s="36"/>
      <c r="AA716" s="36"/>
      <c r="AB716" s="42"/>
      <c r="AC716" s="42"/>
      <c r="AD716" s="36"/>
      <c r="AE716" s="36"/>
      <c r="AF716" s="42"/>
      <c r="AG716" s="42"/>
      <c r="AH716" s="36"/>
      <c r="AI716" s="36"/>
      <c r="AJ716" s="36"/>
      <c r="AK716" s="36"/>
      <c r="AL716" s="36"/>
      <c r="AM716" s="36"/>
      <c r="AN716" s="36"/>
    </row>
    <row r="717" spans="1:40" ht="15.75" x14ac:dyDescent="0.25">
      <c r="A717" s="44"/>
      <c r="B717" s="36"/>
      <c r="C717" s="36"/>
      <c r="D717" s="36"/>
      <c r="E717" s="36"/>
      <c r="F717" s="36"/>
      <c r="G717" s="36"/>
      <c r="H717" s="36"/>
      <c r="I717" s="36"/>
      <c r="J717" s="105"/>
      <c r="K717" s="36"/>
      <c r="L717" s="36"/>
      <c r="M717" s="36"/>
      <c r="N717" s="105"/>
      <c r="O717" s="36"/>
      <c r="P717" s="36"/>
      <c r="Q717" s="36"/>
      <c r="R717" s="105"/>
      <c r="S717" s="36"/>
      <c r="T717" s="36"/>
      <c r="U717" s="36"/>
      <c r="V717" s="36"/>
      <c r="W717" s="36"/>
      <c r="X717" s="36"/>
      <c r="Y717" s="36"/>
      <c r="Z717" s="36"/>
      <c r="AA717" s="36"/>
      <c r="AB717" s="42"/>
      <c r="AC717" s="42"/>
      <c r="AD717" s="36"/>
      <c r="AE717" s="36"/>
      <c r="AF717" s="42"/>
      <c r="AG717" s="42"/>
      <c r="AH717" s="36"/>
      <c r="AI717" s="36"/>
      <c r="AJ717" s="36"/>
      <c r="AK717" s="36"/>
      <c r="AL717" s="36"/>
      <c r="AM717" s="36"/>
      <c r="AN717" s="36"/>
    </row>
    <row r="718" spans="1:40" ht="15.75" x14ac:dyDescent="0.25">
      <c r="A718" s="44"/>
      <c r="B718" s="36"/>
      <c r="C718" s="36"/>
      <c r="D718" s="36"/>
      <c r="E718" s="36"/>
      <c r="F718" s="36"/>
      <c r="G718" s="36"/>
      <c r="H718" s="36"/>
      <c r="I718" s="36"/>
      <c r="J718" s="105"/>
      <c r="K718" s="36"/>
      <c r="L718" s="36"/>
      <c r="M718" s="36"/>
      <c r="N718" s="105"/>
      <c r="O718" s="36"/>
      <c r="P718" s="36"/>
      <c r="Q718" s="36"/>
      <c r="R718" s="105"/>
      <c r="S718" s="36"/>
      <c r="T718" s="36"/>
      <c r="U718" s="36"/>
      <c r="V718" s="36"/>
      <c r="W718" s="36"/>
      <c r="X718" s="36"/>
      <c r="Y718" s="36"/>
      <c r="Z718" s="36"/>
      <c r="AA718" s="36"/>
      <c r="AB718" s="42"/>
      <c r="AC718" s="42"/>
      <c r="AD718" s="36"/>
      <c r="AE718" s="36"/>
      <c r="AF718" s="42"/>
      <c r="AG718" s="42"/>
      <c r="AH718" s="36"/>
      <c r="AI718" s="36"/>
      <c r="AJ718" s="36"/>
      <c r="AK718" s="36"/>
      <c r="AL718" s="36"/>
      <c r="AM718" s="36"/>
      <c r="AN718" s="36"/>
    </row>
    <row r="719" spans="1:40" ht="15.75" x14ac:dyDescent="0.25">
      <c r="A719" s="44"/>
      <c r="B719" s="36"/>
      <c r="C719" s="36"/>
      <c r="D719" s="36"/>
      <c r="E719" s="36"/>
      <c r="F719" s="36"/>
      <c r="G719" s="36"/>
      <c r="H719" s="36"/>
      <c r="I719" s="36"/>
      <c r="J719" s="105"/>
      <c r="K719" s="36"/>
      <c r="L719" s="36"/>
      <c r="M719" s="36"/>
      <c r="N719" s="105"/>
      <c r="O719" s="36"/>
      <c r="P719" s="36"/>
      <c r="Q719" s="36"/>
      <c r="R719" s="105"/>
      <c r="S719" s="36"/>
      <c r="T719" s="36"/>
      <c r="U719" s="36"/>
      <c r="V719" s="36"/>
      <c r="W719" s="36"/>
      <c r="X719" s="36"/>
      <c r="Y719" s="36"/>
      <c r="Z719" s="36"/>
      <c r="AA719" s="36"/>
      <c r="AB719" s="42"/>
      <c r="AC719" s="42"/>
      <c r="AD719" s="36"/>
      <c r="AE719" s="36"/>
      <c r="AF719" s="42"/>
      <c r="AG719" s="42"/>
      <c r="AH719" s="36"/>
      <c r="AI719" s="36"/>
      <c r="AJ719" s="36"/>
      <c r="AK719" s="36"/>
      <c r="AL719" s="36"/>
      <c r="AM719" s="36"/>
      <c r="AN719" s="36"/>
    </row>
    <row r="720" spans="1:40" ht="15.75" x14ac:dyDescent="0.25">
      <c r="A720" s="44"/>
      <c r="B720" s="36"/>
      <c r="C720" s="36"/>
      <c r="D720" s="36"/>
      <c r="E720" s="36"/>
      <c r="F720" s="36"/>
      <c r="G720" s="36"/>
      <c r="H720" s="36"/>
      <c r="I720" s="36"/>
      <c r="J720" s="105"/>
      <c r="K720" s="36"/>
      <c r="L720" s="36"/>
      <c r="M720" s="36"/>
      <c r="N720" s="105"/>
      <c r="O720" s="36"/>
      <c r="P720" s="36"/>
      <c r="Q720" s="36"/>
      <c r="R720" s="105"/>
      <c r="S720" s="36"/>
      <c r="T720" s="36"/>
      <c r="U720" s="36"/>
      <c r="V720" s="36"/>
      <c r="W720" s="36"/>
      <c r="X720" s="36"/>
      <c r="Y720" s="36"/>
      <c r="Z720" s="36"/>
      <c r="AA720" s="36"/>
      <c r="AB720" s="42"/>
      <c r="AC720" s="42"/>
      <c r="AD720" s="36"/>
      <c r="AE720" s="36"/>
      <c r="AF720" s="42"/>
      <c r="AG720" s="42"/>
      <c r="AH720" s="36"/>
      <c r="AI720" s="36"/>
      <c r="AJ720" s="36"/>
      <c r="AK720" s="36"/>
      <c r="AL720" s="36"/>
      <c r="AM720" s="36"/>
      <c r="AN720" s="36"/>
    </row>
    <row r="721" spans="1:40" ht="15.75" x14ac:dyDescent="0.25">
      <c r="A721" s="44"/>
      <c r="B721" s="36"/>
      <c r="C721" s="36"/>
      <c r="D721" s="36"/>
      <c r="E721" s="36"/>
      <c r="F721" s="36"/>
      <c r="G721" s="36"/>
      <c r="H721" s="36"/>
      <c r="I721" s="36"/>
      <c r="J721" s="105"/>
      <c r="K721" s="36"/>
      <c r="L721" s="36"/>
      <c r="M721" s="36"/>
      <c r="N721" s="105"/>
      <c r="O721" s="36"/>
      <c r="P721" s="36"/>
      <c r="Q721" s="36"/>
      <c r="R721" s="105"/>
      <c r="S721" s="36"/>
      <c r="T721" s="36"/>
      <c r="U721" s="36"/>
      <c r="V721" s="36"/>
      <c r="W721" s="36"/>
      <c r="X721" s="36"/>
      <c r="Y721" s="36"/>
      <c r="Z721" s="36"/>
      <c r="AA721" s="36"/>
      <c r="AB721" s="42"/>
      <c r="AC721" s="42"/>
      <c r="AD721" s="36"/>
      <c r="AE721" s="36"/>
      <c r="AF721" s="42"/>
      <c r="AG721" s="42"/>
      <c r="AH721" s="36"/>
      <c r="AI721" s="36"/>
      <c r="AJ721" s="36"/>
      <c r="AK721" s="36"/>
      <c r="AL721" s="36"/>
      <c r="AM721" s="36"/>
      <c r="AN721" s="36"/>
    </row>
    <row r="722" spans="1:40" ht="15.75" x14ac:dyDescent="0.25">
      <c r="A722" s="44"/>
      <c r="B722" s="36"/>
      <c r="C722" s="36"/>
      <c r="D722" s="36"/>
      <c r="E722" s="36"/>
      <c r="F722" s="36"/>
      <c r="G722" s="36"/>
      <c r="H722" s="36"/>
      <c r="I722" s="36"/>
      <c r="J722" s="105"/>
      <c r="K722" s="36"/>
      <c r="L722" s="36"/>
      <c r="M722" s="36"/>
      <c r="N722" s="105"/>
      <c r="O722" s="36"/>
      <c r="P722" s="36"/>
      <c r="Q722" s="36"/>
      <c r="R722" s="105"/>
      <c r="S722" s="36"/>
      <c r="T722" s="36"/>
      <c r="U722" s="36"/>
      <c r="V722" s="36"/>
      <c r="W722" s="36"/>
      <c r="X722" s="36"/>
      <c r="Y722" s="36"/>
      <c r="Z722" s="36"/>
      <c r="AA722" s="36"/>
      <c r="AB722" s="42"/>
      <c r="AC722" s="42"/>
      <c r="AD722" s="36"/>
      <c r="AE722" s="36"/>
      <c r="AF722" s="42"/>
      <c r="AG722" s="42"/>
      <c r="AH722" s="36"/>
      <c r="AI722" s="36"/>
      <c r="AJ722" s="36"/>
      <c r="AK722" s="36"/>
      <c r="AL722" s="36"/>
      <c r="AM722" s="36"/>
      <c r="AN722" s="36"/>
    </row>
    <row r="723" spans="1:40" ht="15.75" x14ac:dyDescent="0.25">
      <c r="A723" s="44"/>
      <c r="B723" s="36"/>
      <c r="C723" s="36"/>
      <c r="D723" s="36"/>
      <c r="E723" s="36"/>
      <c r="F723" s="36"/>
      <c r="G723" s="36"/>
      <c r="H723" s="36"/>
      <c r="I723" s="36"/>
      <c r="J723" s="105"/>
      <c r="K723" s="36"/>
      <c r="L723" s="36"/>
      <c r="M723" s="36"/>
      <c r="N723" s="105"/>
      <c r="O723" s="36"/>
      <c r="P723" s="36"/>
      <c r="Q723" s="36"/>
      <c r="R723" s="105"/>
      <c r="S723" s="36"/>
      <c r="T723" s="36"/>
      <c r="U723" s="36"/>
      <c r="V723" s="36"/>
      <c r="W723" s="36"/>
      <c r="X723" s="36"/>
      <c r="Y723" s="36"/>
      <c r="Z723" s="36"/>
      <c r="AA723" s="36"/>
      <c r="AB723" s="42"/>
      <c r="AC723" s="42"/>
      <c r="AD723" s="36"/>
      <c r="AE723" s="36"/>
      <c r="AF723" s="42"/>
      <c r="AG723" s="42"/>
      <c r="AH723" s="36"/>
      <c r="AI723" s="36"/>
      <c r="AJ723" s="36"/>
      <c r="AK723" s="36"/>
      <c r="AL723" s="36"/>
      <c r="AM723" s="36"/>
      <c r="AN723" s="36"/>
    </row>
    <row r="724" spans="1:40" ht="15.75" x14ac:dyDescent="0.25">
      <c r="A724" s="44"/>
      <c r="B724" s="36"/>
      <c r="C724" s="36"/>
      <c r="D724" s="36"/>
      <c r="E724" s="36"/>
      <c r="F724" s="36"/>
      <c r="G724" s="36"/>
      <c r="H724" s="36"/>
      <c r="I724" s="36"/>
      <c r="J724" s="105"/>
      <c r="K724" s="36"/>
      <c r="L724" s="36"/>
      <c r="M724" s="36"/>
      <c r="N724" s="105"/>
      <c r="O724" s="36"/>
      <c r="P724" s="36"/>
      <c r="Q724" s="36"/>
      <c r="R724" s="105"/>
      <c r="S724" s="36"/>
      <c r="T724" s="36"/>
      <c r="U724" s="36"/>
      <c r="V724" s="36"/>
      <c r="W724" s="36"/>
      <c r="X724" s="36"/>
      <c r="Y724" s="36"/>
      <c r="Z724" s="36"/>
      <c r="AA724" s="36"/>
      <c r="AB724" s="42"/>
      <c r="AC724" s="42"/>
      <c r="AD724" s="36"/>
      <c r="AE724" s="36"/>
      <c r="AF724" s="42"/>
      <c r="AG724" s="42"/>
      <c r="AH724" s="36"/>
      <c r="AI724" s="36"/>
      <c r="AJ724" s="36"/>
      <c r="AK724" s="36"/>
      <c r="AL724" s="36"/>
      <c r="AM724" s="36"/>
      <c r="AN724" s="36"/>
    </row>
    <row r="725" spans="1:40" ht="15.75" x14ac:dyDescent="0.25">
      <c r="A725" s="44"/>
      <c r="B725" s="36"/>
      <c r="C725" s="36"/>
      <c r="D725" s="36"/>
      <c r="E725" s="36"/>
      <c r="F725" s="36"/>
      <c r="G725" s="36"/>
      <c r="H725" s="36"/>
      <c r="I725" s="36"/>
      <c r="J725" s="105"/>
      <c r="K725" s="36"/>
      <c r="L725" s="36"/>
      <c r="M725" s="36"/>
      <c r="N725" s="105"/>
      <c r="O725" s="36"/>
      <c r="P725" s="36"/>
      <c r="Q725" s="36"/>
      <c r="R725" s="105"/>
      <c r="S725" s="36"/>
      <c r="T725" s="36"/>
      <c r="U725" s="36"/>
      <c r="V725" s="36"/>
      <c r="W725" s="36"/>
      <c r="X725" s="36"/>
      <c r="Y725" s="36"/>
      <c r="Z725" s="36"/>
      <c r="AA725" s="36"/>
      <c r="AB725" s="42"/>
      <c r="AC725" s="42"/>
      <c r="AD725" s="36"/>
      <c r="AE725" s="36"/>
      <c r="AF725" s="42"/>
      <c r="AG725" s="42"/>
      <c r="AH725" s="36"/>
      <c r="AI725" s="36"/>
      <c r="AJ725" s="36"/>
      <c r="AK725" s="36"/>
      <c r="AL725" s="36"/>
      <c r="AM725" s="36"/>
      <c r="AN725" s="36"/>
    </row>
    <row r="726" spans="1:40" ht="15.75" x14ac:dyDescent="0.25">
      <c r="A726" s="44"/>
      <c r="B726" s="36"/>
      <c r="C726" s="36"/>
      <c r="D726" s="36"/>
      <c r="E726" s="36"/>
      <c r="F726" s="36"/>
      <c r="G726" s="36"/>
      <c r="H726" s="36"/>
      <c r="I726" s="36"/>
      <c r="J726" s="105"/>
      <c r="K726" s="36"/>
      <c r="L726" s="36"/>
      <c r="M726" s="36"/>
      <c r="N726" s="105"/>
      <c r="O726" s="36"/>
      <c r="P726" s="36"/>
      <c r="Q726" s="36"/>
      <c r="R726" s="105"/>
      <c r="S726" s="36"/>
      <c r="T726" s="36"/>
      <c r="U726" s="36"/>
      <c r="V726" s="36"/>
      <c r="W726" s="36"/>
      <c r="X726" s="36"/>
      <c r="Y726" s="36"/>
      <c r="Z726" s="36"/>
      <c r="AA726" s="36"/>
      <c r="AB726" s="42"/>
      <c r="AC726" s="42"/>
      <c r="AD726" s="36"/>
      <c r="AE726" s="36"/>
      <c r="AF726" s="42"/>
      <c r="AG726" s="42"/>
      <c r="AH726" s="36"/>
      <c r="AI726" s="36"/>
      <c r="AJ726" s="36"/>
      <c r="AK726" s="36"/>
      <c r="AL726" s="36"/>
      <c r="AM726" s="36"/>
      <c r="AN726" s="36"/>
    </row>
    <row r="727" spans="1:40" ht="15.75" x14ac:dyDescent="0.25">
      <c r="A727" s="44"/>
      <c r="B727" s="36"/>
      <c r="C727" s="36"/>
      <c r="D727" s="36"/>
      <c r="E727" s="36"/>
      <c r="F727" s="36"/>
      <c r="G727" s="36"/>
      <c r="H727" s="36"/>
      <c r="I727" s="36"/>
      <c r="J727" s="105"/>
      <c r="K727" s="36"/>
      <c r="L727" s="36"/>
      <c r="M727" s="36"/>
      <c r="N727" s="105"/>
      <c r="O727" s="36"/>
      <c r="P727" s="36"/>
      <c r="Q727" s="36"/>
      <c r="R727" s="105"/>
      <c r="S727" s="36"/>
      <c r="T727" s="36"/>
      <c r="U727" s="36"/>
      <c r="V727" s="36"/>
      <c r="W727" s="36"/>
      <c r="X727" s="36"/>
      <c r="Y727" s="36"/>
      <c r="Z727" s="36"/>
      <c r="AA727" s="36"/>
      <c r="AB727" s="42"/>
      <c r="AC727" s="42"/>
      <c r="AD727" s="36"/>
      <c r="AE727" s="36"/>
      <c r="AF727" s="42"/>
      <c r="AG727" s="42"/>
      <c r="AH727" s="36"/>
      <c r="AI727" s="36"/>
      <c r="AJ727" s="36"/>
      <c r="AK727" s="36"/>
      <c r="AL727" s="36"/>
      <c r="AM727" s="36"/>
      <c r="AN727" s="36"/>
    </row>
    <row r="728" spans="1:40" ht="15.75" x14ac:dyDescent="0.25">
      <c r="A728" s="44"/>
      <c r="B728" s="36"/>
      <c r="C728" s="36"/>
      <c r="D728" s="36"/>
      <c r="E728" s="36"/>
      <c r="F728" s="36"/>
      <c r="G728" s="36"/>
      <c r="H728" s="36"/>
      <c r="I728" s="36"/>
      <c r="J728" s="105"/>
      <c r="K728" s="36"/>
      <c r="L728" s="36"/>
      <c r="M728" s="36"/>
      <c r="N728" s="105"/>
      <c r="O728" s="36"/>
      <c r="P728" s="36"/>
      <c r="Q728" s="36"/>
      <c r="R728" s="105"/>
      <c r="S728" s="36"/>
      <c r="T728" s="36"/>
      <c r="U728" s="36"/>
      <c r="V728" s="36"/>
      <c r="W728" s="36"/>
      <c r="X728" s="36"/>
      <c r="Y728" s="36"/>
      <c r="Z728" s="36"/>
      <c r="AA728" s="36"/>
      <c r="AB728" s="42"/>
      <c r="AC728" s="42"/>
      <c r="AD728" s="36"/>
      <c r="AE728" s="36"/>
      <c r="AF728" s="42"/>
      <c r="AG728" s="42"/>
      <c r="AH728" s="36"/>
      <c r="AI728" s="36"/>
      <c r="AJ728" s="36"/>
      <c r="AK728" s="36"/>
      <c r="AL728" s="36"/>
      <c r="AM728" s="36"/>
      <c r="AN728" s="36"/>
    </row>
    <row r="729" spans="1:40" ht="15.75" x14ac:dyDescent="0.25">
      <c r="A729" s="44"/>
      <c r="B729" s="36"/>
      <c r="C729" s="36"/>
      <c r="D729" s="36"/>
      <c r="E729" s="36"/>
      <c r="F729" s="36"/>
      <c r="G729" s="36"/>
      <c r="H729" s="36"/>
      <c r="I729" s="36"/>
      <c r="J729" s="105"/>
      <c r="K729" s="36"/>
      <c r="L729" s="36"/>
      <c r="M729" s="36"/>
      <c r="N729" s="105"/>
      <c r="O729" s="36"/>
      <c r="P729" s="36"/>
      <c r="Q729" s="36"/>
      <c r="R729" s="105"/>
      <c r="S729" s="36"/>
      <c r="T729" s="36"/>
      <c r="U729" s="36"/>
      <c r="V729" s="36"/>
      <c r="W729" s="36"/>
      <c r="X729" s="36"/>
      <c r="Y729" s="36"/>
      <c r="Z729" s="36"/>
      <c r="AA729" s="36"/>
      <c r="AB729" s="42"/>
      <c r="AC729" s="42"/>
      <c r="AD729" s="36"/>
      <c r="AE729" s="36"/>
      <c r="AF729" s="42"/>
      <c r="AG729" s="42"/>
      <c r="AH729" s="36"/>
      <c r="AI729" s="36"/>
      <c r="AJ729" s="36"/>
      <c r="AK729" s="36"/>
      <c r="AL729" s="36"/>
      <c r="AM729" s="36"/>
      <c r="AN729" s="36"/>
    </row>
    <row r="730" spans="1:40" ht="15.75" x14ac:dyDescent="0.25">
      <c r="A730" s="44"/>
      <c r="B730" s="36"/>
      <c r="C730" s="36"/>
      <c r="D730" s="36"/>
      <c r="E730" s="36"/>
      <c r="F730" s="36"/>
      <c r="G730" s="36"/>
      <c r="H730" s="36"/>
      <c r="I730" s="36"/>
      <c r="J730" s="105"/>
      <c r="K730" s="36"/>
      <c r="L730" s="36"/>
      <c r="M730" s="36"/>
      <c r="N730" s="105"/>
      <c r="O730" s="36"/>
      <c r="P730" s="36"/>
      <c r="Q730" s="36"/>
      <c r="R730" s="105"/>
      <c r="S730" s="36"/>
      <c r="T730" s="36"/>
      <c r="U730" s="36"/>
      <c r="V730" s="36"/>
      <c r="W730" s="36"/>
      <c r="X730" s="36"/>
      <c r="Y730" s="36"/>
      <c r="Z730" s="36"/>
      <c r="AA730" s="36"/>
      <c r="AB730" s="42"/>
      <c r="AC730" s="42"/>
      <c r="AD730" s="36"/>
      <c r="AE730" s="36"/>
      <c r="AF730" s="42"/>
      <c r="AG730" s="42"/>
      <c r="AH730" s="36"/>
      <c r="AI730" s="36"/>
      <c r="AJ730" s="36"/>
      <c r="AK730" s="36"/>
      <c r="AL730" s="36"/>
      <c r="AM730" s="36"/>
      <c r="AN730" s="36"/>
    </row>
    <row r="731" spans="1:40" ht="15.75" x14ac:dyDescent="0.25">
      <c r="A731" s="44"/>
      <c r="B731" s="36"/>
      <c r="C731" s="36"/>
      <c r="D731" s="36"/>
      <c r="E731" s="36"/>
      <c r="F731" s="36"/>
      <c r="G731" s="36"/>
      <c r="H731" s="36"/>
      <c r="I731" s="36"/>
      <c r="J731" s="105"/>
      <c r="K731" s="36"/>
      <c r="L731" s="36"/>
      <c r="M731" s="36"/>
      <c r="N731" s="105"/>
      <c r="O731" s="36"/>
      <c r="P731" s="36"/>
      <c r="Q731" s="36"/>
      <c r="R731" s="105"/>
      <c r="S731" s="36"/>
      <c r="T731" s="36"/>
      <c r="U731" s="36"/>
      <c r="V731" s="36"/>
      <c r="W731" s="36"/>
      <c r="X731" s="36"/>
      <c r="Y731" s="36"/>
      <c r="Z731" s="36"/>
      <c r="AA731" s="36"/>
      <c r="AB731" s="42"/>
      <c r="AC731" s="42"/>
      <c r="AD731" s="36"/>
      <c r="AE731" s="36"/>
      <c r="AF731" s="42"/>
      <c r="AG731" s="42"/>
      <c r="AH731" s="36"/>
      <c r="AI731" s="36"/>
      <c r="AJ731" s="36"/>
      <c r="AK731" s="36"/>
      <c r="AL731" s="36"/>
      <c r="AM731" s="36"/>
      <c r="AN731" s="36"/>
    </row>
    <row r="732" spans="1:40" ht="15.75" x14ac:dyDescent="0.25">
      <c r="A732" s="44"/>
      <c r="B732" s="36"/>
      <c r="C732" s="36"/>
      <c r="D732" s="36"/>
      <c r="E732" s="36"/>
      <c r="F732" s="36"/>
      <c r="G732" s="36"/>
      <c r="H732" s="36"/>
      <c r="I732" s="36"/>
      <c r="J732" s="105"/>
      <c r="K732" s="36"/>
      <c r="L732" s="36"/>
      <c r="M732" s="36"/>
      <c r="N732" s="105"/>
      <c r="O732" s="36"/>
      <c r="P732" s="36"/>
      <c r="Q732" s="36"/>
      <c r="R732" s="105"/>
      <c r="S732" s="36"/>
      <c r="T732" s="36"/>
      <c r="U732" s="36"/>
      <c r="V732" s="36"/>
      <c r="W732" s="36"/>
      <c r="X732" s="36"/>
      <c r="Y732" s="36"/>
      <c r="Z732" s="36"/>
      <c r="AA732" s="36"/>
      <c r="AB732" s="42"/>
      <c r="AC732" s="42"/>
      <c r="AD732" s="36"/>
      <c r="AE732" s="36"/>
      <c r="AF732" s="42"/>
      <c r="AG732" s="42"/>
      <c r="AH732" s="36"/>
      <c r="AI732" s="36"/>
      <c r="AJ732" s="36"/>
      <c r="AK732" s="36"/>
      <c r="AL732" s="36"/>
      <c r="AM732" s="36"/>
      <c r="AN732" s="36"/>
    </row>
    <row r="733" spans="1:40" ht="15.75" x14ac:dyDescent="0.25">
      <c r="A733" s="44"/>
      <c r="B733" s="36"/>
      <c r="C733" s="36"/>
      <c r="D733" s="36"/>
      <c r="E733" s="36"/>
      <c r="F733" s="36"/>
      <c r="G733" s="36"/>
      <c r="H733" s="36"/>
      <c r="I733" s="36"/>
      <c r="J733" s="105"/>
      <c r="K733" s="36"/>
      <c r="L733" s="36"/>
      <c r="M733" s="36"/>
      <c r="N733" s="105"/>
      <c r="O733" s="36"/>
      <c r="P733" s="36"/>
      <c r="Q733" s="36"/>
      <c r="R733" s="105"/>
      <c r="S733" s="36"/>
      <c r="T733" s="36"/>
      <c r="U733" s="36"/>
      <c r="V733" s="36"/>
      <c r="W733" s="36"/>
      <c r="X733" s="36"/>
      <c r="Y733" s="36"/>
      <c r="Z733" s="36"/>
      <c r="AA733" s="36"/>
      <c r="AB733" s="42"/>
      <c r="AC733" s="42"/>
      <c r="AD733" s="36"/>
      <c r="AE733" s="36"/>
      <c r="AF733" s="42"/>
      <c r="AG733" s="42"/>
      <c r="AH733" s="36"/>
      <c r="AI733" s="36"/>
      <c r="AJ733" s="36"/>
      <c r="AK733" s="36"/>
      <c r="AL733" s="36"/>
      <c r="AM733" s="36"/>
      <c r="AN733" s="36"/>
    </row>
    <row r="734" spans="1:40" ht="15.75" x14ac:dyDescent="0.25">
      <c r="A734" s="44"/>
      <c r="B734" s="36"/>
      <c r="C734" s="36"/>
      <c r="D734" s="36"/>
      <c r="E734" s="36"/>
      <c r="F734" s="36"/>
      <c r="G734" s="36"/>
      <c r="H734" s="36"/>
      <c r="I734" s="36"/>
      <c r="J734" s="105"/>
      <c r="K734" s="36"/>
      <c r="L734" s="36"/>
      <c r="M734" s="36"/>
      <c r="N734" s="105"/>
      <c r="O734" s="36"/>
      <c r="P734" s="36"/>
      <c r="Q734" s="36"/>
      <c r="R734" s="105"/>
      <c r="S734" s="36"/>
      <c r="T734" s="36"/>
      <c r="U734" s="36"/>
      <c r="V734" s="36"/>
      <c r="W734" s="36"/>
      <c r="X734" s="36"/>
      <c r="Y734" s="36"/>
      <c r="Z734" s="36"/>
      <c r="AA734" s="36"/>
      <c r="AB734" s="42"/>
      <c r="AC734" s="42"/>
      <c r="AD734" s="36"/>
      <c r="AE734" s="36"/>
      <c r="AF734" s="42"/>
      <c r="AG734" s="42"/>
      <c r="AH734" s="36"/>
      <c r="AI734" s="36"/>
      <c r="AJ734" s="36"/>
      <c r="AK734" s="36"/>
      <c r="AL734" s="36"/>
      <c r="AM734" s="36"/>
      <c r="AN734" s="36"/>
    </row>
    <row r="735" spans="1:40" ht="15.75" x14ac:dyDescent="0.25">
      <c r="A735" s="44"/>
      <c r="B735" s="36"/>
      <c r="C735" s="36"/>
      <c r="D735" s="36"/>
      <c r="E735" s="36"/>
      <c r="F735" s="36"/>
      <c r="G735" s="36"/>
      <c r="H735" s="36"/>
      <c r="I735" s="36"/>
      <c r="J735" s="105"/>
      <c r="K735" s="36"/>
      <c r="L735" s="36"/>
      <c r="M735" s="36"/>
      <c r="N735" s="105"/>
      <c r="O735" s="36"/>
      <c r="P735" s="36"/>
      <c r="Q735" s="36"/>
      <c r="R735" s="105"/>
      <c r="S735" s="36"/>
      <c r="T735" s="36"/>
      <c r="U735" s="36"/>
      <c r="V735" s="36"/>
      <c r="W735" s="36"/>
      <c r="X735" s="36"/>
      <c r="Y735" s="36"/>
      <c r="Z735" s="36"/>
      <c r="AA735" s="36"/>
      <c r="AB735" s="42"/>
      <c r="AC735" s="42"/>
      <c r="AD735" s="36"/>
      <c r="AE735" s="36"/>
      <c r="AF735" s="42"/>
      <c r="AG735" s="42"/>
      <c r="AH735" s="36"/>
      <c r="AI735" s="36"/>
      <c r="AJ735" s="36"/>
      <c r="AK735" s="36"/>
      <c r="AL735" s="36"/>
      <c r="AM735" s="36"/>
      <c r="AN735" s="36"/>
    </row>
    <row r="736" spans="1:40" ht="15.75" x14ac:dyDescent="0.25">
      <c r="A736" s="44"/>
      <c r="B736" s="36"/>
      <c r="C736" s="36"/>
      <c r="D736" s="36"/>
      <c r="E736" s="36"/>
      <c r="F736" s="36"/>
      <c r="G736" s="36"/>
      <c r="H736" s="36"/>
      <c r="I736" s="36"/>
      <c r="J736" s="105"/>
      <c r="K736" s="36"/>
      <c r="L736" s="36"/>
      <c r="M736" s="36"/>
      <c r="N736" s="105"/>
      <c r="O736" s="36"/>
      <c r="P736" s="36"/>
      <c r="Q736" s="36"/>
      <c r="R736" s="105"/>
      <c r="S736" s="36"/>
      <c r="T736" s="36"/>
      <c r="U736" s="36"/>
      <c r="V736" s="36"/>
      <c r="W736" s="36"/>
      <c r="X736" s="36"/>
      <c r="Y736" s="36"/>
      <c r="Z736" s="36"/>
      <c r="AA736" s="36"/>
      <c r="AB736" s="42"/>
      <c r="AC736" s="42"/>
      <c r="AD736" s="36"/>
      <c r="AE736" s="36"/>
      <c r="AF736" s="42"/>
      <c r="AG736" s="42"/>
      <c r="AH736" s="36"/>
      <c r="AI736" s="36"/>
      <c r="AJ736" s="36"/>
      <c r="AK736" s="36"/>
      <c r="AL736" s="36"/>
      <c r="AM736" s="36"/>
      <c r="AN736" s="36"/>
    </row>
    <row r="737" spans="1:40" ht="15.75" x14ac:dyDescent="0.25">
      <c r="A737" s="44"/>
      <c r="B737" s="36"/>
      <c r="C737" s="36"/>
      <c r="D737" s="36"/>
      <c r="E737" s="36"/>
      <c r="F737" s="36"/>
      <c r="G737" s="36"/>
      <c r="H737" s="36"/>
      <c r="I737" s="36"/>
      <c r="J737" s="105"/>
      <c r="K737" s="36"/>
      <c r="L737" s="36"/>
      <c r="M737" s="36"/>
      <c r="N737" s="105"/>
      <c r="O737" s="36"/>
      <c r="P737" s="36"/>
      <c r="Q737" s="36"/>
      <c r="R737" s="105"/>
      <c r="S737" s="36"/>
      <c r="T737" s="36"/>
      <c r="U737" s="36"/>
      <c r="V737" s="36"/>
      <c r="W737" s="36"/>
      <c r="X737" s="36"/>
      <c r="Y737" s="36"/>
      <c r="Z737" s="36"/>
      <c r="AA737" s="36"/>
      <c r="AB737" s="42"/>
      <c r="AC737" s="42"/>
      <c r="AD737" s="36"/>
      <c r="AE737" s="36"/>
      <c r="AF737" s="42"/>
      <c r="AG737" s="42"/>
      <c r="AH737" s="36"/>
      <c r="AI737" s="36"/>
      <c r="AJ737" s="36"/>
      <c r="AK737" s="36"/>
      <c r="AL737" s="36"/>
      <c r="AM737" s="36"/>
      <c r="AN737" s="36"/>
    </row>
    <row r="738" spans="1:40" ht="15.75" x14ac:dyDescent="0.25">
      <c r="A738" s="44"/>
      <c r="B738" s="36"/>
      <c r="C738" s="36"/>
      <c r="D738" s="36"/>
      <c r="E738" s="36"/>
      <c r="F738" s="36"/>
      <c r="G738" s="36"/>
      <c r="H738" s="36"/>
      <c r="I738" s="36"/>
      <c r="J738" s="105"/>
      <c r="K738" s="36"/>
      <c r="L738" s="36"/>
      <c r="M738" s="36"/>
      <c r="N738" s="105"/>
      <c r="O738" s="36"/>
      <c r="P738" s="36"/>
      <c r="Q738" s="36"/>
      <c r="R738" s="105"/>
      <c r="S738" s="36"/>
      <c r="T738" s="36"/>
      <c r="U738" s="36"/>
      <c r="V738" s="36"/>
      <c r="W738" s="36"/>
      <c r="X738" s="36"/>
      <c r="Y738" s="36"/>
      <c r="Z738" s="36"/>
      <c r="AA738" s="36"/>
      <c r="AB738" s="42"/>
      <c r="AC738" s="42"/>
      <c r="AD738" s="36"/>
      <c r="AE738" s="36"/>
      <c r="AF738" s="42"/>
      <c r="AG738" s="42"/>
      <c r="AH738" s="36"/>
      <c r="AI738" s="36"/>
      <c r="AJ738" s="36"/>
      <c r="AK738" s="36"/>
      <c r="AL738" s="36"/>
      <c r="AM738" s="36"/>
      <c r="AN738" s="36"/>
    </row>
    <row r="739" spans="1:40" ht="15.75" x14ac:dyDescent="0.25">
      <c r="A739" s="44"/>
      <c r="B739" s="36"/>
      <c r="C739" s="36"/>
      <c r="D739" s="36"/>
      <c r="E739" s="36"/>
      <c r="F739" s="36"/>
      <c r="G739" s="36"/>
      <c r="H739" s="36"/>
      <c r="I739" s="36"/>
      <c r="J739" s="105"/>
      <c r="K739" s="36"/>
      <c r="L739" s="36"/>
      <c r="M739" s="36"/>
      <c r="N739" s="105"/>
      <c r="O739" s="36"/>
      <c r="P739" s="36"/>
      <c r="Q739" s="36"/>
      <c r="R739" s="105"/>
      <c r="S739" s="36"/>
      <c r="T739" s="36"/>
      <c r="U739" s="36"/>
      <c r="V739" s="36"/>
      <c r="W739" s="36"/>
      <c r="X739" s="36"/>
      <c r="Y739" s="36"/>
      <c r="Z739" s="36"/>
      <c r="AA739" s="36"/>
      <c r="AB739" s="42"/>
      <c r="AC739" s="42"/>
      <c r="AD739" s="36"/>
      <c r="AE739" s="36"/>
      <c r="AF739" s="42"/>
      <c r="AG739" s="42"/>
      <c r="AH739" s="36"/>
      <c r="AI739" s="36"/>
      <c r="AJ739" s="36"/>
      <c r="AK739" s="36"/>
      <c r="AL739" s="36"/>
      <c r="AM739" s="36"/>
      <c r="AN739" s="36"/>
    </row>
    <row r="740" spans="1:40" ht="15.75" x14ac:dyDescent="0.25">
      <c r="A740" s="44"/>
      <c r="B740" s="36"/>
      <c r="C740" s="36"/>
      <c r="D740" s="36"/>
      <c r="E740" s="36"/>
      <c r="F740" s="36"/>
      <c r="G740" s="36"/>
      <c r="H740" s="36"/>
      <c r="I740" s="36"/>
      <c r="J740" s="105"/>
      <c r="K740" s="36"/>
      <c r="L740" s="36"/>
      <c r="M740" s="36"/>
      <c r="N740" s="105"/>
      <c r="O740" s="36"/>
      <c r="P740" s="36"/>
      <c r="Q740" s="36"/>
      <c r="R740" s="105"/>
      <c r="S740" s="36"/>
      <c r="T740" s="36"/>
      <c r="U740" s="36"/>
      <c r="V740" s="36"/>
      <c r="W740" s="36"/>
      <c r="X740" s="36"/>
      <c r="Y740" s="36"/>
      <c r="Z740" s="36"/>
      <c r="AA740" s="36"/>
      <c r="AB740" s="42"/>
      <c r="AC740" s="42"/>
      <c r="AD740" s="36"/>
      <c r="AE740" s="36"/>
      <c r="AF740" s="42"/>
      <c r="AG740" s="42"/>
      <c r="AH740" s="36"/>
      <c r="AI740" s="36"/>
      <c r="AJ740" s="36"/>
      <c r="AK740" s="36"/>
      <c r="AL740" s="36"/>
      <c r="AM740" s="36"/>
      <c r="AN740" s="36"/>
    </row>
    <row r="741" spans="1:40" ht="15.75" x14ac:dyDescent="0.25">
      <c r="A741" s="44"/>
      <c r="B741" s="36"/>
      <c r="C741" s="36"/>
      <c r="D741" s="36"/>
      <c r="E741" s="36"/>
      <c r="F741" s="36"/>
      <c r="G741" s="36"/>
      <c r="H741" s="36"/>
      <c r="I741" s="36"/>
      <c r="J741" s="105"/>
      <c r="K741" s="36"/>
      <c r="L741" s="36"/>
      <c r="M741" s="36"/>
      <c r="N741" s="105"/>
      <c r="O741" s="36"/>
      <c r="P741" s="36"/>
      <c r="Q741" s="36"/>
      <c r="R741" s="105"/>
      <c r="S741" s="36"/>
      <c r="T741" s="36"/>
      <c r="U741" s="36"/>
      <c r="V741" s="36"/>
      <c r="W741" s="36"/>
      <c r="X741" s="36"/>
      <c r="Y741" s="36"/>
      <c r="Z741" s="36"/>
      <c r="AA741" s="36"/>
      <c r="AB741" s="42"/>
      <c r="AC741" s="42"/>
      <c r="AD741" s="36"/>
      <c r="AE741" s="36"/>
      <c r="AF741" s="42"/>
      <c r="AG741" s="42"/>
      <c r="AH741" s="36"/>
      <c r="AI741" s="36"/>
      <c r="AJ741" s="36"/>
      <c r="AK741" s="36"/>
      <c r="AL741" s="36"/>
      <c r="AM741" s="36"/>
      <c r="AN741" s="36"/>
    </row>
    <row r="742" spans="1:40" ht="15.75" x14ac:dyDescent="0.25">
      <c r="A742" s="44"/>
      <c r="B742" s="36"/>
      <c r="C742" s="36"/>
      <c r="D742" s="36"/>
      <c r="E742" s="36"/>
      <c r="F742" s="36"/>
      <c r="G742" s="36"/>
      <c r="H742" s="36"/>
      <c r="I742" s="36"/>
      <c r="J742" s="105"/>
      <c r="K742" s="36"/>
      <c r="L742" s="36"/>
      <c r="M742" s="36"/>
      <c r="N742" s="105"/>
      <c r="O742" s="36"/>
      <c r="P742" s="36"/>
      <c r="Q742" s="36"/>
      <c r="R742" s="105"/>
      <c r="S742" s="36"/>
      <c r="T742" s="36"/>
      <c r="U742" s="36"/>
      <c r="V742" s="36"/>
      <c r="W742" s="36"/>
      <c r="X742" s="36"/>
      <c r="Y742" s="36"/>
      <c r="Z742" s="36"/>
      <c r="AA742" s="36"/>
      <c r="AB742" s="42"/>
      <c r="AC742" s="42"/>
      <c r="AD742" s="36"/>
      <c r="AE742" s="36"/>
      <c r="AF742" s="42"/>
      <c r="AG742" s="42"/>
      <c r="AH742" s="36"/>
      <c r="AI742" s="36"/>
      <c r="AJ742" s="36"/>
      <c r="AK742" s="36"/>
      <c r="AL742" s="36"/>
      <c r="AM742" s="36"/>
      <c r="AN742" s="36"/>
    </row>
    <row r="743" spans="1:40" ht="15.75" x14ac:dyDescent="0.25">
      <c r="A743" s="44"/>
      <c r="B743" s="36"/>
      <c r="C743" s="36"/>
      <c r="D743" s="36"/>
      <c r="E743" s="36"/>
      <c r="F743" s="36"/>
      <c r="G743" s="36"/>
      <c r="H743" s="36"/>
      <c r="I743" s="36"/>
      <c r="J743" s="105"/>
      <c r="K743" s="36"/>
      <c r="L743" s="36"/>
      <c r="M743" s="36"/>
      <c r="N743" s="105"/>
      <c r="O743" s="36"/>
      <c r="P743" s="36"/>
      <c r="Q743" s="36"/>
      <c r="R743" s="105"/>
      <c r="S743" s="36"/>
      <c r="T743" s="36"/>
      <c r="U743" s="36"/>
      <c r="V743" s="36"/>
      <c r="W743" s="36"/>
      <c r="X743" s="36"/>
      <c r="Y743" s="36"/>
      <c r="Z743" s="36"/>
      <c r="AA743" s="36"/>
      <c r="AB743" s="42"/>
      <c r="AC743" s="42"/>
      <c r="AD743" s="36"/>
      <c r="AE743" s="36"/>
      <c r="AF743" s="42"/>
      <c r="AG743" s="42"/>
      <c r="AH743" s="36"/>
      <c r="AI743" s="36"/>
      <c r="AJ743" s="36"/>
      <c r="AK743" s="36"/>
      <c r="AL743" s="36"/>
      <c r="AM743" s="36"/>
      <c r="AN743" s="36"/>
    </row>
    <row r="744" spans="1:40" ht="15.75" x14ac:dyDescent="0.25">
      <c r="A744" s="44"/>
      <c r="B744" s="36"/>
      <c r="C744" s="36"/>
      <c r="D744" s="36"/>
      <c r="E744" s="36"/>
      <c r="F744" s="36"/>
      <c r="G744" s="36"/>
      <c r="H744" s="36"/>
      <c r="I744" s="36"/>
      <c r="J744" s="105"/>
      <c r="K744" s="36"/>
      <c r="L744" s="36"/>
      <c r="M744" s="36"/>
      <c r="N744" s="105"/>
      <c r="O744" s="36"/>
      <c r="P744" s="36"/>
      <c r="Q744" s="36"/>
      <c r="R744" s="105"/>
      <c r="S744" s="36"/>
      <c r="T744" s="36"/>
      <c r="U744" s="36"/>
      <c r="V744" s="36"/>
      <c r="W744" s="36"/>
      <c r="X744" s="36"/>
      <c r="Y744" s="36"/>
      <c r="Z744" s="36"/>
      <c r="AA744" s="36"/>
      <c r="AB744" s="42"/>
      <c r="AC744" s="42"/>
      <c r="AD744" s="36"/>
      <c r="AE744" s="36"/>
      <c r="AF744" s="42"/>
      <c r="AG744" s="42"/>
      <c r="AH744" s="36"/>
      <c r="AI744" s="36"/>
      <c r="AJ744" s="36"/>
      <c r="AK744" s="36"/>
      <c r="AL744" s="36"/>
      <c r="AM744" s="36"/>
      <c r="AN744" s="36"/>
    </row>
    <row r="745" spans="1:40" ht="15.75" x14ac:dyDescent="0.25">
      <c r="A745" s="44"/>
      <c r="B745" s="36"/>
      <c r="C745" s="36"/>
      <c r="D745" s="36"/>
      <c r="E745" s="36"/>
      <c r="F745" s="36"/>
      <c r="G745" s="36"/>
      <c r="H745" s="36"/>
      <c r="I745" s="36"/>
      <c r="J745" s="105"/>
      <c r="K745" s="36"/>
      <c r="L745" s="36"/>
      <c r="M745" s="36"/>
      <c r="N745" s="105"/>
      <c r="O745" s="36"/>
      <c r="P745" s="36"/>
      <c r="Q745" s="36"/>
      <c r="R745" s="105"/>
      <c r="S745" s="36"/>
      <c r="T745" s="36"/>
      <c r="U745" s="36"/>
      <c r="V745" s="36"/>
      <c r="W745" s="36"/>
      <c r="X745" s="36"/>
      <c r="Y745" s="36"/>
      <c r="Z745" s="36"/>
      <c r="AA745" s="36"/>
      <c r="AB745" s="42"/>
      <c r="AC745" s="42"/>
      <c r="AD745" s="36"/>
      <c r="AE745" s="36"/>
      <c r="AF745" s="42"/>
      <c r="AG745" s="42"/>
      <c r="AH745" s="36"/>
      <c r="AI745" s="36"/>
      <c r="AJ745" s="36"/>
      <c r="AK745" s="36"/>
      <c r="AL745" s="36"/>
      <c r="AM745" s="36"/>
      <c r="AN745" s="36"/>
    </row>
    <row r="746" spans="1:40" ht="15.75" x14ac:dyDescent="0.25">
      <c r="A746" s="44"/>
      <c r="B746" s="36"/>
      <c r="C746" s="36"/>
      <c r="D746" s="36"/>
      <c r="E746" s="36"/>
      <c r="F746" s="36"/>
      <c r="G746" s="36"/>
      <c r="H746" s="36"/>
      <c r="I746" s="36"/>
      <c r="J746" s="105"/>
      <c r="K746" s="36"/>
      <c r="L746" s="36"/>
      <c r="M746" s="36"/>
      <c r="N746" s="105"/>
      <c r="O746" s="36"/>
      <c r="P746" s="36"/>
      <c r="Q746" s="36"/>
      <c r="R746" s="105"/>
      <c r="S746" s="36"/>
      <c r="T746" s="36"/>
      <c r="U746" s="36"/>
      <c r="V746" s="36"/>
      <c r="W746" s="36"/>
      <c r="X746" s="36"/>
      <c r="Y746" s="36"/>
      <c r="Z746" s="36"/>
      <c r="AA746" s="36"/>
      <c r="AB746" s="42"/>
      <c r="AC746" s="42"/>
      <c r="AD746" s="36"/>
      <c r="AE746" s="36"/>
      <c r="AF746" s="42"/>
      <c r="AG746" s="42"/>
      <c r="AH746" s="36"/>
      <c r="AI746" s="36"/>
      <c r="AJ746" s="36"/>
      <c r="AK746" s="36"/>
      <c r="AL746" s="36"/>
      <c r="AM746" s="36"/>
      <c r="AN746" s="36"/>
    </row>
    <row r="747" spans="1:40" ht="15.75" x14ac:dyDescent="0.25">
      <c r="A747" s="44"/>
      <c r="B747" s="36"/>
      <c r="C747" s="36"/>
      <c r="D747" s="36"/>
      <c r="E747" s="36"/>
      <c r="F747" s="36"/>
      <c r="G747" s="36"/>
      <c r="H747" s="36"/>
      <c r="I747" s="36"/>
      <c r="J747" s="105"/>
      <c r="K747" s="36"/>
      <c r="L747" s="36"/>
      <c r="M747" s="36"/>
      <c r="N747" s="105"/>
      <c r="O747" s="36"/>
      <c r="P747" s="36"/>
      <c r="Q747" s="36"/>
      <c r="R747" s="105"/>
      <c r="S747" s="36"/>
      <c r="T747" s="36"/>
      <c r="U747" s="36"/>
      <c r="V747" s="36"/>
      <c r="W747" s="36"/>
      <c r="X747" s="36"/>
      <c r="Y747" s="36"/>
      <c r="Z747" s="36"/>
      <c r="AA747" s="36"/>
      <c r="AB747" s="42"/>
      <c r="AC747" s="42"/>
      <c r="AD747" s="36"/>
      <c r="AE747" s="36"/>
      <c r="AF747" s="42"/>
      <c r="AG747" s="42"/>
      <c r="AH747" s="36"/>
      <c r="AI747" s="36"/>
      <c r="AJ747" s="36"/>
      <c r="AK747" s="36"/>
      <c r="AL747" s="36"/>
      <c r="AM747" s="36"/>
      <c r="AN747" s="36"/>
    </row>
    <row r="748" spans="1:40" ht="15.75" x14ac:dyDescent="0.25">
      <c r="A748" s="44"/>
      <c r="B748" s="36"/>
      <c r="C748" s="36"/>
      <c r="D748" s="36"/>
      <c r="E748" s="36"/>
      <c r="F748" s="36"/>
      <c r="G748" s="36"/>
      <c r="H748" s="36"/>
      <c r="I748" s="36"/>
      <c r="J748" s="105"/>
      <c r="K748" s="36"/>
      <c r="L748" s="36"/>
      <c r="M748" s="36"/>
      <c r="N748" s="105"/>
      <c r="O748" s="36"/>
      <c r="P748" s="36"/>
      <c r="Q748" s="36"/>
      <c r="R748" s="105"/>
      <c r="S748" s="36"/>
      <c r="T748" s="36"/>
      <c r="U748" s="36"/>
      <c r="V748" s="36"/>
      <c r="W748" s="36"/>
      <c r="X748" s="36"/>
      <c r="Y748" s="36"/>
      <c r="Z748" s="36"/>
      <c r="AA748" s="36"/>
      <c r="AB748" s="42"/>
      <c r="AC748" s="42"/>
      <c r="AD748" s="36"/>
      <c r="AE748" s="36"/>
      <c r="AF748" s="42"/>
      <c r="AG748" s="42"/>
      <c r="AH748" s="36"/>
      <c r="AI748" s="36"/>
      <c r="AJ748" s="36"/>
      <c r="AK748" s="36"/>
      <c r="AL748" s="36"/>
      <c r="AM748" s="36"/>
      <c r="AN748" s="36"/>
    </row>
    <row r="749" spans="1:40" ht="15.75" x14ac:dyDescent="0.25">
      <c r="A749" s="44"/>
      <c r="B749" s="36"/>
      <c r="C749" s="36"/>
      <c r="D749" s="36"/>
      <c r="E749" s="36"/>
      <c r="F749" s="36"/>
      <c r="G749" s="36"/>
      <c r="H749" s="36"/>
      <c r="I749" s="36"/>
      <c r="J749" s="105"/>
      <c r="K749" s="36"/>
      <c r="L749" s="36"/>
      <c r="M749" s="36"/>
      <c r="N749" s="105"/>
      <c r="O749" s="36"/>
      <c r="P749" s="36"/>
      <c r="Q749" s="36"/>
      <c r="R749" s="105"/>
      <c r="S749" s="36"/>
      <c r="T749" s="36"/>
      <c r="U749" s="36"/>
      <c r="V749" s="36"/>
      <c r="W749" s="36"/>
      <c r="X749" s="36"/>
      <c r="Y749" s="36"/>
      <c r="Z749" s="36"/>
      <c r="AA749" s="36"/>
      <c r="AB749" s="42"/>
      <c r="AC749" s="42"/>
      <c r="AD749" s="36"/>
      <c r="AE749" s="36"/>
      <c r="AF749" s="42"/>
      <c r="AG749" s="42"/>
      <c r="AH749" s="36"/>
      <c r="AI749" s="36"/>
      <c r="AJ749" s="36"/>
      <c r="AK749" s="36"/>
      <c r="AL749" s="36"/>
      <c r="AM749" s="36"/>
      <c r="AN749" s="36"/>
    </row>
    <row r="750" spans="1:40" ht="15.75" x14ac:dyDescent="0.25">
      <c r="A750" s="44"/>
      <c r="B750" s="36"/>
      <c r="C750" s="36"/>
      <c r="D750" s="36"/>
      <c r="E750" s="36"/>
      <c r="F750" s="36"/>
      <c r="G750" s="36"/>
      <c r="H750" s="36"/>
      <c r="I750" s="36"/>
      <c r="J750" s="105"/>
      <c r="K750" s="36"/>
      <c r="L750" s="36"/>
      <c r="M750" s="36"/>
      <c r="N750" s="105"/>
      <c r="O750" s="36"/>
      <c r="P750" s="36"/>
      <c r="Q750" s="36"/>
      <c r="R750" s="105"/>
      <c r="S750" s="36"/>
      <c r="T750" s="36"/>
      <c r="U750" s="36"/>
      <c r="V750" s="36"/>
      <c r="W750" s="36"/>
      <c r="X750" s="36"/>
      <c r="Y750" s="36"/>
      <c r="Z750" s="36"/>
      <c r="AA750" s="36"/>
      <c r="AB750" s="42"/>
      <c r="AC750" s="42"/>
      <c r="AD750" s="36"/>
      <c r="AE750" s="36"/>
      <c r="AF750" s="42"/>
      <c r="AG750" s="42"/>
      <c r="AH750" s="36"/>
      <c r="AI750" s="36"/>
      <c r="AJ750" s="36"/>
      <c r="AK750" s="36"/>
      <c r="AL750" s="36"/>
      <c r="AM750" s="36"/>
      <c r="AN750" s="36"/>
    </row>
    <row r="751" spans="1:40" ht="15.75" x14ac:dyDescent="0.25">
      <c r="A751" s="44"/>
      <c r="B751" s="36"/>
      <c r="C751" s="36"/>
      <c r="D751" s="36"/>
      <c r="E751" s="36"/>
      <c r="F751" s="36"/>
      <c r="G751" s="36"/>
      <c r="H751" s="36"/>
      <c r="I751" s="36"/>
      <c r="J751" s="105"/>
      <c r="K751" s="36"/>
      <c r="L751" s="36"/>
      <c r="M751" s="36"/>
      <c r="N751" s="105"/>
      <c r="O751" s="36"/>
      <c r="P751" s="36"/>
      <c r="Q751" s="36"/>
      <c r="R751" s="105"/>
      <c r="S751" s="36"/>
      <c r="T751" s="36"/>
      <c r="U751" s="36"/>
      <c r="V751" s="36"/>
      <c r="W751" s="36"/>
      <c r="X751" s="36"/>
      <c r="Y751" s="36"/>
      <c r="Z751" s="36"/>
      <c r="AA751" s="36"/>
      <c r="AB751" s="42"/>
      <c r="AC751" s="42"/>
      <c r="AD751" s="36"/>
      <c r="AE751" s="36"/>
      <c r="AF751" s="42"/>
      <c r="AG751" s="42"/>
      <c r="AH751" s="36"/>
      <c r="AI751" s="36"/>
      <c r="AJ751" s="36"/>
      <c r="AK751" s="36"/>
      <c r="AL751" s="36"/>
      <c r="AM751" s="36"/>
      <c r="AN751" s="36"/>
    </row>
    <row r="752" spans="1:40" ht="15.75" x14ac:dyDescent="0.25">
      <c r="A752" s="44"/>
      <c r="B752" s="36"/>
      <c r="C752" s="36"/>
      <c r="D752" s="36"/>
      <c r="E752" s="36"/>
      <c r="F752" s="36"/>
      <c r="G752" s="36"/>
      <c r="H752" s="36"/>
      <c r="I752" s="36"/>
      <c r="J752" s="105"/>
      <c r="K752" s="36"/>
      <c r="L752" s="36"/>
      <c r="M752" s="36"/>
      <c r="N752" s="105"/>
      <c r="O752" s="36"/>
      <c r="P752" s="36"/>
      <c r="Q752" s="36"/>
      <c r="R752" s="105"/>
      <c r="S752" s="36"/>
      <c r="T752" s="36"/>
      <c r="U752" s="36"/>
      <c r="V752" s="36"/>
      <c r="W752" s="36"/>
      <c r="X752" s="36"/>
      <c r="Y752" s="36"/>
      <c r="Z752" s="36"/>
      <c r="AA752" s="36"/>
      <c r="AB752" s="42"/>
      <c r="AC752" s="42"/>
      <c r="AD752" s="36"/>
      <c r="AE752" s="36"/>
      <c r="AF752" s="42"/>
      <c r="AG752" s="42"/>
      <c r="AH752" s="36"/>
      <c r="AI752" s="36"/>
      <c r="AJ752" s="36"/>
      <c r="AK752" s="36"/>
      <c r="AL752" s="36"/>
      <c r="AM752" s="36"/>
      <c r="AN752" s="36"/>
    </row>
    <row r="753" spans="1:40" ht="15.75" x14ac:dyDescent="0.25">
      <c r="A753" s="44"/>
      <c r="B753" s="36"/>
      <c r="C753" s="36"/>
      <c r="D753" s="36"/>
      <c r="E753" s="36"/>
      <c r="F753" s="36"/>
      <c r="G753" s="36"/>
      <c r="H753" s="36"/>
      <c r="I753" s="36"/>
      <c r="J753" s="105"/>
      <c r="K753" s="36"/>
      <c r="L753" s="36"/>
      <c r="M753" s="36"/>
      <c r="N753" s="105"/>
      <c r="O753" s="36"/>
      <c r="P753" s="36"/>
      <c r="Q753" s="36"/>
      <c r="R753" s="105"/>
      <c r="S753" s="36"/>
      <c r="T753" s="36"/>
      <c r="U753" s="36"/>
      <c r="V753" s="36"/>
      <c r="W753" s="36"/>
      <c r="X753" s="36"/>
      <c r="Y753" s="36"/>
      <c r="Z753" s="36"/>
      <c r="AA753" s="36"/>
      <c r="AB753" s="42"/>
      <c r="AC753" s="42"/>
      <c r="AD753" s="36"/>
      <c r="AE753" s="36"/>
      <c r="AF753" s="42"/>
      <c r="AG753" s="42"/>
      <c r="AH753" s="36"/>
      <c r="AI753" s="36"/>
      <c r="AJ753" s="36"/>
      <c r="AK753" s="36"/>
      <c r="AL753" s="36"/>
      <c r="AM753" s="36"/>
      <c r="AN753" s="36"/>
    </row>
    <row r="754" spans="1:40" ht="15.75" x14ac:dyDescent="0.25">
      <c r="A754" s="44"/>
      <c r="B754" s="36"/>
      <c r="C754" s="36"/>
      <c r="D754" s="36"/>
      <c r="E754" s="36"/>
      <c r="F754" s="36"/>
      <c r="G754" s="36"/>
      <c r="H754" s="36"/>
      <c r="I754" s="36"/>
      <c r="J754" s="105"/>
      <c r="K754" s="36"/>
      <c r="L754" s="36"/>
      <c r="M754" s="36"/>
      <c r="N754" s="105"/>
      <c r="O754" s="36"/>
      <c r="P754" s="36"/>
      <c r="Q754" s="36"/>
      <c r="R754" s="105"/>
      <c r="S754" s="36"/>
      <c r="T754" s="36"/>
      <c r="U754" s="36"/>
      <c r="V754" s="36"/>
      <c r="W754" s="36"/>
      <c r="X754" s="36"/>
      <c r="Y754" s="36"/>
      <c r="Z754" s="36"/>
      <c r="AA754" s="36"/>
      <c r="AB754" s="42"/>
      <c r="AC754" s="42"/>
      <c r="AD754" s="36"/>
      <c r="AE754" s="36"/>
      <c r="AF754" s="42"/>
      <c r="AG754" s="42"/>
      <c r="AH754" s="36"/>
      <c r="AI754" s="36"/>
      <c r="AJ754" s="36"/>
      <c r="AK754" s="36"/>
      <c r="AL754" s="36"/>
      <c r="AM754" s="36"/>
      <c r="AN754" s="36"/>
    </row>
    <row r="755" spans="1:40" ht="15.75" x14ac:dyDescent="0.25">
      <c r="A755" s="44"/>
      <c r="B755" s="36"/>
      <c r="C755" s="36"/>
      <c r="D755" s="36"/>
      <c r="E755" s="36"/>
      <c r="F755" s="36"/>
      <c r="G755" s="36"/>
      <c r="H755" s="36"/>
      <c r="I755" s="36"/>
      <c r="J755" s="105"/>
      <c r="K755" s="36"/>
      <c r="L755" s="36"/>
      <c r="M755" s="36"/>
      <c r="N755" s="105"/>
      <c r="O755" s="36"/>
      <c r="P755" s="36"/>
      <c r="Q755" s="36"/>
      <c r="R755" s="105"/>
      <c r="S755" s="36"/>
      <c r="T755" s="36"/>
      <c r="U755" s="36"/>
      <c r="V755" s="36"/>
      <c r="W755" s="36"/>
      <c r="X755" s="36"/>
      <c r="Y755" s="36"/>
      <c r="Z755" s="36"/>
      <c r="AA755" s="36"/>
      <c r="AB755" s="42"/>
      <c r="AC755" s="42"/>
      <c r="AD755" s="36"/>
      <c r="AE755" s="36"/>
      <c r="AF755" s="42"/>
      <c r="AG755" s="42"/>
      <c r="AH755" s="36"/>
      <c r="AI755" s="36"/>
      <c r="AJ755" s="36"/>
      <c r="AK755" s="36"/>
      <c r="AL755" s="36"/>
      <c r="AM755" s="36"/>
      <c r="AN755" s="36"/>
    </row>
    <row r="756" spans="1:40" ht="15.75" x14ac:dyDescent="0.25">
      <c r="A756" s="44"/>
      <c r="B756" s="36"/>
      <c r="C756" s="36"/>
      <c r="D756" s="36"/>
      <c r="E756" s="36"/>
      <c r="F756" s="36"/>
      <c r="G756" s="36"/>
      <c r="H756" s="36"/>
      <c r="I756" s="36"/>
      <c r="J756" s="105"/>
      <c r="K756" s="36"/>
      <c r="L756" s="36"/>
      <c r="M756" s="36"/>
      <c r="N756" s="105"/>
      <c r="O756" s="36"/>
      <c r="P756" s="36"/>
      <c r="Q756" s="36"/>
      <c r="R756" s="105"/>
      <c r="S756" s="36"/>
      <c r="T756" s="36"/>
      <c r="U756" s="36"/>
      <c r="V756" s="36"/>
      <c r="W756" s="36"/>
      <c r="X756" s="36"/>
      <c r="Y756" s="36"/>
      <c r="Z756" s="36"/>
      <c r="AA756" s="36"/>
      <c r="AB756" s="42"/>
      <c r="AC756" s="42"/>
      <c r="AD756" s="36"/>
      <c r="AE756" s="36"/>
      <c r="AF756" s="42"/>
      <c r="AG756" s="42"/>
      <c r="AH756" s="36"/>
      <c r="AI756" s="36"/>
      <c r="AJ756" s="36"/>
      <c r="AK756" s="36"/>
      <c r="AL756" s="36"/>
      <c r="AM756" s="36"/>
      <c r="AN756" s="36"/>
    </row>
    <row r="757" spans="1:40" ht="15.75" x14ac:dyDescent="0.25">
      <c r="A757" s="44"/>
      <c r="B757" s="36"/>
      <c r="C757" s="36"/>
      <c r="D757" s="36"/>
      <c r="E757" s="36"/>
      <c r="F757" s="36"/>
      <c r="G757" s="36"/>
      <c r="H757" s="36"/>
      <c r="I757" s="36"/>
      <c r="J757" s="105"/>
      <c r="K757" s="36"/>
      <c r="L757" s="36"/>
      <c r="M757" s="36"/>
      <c r="N757" s="105"/>
      <c r="O757" s="36"/>
      <c r="P757" s="36"/>
      <c r="Q757" s="36"/>
      <c r="R757" s="105"/>
      <c r="S757" s="36"/>
      <c r="T757" s="36"/>
      <c r="U757" s="36"/>
      <c r="V757" s="36"/>
      <c r="W757" s="36"/>
      <c r="X757" s="36"/>
      <c r="Y757" s="36"/>
      <c r="Z757" s="36"/>
      <c r="AA757" s="36"/>
      <c r="AB757" s="42"/>
      <c r="AC757" s="42"/>
      <c r="AD757" s="36"/>
      <c r="AE757" s="36"/>
      <c r="AF757" s="42"/>
      <c r="AG757" s="42"/>
      <c r="AH757" s="36"/>
      <c r="AI757" s="36"/>
      <c r="AJ757" s="36"/>
      <c r="AK757" s="36"/>
      <c r="AL757" s="36"/>
      <c r="AM757" s="36"/>
      <c r="AN757" s="36"/>
    </row>
    <row r="758" spans="1:40" ht="15.75" x14ac:dyDescent="0.25">
      <c r="A758" s="44"/>
      <c r="B758" s="36"/>
      <c r="C758" s="36"/>
      <c r="D758" s="36"/>
      <c r="E758" s="36"/>
      <c r="F758" s="36"/>
      <c r="G758" s="36"/>
      <c r="H758" s="36"/>
      <c r="I758" s="36"/>
      <c r="J758" s="105"/>
      <c r="K758" s="36"/>
      <c r="L758" s="36"/>
      <c r="M758" s="36"/>
      <c r="N758" s="105"/>
      <c r="O758" s="36"/>
      <c r="P758" s="36"/>
      <c r="Q758" s="36"/>
      <c r="R758" s="105"/>
      <c r="S758" s="36"/>
      <c r="T758" s="36"/>
      <c r="U758" s="36"/>
      <c r="V758" s="36"/>
      <c r="W758" s="36"/>
      <c r="X758" s="36"/>
      <c r="Y758" s="36"/>
      <c r="Z758" s="36"/>
      <c r="AA758" s="36"/>
      <c r="AB758" s="42"/>
      <c r="AC758" s="42"/>
      <c r="AD758" s="36"/>
      <c r="AE758" s="36"/>
      <c r="AF758" s="42"/>
      <c r="AG758" s="42"/>
      <c r="AH758" s="36"/>
      <c r="AI758" s="36"/>
      <c r="AJ758" s="36"/>
      <c r="AK758" s="36"/>
      <c r="AL758" s="36"/>
      <c r="AM758" s="36"/>
      <c r="AN758" s="36"/>
    </row>
    <row r="759" spans="1:40" ht="15.75" x14ac:dyDescent="0.25">
      <c r="A759" s="44"/>
      <c r="B759" s="36"/>
      <c r="C759" s="36"/>
      <c r="D759" s="36"/>
      <c r="E759" s="36"/>
      <c r="F759" s="36"/>
      <c r="G759" s="36"/>
      <c r="H759" s="36"/>
      <c r="I759" s="36"/>
      <c r="J759" s="105"/>
      <c r="K759" s="36"/>
      <c r="L759" s="36"/>
      <c r="M759" s="36"/>
      <c r="N759" s="105"/>
      <c r="O759" s="36"/>
      <c r="P759" s="36"/>
      <c r="Q759" s="36"/>
      <c r="R759" s="105"/>
      <c r="S759" s="36"/>
      <c r="T759" s="36"/>
      <c r="U759" s="36"/>
      <c r="V759" s="36"/>
      <c r="W759" s="36"/>
      <c r="X759" s="36"/>
      <c r="Y759" s="36"/>
      <c r="Z759" s="36"/>
      <c r="AA759" s="36"/>
      <c r="AB759" s="42"/>
      <c r="AC759" s="42"/>
      <c r="AD759" s="36"/>
      <c r="AE759" s="36"/>
      <c r="AF759" s="42"/>
      <c r="AG759" s="42"/>
      <c r="AH759" s="36"/>
      <c r="AI759" s="36"/>
      <c r="AJ759" s="36"/>
      <c r="AK759" s="36"/>
      <c r="AL759" s="36"/>
      <c r="AM759" s="36"/>
      <c r="AN759" s="36"/>
    </row>
    <row r="760" spans="1:40" ht="15.75" x14ac:dyDescent="0.25">
      <c r="A760" s="44"/>
      <c r="B760" s="36"/>
      <c r="C760" s="36"/>
      <c r="D760" s="36"/>
      <c r="E760" s="36"/>
      <c r="F760" s="36"/>
      <c r="G760" s="36"/>
      <c r="H760" s="36"/>
      <c r="I760" s="36"/>
      <c r="J760" s="105"/>
      <c r="K760" s="36"/>
      <c r="L760" s="36"/>
      <c r="M760" s="36"/>
      <c r="N760" s="105"/>
      <c r="O760" s="36"/>
      <c r="P760" s="36"/>
      <c r="Q760" s="36"/>
      <c r="R760" s="105"/>
      <c r="S760" s="36"/>
      <c r="T760" s="36"/>
      <c r="U760" s="36"/>
      <c r="V760" s="36"/>
      <c r="W760" s="36"/>
      <c r="X760" s="36"/>
      <c r="Y760" s="36"/>
      <c r="Z760" s="36"/>
      <c r="AA760" s="36"/>
      <c r="AB760" s="42"/>
      <c r="AC760" s="42"/>
      <c r="AD760" s="36"/>
      <c r="AE760" s="36"/>
      <c r="AF760" s="42"/>
      <c r="AG760" s="42"/>
      <c r="AH760" s="36"/>
      <c r="AI760" s="36"/>
      <c r="AJ760" s="36"/>
      <c r="AK760" s="36"/>
      <c r="AL760" s="36"/>
      <c r="AM760" s="36"/>
      <c r="AN760" s="36"/>
    </row>
    <row r="761" spans="1:40" ht="15.75" x14ac:dyDescent="0.25">
      <c r="A761" s="44"/>
      <c r="B761" s="36"/>
      <c r="C761" s="36"/>
      <c r="D761" s="36"/>
      <c r="E761" s="36"/>
      <c r="F761" s="36"/>
      <c r="G761" s="36"/>
      <c r="H761" s="36"/>
      <c r="I761" s="36"/>
      <c r="J761" s="105"/>
      <c r="K761" s="36"/>
      <c r="L761" s="36"/>
      <c r="M761" s="36"/>
      <c r="N761" s="105"/>
      <c r="O761" s="36"/>
      <c r="P761" s="36"/>
      <c r="Q761" s="36"/>
      <c r="R761" s="105"/>
      <c r="S761" s="36"/>
      <c r="T761" s="36"/>
      <c r="U761" s="36"/>
      <c r="V761" s="36"/>
      <c r="W761" s="36"/>
      <c r="X761" s="36"/>
      <c r="Y761" s="36"/>
      <c r="Z761" s="36"/>
      <c r="AA761" s="36"/>
      <c r="AB761" s="42"/>
      <c r="AC761" s="42"/>
      <c r="AD761" s="36"/>
      <c r="AE761" s="36"/>
      <c r="AF761" s="42"/>
      <c r="AG761" s="42"/>
      <c r="AH761" s="36"/>
      <c r="AI761" s="36"/>
      <c r="AJ761" s="36"/>
      <c r="AK761" s="36"/>
      <c r="AL761" s="36"/>
      <c r="AM761" s="36"/>
      <c r="AN761" s="36"/>
    </row>
    <row r="762" spans="1:40" ht="15.75" x14ac:dyDescent="0.25">
      <c r="A762" s="44"/>
      <c r="B762" s="36"/>
      <c r="C762" s="36"/>
      <c r="D762" s="36"/>
      <c r="E762" s="36"/>
      <c r="F762" s="36"/>
      <c r="G762" s="36"/>
      <c r="H762" s="36"/>
      <c r="I762" s="36"/>
      <c r="J762" s="105"/>
      <c r="K762" s="36"/>
      <c r="L762" s="36"/>
      <c r="M762" s="36"/>
      <c r="N762" s="105"/>
      <c r="O762" s="36"/>
      <c r="P762" s="36"/>
      <c r="Q762" s="36"/>
      <c r="R762" s="105"/>
      <c r="S762" s="36"/>
      <c r="T762" s="36"/>
      <c r="U762" s="36"/>
      <c r="V762" s="36"/>
      <c r="W762" s="36"/>
      <c r="X762" s="36"/>
      <c r="Y762" s="36"/>
      <c r="Z762" s="36"/>
      <c r="AA762" s="36"/>
      <c r="AB762" s="42"/>
      <c r="AC762" s="42"/>
      <c r="AD762" s="36"/>
      <c r="AE762" s="36"/>
      <c r="AF762" s="42"/>
      <c r="AG762" s="42"/>
      <c r="AH762" s="36"/>
      <c r="AI762" s="36"/>
      <c r="AJ762" s="36"/>
      <c r="AK762" s="36"/>
      <c r="AL762" s="36"/>
      <c r="AM762" s="36"/>
      <c r="AN762" s="36"/>
    </row>
    <row r="763" spans="1:40" ht="15.75" x14ac:dyDescent="0.25">
      <c r="A763" s="44"/>
      <c r="B763" s="36"/>
      <c r="C763" s="36"/>
      <c r="D763" s="36"/>
      <c r="E763" s="36"/>
      <c r="F763" s="36"/>
      <c r="G763" s="36"/>
      <c r="H763" s="36"/>
      <c r="I763" s="36"/>
      <c r="J763" s="105"/>
      <c r="K763" s="36"/>
      <c r="L763" s="36"/>
      <c r="M763" s="36"/>
      <c r="N763" s="105"/>
      <c r="O763" s="36"/>
      <c r="P763" s="36"/>
      <c r="Q763" s="36"/>
      <c r="R763" s="105"/>
      <c r="S763" s="36"/>
      <c r="T763" s="36"/>
      <c r="U763" s="36"/>
      <c r="V763" s="36"/>
      <c r="W763" s="36"/>
      <c r="X763" s="36"/>
      <c r="Y763" s="36"/>
      <c r="Z763" s="36"/>
      <c r="AA763" s="36"/>
      <c r="AB763" s="42"/>
      <c r="AC763" s="42"/>
      <c r="AD763" s="36"/>
      <c r="AE763" s="36"/>
      <c r="AF763" s="42"/>
      <c r="AG763" s="42"/>
      <c r="AH763" s="36"/>
      <c r="AI763" s="36"/>
      <c r="AJ763" s="36"/>
      <c r="AK763" s="36"/>
      <c r="AL763" s="36"/>
      <c r="AM763" s="36"/>
      <c r="AN763" s="36"/>
    </row>
    <row r="764" spans="1:40" ht="15.75" x14ac:dyDescent="0.25">
      <c r="A764" s="44"/>
      <c r="B764" s="36"/>
      <c r="C764" s="36"/>
      <c r="D764" s="36"/>
      <c r="E764" s="36"/>
      <c r="F764" s="36"/>
      <c r="G764" s="36"/>
      <c r="H764" s="36"/>
      <c r="I764" s="36"/>
      <c r="J764" s="105"/>
      <c r="K764" s="36"/>
      <c r="L764" s="36"/>
      <c r="M764" s="36"/>
      <c r="N764" s="105"/>
      <c r="O764" s="36"/>
      <c r="P764" s="36"/>
      <c r="Q764" s="36"/>
      <c r="R764" s="105"/>
      <c r="S764" s="36"/>
      <c r="T764" s="36"/>
      <c r="U764" s="36"/>
      <c r="V764" s="36"/>
      <c r="W764" s="36"/>
      <c r="X764" s="36"/>
      <c r="Y764" s="36"/>
      <c r="Z764" s="36"/>
      <c r="AA764" s="36"/>
      <c r="AB764" s="42"/>
      <c r="AC764" s="42"/>
      <c r="AD764" s="36"/>
      <c r="AE764" s="36"/>
      <c r="AF764" s="42"/>
      <c r="AG764" s="42"/>
      <c r="AH764" s="36"/>
      <c r="AI764" s="36"/>
      <c r="AJ764" s="36"/>
      <c r="AK764" s="36"/>
      <c r="AL764" s="36"/>
      <c r="AM764" s="36"/>
      <c r="AN764" s="36"/>
    </row>
    <row r="765" spans="1:40" ht="15.75" x14ac:dyDescent="0.25">
      <c r="A765" s="44"/>
      <c r="B765" s="36"/>
      <c r="C765" s="36"/>
      <c r="D765" s="36"/>
      <c r="E765" s="36"/>
      <c r="F765" s="36"/>
      <c r="G765" s="36"/>
      <c r="H765" s="36"/>
      <c r="I765" s="36"/>
      <c r="J765" s="105"/>
      <c r="K765" s="36"/>
      <c r="L765" s="36"/>
      <c r="M765" s="36"/>
      <c r="N765" s="105"/>
      <c r="O765" s="36"/>
      <c r="P765" s="36"/>
      <c r="Q765" s="36"/>
      <c r="R765" s="105"/>
      <c r="S765" s="36"/>
      <c r="T765" s="36"/>
      <c r="U765" s="36"/>
      <c r="V765" s="36"/>
      <c r="W765" s="36"/>
      <c r="X765" s="36"/>
      <c r="Y765" s="36"/>
      <c r="Z765" s="36"/>
      <c r="AA765" s="36"/>
      <c r="AB765" s="42"/>
      <c r="AC765" s="42"/>
      <c r="AD765" s="36"/>
      <c r="AE765" s="36"/>
      <c r="AF765" s="42"/>
      <c r="AG765" s="42"/>
      <c r="AH765" s="36"/>
      <c r="AI765" s="36"/>
      <c r="AJ765" s="36"/>
      <c r="AK765" s="36"/>
      <c r="AL765" s="36"/>
      <c r="AM765" s="36"/>
      <c r="AN765" s="36"/>
    </row>
    <row r="766" spans="1:40" ht="15.75" x14ac:dyDescent="0.25">
      <c r="A766" s="44"/>
      <c r="B766" s="36"/>
      <c r="C766" s="36"/>
      <c r="D766" s="36"/>
      <c r="E766" s="36"/>
      <c r="F766" s="36"/>
      <c r="G766" s="36"/>
      <c r="H766" s="36"/>
      <c r="I766" s="36"/>
      <c r="J766" s="105"/>
      <c r="K766" s="36"/>
      <c r="L766" s="36"/>
      <c r="M766" s="36"/>
      <c r="N766" s="105"/>
      <c r="O766" s="36"/>
      <c r="P766" s="36"/>
      <c r="Q766" s="36"/>
      <c r="R766" s="105"/>
      <c r="S766" s="36"/>
      <c r="T766" s="36"/>
      <c r="U766" s="36"/>
      <c r="V766" s="36"/>
      <c r="W766" s="36"/>
      <c r="X766" s="36"/>
      <c r="Y766" s="36"/>
      <c r="Z766" s="36"/>
      <c r="AA766" s="36"/>
      <c r="AB766" s="42"/>
      <c r="AC766" s="42"/>
      <c r="AD766" s="36"/>
      <c r="AE766" s="36"/>
      <c r="AF766" s="42"/>
      <c r="AG766" s="42"/>
      <c r="AH766" s="36"/>
      <c r="AI766" s="36"/>
      <c r="AJ766" s="36"/>
      <c r="AK766" s="36"/>
      <c r="AL766" s="36"/>
      <c r="AM766" s="36"/>
      <c r="AN766" s="36"/>
    </row>
    <row r="767" spans="1:40" ht="15.75" x14ac:dyDescent="0.25">
      <c r="A767" s="44"/>
      <c r="B767" s="36"/>
      <c r="C767" s="36"/>
      <c r="D767" s="36"/>
      <c r="E767" s="36"/>
      <c r="F767" s="36"/>
      <c r="G767" s="36"/>
      <c r="H767" s="36"/>
      <c r="I767" s="36"/>
      <c r="J767" s="105"/>
      <c r="K767" s="36"/>
      <c r="L767" s="36"/>
      <c r="M767" s="36"/>
      <c r="N767" s="105"/>
      <c r="O767" s="36"/>
      <c r="P767" s="36"/>
      <c r="Q767" s="36"/>
      <c r="R767" s="105"/>
      <c r="S767" s="36"/>
      <c r="T767" s="36"/>
      <c r="U767" s="36"/>
      <c r="V767" s="36"/>
      <c r="W767" s="36"/>
      <c r="X767" s="36"/>
      <c r="Y767" s="36"/>
      <c r="Z767" s="36"/>
      <c r="AA767" s="36"/>
      <c r="AB767" s="42"/>
      <c r="AC767" s="42"/>
      <c r="AD767" s="36"/>
      <c r="AE767" s="36"/>
      <c r="AF767" s="42"/>
      <c r="AG767" s="42"/>
      <c r="AH767" s="36"/>
      <c r="AI767" s="36"/>
      <c r="AJ767" s="36"/>
      <c r="AK767" s="36"/>
      <c r="AL767" s="36"/>
      <c r="AM767" s="36"/>
      <c r="AN767" s="36"/>
    </row>
    <row r="768" spans="1:40" ht="15.75" x14ac:dyDescent="0.25">
      <c r="A768" s="44"/>
      <c r="B768" s="36"/>
      <c r="C768" s="36"/>
      <c r="D768" s="36"/>
      <c r="E768" s="36"/>
      <c r="F768" s="36"/>
      <c r="G768" s="36"/>
      <c r="H768" s="36"/>
      <c r="I768" s="36"/>
      <c r="J768" s="105"/>
      <c r="K768" s="36"/>
      <c r="L768" s="36"/>
      <c r="M768" s="36"/>
      <c r="N768" s="105"/>
      <c r="O768" s="36"/>
      <c r="P768" s="36"/>
      <c r="Q768" s="36"/>
      <c r="R768" s="105"/>
      <c r="S768" s="36"/>
      <c r="T768" s="36"/>
      <c r="U768" s="36"/>
      <c r="V768" s="36"/>
      <c r="W768" s="36"/>
      <c r="X768" s="36"/>
      <c r="Y768" s="36"/>
      <c r="Z768" s="36"/>
      <c r="AA768" s="36"/>
      <c r="AB768" s="42"/>
      <c r="AC768" s="42"/>
      <c r="AD768" s="36"/>
      <c r="AE768" s="36"/>
      <c r="AF768" s="42"/>
      <c r="AG768" s="42"/>
      <c r="AH768" s="36"/>
      <c r="AI768" s="36"/>
      <c r="AJ768" s="36"/>
      <c r="AK768" s="36"/>
      <c r="AL768" s="36"/>
      <c r="AM768" s="36"/>
      <c r="AN768" s="36"/>
    </row>
    <row r="769" spans="1:40" ht="15.75" x14ac:dyDescent="0.25">
      <c r="A769" s="44"/>
      <c r="B769" s="36"/>
      <c r="C769" s="36"/>
      <c r="D769" s="36"/>
      <c r="E769" s="36"/>
      <c r="F769" s="36"/>
      <c r="G769" s="36"/>
      <c r="H769" s="36"/>
      <c r="I769" s="36"/>
      <c r="J769" s="105"/>
      <c r="K769" s="36"/>
      <c r="L769" s="36"/>
      <c r="M769" s="36"/>
      <c r="N769" s="105"/>
      <c r="O769" s="36"/>
      <c r="P769" s="36"/>
      <c r="Q769" s="36"/>
      <c r="R769" s="105"/>
      <c r="S769" s="36"/>
      <c r="T769" s="36"/>
      <c r="U769" s="36"/>
      <c r="V769" s="36"/>
      <c r="W769" s="36"/>
      <c r="X769" s="36"/>
      <c r="Y769" s="36"/>
      <c r="Z769" s="36"/>
      <c r="AA769" s="36"/>
      <c r="AB769" s="42"/>
      <c r="AC769" s="42"/>
      <c r="AD769" s="36"/>
      <c r="AE769" s="36"/>
      <c r="AF769" s="42"/>
      <c r="AG769" s="42"/>
      <c r="AH769" s="36"/>
      <c r="AI769" s="36"/>
      <c r="AJ769" s="36"/>
      <c r="AK769" s="36"/>
      <c r="AL769" s="36"/>
      <c r="AM769" s="36"/>
      <c r="AN769" s="36"/>
    </row>
    <row r="770" spans="1:40" ht="15.75" x14ac:dyDescent="0.25">
      <c r="A770" s="44"/>
      <c r="B770" s="36"/>
      <c r="C770" s="36"/>
      <c r="D770" s="36"/>
      <c r="E770" s="36"/>
      <c r="F770" s="36"/>
      <c r="G770" s="36"/>
      <c r="H770" s="36"/>
      <c r="I770" s="36"/>
      <c r="J770" s="105"/>
      <c r="K770" s="36"/>
      <c r="L770" s="36"/>
      <c r="M770" s="36"/>
      <c r="N770" s="105"/>
      <c r="O770" s="36"/>
      <c r="P770" s="36"/>
      <c r="Q770" s="36"/>
      <c r="R770" s="105"/>
      <c r="S770" s="36"/>
      <c r="T770" s="36"/>
      <c r="U770" s="36"/>
      <c r="V770" s="36"/>
      <c r="W770" s="36"/>
      <c r="X770" s="36"/>
      <c r="Y770" s="36"/>
      <c r="Z770" s="36"/>
      <c r="AA770" s="36"/>
      <c r="AB770" s="42"/>
      <c r="AC770" s="42"/>
      <c r="AD770" s="36"/>
      <c r="AE770" s="36"/>
      <c r="AF770" s="42"/>
      <c r="AG770" s="42"/>
      <c r="AH770" s="36"/>
      <c r="AI770" s="36"/>
      <c r="AJ770" s="36"/>
      <c r="AK770" s="36"/>
      <c r="AL770" s="36"/>
      <c r="AM770" s="36"/>
      <c r="AN770" s="36"/>
    </row>
    <row r="771" spans="1:40" ht="15.75" x14ac:dyDescent="0.25">
      <c r="A771" s="44"/>
      <c r="B771" s="36"/>
      <c r="C771" s="36"/>
      <c r="D771" s="36"/>
      <c r="E771" s="36"/>
      <c r="F771" s="36"/>
      <c r="G771" s="36"/>
      <c r="H771" s="36"/>
      <c r="I771" s="36"/>
      <c r="J771" s="105"/>
      <c r="K771" s="36"/>
      <c r="L771" s="36"/>
      <c r="M771" s="36"/>
      <c r="N771" s="105"/>
      <c r="O771" s="36"/>
      <c r="P771" s="36"/>
      <c r="Q771" s="36"/>
      <c r="R771" s="105"/>
      <c r="S771" s="36"/>
      <c r="T771" s="36"/>
      <c r="U771" s="36"/>
      <c r="V771" s="36"/>
      <c r="W771" s="36"/>
      <c r="X771" s="36"/>
      <c r="Y771" s="36"/>
      <c r="Z771" s="36"/>
      <c r="AA771" s="36"/>
      <c r="AB771" s="42"/>
      <c r="AC771" s="42"/>
      <c r="AD771" s="36"/>
      <c r="AE771" s="36"/>
      <c r="AF771" s="42"/>
      <c r="AG771" s="42"/>
      <c r="AH771" s="36"/>
      <c r="AI771" s="36"/>
      <c r="AJ771" s="36"/>
      <c r="AK771" s="36"/>
      <c r="AL771" s="36"/>
      <c r="AM771" s="36"/>
      <c r="AN771" s="36"/>
    </row>
    <row r="772" spans="1:40" ht="15.75" x14ac:dyDescent="0.25">
      <c r="A772" s="44"/>
      <c r="B772" s="36"/>
      <c r="C772" s="36"/>
      <c r="D772" s="36"/>
      <c r="E772" s="36"/>
      <c r="F772" s="36"/>
      <c r="G772" s="36"/>
      <c r="H772" s="36"/>
      <c r="I772" s="36"/>
      <c r="J772" s="105"/>
      <c r="K772" s="36"/>
      <c r="L772" s="36"/>
      <c r="M772" s="36"/>
      <c r="N772" s="105"/>
      <c r="O772" s="36"/>
      <c r="P772" s="36"/>
      <c r="Q772" s="36"/>
      <c r="R772" s="105"/>
      <c r="S772" s="36"/>
      <c r="T772" s="36"/>
      <c r="U772" s="36"/>
      <c r="V772" s="36"/>
      <c r="W772" s="36"/>
      <c r="X772" s="36"/>
      <c r="Y772" s="36"/>
      <c r="Z772" s="36"/>
      <c r="AA772" s="36"/>
      <c r="AB772" s="42"/>
      <c r="AC772" s="42"/>
      <c r="AD772" s="36"/>
      <c r="AE772" s="36"/>
      <c r="AF772" s="42"/>
      <c r="AG772" s="42"/>
      <c r="AH772" s="36"/>
      <c r="AI772" s="36"/>
      <c r="AJ772" s="36"/>
      <c r="AK772" s="36"/>
      <c r="AL772" s="36"/>
      <c r="AM772" s="36"/>
      <c r="AN772" s="36"/>
    </row>
    <row r="773" spans="1:40" ht="15.75" x14ac:dyDescent="0.25">
      <c r="A773" s="44"/>
      <c r="B773" s="36"/>
      <c r="C773" s="36"/>
      <c r="D773" s="36"/>
      <c r="E773" s="36"/>
      <c r="F773" s="36"/>
      <c r="G773" s="36"/>
      <c r="H773" s="36"/>
      <c r="I773" s="36"/>
      <c r="J773" s="105"/>
      <c r="K773" s="36"/>
      <c r="L773" s="36"/>
      <c r="M773" s="36"/>
      <c r="N773" s="105"/>
      <c r="O773" s="36"/>
      <c r="P773" s="36"/>
      <c r="Q773" s="36"/>
      <c r="R773" s="105"/>
      <c r="S773" s="36"/>
      <c r="T773" s="36"/>
      <c r="U773" s="36"/>
      <c r="V773" s="36"/>
      <c r="W773" s="36"/>
      <c r="X773" s="36"/>
      <c r="Y773" s="36"/>
      <c r="Z773" s="36"/>
      <c r="AA773" s="36"/>
      <c r="AB773" s="42"/>
      <c r="AC773" s="42"/>
      <c r="AD773" s="36"/>
      <c r="AE773" s="36"/>
      <c r="AF773" s="42"/>
      <c r="AG773" s="42"/>
      <c r="AH773" s="36"/>
      <c r="AI773" s="36"/>
      <c r="AJ773" s="36"/>
      <c r="AK773" s="36"/>
      <c r="AL773" s="36"/>
      <c r="AM773" s="36"/>
      <c r="AN773" s="36"/>
    </row>
    <row r="774" spans="1:40" ht="15.75" x14ac:dyDescent="0.25">
      <c r="A774" s="44"/>
      <c r="B774" s="36"/>
      <c r="C774" s="36"/>
      <c r="D774" s="36"/>
      <c r="E774" s="36"/>
      <c r="F774" s="36"/>
      <c r="G774" s="36"/>
      <c r="H774" s="36"/>
      <c r="I774" s="36"/>
      <c r="J774" s="105"/>
      <c r="K774" s="36"/>
      <c r="L774" s="36"/>
      <c r="M774" s="36"/>
      <c r="N774" s="105"/>
      <c r="O774" s="36"/>
      <c r="P774" s="36"/>
      <c r="Q774" s="36"/>
      <c r="R774" s="105"/>
      <c r="S774" s="36"/>
      <c r="T774" s="36"/>
      <c r="U774" s="36"/>
      <c r="V774" s="36"/>
      <c r="W774" s="36"/>
      <c r="X774" s="36"/>
      <c r="Y774" s="36"/>
      <c r="Z774" s="36"/>
      <c r="AA774" s="36"/>
      <c r="AB774" s="42"/>
      <c r="AC774" s="42"/>
      <c r="AD774" s="36"/>
      <c r="AE774" s="36"/>
      <c r="AF774" s="42"/>
      <c r="AG774" s="42"/>
      <c r="AH774" s="36"/>
      <c r="AI774" s="36"/>
      <c r="AJ774" s="36"/>
      <c r="AK774" s="36"/>
      <c r="AL774" s="36"/>
      <c r="AM774" s="36"/>
      <c r="AN774" s="36"/>
    </row>
    <row r="775" spans="1:40" ht="15.75" x14ac:dyDescent="0.25">
      <c r="A775" s="44"/>
      <c r="B775" s="36"/>
      <c r="C775" s="36"/>
      <c r="D775" s="36"/>
      <c r="E775" s="36"/>
      <c r="F775" s="36"/>
      <c r="G775" s="36"/>
      <c r="H775" s="36"/>
      <c r="I775" s="36"/>
      <c r="J775" s="105"/>
      <c r="K775" s="36"/>
      <c r="L775" s="36"/>
      <c r="M775" s="36"/>
      <c r="N775" s="105"/>
      <c r="O775" s="36"/>
      <c r="P775" s="36"/>
      <c r="Q775" s="36"/>
      <c r="R775" s="105"/>
      <c r="S775" s="36"/>
      <c r="T775" s="36"/>
      <c r="U775" s="36"/>
      <c r="V775" s="36"/>
      <c r="W775" s="36"/>
      <c r="X775" s="36"/>
      <c r="Y775" s="36"/>
      <c r="Z775" s="36"/>
      <c r="AA775" s="36"/>
      <c r="AB775" s="42"/>
      <c r="AC775" s="42"/>
      <c r="AD775" s="36"/>
      <c r="AE775" s="36"/>
      <c r="AF775" s="42"/>
      <c r="AG775" s="42"/>
      <c r="AH775" s="36"/>
      <c r="AI775" s="36"/>
      <c r="AJ775" s="36"/>
      <c r="AK775" s="36"/>
      <c r="AL775" s="36"/>
      <c r="AM775" s="36"/>
      <c r="AN775" s="36"/>
    </row>
    <row r="776" spans="1:40" ht="15.75" x14ac:dyDescent="0.25">
      <c r="A776" s="44"/>
      <c r="B776" s="36"/>
      <c r="C776" s="36"/>
      <c r="D776" s="36"/>
      <c r="E776" s="36"/>
      <c r="F776" s="36"/>
      <c r="G776" s="36"/>
      <c r="H776" s="36"/>
      <c r="I776" s="36"/>
      <c r="J776" s="105"/>
      <c r="K776" s="36"/>
      <c r="L776" s="36"/>
      <c r="M776" s="36"/>
      <c r="N776" s="105"/>
      <c r="O776" s="36"/>
      <c r="P776" s="36"/>
      <c r="Q776" s="36"/>
      <c r="R776" s="105"/>
      <c r="S776" s="36"/>
      <c r="T776" s="36"/>
      <c r="U776" s="36"/>
      <c r="V776" s="36"/>
      <c r="W776" s="36"/>
      <c r="X776" s="36"/>
      <c r="Y776" s="36"/>
      <c r="Z776" s="36"/>
      <c r="AA776" s="36"/>
      <c r="AB776" s="42"/>
      <c r="AC776" s="42"/>
      <c r="AD776" s="36"/>
      <c r="AE776" s="36"/>
      <c r="AF776" s="42"/>
      <c r="AG776" s="42"/>
      <c r="AH776" s="36"/>
      <c r="AI776" s="36"/>
      <c r="AJ776" s="36"/>
      <c r="AK776" s="36"/>
      <c r="AL776" s="36"/>
      <c r="AM776" s="36"/>
      <c r="AN776" s="36"/>
    </row>
    <row r="777" spans="1:40" ht="15.75" x14ac:dyDescent="0.25">
      <c r="A777" s="44"/>
      <c r="B777" s="36"/>
      <c r="C777" s="36"/>
      <c r="D777" s="36"/>
      <c r="E777" s="36"/>
      <c r="F777" s="36"/>
      <c r="G777" s="36"/>
      <c r="H777" s="36"/>
      <c r="I777" s="36"/>
      <c r="J777" s="105"/>
      <c r="K777" s="36"/>
      <c r="L777" s="36"/>
      <c r="M777" s="36"/>
      <c r="N777" s="105"/>
      <c r="O777" s="36"/>
      <c r="P777" s="36"/>
      <c r="Q777" s="36"/>
      <c r="R777" s="105"/>
      <c r="S777" s="36"/>
      <c r="T777" s="36"/>
      <c r="U777" s="36"/>
      <c r="V777" s="36"/>
      <c r="W777" s="36"/>
      <c r="X777" s="36"/>
      <c r="Y777" s="36"/>
      <c r="Z777" s="36"/>
      <c r="AA777" s="36"/>
      <c r="AB777" s="42"/>
      <c r="AC777" s="42"/>
      <c r="AD777" s="36"/>
      <c r="AE777" s="36"/>
      <c r="AF777" s="42"/>
      <c r="AG777" s="42"/>
      <c r="AH777" s="36"/>
      <c r="AI777" s="36"/>
      <c r="AJ777" s="36"/>
      <c r="AK777" s="36"/>
      <c r="AL777" s="36"/>
      <c r="AM777" s="36"/>
      <c r="AN777" s="36"/>
    </row>
    <row r="778" spans="1:40" ht="15.75" x14ac:dyDescent="0.25">
      <c r="A778" s="44"/>
      <c r="B778" s="36"/>
      <c r="C778" s="36"/>
      <c r="D778" s="36"/>
      <c r="E778" s="36"/>
      <c r="F778" s="36"/>
      <c r="G778" s="36"/>
      <c r="H778" s="36"/>
      <c r="I778" s="36"/>
      <c r="J778" s="105"/>
      <c r="K778" s="36"/>
      <c r="L778" s="36"/>
      <c r="M778" s="36"/>
      <c r="N778" s="105"/>
      <c r="O778" s="36"/>
      <c r="P778" s="36"/>
      <c r="Q778" s="36"/>
      <c r="R778" s="105"/>
      <c r="S778" s="36"/>
      <c r="T778" s="36"/>
      <c r="U778" s="36"/>
      <c r="V778" s="36"/>
      <c r="W778" s="36"/>
      <c r="X778" s="36"/>
      <c r="Y778" s="36"/>
      <c r="Z778" s="36"/>
      <c r="AA778" s="36"/>
      <c r="AB778" s="42"/>
      <c r="AC778" s="42"/>
      <c r="AD778" s="36"/>
      <c r="AE778" s="36"/>
      <c r="AF778" s="42"/>
      <c r="AG778" s="42"/>
      <c r="AH778" s="36"/>
      <c r="AI778" s="36"/>
      <c r="AJ778" s="36"/>
      <c r="AK778" s="36"/>
      <c r="AL778" s="36"/>
      <c r="AM778" s="36"/>
      <c r="AN778" s="36"/>
    </row>
    <row r="779" spans="1:40" ht="15.75" x14ac:dyDescent="0.25">
      <c r="A779" s="44"/>
      <c r="B779" s="36"/>
      <c r="C779" s="36"/>
      <c r="D779" s="36"/>
      <c r="E779" s="36"/>
      <c r="F779" s="36"/>
      <c r="G779" s="36"/>
      <c r="H779" s="36"/>
      <c r="I779" s="36"/>
      <c r="J779" s="105"/>
      <c r="K779" s="36"/>
      <c r="L779" s="36"/>
      <c r="M779" s="36"/>
      <c r="N779" s="105"/>
      <c r="O779" s="36"/>
      <c r="P779" s="36"/>
      <c r="Q779" s="36"/>
      <c r="R779" s="105"/>
      <c r="S779" s="36"/>
      <c r="T779" s="36"/>
      <c r="U779" s="36"/>
      <c r="V779" s="36"/>
      <c r="W779" s="36"/>
      <c r="X779" s="36"/>
      <c r="Y779" s="36"/>
      <c r="Z779" s="36"/>
      <c r="AA779" s="36"/>
      <c r="AB779" s="42"/>
      <c r="AC779" s="42"/>
      <c r="AD779" s="36"/>
      <c r="AE779" s="36"/>
      <c r="AF779" s="42"/>
      <c r="AG779" s="42"/>
      <c r="AH779" s="36"/>
      <c r="AI779" s="36"/>
      <c r="AJ779" s="36"/>
      <c r="AK779" s="36"/>
      <c r="AL779" s="36"/>
      <c r="AM779" s="36"/>
      <c r="AN779" s="36"/>
    </row>
    <row r="780" spans="1:40" ht="15.75" x14ac:dyDescent="0.25">
      <c r="A780" s="44"/>
      <c r="B780" s="36"/>
      <c r="C780" s="36"/>
      <c r="D780" s="36"/>
      <c r="E780" s="36"/>
      <c r="F780" s="36"/>
      <c r="G780" s="36"/>
      <c r="H780" s="36"/>
      <c r="I780" s="36"/>
      <c r="J780" s="105"/>
      <c r="K780" s="36"/>
      <c r="L780" s="36"/>
      <c r="M780" s="36"/>
      <c r="N780" s="105"/>
      <c r="O780" s="36"/>
      <c r="P780" s="36"/>
      <c r="Q780" s="36"/>
      <c r="R780" s="105"/>
      <c r="S780" s="36"/>
      <c r="T780" s="36"/>
      <c r="U780" s="36"/>
      <c r="V780" s="36"/>
      <c r="W780" s="36"/>
      <c r="X780" s="36"/>
      <c r="Y780" s="36"/>
      <c r="Z780" s="36"/>
      <c r="AA780" s="36"/>
      <c r="AB780" s="42"/>
      <c r="AC780" s="42"/>
      <c r="AD780" s="36"/>
      <c r="AE780" s="36"/>
      <c r="AF780" s="42"/>
      <c r="AG780" s="42"/>
      <c r="AH780" s="36"/>
      <c r="AI780" s="36"/>
      <c r="AJ780" s="36"/>
      <c r="AK780" s="36"/>
      <c r="AL780" s="36"/>
      <c r="AM780" s="36"/>
      <c r="AN780" s="36"/>
    </row>
    <row r="781" spans="1:40" ht="15.75" x14ac:dyDescent="0.25">
      <c r="A781" s="44"/>
      <c r="B781" s="36"/>
      <c r="C781" s="36"/>
      <c r="D781" s="36"/>
      <c r="E781" s="36"/>
      <c r="F781" s="36"/>
      <c r="G781" s="36"/>
      <c r="H781" s="36"/>
      <c r="I781" s="36"/>
      <c r="J781" s="105"/>
      <c r="K781" s="36"/>
      <c r="L781" s="36"/>
      <c r="M781" s="36"/>
      <c r="N781" s="105"/>
      <c r="O781" s="36"/>
      <c r="P781" s="36"/>
      <c r="Q781" s="36"/>
      <c r="R781" s="105"/>
      <c r="S781" s="36"/>
      <c r="T781" s="36"/>
      <c r="U781" s="36"/>
      <c r="V781" s="36"/>
      <c r="W781" s="36"/>
      <c r="X781" s="36"/>
      <c r="Y781" s="36"/>
      <c r="Z781" s="36"/>
      <c r="AA781" s="36"/>
      <c r="AB781" s="42"/>
      <c r="AC781" s="42"/>
      <c r="AD781" s="36"/>
      <c r="AE781" s="36"/>
      <c r="AF781" s="42"/>
      <c r="AG781" s="42"/>
      <c r="AH781" s="36"/>
      <c r="AI781" s="36"/>
      <c r="AJ781" s="36"/>
      <c r="AK781" s="36"/>
      <c r="AL781" s="36"/>
      <c r="AM781" s="36"/>
      <c r="AN781" s="36"/>
    </row>
    <row r="782" spans="1:40" ht="15.75" x14ac:dyDescent="0.25">
      <c r="A782" s="44"/>
      <c r="B782" s="36"/>
      <c r="C782" s="36"/>
      <c r="D782" s="36"/>
      <c r="E782" s="36"/>
      <c r="F782" s="36"/>
      <c r="G782" s="36"/>
      <c r="H782" s="36"/>
      <c r="I782" s="36"/>
      <c r="J782" s="105"/>
      <c r="K782" s="36"/>
      <c r="L782" s="36"/>
      <c r="M782" s="36"/>
      <c r="N782" s="105"/>
      <c r="O782" s="36"/>
      <c r="P782" s="36"/>
      <c r="Q782" s="36"/>
      <c r="R782" s="105"/>
      <c r="S782" s="36"/>
      <c r="T782" s="36"/>
      <c r="U782" s="36"/>
      <c r="V782" s="36"/>
      <c r="W782" s="36"/>
      <c r="X782" s="36"/>
      <c r="Y782" s="36"/>
      <c r="Z782" s="36"/>
      <c r="AA782" s="36"/>
      <c r="AB782" s="42"/>
      <c r="AC782" s="42"/>
      <c r="AD782" s="36"/>
      <c r="AE782" s="36"/>
      <c r="AF782" s="42"/>
      <c r="AG782" s="42"/>
      <c r="AH782" s="36"/>
      <c r="AI782" s="36"/>
      <c r="AJ782" s="36"/>
      <c r="AK782" s="36"/>
      <c r="AL782" s="36"/>
      <c r="AM782" s="36"/>
      <c r="AN782" s="36"/>
    </row>
    <row r="783" spans="1:40" ht="15.75" x14ac:dyDescent="0.25">
      <c r="A783" s="44"/>
      <c r="B783" s="36"/>
      <c r="C783" s="36"/>
      <c r="D783" s="36"/>
      <c r="E783" s="36"/>
      <c r="F783" s="36"/>
      <c r="G783" s="36"/>
      <c r="H783" s="36"/>
      <c r="I783" s="36"/>
      <c r="J783" s="105"/>
      <c r="K783" s="36"/>
      <c r="L783" s="36"/>
      <c r="M783" s="36"/>
      <c r="N783" s="105"/>
      <c r="O783" s="36"/>
      <c r="P783" s="36"/>
      <c r="Q783" s="36"/>
      <c r="R783" s="105"/>
      <c r="S783" s="36"/>
      <c r="T783" s="36"/>
      <c r="U783" s="36"/>
      <c r="V783" s="36"/>
      <c r="W783" s="36"/>
      <c r="X783" s="36"/>
      <c r="Y783" s="36"/>
      <c r="Z783" s="36"/>
      <c r="AA783" s="36"/>
      <c r="AB783" s="42"/>
      <c r="AC783" s="42"/>
      <c r="AD783" s="36"/>
      <c r="AE783" s="36"/>
      <c r="AF783" s="42"/>
      <c r="AG783" s="42"/>
      <c r="AH783" s="36"/>
      <c r="AI783" s="36"/>
      <c r="AJ783" s="36"/>
      <c r="AK783" s="36"/>
      <c r="AL783" s="36"/>
      <c r="AM783" s="36"/>
      <c r="AN783" s="36"/>
    </row>
    <row r="784" spans="1:40" ht="15.75" x14ac:dyDescent="0.25">
      <c r="A784" s="44"/>
      <c r="B784" s="36"/>
      <c r="C784" s="36"/>
      <c r="D784" s="36"/>
      <c r="E784" s="36"/>
      <c r="F784" s="36"/>
      <c r="G784" s="36"/>
      <c r="H784" s="36"/>
      <c r="I784" s="36"/>
      <c r="J784" s="105"/>
      <c r="K784" s="36"/>
      <c r="L784" s="36"/>
      <c r="M784" s="36"/>
      <c r="N784" s="105"/>
      <c r="O784" s="36"/>
      <c r="P784" s="36"/>
      <c r="Q784" s="36"/>
      <c r="R784" s="105"/>
      <c r="S784" s="36"/>
      <c r="T784" s="36"/>
      <c r="U784" s="36"/>
      <c r="V784" s="36"/>
      <c r="W784" s="36"/>
      <c r="X784" s="36"/>
      <c r="Y784" s="36"/>
      <c r="Z784" s="36"/>
      <c r="AA784" s="36"/>
      <c r="AB784" s="42"/>
      <c r="AC784" s="42"/>
      <c r="AD784" s="36"/>
      <c r="AE784" s="36"/>
      <c r="AF784" s="42"/>
      <c r="AG784" s="42"/>
      <c r="AH784" s="36"/>
      <c r="AI784" s="36"/>
      <c r="AJ784" s="36"/>
      <c r="AK784" s="36"/>
      <c r="AL784" s="36"/>
      <c r="AM784" s="36"/>
      <c r="AN784" s="36"/>
    </row>
    <row r="785" spans="1:40" ht="15.75" x14ac:dyDescent="0.25">
      <c r="A785" s="44"/>
      <c r="B785" s="36"/>
      <c r="C785" s="36"/>
      <c r="D785" s="36"/>
      <c r="E785" s="36"/>
      <c r="F785" s="36"/>
      <c r="G785" s="36"/>
      <c r="H785" s="36"/>
      <c r="I785" s="36"/>
      <c r="J785" s="105"/>
      <c r="K785" s="36"/>
      <c r="L785" s="36"/>
      <c r="M785" s="36"/>
      <c r="N785" s="105"/>
      <c r="O785" s="36"/>
      <c r="P785" s="36"/>
      <c r="Q785" s="36"/>
      <c r="R785" s="105"/>
      <c r="S785" s="36"/>
      <c r="T785" s="36"/>
      <c r="U785" s="36"/>
      <c r="V785" s="36"/>
      <c r="W785" s="36"/>
      <c r="X785" s="36"/>
      <c r="Y785" s="36"/>
      <c r="Z785" s="36"/>
      <c r="AA785" s="36"/>
      <c r="AB785" s="42"/>
      <c r="AC785" s="42"/>
      <c r="AD785" s="36"/>
      <c r="AE785" s="36"/>
      <c r="AF785" s="42"/>
      <c r="AG785" s="42"/>
      <c r="AH785" s="36"/>
      <c r="AI785" s="36"/>
      <c r="AJ785" s="36"/>
      <c r="AK785" s="36"/>
      <c r="AL785" s="36"/>
      <c r="AM785" s="36"/>
      <c r="AN785" s="36"/>
    </row>
    <row r="786" spans="1:40" ht="15.75" x14ac:dyDescent="0.25">
      <c r="A786" s="44"/>
      <c r="B786" s="36"/>
      <c r="C786" s="36"/>
      <c r="D786" s="36"/>
      <c r="E786" s="36"/>
      <c r="F786" s="36"/>
      <c r="G786" s="36"/>
      <c r="H786" s="36"/>
      <c r="I786" s="36"/>
      <c r="J786" s="105"/>
      <c r="K786" s="36"/>
      <c r="L786" s="36"/>
      <c r="M786" s="36"/>
      <c r="N786" s="105"/>
      <c r="O786" s="36"/>
      <c r="P786" s="36"/>
      <c r="Q786" s="36"/>
      <c r="R786" s="105"/>
      <c r="S786" s="36"/>
      <c r="T786" s="36"/>
      <c r="U786" s="36"/>
      <c r="V786" s="36"/>
      <c r="W786" s="36"/>
      <c r="X786" s="36"/>
      <c r="Y786" s="36"/>
      <c r="Z786" s="36"/>
      <c r="AA786" s="36"/>
      <c r="AB786" s="42"/>
      <c r="AC786" s="42"/>
      <c r="AD786" s="36"/>
      <c r="AE786" s="36"/>
      <c r="AF786" s="42"/>
      <c r="AG786" s="42"/>
      <c r="AH786" s="36"/>
      <c r="AI786" s="36"/>
      <c r="AJ786" s="36"/>
      <c r="AK786" s="36"/>
      <c r="AL786" s="36"/>
      <c r="AM786" s="36"/>
      <c r="AN786" s="36"/>
    </row>
    <row r="787" spans="1:40" ht="15.75" x14ac:dyDescent="0.25">
      <c r="A787" s="44"/>
      <c r="B787" s="36"/>
      <c r="C787" s="36"/>
      <c r="D787" s="36"/>
      <c r="E787" s="36"/>
      <c r="F787" s="36"/>
      <c r="G787" s="36"/>
      <c r="H787" s="36"/>
      <c r="I787" s="36"/>
      <c r="J787" s="105"/>
      <c r="K787" s="36"/>
      <c r="L787" s="36"/>
      <c r="M787" s="36"/>
      <c r="N787" s="105"/>
      <c r="O787" s="36"/>
      <c r="P787" s="36"/>
      <c r="Q787" s="36"/>
      <c r="R787" s="105"/>
      <c r="S787" s="36"/>
      <c r="T787" s="36"/>
      <c r="U787" s="36"/>
      <c r="V787" s="36"/>
      <c r="W787" s="36"/>
      <c r="X787" s="36"/>
      <c r="Y787" s="36"/>
      <c r="Z787" s="36"/>
      <c r="AA787" s="36"/>
      <c r="AB787" s="42"/>
      <c r="AC787" s="42"/>
      <c r="AD787" s="36"/>
      <c r="AE787" s="36"/>
      <c r="AF787" s="42"/>
      <c r="AG787" s="42"/>
      <c r="AH787" s="36"/>
      <c r="AI787" s="36"/>
      <c r="AJ787" s="36"/>
      <c r="AK787" s="36"/>
      <c r="AL787" s="36"/>
      <c r="AM787" s="36"/>
      <c r="AN787" s="36"/>
    </row>
    <row r="788" spans="1:40" ht="15.75" x14ac:dyDescent="0.25">
      <c r="A788" s="44"/>
      <c r="B788" s="36"/>
      <c r="C788" s="36"/>
      <c r="D788" s="36"/>
      <c r="E788" s="36"/>
      <c r="F788" s="36"/>
      <c r="G788" s="36"/>
      <c r="H788" s="36"/>
      <c r="I788" s="36"/>
      <c r="J788" s="105"/>
      <c r="K788" s="36"/>
      <c r="L788" s="36"/>
      <c r="M788" s="36"/>
      <c r="N788" s="105"/>
      <c r="O788" s="36"/>
      <c r="P788" s="36"/>
      <c r="Q788" s="36"/>
      <c r="R788" s="105"/>
      <c r="S788" s="36"/>
      <c r="T788" s="36"/>
      <c r="U788" s="36"/>
      <c r="V788" s="36"/>
      <c r="W788" s="36"/>
      <c r="X788" s="36"/>
      <c r="Y788" s="36"/>
      <c r="Z788" s="36"/>
      <c r="AA788" s="36"/>
      <c r="AB788" s="42"/>
      <c r="AC788" s="42"/>
      <c r="AD788" s="36"/>
      <c r="AE788" s="36"/>
      <c r="AF788" s="42"/>
      <c r="AG788" s="42"/>
      <c r="AH788" s="36"/>
      <c r="AI788" s="36"/>
      <c r="AJ788" s="36"/>
      <c r="AK788" s="36"/>
      <c r="AL788" s="36"/>
      <c r="AM788" s="36"/>
      <c r="AN788" s="36"/>
    </row>
    <row r="789" spans="1:40" ht="15.75" x14ac:dyDescent="0.25">
      <c r="A789" s="44"/>
      <c r="B789" s="36"/>
      <c r="C789" s="36"/>
      <c r="D789" s="36"/>
      <c r="E789" s="36"/>
      <c r="F789" s="36"/>
      <c r="G789" s="36"/>
      <c r="H789" s="36"/>
      <c r="I789" s="36"/>
      <c r="J789" s="105"/>
      <c r="K789" s="36"/>
      <c r="L789" s="36"/>
      <c r="M789" s="36"/>
      <c r="N789" s="105"/>
      <c r="O789" s="36"/>
      <c r="P789" s="36"/>
      <c r="Q789" s="36"/>
      <c r="R789" s="105"/>
      <c r="S789" s="36"/>
      <c r="T789" s="36"/>
      <c r="U789" s="36"/>
      <c r="V789" s="36"/>
      <c r="W789" s="36"/>
      <c r="X789" s="36"/>
      <c r="Y789" s="36"/>
      <c r="Z789" s="36"/>
      <c r="AA789" s="36"/>
      <c r="AB789" s="42"/>
      <c r="AC789" s="42"/>
      <c r="AD789" s="36"/>
      <c r="AE789" s="36"/>
      <c r="AF789" s="42"/>
      <c r="AG789" s="42"/>
      <c r="AH789" s="36"/>
      <c r="AI789" s="36"/>
      <c r="AJ789" s="36"/>
      <c r="AK789" s="36"/>
      <c r="AL789" s="36"/>
      <c r="AM789" s="36"/>
      <c r="AN789" s="36"/>
    </row>
    <row r="790" spans="1:40" ht="15.75" x14ac:dyDescent="0.25">
      <c r="A790" s="44"/>
      <c r="B790" s="36"/>
      <c r="C790" s="36"/>
      <c r="D790" s="36"/>
      <c r="E790" s="36"/>
      <c r="F790" s="36"/>
      <c r="G790" s="36"/>
      <c r="H790" s="36"/>
      <c r="I790" s="36"/>
      <c r="J790" s="105"/>
      <c r="K790" s="36"/>
      <c r="L790" s="36"/>
      <c r="M790" s="36"/>
      <c r="N790" s="105"/>
      <c r="O790" s="36"/>
      <c r="P790" s="36"/>
      <c r="Q790" s="36"/>
      <c r="R790" s="105"/>
      <c r="S790" s="36"/>
      <c r="T790" s="36"/>
      <c r="U790" s="36"/>
      <c r="V790" s="36"/>
      <c r="W790" s="36"/>
      <c r="X790" s="36"/>
      <c r="Y790" s="36"/>
      <c r="Z790" s="36"/>
      <c r="AA790" s="36"/>
      <c r="AB790" s="42"/>
      <c r="AC790" s="42"/>
      <c r="AD790" s="36"/>
      <c r="AE790" s="36"/>
      <c r="AF790" s="42"/>
      <c r="AG790" s="42"/>
      <c r="AH790" s="36"/>
      <c r="AI790" s="36"/>
      <c r="AJ790" s="36"/>
      <c r="AK790" s="36"/>
      <c r="AL790" s="36"/>
      <c r="AM790" s="36"/>
      <c r="AN790" s="36"/>
    </row>
    <row r="791" spans="1:40" ht="15.75" x14ac:dyDescent="0.25">
      <c r="A791" s="44"/>
      <c r="B791" s="36"/>
      <c r="C791" s="36"/>
      <c r="D791" s="36"/>
      <c r="E791" s="36"/>
      <c r="F791" s="36"/>
      <c r="G791" s="36"/>
      <c r="H791" s="36"/>
      <c r="I791" s="36"/>
      <c r="J791" s="105"/>
      <c r="K791" s="36"/>
      <c r="L791" s="36"/>
      <c r="M791" s="36"/>
      <c r="N791" s="105"/>
      <c r="O791" s="36"/>
      <c r="P791" s="36"/>
      <c r="Q791" s="36"/>
      <c r="R791" s="105"/>
      <c r="S791" s="36"/>
      <c r="T791" s="36"/>
      <c r="U791" s="36"/>
      <c r="V791" s="36"/>
      <c r="W791" s="36"/>
      <c r="X791" s="36"/>
      <c r="Y791" s="36"/>
      <c r="Z791" s="36"/>
      <c r="AA791" s="36"/>
      <c r="AB791" s="42"/>
      <c r="AC791" s="42"/>
      <c r="AD791" s="36"/>
      <c r="AE791" s="36"/>
      <c r="AF791" s="42"/>
      <c r="AG791" s="42"/>
      <c r="AH791" s="36"/>
      <c r="AI791" s="36"/>
      <c r="AJ791" s="36"/>
      <c r="AK791" s="36"/>
      <c r="AL791" s="36"/>
      <c r="AM791" s="36"/>
      <c r="AN791" s="36"/>
    </row>
    <row r="792" spans="1:40" ht="15.75" x14ac:dyDescent="0.25">
      <c r="A792" s="44"/>
      <c r="B792" s="36"/>
      <c r="C792" s="36"/>
      <c r="D792" s="36"/>
      <c r="E792" s="36"/>
      <c r="F792" s="36"/>
      <c r="G792" s="36"/>
      <c r="H792" s="36"/>
      <c r="I792" s="36"/>
      <c r="J792" s="105"/>
      <c r="K792" s="36"/>
      <c r="L792" s="36"/>
      <c r="M792" s="36"/>
      <c r="N792" s="105"/>
      <c r="O792" s="36"/>
      <c r="P792" s="36"/>
      <c r="Q792" s="36"/>
      <c r="R792" s="105"/>
      <c r="S792" s="36"/>
      <c r="T792" s="36"/>
      <c r="U792" s="36"/>
      <c r="V792" s="36"/>
      <c r="W792" s="36"/>
      <c r="X792" s="36"/>
      <c r="Y792" s="36"/>
      <c r="Z792" s="36"/>
      <c r="AA792" s="36"/>
      <c r="AB792" s="42"/>
      <c r="AC792" s="42"/>
      <c r="AD792" s="36"/>
      <c r="AE792" s="36"/>
      <c r="AF792" s="42"/>
      <c r="AG792" s="42"/>
      <c r="AH792" s="36"/>
      <c r="AI792" s="36"/>
      <c r="AJ792" s="36"/>
      <c r="AK792" s="36"/>
      <c r="AL792" s="36"/>
      <c r="AM792" s="36"/>
      <c r="AN792" s="36"/>
    </row>
    <row r="793" spans="1:40" ht="15.75" x14ac:dyDescent="0.25">
      <c r="A793" s="44"/>
      <c r="B793" s="36"/>
      <c r="C793" s="36"/>
      <c r="D793" s="36"/>
      <c r="E793" s="36"/>
      <c r="F793" s="36"/>
      <c r="G793" s="36"/>
      <c r="H793" s="36"/>
      <c r="I793" s="36"/>
      <c r="J793" s="105"/>
      <c r="K793" s="36"/>
      <c r="L793" s="36"/>
      <c r="M793" s="36"/>
      <c r="N793" s="105"/>
      <c r="O793" s="36"/>
      <c r="P793" s="36"/>
      <c r="Q793" s="36"/>
      <c r="R793" s="105"/>
      <c r="S793" s="36"/>
      <c r="T793" s="36"/>
      <c r="U793" s="36"/>
      <c r="V793" s="36"/>
      <c r="W793" s="36"/>
      <c r="X793" s="36"/>
      <c r="Y793" s="36"/>
      <c r="Z793" s="36"/>
      <c r="AA793" s="36"/>
      <c r="AB793" s="42"/>
      <c r="AC793" s="42"/>
      <c r="AD793" s="36"/>
      <c r="AE793" s="36"/>
      <c r="AF793" s="42"/>
      <c r="AG793" s="42"/>
      <c r="AH793" s="36"/>
      <c r="AI793" s="36"/>
      <c r="AJ793" s="36"/>
      <c r="AK793" s="36"/>
      <c r="AL793" s="36"/>
      <c r="AM793" s="36"/>
      <c r="AN793" s="36"/>
    </row>
    <row r="794" spans="1:40" ht="15.75" x14ac:dyDescent="0.25">
      <c r="A794" s="44"/>
      <c r="B794" s="36"/>
      <c r="C794" s="36"/>
      <c r="D794" s="36"/>
      <c r="E794" s="36"/>
      <c r="F794" s="36"/>
      <c r="G794" s="36"/>
      <c r="H794" s="36"/>
      <c r="I794" s="36"/>
      <c r="J794" s="105"/>
      <c r="K794" s="36"/>
      <c r="L794" s="36"/>
      <c r="M794" s="36"/>
      <c r="N794" s="105"/>
      <c r="O794" s="36"/>
      <c r="P794" s="36"/>
      <c r="Q794" s="36"/>
      <c r="R794" s="105"/>
      <c r="S794" s="36"/>
      <c r="T794" s="36"/>
      <c r="U794" s="36"/>
      <c r="V794" s="36"/>
      <c r="W794" s="36"/>
      <c r="X794" s="36"/>
      <c r="Y794" s="36"/>
      <c r="Z794" s="36"/>
      <c r="AA794" s="36"/>
      <c r="AB794" s="42"/>
      <c r="AC794" s="42"/>
      <c r="AD794" s="36"/>
      <c r="AE794" s="36"/>
      <c r="AF794" s="42"/>
      <c r="AG794" s="42"/>
      <c r="AH794" s="36"/>
      <c r="AI794" s="36"/>
      <c r="AJ794" s="36"/>
      <c r="AK794" s="36"/>
      <c r="AL794" s="36"/>
      <c r="AM794" s="36"/>
      <c r="AN794" s="36"/>
    </row>
    <row r="795" spans="1:40" ht="15.75" x14ac:dyDescent="0.25">
      <c r="A795" s="44"/>
      <c r="B795" s="36"/>
      <c r="C795" s="36"/>
      <c r="D795" s="36"/>
      <c r="E795" s="36"/>
      <c r="F795" s="36"/>
      <c r="G795" s="36"/>
      <c r="H795" s="36"/>
      <c r="I795" s="36"/>
      <c r="J795" s="105"/>
      <c r="K795" s="36"/>
      <c r="L795" s="36"/>
      <c r="M795" s="36"/>
      <c r="N795" s="105"/>
      <c r="O795" s="36"/>
      <c r="P795" s="36"/>
      <c r="Q795" s="36"/>
      <c r="R795" s="105"/>
      <c r="S795" s="36"/>
      <c r="T795" s="36"/>
      <c r="U795" s="36"/>
      <c r="V795" s="36"/>
      <c r="W795" s="36"/>
      <c r="X795" s="36"/>
      <c r="Y795" s="36"/>
      <c r="Z795" s="36"/>
      <c r="AA795" s="36"/>
      <c r="AB795" s="42"/>
      <c r="AC795" s="42"/>
      <c r="AD795" s="36"/>
      <c r="AE795" s="36"/>
      <c r="AF795" s="42"/>
      <c r="AG795" s="42"/>
      <c r="AH795" s="36"/>
      <c r="AI795" s="36"/>
      <c r="AJ795" s="36"/>
      <c r="AK795" s="36"/>
      <c r="AL795" s="36"/>
      <c r="AM795" s="36"/>
      <c r="AN795" s="36"/>
    </row>
    <row r="796" spans="1:40" ht="15.75" x14ac:dyDescent="0.25">
      <c r="A796" s="44"/>
      <c r="B796" s="36"/>
      <c r="C796" s="36"/>
      <c r="D796" s="36"/>
      <c r="E796" s="36"/>
      <c r="F796" s="36"/>
      <c r="G796" s="36"/>
      <c r="H796" s="36"/>
      <c r="I796" s="36"/>
      <c r="J796" s="105"/>
      <c r="K796" s="36"/>
      <c r="L796" s="36"/>
      <c r="M796" s="36"/>
      <c r="N796" s="105"/>
      <c r="O796" s="36"/>
      <c r="P796" s="36"/>
      <c r="Q796" s="36"/>
      <c r="R796" s="105"/>
      <c r="S796" s="36"/>
      <c r="T796" s="36"/>
      <c r="U796" s="36"/>
      <c r="V796" s="36"/>
      <c r="W796" s="36"/>
      <c r="X796" s="36"/>
      <c r="Y796" s="36"/>
      <c r="Z796" s="36"/>
      <c r="AA796" s="36"/>
      <c r="AB796" s="42"/>
      <c r="AC796" s="42"/>
      <c r="AD796" s="36"/>
      <c r="AE796" s="36"/>
      <c r="AF796" s="42"/>
      <c r="AG796" s="42"/>
      <c r="AH796" s="36"/>
      <c r="AI796" s="36"/>
      <c r="AJ796" s="36"/>
      <c r="AK796" s="36"/>
      <c r="AL796" s="36"/>
      <c r="AM796" s="36"/>
      <c r="AN796" s="36"/>
    </row>
    <row r="797" spans="1:40" ht="15.75" x14ac:dyDescent="0.25">
      <c r="A797" s="44"/>
      <c r="B797" s="36"/>
      <c r="C797" s="36"/>
      <c r="D797" s="36"/>
      <c r="E797" s="36"/>
      <c r="F797" s="36"/>
      <c r="G797" s="36"/>
      <c r="H797" s="36"/>
      <c r="I797" s="36"/>
      <c r="J797" s="105"/>
      <c r="K797" s="36"/>
      <c r="L797" s="36"/>
      <c r="M797" s="36"/>
      <c r="N797" s="105"/>
      <c r="O797" s="36"/>
      <c r="P797" s="36"/>
      <c r="Q797" s="36"/>
      <c r="R797" s="105"/>
      <c r="S797" s="36"/>
      <c r="T797" s="36"/>
      <c r="U797" s="36"/>
      <c r="V797" s="36"/>
      <c r="W797" s="36"/>
      <c r="X797" s="36"/>
      <c r="Y797" s="36"/>
      <c r="Z797" s="36"/>
      <c r="AA797" s="36"/>
      <c r="AB797" s="42"/>
      <c r="AC797" s="42"/>
      <c r="AD797" s="36"/>
      <c r="AE797" s="36"/>
      <c r="AF797" s="42"/>
      <c r="AG797" s="42"/>
      <c r="AH797" s="36"/>
      <c r="AI797" s="36"/>
      <c r="AJ797" s="36"/>
      <c r="AK797" s="36"/>
      <c r="AL797" s="36"/>
      <c r="AM797" s="36"/>
      <c r="AN797" s="36"/>
    </row>
    <row r="798" spans="1:40" ht="15.75" x14ac:dyDescent="0.25">
      <c r="A798" s="44"/>
      <c r="B798" s="36"/>
      <c r="C798" s="36"/>
      <c r="D798" s="36"/>
      <c r="E798" s="36"/>
      <c r="F798" s="36"/>
      <c r="G798" s="36"/>
      <c r="H798" s="36"/>
      <c r="I798" s="36"/>
      <c r="J798" s="105"/>
      <c r="K798" s="36"/>
      <c r="L798" s="36"/>
      <c r="M798" s="36"/>
      <c r="N798" s="105"/>
      <c r="O798" s="36"/>
      <c r="P798" s="36"/>
      <c r="Q798" s="36"/>
      <c r="R798" s="105"/>
      <c r="S798" s="36"/>
      <c r="T798" s="36"/>
      <c r="U798" s="36"/>
      <c r="V798" s="36"/>
      <c r="W798" s="36"/>
      <c r="X798" s="36"/>
      <c r="Y798" s="36"/>
      <c r="Z798" s="36"/>
      <c r="AA798" s="36"/>
      <c r="AB798" s="42"/>
      <c r="AC798" s="42"/>
      <c r="AD798" s="36"/>
      <c r="AE798" s="36"/>
      <c r="AF798" s="42"/>
      <c r="AG798" s="42"/>
      <c r="AH798" s="36"/>
      <c r="AI798" s="36"/>
      <c r="AJ798" s="36"/>
      <c r="AK798" s="36"/>
      <c r="AL798" s="36"/>
      <c r="AM798" s="36"/>
      <c r="AN798" s="36"/>
    </row>
    <row r="799" spans="1:40" ht="15.75" x14ac:dyDescent="0.25">
      <c r="A799" s="44"/>
      <c r="B799" s="36"/>
      <c r="C799" s="36"/>
      <c r="D799" s="36"/>
      <c r="E799" s="36"/>
      <c r="F799" s="36"/>
      <c r="G799" s="36"/>
      <c r="H799" s="36"/>
      <c r="I799" s="36"/>
      <c r="J799" s="105"/>
      <c r="K799" s="36"/>
      <c r="L799" s="36"/>
      <c r="M799" s="36"/>
      <c r="N799" s="105"/>
      <c r="O799" s="36"/>
      <c r="P799" s="36"/>
      <c r="Q799" s="36"/>
      <c r="R799" s="105"/>
      <c r="S799" s="36"/>
      <c r="T799" s="36"/>
      <c r="U799" s="36"/>
      <c r="V799" s="36"/>
      <c r="W799" s="36"/>
      <c r="X799" s="36"/>
      <c r="Y799" s="36"/>
      <c r="Z799" s="36"/>
      <c r="AA799" s="36"/>
      <c r="AB799" s="42"/>
      <c r="AC799" s="42"/>
      <c r="AD799" s="36"/>
      <c r="AE799" s="36"/>
      <c r="AF799" s="42"/>
      <c r="AG799" s="42"/>
      <c r="AH799" s="36"/>
      <c r="AI799" s="36"/>
      <c r="AJ799" s="36"/>
      <c r="AK799" s="36"/>
      <c r="AL799" s="36"/>
      <c r="AM799" s="36"/>
      <c r="AN799" s="36"/>
    </row>
    <row r="800" spans="1:40" ht="15.75" x14ac:dyDescent="0.25">
      <c r="A800" s="44"/>
      <c r="B800" s="36"/>
      <c r="C800" s="36"/>
      <c r="D800" s="36"/>
      <c r="E800" s="36"/>
      <c r="F800" s="36"/>
      <c r="G800" s="36"/>
      <c r="H800" s="36"/>
      <c r="I800" s="36"/>
      <c r="J800" s="105"/>
      <c r="K800" s="36"/>
      <c r="L800" s="36"/>
      <c r="M800" s="36"/>
      <c r="N800" s="105"/>
      <c r="O800" s="36"/>
      <c r="P800" s="36"/>
      <c r="Q800" s="36"/>
      <c r="R800" s="105"/>
      <c r="S800" s="36"/>
      <c r="T800" s="36"/>
      <c r="U800" s="36"/>
      <c r="V800" s="36"/>
      <c r="W800" s="36"/>
      <c r="X800" s="36"/>
      <c r="Y800" s="36"/>
      <c r="Z800" s="36"/>
      <c r="AA800" s="36"/>
      <c r="AB800" s="42"/>
      <c r="AC800" s="42"/>
      <c r="AD800" s="36"/>
      <c r="AE800" s="36"/>
      <c r="AF800" s="42"/>
      <c r="AG800" s="42"/>
      <c r="AH800" s="36"/>
      <c r="AI800" s="36"/>
      <c r="AJ800" s="36"/>
      <c r="AK800" s="36"/>
      <c r="AL800" s="36"/>
      <c r="AM800" s="36"/>
      <c r="AN800" s="36"/>
    </row>
    <row r="801" spans="1:40" ht="15.75" x14ac:dyDescent="0.25">
      <c r="A801" s="44"/>
      <c r="B801" s="36"/>
      <c r="C801" s="36"/>
      <c r="D801" s="36"/>
      <c r="E801" s="36"/>
      <c r="F801" s="36"/>
      <c r="G801" s="36"/>
      <c r="H801" s="36"/>
      <c r="I801" s="36"/>
      <c r="J801" s="105"/>
      <c r="K801" s="36"/>
      <c r="L801" s="36"/>
      <c r="M801" s="36"/>
      <c r="N801" s="105"/>
      <c r="O801" s="36"/>
      <c r="P801" s="36"/>
      <c r="Q801" s="36"/>
      <c r="R801" s="105"/>
      <c r="S801" s="36"/>
      <c r="T801" s="36"/>
      <c r="U801" s="36"/>
      <c r="V801" s="36"/>
      <c r="W801" s="36"/>
      <c r="X801" s="36"/>
      <c r="Y801" s="36"/>
      <c r="Z801" s="36"/>
      <c r="AA801" s="36"/>
      <c r="AB801" s="42"/>
      <c r="AC801" s="42"/>
      <c r="AD801" s="36"/>
      <c r="AE801" s="36"/>
      <c r="AF801" s="42"/>
      <c r="AG801" s="42"/>
      <c r="AH801" s="36"/>
      <c r="AI801" s="36"/>
      <c r="AJ801" s="36"/>
      <c r="AK801" s="36"/>
      <c r="AL801" s="36"/>
      <c r="AM801" s="36"/>
      <c r="AN801" s="36"/>
    </row>
    <row r="802" spans="1:40" ht="15.75" x14ac:dyDescent="0.25">
      <c r="A802" s="44"/>
      <c r="B802" s="36"/>
      <c r="C802" s="36"/>
      <c r="D802" s="36"/>
      <c r="E802" s="36"/>
      <c r="F802" s="36"/>
      <c r="G802" s="36"/>
      <c r="H802" s="36"/>
      <c r="I802" s="36"/>
      <c r="J802" s="105"/>
      <c r="K802" s="36"/>
      <c r="L802" s="36"/>
      <c r="M802" s="36"/>
      <c r="N802" s="105"/>
      <c r="O802" s="36"/>
      <c r="P802" s="36"/>
      <c r="Q802" s="36"/>
      <c r="R802" s="105"/>
      <c r="S802" s="36"/>
      <c r="T802" s="36"/>
      <c r="U802" s="36"/>
      <c r="V802" s="36"/>
      <c r="W802" s="36"/>
      <c r="X802" s="36"/>
      <c r="Y802" s="36"/>
      <c r="Z802" s="36"/>
      <c r="AA802" s="36"/>
      <c r="AB802" s="42"/>
      <c r="AC802" s="42"/>
      <c r="AD802" s="36"/>
      <c r="AE802" s="36"/>
      <c r="AF802" s="42"/>
      <c r="AG802" s="42"/>
      <c r="AH802" s="36"/>
      <c r="AI802" s="36"/>
      <c r="AJ802" s="36"/>
      <c r="AK802" s="36"/>
      <c r="AL802" s="36"/>
      <c r="AM802" s="36"/>
      <c r="AN802" s="36"/>
    </row>
    <row r="803" spans="1:40" ht="15.75" x14ac:dyDescent="0.25">
      <c r="A803" s="44"/>
      <c r="B803" s="36"/>
      <c r="C803" s="36"/>
      <c r="D803" s="36"/>
      <c r="E803" s="36"/>
      <c r="F803" s="36"/>
      <c r="G803" s="36"/>
      <c r="H803" s="36"/>
      <c r="I803" s="36"/>
      <c r="J803" s="105"/>
      <c r="K803" s="36"/>
      <c r="L803" s="36"/>
      <c r="M803" s="36"/>
      <c r="N803" s="105"/>
      <c r="O803" s="36"/>
      <c r="P803" s="36"/>
      <c r="Q803" s="36"/>
      <c r="R803" s="105"/>
      <c r="S803" s="36"/>
      <c r="T803" s="36"/>
      <c r="U803" s="36"/>
      <c r="V803" s="36"/>
      <c r="W803" s="36"/>
      <c r="X803" s="36"/>
      <c r="Y803" s="36"/>
      <c r="Z803" s="36"/>
      <c r="AA803" s="36"/>
      <c r="AB803" s="42"/>
      <c r="AC803" s="42"/>
      <c r="AD803" s="36"/>
      <c r="AE803" s="36"/>
      <c r="AF803" s="42"/>
      <c r="AG803" s="42"/>
      <c r="AH803" s="36"/>
      <c r="AI803" s="36"/>
      <c r="AJ803" s="36"/>
      <c r="AK803" s="36"/>
      <c r="AL803" s="36"/>
      <c r="AM803" s="36"/>
      <c r="AN803" s="36"/>
    </row>
    <row r="804" spans="1:40" ht="15.75" x14ac:dyDescent="0.25">
      <c r="A804" s="44"/>
      <c r="B804" s="36"/>
      <c r="C804" s="36"/>
      <c r="D804" s="36"/>
      <c r="E804" s="36"/>
      <c r="F804" s="36"/>
      <c r="G804" s="36"/>
      <c r="H804" s="36"/>
      <c r="I804" s="36"/>
      <c r="J804" s="105"/>
      <c r="K804" s="36"/>
      <c r="L804" s="36"/>
      <c r="M804" s="36"/>
      <c r="N804" s="105"/>
      <c r="O804" s="36"/>
      <c r="P804" s="36"/>
      <c r="Q804" s="36"/>
      <c r="R804" s="105"/>
      <c r="S804" s="36"/>
      <c r="T804" s="36"/>
      <c r="U804" s="36"/>
      <c r="V804" s="36"/>
      <c r="W804" s="36"/>
      <c r="X804" s="36"/>
      <c r="Y804" s="36"/>
      <c r="Z804" s="36"/>
      <c r="AA804" s="36"/>
      <c r="AB804" s="42"/>
      <c r="AC804" s="42"/>
      <c r="AD804" s="36"/>
      <c r="AE804" s="36"/>
      <c r="AF804" s="42"/>
      <c r="AG804" s="42"/>
      <c r="AH804" s="36"/>
      <c r="AI804" s="36"/>
      <c r="AJ804" s="36"/>
      <c r="AK804" s="36"/>
      <c r="AL804" s="36"/>
      <c r="AM804" s="36"/>
      <c r="AN804" s="36"/>
    </row>
    <row r="805" spans="1:40" ht="15.75" x14ac:dyDescent="0.25">
      <c r="A805" s="44"/>
      <c r="B805" s="36"/>
      <c r="C805" s="36"/>
      <c r="D805" s="36"/>
      <c r="E805" s="36"/>
      <c r="F805" s="36"/>
      <c r="G805" s="36"/>
      <c r="H805" s="36"/>
      <c r="I805" s="36"/>
      <c r="J805" s="105"/>
      <c r="K805" s="36"/>
      <c r="L805" s="36"/>
      <c r="M805" s="36"/>
      <c r="N805" s="105"/>
      <c r="O805" s="36"/>
      <c r="P805" s="36"/>
      <c r="Q805" s="36"/>
      <c r="R805" s="105"/>
      <c r="S805" s="36"/>
      <c r="T805" s="36"/>
      <c r="U805" s="36"/>
      <c r="V805" s="36"/>
      <c r="W805" s="36"/>
      <c r="X805" s="36"/>
      <c r="Y805" s="36"/>
      <c r="Z805" s="36"/>
      <c r="AA805" s="36"/>
      <c r="AB805" s="42"/>
      <c r="AC805" s="42"/>
      <c r="AD805" s="36"/>
      <c r="AE805" s="36"/>
      <c r="AF805" s="42"/>
      <c r="AG805" s="42"/>
      <c r="AH805" s="36"/>
      <c r="AI805" s="36"/>
      <c r="AJ805" s="36"/>
      <c r="AK805" s="36"/>
      <c r="AL805" s="36"/>
      <c r="AM805" s="36"/>
      <c r="AN805" s="36"/>
    </row>
    <row r="806" spans="1:40" ht="15.75" x14ac:dyDescent="0.25">
      <c r="A806" s="44"/>
      <c r="B806" s="36"/>
      <c r="C806" s="36"/>
      <c r="D806" s="36"/>
      <c r="E806" s="36"/>
      <c r="F806" s="36"/>
      <c r="G806" s="36"/>
      <c r="H806" s="36"/>
      <c r="I806" s="36"/>
      <c r="J806" s="105"/>
      <c r="K806" s="36"/>
      <c r="L806" s="36"/>
      <c r="M806" s="36"/>
      <c r="N806" s="105"/>
      <c r="O806" s="36"/>
      <c r="P806" s="36"/>
      <c r="Q806" s="36"/>
      <c r="R806" s="105"/>
      <c r="S806" s="36"/>
      <c r="T806" s="36"/>
      <c r="U806" s="36"/>
      <c r="V806" s="36"/>
      <c r="W806" s="36"/>
      <c r="X806" s="36"/>
      <c r="Y806" s="36"/>
      <c r="Z806" s="36"/>
      <c r="AA806" s="36"/>
      <c r="AB806" s="42"/>
      <c r="AC806" s="42"/>
      <c r="AD806" s="36"/>
      <c r="AE806" s="36"/>
      <c r="AF806" s="42"/>
      <c r="AG806" s="42"/>
      <c r="AH806" s="36"/>
      <c r="AI806" s="36"/>
      <c r="AJ806" s="36"/>
      <c r="AK806" s="36"/>
      <c r="AL806" s="36"/>
      <c r="AM806" s="36"/>
      <c r="AN806" s="36"/>
    </row>
    <row r="807" spans="1:40" ht="15.75" x14ac:dyDescent="0.25">
      <c r="A807" s="44"/>
      <c r="B807" s="36"/>
      <c r="C807" s="36"/>
      <c r="D807" s="36"/>
      <c r="E807" s="36"/>
      <c r="F807" s="36"/>
      <c r="G807" s="36"/>
      <c r="H807" s="36"/>
      <c r="I807" s="36"/>
      <c r="J807" s="105"/>
      <c r="K807" s="36"/>
      <c r="L807" s="36"/>
      <c r="M807" s="36"/>
      <c r="N807" s="105"/>
      <c r="O807" s="36"/>
      <c r="P807" s="36"/>
      <c r="Q807" s="36"/>
      <c r="R807" s="105"/>
      <c r="S807" s="36"/>
      <c r="T807" s="36"/>
      <c r="U807" s="36"/>
      <c r="V807" s="36"/>
      <c r="W807" s="36"/>
      <c r="X807" s="36"/>
      <c r="Y807" s="36"/>
      <c r="Z807" s="36"/>
      <c r="AA807" s="36"/>
      <c r="AB807" s="42"/>
      <c r="AC807" s="42"/>
      <c r="AD807" s="36"/>
      <c r="AE807" s="36"/>
      <c r="AF807" s="42"/>
      <c r="AG807" s="42"/>
      <c r="AH807" s="36"/>
      <c r="AI807" s="36"/>
      <c r="AJ807" s="36"/>
      <c r="AK807" s="36"/>
      <c r="AL807" s="36"/>
      <c r="AM807" s="36"/>
      <c r="AN807" s="36"/>
    </row>
    <row r="808" spans="1:40" ht="15.75" x14ac:dyDescent="0.25">
      <c r="A808" s="44"/>
      <c r="B808" s="36"/>
      <c r="C808" s="36"/>
      <c r="D808" s="36"/>
      <c r="E808" s="36"/>
      <c r="F808" s="36"/>
      <c r="G808" s="36"/>
      <c r="H808" s="36"/>
      <c r="I808" s="36"/>
      <c r="J808" s="105"/>
      <c r="K808" s="36"/>
      <c r="L808" s="36"/>
      <c r="M808" s="36"/>
      <c r="N808" s="105"/>
      <c r="O808" s="36"/>
      <c r="P808" s="36"/>
      <c r="Q808" s="36"/>
      <c r="R808" s="105"/>
      <c r="S808" s="36"/>
      <c r="T808" s="36"/>
      <c r="U808" s="36"/>
      <c r="V808" s="36"/>
      <c r="W808" s="36"/>
      <c r="X808" s="36"/>
      <c r="Y808" s="36"/>
      <c r="Z808" s="36"/>
      <c r="AA808" s="36"/>
      <c r="AB808" s="42"/>
      <c r="AC808" s="42"/>
      <c r="AD808" s="36"/>
      <c r="AE808" s="36"/>
      <c r="AF808" s="42"/>
      <c r="AG808" s="42"/>
      <c r="AH808" s="36"/>
      <c r="AI808" s="36"/>
      <c r="AJ808" s="36"/>
      <c r="AK808" s="36"/>
      <c r="AL808" s="36"/>
      <c r="AM808" s="36"/>
      <c r="AN808" s="36"/>
    </row>
    <row r="809" spans="1:40" ht="15.75" x14ac:dyDescent="0.25">
      <c r="A809" s="44"/>
      <c r="B809" s="36"/>
      <c r="C809" s="36"/>
      <c r="D809" s="36"/>
      <c r="E809" s="36"/>
      <c r="F809" s="36"/>
      <c r="G809" s="36"/>
      <c r="H809" s="36"/>
      <c r="I809" s="36"/>
      <c r="J809" s="105"/>
      <c r="K809" s="36"/>
      <c r="L809" s="36"/>
      <c r="M809" s="36"/>
      <c r="N809" s="105"/>
      <c r="O809" s="36"/>
      <c r="P809" s="36"/>
      <c r="Q809" s="36"/>
      <c r="R809" s="105"/>
      <c r="S809" s="36"/>
      <c r="T809" s="36"/>
      <c r="U809" s="36"/>
      <c r="V809" s="36"/>
      <c r="W809" s="36"/>
      <c r="X809" s="36"/>
      <c r="Y809" s="36"/>
      <c r="Z809" s="36"/>
      <c r="AA809" s="36"/>
      <c r="AB809" s="42"/>
      <c r="AC809" s="42"/>
      <c r="AD809" s="36"/>
      <c r="AE809" s="36"/>
      <c r="AF809" s="42"/>
      <c r="AG809" s="42"/>
      <c r="AH809" s="36"/>
      <c r="AI809" s="36"/>
      <c r="AJ809" s="36"/>
      <c r="AK809" s="36"/>
      <c r="AL809" s="36"/>
      <c r="AM809" s="36"/>
      <c r="AN809" s="36"/>
    </row>
    <row r="810" spans="1:40" ht="15.75" x14ac:dyDescent="0.25">
      <c r="A810" s="44"/>
      <c r="B810" s="36"/>
      <c r="C810" s="36"/>
      <c r="D810" s="36"/>
      <c r="E810" s="36"/>
      <c r="F810" s="36"/>
      <c r="G810" s="36"/>
      <c r="H810" s="36"/>
      <c r="I810" s="36"/>
      <c r="J810" s="105"/>
      <c r="K810" s="36"/>
      <c r="L810" s="36"/>
      <c r="M810" s="36"/>
      <c r="N810" s="105"/>
      <c r="O810" s="36"/>
      <c r="P810" s="36"/>
      <c r="Q810" s="36"/>
      <c r="R810" s="105"/>
      <c r="S810" s="36"/>
      <c r="T810" s="36"/>
      <c r="U810" s="36"/>
      <c r="V810" s="36"/>
      <c r="W810" s="36"/>
      <c r="X810" s="36"/>
      <c r="Y810" s="36"/>
      <c r="Z810" s="36"/>
      <c r="AA810" s="36"/>
      <c r="AB810" s="42"/>
      <c r="AC810" s="42"/>
      <c r="AD810" s="36"/>
      <c r="AE810" s="36"/>
      <c r="AF810" s="42"/>
      <c r="AG810" s="42"/>
      <c r="AH810" s="36"/>
      <c r="AI810" s="36"/>
      <c r="AJ810" s="36"/>
      <c r="AK810" s="36"/>
      <c r="AL810" s="36"/>
      <c r="AM810" s="36"/>
      <c r="AN810" s="36"/>
    </row>
    <row r="811" spans="1:40" ht="15.75" x14ac:dyDescent="0.25">
      <c r="A811" s="44"/>
      <c r="B811" s="36"/>
      <c r="C811" s="36"/>
      <c r="D811" s="36"/>
      <c r="E811" s="36"/>
      <c r="F811" s="36"/>
      <c r="G811" s="36"/>
      <c r="H811" s="36"/>
      <c r="I811" s="36"/>
      <c r="J811" s="105"/>
      <c r="K811" s="36"/>
      <c r="L811" s="36"/>
      <c r="M811" s="36"/>
      <c r="N811" s="105"/>
      <c r="O811" s="36"/>
      <c r="P811" s="36"/>
      <c r="Q811" s="36"/>
      <c r="R811" s="105"/>
      <c r="S811" s="36"/>
      <c r="T811" s="36"/>
      <c r="U811" s="36"/>
      <c r="V811" s="36"/>
      <c r="W811" s="36"/>
      <c r="X811" s="36"/>
      <c r="Y811" s="36"/>
      <c r="Z811" s="36"/>
      <c r="AA811" s="36"/>
      <c r="AB811" s="42"/>
      <c r="AC811" s="42"/>
      <c r="AD811" s="36"/>
      <c r="AE811" s="36"/>
      <c r="AF811" s="42"/>
      <c r="AG811" s="42"/>
      <c r="AH811" s="36"/>
      <c r="AI811" s="36"/>
      <c r="AJ811" s="36"/>
      <c r="AK811" s="36"/>
      <c r="AL811" s="36"/>
      <c r="AM811" s="36"/>
      <c r="AN811" s="36"/>
    </row>
    <row r="812" spans="1:40" ht="15.75" x14ac:dyDescent="0.25">
      <c r="A812" s="44"/>
      <c r="B812" s="36"/>
      <c r="C812" s="36"/>
      <c r="D812" s="36"/>
      <c r="E812" s="36"/>
      <c r="F812" s="36"/>
      <c r="G812" s="36"/>
      <c r="H812" s="36"/>
      <c r="I812" s="36"/>
      <c r="J812" s="105"/>
      <c r="K812" s="36"/>
      <c r="L812" s="36"/>
      <c r="M812" s="36"/>
      <c r="N812" s="105"/>
      <c r="O812" s="36"/>
      <c r="P812" s="36"/>
      <c r="Q812" s="36"/>
      <c r="R812" s="105"/>
      <c r="S812" s="36"/>
      <c r="T812" s="36"/>
      <c r="U812" s="36"/>
      <c r="V812" s="36"/>
      <c r="W812" s="36"/>
      <c r="X812" s="36"/>
      <c r="Y812" s="36"/>
      <c r="Z812" s="36"/>
      <c r="AA812" s="36"/>
      <c r="AB812" s="42"/>
      <c r="AC812" s="42"/>
      <c r="AD812" s="36"/>
      <c r="AE812" s="36"/>
      <c r="AF812" s="42"/>
      <c r="AG812" s="42"/>
      <c r="AH812" s="36"/>
      <c r="AI812" s="36"/>
      <c r="AJ812" s="36"/>
      <c r="AK812" s="36"/>
      <c r="AL812" s="36"/>
      <c r="AM812" s="36"/>
      <c r="AN812" s="36"/>
    </row>
    <row r="813" spans="1:40" ht="15.75" x14ac:dyDescent="0.25">
      <c r="A813" s="44"/>
      <c r="B813" s="36"/>
      <c r="C813" s="36"/>
      <c r="D813" s="36"/>
      <c r="E813" s="36"/>
      <c r="F813" s="36"/>
      <c r="G813" s="36"/>
      <c r="H813" s="36"/>
      <c r="I813" s="36"/>
      <c r="J813" s="105"/>
      <c r="K813" s="36"/>
      <c r="L813" s="36"/>
      <c r="M813" s="36"/>
      <c r="N813" s="105"/>
      <c r="O813" s="36"/>
      <c r="P813" s="36"/>
      <c r="Q813" s="36"/>
      <c r="R813" s="105"/>
      <c r="S813" s="36"/>
      <c r="T813" s="36"/>
      <c r="U813" s="36"/>
      <c r="V813" s="36"/>
      <c r="W813" s="36"/>
      <c r="X813" s="36"/>
      <c r="Y813" s="36"/>
      <c r="Z813" s="36"/>
      <c r="AA813" s="36"/>
      <c r="AB813" s="42"/>
      <c r="AC813" s="42"/>
      <c r="AD813" s="36"/>
      <c r="AE813" s="36"/>
      <c r="AF813" s="42"/>
      <c r="AG813" s="42"/>
      <c r="AH813" s="36"/>
      <c r="AI813" s="36"/>
      <c r="AJ813" s="36"/>
      <c r="AK813" s="36"/>
      <c r="AL813" s="36"/>
      <c r="AM813" s="36"/>
      <c r="AN813" s="36"/>
    </row>
    <row r="814" spans="1:40" ht="15.75" x14ac:dyDescent="0.25">
      <c r="A814" s="44"/>
      <c r="B814" s="36"/>
      <c r="C814" s="36"/>
      <c r="D814" s="36"/>
      <c r="E814" s="36"/>
      <c r="F814" s="36"/>
      <c r="G814" s="36"/>
      <c r="H814" s="36"/>
      <c r="I814" s="36"/>
      <c r="J814" s="105"/>
      <c r="K814" s="36"/>
      <c r="L814" s="36"/>
      <c r="M814" s="36"/>
      <c r="N814" s="105"/>
      <c r="O814" s="36"/>
      <c r="P814" s="36"/>
      <c r="Q814" s="36"/>
      <c r="R814" s="105"/>
      <c r="S814" s="36"/>
      <c r="T814" s="36"/>
      <c r="U814" s="36"/>
      <c r="V814" s="36"/>
      <c r="W814" s="36"/>
      <c r="X814" s="36"/>
      <c r="Y814" s="36"/>
      <c r="Z814" s="36"/>
      <c r="AA814" s="36"/>
      <c r="AB814" s="42"/>
      <c r="AC814" s="42"/>
      <c r="AD814" s="36"/>
      <c r="AE814" s="36"/>
      <c r="AF814" s="42"/>
      <c r="AG814" s="42"/>
      <c r="AH814" s="36"/>
      <c r="AI814" s="36"/>
      <c r="AJ814" s="36"/>
      <c r="AK814" s="36"/>
      <c r="AL814" s="36"/>
      <c r="AM814" s="36"/>
      <c r="AN814" s="36"/>
    </row>
    <row r="815" spans="1:40" ht="15.75" x14ac:dyDescent="0.25">
      <c r="A815" s="44"/>
      <c r="B815" s="36"/>
      <c r="C815" s="36"/>
      <c r="D815" s="36"/>
      <c r="E815" s="36"/>
      <c r="F815" s="36"/>
      <c r="G815" s="36"/>
      <c r="H815" s="36"/>
      <c r="I815" s="36"/>
      <c r="J815" s="105"/>
      <c r="K815" s="36"/>
      <c r="L815" s="36"/>
      <c r="M815" s="36"/>
      <c r="N815" s="105"/>
      <c r="O815" s="36"/>
      <c r="P815" s="36"/>
      <c r="Q815" s="36"/>
      <c r="R815" s="105"/>
      <c r="S815" s="36"/>
      <c r="T815" s="36"/>
      <c r="U815" s="36"/>
      <c r="V815" s="36"/>
      <c r="W815" s="36"/>
      <c r="X815" s="36"/>
      <c r="Y815" s="36"/>
      <c r="Z815" s="36"/>
      <c r="AA815" s="36"/>
      <c r="AB815" s="42"/>
      <c r="AC815" s="42"/>
      <c r="AD815" s="36"/>
      <c r="AE815" s="36"/>
      <c r="AF815" s="42"/>
      <c r="AG815" s="42"/>
      <c r="AH815" s="36"/>
      <c r="AI815" s="36"/>
      <c r="AJ815" s="36"/>
      <c r="AK815" s="36"/>
      <c r="AL815" s="36"/>
      <c r="AM815" s="36"/>
      <c r="AN815" s="36"/>
    </row>
    <row r="816" spans="1:40" ht="15.75" x14ac:dyDescent="0.25">
      <c r="A816" s="44"/>
      <c r="B816" s="36"/>
      <c r="C816" s="36"/>
      <c r="D816" s="36"/>
      <c r="E816" s="36"/>
      <c r="F816" s="36"/>
      <c r="G816" s="36"/>
      <c r="H816" s="36"/>
      <c r="I816" s="36"/>
      <c r="J816" s="105"/>
      <c r="K816" s="36"/>
      <c r="L816" s="36"/>
      <c r="M816" s="36"/>
      <c r="N816" s="105"/>
      <c r="O816" s="36"/>
      <c r="P816" s="36"/>
      <c r="Q816" s="36"/>
      <c r="R816" s="105"/>
      <c r="S816" s="36"/>
      <c r="T816" s="36"/>
      <c r="U816" s="36"/>
      <c r="V816" s="36"/>
      <c r="W816" s="36"/>
      <c r="X816" s="36"/>
      <c r="Y816" s="36"/>
      <c r="Z816" s="36"/>
      <c r="AA816" s="36"/>
      <c r="AB816" s="42"/>
      <c r="AC816" s="42"/>
      <c r="AD816" s="36"/>
      <c r="AE816" s="36"/>
      <c r="AF816" s="42"/>
      <c r="AG816" s="42"/>
      <c r="AH816" s="36"/>
      <c r="AI816" s="36"/>
      <c r="AJ816" s="36"/>
      <c r="AK816" s="36"/>
      <c r="AL816" s="36"/>
      <c r="AM816" s="36"/>
      <c r="AN816" s="36"/>
    </row>
    <row r="817" spans="1:40" ht="15.75" x14ac:dyDescent="0.25">
      <c r="A817" s="44"/>
      <c r="B817" s="36"/>
      <c r="C817" s="36"/>
      <c r="D817" s="36"/>
      <c r="E817" s="36"/>
      <c r="F817" s="36"/>
      <c r="G817" s="36"/>
      <c r="H817" s="36"/>
      <c r="I817" s="36"/>
      <c r="J817" s="105"/>
      <c r="K817" s="36"/>
      <c r="L817" s="36"/>
      <c r="M817" s="36"/>
      <c r="N817" s="105"/>
      <c r="O817" s="36"/>
      <c r="P817" s="36"/>
      <c r="Q817" s="36"/>
      <c r="R817" s="105"/>
      <c r="S817" s="36"/>
      <c r="T817" s="36"/>
      <c r="U817" s="36"/>
      <c r="V817" s="36"/>
      <c r="W817" s="36"/>
      <c r="X817" s="36"/>
      <c r="Y817" s="36"/>
      <c r="Z817" s="36"/>
      <c r="AA817" s="36"/>
      <c r="AB817" s="42"/>
      <c r="AC817" s="42"/>
      <c r="AD817" s="36"/>
      <c r="AE817" s="36"/>
      <c r="AF817" s="42"/>
      <c r="AG817" s="42"/>
      <c r="AH817" s="36"/>
      <c r="AI817" s="36"/>
      <c r="AJ817" s="36"/>
      <c r="AK817" s="36"/>
      <c r="AL817" s="36"/>
      <c r="AM817" s="36"/>
      <c r="AN817" s="36"/>
    </row>
    <row r="818" spans="1:40" ht="15.75" x14ac:dyDescent="0.25">
      <c r="A818" s="44"/>
      <c r="B818" s="36"/>
      <c r="C818" s="36"/>
      <c r="D818" s="36"/>
      <c r="E818" s="36"/>
      <c r="F818" s="36"/>
      <c r="G818" s="36"/>
      <c r="H818" s="36"/>
      <c r="I818" s="36"/>
      <c r="J818" s="105"/>
      <c r="K818" s="36"/>
      <c r="L818" s="36"/>
      <c r="M818" s="36"/>
      <c r="N818" s="105"/>
      <c r="O818" s="36"/>
      <c r="P818" s="36"/>
      <c r="Q818" s="36"/>
      <c r="R818" s="105"/>
      <c r="S818" s="36"/>
      <c r="T818" s="36"/>
      <c r="U818" s="36"/>
      <c r="V818" s="36"/>
      <c r="W818" s="36"/>
      <c r="X818" s="36"/>
      <c r="Y818" s="36"/>
      <c r="Z818" s="36"/>
      <c r="AA818" s="36"/>
      <c r="AB818" s="42"/>
      <c r="AC818" s="42"/>
      <c r="AD818" s="36"/>
      <c r="AE818" s="36"/>
      <c r="AF818" s="42"/>
      <c r="AG818" s="42"/>
      <c r="AH818" s="36"/>
      <c r="AI818" s="36"/>
      <c r="AJ818" s="36"/>
      <c r="AK818" s="36"/>
      <c r="AL818" s="36"/>
      <c r="AM818" s="36"/>
      <c r="AN818" s="36"/>
    </row>
    <row r="819" spans="1:40" ht="15.75" x14ac:dyDescent="0.25">
      <c r="A819" s="44"/>
      <c r="B819" s="36"/>
      <c r="C819" s="36"/>
      <c r="D819" s="36"/>
      <c r="E819" s="36"/>
      <c r="F819" s="36"/>
      <c r="G819" s="36"/>
      <c r="H819" s="36"/>
      <c r="I819" s="36"/>
      <c r="J819" s="105"/>
      <c r="K819" s="36"/>
      <c r="L819" s="36"/>
      <c r="M819" s="36"/>
      <c r="N819" s="105"/>
      <c r="O819" s="36"/>
      <c r="P819" s="36"/>
      <c r="Q819" s="36"/>
      <c r="R819" s="105"/>
      <c r="S819" s="36"/>
      <c r="T819" s="36"/>
      <c r="U819" s="36"/>
      <c r="V819" s="36"/>
      <c r="W819" s="36"/>
      <c r="X819" s="36"/>
      <c r="Y819" s="36"/>
      <c r="Z819" s="36"/>
      <c r="AA819" s="36"/>
      <c r="AB819" s="42"/>
      <c r="AC819" s="42"/>
      <c r="AD819" s="36"/>
      <c r="AE819" s="36"/>
      <c r="AF819" s="42"/>
      <c r="AG819" s="42"/>
      <c r="AH819" s="36"/>
      <c r="AI819" s="36"/>
      <c r="AJ819" s="36"/>
      <c r="AK819" s="36"/>
      <c r="AL819" s="36"/>
      <c r="AM819" s="36"/>
      <c r="AN819" s="36"/>
    </row>
    <row r="820" spans="1:40" ht="15.75" x14ac:dyDescent="0.25">
      <c r="A820" s="44"/>
      <c r="B820" s="36"/>
      <c r="C820" s="36"/>
      <c r="D820" s="36"/>
      <c r="E820" s="36"/>
      <c r="F820" s="36"/>
      <c r="G820" s="36"/>
      <c r="H820" s="36"/>
      <c r="I820" s="36"/>
      <c r="J820" s="105"/>
      <c r="K820" s="36"/>
      <c r="L820" s="36"/>
      <c r="M820" s="36"/>
      <c r="N820" s="105"/>
      <c r="O820" s="36"/>
      <c r="P820" s="36"/>
      <c r="Q820" s="36"/>
      <c r="R820" s="105"/>
      <c r="S820" s="36"/>
      <c r="T820" s="36"/>
      <c r="U820" s="36"/>
      <c r="V820" s="36"/>
      <c r="W820" s="36"/>
      <c r="X820" s="36"/>
      <c r="Y820" s="36"/>
      <c r="Z820" s="36"/>
      <c r="AA820" s="36"/>
      <c r="AB820" s="42"/>
      <c r="AC820" s="42"/>
      <c r="AD820" s="36"/>
      <c r="AE820" s="36"/>
      <c r="AF820" s="42"/>
      <c r="AG820" s="42"/>
      <c r="AH820" s="36"/>
      <c r="AI820" s="36"/>
      <c r="AJ820" s="36"/>
      <c r="AK820" s="36"/>
      <c r="AL820" s="36"/>
      <c r="AM820" s="36"/>
      <c r="AN820" s="36"/>
    </row>
    <row r="821" spans="1:40" ht="15.75" x14ac:dyDescent="0.25">
      <c r="A821" s="44"/>
      <c r="B821" s="36"/>
      <c r="C821" s="36"/>
      <c r="D821" s="36"/>
      <c r="E821" s="36"/>
      <c r="F821" s="36"/>
      <c r="G821" s="36"/>
      <c r="H821" s="36"/>
      <c r="I821" s="36"/>
      <c r="J821" s="105"/>
      <c r="K821" s="36"/>
      <c r="L821" s="36"/>
      <c r="M821" s="36"/>
      <c r="N821" s="105"/>
      <c r="O821" s="36"/>
      <c r="P821" s="36"/>
      <c r="Q821" s="36"/>
      <c r="R821" s="105"/>
      <c r="S821" s="36"/>
      <c r="T821" s="36"/>
      <c r="U821" s="36"/>
      <c r="V821" s="36"/>
      <c r="W821" s="36"/>
      <c r="X821" s="36"/>
      <c r="Y821" s="36"/>
      <c r="Z821" s="36"/>
      <c r="AA821" s="36"/>
      <c r="AB821" s="42"/>
      <c r="AC821" s="42"/>
      <c r="AD821" s="36"/>
      <c r="AE821" s="36"/>
      <c r="AF821" s="42"/>
      <c r="AG821" s="42"/>
      <c r="AH821" s="36"/>
      <c r="AI821" s="36"/>
      <c r="AJ821" s="36"/>
      <c r="AK821" s="36"/>
      <c r="AL821" s="36"/>
      <c r="AM821" s="36"/>
      <c r="AN821" s="36"/>
    </row>
    <row r="822" spans="1:40" ht="15.75" x14ac:dyDescent="0.25">
      <c r="A822" s="44"/>
      <c r="B822" s="36"/>
      <c r="C822" s="36"/>
      <c r="D822" s="36"/>
      <c r="E822" s="36"/>
      <c r="F822" s="36"/>
      <c r="G822" s="36"/>
      <c r="H822" s="36"/>
      <c r="I822" s="36"/>
      <c r="J822" s="105"/>
      <c r="K822" s="36"/>
      <c r="L822" s="36"/>
      <c r="M822" s="36"/>
      <c r="N822" s="105"/>
      <c r="O822" s="36"/>
      <c r="P822" s="36"/>
      <c r="Q822" s="36"/>
      <c r="R822" s="105"/>
      <c r="S822" s="36"/>
      <c r="T822" s="36"/>
      <c r="U822" s="36"/>
      <c r="V822" s="36"/>
      <c r="W822" s="36"/>
      <c r="X822" s="36"/>
      <c r="Y822" s="36"/>
      <c r="Z822" s="36"/>
      <c r="AA822" s="36"/>
      <c r="AB822" s="42"/>
      <c r="AC822" s="42"/>
      <c r="AD822" s="36"/>
      <c r="AE822" s="36"/>
      <c r="AF822" s="42"/>
      <c r="AG822" s="42"/>
      <c r="AH822" s="36"/>
      <c r="AI822" s="36"/>
      <c r="AJ822" s="36"/>
      <c r="AK822" s="36"/>
      <c r="AL822" s="36"/>
      <c r="AM822" s="36"/>
      <c r="AN822" s="36"/>
    </row>
    <row r="823" spans="1:40" ht="15.75" x14ac:dyDescent="0.25">
      <c r="A823" s="44"/>
      <c r="B823" s="36"/>
      <c r="C823" s="36"/>
      <c r="D823" s="36"/>
      <c r="E823" s="36"/>
      <c r="F823" s="36"/>
      <c r="G823" s="36"/>
      <c r="H823" s="36"/>
      <c r="I823" s="36"/>
      <c r="J823" s="105"/>
      <c r="K823" s="36"/>
      <c r="L823" s="36"/>
      <c r="M823" s="36"/>
      <c r="N823" s="105"/>
      <c r="O823" s="36"/>
      <c r="P823" s="36"/>
      <c r="Q823" s="36"/>
      <c r="R823" s="105"/>
      <c r="S823" s="36"/>
      <c r="T823" s="36"/>
      <c r="U823" s="36"/>
      <c r="V823" s="36"/>
      <c r="W823" s="36"/>
      <c r="X823" s="36"/>
      <c r="Y823" s="36"/>
      <c r="Z823" s="36"/>
      <c r="AA823" s="36"/>
      <c r="AB823" s="42"/>
      <c r="AC823" s="42"/>
      <c r="AD823" s="36"/>
      <c r="AE823" s="36"/>
      <c r="AF823" s="42"/>
      <c r="AG823" s="42"/>
      <c r="AH823" s="36"/>
      <c r="AI823" s="36"/>
      <c r="AJ823" s="36"/>
      <c r="AK823" s="36"/>
      <c r="AL823" s="36"/>
      <c r="AM823" s="36"/>
      <c r="AN823" s="36"/>
    </row>
    <row r="824" spans="1:40" ht="15.75" x14ac:dyDescent="0.25">
      <c r="A824" s="44"/>
      <c r="B824" s="36"/>
      <c r="C824" s="36"/>
      <c r="D824" s="36"/>
      <c r="E824" s="36"/>
      <c r="F824" s="36"/>
      <c r="G824" s="36"/>
      <c r="H824" s="36"/>
      <c r="I824" s="36"/>
      <c r="J824" s="105"/>
      <c r="K824" s="36"/>
      <c r="L824" s="36"/>
      <c r="M824" s="36"/>
      <c r="N824" s="105"/>
      <c r="O824" s="36"/>
      <c r="P824" s="36"/>
      <c r="Q824" s="36"/>
      <c r="R824" s="105"/>
      <c r="S824" s="36"/>
      <c r="T824" s="36"/>
      <c r="U824" s="36"/>
      <c r="V824" s="36"/>
      <c r="W824" s="36"/>
      <c r="X824" s="36"/>
      <c r="Y824" s="36"/>
      <c r="Z824" s="36"/>
      <c r="AA824" s="36"/>
      <c r="AB824" s="42"/>
      <c r="AC824" s="42"/>
      <c r="AD824" s="36"/>
      <c r="AE824" s="36"/>
      <c r="AF824" s="42"/>
      <c r="AG824" s="42"/>
      <c r="AH824" s="36"/>
      <c r="AI824" s="36"/>
      <c r="AJ824" s="36"/>
      <c r="AK824" s="36"/>
      <c r="AL824" s="36"/>
      <c r="AM824" s="36"/>
      <c r="AN824" s="36"/>
    </row>
    <row r="825" spans="1:40" ht="15.75" x14ac:dyDescent="0.25">
      <c r="A825" s="44"/>
      <c r="B825" s="36"/>
      <c r="C825" s="36"/>
      <c r="D825" s="36"/>
      <c r="E825" s="36"/>
      <c r="F825" s="36"/>
      <c r="G825" s="36"/>
      <c r="H825" s="36"/>
      <c r="I825" s="36"/>
      <c r="J825" s="105"/>
      <c r="K825" s="36"/>
      <c r="L825" s="36"/>
      <c r="M825" s="36"/>
      <c r="N825" s="105"/>
      <c r="O825" s="36"/>
      <c r="P825" s="36"/>
      <c r="Q825" s="36"/>
      <c r="R825" s="105"/>
      <c r="S825" s="36"/>
      <c r="T825" s="36"/>
      <c r="U825" s="36"/>
      <c r="V825" s="36"/>
      <c r="W825" s="36"/>
      <c r="X825" s="36"/>
      <c r="Y825" s="36"/>
      <c r="Z825" s="36"/>
      <c r="AA825" s="36"/>
      <c r="AB825" s="42"/>
      <c r="AC825" s="42"/>
      <c r="AD825" s="36"/>
      <c r="AE825" s="36"/>
      <c r="AF825" s="42"/>
      <c r="AG825" s="42"/>
      <c r="AH825" s="36"/>
      <c r="AI825" s="36"/>
      <c r="AJ825" s="36"/>
      <c r="AK825" s="36"/>
      <c r="AL825" s="36"/>
      <c r="AM825" s="36"/>
      <c r="AN825" s="36"/>
    </row>
    <row r="826" spans="1:40" ht="15.75" x14ac:dyDescent="0.25">
      <c r="A826" s="44"/>
      <c r="B826" s="36"/>
      <c r="C826" s="36"/>
      <c r="D826" s="36"/>
      <c r="E826" s="36"/>
      <c r="F826" s="36"/>
      <c r="G826" s="36"/>
      <c r="H826" s="36"/>
      <c r="I826" s="36"/>
      <c r="J826" s="105"/>
      <c r="K826" s="36"/>
      <c r="L826" s="36"/>
      <c r="M826" s="36"/>
      <c r="N826" s="105"/>
      <c r="O826" s="36"/>
      <c r="P826" s="36"/>
      <c r="Q826" s="36"/>
      <c r="R826" s="105"/>
      <c r="S826" s="36"/>
      <c r="T826" s="36"/>
      <c r="U826" s="36"/>
      <c r="V826" s="36"/>
      <c r="W826" s="36"/>
      <c r="X826" s="36"/>
      <c r="Y826" s="36"/>
      <c r="Z826" s="36"/>
      <c r="AA826" s="36"/>
      <c r="AB826" s="42"/>
      <c r="AC826" s="42"/>
      <c r="AD826" s="36"/>
      <c r="AE826" s="36"/>
      <c r="AF826" s="42"/>
      <c r="AG826" s="42"/>
      <c r="AH826" s="36"/>
      <c r="AI826" s="36"/>
      <c r="AJ826" s="36"/>
      <c r="AK826" s="36"/>
      <c r="AL826" s="36"/>
      <c r="AM826" s="36"/>
      <c r="AN826" s="36"/>
    </row>
    <row r="827" spans="1:40" ht="15.75" x14ac:dyDescent="0.25">
      <c r="A827" s="44"/>
      <c r="B827" s="36"/>
      <c r="C827" s="36"/>
      <c r="D827" s="36"/>
      <c r="E827" s="36"/>
      <c r="F827" s="36"/>
      <c r="G827" s="36"/>
      <c r="H827" s="36"/>
      <c r="I827" s="36"/>
      <c r="J827" s="105"/>
      <c r="K827" s="36"/>
      <c r="L827" s="36"/>
      <c r="M827" s="36"/>
      <c r="N827" s="105"/>
      <c r="O827" s="36"/>
      <c r="P827" s="36"/>
      <c r="Q827" s="36"/>
      <c r="R827" s="105"/>
      <c r="S827" s="36"/>
      <c r="T827" s="36"/>
      <c r="U827" s="36"/>
      <c r="V827" s="36"/>
      <c r="W827" s="36"/>
      <c r="X827" s="36"/>
      <c r="Y827" s="36"/>
      <c r="Z827" s="36"/>
      <c r="AA827" s="36"/>
      <c r="AB827" s="42"/>
      <c r="AC827" s="42"/>
      <c r="AD827" s="36"/>
      <c r="AE827" s="36"/>
      <c r="AF827" s="42"/>
      <c r="AG827" s="42"/>
      <c r="AH827" s="36"/>
      <c r="AI827" s="36"/>
      <c r="AJ827" s="36"/>
      <c r="AK827" s="36"/>
      <c r="AL827" s="36"/>
      <c r="AM827" s="36"/>
      <c r="AN827" s="36"/>
    </row>
    <row r="828" spans="1:40" ht="15.75" x14ac:dyDescent="0.25">
      <c r="A828" s="44"/>
      <c r="B828" s="36"/>
      <c r="C828" s="36"/>
      <c r="D828" s="36"/>
      <c r="E828" s="36"/>
      <c r="F828" s="36"/>
      <c r="G828" s="36"/>
      <c r="H828" s="36"/>
      <c r="I828" s="36"/>
      <c r="J828" s="105"/>
      <c r="K828" s="36"/>
      <c r="L828" s="36"/>
      <c r="M828" s="36"/>
      <c r="N828" s="105"/>
      <c r="O828" s="36"/>
      <c r="P828" s="36"/>
      <c r="Q828" s="36"/>
      <c r="R828" s="105"/>
      <c r="S828" s="36"/>
      <c r="T828" s="36"/>
      <c r="U828" s="36"/>
      <c r="V828" s="36"/>
      <c r="W828" s="36"/>
      <c r="X828" s="36"/>
      <c r="Y828" s="36"/>
      <c r="Z828" s="36"/>
      <c r="AA828" s="36"/>
      <c r="AB828" s="42"/>
      <c r="AC828" s="42"/>
      <c r="AD828" s="36"/>
      <c r="AE828" s="36"/>
      <c r="AF828" s="42"/>
      <c r="AG828" s="42"/>
      <c r="AH828" s="36"/>
      <c r="AI828" s="36"/>
      <c r="AJ828" s="36"/>
      <c r="AK828" s="36"/>
      <c r="AL828" s="36"/>
      <c r="AM828" s="36"/>
      <c r="AN828" s="36"/>
    </row>
    <row r="829" spans="1:40" ht="15.75" x14ac:dyDescent="0.25">
      <c r="A829" s="44"/>
      <c r="B829" s="36"/>
      <c r="C829" s="36"/>
      <c r="D829" s="36"/>
      <c r="E829" s="36"/>
      <c r="F829" s="36"/>
      <c r="G829" s="36"/>
      <c r="H829" s="36"/>
      <c r="I829" s="36"/>
      <c r="J829" s="105"/>
      <c r="K829" s="36"/>
      <c r="L829" s="36"/>
      <c r="M829" s="36"/>
      <c r="N829" s="105"/>
      <c r="O829" s="36"/>
      <c r="P829" s="36"/>
      <c r="Q829" s="36"/>
      <c r="R829" s="105"/>
      <c r="S829" s="36"/>
      <c r="T829" s="36"/>
      <c r="U829" s="36"/>
      <c r="V829" s="36"/>
      <c r="W829" s="36"/>
      <c r="X829" s="36"/>
      <c r="Y829" s="36"/>
      <c r="Z829" s="36"/>
      <c r="AA829" s="36"/>
      <c r="AB829" s="42"/>
      <c r="AC829" s="42"/>
      <c r="AD829" s="36"/>
      <c r="AE829" s="36"/>
      <c r="AF829" s="42"/>
      <c r="AG829" s="42"/>
      <c r="AH829" s="36"/>
      <c r="AI829" s="36"/>
      <c r="AJ829" s="36"/>
      <c r="AK829" s="36"/>
      <c r="AL829" s="36"/>
      <c r="AM829" s="36"/>
      <c r="AN829" s="36"/>
    </row>
    <row r="830" spans="1:40" ht="15.75" x14ac:dyDescent="0.25">
      <c r="A830" s="44"/>
      <c r="B830" s="36"/>
      <c r="C830" s="36"/>
      <c r="D830" s="36"/>
      <c r="E830" s="36"/>
      <c r="F830" s="36"/>
      <c r="G830" s="36"/>
      <c r="H830" s="36"/>
      <c r="I830" s="36"/>
      <c r="J830" s="105"/>
      <c r="K830" s="36"/>
      <c r="L830" s="36"/>
      <c r="M830" s="36"/>
      <c r="N830" s="105"/>
      <c r="O830" s="36"/>
      <c r="P830" s="36"/>
      <c r="Q830" s="36"/>
      <c r="R830" s="105"/>
      <c r="S830" s="36"/>
      <c r="T830" s="36"/>
      <c r="U830" s="36"/>
      <c r="V830" s="36"/>
      <c r="W830" s="36"/>
      <c r="X830" s="36"/>
      <c r="Y830" s="36"/>
      <c r="Z830" s="36"/>
      <c r="AA830" s="36"/>
      <c r="AB830" s="42"/>
      <c r="AC830" s="42"/>
      <c r="AD830" s="36"/>
      <c r="AE830" s="36"/>
      <c r="AF830" s="42"/>
      <c r="AG830" s="42"/>
      <c r="AH830" s="36"/>
      <c r="AI830" s="36"/>
      <c r="AJ830" s="36"/>
      <c r="AK830" s="36"/>
      <c r="AL830" s="36"/>
      <c r="AM830" s="36"/>
      <c r="AN830" s="36"/>
    </row>
    <row r="831" spans="1:40" ht="15.75" x14ac:dyDescent="0.25">
      <c r="A831" s="44"/>
      <c r="B831" s="36"/>
      <c r="C831" s="36"/>
      <c r="D831" s="36"/>
      <c r="E831" s="36"/>
      <c r="F831" s="36"/>
      <c r="G831" s="36"/>
      <c r="H831" s="36"/>
      <c r="I831" s="36"/>
      <c r="J831" s="105"/>
      <c r="K831" s="36"/>
      <c r="L831" s="36"/>
      <c r="M831" s="36"/>
      <c r="N831" s="105"/>
      <c r="O831" s="36"/>
      <c r="P831" s="36"/>
      <c r="Q831" s="36"/>
      <c r="R831" s="105"/>
      <c r="S831" s="36"/>
      <c r="T831" s="36"/>
      <c r="U831" s="36"/>
      <c r="V831" s="36"/>
      <c r="W831" s="36"/>
      <c r="X831" s="36"/>
      <c r="Y831" s="36"/>
      <c r="Z831" s="36"/>
      <c r="AA831" s="36"/>
      <c r="AB831" s="42"/>
      <c r="AC831" s="42"/>
      <c r="AD831" s="36"/>
      <c r="AE831" s="36"/>
      <c r="AF831" s="42"/>
      <c r="AG831" s="42"/>
      <c r="AH831" s="36"/>
      <c r="AI831" s="36"/>
      <c r="AJ831" s="36"/>
      <c r="AK831" s="36"/>
      <c r="AL831" s="36"/>
      <c r="AM831" s="36"/>
      <c r="AN831" s="36"/>
    </row>
    <row r="832" spans="1:40" ht="15.75" x14ac:dyDescent="0.25">
      <c r="A832" s="44"/>
      <c r="B832" s="36"/>
      <c r="C832" s="36"/>
      <c r="D832" s="36"/>
      <c r="E832" s="36"/>
      <c r="F832" s="36"/>
      <c r="G832" s="36"/>
      <c r="H832" s="36"/>
      <c r="I832" s="36"/>
      <c r="J832" s="105"/>
      <c r="K832" s="36"/>
      <c r="L832" s="36"/>
      <c r="M832" s="36"/>
      <c r="N832" s="105"/>
      <c r="O832" s="36"/>
      <c r="P832" s="36"/>
      <c r="Q832" s="36"/>
      <c r="R832" s="105"/>
      <c r="S832" s="36"/>
      <c r="T832" s="36"/>
      <c r="U832" s="36"/>
      <c r="V832" s="36"/>
      <c r="W832" s="36"/>
      <c r="X832" s="36"/>
      <c r="Y832" s="36"/>
      <c r="Z832" s="36"/>
      <c r="AA832" s="36"/>
      <c r="AB832" s="42"/>
      <c r="AC832" s="42"/>
      <c r="AD832" s="36"/>
      <c r="AE832" s="36"/>
      <c r="AF832" s="42"/>
      <c r="AG832" s="42"/>
      <c r="AH832" s="36"/>
      <c r="AI832" s="36"/>
      <c r="AJ832" s="36"/>
      <c r="AK832" s="36"/>
      <c r="AL832" s="36"/>
      <c r="AM832" s="36"/>
      <c r="AN832" s="36"/>
    </row>
    <row r="833" spans="1:40" ht="15.75" x14ac:dyDescent="0.25">
      <c r="A833" s="44"/>
      <c r="B833" s="36"/>
      <c r="C833" s="36"/>
      <c r="D833" s="36"/>
      <c r="E833" s="36"/>
      <c r="F833" s="36"/>
      <c r="G833" s="36"/>
      <c r="H833" s="36"/>
      <c r="I833" s="36"/>
      <c r="J833" s="105"/>
      <c r="K833" s="36"/>
      <c r="L833" s="36"/>
      <c r="M833" s="36"/>
      <c r="N833" s="105"/>
      <c r="O833" s="36"/>
      <c r="P833" s="36"/>
      <c r="Q833" s="36"/>
      <c r="R833" s="105"/>
      <c r="S833" s="36"/>
      <c r="T833" s="36"/>
      <c r="U833" s="36"/>
      <c r="V833" s="36"/>
      <c r="W833" s="36"/>
      <c r="X833" s="36"/>
      <c r="Y833" s="36"/>
      <c r="Z833" s="36"/>
      <c r="AA833" s="36"/>
      <c r="AB833" s="42"/>
      <c r="AC833" s="42"/>
      <c r="AD833" s="36"/>
      <c r="AE833" s="36"/>
      <c r="AF833" s="42"/>
      <c r="AG833" s="42"/>
      <c r="AH833" s="36"/>
      <c r="AI833" s="36"/>
      <c r="AJ833" s="36"/>
      <c r="AK833" s="36"/>
      <c r="AL833" s="36"/>
      <c r="AM833" s="36"/>
      <c r="AN833" s="36"/>
    </row>
    <row r="834" spans="1:40" ht="15.75" x14ac:dyDescent="0.25">
      <c r="A834" s="44"/>
      <c r="B834" s="36"/>
      <c r="C834" s="36"/>
      <c r="D834" s="36"/>
      <c r="E834" s="36"/>
      <c r="F834" s="36"/>
      <c r="G834" s="36"/>
      <c r="H834" s="36"/>
      <c r="I834" s="36"/>
      <c r="J834" s="105"/>
      <c r="K834" s="36"/>
      <c r="L834" s="36"/>
      <c r="M834" s="36"/>
      <c r="N834" s="105"/>
      <c r="O834" s="36"/>
      <c r="P834" s="36"/>
      <c r="Q834" s="36"/>
      <c r="R834" s="105"/>
      <c r="S834" s="36"/>
      <c r="T834" s="36"/>
      <c r="U834" s="36"/>
      <c r="V834" s="36"/>
      <c r="W834" s="36"/>
      <c r="X834" s="36"/>
      <c r="Y834" s="36"/>
      <c r="Z834" s="36"/>
      <c r="AA834" s="36"/>
      <c r="AB834" s="42"/>
      <c r="AC834" s="42"/>
      <c r="AD834" s="36"/>
      <c r="AE834" s="36"/>
      <c r="AF834" s="42"/>
      <c r="AG834" s="42"/>
      <c r="AH834" s="36"/>
      <c r="AI834" s="36"/>
      <c r="AJ834" s="36"/>
      <c r="AK834" s="36"/>
      <c r="AL834" s="36"/>
      <c r="AM834" s="36"/>
      <c r="AN834" s="36"/>
    </row>
    <row r="835" spans="1:40" ht="15.75" x14ac:dyDescent="0.25">
      <c r="A835" s="44"/>
      <c r="B835" s="36"/>
      <c r="C835" s="36"/>
      <c r="D835" s="36"/>
      <c r="E835" s="36"/>
      <c r="F835" s="36"/>
      <c r="G835" s="36"/>
      <c r="H835" s="36"/>
      <c r="I835" s="36"/>
      <c r="J835" s="105"/>
      <c r="K835" s="36"/>
      <c r="L835" s="36"/>
      <c r="M835" s="36"/>
      <c r="N835" s="105"/>
      <c r="O835" s="36"/>
      <c r="P835" s="36"/>
      <c r="Q835" s="36"/>
      <c r="R835" s="105"/>
      <c r="S835" s="36"/>
      <c r="T835" s="36"/>
      <c r="U835" s="36"/>
      <c r="V835" s="36"/>
      <c r="W835" s="36"/>
      <c r="X835" s="36"/>
      <c r="Y835" s="36"/>
      <c r="Z835" s="36"/>
      <c r="AA835" s="36"/>
      <c r="AB835" s="42"/>
      <c r="AC835" s="42"/>
      <c r="AD835" s="36"/>
      <c r="AE835" s="36"/>
      <c r="AF835" s="42"/>
      <c r="AG835" s="42"/>
      <c r="AH835" s="36"/>
      <c r="AI835" s="36"/>
      <c r="AJ835" s="36"/>
      <c r="AK835" s="36"/>
      <c r="AL835" s="36"/>
      <c r="AM835" s="36"/>
      <c r="AN835" s="36"/>
    </row>
    <row r="836" spans="1:40" ht="15.75" x14ac:dyDescent="0.25">
      <c r="A836" s="44"/>
      <c r="B836" s="36"/>
      <c r="C836" s="36"/>
      <c r="D836" s="36"/>
      <c r="E836" s="36"/>
      <c r="F836" s="36"/>
      <c r="G836" s="36"/>
      <c r="H836" s="36"/>
      <c r="I836" s="36"/>
      <c r="J836" s="105"/>
      <c r="K836" s="36"/>
      <c r="L836" s="36"/>
      <c r="M836" s="36"/>
      <c r="N836" s="105"/>
      <c r="O836" s="36"/>
      <c r="P836" s="36"/>
      <c r="Q836" s="36"/>
      <c r="R836" s="105"/>
      <c r="S836" s="36"/>
      <c r="T836" s="36"/>
      <c r="U836" s="36"/>
      <c r="V836" s="36"/>
      <c r="W836" s="36"/>
      <c r="X836" s="36"/>
      <c r="Y836" s="36"/>
      <c r="Z836" s="36"/>
      <c r="AA836" s="36"/>
      <c r="AB836" s="42"/>
      <c r="AC836" s="42"/>
      <c r="AD836" s="36"/>
      <c r="AE836" s="36"/>
      <c r="AF836" s="42"/>
      <c r="AG836" s="42"/>
      <c r="AH836" s="36"/>
      <c r="AI836" s="36"/>
      <c r="AJ836" s="36"/>
      <c r="AK836" s="36"/>
      <c r="AL836" s="36"/>
      <c r="AM836" s="36"/>
      <c r="AN836" s="36"/>
    </row>
    <row r="837" spans="1:40" ht="15.75" x14ac:dyDescent="0.25">
      <c r="A837" s="44"/>
      <c r="B837" s="36"/>
      <c r="C837" s="36"/>
      <c r="D837" s="36"/>
      <c r="E837" s="36"/>
      <c r="F837" s="36"/>
      <c r="G837" s="36"/>
      <c r="H837" s="36"/>
      <c r="I837" s="36"/>
      <c r="J837" s="105"/>
      <c r="K837" s="36"/>
      <c r="L837" s="36"/>
      <c r="M837" s="36"/>
      <c r="N837" s="105"/>
      <c r="O837" s="36"/>
      <c r="P837" s="36"/>
      <c r="Q837" s="36"/>
      <c r="R837" s="105"/>
      <c r="S837" s="36"/>
      <c r="T837" s="36"/>
      <c r="U837" s="36"/>
      <c r="V837" s="36"/>
      <c r="W837" s="36"/>
      <c r="X837" s="36"/>
      <c r="Y837" s="36"/>
      <c r="Z837" s="36"/>
      <c r="AA837" s="36"/>
      <c r="AB837" s="42"/>
      <c r="AC837" s="42"/>
      <c r="AD837" s="36"/>
      <c r="AE837" s="36"/>
      <c r="AF837" s="42"/>
      <c r="AG837" s="42"/>
      <c r="AH837" s="36"/>
      <c r="AI837" s="36"/>
      <c r="AJ837" s="36"/>
      <c r="AK837" s="36"/>
      <c r="AL837" s="36"/>
      <c r="AM837" s="36"/>
      <c r="AN837" s="36"/>
    </row>
    <row r="838" spans="1:40" ht="15.75" x14ac:dyDescent="0.25">
      <c r="A838" s="44"/>
      <c r="B838" s="36"/>
      <c r="C838" s="36"/>
      <c r="D838" s="36"/>
      <c r="E838" s="36"/>
      <c r="F838" s="36"/>
      <c r="G838" s="36"/>
      <c r="H838" s="36"/>
      <c r="I838" s="36"/>
      <c r="J838" s="105"/>
      <c r="K838" s="36"/>
      <c r="L838" s="36"/>
      <c r="M838" s="36"/>
      <c r="N838" s="105"/>
      <c r="O838" s="36"/>
      <c r="P838" s="36"/>
      <c r="Q838" s="36"/>
      <c r="R838" s="105"/>
      <c r="S838" s="36"/>
      <c r="T838" s="36"/>
      <c r="U838" s="36"/>
      <c r="V838" s="36"/>
      <c r="W838" s="36"/>
      <c r="X838" s="36"/>
      <c r="Y838" s="36"/>
      <c r="Z838" s="36"/>
      <c r="AA838" s="36"/>
      <c r="AB838" s="42"/>
      <c r="AC838" s="42"/>
      <c r="AD838" s="36"/>
      <c r="AE838" s="36"/>
      <c r="AF838" s="42"/>
      <c r="AG838" s="42"/>
      <c r="AH838" s="36"/>
      <c r="AI838" s="36"/>
      <c r="AJ838" s="36"/>
      <c r="AK838" s="36"/>
      <c r="AL838" s="36"/>
      <c r="AM838" s="36"/>
      <c r="AN838" s="36"/>
    </row>
    <row r="839" spans="1:40" ht="15.75" x14ac:dyDescent="0.25">
      <c r="A839" s="44"/>
      <c r="B839" s="36"/>
      <c r="C839" s="36"/>
      <c r="D839" s="36"/>
      <c r="E839" s="36"/>
      <c r="F839" s="36"/>
      <c r="G839" s="36"/>
      <c r="H839" s="36"/>
      <c r="I839" s="36"/>
      <c r="J839" s="105"/>
      <c r="K839" s="36"/>
      <c r="L839" s="36"/>
      <c r="M839" s="36"/>
      <c r="N839" s="105"/>
      <c r="O839" s="36"/>
      <c r="P839" s="36"/>
      <c r="Q839" s="36"/>
      <c r="R839" s="105"/>
      <c r="S839" s="36"/>
      <c r="T839" s="36"/>
      <c r="U839" s="36"/>
      <c r="V839" s="36"/>
      <c r="W839" s="36"/>
      <c r="X839" s="36"/>
      <c r="Y839" s="36"/>
      <c r="Z839" s="36"/>
      <c r="AA839" s="36"/>
      <c r="AB839" s="42"/>
      <c r="AC839" s="42"/>
      <c r="AD839" s="36"/>
      <c r="AE839" s="36"/>
      <c r="AF839" s="42"/>
      <c r="AG839" s="42"/>
      <c r="AH839" s="36"/>
      <c r="AI839" s="36"/>
      <c r="AJ839" s="36"/>
      <c r="AK839" s="36"/>
      <c r="AL839" s="36"/>
      <c r="AM839" s="36"/>
      <c r="AN839" s="36"/>
    </row>
    <row r="840" spans="1:40" ht="15.75" x14ac:dyDescent="0.25">
      <c r="A840" s="44"/>
      <c r="B840" s="36"/>
      <c r="C840" s="36"/>
      <c r="D840" s="36"/>
      <c r="E840" s="36"/>
      <c r="F840" s="36"/>
      <c r="G840" s="36"/>
      <c r="H840" s="36"/>
      <c r="I840" s="36"/>
      <c r="J840" s="105"/>
      <c r="K840" s="36"/>
      <c r="L840" s="36"/>
      <c r="M840" s="36"/>
      <c r="N840" s="105"/>
      <c r="O840" s="36"/>
      <c r="P840" s="36"/>
      <c r="Q840" s="36"/>
      <c r="R840" s="105"/>
      <c r="S840" s="36"/>
      <c r="T840" s="36"/>
      <c r="U840" s="36"/>
      <c r="V840" s="36"/>
      <c r="W840" s="36"/>
      <c r="X840" s="36"/>
      <c r="Y840" s="36"/>
      <c r="Z840" s="36"/>
      <c r="AA840" s="36"/>
      <c r="AB840" s="42"/>
      <c r="AC840" s="42"/>
      <c r="AD840" s="36"/>
      <c r="AE840" s="36"/>
      <c r="AF840" s="42"/>
      <c r="AG840" s="42"/>
      <c r="AH840" s="36"/>
      <c r="AI840" s="36"/>
      <c r="AJ840" s="36"/>
      <c r="AK840" s="36"/>
      <c r="AL840" s="36"/>
      <c r="AM840" s="36"/>
      <c r="AN840" s="36"/>
    </row>
    <row r="841" spans="1:40" ht="15.75" x14ac:dyDescent="0.25">
      <c r="A841" s="44"/>
      <c r="B841" s="36"/>
      <c r="C841" s="36"/>
      <c r="D841" s="36"/>
      <c r="E841" s="36"/>
      <c r="F841" s="36"/>
      <c r="G841" s="36"/>
      <c r="H841" s="36"/>
      <c r="I841" s="36"/>
      <c r="J841" s="105"/>
      <c r="K841" s="36"/>
      <c r="L841" s="36"/>
      <c r="M841" s="36"/>
      <c r="N841" s="105"/>
      <c r="O841" s="36"/>
      <c r="P841" s="36"/>
      <c r="Q841" s="36"/>
      <c r="R841" s="105"/>
      <c r="S841" s="36"/>
      <c r="T841" s="36"/>
      <c r="U841" s="36"/>
      <c r="V841" s="36"/>
      <c r="W841" s="36"/>
      <c r="X841" s="36"/>
      <c r="Y841" s="36"/>
      <c r="Z841" s="36"/>
      <c r="AA841" s="36"/>
      <c r="AB841" s="42"/>
      <c r="AC841" s="42"/>
      <c r="AD841" s="36"/>
      <c r="AE841" s="36"/>
      <c r="AF841" s="42"/>
      <c r="AG841" s="42"/>
      <c r="AH841" s="36"/>
      <c r="AI841" s="36"/>
      <c r="AJ841" s="36"/>
      <c r="AK841" s="36"/>
      <c r="AL841" s="36"/>
      <c r="AM841" s="36"/>
      <c r="AN841" s="36"/>
    </row>
    <row r="842" spans="1:40" ht="15.75" x14ac:dyDescent="0.25">
      <c r="A842" s="44"/>
      <c r="B842" s="36"/>
      <c r="C842" s="36"/>
      <c r="D842" s="36"/>
      <c r="E842" s="36"/>
      <c r="F842" s="36"/>
      <c r="G842" s="36"/>
      <c r="H842" s="36"/>
      <c r="I842" s="36"/>
      <c r="J842" s="105"/>
      <c r="K842" s="36"/>
      <c r="L842" s="36"/>
      <c r="M842" s="36"/>
      <c r="N842" s="105"/>
      <c r="O842" s="36"/>
      <c r="P842" s="36"/>
      <c r="Q842" s="36"/>
      <c r="R842" s="105"/>
      <c r="S842" s="36"/>
      <c r="T842" s="36"/>
      <c r="U842" s="36"/>
      <c r="V842" s="36"/>
      <c r="W842" s="36"/>
      <c r="X842" s="36"/>
      <c r="Y842" s="36"/>
      <c r="Z842" s="36"/>
      <c r="AA842" s="36"/>
      <c r="AB842" s="42"/>
      <c r="AC842" s="42"/>
      <c r="AD842" s="36"/>
      <c r="AE842" s="36"/>
      <c r="AF842" s="42"/>
      <c r="AG842" s="42"/>
      <c r="AH842" s="36"/>
      <c r="AI842" s="36"/>
      <c r="AJ842" s="36"/>
      <c r="AK842" s="36"/>
      <c r="AL842" s="36"/>
      <c r="AM842" s="36"/>
      <c r="AN842" s="36"/>
    </row>
    <row r="843" spans="1:40" ht="15.75" x14ac:dyDescent="0.25">
      <c r="A843" s="44"/>
      <c r="B843" s="36"/>
      <c r="C843" s="36"/>
      <c r="D843" s="36"/>
      <c r="E843" s="36"/>
      <c r="F843" s="36"/>
      <c r="G843" s="36"/>
      <c r="H843" s="36"/>
      <c r="I843" s="36"/>
      <c r="J843" s="105"/>
      <c r="K843" s="36"/>
      <c r="L843" s="36"/>
      <c r="M843" s="36"/>
      <c r="N843" s="105"/>
      <c r="O843" s="36"/>
      <c r="P843" s="36"/>
      <c r="Q843" s="36"/>
      <c r="R843" s="105"/>
      <c r="S843" s="36"/>
      <c r="T843" s="36"/>
      <c r="U843" s="36"/>
      <c r="V843" s="36"/>
      <c r="W843" s="36"/>
      <c r="X843" s="36"/>
      <c r="Y843" s="36"/>
      <c r="Z843" s="36"/>
      <c r="AA843" s="36"/>
      <c r="AB843" s="42"/>
      <c r="AC843" s="42"/>
      <c r="AD843" s="36"/>
      <c r="AE843" s="36"/>
      <c r="AF843" s="42"/>
      <c r="AG843" s="42"/>
      <c r="AH843" s="36"/>
      <c r="AI843" s="36"/>
      <c r="AJ843" s="36"/>
      <c r="AK843" s="36"/>
      <c r="AL843" s="36"/>
      <c r="AM843" s="36"/>
      <c r="AN843" s="36"/>
    </row>
    <row r="844" spans="1:40" ht="15.75" x14ac:dyDescent="0.25">
      <c r="A844" s="44"/>
      <c r="B844" s="36"/>
      <c r="C844" s="36"/>
      <c r="D844" s="36"/>
      <c r="E844" s="36"/>
      <c r="F844" s="36"/>
      <c r="G844" s="36"/>
      <c r="H844" s="36"/>
      <c r="I844" s="36"/>
      <c r="J844" s="105"/>
      <c r="K844" s="36"/>
      <c r="L844" s="36"/>
      <c r="M844" s="36"/>
      <c r="N844" s="105"/>
      <c r="O844" s="36"/>
      <c r="P844" s="36"/>
      <c r="Q844" s="36"/>
      <c r="R844" s="105"/>
      <c r="S844" s="36"/>
      <c r="T844" s="36"/>
      <c r="U844" s="36"/>
      <c r="V844" s="36"/>
      <c r="W844" s="36"/>
      <c r="X844" s="36"/>
      <c r="Y844" s="36"/>
      <c r="Z844" s="36"/>
      <c r="AA844" s="36"/>
      <c r="AB844" s="42"/>
      <c r="AC844" s="42"/>
      <c r="AD844" s="36"/>
      <c r="AE844" s="36"/>
      <c r="AF844" s="42"/>
      <c r="AG844" s="42"/>
      <c r="AH844" s="36"/>
      <c r="AI844" s="36"/>
      <c r="AJ844" s="36"/>
      <c r="AK844" s="36"/>
      <c r="AL844" s="36"/>
      <c r="AM844" s="36"/>
      <c r="AN844" s="36"/>
    </row>
    <row r="845" spans="1:40" ht="15.75" x14ac:dyDescent="0.25">
      <c r="A845" s="44"/>
      <c r="B845" s="36"/>
      <c r="C845" s="36"/>
      <c r="D845" s="36"/>
      <c r="E845" s="36"/>
      <c r="F845" s="36"/>
      <c r="G845" s="36"/>
      <c r="H845" s="36"/>
      <c r="I845" s="36"/>
      <c r="J845" s="105"/>
      <c r="K845" s="36"/>
      <c r="L845" s="36"/>
      <c r="M845" s="36"/>
      <c r="N845" s="105"/>
      <c r="O845" s="36"/>
      <c r="P845" s="36"/>
      <c r="Q845" s="36"/>
      <c r="R845" s="105"/>
      <c r="S845" s="36"/>
      <c r="T845" s="36"/>
      <c r="U845" s="36"/>
      <c r="V845" s="36"/>
      <c r="W845" s="36"/>
      <c r="X845" s="36"/>
      <c r="Y845" s="36"/>
      <c r="Z845" s="36"/>
      <c r="AA845" s="36"/>
      <c r="AB845" s="42"/>
      <c r="AC845" s="42"/>
      <c r="AD845" s="36"/>
      <c r="AE845" s="36"/>
      <c r="AF845" s="42"/>
      <c r="AG845" s="42"/>
      <c r="AH845" s="36"/>
      <c r="AI845" s="36"/>
      <c r="AJ845" s="36"/>
      <c r="AK845" s="36"/>
      <c r="AL845" s="36"/>
      <c r="AM845" s="36"/>
      <c r="AN845" s="36"/>
    </row>
    <row r="846" spans="1:40" ht="15.75" x14ac:dyDescent="0.25">
      <c r="A846" s="44"/>
      <c r="B846" s="36"/>
      <c r="C846" s="36"/>
      <c r="D846" s="36"/>
      <c r="E846" s="36"/>
      <c r="F846" s="36"/>
      <c r="G846" s="36"/>
      <c r="H846" s="36"/>
      <c r="I846" s="36"/>
      <c r="J846" s="105"/>
      <c r="K846" s="36"/>
      <c r="L846" s="36"/>
      <c r="M846" s="36"/>
      <c r="N846" s="105"/>
      <c r="O846" s="36"/>
      <c r="P846" s="36"/>
      <c r="Q846" s="36"/>
      <c r="R846" s="105"/>
      <c r="S846" s="36"/>
      <c r="T846" s="36"/>
      <c r="U846" s="36"/>
      <c r="V846" s="36"/>
      <c r="W846" s="36"/>
      <c r="X846" s="36"/>
      <c r="Y846" s="36"/>
      <c r="Z846" s="36"/>
      <c r="AA846" s="36"/>
      <c r="AB846" s="42"/>
      <c r="AC846" s="42"/>
      <c r="AD846" s="36"/>
      <c r="AE846" s="36"/>
      <c r="AF846" s="42"/>
      <c r="AG846" s="42"/>
      <c r="AH846" s="36"/>
      <c r="AI846" s="36"/>
      <c r="AJ846" s="36"/>
      <c r="AK846" s="36"/>
      <c r="AL846" s="36"/>
      <c r="AM846" s="36"/>
      <c r="AN846" s="36"/>
    </row>
    <row r="847" spans="1:40" ht="15.75" x14ac:dyDescent="0.25">
      <c r="A847" s="44"/>
      <c r="B847" s="36"/>
      <c r="C847" s="36"/>
      <c r="D847" s="36"/>
      <c r="E847" s="36"/>
      <c r="F847" s="36"/>
      <c r="G847" s="36"/>
      <c r="H847" s="36"/>
      <c r="I847" s="36"/>
      <c r="J847" s="105"/>
      <c r="K847" s="36"/>
      <c r="L847" s="36"/>
      <c r="M847" s="36"/>
      <c r="N847" s="105"/>
      <c r="O847" s="36"/>
      <c r="P847" s="36"/>
      <c r="Q847" s="36"/>
      <c r="R847" s="105"/>
      <c r="S847" s="36"/>
      <c r="T847" s="36"/>
      <c r="U847" s="36"/>
      <c r="V847" s="36"/>
      <c r="W847" s="36"/>
      <c r="X847" s="36"/>
      <c r="Y847" s="36"/>
      <c r="Z847" s="36"/>
      <c r="AA847" s="36"/>
      <c r="AB847" s="42"/>
      <c r="AC847" s="42"/>
      <c r="AD847" s="36"/>
      <c r="AE847" s="36"/>
      <c r="AF847" s="42"/>
      <c r="AG847" s="42"/>
      <c r="AH847" s="36"/>
      <c r="AI847" s="36"/>
      <c r="AJ847" s="36"/>
      <c r="AK847" s="36"/>
      <c r="AL847" s="36"/>
      <c r="AM847" s="36"/>
      <c r="AN847" s="36"/>
    </row>
    <row r="848" spans="1:40" ht="15.75" x14ac:dyDescent="0.25">
      <c r="A848" s="44"/>
      <c r="B848" s="36"/>
      <c r="C848" s="36"/>
      <c r="D848" s="36"/>
      <c r="E848" s="36"/>
      <c r="F848" s="36"/>
      <c r="G848" s="36"/>
      <c r="H848" s="36"/>
      <c r="I848" s="36"/>
      <c r="J848" s="105"/>
      <c r="K848" s="36"/>
      <c r="L848" s="36"/>
      <c r="M848" s="36"/>
      <c r="N848" s="105"/>
      <c r="O848" s="36"/>
      <c r="P848" s="36"/>
      <c r="Q848" s="36"/>
      <c r="R848" s="105"/>
      <c r="S848" s="36"/>
      <c r="T848" s="36"/>
      <c r="U848" s="36"/>
      <c r="V848" s="36"/>
      <c r="W848" s="36"/>
      <c r="X848" s="36"/>
      <c r="Y848" s="36"/>
      <c r="Z848" s="36"/>
      <c r="AA848" s="36"/>
      <c r="AB848" s="42"/>
      <c r="AC848" s="42"/>
      <c r="AD848" s="36"/>
      <c r="AE848" s="36"/>
      <c r="AF848" s="42"/>
      <c r="AG848" s="42"/>
      <c r="AH848" s="36"/>
      <c r="AI848" s="36"/>
      <c r="AJ848" s="36"/>
      <c r="AK848" s="36"/>
      <c r="AL848" s="36"/>
      <c r="AM848" s="36"/>
      <c r="AN848" s="36"/>
    </row>
    <row r="849" spans="1:40" ht="15.75" x14ac:dyDescent="0.25">
      <c r="A849" s="44"/>
      <c r="B849" s="36"/>
      <c r="C849" s="36"/>
      <c r="D849" s="36"/>
      <c r="E849" s="36"/>
      <c r="F849" s="36"/>
      <c r="G849" s="36"/>
      <c r="H849" s="36"/>
      <c r="I849" s="36"/>
      <c r="J849" s="105"/>
      <c r="K849" s="36"/>
      <c r="L849" s="36"/>
      <c r="M849" s="36"/>
      <c r="N849" s="105"/>
      <c r="O849" s="36"/>
      <c r="P849" s="36"/>
      <c r="Q849" s="36"/>
      <c r="R849" s="105"/>
      <c r="S849" s="36"/>
      <c r="T849" s="36"/>
      <c r="U849" s="36"/>
      <c r="V849" s="36"/>
      <c r="W849" s="36"/>
      <c r="X849" s="36"/>
      <c r="Y849" s="36"/>
      <c r="Z849" s="36"/>
      <c r="AA849" s="36"/>
      <c r="AB849" s="42"/>
      <c r="AC849" s="42"/>
      <c r="AD849" s="36"/>
      <c r="AE849" s="36"/>
      <c r="AF849" s="42"/>
      <c r="AG849" s="42"/>
      <c r="AH849" s="36"/>
      <c r="AI849" s="36"/>
      <c r="AJ849" s="36"/>
      <c r="AK849" s="36"/>
      <c r="AL849" s="36"/>
      <c r="AM849" s="36"/>
      <c r="AN849" s="36"/>
    </row>
    <row r="850" spans="1:40" ht="15.75" x14ac:dyDescent="0.25">
      <c r="A850" s="44"/>
      <c r="B850" s="36"/>
      <c r="C850" s="36"/>
      <c r="D850" s="36"/>
      <c r="E850" s="36"/>
      <c r="F850" s="36"/>
      <c r="G850" s="36"/>
      <c r="H850" s="36"/>
      <c r="I850" s="36"/>
      <c r="J850" s="105"/>
      <c r="K850" s="36"/>
      <c r="L850" s="36"/>
      <c r="M850" s="36"/>
      <c r="N850" s="105"/>
      <c r="O850" s="36"/>
      <c r="P850" s="36"/>
      <c r="Q850" s="36"/>
      <c r="R850" s="105"/>
      <c r="S850" s="36"/>
      <c r="T850" s="36"/>
      <c r="U850" s="36"/>
      <c r="V850" s="36"/>
      <c r="W850" s="36"/>
      <c r="X850" s="36"/>
      <c r="Y850" s="36"/>
      <c r="Z850" s="36"/>
      <c r="AA850" s="36"/>
      <c r="AB850" s="42"/>
      <c r="AC850" s="42"/>
      <c r="AD850" s="36"/>
      <c r="AE850" s="36"/>
      <c r="AF850" s="42"/>
      <c r="AG850" s="42"/>
      <c r="AH850" s="36"/>
      <c r="AI850" s="36"/>
      <c r="AJ850" s="36"/>
      <c r="AK850" s="36"/>
      <c r="AL850" s="36"/>
      <c r="AM850" s="36"/>
      <c r="AN850" s="36"/>
    </row>
    <row r="851" spans="1:40" ht="15.75" x14ac:dyDescent="0.25">
      <c r="A851" s="44"/>
      <c r="B851" s="36"/>
      <c r="C851" s="36"/>
      <c r="D851" s="36"/>
      <c r="E851" s="36"/>
      <c r="F851" s="36"/>
      <c r="G851" s="36"/>
      <c r="H851" s="36"/>
      <c r="I851" s="36"/>
      <c r="J851" s="105"/>
      <c r="K851" s="36"/>
      <c r="L851" s="36"/>
      <c r="M851" s="36"/>
      <c r="N851" s="105"/>
      <c r="O851" s="36"/>
      <c r="P851" s="36"/>
      <c r="Q851" s="36"/>
      <c r="R851" s="105"/>
      <c r="S851" s="36"/>
      <c r="T851" s="36"/>
      <c r="U851" s="36"/>
      <c r="V851" s="36"/>
      <c r="W851" s="36"/>
      <c r="X851" s="36"/>
      <c r="Y851" s="36"/>
      <c r="Z851" s="36"/>
      <c r="AA851" s="36"/>
      <c r="AB851" s="42"/>
      <c r="AC851" s="42"/>
      <c r="AD851" s="36"/>
      <c r="AE851" s="36"/>
      <c r="AF851" s="42"/>
      <c r="AG851" s="42"/>
      <c r="AH851" s="36"/>
      <c r="AI851" s="36"/>
      <c r="AJ851" s="36"/>
      <c r="AK851" s="36"/>
      <c r="AL851" s="36"/>
      <c r="AM851" s="36"/>
      <c r="AN851" s="36"/>
    </row>
    <row r="852" spans="1:40" ht="15.75" x14ac:dyDescent="0.25">
      <c r="A852" s="44"/>
      <c r="B852" s="36"/>
      <c r="C852" s="36"/>
      <c r="D852" s="36"/>
      <c r="E852" s="36"/>
      <c r="F852" s="36"/>
      <c r="G852" s="36"/>
      <c r="H852" s="36"/>
      <c r="I852" s="36"/>
      <c r="J852" s="105"/>
      <c r="K852" s="36"/>
      <c r="L852" s="36"/>
      <c r="M852" s="36"/>
      <c r="N852" s="105"/>
      <c r="O852" s="36"/>
      <c r="P852" s="36"/>
      <c r="Q852" s="36"/>
      <c r="R852" s="105"/>
      <c r="S852" s="36"/>
      <c r="T852" s="36"/>
      <c r="U852" s="36"/>
      <c r="V852" s="36"/>
      <c r="W852" s="36"/>
      <c r="X852" s="36"/>
      <c r="Y852" s="36"/>
      <c r="Z852" s="36"/>
      <c r="AA852" s="36"/>
      <c r="AB852" s="42"/>
      <c r="AC852" s="42"/>
      <c r="AD852" s="36"/>
      <c r="AE852" s="36"/>
      <c r="AF852" s="42"/>
      <c r="AG852" s="42"/>
      <c r="AH852" s="36"/>
      <c r="AI852" s="36"/>
      <c r="AJ852" s="36"/>
      <c r="AK852" s="36"/>
      <c r="AL852" s="36"/>
      <c r="AM852" s="36"/>
      <c r="AN852" s="36"/>
    </row>
    <row r="853" spans="1:40" ht="15.75" x14ac:dyDescent="0.25">
      <c r="A853" s="44"/>
      <c r="B853" s="36"/>
      <c r="C853" s="36"/>
      <c r="D853" s="36"/>
      <c r="E853" s="36"/>
      <c r="F853" s="36"/>
      <c r="G853" s="36"/>
      <c r="H853" s="36"/>
      <c r="I853" s="36"/>
      <c r="J853" s="105"/>
      <c r="K853" s="36"/>
      <c r="L853" s="36"/>
      <c r="M853" s="36"/>
      <c r="N853" s="105"/>
      <c r="O853" s="36"/>
      <c r="P853" s="36"/>
      <c r="Q853" s="36"/>
      <c r="R853" s="105"/>
      <c r="S853" s="36"/>
      <c r="T853" s="36"/>
      <c r="U853" s="36"/>
      <c r="V853" s="36"/>
      <c r="W853" s="36"/>
      <c r="X853" s="36"/>
      <c r="Y853" s="36"/>
      <c r="Z853" s="36"/>
      <c r="AA853" s="36"/>
      <c r="AB853" s="42"/>
      <c r="AC853" s="42"/>
      <c r="AD853" s="36"/>
      <c r="AE853" s="36"/>
      <c r="AF853" s="42"/>
      <c r="AG853" s="42"/>
      <c r="AH853" s="36"/>
      <c r="AI853" s="36"/>
      <c r="AJ853" s="36"/>
      <c r="AK853" s="36"/>
      <c r="AL853" s="36"/>
      <c r="AM853" s="36"/>
      <c r="AN853" s="36"/>
    </row>
    <row r="854" spans="1:40" ht="15.75" x14ac:dyDescent="0.25">
      <c r="A854" s="44"/>
      <c r="B854" s="36"/>
      <c r="C854" s="36"/>
      <c r="D854" s="36"/>
      <c r="E854" s="36"/>
      <c r="F854" s="36"/>
      <c r="G854" s="36"/>
      <c r="H854" s="36"/>
      <c r="I854" s="36"/>
      <c r="J854" s="105"/>
      <c r="K854" s="36"/>
      <c r="L854" s="36"/>
      <c r="M854" s="36"/>
      <c r="N854" s="105"/>
      <c r="O854" s="36"/>
      <c r="P854" s="36"/>
      <c r="Q854" s="36"/>
      <c r="R854" s="105"/>
      <c r="S854" s="36"/>
      <c r="T854" s="36"/>
      <c r="U854" s="36"/>
      <c r="V854" s="36"/>
      <c r="W854" s="36"/>
      <c r="X854" s="36"/>
      <c r="Y854" s="36"/>
      <c r="Z854" s="36"/>
      <c r="AA854" s="36"/>
      <c r="AB854" s="42"/>
      <c r="AC854" s="42"/>
      <c r="AD854" s="36"/>
      <c r="AE854" s="36"/>
      <c r="AF854" s="42"/>
      <c r="AG854" s="42"/>
      <c r="AH854" s="36"/>
      <c r="AI854" s="36"/>
      <c r="AJ854" s="36"/>
      <c r="AK854" s="36"/>
      <c r="AL854" s="36"/>
      <c r="AM854" s="36"/>
      <c r="AN854" s="36"/>
    </row>
    <row r="855" spans="1:40" ht="15.75" x14ac:dyDescent="0.25">
      <c r="A855" s="44"/>
      <c r="B855" s="36"/>
      <c r="C855" s="36"/>
      <c r="D855" s="36"/>
      <c r="E855" s="36"/>
      <c r="F855" s="36"/>
      <c r="G855" s="36"/>
      <c r="H855" s="36"/>
      <c r="I855" s="36"/>
      <c r="J855" s="105"/>
      <c r="K855" s="36"/>
      <c r="L855" s="36"/>
      <c r="M855" s="36"/>
      <c r="N855" s="105"/>
      <c r="O855" s="36"/>
      <c r="P855" s="36"/>
      <c r="Q855" s="36"/>
      <c r="R855" s="105"/>
      <c r="S855" s="36"/>
      <c r="T855" s="36"/>
      <c r="U855" s="36"/>
      <c r="V855" s="36"/>
      <c r="W855" s="36"/>
      <c r="X855" s="36"/>
      <c r="Y855" s="36"/>
      <c r="Z855" s="36"/>
      <c r="AA855" s="36"/>
      <c r="AB855" s="42"/>
      <c r="AC855" s="42"/>
      <c r="AD855" s="36"/>
      <c r="AE855" s="36"/>
      <c r="AF855" s="42"/>
      <c r="AG855" s="42"/>
      <c r="AH855" s="36"/>
      <c r="AI855" s="36"/>
      <c r="AJ855" s="36"/>
      <c r="AK855" s="36"/>
      <c r="AL855" s="36"/>
      <c r="AM855" s="36"/>
      <c r="AN855" s="36"/>
    </row>
    <row r="856" spans="1:40" ht="15.75" x14ac:dyDescent="0.25">
      <c r="A856" s="44"/>
      <c r="B856" s="36"/>
      <c r="C856" s="36"/>
      <c r="D856" s="36"/>
      <c r="E856" s="36"/>
      <c r="F856" s="36"/>
      <c r="G856" s="36"/>
      <c r="H856" s="36"/>
      <c r="I856" s="36"/>
      <c r="J856" s="105"/>
      <c r="K856" s="36"/>
      <c r="L856" s="36"/>
      <c r="M856" s="36"/>
      <c r="N856" s="105"/>
      <c r="O856" s="36"/>
      <c r="P856" s="36"/>
      <c r="Q856" s="36"/>
      <c r="R856" s="105"/>
      <c r="S856" s="36"/>
      <c r="T856" s="36"/>
      <c r="U856" s="36"/>
      <c r="V856" s="36"/>
      <c r="W856" s="36"/>
      <c r="X856" s="36"/>
      <c r="Y856" s="36"/>
      <c r="Z856" s="36"/>
      <c r="AA856" s="36"/>
      <c r="AB856" s="42"/>
      <c r="AC856" s="42"/>
      <c r="AD856" s="36"/>
      <c r="AE856" s="36"/>
      <c r="AF856" s="42"/>
      <c r="AG856" s="42"/>
      <c r="AH856" s="36"/>
      <c r="AI856" s="36"/>
      <c r="AJ856" s="36"/>
      <c r="AK856" s="36"/>
      <c r="AL856" s="36"/>
      <c r="AM856" s="36"/>
      <c r="AN856" s="36"/>
    </row>
    <row r="857" spans="1:40" ht="15.75" x14ac:dyDescent="0.25">
      <c r="A857" s="44"/>
      <c r="B857" s="36"/>
      <c r="C857" s="36"/>
      <c r="D857" s="36"/>
      <c r="E857" s="36"/>
      <c r="F857" s="36"/>
      <c r="G857" s="36"/>
      <c r="H857" s="36"/>
      <c r="I857" s="36"/>
      <c r="J857" s="105"/>
      <c r="K857" s="36"/>
      <c r="L857" s="36"/>
      <c r="M857" s="36"/>
      <c r="N857" s="105"/>
      <c r="O857" s="36"/>
      <c r="P857" s="36"/>
      <c r="Q857" s="36"/>
      <c r="R857" s="105"/>
      <c r="S857" s="36"/>
      <c r="T857" s="36"/>
      <c r="U857" s="36"/>
      <c r="V857" s="36"/>
      <c r="W857" s="36"/>
      <c r="X857" s="36"/>
      <c r="Y857" s="36"/>
      <c r="Z857" s="36"/>
      <c r="AA857" s="36"/>
      <c r="AB857" s="42"/>
      <c r="AC857" s="42"/>
      <c r="AD857" s="36"/>
      <c r="AE857" s="36"/>
      <c r="AF857" s="42"/>
      <c r="AG857" s="42"/>
      <c r="AH857" s="36"/>
      <c r="AI857" s="36"/>
      <c r="AJ857" s="36"/>
      <c r="AK857" s="36"/>
      <c r="AL857" s="36"/>
      <c r="AM857" s="36"/>
      <c r="AN857" s="36"/>
    </row>
    <row r="858" spans="1:40" ht="15.75" x14ac:dyDescent="0.25">
      <c r="A858" s="44"/>
      <c r="B858" s="36"/>
      <c r="C858" s="36"/>
      <c r="D858" s="36"/>
      <c r="E858" s="36"/>
      <c r="F858" s="36"/>
      <c r="G858" s="36"/>
      <c r="H858" s="36"/>
      <c r="I858" s="36"/>
      <c r="J858" s="105"/>
      <c r="K858" s="36"/>
      <c r="L858" s="36"/>
      <c r="M858" s="36"/>
      <c r="N858" s="105"/>
      <c r="O858" s="36"/>
      <c r="P858" s="36"/>
      <c r="Q858" s="36"/>
      <c r="R858" s="105"/>
      <c r="S858" s="36"/>
      <c r="T858" s="36"/>
      <c r="U858" s="36"/>
      <c r="V858" s="36"/>
      <c r="W858" s="36"/>
      <c r="X858" s="36"/>
      <c r="Y858" s="36"/>
      <c r="Z858" s="36"/>
      <c r="AA858" s="36"/>
      <c r="AB858" s="42"/>
      <c r="AC858" s="42"/>
      <c r="AD858" s="36"/>
      <c r="AE858" s="36"/>
      <c r="AF858" s="42"/>
      <c r="AG858" s="42"/>
      <c r="AH858" s="36"/>
      <c r="AI858" s="36"/>
      <c r="AJ858" s="36"/>
      <c r="AK858" s="36"/>
      <c r="AL858" s="36"/>
      <c r="AM858" s="36"/>
      <c r="AN858" s="36"/>
    </row>
    <row r="859" spans="1:40" ht="15.75" x14ac:dyDescent="0.25">
      <c r="A859" s="44"/>
      <c r="B859" s="36"/>
      <c r="C859" s="36"/>
      <c r="D859" s="36"/>
      <c r="E859" s="36"/>
      <c r="F859" s="36"/>
      <c r="G859" s="36"/>
      <c r="H859" s="36"/>
      <c r="I859" s="36"/>
      <c r="J859" s="105"/>
      <c r="K859" s="36"/>
      <c r="L859" s="36"/>
      <c r="M859" s="36"/>
      <c r="N859" s="105"/>
      <c r="O859" s="36"/>
      <c r="P859" s="36"/>
      <c r="Q859" s="36"/>
      <c r="R859" s="105"/>
      <c r="S859" s="36"/>
      <c r="T859" s="36"/>
      <c r="U859" s="36"/>
      <c r="V859" s="36"/>
      <c r="W859" s="36"/>
      <c r="X859" s="36"/>
      <c r="Y859" s="36"/>
      <c r="Z859" s="36"/>
      <c r="AA859" s="36"/>
      <c r="AB859" s="42"/>
      <c r="AC859" s="42"/>
      <c r="AD859" s="36"/>
      <c r="AE859" s="36"/>
      <c r="AF859" s="42"/>
      <c r="AG859" s="42"/>
      <c r="AH859" s="36"/>
      <c r="AI859" s="36"/>
      <c r="AJ859" s="36"/>
      <c r="AK859" s="36"/>
      <c r="AL859" s="36"/>
      <c r="AM859" s="36"/>
      <c r="AN859" s="36"/>
    </row>
    <row r="860" spans="1:40" ht="15.75" x14ac:dyDescent="0.25">
      <c r="A860" s="44"/>
      <c r="B860" s="36"/>
      <c r="C860" s="36"/>
      <c r="D860" s="36"/>
      <c r="E860" s="36"/>
      <c r="F860" s="36"/>
      <c r="G860" s="36"/>
      <c r="H860" s="36"/>
      <c r="I860" s="36"/>
      <c r="J860" s="105"/>
      <c r="K860" s="36"/>
      <c r="L860" s="36"/>
      <c r="M860" s="36"/>
      <c r="N860" s="105"/>
      <c r="O860" s="36"/>
      <c r="P860" s="36"/>
      <c r="Q860" s="36"/>
      <c r="R860" s="105"/>
      <c r="S860" s="36"/>
      <c r="T860" s="36"/>
      <c r="U860" s="36"/>
      <c r="V860" s="36"/>
      <c r="W860" s="36"/>
      <c r="X860" s="36"/>
      <c r="Y860" s="36"/>
      <c r="Z860" s="36"/>
      <c r="AA860" s="36"/>
      <c r="AB860" s="42"/>
      <c r="AC860" s="42"/>
      <c r="AD860" s="36"/>
      <c r="AE860" s="36"/>
      <c r="AF860" s="42"/>
      <c r="AG860" s="42"/>
      <c r="AH860" s="36"/>
      <c r="AI860" s="36"/>
      <c r="AJ860" s="36"/>
      <c r="AK860" s="36"/>
      <c r="AL860" s="36"/>
      <c r="AM860" s="36"/>
      <c r="AN860" s="36"/>
    </row>
    <row r="861" spans="1:40" ht="15.75" x14ac:dyDescent="0.25">
      <c r="A861" s="44"/>
      <c r="B861" s="36"/>
      <c r="C861" s="36"/>
      <c r="D861" s="36"/>
      <c r="E861" s="36"/>
      <c r="F861" s="36"/>
      <c r="G861" s="36"/>
      <c r="H861" s="36"/>
      <c r="I861" s="36"/>
      <c r="J861" s="105"/>
      <c r="K861" s="36"/>
      <c r="L861" s="36"/>
      <c r="M861" s="36"/>
      <c r="N861" s="105"/>
      <c r="O861" s="36"/>
      <c r="P861" s="36"/>
      <c r="Q861" s="36"/>
      <c r="R861" s="105"/>
      <c r="S861" s="36"/>
      <c r="T861" s="36"/>
      <c r="U861" s="36"/>
      <c r="V861" s="36"/>
      <c r="W861" s="36"/>
      <c r="X861" s="36"/>
      <c r="Y861" s="36"/>
      <c r="Z861" s="36"/>
      <c r="AA861" s="36"/>
      <c r="AB861" s="42"/>
      <c r="AC861" s="42"/>
      <c r="AD861" s="36"/>
      <c r="AE861" s="36"/>
      <c r="AF861" s="42"/>
      <c r="AG861" s="42"/>
      <c r="AH861" s="36"/>
      <c r="AI861" s="36"/>
      <c r="AJ861" s="36"/>
      <c r="AK861" s="36"/>
      <c r="AL861" s="36"/>
      <c r="AM861" s="36"/>
      <c r="AN861" s="36"/>
    </row>
    <row r="862" spans="1:40" ht="15.75" x14ac:dyDescent="0.25">
      <c r="A862" s="44"/>
      <c r="B862" s="36"/>
      <c r="C862" s="36"/>
      <c r="D862" s="36"/>
      <c r="E862" s="36"/>
      <c r="F862" s="36"/>
      <c r="G862" s="36"/>
      <c r="H862" s="36"/>
      <c r="I862" s="36"/>
      <c r="J862" s="105"/>
      <c r="K862" s="36"/>
      <c r="L862" s="36"/>
      <c r="M862" s="36"/>
      <c r="N862" s="105"/>
      <c r="O862" s="36"/>
      <c r="P862" s="36"/>
      <c r="Q862" s="36"/>
      <c r="R862" s="105"/>
      <c r="S862" s="36"/>
      <c r="T862" s="36"/>
      <c r="U862" s="36"/>
      <c r="V862" s="36"/>
      <c r="W862" s="36"/>
      <c r="X862" s="36"/>
      <c r="Y862" s="36"/>
      <c r="Z862" s="36"/>
      <c r="AA862" s="36"/>
      <c r="AB862" s="42"/>
      <c r="AC862" s="42"/>
      <c r="AD862" s="36"/>
      <c r="AE862" s="36"/>
      <c r="AF862" s="42"/>
      <c r="AG862" s="42"/>
      <c r="AH862" s="36"/>
      <c r="AI862" s="36"/>
      <c r="AJ862" s="36"/>
      <c r="AK862" s="36"/>
      <c r="AL862" s="36"/>
      <c r="AM862" s="36"/>
      <c r="AN862" s="36"/>
    </row>
    <row r="863" spans="1:40" ht="15.75" x14ac:dyDescent="0.25">
      <c r="A863" s="44"/>
      <c r="B863" s="36"/>
      <c r="C863" s="36"/>
      <c r="D863" s="36"/>
      <c r="E863" s="36"/>
      <c r="F863" s="36"/>
      <c r="G863" s="36"/>
      <c r="H863" s="36"/>
      <c r="I863" s="36"/>
      <c r="J863" s="105"/>
      <c r="K863" s="36"/>
      <c r="L863" s="36"/>
      <c r="M863" s="36"/>
      <c r="N863" s="105"/>
      <c r="O863" s="36"/>
      <c r="P863" s="36"/>
      <c r="Q863" s="36"/>
      <c r="R863" s="105"/>
      <c r="S863" s="36"/>
      <c r="T863" s="36"/>
      <c r="U863" s="36"/>
      <c r="V863" s="36"/>
      <c r="W863" s="36"/>
      <c r="X863" s="36"/>
      <c r="Y863" s="36"/>
      <c r="Z863" s="36"/>
      <c r="AA863" s="36"/>
      <c r="AB863" s="42"/>
      <c r="AC863" s="42"/>
      <c r="AD863" s="36"/>
      <c r="AE863" s="36"/>
      <c r="AF863" s="42"/>
      <c r="AG863" s="42"/>
      <c r="AH863" s="36"/>
      <c r="AI863" s="36"/>
      <c r="AJ863" s="36"/>
      <c r="AK863" s="36"/>
      <c r="AL863" s="36"/>
      <c r="AM863" s="36"/>
      <c r="AN863" s="36"/>
    </row>
    <row r="864" spans="1:40" ht="15.75" x14ac:dyDescent="0.25">
      <c r="A864" s="44"/>
      <c r="B864" s="36"/>
      <c r="C864" s="36"/>
      <c r="D864" s="36"/>
      <c r="E864" s="36"/>
      <c r="F864" s="36"/>
      <c r="G864" s="36"/>
      <c r="H864" s="36"/>
      <c r="I864" s="36"/>
      <c r="J864" s="105"/>
      <c r="K864" s="36"/>
      <c r="L864" s="36"/>
      <c r="M864" s="36"/>
      <c r="N864" s="105"/>
      <c r="O864" s="36"/>
      <c r="P864" s="36"/>
      <c r="Q864" s="36"/>
      <c r="R864" s="105"/>
      <c r="S864" s="36"/>
      <c r="T864" s="36"/>
      <c r="U864" s="36"/>
      <c r="V864" s="36"/>
      <c r="W864" s="36"/>
      <c r="X864" s="36"/>
      <c r="Y864" s="36"/>
      <c r="Z864" s="36"/>
      <c r="AA864" s="36"/>
      <c r="AB864" s="42"/>
      <c r="AC864" s="42"/>
      <c r="AD864" s="36"/>
      <c r="AE864" s="36"/>
      <c r="AF864" s="42"/>
      <c r="AG864" s="42"/>
      <c r="AH864" s="36"/>
      <c r="AI864" s="36"/>
      <c r="AJ864" s="36"/>
      <c r="AK864" s="36"/>
      <c r="AL864" s="36"/>
      <c r="AM864" s="36"/>
      <c r="AN864" s="36"/>
    </row>
    <row r="865" spans="1:40" ht="15.75" x14ac:dyDescent="0.25">
      <c r="A865" s="44"/>
      <c r="B865" s="36"/>
      <c r="C865" s="36"/>
      <c r="D865" s="36"/>
      <c r="E865" s="36"/>
      <c r="F865" s="36"/>
      <c r="G865" s="36"/>
      <c r="H865" s="36"/>
      <c r="I865" s="36"/>
      <c r="J865" s="105"/>
      <c r="K865" s="36"/>
      <c r="L865" s="36"/>
      <c r="M865" s="36"/>
      <c r="N865" s="105"/>
      <c r="O865" s="36"/>
      <c r="P865" s="36"/>
      <c r="Q865" s="36"/>
      <c r="R865" s="105"/>
      <c r="S865" s="36"/>
      <c r="T865" s="36"/>
      <c r="U865" s="36"/>
      <c r="V865" s="36"/>
      <c r="W865" s="36"/>
      <c r="X865" s="36"/>
      <c r="Y865" s="36"/>
      <c r="Z865" s="36"/>
      <c r="AA865" s="36"/>
      <c r="AB865" s="42"/>
      <c r="AC865" s="42"/>
      <c r="AD865" s="36"/>
      <c r="AE865" s="36"/>
      <c r="AF865" s="42"/>
      <c r="AG865" s="42"/>
      <c r="AH865" s="36"/>
      <c r="AI865" s="36"/>
      <c r="AJ865" s="36"/>
      <c r="AK865" s="36"/>
      <c r="AL865" s="36"/>
      <c r="AM865" s="36"/>
      <c r="AN865" s="36"/>
    </row>
    <row r="866" spans="1:40" ht="15.75" x14ac:dyDescent="0.25">
      <c r="A866" s="44"/>
      <c r="B866" s="36"/>
      <c r="C866" s="36"/>
      <c r="D866" s="36"/>
      <c r="E866" s="36"/>
      <c r="F866" s="36"/>
      <c r="G866" s="36"/>
      <c r="H866" s="36"/>
      <c r="I866" s="36"/>
      <c r="J866" s="105"/>
      <c r="K866" s="36"/>
      <c r="L866" s="36"/>
      <c r="M866" s="36"/>
      <c r="N866" s="105"/>
      <c r="O866" s="36"/>
      <c r="P866" s="36"/>
      <c r="Q866" s="36"/>
      <c r="R866" s="105"/>
      <c r="S866" s="36"/>
      <c r="T866" s="36"/>
      <c r="U866" s="36"/>
      <c r="V866" s="36"/>
      <c r="W866" s="36"/>
      <c r="X866" s="36"/>
      <c r="Y866" s="36"/>
      <c r="Z866" s="36"/>
      <c r="AA866" s="36"/>
      <c r="AB866" s="42"/>
      <c r="AC866" s="42"/>
      <c r="AD866" s="36"/>
      <c r="AE866" s="36"/>
      <c r="AF866" s="42"/>
      <c r="AG866" s="42"/>
      <c r="AH866" s="36"/>
      <c r="AI866" s="36"/>
      <c r="AJ866" s="36"/>
      <c r="AK866" s="36"/>
      <c r="AL866" s="36"/>
      <c r="AM866" s="36"/>
      <c r="AN866" s="36"/>
    </row>
    <row r="867" spans="1:40" ht="15.75" x14ac:dyDescent="0.25">
      <c r="A867" s="44"/>
      <c r="B867" s="36"/>
      <c r="C867" s="36"/>
      <c r="D867" s="36"/>
      <c r="E867" s="36"/>
      <c r="F867" s="36"/>
      <c r="G867" s="36"/>
      <c r="H867" s="36"/>
      <c r="I867" s="36"/>
      <c r="J867" s="105"/>
      <c r="K867" s="36"/>
      <c r="L867" s="36"/>
      <c r="M867" s="36"/>
      <c r="N867" s="105"/>
      <c r="O867" s="36"/>
      <c r="P867" s="36"/>
      <c r="Q867" s="36"/>
      <c r="R867" s="105"/>
      <c r="S867" s="36"/>
      <c r="T867" s="36"/>
      <c r="U867" s="36"/>
      <c r="V867" s="36"/>
      <c r="W867" s="36"/>
      <c r="X867" s="36"/>
      <c r="Y867" s="36"/>
      <c r="Z867" s="36"/>
      <c r="AA867" s="36"/>
      <c r="AB867" s="42"/>
      <c r="AC867" s="42"/>
      <c r="AD867" s="36"/>
      <c r="AE867" s="36"/>
      <c r="AF867" s="42"/>
      <c r="AG867" s="42"/>
      <c r="AH867" s="36"/>
      <c r="AI867" s="36"/>
      <c r="AJ867" s="36"/>
      <c r="AK867" s="36"/>
      <c r="AL867" s="36"/>
      <c r="AM867" s="36"/>
      <c r="AN867" s="36"/>
    </row>
    <row r="868" spans="1:40" ht="15.75" x14ac:dyDescent="0.25">
      <c r="A868" s="44"/>
      <c r="B868" s="36"/>
      <c r="C868" s="36"/>
      <c r="D868" s="36"/>
      <c r="E868" s="36"/>
      <c r="F868" s="36"/>
      <c r="G868" s="36"/>
      <c r="H868" s="36"/>
      <c r="I868" s="36"/>
      <c r="J868" s="105"/>
      <c r="K868" s="36"/>
      <c r="L868" s="36"/>
      <c r="M868" s="36"/>
      <c r="N868" s="105"/>
      <c r="O868" s="36"/>
      <c r="P868" s="36"/>
      <c r="Q868" s="36"/>
      <c r="R868" s="105"/>
      <c r="S868" s="36"/>
      <c r="T868" s="36"/>
      <c r="U868" s="36"/>
      <c r="V868" s="36"/>
      <c r="W868" s="36"/>
      <c r="X868" s="36"/>
      <c r="Y868" s="36"/>
      <c r="Z868" s="36"/>
      <c r="AA868" s="36"/>
      <c r="AB868" s="42"/>
      <c r="AC868" s="42"/>
      <c r="AD868" s="36"/>
      <c r="AE868" s="36"/>
      <c r="AF868" s="42"/>
      <c r="AG868" s="42"/>
      <c r="AH868" s="36"/>
      <c r="AI868" s="36"/>
      <c r="AJ868" s="36"/>
      <c r="AK868" s="36"/>
      <c r="AL868" s="36"/>
      <c r="AM868" s="36"/>
      <c r="AN868" s="36"/>
    </row>
    <row r="869" spans="1:40" ht="15.75" x14ac:dyDescent="0.25">
      <c r="A869" s="44"/>
      <c r="B869" s="36"/>
      <c r="C869" s="36"/>
      <c r="D869" s="36"/>
      <c r="E869" s="36"/>
      <c r="F869" s="36"/>
      <c r="G869" s="36"/>
      <c r="H869" s="36"/>
      <c r="I869" s="36"/>
      <c r="J869" s="105"/>
      <c r="K869" s="36"/>
      <c r="L869" s="36"/>
      <c r="M869" s="36"/>
      <c r="N869" s="105"/>
      <c r="O869" s="36"/>
      <c r="P869" s="36"/>
      <c r="Q869" s="36"/>
      <c r="R869" s="105"/>
      <c r="S869" s="36"/>
      <c r="T869" s="36"/>
      <c r="U869" s="36"/>
      <c r="V869" s="36"/>
      <c r="W869" s="36"/>
      <c r="X869" s="36"/>
      <c r="Y869" s="36"/>
      <c r="Z869" s="36"/>
      <c r="AA869" s="36"/>
      <c r="AB869" s="42"/>
      <c r="AC869" s="42"/>
      <c r="AD869" s="36"/>
      <c r="AE869" s="36"/>
      <c r="AF869" s="42"/>
      <c r="AG869" s="42"/>
      <c r="AH869" s="36"/>
      <c r="AI869" s="36"/>
      <c r="AJ869" s="36"/>
      <c r="AK869" s="36"/>
      <c r="AL869" s="36"/>
      <c r="AM869" s="36"/>
      <c r="AN869" s="36"/>
    </row>
    <row r="870" spans="1:40" ht="15.75" x14ac:dyDescent="0.25">
      <c r="A870" s="44"/>
      <c r="B870" s="36"/>
      <c r="C870" s="36"/>
      <c r="D870" s="36"/>
      <c r="E870" s="36"/>
      <c r="F870" s="36"/>
      <c r="G870" s="36"/>
      <c r="H870" s="36"/>
      <c r="I870" s="36"/>
      <c r="J870" s="105"/>
      <c r="K870" s="36"/>
      <c r="L870" s="36"/>
      <c r="M870" s="36"/>
      <c r="N870" s="105"/>
      <c r="O870" s="36"/>
      <c r="P870" s="36"/>
      <c r="Q870" s="36"/>
      <c r="R870" s="105"/>
      <c r="S870" s="36"/>
      <c r="T870" s="36"/>
      <c r="U870" s="36"/>
      <c r="V870" s="36"/>
      <c r="W870" s="36"/>
      <c r="X870" s="36"/>
      <c r="Y870" s="36"/>
      <c r="Z870" s="36"/>
      <c r="AA870" s="36"/>
      <c r="AB870" s="42"/>
      <c r="AC870" s="42"/>
      <c r="AD870" s="36"/>
      <c r="AE870" s="36"/>
      <c r="AF870" s="42"/>
      <c r="AG870" s="42"/>
      <c r="AH870" s="36"/>
      <c r="AI870" s="36"/>
      <c r="AJ870" s="36"/>
      <c r="AK870" s="36"/>
      <c r="AL870" s="36"/>
      <c r="AM870" s="36"/>
      <c r="AN870" s="36"/>
    </row>
    <row r="871" spans="1:40" ht="15.75" x14ac:dyDescent="0.25">
      <c r="A871" s="44"/>
      <c r="B871" s="36"/>
      <c r="C871" s="36"/>
      <c r="D871" s="36"/>
      <c r="E871" s="36"/>
      <c r="F871" s="36"/>
      <c r="G871" s="36"/>
      <c r="H871" s="36"/>
      <c r="I871" s="36"/>
      <c r="J871" s="105"/>
      <c r="K871" s="36"/>
      <c r="L871" s="36"/>
      <c r="M871" s="36"/>
      <c r="N871" s="105"/>
      <c r="O871" s="36"/>
      <c r="P871" s="36"/>
      <c r="Q871" s="36"/>
      <c r="R871" s="105"/>
      <c r="S871" s="36"/>
      <c r="T871" s="36"/>
      <c r="U871" s="36"/>
      <c r="V871" s="36"/>
      <c r="W871" s="36"/>
      <c r="X871" s="36"/>
      <c r="Y871" s="36"/>
      <c r="Z871" s="36"/>
      <c r="AA871" s="36"/>
      <c r="AB871" s="42"/>
      <c r="AC871" s="42"/>
      <c r="AD871" s="36"/>
      <c r="AE871" s="36"/>
      <c r="AF871" s="42"/>
      <c r="AG871" s="42"/>
      <c r="AH871" s="36"/>
      <c r="AI871" s="36"/>
      <c r="AJ871" s="36"/>
      <c r="AK871" s="36"/>
      <c r="AL871" s="36"/>
      <c r="AM871" s="36"/>
      <c r="AN871" s="36"/>
    </row>
    <row r="872" spans="1:40" ht="15.75" x14ac:dyDescent="0.25">
      <c r="A872" s="44"/>
      <c r="B872" s="36"/>
      <c r="C872" s="36"/>
      <c r="D872" s="36"/>
      <c r="E872" s="36"/>
      <c r="F872" s="36"/>
      <c r="G872" s="36"/>
      <c r="H872" s="36"/>
      <c r="I872" s="36"/>
      <c r="J872" s="105"/>
      <c r="K872" s="36"/>
      <c r="L872" s="36"/>
      <c r="M872" s="36"/>
      <c r="N872" s="105"/>
      <c r="O872" s="36"/>
      <c r="P872" s="36"/>
      <c r="Q872" s="36"/>
      <c r="R872" s="105"/>
      <c r="S872" s="36"/>
      <c r="T872" s="36"/>
      <c r="U872" s="36"/>
      <c r="V872" s="36"/>
      <c r="W872" s="36"/>
      <c r="X872" s="36"/>
      <c r="Y872" s="36"/>
      <c r="Z872" s="36"/>
      <c r="AA872" s="36"/>
      <c r="AB872" s="42"/>
      <c r="AC872" s="42"/>
      <c r="AD872" s="36"/>
      <c r="AE872" s="36"/>
      <c r="AF872" s="42"/>
      <c r="AG872" s="42"/>
      <c r="AH872" s="36"/>
      <c r="AI872" s="36"/>
      <c r="AJ872" s="36"/>
      <c r="AK872" s="36"/>
      <c r="AL872" s="36"/>
      <c r="AM872" s="36"/>
      <c r="AN872" s="36"/>
    </row>
    <row r="873" spans="1:40" ht="15.75" x14ac:dyDescent="0.25">
      <c r="A873" s="44"/>
      <c r="B873" s="36"/>
      <c r="C873" s="36"/>
      <c r="D873" s="36"/>
      <c r="E873" s="36"/>
      <c r="F873" s="36"/>
      <c r="G873" s="36"/>
      <c r="H873" s="36"/>
      <c r="I873" s="36"/>
      <c r="J873" s="105"/>
      <c r="K873" s="36"/>
      <c r="L873" s="36"/>
      <c r="M873" s="36"/>
      <c r="N873" s="105"/>
      <c r="O873" s="36"/>
      <c r="P873" s="36"/>
      <c r="Q873" s="36"/>
      <c r="R873" s="105"/>
      <c r="S873" s="36"/>
      <c r="T873" s="36"/>
      <c r="U873" s="36"/>
      <c r="V873" s="36"/>
      <c r="W873" s="36"/>
      <c r="X873" s="36"/>
      <c r="Y873" s="36"/>
      <c r="Z873" s="36"/>
      <c r="AA873" s="36"/>
      <c r="AB873" s="42"/>
      <c r="AC873" s="42"/>
      <c r="AD873" s="36"/>
      <c r="AE873" s="36"/>
      <c r="AF873" s="42"/>
      <c r="AG873" s="42"/>
      <c r="AH873" s="36"/>
      <c r="AI873" s="36"/>
      <c r="AJ873" s="36"/>
      <c r="AK873" s="36"/>
      <c r="AL873" s="36"/>
      <c r="AM873" s="36"/>
      <c r="AN873" s="36"/>
    </row>
    <row r="874" spans="1:40" ht="15.75" x14ac:dyDescent="0.25">
      <c r="A874" s="44"/>
      <c r="B874" s="36"/>
      <c r="C874" s="36"/>
      <c r="D874" s="36"/>
      <c r="E874" s="36"/>
      <c r="F874" s="36"/>
      <c r="G874" s="36"/>
      <c r="H874" s="36"/>
      <c r="I874" s="36"/>
      <c r="J874" s="105"/>
      <c r="K874" s="36"/>
      <c r="L874" s="36"/>
      <c r="M874" s="36"/>
      <c r="N874" s="105"/>
      <c r="O874" s="36"/>
      <c r="P874" s="36"/>
      <c r="Q874" s="36"/>
      <c r="R874" s="105"/>
      <c r="S874" s="36"/>
      <c r="T874" s="36"/>
      <c r="U874" s="36"/>
      <c r="V874" s="36"/>
      <c r="W874" s="36"/>
      <c r="X874" s="36"/>
      <c r="Y874" s="36"/>
      <c r="Z874" s="36"/>
      <c r="AA874" s="36"/>
      <c r="AB874" s="42"/>
      <c r="AC874" s="42"/>
      <c r="AD874" s="36"/>
      <c r="AE874" s="36"/>
      <c r="AF874" s="42"/>
      <c r="AG874" s="42"/>
      <c r="AH874" s="36"/>
      <c r="AI874" s="36"/>
      <c r="AJ874" s="36"/>
      <c r="AK874" s="36"/>
      <c r="AL874" s="36"/>
      <c r="AM874" s="36"/>
      <c r="AN874" s="36"/>
    </row>
    <row r="875" spans="1:40" ht="15.75" x14ac:dyDescent="0.25">
      <c r="A875" s="44"/>
      <c r="B875" s="36"/>
      <c r="C875" s="36"/>
      <c r="D875" s="36"/>
      <c r="E875" s="36"/>
      <c r="F875" s="36"/>
      <c r="G875" s="36"/>
      <c r="H875" s="36"/>
      <c r="I875" s="36"/>
      <c r="J875" s="105"/>
      <c r="K875" s="36"/>
      <c r="L875" s="36"/>
      <c r="M875" s="36"/>
      <c r="N875" s="105"/>
      <c r="O875" s="36"/>
      <c r="P875" s="36"/>
      <c r="Q875" s="36"/>
      <c r="R875" s="105"/>
      <c r="S875" s="36"/>
      <c r="T875" s="36"/>
      <c r="U875" s="36"/>
      <c r="V875" s="36"/>
      <c r="W875" s="36"/>
      <c r="X875" s="36"/>
      <c r="Y875" s="36"/>
      <c r="Z875" s="36"/>
      <c r="AA875" s="36"/>
      <c r="AB875" s="42"/>
      <c r="AC875" s="42"/>
      <c r="AD875" s="36"/>
      <c r="AE875" s="36"/>
      <c r="AF875" s="42"/>
      <c r="AG875" s="42"/>
      <c r="AH875" s="36"/>
      <c r="AI875" s="36"/>
      <c r="AJ875" s="36"/>
      <c r="AK875" s="36"/>
      <c r="AL875" s="36"/>
      <c r="AM875" s="36"/>
      <c r="AN875" s="36"/>
    </row>
    <row r="876" spans="1:40" ht="15.75" x14ac:dyDescent="0.25">
      <c r="A876" s="44"/>
      <c r="B876" s="36"/>
      <c r="C876" s="36"/>
      <c r="D876" s="36"/>
      <c r="E876" s="36"/>
      <c r="F876" s="36"/>
      <c r="G876" s="36"/>
      <c r="H876" s="36"/>
      <c r="I876" s="36"/>
      <c r="J876" s="105"/>
      <c r="K876" s="36"/>
      <c r="L876" s="36"/>
      <c r="M876" s="36"/>
      <c r="N876" s="105"/>
      <c r="O876" s="36"/>
      <c r="P876" s="36"/>
      <c r="Q876" s="36"/>
      <c r="R876" s="105"/>
      <c r="S876" s="36"/>
      <c r="T876" s="36"/>
      <c r="U876" s="36"/>
      <c r="V876" s="36"/>
      <c r="W876" s="36"/>
      <c r="X876" s="36"/>
      <c r="Y876" s="36"/>
      <c r="Z876" s="36"/>
      <c r="AA876" s="36"/>
      <c r="AB876" s="42"/>
      <c r="AC876" s="42"/>
      <c r="AD876" s="36"/>
      <c r="AE876" s="36"/>
      <c r="AF876" s="42"/>
      <c r="AG876" s="42"/>
      <c r="AH876" s="36"/>
      <c r="AI876" s="36"/>
      <c r="AJ876" s="36"/>
      <c r="AK876" s="36"/>
      <c r="AL876" s="36"/>
      <c r="AM876" s="36"/>
      <c r="AN876" s="36"/>
    </row>
    <row r="877" spans="1:40" ht="15.75" x14ac:dyDescent="0.25">
      <c r="A877" s="44"/>
      <c r="B877" s="36"/>
      <c r="C877" s="36"/>
      <c r="D877" s="36"/>
      <c r="E877" s="36"/>
      <c r="F877" s="36"/>
      <c r="G877" s="36"/>
      <c r="H877" s="36"/>
      <c r="I877" s="36"/>
      <c r="J877" s="105"/>
      <c r="K877" s="36"/>
      <c r="L877" s="36"/>
      <c r="M877" s="36"/>
      <c r="N877" s="105"/>
      <c r="O877" s="36"/>
      <c r="P877" s="36"/>
      <c r="Q877" s="36"/>
      <c r="R877" s="105"/>
      <c r="S877" s="36"/>
      <c r="T877" s="36"/>
      <c r="U877" s="36"/>
      <c r="V877" s="36"/>
      <c r="W877" s="36"/>
      <c r="X877" s="36"/>
      <c r="Y877" s="36"/>
      <c r="Z877" s="36"/>
      <c r="AA877" s="36"/>
      <c r="AB877" s="42"/>
      <c r="AC877" s="42"/>
      <c r="AD877" s="36"/>
      <c r="AE877" s="36"/>
      <c r="AF877" s="42"/>
      <c r="AG877" s="42"/>
      <c r="AH877" s="36"/>
      <c r="AI877" s="36"/>
      <c r="AJ877" s="36"/>
      <c r="AK877" s="36"/>
      <c r="AL877" s="36"/>
      <c r="AM877" s="36"/>
      <c r="AN877" s="36"/>
    </row>
    <row r="878" spans="1:40" ht="15.75" x14ac:dyDescent="0.25">
      <c r="A878" s="44"/>
      <c r="B878" s="36"/>
      <c r="C878" s="36"/>
      <c r="D878" s="36"/>
      <c r="E878" s="36"/>
      <c r="F878" s="36"/>
      <c r="G878" s="36"/>
      <c r="H878" s="36"/>
      <c r="I878" s="36"/>
      <c r="J878" s="105"/>
      <c r="K878" s="36"/>
      <c r="L878" s="36"/>
      <c r="M878" s="36"/>
      <c r="N878" s="105"/>
      <c r="O878" s="36"/>
      <c r="P878" s="36"/>
      <c r="Q878" s="36"/>
      <c r="R878" s="105"/>
      <c r="S878" s="36"/>
      <c r="T878" s="36"/>
      <c r="U878" s="36"/>
      <c r="V878" s="36"/>
      <c r="W878" s="36"/>
      <c r="X878" s="36"/>
      <c r="Y878" s="36"/>
      <c r="Z878" s="36"/>
      <c r="AA878" s="36"/>
      <c r="AB878" s="42"/>
      <c r="AC878" s="42"/>
      <c r="AD878" s="36"/>
      <c r="AE878" s="36"/>
      <c r="AF878" s="42"/>
      <c r="AG878" s="42"/>
      <c r="AH878" s="36"/>
      <c r="AI878" s="36"/>
      <c r="AJ878" s="36"/>
      <c r="AK878" s="36"/>
      <c r="AL878" s="36"/>
      <c r="AM878" s="36"/>
      <c r="AN878" s="36"/>
    </row>
    <row r="879" spans="1:40" ht="15.75" x14ac:dyDescent="0.25">
      <c r="A879" s="44"/>
      <c r="B879" s="36"/>
      <c r="C879" s="36"/>
      <c r="D879" s="36"/>
      <c r="E879" s="36"/>
      <c r="F879" s="36"/>
      <c r="G879" s="36"/>
      <c r="H879" s="36"/>
      <c r="I879" s="36"/>
      <c r="J879" s="105"/>
      <c r="K879" s="36"/>
      <c r="L879" s="36"/>
      <c r="M879" s="36"/>
      <c r="N879" s="105"/>
      <c r="O879" s="36"/>
      <c r="P879" s="36"/>
      <c r="Q879" s="36"/>
      <c r="R879" s="105"/>
      <c r="S879" s="36"/>
      <c r="T879" s="36"/>
      <c r="U879" s="36"/>
      <c r="V879" s="36"/>
      <c r="W879" s="36"/>
      <c r="X879" s="36"/>
      <c r="Y879" s="36"/>
      <c r="Z879" s="36"/>
      <c r="AA879" s="36"/>
      <c r="AB879" s="42"/>
      <c r="AC879" s="42"/>
      <c r="AD879" s="36"/>
      <c r="AE879" s="36"/>
      <c r="AF879" s="42"/>
      <c r="AG879" s="42"/>
      <c r="AH879" s="36"/>
      <c r="AI879" s="36"/>
      <c r="AJ879" s="36"/>
      <c r="AK879" s="36"/>
      <c r="AL879" s="36"/>
      <c r="AM879" s="36"/>
      <c r="AN879" s="36"/>
    </row>
    <row r="880" spans="1:40" ht="15.75" x14ac:dyDescent="0.25">
      <c r="A880" s="44"/>
      <c r="B880" s="36"/>
      <c r="C880" s="36"/>
      <c r="D880" s="36"/>
      <c r="E880" s="36"/>
      <c r="F880" s="36"/>
      <c r="G880" s="36"/>
      <c r="H880" s="36"/>
      <c r="I880" s="36"/>
      <c r="J880" s="105"/>
      <c r="K880" s="36"/>
      <c r="L880" s="36"/>
      <c r="M880" s="36"/>
      <c r="N880" s="105"/>
      <c r="O880" s="36"/>
      <c r="P880" s="36"/>
      <c r="Q880" s="36"/>
      <c r="R880" s="105"/>
      <c r="S880" s="36"/>
      <c r="T880" s="36"/>
      <c r="U880" s="36"/>
      <c r="V880" s="36"/>
      <c r="W880" s="36"/>
      <c r="X880" s="36"/>
      <c r="Y880" s="36"/>
      <c r="Z880" s="36"/>
      <c r="AA880" s="36"/>
      <c r="AB880" s="42"/>
      <c r="AC880" s="42"/>
      <c r="AD880" s="36"/>
      <c r="AE880" s="36"/>
      <c r="AF880" s="42"/>
      <c r="AG880" s="42"/>
      <c r="AH880" s="36"/>
      <c r="AI880" s="36"/>
      <c r="AJ880" s="36"/>
      <c r="AK880" s="36"/>
      <c r="AL880" s="36"/>
      <c r="AM880" s="36"/>
      <c r="AN880" s="36"/>
    </row>
    <row r="881" spans="1:40" ht="15.75" x14ac:dyDescent="0.25">
      <c r="A881" s="44"/>
      <c r="B881" s="36"/>
      <c r="C881" s="36"/>
      <c r="D881" s="36"/>
      <c r="E881" s="36"/>
      <c r="F881" s="36"/>
      <c r="G881" s="36"/>
      <c r="H881" s="36"/>
      <c r="I881" s="36"/>
      <c r="J881" s="105"/>
      <c r="K881" s="36"/>
      <c r="L881" s="36"/>
      <c r="M881" s="36"/>
      <c r="N881" s="105"/>
      <c r="O881" s="36"/>
      <c r="P881" s="36"/>
      <c r="Q881" s="36"/>
      <c r="R881" s="105"/>
      <c r="S881" s="36"/>
      <c r="T881" s="36"/>
      <c r="U881" s="36"/>
      <c r="V881" s="36"/>
      <c r="W881" s="36"/>
      <c r="X881" s="36"/>
      <c r="Y881" s="36"/>
      <c r="Z881" s="36"/>
      <c r="AA881" s="36"/>
      <c r="AB881" s="42"/>
      <c r="AC881" s="42"/>
      <c r="AD881" s="36"/>
      <c r="AE881" s="36"/>
      <c r="AF881" s="42"/>
      <c r="AG881" s="42"/>
      <c r="AH881" s="36"/>
      <c r="AI881" s="36"/>
      <c r="AJ881" s="36"/>
      <c r="AK881" s="36"/>
      <c r="AL881" s="36"/>
      <c r="AM881" s="36"/>
      <c r="AN881" s="36"/>
    </row>
    <row r="882" spans="1:40" ht="15.75" x14ac:dyDescent="0.25">
      <c r="A882" s="44"/>
      <c r="B882" s="36"/>
      <c r="C882" s="36"/>
      <c r="D882" s="36"/>
      <c r="E882" s="36"/>
      <c r="F882" s="36"/>
      <c r="G882" s="36"/>
      <c r="H882" s="36"/>
      <c r="I882" s="36"/>
      <c r="J882" s="105"/>
      <c r="K882" s="36"/>
      <c r="L882" s="36"/>
      <c r="M882" s="36"/>
      <c r="N882" s="105"/>
      <c r="O882" s="36"/>
      <c r="P882" s="36"/>
      <c r="Q882" s="36"/>
      <c r="R882" s="105"/>
      <c r="S882" s="36"/>
      <c r="T882" s="36"/>
      <c r="U882" s="36"/>
      <c r="V882" s="36"/>
      <c r="W882" s="36"/>
      <c r="X882" s="36"/>
      <c r="Y882" s="36"/>
      <c r="Z882" s="36"/>
      <c r="AA882" s="36"/>
      <c r="AB882" s="42"/>
      <c r="AC882" s="42"/>
      <c r="AD882" s="36"/>
      <c r="AE882" s="36"/>
      <c r="AF882" s="42"/>
      <c r="AG882" s="42"/>
      <c r="AH882" s="36"/>
      <c r="AI882" s="36"/>
      <c r="AJ882" s="36"/>
      <c r="AK882" s="36"/>
      <c r="AL882" s="36"/>
      <c r="AM882" s="36"/>
      <c r="AN882" s="36"/>
    </row>
    <row r="883" spans="1:40" ht="15.75" x14ac:dyDescent="0.25">
      <c r="A883" s="44"/>
      <c r="B883" s="36"/>
      <c r="C883" s="36"/>
      <c r="D883" s="36"/>
      <c r="E883" s="36"/>
      <c r="F883" s="36"/>
      <c r="G883" s="36"/>
      <c r="H883" s="36"/>
      <c r="I883" s="36"/>
      <c r="J883" s="105"/>
      <c r="K883" s="36"/>
      <c r="L883" s="36"/>
      <c r="M883" s="36"/>
      <c r="N883" s="105"/>
      <c r="O883" s="36"/>
      <c r="P883" s="36"/>
      <c r="Q883" s="36"/>
      <c r="R883" s="105"/>
      <c r="S883" s="36"/>
      <c r="T883" s="36"/>
      <c r="U883" s="36"/>
      <c r="V883" s="36"/>
      <c r="W883" s="36"/>
      <c r="X883" s="36"/>
      <c r="Y883" s="36"/>
      <c r="Z883" s="36"/>
      <c r="AA883" s="36"/>
      <c r="AB883" s="42"/>
      <c r="AC883" s="42"/>
      <c r="AD883" s="36"/>
      <c r="AE883" s="36"/>
      <c r="AF883" s="42"/>
      <c r="AG883" s="42"/>
      <c r="AH883" s="36"/>
      <c r="AI883" s="36"/>
      <c r="AJ883" s="36"/>
      <c r="AK883" s="36"/>
      <c r="AL883" s="36"/>
      <c r="AM883" s="36"/>
      <c r="AN883" s="36"/>
    </row>
    <row r="884" spans="1:40" ht="15.75" x14ac:dyDescent="0.25">
      <c r="A884" s="44"/>
      <c r="B884" s="36"/>
      <c r="C884" s="36"/>
      <c r="D884" s="36"/>
      <c r="E884" s="36"/>
      <c r="F884" s="36"/>
      <c r="G884" s="36"/>
      <c r="H884" s="36"/>
      <c r="I884" s="36"/>
      <c r="J884" s="105"/>
      <c r="K884" s="36"/>
      <c r="L884" s="36"/>
      <c r="M884" s="36"/>
      <c r="N884" s="105"/>
      <c r="O884" s="36"/>
      <c r="P884" s="36"/>
      <c r="Q884" s="36"/>
      <c r="R884" s="105"/>
      <c r="S884" s="36"/>
      <c r="T884" s="36"/>
      <c r="U884" s="36"/>
      <c r="V884" s="36"/>
      <c r="W884" s="36"/>
      <c r="X884" s="36"/>
      <c r="Y884" s="36"/>
      <c r="Z884" s="36"/>
      <c r="AA884" s="36"/>
      <c r="AB884" s="42"/>
      <c r="AC884" s="42"/>
      <c r="AD884" s="36"/>
      <c r="AE884" s="36"/>
      <c r="AF884" s="42"/>
      <c r="AG884" s="42"/>
      <c r="AH884" s="36"/>
      <c r="AI884" s="36"/>
      <c r="AJ884" s="36"/>
      <c r="AK884" s="36"/>
      <c r="AL884" s="36"/>
      <c r="AM884" s="36"/>
      <c r="AN884" s="36"/>
    </row>
    <row r="885" spans="1:40" ht="15.75" x14ac:dyDescent="0.25">
      <c r="A885" s="44"/>
      <c r="B885" s="36"/>
      <c r="C885" s="36"/>
      <c r="D885" s="36"/>
      <c r="E885" s="36"/>
      <c r="F885" s="36"/>
      <c r="G885" s="36"/>
      <c r="H885" s="36"/>
      <c r="I885" s="36"/>
      <c r="J885" s="105"/>
      <c r="K885" s="36"/>
      <c r="L885" s="36"/>
      <c r="M885" s="36"/>
      <c r="N885" s="105"/>
      <c r="O885" s="36"/>
      <c r="P885" s="36"/>
      <c r="Q885" s="36"/>
      <c r="R885" s="105"/>
      <c r="S885" s="36"/>
      <c r="T885" s="36"/>
      <c r="U885" s="36"/>
      <c r="V885" s="36"/>
      <c r="W885" s="36"/>
      <c r="X885" s="36"/>
      <c r="Y885" s="36"/>
      <c r="Z885" s="36"/>
      <c r="AA885" s="36"/>
      <c r="AB885" s="42"/>
      <c r="AC885" s="42"/>
      <c r="AD885" s="36"/>
      <c r="AE885" s="36"/>
      <c r="AF885" s="42"/>
      <c r="AG885" s="42"/>
      <c r="AH885" s="36"/>
      <c r="AI885" s="36"/>
      <c r="AJ885" s="36"/>
      <c r="AK885" s="36"/>
      <c r="AL885" s="36"/>
      <c r="AM885" s="36"/>
      <c r="AN885" s="36"/>
    </row>
    <row r="886" spans="1:40" ht="15.75" x14ac:dyDescent="0.25">
      <c r="A886" s="44"/>
      <c r="B886" s="36"/>
      <c r="C886" s="36"/>
      <c r="D886" s="36"/>
      <c r="E886" s="36"/>
      <c r="F886" s="36"/>
      <c r="G886" s="36"/>
      <c r="H886" s="36"/>
      <c r="I886" s="36"/>
      <c r="J886" s="105"/>
      <c r="K886" s="36"/>
      <c r="L886" s="36"/>
      <c r="M886" s="36"/>
      <c r="N886" s="105"/>
      <c r="O886" s="36"/>
      <c r="P886" s="36"/>
      <c r="Q886" s="36"/>
      <c r="R886" s="105"/>
      <c r="S886" s="36"/>
      <c r="T886" s="36"/>
      <c r="U886" s="36"/>
      <c r="V886" s="36"/>
      <c r="W886" s="36"/>
      <c r="X886" s="36"/>
      <c r="Y886" s="36"/>
      <c r="Z886" s="36"/>
      <c r="AA886" s="36"/>
      <c r="AB886" s="42"/>
      <c r="AC886" s="42"/>
      <c r="AD886" s="36"/>
      <c r="AE886" s="36"/>
      <c r="AF886" s="42"/>
      <c r="AG886" s="42"/>
      <c r="AH886" s="36"/>
      <c r="AI886" s="36"/>
      <c r="AJ886" s="36"/>
      <c r="AK886" s="36"/>
      <c r="AL886" s="36"/>
      <c r="AM886" s="36"/>
      <c r="AN886" s="36"/>
    </row>
    <row r="887" spans="1:40" ht="15.75" x14ac:dyDescent="0.25">
      <c r="A887" s="44"/>
      <c r="B887" s="36"/>
      <c r="C887" s="36"/>
      <c r="D887" s="36"/>
      <c r="E887" s="36"/>
      <c r="F887" s="36"/>
      <c r="G887" s="36"/>
      <c r="H887" s="36"/>
      <c r="I887" s="36"/>
      <c r="J887" s="105"/>
      <c r="K887" s="36"/>
      <c r="L887" s="36"/>
      <c r="M887" s="36"/>
      <c r="N887" s="105"/>
      <c r="O887" s="36"/>
      <c r="P887" s="36"/>
      <c r="Q887" s="36"/>
      <c r="R887" s="105"/>
      <c r="S887" s="36"/>
      <c r="T887" s="36"/>
      <c r="U887" s="36"/>
      <c r="V887" s="36"/>
      <c r="W887" s="36"/>
      <c r="X887" s="36"/>
      <c r="Y887" s="36"/>
      <c r="Z887" s="36"/>
      <c r="AA887" s="36"/>
      <c r="AB887" s="42"/>
      <c r="AC887" s="42"/>
      <c r="AD887" s="36"/>
      <c r="AE887" s="36"/>
      <c r="AF887" s="42"/>
      <c r="AG887" s="42"/>
      <c r="AH887" s="36"/>
      <c r="AI887" s="36"/>
      <c r="AJ887" s="36"/>
      <c r="AK887" s="36"/>
      <c r="AL887" s="36"/>
      <c r="AM887" s="36"/>
      <c r="AN887" s="36"/>
    </row>
    <row r="888" spans="1:40" ht="15.75" x14ac:dyDescent="0.25">
      <c r="A888" s="44"/>
      <c r="B888" s="36"/>
      <c r="C888" s="36"/>
      <c r="D888" s="36"/>
      <c r="E888" s="36"/>
      <c r="F888" s="36"/>
      <c r="G888" s="36"/>
      <c r="H888" s="36"/>
      <c r="I888" s="36"/>
      <c r="J888" s="105"/>
      <c r="K888" s="36"/>
      <c r="L888" s="36"/>
      <c r="M888" s="36"/>
      <c r="N888" s="105"/>
      <c r="O888" s="36"/>
      <c r="P888" s="36"/>
      <c r="Q888" s="36"/>
      <c r="R888" s="105"/>
      <c r="S888" s="36"/>
      <c r="T888" s="36"/>
      <c r="U888" s="36"/>
      <c r="V888" s="36"/>
      <c r="W888" s="36"/>
      <c r="X888" s="36"/>
      <c r="Y888" s="36"/>
      <c r="Z888" s="36"/>
      <c r="AA888" s="36"/>
      <c r="AB888" s="42"/>
      <c r="AC888" s="42"/>
      <c r="AD888" s="36"/>
      <c r="AE888" s="36"/>
      <c r="AF888" s="42"/>
      <c r="AG888" s="42"/>
      <c r="AH888" s="36"/>
      <c r="AI888" s="36"/>
      <c r="AJ888" s="36"/>
      <c r="AK888" s="36"/>
      <c r="AL888" s="36"/>
      <c r="AM888" s="36"/>
      <c r="AN888" s="36"/>
    </row>
    <row r="889" spans="1:40" ht="15.75" x14ac:dyDescent="0.25">
      <c r="A889" s="44"/>
      <c r="B889" s="36"/>
      <c r="C889" s="36"/>
      <c r="D889" s="36"/>
      <c r="E889" s="36"/>
      <c r="F889" s="36"/>
      <c r="G889" s="36"/>
      <c r="H889" s="36"/>
      <c r="I889" s="36"/>
      <c r="J889" s="105"/>
      <c r="K889" s="36"/>
      <c r="L889" s="36"/>
      <c r="M889" s="36"/>
      <c r="N889" s="105"/>
      <c r="O889" s="36"/>
      <c r="P889" s="36"/>
      <c r="Q889" s="36"/>
      <c r="R889" s="105"/>
      <c r="S889" s="36"/>
      <c r="T889" s="36"/>
      <c r="U889" s="36"/>
      <c r="V889" s="36"/>
      <c r="W889" s="36"/>
      <c r="X889" s="36"/>
      <c r="Y889" s="36"/>
      <c r="Z889" s="36"/>
      <c r="AA889" s="36"/>
      <c r="AB889" s="42"/>
      <c r="AC889" s="42"/>
      <c r="AD889" s="36"/>
      <c r="AE889" s="36"/>
      <c r="AF889" s="42"/>
      <c r="AG889" s="42"/>
      <c r="AH889" s="36"/>
      <c r="AI889" s="36"/>
      <c r="AJ889" s="36"/>
      <c r="AK889" s="36"/>
      <c r="AL889" s="36"/>
      <c r="AM889" s="36"/>
      <c r="AN889" s="36"/>
    </row>
    <row r="890" spans="1:40" ht="15.75" x14ac:dyDescent="0.25">
      <c r="A890" s="44"/>
      <c r="B890" s="36"/>
      <c r="C890" s="36"/>
      <c r="D890" s="36"/>
      <c r="E890" s="36"/>
      <c r="F890" s="36"/>
      <c r="G890" s="36"/>
      <c r="H890" s="36"/>
      <c r="I890" s="36"/>
      <c r="J890" s="105"/>
      <c r="K890" s="36"/>
      <c r="L890" s="36"/>
      <c r="M890" s="36"/>
      <c r="N890" s="105"/>
      <c r="O890" s="36"/>
      <c r="P890" s="36"/>
      <c r="Q890" s="36"/>
      <c r="R890" s="105"/>
      <c r="S890" s="36"/>
      <c r="T890" s="36"/>
      <c r="U890" s="36"/>
      <c r="V890" s="36"/>
      <c r="W890" s="36"/>
      <c r="X890" s="36"/>
      <c r="Y890" s="36"/>
      <c r="Z890" s="36"/>
      <c r="AA890" s="36"/>
      <c r="AB890" s="42"/>
      <c r="AC890" s="42"/>
      <c r="AD890" s="36"/>
      <c r="AE890" s="36"/>
      <c r="AF890" s="42"/>
      <c r="AG890" s="42"/>
      <c r="AH890" s="36"/>
      <c r="AI890" s="36"/>
      <c r="AJ890" s="36"/>
      <c r="AK890" s="36"/>
      <c r="AL890" s="36"/>
      <c r="AM890" s="36"/>
      <c r="AN890" s="36"/>
    </row>
    <row r="891" spans="1:40" ht="15.75" x14ac:dyDescent="0.25">
      <c r="A891" s="44"/>
      <c r="B891" s="36"/>
      <c r="C891" s="36"/>
      <c r="D891" s="36"/>
      <c r="E891" s="36"/>
      <c r="F891" s="36"/>
      <c r="G891" s="36"/>
      <c r="H891" s="36"/>
      <c r="I891" s="36"/>
      <c r="J891" s="105"/>
      <c r="K891" s="36"/>
      <c r="L891" s="36"/>
      <c r="M891" s="36"/>
      <c r="N891" s="105"/>
      <c r="O891" s="36"/>
      <c r="P891" s="36"/>
      <c r="Q891" s="36"/>
      <c r="R891" s="105"/>
      <c r="S891" s="36"/>
      <c r="T891" s="36"/>
      <c r="U891" s="36"/>
      <c r="V891" s="36"/>
      <c r="W891" s="36"/>
      <c r="X891" s="36"/>
      <c r="Y891" s="36"/>
      <c r="Z891" s="36"/>
      <c r="AA891" s="36"/>
      <c r="AB891" s="42"/>
      <c r="AC891" s="42"/>
      <c r="AD891" s="36"/>
      <c r="AE891" s="36"/>
      <c r="AF891" s="42"/>
      <c r="AG891" s="42"/>
      <c r="AH891" s="36"/>
      <c r="AI891" s="36"/>
      <c r="AJ891" s="36"/>
      <c r="AK891" s="36"/>
      <c r="AL891" s="36"/>
      <c r="AM891" s="36"/>
      <c r="AN891" s="36"/>
    </row>
    <row r="892" spans="1:40" ht="15.75" x14ac:dyDescent="0.25">
      <c r="A892" s="44"/>
      <c r="B892" s="36"/>
      <c r="C892" s="36"/>
      <c r="D892" s="36"/>
      <c r="E892" s="36"/>
      <c r="F892" s="36"/>
      <c r="G892" s="36"/>
      <c r="H892" s="36"/>
      <c r="I892" s="36"/>
      <c r="J892" s="105"/>
      <c r="K892" s="36"/>
      <c r="L892" s="36"/>
      <c r="M892" s="36"/>
      <c r="N892" s="105"/>
      <c r="O892" s="36"/>
      <c r="P892" s="36"/>
      <c r="Q892" s="36"/>
      <c r="R892" s="105"/>
      <c r="S892" s="36"/>
      <c r="T892" s="36"/>
      <c r="U892" s="36"/>
      <c r="V892" s="36"/>
      <c r="W892" s="36"/>
      <c r="X892" s="36"/>
      <c r="Y892" s="36"/>
      <c r="Z892" s="36"/>
      <c r="AA892" s="36"/>
      <c r="AB892" s="42"/>
      <c r="AC892" s="42"/>
      <c r="AD892" s="36"/>
      <c r="AE892" s="36"/>
      <c r="AF892" s="42"/>
      <c r="AG892" s="42"/>
      <c r="AH892" s="36"/>
      <c r="AI892" s="36"/>
      <c r="AJ892" s="36"/>
      <c r="AK892" s="36"/>
      <c r="AL892" s="36"/>
      <c r="AM892" s="36"/>
      <c r="AN892" s="36"/>
    </row>
    <row r="893" spans="1:40" ht="15.75" x14ac:dyDescent="0.25">
      <c r="A893" s="44"/>
      <c r="B893" s="36"/>
      <c r="C893" s="36"/>
      <c r="D893" s="36"/>
      <c r="E893" s="36"/>
      <c r="F893" s="36"/>
      <c r="G893" s="36"/>
      <c r="H893" s="36"/>
      <c r="I893" s="36"/>
      <c r="J893" s="105"/>
      <c r="K893" s="36"/>
      <c r="L893" s="36"/>
      <c r="M893" s="36"/>
      <c r="N893" s="105"/>
      <c r="O893" s="36"/>
      <c r="P893" s="36"/>
      <c r="Q893" s="36"/>
      <c r="R893" s="105"/>
      <c r="S893" s="36"/>
      <c r="T893" s="36"/>
      <c r="U893" s="36"/>
      <c r="V893" s="36"/>
      <c r="W893" s="36"/>
      <c r="X893" s="36"/>
      <c r="Y893" s="36"/>
      <c r="Z893" s="36"/>
      <c r="AA893" s="36"/>
      <c r="AB893" s="42"/>
      <c r="AC893" s="42"/>
      <c r="AD893" s="36"/>
      <c r="AE893" s="36"/>
      <c r="AF893" s="42"/>
      <c r="AG893" s="42"/>
      <c r="AH893" s="36"/>
      <c r="AI893" s="36"/>
      <c r="AJ893" s="36"/>
      <c r="AK893" s="36"/>
      <c r="AL893" s="36"/>
      <c r="AM893" s="36"/>
      <c r="AN893" s="36"/>
    </row>
    <row r="894" spans="1:40" ht="15.75" x14ac:dyDescent="0.25">
      <c r="A894" s="44"/>
      <c r="B894" s="36"/>
      <c r="C894" s="36"/>
      <c r="D894" s="36"/>
      <c r="E894" s="36"/>
      <c r="F894" s="36"/>
      <c r="G894" s="36"/>
      <c r="H894" s="36"/>
      <c r="I894" s="36"/>
      <c r="J894" s="105"/>
      <c r="K894" s="36"/>
      <c r="L894" s="36"/>
      <c r="M894" s="36"/>
      <c r="N894" s="105"/>
      <c r="O894" s="36"/>
      <c r="P894" s="36"/>
      <c r="Q894" s="36"/>
      <c r="R894" s="105"/>
      <c r="S894" s="36"/>
      <c r="T894" s="36"/>
      <c r="U894" s="36"/>
      <c r="V894" s="36"/>
      <c r="W894" s="36"/>
      <c r="X894" s="36"/>
      <c r="Y894" s="36"/>
      <c r="Z894" s="36"/>
      <c r="AA894" s="36"/>
      <c r="AB894" s="42"/>
      <c r="AC894" s="42"/>
      <c r="AD894" s="36"/>
      <c r="AE894" s="36"/>
      <c r="AF894" s="42"/>
      <c r="AG894" s="42"/>
      <c r="AH894" s="36"/>
      <c r="AI894" s="36"/>
      <c r="AJ894" s="36"/>
      <c r="AK894" s="36"/>
      <c r="AL894" s="36"/>
      <c r="AM894" s="36"/>
      <c r="AN894" s="36"/>
    </row>
    <row r="895" spans="1:40" ht="15.75" x14ac:dyDescent="0.25">
      <c r="A895" s="44"/>
      <c r="B895" s="36"/>
      <c r="C895" s="36"/>
      <c r="D895" s="36"/>
      <c r="E895" s="36"/>
      <c r="F895" s="36"/>
      <c r="G895" s="36"/>
      <c r="H895" s="36"/>
      <c r="I895" s="36"/>
      <c r="J895" s="105"/>
      <c r="K895" s="36"/>
      <c r="L895" s="36"/>
      <c r="M895" s="36"/>
      <c r="N895" s="105"/>
      <c r="O895" s="36"/>
      <c r="P895" s="36"/>
      <c r="Q895" s="36"/>
      <c r="R895" s="105"/>
      <c r="S895" s="36"/>
      <c r="T895" s="36"/>
      <c r="U895" s="36"/>
      <c r="V895" s="36"/>
      <c r="W895" s="36"/>
      <c r="X895" s="36"/>
      <c r="Y895" s="36"/>
      <c r="Z895" s="36"/>
      <c r="AA895" s="36"/>
      <c r="AB895" s="42"/>
      <c r="AC895" s="42"/>
      <c r="AD895" s="36"/>
      <c r="AE895" s="36"/>
      <c r="AF895" s="42"/>
      <c r="AG895" s="42"/>
      <c r="AH895" s="36"/>
      <c r="AI895" s="36"/>
      <c r="AJ895" s="36"/>
      <c r="AK895" s="36"/>
      <c r="AL895" s="36"/>
      <c r="AM895" s="36"/>
      <c r="AN895" s="36"/>
    </row>
    <row r="896" spans="1:40" ht="15.75" x14ac:dyDescent="0.25">
      <c r="A896" s="44"/>
      <c r="B896" s="36"/>
      <c r="C896" s="36"/>
      <c r="D896" s="36"/>
      <c r="E896" s="36"/>
      <c r="F896" s="36"/>
      <c r="G896" s="36"/>
      <c r="H896" s="36"/>
      <c r="I896" s="36"/>
      <c r="J896" s="105"/>
      <c r="K896" s="36"/>
      <c r="L896" s="36"/>
      <c r="M896" s="36"/>
      <c r="N896" s="105"/>
      <c r="O896" s="36"/>
      <c r="P896" s="36"/>
      <c r="Q896" s="36"/>
      <c r="R896" s="105"/>
      <c r="S896" s="36"/>
      <c r="T896" s="36"/>
      <c r="U896" s="36"/>
      <c r="V896" s="36"/>
      <c r="W896" s="36"/>
      <c r="X896" s="36"/>
      <c r="Y896" s="36"/>
      <c r="Z896" s="36"/>
      <c r="AA896" s="36"/>
      <c r="AB896" s="42"/>
      <c r="AC896" s="42"/>
      <c r="AD896" s="36"/>
      <c r="AE896" s="36"/>
      <c r="AF896" s="42"/>
      <c r="AG896" s="42"/>
      <c r="AH896" s="36"/>
      <c r="AI896" s="36"/>
      <c r="AJ896" s="36"/>
      <c r="AK896" s="36"/>
      <c r="AL896" s="36"/>
      <c r="AM896" s="36"/>
      <c r="AN896" s="36"/>
    </row>
    <row r="897" spans="1:40" ht="15.75" x14ac:dyDescent="0.25">
      <c r="A897" s="44"/>
      <c r="B897" s="36"/>
      <c r="C897" s="36"/>
      <c r="D897" s="36"/>
      <c r="E897" s="36"/>
      <c r="F897" s="36"/>
      <c r="G897" s="36"/>
      <c r="H897" s="36"/>
      <c r="I897" s="36"/>
      <c r="J897" s="105"/>
      <c r="K897" s="36"/>
      <c r="L897" s="36"/>
      <c r="M897" s="36"/>
      <c r="N897" s="105"/>
      <c r="O897" s="36"/>
      <c r="P897" s="36"/>
      <c r="Q897" s="36"/>
      <c r="R897" s="105"/>
      <c r="S897" s="36"/>
      <c r="T897" s="36"/>
      <c r="U897" s="36"/>
      <c r="V897" s="36"/>
      <c r="W897" s="36"/>
      <c r="X897" s="36"/>
      <c r="Y897" s="36"/>
      <c r="Z897" s="36"/>
      <c r="AA897" s="36"/>
      <c r="AB897" s="42"/>
      <c r="AC897" s="42"/>
      <c r="AD897" s="36"/>
      <c r="AE897" s="36"/>
      <c r="AF897" s="42"/>
      <c r="AG897" s="42"/>
      <c r="AH897" s="36"/>
      <c r="AI897" s="36"/>
      <c r="AJ897" s="36"/>
      <c r="AK897" s="36"/>
      <c r="AL897" s="36"/>
      <c r="AM897" s="36"/>
      <c r="AN897" s="36"/>
    </row>
    <row r="898" spans="1:40" ht="15.75" x14ac:dyDescent="0.25">
      <c r="A898" s="44"/>
      <c r="B898" s="36"/>
      <c r="C898" s="36"/>
      <c r="D898" s="36"/>
      <c r="E898" s="36"/>
      <c r="F898" s="36"/>
      <c r="G898" s="36"/>
      <c r="H898" s="36"/>
      <c r="I898" s="36"/>
      <c r="J898" s="105"/>
      <c r="K898" s="36"/>
      <c r="L898" s="36"/>
      <c r="M898" s="36"/>
      <c r="N898" s="105"/>
      <c r="O898" s="36"/>
      <c r="P898" s="36"/>
      <c r="Q898" s="36"/>
      <c r="R898" s="105"/>
      <c r="S898" s="36"/>
      <c r="T898" s="36"/>
      <c r="U898" s="36"/>
      <c r="V898" s="36"/>
      <c r="W898" s="36"/>
      <c r="X898" s="36"/>
      <c r="Y898" s="36"/>
      <c r="Z898" s="36"/>
      <c r="AA898" s="36"/>
      <c r="AB898" s="42"/>
      <c r="AC898" s="42"/>
      <c r="AD898" s="36"/>
      <c r="AE898" s="36"/>
      <c r="AF898" s="42"/>
      <c r="AG898" s="42"/>
      <c r="AH898" s="36"/>
      <c r="AI898" s="36"/>
      <c r="AJ898" s="36"/>
      <c r="AK898" s="36"/>
      <c r="AL898" s="36"/>
      <c r="AM898" s="36"/>
      <c r="AN898" s="36"/>
    </row>
    <row r="899" spans="1:40" ht="15.75" x14ac:dyDescent="0.25">
      <c r="A899" s="44"/>
      <c r="B899" s="36"/>
      <c r="C899" s="36"/>
      <c r="D899" s="36"/>
      <c r="E899" s="36"/>
      <c r="F899" s="36"/>
      <c r="G899" s="36"/>
      <c r="H899" s="36"/>
      <c r="I899" s="36"/>
      <c r="J899" s="105"/>
      <c r="K899" s="36"/>
      <c r="L899" s="36"/>
      <c r="M899" s="36"/>
      <c r="N899" s="105"/>
      <c r="O899" s="36"/>
      <c r="P899" s="36"/>
      <c r="Q899" s="36"/>
      <c r="R899" s="105"/>
      <c r="S899" s="36"/>
      <c r="T899" s="36"/>
      <c r="U899" s="36"/>
      <c r="V899" s="36"/>
      <c r="W899" s="36"/>
      <c r="X899" s="36"/>
      <c r="Y899" s="36"/>
      <c r="Z899" s="36"/>
      <c r="AA899" s="36"/>
      <c r="AB899" s="42"/>
      <c r="AC899" s="42"/>
      <c r="AD899" s="36"/>
      <c r="AE899" s="36"/>
      <c r="AF899" s="42"/>
      <c r="AG899" s="42"/>
      <c r="AH899" s="36"/>
      <c r="AI899" s="36"/>
      <c r="AJ899" s="36"/>
      <c r="AK899" s="36"/>
      <c r="AL899" s="36"/>
      <c r="AM899" s="36"/>
      <c r="AN899" s="36"/>
    </row>
    <row r="900" spans="1:40" ht="15.75" x14ac:dyDescent="0.25">
      <c r="A900" s="44"/>
      <c r="B900" s="36"/>
      <c r="C900" s="36"/>
      <c r="D900" s="36"/>
      <c r="E900" s="36"/>
      <c r="F900" s="36"/>
      <c r="G900" s="36"/>
      <c r="H900" s="36"/>
      <c r="I900" s="36"/>
      <c r="J900" s="105"/>
      <c r="K900" s="36"/>
      <c r="L900" s="36"/>
      <c r="M900" s="36"/>
      <c r="N900" s="105"/>
      <c r="O900" s="36"/>
      <c r="P900" s="36"/>
      <c r="Q900" s="36"/>
      <c r="R900" s="105"/>
      <c r="S900" s="36"/>
      <c r="T900" s="36"/>
      <c r="U900" s="36"/>
      <c r="V900" s="36"/>
      <c r="W900" s="36"/>
      <c r="X900" s="36"/>
      <c r="Y900" s="36"/>
      <c r="Z900" s="36"/>
      <c r="AA900" s="36"/>
      <c r="AB900" s="42"/>
      <c r="AC900" s="42"/>
      <c r="AD900" s="36"/>
      <c r="AE900" s="36"/>
      <c r="AF900" s="42"/>
      <c r="AG900" s="42"/>
      <c r="AH900" s="36"/>
      <c r="AI900" s="36"/>
      <c r="AJ900" s="36"/>
      <c r="AK900" s="36"/>
      <c r="AL900" s="36"/>
      <c r="AM900" s="36"/>
      <c r="AN900" s="36"/>
    </row>
    <row r="901" spans="1:40" ht="15.75" x14ac:dyDescent="0.25">
      <c r="A901" s="44"/>
      <c r="B901" s="36"/>
      <c r="C901" s="36"/>
      <c r="D901" s="36"/>
      <c r="E901" s="36"/>
      <c r="F901" s="36"/>
      <c r="G901" s="36"/>
      <c r="H901" s="36"/>
      <c r="I901" s="36"/>
      <c r="J901" s="105"/>
      <c r="K901" s="36"/>
      <c r="L901" s="36"/>
      <c r="M901" s="36"/>
      <c r="N901" s="105"/>
      <c r="O901" s="36"/>
      <c r="P901" s="36"/>
      <c r="Q901" s="36"/>
      <c r="R901" s="105"/>
      <c r="S901" s="36"/>
      <c r="T901" s="36"/>
      <c r="U901" s="36"/>
      <c r="V901" s="36"/>
      <c r="W901" s="36"/>
      <c r="X901" s="36"/>
      <c r="Y901" s="36"/>
      <c r="Z901" s="36"/>
      <c r="AA901" s="36"/>
      <c r="AB901" s="42"/>
      <c r="AC901" s="42"/>
      <c r="AD901" s="36"/>
      <c r="AE901" s="36"/>
      <c r="AF901" s="42"/>
      <c r="AG901" s="42"/>
      <c r="AH901" s="36"/>
      <c r="AI901" s="36"/>
      <c r="AJ901" s="36"/>
      <c r="AK901" s="36"/>
      <c r="AL901" s="36"/>
      <c r="AM901" s="36"/>
      <c r="AN901" s="36"/>
    </row>
    <row r="902" spans="1:40" ht="15.75" x14ac:dyDescent="0.25">
      <c r="A902" s="44"/>
      <c r="B902" s="36"/>
      <c r="C902" s="36"/>
      <c r="D902" s="36"/>
      <c r="E902" s="36"/>
      <c r="F902" s="36"/>
      <c r="G902" s="36"/>
      <c r="H902" s="36"/>
      <c r="I902" s="36"/>
      <c r="J902" s="105"/>
      <c r="K902" s="36"/>
      <c r="L902" s="36"/>
      <c r="M902" s="36"/>
      <c r="N902" s="105"/>
      <c r="O902" s="36"/>
      <c r="P902" s="36"/>
      <c r="Q902" s="36"/>
      <c r="R902" s="105"/>
      <c r="S902" s="36"/>
      <c r="T902" s="36"/>
      <c r="U902" s="36"/>
      <c r="V902" s="36"/>
      <c r="W902" s="36"/>
      <c r="X902" s="36"/>
      <c r="Y902" s="36"/>
      <c r="Z902" s="36"/>
      <c r="AA902" s="36"/>
      <c r="AB902" s="42"/>
      <c r="AC902" s="42"/>
      <c r="AD902" s="36"/>
      <c r="AE902" s="36"/>
      <c r="AF902" s="42"/>
      <c r="AG902" s="42"/>
      <c r="AH902" s="36"/>
      <c r="AI902" s="36"/>
      <c r="AJ902" s="36"/>
      <c r="AK902" s="36"/>
      <c r="AL902" s="36"/>
      <c r="AM902" s="36"/>
      <c r="AN902" s="36"/>
    </row>
    <row r="903" spans="1:40" ht="15.75" x14ac:dyDescent="0.25">
      <c r="A903" s="44"/>
      <c r="B903" s="36"/>
      <c r="C903" s="36"/>
      <c r="D903" s="36"/>
      <c r="E903" s="36"/>
      <c r="F903" s="36"/>
      <c r="G903" s="36"/>
      <c r="H903" s="36"/>
      <c r="I903" s="36"/>
      <c r="J903" s="105"/>
      <c r="K903" s="36"/>
      <c r="L903" s="36"/>
      <c r="M903" s="36"/>
      <c r="N903" s="105"/>
      <c r="O903" s="36"/>
      <c r="P903" s="36"/>
      <c r="Q903" s="36"/>
      <c r="R903" s="105"/>
      <c r="S903" s="36"/>
      <c r="T903" s="36"/>
      <c r="U903" s="36"/>
      <c r="V903" s="36"/>
      <c r="W903" s="36"/>
      <c r="X903" s="36"/>
      <c r="Y903" s="36"/>
      <c r="Z903" s="36"/>
      <c r="AA903" s="36"/>
      <c r="AB903" s="42"/>
      <c r="AC903" s="42"/>
      <c r="AD903" s="36"/>
      <c r="AE903" s="36"/>
      <c r="AF903" s="42"/>
      <c r="AG903" s="42"/>
      <c r="AH903" s="36"/>
      <c r="AI903" s="36"/>
      <c r="AJ903" s="36"/>
      <c r="AK903" s="36"/>
      <c r="AL903" s="36"/>
      <c r="AM903" s="36"/>
      <c r="AN903" s="36"/>
    </row>
    <row r="904" spans="1:40" ht="15.75" x14ac:dyDescent="0.25">
      <c r="A904" s="44"/>
      <c r="B904" s="36"/>
      <c r="C904" s="36"/>
      <c r="D904" s="36"/>
      <c r="E904" s="36"/>
      <c r="F904" s="36"/>
      <c r="G904" s="36"/>
      <c r="H904" s="36"/>
      <c r="I904" s="36"/>
      <c r="J904" s="105"/>
      <c r="K904" s="36"/>
      <c r="L904" s="36"/>
      <c r="M904" s="36"/>
      <c r="N904" s="105"/>
      <c r="O904" s="36"/>
      <c r="P904" s="36"/>
      <c r="Q904" s="36"/>
      <c r="R904" s="105"/>
      <c r="S904" s="36"/>
      <c r="T904" s="36"/>
      <c r="U904" s="36"/>
      <c r="V904" s="36"/>
      <c r="W904" s="36"/>
      <c r="X904" s="36"/>
      <c r="Y904" s="36"/>
      <c r="Z904" s="36"/>
      <c r="AA904" s="36"/>
      <c r="AB904" s="42"/>
      <c r="AC904" s="42"/>
      <c r="AD904" s="36"/>
      <c r="AE904" s="36"/>
      <c r="AF904" s="42"/>
      <c r="AG904" s="42"/>
      <c r="AH904" s="36"/>
      <c r="AI904" s="36"/>
      <c r="AJ904" s="36"/>
      <c r="AK904" s="36"/>
      <c r="AL904" s="36"/>
      <c r="AM904" s="36"/>
      <c r="AN904" s="36"/>
    </row>
    <row r="905" spans="1:40" ht="15.75" x14ac:dyDescent="0.25">
      <c r="A905" s="44"/>
      <c r="B905" s="36"/>
      <c r="C905" s="36"/>
      <c r="D905" s="36"/>
      <c r="E905" s="36"/>
      <c r="F905" s="36"/>
      <c r="G905" s="36"/>
      <c r="H905" s="36"/>
      <c r="I905" s="36"/>
      <c r="J905" s="105"/>
      <c r="K905" s="36"/>
      <c r="L905" s="36"/>
      <c r="M905" s="36"/>
      <c r="N905" s="105"/>
      <c r="O905" s="36"/>
      <c r="P905" s="36"/>
      <c r="Q905" s="36"/>
      <c r="R905" s="105"/>
      <c r="S905" s="36"/>
      <c r="T905" s="36"/>
      <c r="U905" s="36"/>
      <c r="V905" s="36"/>
      <c r="W905" s="36"/>
      <c r="X905" s="36"/>
      <c r="Y905" s="36"/>
      <c r="Z905" s="36"/>
      <c r="AA905" s="36"/>
      <c r="AB905" s="42"/>
      <c r="AC905" s="42"/>
      <c r="AD905" s="36"/>
      <c r="AE905" s="36"/>
      <c r="AF905" s="42"/>
      <c r="AG905" s="42"/>
      <c r="AH905" s="36"/>
      <c r="AI905" s="36"/>
      <c r="AJ905" s="36"/>
      <c r="AK905" s="36"/>
      <c r="AL905" s="36"/>
      <c r="AM905" s="36"/>
      <c r="AN905" s="36"/>
    </row>
    <row r="906" spans="1:40" ht="15.75" x14ac:dyDescent="0.25">
      <c r="A906" s="44"/>
      <c r="B906" s="36"/>
      <c r="C906" s="36"/>
      <c r="D906" s="36"/>
      <c r="E906" s="36"/>
      <c r="F906" s="36"/>
      <c r="G906" s="36"/>
      <c r="H906" s="36"/>
      <c r="I906" s="36"/>
      <c r="J906" s="105"/>
      <c r="K906" s="36"/>
      <c r="L906" s="36"/>
      <c r="M906" s="36"/>
      <c r="N906" s="105"/>
      <c r="O906" s="36"/>
      <c r="P906" s="36"/>
      <c r="Q906" s="36"/>
      <c r="R906" s="105"/>
      <c r="S906" s="36"/>
      <c r="T906" s="36"/>
      <c r="U906" s="36"/>
      <c r="V906" s="36"/>
      <c r="W906" s="36"/>
      <c r="X906" s="36"/>
      <c r="Y906" s="36"/>
      <c r="Z906" s="36"/>
      <c r="AA906" s="36"/>
      <c r="AB906" s="42"/>
      <c r="AC906" s="42"/>
      <c r="AD906" s="36"/>
      <c r="AE906" s="36"/>
      <c r="AF906" s="42"/>
      <c r="AG906" s="42"/>
      <c r="AH906" s="36"/>
      <c r="AI906" s="36"/>
      <c r="AJ906" s="36"/>
      <c r="AK906" s="36"/>
      <c r="AL906" s="36"/>
      <c r="AM906" s="36"/>
      <c r="AN906" s="36"/>
    </row>
    <row r="907" spans="1:40" ht="15.75" x14ac:dyDescent="0.25">
      <c r="A907" s="44"/>
      <c r="B907" s="36"/>
      <c r="C907" s="36"/>
      <c r="D907" s="36"/>
      <c r="E907" s="36"/>
      <c r="F907" s="36"/>
      <c r="G907" s="36"/>
      <c r="H907" s="36"/>
      <c r="I907" s="36"/>
      <c r="J907" s="105"/>
      <c r="K907" s="36"/>
      <c r="L907" s="36"/>
      <c r="M907" s="36"/>
      <c r="N907" s="105"/>
      <c r="O907" s="36"/>
      <c r="P907" s="36"/>
      <c r="Q907" s="36"/>
      <c r="R907" s="105"/>
      <c r="S907" s="36"/>
      <c r="T907" s="36"/>
      <c r="U907" s="36"/>
      <c r="V907" s="36"/>
      <c r="W907" s="36"/>
      <c r="X907" s="36"/>
      <c r="Y907" s="36"/>
      <c r="Z907" s="36"/>
      <c r="AA907" s="36"/>
      <c r="AB907" s="42"/>
      <c r="AC907" s="42"/>
      <c r="AD907" s="36"/>
      <c r="AE907" s="36"/>
      <c r="AF907" s="42"/>
      <c r="AG907" s="42"/>
      <c r="AH907" s="36"/>
      <c r="AI907" s="36"/>
      <c r="AJ907" s="36"/>
      <c r="AK907" s="36"/>
      <c r="AL907" s="36"/>
      <c r="AM907" s="36"/>
      <c r="AN907" s="36"/>
    </row>
    <row r="908" spans="1:40" ht="15.75" x14ac:dyDescent="0.25">
      <c r="A908" s="44"/>
      <c r="B908" s="36"/>
      <c r="C908" s="36"/>
      <c r="D908" s="36"/>
      <c r="E908" s="36"/>
      <c r="F908" s="36"/>
      <c r="G908" s="36"/>
      <c r="H908" s="36"/>
      <c r="I908" s="36"/>
      <c r="J908" s="105"/>
      <c r="K908" s="36"/>
      <c r="L908" s="36"/>
      <c r="M908" s="36"/>
      <c r="N908" s="105"/>
      <c r="O908" s="36"/>
      <c r="P908" s="36"/>
      <c r="Q908" s="36"/>
      <c r="R908" s="105"/>
      <c r="S908" s="36"/>
      <c r="T908" s="36"/>
      <c r="U908" s="36"/>
      <c r="V908" s="36"/>
      <c r="W908" s="36"/>
      <c r="X908" s="36"/>
      <c r="Y908" s="36"/>
      <c r="Z908" s="36"/>
      <c r="AA908" s="36"/>
      <c r="AB908" s="42"/>
      <c r="AC908" s="42"/>
      <c r="AD908" s="36"/>
      <c r="AE908" s="36"/>
      <c r="AF908" s="42"/>
      <c r="AG908" s="42"/>
      <c r="AH908" s="36"/>
      <c r="AI908" s="36"/>
      <c r="AJ908" s="36"/>
      <c r="AK908" s="36"/>
      <c r="AL908" s="36"/>
      <c r="AM908" s="36"/>
      <c r="AN908" s="36"/>
    </row>
    <row r="909" spans="1:40" ht="15.75" x14ac:dyDescent="0.25">
      <c r="A909" s="44"/>
      <c r="B909" s="36"/>
      <c r="C909" s="36"/>
      <c r="D909" s="36"/>
      <c r="E909" s="36"/>
      <c r="F909" s="36"/>
      <c r="G909" s="36"/>
      <c r="H909" s="36"/>
      <c r="I909" s="36"/>
      <c r="J909" s="105"/>
      <c r="K909" s="36"/>
      <c r="L909" s="36"/>
      <c r="M909" s="36"/>
      <c r="N909" s="105"/>
      <c r="O909" s="36"/>
      <c r="P909" s="36"/>
      <c r="Q909" s="36"/>
      <c r="R909" s="105"/>
      <c r="S909" s="36"/>
      <c r="T909" s="36"/>
      <c r="U909" s="36"/>
      <c r="V909" s="36"/>
      <c r="W909" s="36"/>
      <c r="X909" s="36"/>
      <c r="Y909" s="36"/>
      <c r="Z909" s="36"/>
      <c r="AA909" s="36"/>
      <c r="AB909" s="42"/>
      <c r="AC909" s="42"/>
      <c r="AD909" s="36"/>
      <c r="AE909" s="36"/>
      <c r="AF909" s="42"/>
      <c r="AG909" s="42"/>
      <c r="AH909" s="36"/>
      <c r="AI909" s="36"/>
      <c r="AJ909" s="36"/>
      <c r="AK909" s="36"/>
      <c r="AL909" s="36"/>
      <c r="AM909" s="36"/>
      <c r="AN909" s="36"/>
    </row>
    <row r="910" spans="1:40" ht="15.75" x14ac:dyDescent="0.25">
      <c r="A910" s="44"/>
      <c r="B910" s="36"/>
      <c r="C910" s="36"/>
      <c r="D910" s="36"/>
      <c r="E910" s="36"/>
      <c r="F910" s="36"/>
      <c r="G910" s="36"/>
      <c r="H910" s="36"/>
      <c r="I910" s="36"/>
      <c r="J910" s="105"/>
      <c r="K910" s="36"/>
      <c r="L910" s="36"/>
      <c r="M910" s="36"/>
      <c r="N910" s="105"/>
      <c r="O910" s="36"/>
      <c r="P910" s="36"/>
      <c r="Q910" s="36"/>
      <c r="R910" s="105"/>
      <c r="S910" s="36"/>
      <c r="T910" s="36"/>
      <c r="U910" s="36"/>
      <c r="V910" s="36"/>
      <c r="W910" s="36"/>
      <c r="X910" s="36"/>
      <c r="Y910" s="36"/>
      <c r="Z910" s="36"/>
      <c r="AA910" s="36"/>
      <c r="AB910" s="42"/>
      <c r="AC910" s="42"/>
      <c r="AD910" s="36"/>
      <c r="AE910" s="36"/>
      <c r="AF910" s="42"/>
      <c r="AG910" s="42"/>
      <c r="AH910" s="36"/>
      <c r="AI910" s="36"/>
      <c r="AJ910" s="36"/>
      <c r="AK910" s="36"/>
      <c r="AL910" s="36"/>
      <c r="AM910" s="36"/>
      <c r="AN910" s="36"/>
    </row>
    <row r="911" spans="1:40" ht="15.75" x14ac:dyDescent="0.25">
      <c r="A911" s="44"/>
      <c r="B911" s="36"/>
      <c r="C911" s="36"/>
      <c r="D911" s="36"/>
      <c r="E911" s="36"/>
      <c r="F911" s="36"/>
      <c r="G911" s="36"/>
      <c r="H911" s="36"/>
      <c r="I911" s="36"/>
      <c r="J911" s="105"/>
      <c r="K911" s="36"/>
      <c r="L911" s="36"/>
      <c r="M911" s="36"/>
      <c r="N911" s="105"/>
      <c r="O911" s="36"/>
      <c r="P911" s="36"/>
      <c r="Q911" s="36"/>
      <c r="R911" s="105"/>
      <c r="S911" s="36"/>
      <c r="T911" s="36"/>
      <c r="U911" s="36"/>
      <c r="V911" s="36"/>
      <c r="W911" s="36"/>
      <c r="X911" s="36"/>
      <c r="Y911" s="36"/>
      <c r="Z911" s="36"/>
      <c r="AA911" s="36"/>
      <c r="AB911" s="42"/>
      <c r="AC911" s="42"/>
      <c r="AD911" s="36"/>
      <c r="AE911" s="36"/>
      <c r="AF911" s="42"/>
      <c r="AG911" s="42"/>
      <c r="AH911" s="36"/>
      <c r="AI911" s="36"/>
      <c r="AJ911" s="36"/>
      <c r="AK911" s="36"/>
      <c r="AL911" s="36"/>
      <c r="AM911" s="36"/>
      <c r="AN911" s="36"/>
    </row>
    <row r="912" spans="1:40" ht="15.75" x14ac:dyDescent="0.25">
      <c r="A912" s="44"/>
      <c r="B912" s="36"/>
      <c r="C912" s="36"/>
      <c r="D912" s="36"/>
      <c r="E912" s="36"/>
      <c r="F912" s="36"/>
      <c r="G912" s="36"/>
      <c r="H912" s="36"/>
      <c r="I912" s="36"/>
      <c r="J912" s="105"/>
      <c r="K912" s="36"/>
      <c r="L912" s="36"/>
      <c r="M912" s="36"/>
      <c r="N912" s="105"/>
      <c r="O912" s="36"/>
      <c r="P912" s="36"/>
      <c r="Q912" s="36"/>
      <c r="R912" s="105"/>
      <c r="S912" s="36"/>
      <c r="T912" s="36"/>
      <c r="U912" s="36"/>
      <c r="V912" s="36"/>
      <c r="W912" s="36"/>
      <c r="X912" s="36"/>
      <c r="Y912" s="36"/>
      <c r="Z912" s="36"/>
      <c r="AA912" s="36"/>
      <c r="AB912" s="42"/>
      <c r="AC912" s="42"/>
      <c r="AD912" s="36"/>
      <c r="AE912" s="36"/>
      <c r="AF912" s="42"/>
      <c r="AG912" s="42"/>
      <c r="AH912" s="36"/>
      <c r="AI912" s="36"/>
      <c r="AJ912" s="36"/>
      <c r="AK912" s="36"/>
      <c r="AL912" s="36"/>
      <c r="AM912" s="36"/>
      <c r="AN912" s="36"/>
    </row>
    <row r="913" spans="1:40" ht="15.75" x14ac:dyDescent="0.25">
      <c r="A913" s="44"/>
      <c r="B913" s="36"/>
      <c r="C913" s="36"/>
      <c r="D913" s="36"/>
      <c r="E913" s="36"/>
      <c r="F913" s="36"/>
      <c r="G913" s="36"/>
      <c r="H913" s="36"/>
      <c r="I913" s="36"/>
      <c r="J913" s="105"/>
      <c r="K913" s="36"/>
      <c r="L913" s="36"/>
      <c r="M913" s="36"/>
      <c r="N913" s="105"/>
      <c r="O913" s="36"/>
      <c r="P913" s="36"/>
      <c r="Q913" s="36"/>
      <c r="R913" s="105"/>
      <c r="S913" s="36"/>
      <c r="T913" s="36"/>
      <c r="U913" s="36"/>
      <c r="V913" s="36"/>
      <c r="W913" s="36"/>
      <c r="X913" s="36"/>
      <c r="Y913" s="36"/>
      <c r="Z913" s="36"/>
      <c r="AA913" s="36"/>
      <c r="AB913" s="42"/>
      <c r="AC913" s="42"/>
      <c r="AD913" s="36"/>
      <c r="AE913" s="36"/>
      <c r="AF913" s="42"/>
      <c r="AG913" s="42"/>
      <c r="AH913" s="36"/>
      <c r="AI913" s="36"/>
      <c r="AJ913" s="36"/>
      <c r="AK913" s="36"/>
      <c r="AL913" s="36"/>
      <c r="AM913" s="36"/>
      <c r="AN913" s="36"/>
    </row>
    <row r="914" spans="1:40" ht="15.75" x14ac:dyDescent="0.25">
      <c r="A914" s="44"/>
      <c r="B914" s="36"/>
      <c r="C914" s="36"/>
      <c r="D914" s="36"/>
      <c r="E914" s="36"/>
      <c r="F914" s="36"/>
      <c r="G914" s="36"/>
      <c r="H914" s="36"/>
      <c r="I914" s="36"/>
      <c r="J914" s="105"/>
      <c r="K914" s="36"/>
      <c r="L914" s="36"/>
      <c r="M914" s="36"/>
      <c r="N914" s="105"/>
      <c r="O914" s="36"/>
      <c r="P914" s="36"/>
      <c r="Q914" s="36"/>
      <c r="R914" s="105"/>
      <c r="S914" s="36"/>
      <c r="T914" s="36"/>
      <c r="U914" s="36"/>
      <c r="V914" s="36"/>
      <c r="W914" s="36"/>
      <c r="X914" s="36"/>
      <c r="Y914" s="36"/>
      <c r="Z914" s="36"/>
      <c r="AA914" s="36"/>
      <c r="AB914" s="42"/>
      <c r="AC914" s="42"/>
      <c r="AD914" s="36"/>
      <c r="AE914" s="36"/>
      <c r="AF914" s="42"/>
      <c r="AG914" s="42"/>
      <c r="AH914" s="36"/>
      <c r="AI914" s="36"/>
      <c r="AJ914" s="36"/>
      <c r="AK914" s="36"/>
      <c r="AL914" s="36"/>
      <c r="AM914" s="36"/>
      <c r="AN914" s="36"/>
    </row>
    <row r="915" spans="1:40" ht="15.75" x14ac:dyDescent="0.25">
      <c r="A915" s="44"/>
      <c r="B915" s="36"/>
      <c r="C915" s="36"/>
      <c r="D915" s="36"/>
      <c r="E915" s="36"/>
      <c r="F915" s="36"/>
      <c r="G915" s="36"/>
      <c r="H915" s="36"/>
      <c r="I915" s="36"/>
      <c r="J915" s="105"/>
      <c r="K915" s="36"/>
      <c r="L915" s="36"/>
      <c r="M915" s="36"/>
      <c r="N915" s="105"/>
      <c r="O915" s="36"/>
      <c r="P915" s="36"/>
      <c r="Q915" s="36"/>
      <c r="R915" s="105"/>
      <c r="S915" s="36"/>
      <c r="T915" s="36"/>
      <c r="U915" s="36"/>
      <c r="V915" s="36"/>
      <c r="W915" s="36"/>
      <c r="X915" s="36"/>
      <c r="Y915" s="36"/>
      <c r="Z915" s="36"/>
      <c r="AA915" s="36"/>
      <c r="AB915" s="42"/>
      <c r="AC915" s="42"/>
      <c r="AD915" s="36"/>
      <c r="AE915" s="36"/>
      <c r="AF915" s="42"/>
      <c r="AG915" s="42"/>
      <c r="AH915" s="36"/>
      <c r="AI915" s="36"/>
      <c r="AJ915" s="36"/>
      <c r="AK915" s="36"/>
      <c r="AL915" s="36"/>
      <c r="AM915" s="36"/>
      <c r="AN915" s="36"/>
    </row>
    <row r="916" spans="1:40" ht="15.75" x14ac:dyDescent="0.25">
      <c r="A916" s="44"/>
      <c r="B916" s="36"/>
      <c r="C916" s="36"/>
      <c r="D916" s="36"/>
      <c r="E916" s="36"/>
      <c r="F916" s="36"/>
      <c r="G916" s="36"/>
      <c r="H916" s="36"/>
      <c r="I916" s="36"/>
      <c r="J916" s="105"/>
      <c r="K916" s="36"/>
      <c r="L916" s="36"/>
      <c r="M916" s="36"/>
      <c r="N916" s="105"/>
      <c r="O916" s="36"/>
      <c r="P916" s="36"/>
      <c r="Q916" s="36"/>
      <c r="R916" s="105"/>
      <c r="S916" s="36"/>
      <c r="T916" s="36"/>
      <c r="U916" s="36"/>
      <c r="V916" s="36"/>
      <c r="W916" s="36"/>
      <c r="X916" s="36"/>
      <c r="Y916" s="36"/>
      <c r="Z916" s="36"/>
      <c r="AA916" s="36"/>
      <c r="AB916" s="42"/>
      <c r="AC916" s="42"/>
      <c r="AD916" s="36"/>
      <c r="AE916" s="36"/>
      <c r="AF916" s="42"/>
      <c r="AG916" s="42"/>
      <c r="AH916" s="36"/>
      <c r="AI916" s="36"/>
      <c r="AJ916" s="36"/>
      <c r="AK916" s="36"/>
      <c r="AL916" s="36"/>
      <c r="AM916" s="36"/>
      <c r="AN916" s="36"/>
    </row>
    <row r="917" spans="1:40" ht="15.75" x14ac:dyDescent="0.25">
      <c r="A917" s="44"/>
      <c r="B917" s="36"/>
      <c r="C917" s="36"/>
      <c r="D917" s="36"/>
      <c r="E917" s="36"/>
      <c r="F917" s="36"/>
      <c r="G917" s="36"/>
      <c r="H917" s="36"/>
      <c r="I917" s="36"/>
      <c r="J917" s="105"/>
      <c r="K917" s="36"/>
      <c r="L917" s="36"/>
      <c r="M917" s="36"/>
      <c r="N917" s="105"/>
      <c r="O917" s="36"/>
      <c r="P917" s="36"/>
      <c r="Q917" s="36"/>
      <c r="R917" s="105"/>
      <c r="S917" s="36"/>
      <c r="T917" s="36"/>
      <c r="U917" s="36"/>
      <c r="V917" s="36"/>
      <c r="W917" s="36"/>
      <c r="X917" s="36"/>
      <c r="Y917" s="36"/>
      <c r="Z917" s="36"/>
      <c r="AA917" s="36"/>
      <c r="AB917" s="42"/>
      <c r="AC917" s="42"/>
      <c r="AD917" s="36"/>
      <c r="AE917" s="36"/>
      <c r="AF917" s="42"/>
      <c r="AG917" s="42"/>
      <c r="AH917" s="36"/>
      <c r="AI917" s="36"/>
      <c r="AJ917" s="36"/>
      <c r="AK917" s="36"/>
      <c r="AL917" s="36"/>
      <c r="AM917" s="36"/>
      <c r="AN917" s="36"/>
    </row>
    <row r="918" spans="1:40" ht="15.75" x14ac:dyDescent="0.25">
      <c r="A918" s="44"/>
      <c r="B918" s="36"/>
      <c r="C918" s="36"/>
      <c r="D918" s="36"/>
      <c r="E918" s="36"/>
      <c r="F918" s="36"/>
      <c r="G918" s="36"/>
      <c r="H918" s="36"/>
      <c r="I918" s="36"/>
      <c r="J918" s="105"/>
      <c r="K918" s="36"/>
      <c r="L918" s="36"/>
      <c r="M918" s="36"/>
      <c r="N918" s="105"/>
      <c r="O918" s="36"/>
      <c r="P918" s="36"/>
      <c r="Q918" s="36"/>
      <c r="R918" s="105"/>
      <c r="S918" s="36"/>
      <c r="T918" s="36"/>
      <c r="U918" s="36"/>
      <c r="V918" s="36"/>
      <c r="W918" s="36"/>
      <c r="X918" s="36"/>
      <c r="Y918" s="36"/>
      <c r="Z918" s="36"/>
      <c r="AA918" s="36"/>
      <c r="AB918" s="42"/>
      <c r="AC918" s="42"/>
      <c r="AD918" s="36"/>
      <c r="AE918" s="36"/>
      <c r="AF918" s="42"/>
      <c r="AG918" s="42"/>
      <c r="AH918" s="36"/>
      <c r="AI918" s="36"/>
      <c r="AJ918" s="36"/>
      <c r="AK918" s="36"/>
      <c r="AL918" s="36"/>
      <c r="AM918" s="36"/>
      <c r="AN918" s="36"/>
    </row>
    <row r="919" spans="1:40" ht="15.75" x14ac:dyDescent="0.25">
      <c r="A919" s="44"/>
      <c r="B919" s="36"/>
      <c r="C919" s="36"/>
      <c r="D919" s="36"/>
      <c r="E919" s="36"/>
      <c r="F919" s="36"/>
      <c r="G919" s="36"/>
      <c r="H919" s="36"/>
      <c r="I919" s="36"/>
      <c r="J919" s="105"/>
      <c r="K919" s="36"/>
      <c r="L919" s="36"/>
      <c r="M919" s="36"/>
      <c r="N919" s="105"/>
      <c r="O919" s="36"/>
      <c r="P919" s="36"/>
      <c r="Q919" s="36"/>
      <c r="R919" s="105"/>
      <c r="S919" s="36"/>
      <c r="T919" s="36"/>
      <c r="U919" s="36"/>
      <c r="V919" s="36"/>
      <c r="W919" s="36"/>
      <c r="X919" s="36"/>
      <c r="Y919" s="36"/>
      <c r="Z919" s="36"/>
      <c r="AA919" s="36"/>
      <c r="AB919" s="42"/>
      <c r="AC919" s="42"/>
      <c r="AD919" s="36"/>
      <c r="AE919" s="36"/>
      <c r="AF919" s="42"/>
      <c r="AG919" s="42"/>
      <c r="AH919" s="36"/>
      <c r="AI919" s="36"/>
      <c r="AJ919" s="36"/>
      <c r="AK919" s="36"/>
      <c r="AL919" s="36"/>
      <c r="AM919" s="36"/>
      <c r="AN919" s="36"/>
    </row>
    <row r="920" spans="1:40" ht="15.75" x14ac:dyDescent="0.25">
      <c r="A920" s="44"/>
      <c r="B920" s="36"/>
      <c r="C920" s="36"/>
      <c r="D920" s="36"/>
      <c r="E920" s="36"/>
      <c r="F920" s="36"/>
      <c r="G920" s="36"/>
      <c r="H920" s="36"/>
      <c r="I920" s="36"/>
      <c r="J920" s="105"/>
      <c r="K920" s="36"/>
      <c r="L920" s="36"/>
      <c r="M920" s="36"/>
      <c r="N920" s="105"/>
      <c r="O920" s="36"/>
      <c r="P920" s="36"/>
      <c r="Q920" s="36"/>
      <c r="R920" s="105"/>
      <c r="S920" s="36"/>
      <c r="T920" s="36"/>
      <c r="U920" s="36"/>
      <c r="V920" s="36"/>
      <c r="W920" s="36"/>
      <c r="X920" s="36"/>
      <c r="Y920" s="36"/>
      <c r="Z920" s="36"/>
      <c r="AA920" s="36"/>
      <c r="AB920" s="42"/>
      <c r="AC920" s="42"/>
      <c r="AD920" s="36"/>
      <c r="AE920" s="36"/>
      <c r="AF920" s="42"/>
      <c r="AG920" s="42"/>
      <c r="AH920" s="36"/>
      <c r="AI920" s="36"/>
      <c r="AJ920" s="36"/>
      <c r="AK920" s="36"/>
      <c r="AL920" s="36"/>
      <c r="AM920" s="36"/>
      <c r="AN920" s="36"/>
    </row>
    <row r="921" spans="1:40" ht="15.75" x14ac:dyDescent="0.25">
      <c r="A921" s="44"/>
      <c r="B921" s="36"/>
      <c r="C921" s="36"/>
      <c r="D921" s="36"/>
      <c r="E921" s="36"/>
      <c r="F921" s="36"/>
      <c r="G921" s="36"/>
      <c r="H921" s="36"/>
      <c r="I921" s="36"/>
      <c r="J921" s="105"/>
      <c r="K921" s="36"/>
      <c r="L921" s="36"/>
      <c r="M921" s="36"/>
      <c r="N921" s="105"/>
      <c r="O921" s="36"/>
      <c r="P921" s="36"/>
      <c r="Q921" s="36"/>
      <c r="R921" s="105"/>
      <c r="S921" s="36"/>
      <c r="T921" s="36"/>
      <c r="U921" s="36"/>
      <c r="V921" s="36"/>
      <c r="W921" s="36"/>
      <c r="X921" s="36"/>
      <c r="Y921" s="36"/>
      <c r="Z921" s="36"/>
      <c r="AA921" s="36"/>
      <c r="AB921" s="42"/>
      <c r="AC921" s="42"/>
      <c r="AD921" s="36"/>
      <c r="AE921" s="36"/>
      <c r="AF921" s="42"/>
      <c r="AG921" s="42"/>
      <c r="AH921" s="36"/>
      <c r="AI921" s="36"/>
      <c r="AJ921" s="36"/>
      <c r="AK921" s="36"/>
      <c r="AL921" s="36"/>
      <c r="AM921" s="36"/>
      <c r="AN921" s="36"/>
    </row>
    <row r="922" spans="1:40" ht="15.75" x14ac:dyDescent="0.25">
      <c r="A922" s="44"/>
      <c r="B922" s="36"/>
      <c r="C922" s="36"/>
      <c r="D922" s="36"/>
      <c r="E922" s="36"/>
      <c r="F922" s="36"/>
      <c r="G922" s="36"/>
      <c r="H922" s="36"/>
      <c r="I922" s="36"/>
      <c r="J922" s="105"/>
      <c r="K922" s="36"/>
      <c r="L922" s="36"/>
      <c r="M922" s="36"/>
      <c r="N922" s="105"/>
      <c r="O922" s="36"/>
      <c r="P922" s="36"/>
      <c r="Q922" s="36"/>
      <c r="R922" s="105"/>
      <c r="S922" s="36"/>
      <c r="T922" s="36"/>
      <c r="U922" s="36"/>
      <c r="V922" s="36"/>
      <c r="W922" s="36"/>
      <c r="X922" s="36"/>
      <c r="Y922" s="36"/>
      <c r="Z922" s="36"/>
      <c r="AA922" s="36"/>
      <c r="AB922" s="42"/>
      <c r="AC922" s="42"/>
      <c r="AD922" s="36"/>
      <c r="AE922" s="36"/>
      <c r="AF922" s="42"/>
      <c r="AG922" s="42"/>
      <c r="AH922" s="36"/>
      <c r="AI922" s="36"/>
      <c r="AJ922" s="36"/>
      <c r="AK922" s="36"/>
      <c r="AL922" s="36"/>
      <c r="AM922" s="36"/>
      <c r="AN922" s="36"/>
    </row>
    <row r="923" spans="1:40" ht="15.75" x14ac:dyDescent="0.25">
      <c r="A923" s="44"/>
      <c r="B923" s="36"/>
      <c r="C923" s="36"/>
      <c r="D923" s="36"/>
      <c r="E923" s="36"/>
      <c r="F923" s="36"/>
      <c r="G923" s="36"/>
      <c r="H923" s="36"/>
      <c r="I923" s="36"/>
      <c r="J923" s="105"/>
      <c r="K923" s="36"/>
      <c r="L923" s="36"/>
      <c r="M923" s="36"/>
      <c r="N923" s="105"/>
      <c r="O923" s="36"/>
      <c r="P923" s="36"/>
      <c r="Q923" s="36"/>
      <c r="R923" s="105"/>
      <c r="S923" s="36"/>
      <c r="T923" s="36"/>
      <c r="U923" s="36"/>
      <c r="V923" s="36"/>
      <c r="W923" s="36"/>
      <c r="X923" s="36"/>
      <c r="Y923" s="36"/>
      <c r="Z923" s="36"/>
      <c r="AA923" s="36"/>
      <c r="AB923" s="42"/>
      <c r="AC923" s="42"/>
      <c r="AD923" s="36"/>
      <c r="AE923" s="36"/>
      <c r="AF923" s="42"/>
      <c r="AG923" s="42"/>
      <c r="AH923" s="36"/>
      <c r="AI923" s="36"/>
      <c r="AJ923" s="36"/>
      <c r="AK923" s="36"/>
      <c r="AL923" s="36"/>
      <c r="AM923" s="36"/>
      <c r="AN923" s="36"/>
    </row>
    <row r="924" spans="1:40" ht="15.75" x14ac:dyDescent="0.25">
      <c r="A924" s="44"/>
      <c r="B924" s="36"/>
      <c r="C924" s="36"/>
      <c r="D924" s="36"/>
      <c r="E924" s="36"/>
      <c r="F924" s="36"/>
      <c r="G924" s="36"/>
      <c r="H924" s="36"/>
      <c r="I924" s="36"/>
      <c r="J924" s="105"/>
      <c r="K924" s="36"/>
      <c r="L924" s="36"/>
      <c r="M924" s="36"/>
      <c r="N924" s="105"/>
      <c r="O924" s="36"/>
      <c r="P924" s="36"/>
      <c r="Q924" s="36"/>
      <c r="R924" s="105"/>
      <c r="S924" s="36"/>
      <c r="T924" s="36"/>
      <c r="U924" s="36"/>
      <c r="V924" s="36"/>
      <c r="W924" s="36"/>
      <c r="X924" s="36"/>
      <c r="Y924" s="36"/>
      <c r="Z924" s="36"/>
      <c r="AA924" s="36"/>
      <c r="AB924" s="42"/>
      <c r="AC924" s="42"/>
      <c r="AD924" s="36"/>
      <c r="AE924" s="36"/>
      <c r="AF924" s="42"/>
      <c r="AG924" s="42"/>
      <c r="AH924" s="36"/>
      <c r="AI924" s="36"/>
      <c r="AJ924" s="36"/>
      <c r="AK924" s="36"/>
      <c r="AL924" s="36"/>
      <c r="AM924" s="36"/>
      <c r="AN924" s="36"/>
    </row>
    <row r="925" spans="1:40" ht="15.75" x14ac:dyDescent="0.25">
      <c r="A925" s="44"/>
      <c r="B925" s="36"/>
      <c r="C925" s="36"/>
      <c r="D925" s="36"/>
      <c r="E925" s="36"/>
      <c r="F925" s="36"/>
      <c r="G925" s="36"/>
      <c r="H925" s="36"/>
      <c r="I925" s="36"/>
      <c r="J925" s="105"/>
      <c r="K925" s="36"/>
      <c r="L925" s="36"/>
      <c r="M925" s="36"/>
      <c r="N925" s="105"/>
      <c r="O925" s="36"/>
      <c r="P925" s="36"/>
      <c r="Q925" s="36"/>
      <c r="R925" s="105"/>
      <c r="S925" s="36"/>
      <c r="T925" s="36"/>
      <c r="U925" s="36"/>
      <c r="V925" s="36"/>
      <c r="W925" s="36"/>
      <c r="X925" s="36"/>
      <c r="Y925" s="36"/>
      <c r="Z925" s="36"/>
      <c r="AA925" s="36"/>
      <c r="AB925" s="42"/>
      <c r="AC925" s="42"/>
      <c r="AD925" s="36"/>
      <c r="AE925" s="36"/>
      <c r="AF925" s="42"/>
      <c r="AG925" s="42"/>
      <c r="AH925" s="36"/>
      <c r="AI925" s="36"/>
      <c r="AJ925" s="36"/>
      <c r="AK925" s="36"/>
      <c r="AL925" s="36"/>
      <c r="AM925" s="36"/>
      <c r="AN925" s="36"/>
    </row>
    <row r="926" spans="1:40" ht="15.75" x14ac:dyDescent="0.25">
      <c r="A926" s="44"/>
      <c r="B926" s="36"/>
      <c r="C926" s="36"/>
      <c r="D926" s="36"/>
      <c r="E926" s="36"/>
      <c r="F926" s="36"/>
      <c r="G926" s="36"/>
      <c r="H926" s="36"/>
      <c r="I926" s="36"/>
      <c r="J926" s="105"/>
      <c r="K926" s="36"/>
      <c r="L926" s="36"/>
      <c r="M926" s="36"/>
      <c r="N926" s="105"/>
      <c r="O926" s="36"/>
      <c r="P926" s="36"/>
      <c r="Q926" s="36"/>
      <c r="R926" s="105"/>
      <c r="S926" s="36"/>
      <c r="T926" s="36"/>
      <c r="U926" s="36"/>
      <c r="V926" s="36"/>
      <c r="W926" s="36"/>
      <c r="X926" s="36"/>
      <c r="Y926" s="36"/>
      <c r="Z926" s="36"/>
      <c r="AA926" s="36"/>
      <c r="AB926" s="42"/>
      <c r="AC926" s="42"/>
      <c r="AD926" s="36"/>
      <c r="AE926" s="36"/>
      <c r="AF926" s="42"/>
      <c r="AG926" s="42"/>
      <c r="AH926" s="36"/>
      <c r="AI926" s="36"/>
      <c r="AJ926" s="36"/>
      <c r="AK926" s="36"/>
      <c r="AL926" s="36"/>
      <c r="AM926" s="36"/>
      <c r="AN926" s="36"/>
    </row>
    <row r="927" spans="1:40" ht="15.75" x14ac:dyDescent="0.25">
      <c r="A927" s="44"/>
      <c r="B927" s="36"/>
      <c r="C927" s="36"/>
      <c r="D927" s="36"/>
      <c r="E927" s="36"/>
      <c r="F927" s="36"/>
      <c r="G927" s="36"/>
      <c r="H927" s="36"/>
      <c r="I927" s="36"/>
      <c r="J927" s="105"/>
      <c r="K927" s="36"/>
      <c r="L927" s="36"/>
      <c r="M927" s="36"/>
      <c r="N927" s="105"/>
      <c r="O927" s="36"/>
      <c r="P927" s="36"/>
      <c r="Q927" s="36"/>
      <c r="R927" s="105"/>
      <c r="S927" s="36"/>
      <c r="T927" s="36"/>
      <c r="U927" s="36"/>
      <c r="V927" s="36"/>
      <c r="W927" s="36"/>
      <c r="X927" s="36"/>
      <c r="Y927" s="36"/>
      <c r="Z927" s="36"/>
      <c r="AA927" s="36"/>
      <c r="AB927" s="42"/>
      <c r="AC927" s="42"/>
      <c r="AD927" s="36"/>
      <c r="AE927" s="36"/>
      <c r="AF927" s="42"/>
      <c r="AG927" s="42"/>
      <c r="AH927" s="36"/>
      <c r="AI927" s="36"/>
      <c r="AJ927" s="36"/>
      <c r="AK927" s="36"/>
      <c r="AL927" s="36"/>
      <c r="AM927" s="36"/>
      <c r="AN927" s="36"/>
    </row>
    <row r="928" spans="1:40" ht="15.75" x14ac:dyDescent="0.25">
      <c r="A928" s="44"/>
      <c r="B928" s="36"/>
      <c r="C928" s="36"/>
      <c r="D928" s="36"/>
      <c r="E928" s="36"/>
      <c r="F928" s="36"/>
      <c r="G928" s="36"/>
      <c r="H928" s="36"/>
      <c r="I928" s="36"/>
      <c r="J928" s="105"/>
      <c r="K928" s="36"/>
      <c r="L928" s="36"/>
      <c r="M928" s="36"/>
      <c r="N928" s="105"/>
      <c r="O928" s="36"/>
      <c r="P928" s="36"/>
      <c r="Q928" s="36"/>
      <c r="R928" s="105"/>
      <c r="S928" s="36"/>
      <c r="T928" s="36"/>
      <c r="U928" s="36"/>
      <c r="V928" s="36"/>
      <c r="W928" s="36"/>
      <c r="X928" s="36"/>
      <c r="Y928" s="36"/>
      <c r="Z928" s="36"/>
      <c r="AA928" s="36"/>
      <c r="AB928" s="42"/>
      <c r="AC928" s="42"/>
      <c r="AD928" s="36"/>
      <c r="AE928" s="36"/>
      <c r="AF928" s="42"/>
      <c r="AG928" s="42"/>
      <c r="AH928" s="36"/>
      <c r="AI928" s="36"/>
      <c r="AJ928" s="36"/>
      <c r="AK928" s="36"/>
      <c r="AL928" s="36"/>
      <c r="AM928" s="36"/>
      <c r="AN928" s="36"/>
    </row>
    <row r="929" spans="1:40" ht="15.75" x14ac:dyDescent="0.25">
      <c r="A929" s="44"/>
      <c r="B929" s="36"/>
      <c r="C929" s="36"/>
      <c r="D929" s="36"/>
      <c r="E929" s="36"/>
      <c r="F929" s="36"/>
      <c r="G929" s="36"/>
      <c r="H929" s="36"/>
      <c r="I929" s="36"/>
      <c r="J929" s="105"/>
      <c r="K929" s="36"/>
      <c r="L929" s="36"/>
      <c r="M929" s="36"/>
      <c r="N929" s="105"/>
      <c r="O929" s="36"/>
      <c r="P929" s="36"/>
      <c r="Q929" s="36"/>
      <c r="R929" s="105"/>
      <c r="S929" s="36"/>
      <c r="T929" s="36"/>
      <c r="U929" s="36"/>
      <c r="V929" s="36"/>
      <c r="W929" s="36"/>
      <c r="X929" s="36"/>
      <c r="Y929" s="36"/>
      <c r="Z929" s="36"/>
      <c r="AA929" s="36"/>
      <c r="AB929" s="42"/>
      <c r="AC929" s="42"/>
      <c r="AD929" s="36"/>
      <c r="AE929" s="36"/>
      <c r="AF929" s="42"/>
      <c r="AG929" s="42"/>
      <c r="AH929" s="36"/>
      <c r="AI929" s="36"/>
      <c r="AJ929" s="36"/>
      <c r="AK929" s="36"/>
      <c r="AL929" s="36"/>
      <c r="AM929" s="36"/>
      <c r="AN929" s="36"/>
    </row>
    <row r="930" spans="1:40" ht="15.75" x14ac:dyDescent="0.25">
      <c r="A930" s="44"/>
      <c r="B930" s="36"/>
      <c r="C930" s="36"/>
      <c r="D930" s="36"/>
      <c r="E930" s="36"/>
      <c r="F930" s="36"/>
      <c r="G930" s="36"/>
      <c r="H930" s="36"/>
      <c r="I930" s="36"/>
      <c r="J930" s="105"/>
      <c r="K930" s="36"/>
      <c r="L930" s="36"/>
      <c r="M930" s="36"/>
      <c r="N930" s="105"/>
      <c r="O930" s="36"/>
      <c r="P930" s="36"/>
      <c r="Q930" s="36"/>
      <c r="R930" s="105"/>
      <c r="S930" s="36"/>
      <c r="T930" s="36"/>
      <c r="U930" s="36"/>
      <c r="V930" s="36"/>
      <c r="W930" s="36"/>
      <c r="X930" s="36"/>
      <c r="Y930" s="36"/>
      <c r="Z930" s="36"/>
      <c r="AA930" s="36"/>
      <c r="AB930" s="42"/>
      <c r="AC930" s="42"/>
      <c r="AD930" s="36"/>
      <c r="AE930" s="36"/>
      <c r="AF930" s="42"/>
      <c r="AG930" s="42"/>
      <c r="AH930" s="36"/>
      <c r="AI930" s="36"/>
      <c r="AJ930" s="36"/>
      <c r="AK930" s="36"/>
      <c r="AL930" s="36"/>
      <c r="AM930" s="36"/>
      <c r="AN930" s="36"/>
    </row>
    <row r="931" spans="1:40" ht="15.75" x14ac:dyDescent="0.25">
      <c r="A931" s="44"/>
      <c r="B931" s="36"/>
      <c r="C931" s="36"/>
      <c r="D931" s="36"/>
      <c r="E931" s="36"/>
      <c r="F931" s="36"/>
      <c r="G931" s="36"/>
      <c r="H931" s="36"/>
      <c r="I931" s="36"/>
      <c r="J931" s="105"/>
      <c r="K931" s="36"/>
      <c r="L931" s="36"/>
      <c r="M931" s="36"/>
      <c r="N931" s="105"/>
      <c r="O931" s="36"/>
      <c r="P931" s="36"/>
      <c r="Q931" s="36"/>
      <c r="R931" s="105"/>
      <c r="S931" s="36"/>
      <c r="T931" s="36"/>
      <c r="U931" s="36"/>
      <c r="V931" s="36"/>
      <c r="W931" s="36"/>
      <c r="X931" s="36"/>
      <c r="Y931" s="36"/>
      <c r="Z931" s="36"/>
      <c r="AA931" s="36"/>
      <c r="AB931" s="42"/>
      <c r="AC931" s="42"/>
      <c r="AD931" s="36"/>
      <c r="AE931" s="36"/>
      <c r="AF931" s="42"/>
      <c r="AG931" s="42"/>
      <c r="AH931" s="36"/>
      <c r="AI931" s="36"/>
      <c r="AJ931" s="36"/>
      <c r="AK931" s="36"/>
      <c r="AL931" s="36"/>
      <c r="AM931" s="36"/>
      <c r="AN931" s="36"/>
    </row>
    <row r="932" spans="1:40" ht="15.75" x14ac:dyDescent="0.25">
      <c r="A932" s="44"/>
      <c r="B932" s="36"/>
      <c r="C932" s="36"/>
      <c r="D932" s="36"/>
      <c r="E932" s="36"/>
      <c r="F932" s="36"/>
      <c r="G932" s="36"/>
      <c r="H932" s="36"/>
      <c r="I932" s="36"/>
      <c r="J932" s="105"/>
      <c r="K932" s="36"/>
      <c r="L932" s="36"/>
      <c r="M932" s="36"/>
      <c r="N932" s="105"/>
      <c r="O932" s="36"/>
      <c r="P932" s="36"/>
      <c r="Q932" s="36"/>
      <c r="R932" s="105"/>
      <c r="S932" s="36"/>
      <c r="T932" s="36"/>
      <c r="U932" s="36"/>
      <c r="V932" s="36"/>
      <c r="W932" s="36"/>
      <c r="X932" s="36"/>
      <c r="Y932" s="36"/>
      <c r="Z932" s="36"/>
      <c r="AA932" s="36"/>
      <c r="AB932" s="42"/>
      <c r="AC932" s="42"/>
      <c r="AD932" s="36"/>
      <c r="AE932" s="36"/>
      <c r="AF932" s="42"/>
      <c r="AG932" s="42"/>
      <c r="AH932" s="36"/>
      <c r="AI932" s="36"/>
      <c r="AJ932" s="36"/>
      <c r="AK932" s="36"/>
      <c r="AL932" s="36"/>
      <c r="AM932" s="36"/>
      <c r="AN932" s="36"/>
    </row>
    <row r="933" spans="1:40" ht="15.75" x14ac:dyDescent="0.25">
      <c r="A933" s="44"/>
      <c r="B933" s="36"/>
      <c r="C933" s="36"/>
      <c r="D933" s="36"/>
      <c r="E933" s="36"/>
      <c r="F933" s="36"/>
      <c r="G933" s="36"/>
      <c r="H933" s="36"/>
      <c r="I933" s="36"/>
      <c r="J933" s="105"/>
      <c r="K933" s="36"/>
      <c r="L933" s="36"/>
      <c r="M933" s="36"/>
      <c r="N933" s="105"/>
      <c r="O933" s="36"/>
      <c r="P933" s="36"/>
      <c r="Q933" s="36"/>
      <c r="R933" s="105"/>
      <c r="S933" s="36"/>
      <c r="T933" s="36"/>
      <c r="U933" s="36"/>
      <c r="V933" s="36"/>
      <c r="W933" s="36"/>
      <c r="X933" s="36"/>
      <c r="Y933" s="36"/>
      <c r="Z933" s="36"/>
      <c r="AA933" s="36"/>
      <c r="AB933" s="42"/>
      <c r="AC933" s="42"/>
      <c r="AD933" s="36"/>
      <c r="AE933" s="36"/>
      <c r="AF933" s="42"/>
      <c r="AG933" s="42"/>
      <c r="AH933" s="36"/>
      <c r="AI933" s="36"/>
      <c r="AJ933" s="36"/>
      <c r="AK933" s="36"/>
      <c r="AL933" s="36"/>
      <c r="AM933" s="36"/>
      <c r="AN933" s="36"/>
    </row>
    <row r="934" spans="1:40" ht="15.75" x14ac:dyDescent="0.25">
      <c r="A934" s="44"/>
      <c r="B934" s="36"/>
      <c r="C934" s="36"/>
      <c r="D934" s="36"/>
      <c r="E934" s="36"/>
      <c r="F934" s="36"/>
      <c r="G934" s="36"/>
      <c r="H934" s="36"/>
      <c r="I934" s="36"/>
      <c r="J934" s="105"/>
      <c r="K934" s="36"/>
      <c r="L934" s="36"/>
      <c r="M934" s="36"/>
      <c r="N934" s="105"/>
      <c r="O934" s="36"/>
      <c r="P934" s="36"/>
      <c r="Q934" s="36"/>
      <c r="R934" s="105"/>
      <c r="S934" s="36"/>
      <c r="T934" s="36"/>
      <c r="U934" s="36"/>
      <c r="V934" s="36"/>
      <c r="W934" s="36"/>
      <c r="X934" s="36"/>
      <c r="Y934" s="36"/>
      <c r="Z934" s="36"/>
      <c r="AA934" s="36"/>
      <c r="AB934" s="42"/>
      <c r="AC934" s="42"/>
      <c r="AD934" s="36"/>
      <c r="AE934" s="36"/>
      <c r="AF934" s="42"/>
      <c r="AG934" s="42"/>
      <c r="AH934" s="36"/>
      <c r="AI934" s="36"/>
      <c r="AJ934" s="36"/>
      <c r="AK934" s="36"/>
      <c r="AL934" s="36"/>
      <c r="AM934" s="36"/>
      <c r="AN934" s="36"/>
    </row>
    <row r="935" spans="1:40" ht="15.75" x14ac:dyDescent="0.25">
      <c r="A935" s="44"/>
      <c r="B935" s="36"/>
      <c r="C935" s="36"/>
      <c r="D935" s="36"/>
      <c r="E935" s="36"/>
      <c r="F935" s="36"/>
      <c r="G935" s="36"/>
      <c r="H935" s="36"/>
      <c r="I935" s="36"/>
      <c r="J935" s="105"/>
      <c r="K935" s="36"/>
      <c r="L935" s="36"/>
      <c r="M935" s="36"/>
      <c r="N935" s="105"/>
      <c r="O935" s="36"/>
      <c r="P935" s="36"/>
      <c r="Q935" s="36"/>
      <c r="R935" s="105"/>
      <c r="S935" s="36"/>
      <c r="T935" s="36"/>
      <c r="U935" s="36"/>
      <c r="V935" s="36"/>
      <c r="W935" s="36"/>
      <c r="X935" s="36"/>
      <c r="Y935" s="36"/>
      <c r="Z935" s="36"/>
      <c r="AA935" s="36"/>
      <c r="AB935" s="42"/>
      <c r="AC935" s="42"/>
      <c r="AD935" s="36"/>
      <c r="AE935" s="36"/>
      <c r="AF935" s="42"/>
      <c r="AG935" s="42"/>
      <c r="AH935" s="36"/>
      <c r="AI935" s="36"/>
      <c r="AJ935" s="36"/>
      <c r="AK935" s="36"/>
      <c r="AL935" s="36"/>
      <c r="AM935" s="36"/>
      <c r="AN935" s="36"/>
    </row>
    <row r="936" spans="1:40" ht="15.75" x14ac:dyDescent="0.25">
      <c r="A936" s="44"/>
      <c r="B936" s="36"/>
      <c r="C936" s="36"/>
      <c r="D936" s="36"/>
      <c r="E936" s="36"/>
      <c r="F936" s="36"/>
      <c r="G936" s="36"/>
      <c r="H936" s="36"/>
      <c r="I936" s="36"/>
      <c r="J936" s="105"/>
      <c r="K936" s="36"/>
      <c r="L936" s="36"/>
      <c r="M936" s="36"/>
      <c r="N936" s="105"/>
      <c r="O936" s="36"/>
      <c r="P936" s="36"/>
      <c r="Q936" s="36"/>
      <c r="R936" s="105"/>
      <c r="S936" s="36"/>
      <c r="T936" s="36"/>
      <c r="U936" s="36"/>
      <c r="V936" s="36"/>
      <c r="W936" s="36"/>
      <c r="X936" s="36"/>
      <c r="Y936" s="36"/>
      <c r="Z936" s="36"/>
      <c r="AA936" s="36"/>
      <c r="AB936" s="42"/>
      <c r="AC936" s="42"/>
      <c r="AD936" s="36"/>
      <c r="AE936" s="36"/>
      <c r="AF936" s="42"/>
      <c r="AG936" s="42"/>
      <c r="AH936" s="36"/>
      <c r="AI936" s="36"/>
      <c r="AJ936" s="36"/>
      <c r="AK936" s="36"/>
      <c r="AL936" s="36"/>
      <c r="AM936" s="36"/>
      <c r="AN936" s="36"/>
    </row>
    <row r="937" spans="1:40" ht="15.75" x14ac:dyDescent="0.25">
      <c r="A937" s="44"/>
      <c r="B937" s="36"/>
      <c r="C937" s="36"/>
      <c r="D937" s="36"/>
      <c r="E937" s="36"/>
      <c r="F937" s="36"/>
      <c r="G937" s="36"/>
      <c r="H937" s="36"/>
      <c r="I937" s="36"/>
      <c r="J937" s="105"/>
      <c r="K937" s="36"/>
      <c r="L937" s="36"/>
      <c r="M937" s="36"/>
      <c r="N937" s="105"/>
      <c r="O937" s="36"/>
      <c r="P937" s="36"/>
      <c r="Q937" s="36"/>
      <c r="R937" s="105"/>
      <c r="S937" s="36"/>
      <c r="T937" s="36"/>
      <c r="U937" s="36"/>
      <c r="V937" s="36"/>
      <c r="W937" s="36"/>
      <c r="X937" s="36"/>
      <c r="Y937" s="36"/>
      <c r="Z937" s="36"/>
      <c r="AA937" s="36"/>
      <c r="AB937" s="42"/>
      <c r="AC937" s="42"/>
      <c r="AD937" s="36"/>
      <c r="AE937" s="36"/>
      <c r="AF937" s="42"/>
      <c r="AG937" s="42"/>
      <c r="AH937" s="36"/>
      <c r="AI937" s="36"/>
      <c r="AJ937" s="36"/>
      <c r="AK937" s="36"/>
      <c r="AL937" s="36"/>
      <c r="AM937" s="36"/>
      <c r="AN937" s="36"/>
    </row>
    <row r="938" spans="1:40" ht="15.75" x14ac:dyDescent="0.25">
      <c r="A938" s="44"/>
      <c r="B938" s="36"/>
      <c r="C938" s="36"/>
      <c r="D938" s="36"/>
      <c r="E938" s="36"/>
      <c r="F938" s="36"/>
      <c r="G938" s="36"/>
      <c r="H938" s="36"/>
      <c r="I938" s="36"/>
      <c r="J938" s="105"/>
      <c r="K938" s="36"/>
      <c r="L938" s="36"/>
      <c r="M938" s="36"/>
      <c r="N938" s="105"/>
      <c r="O938" s="36"/>
      <c r="P938" s="36"/>
      <c r="Q938" s="36"/>
      <c r="R938" s="105"/>
      <c r="S938" s="36"/>
      <c r="T938" s="36"/>
      <c r="U938" s="36"/>
      <c r="V938" s="36"/>
      <c r="W938" s="36"/>
      <c r="X938" s="36"/>
      <c r="Y938" s="36"/>
      <c r="Z938" s="36"/>
      <c r="AA938" s="36"/>
      <c r="AB938" s="42"/>
      <c r="AC938" s="42"/>
      <c r="AD938" s="36"/>
      <c r="AE938" s="36"/>
      <c r="AF938" s="42"/>
      <c r="AG938" s="42"/>
      <c r="AH938" s="36"/>
      <c r="AI938" s="36"/>
      <c r="AJ938" s="36"/>
      <c r="AK938" s="36"/>
      <c r="AL938" s="36"/>
      <c r="AM938" s="36"/>
      <c r="AN938" s="36"/>
    </row>
    <row r="939" spans="1:40" ht="15.75" x14ac:dyDescent="0.25">
      <c r="A939" s="44"/>
      <c r="B939" s="36"/>
      <c r="C939" s="36"/>
      <c r="D939" s="36"/>
      <c r="E939" s="36"/>
      <c r="F939" s="36"/>
      <c r="G939" s="36"/>
      <c r="H939" s="36"/>
      <c r="I939" s="36"/>
      <c r="J939" s="105"/>
      <c r="K939" s="36"/>
      <c r="L939" s="36"/>
      <c r="M939" s="36"/>
      <c r="N939" s="105"/>
      <c r="O939" s="36"/>
      <c r="P939" s="36"/>
      <c r="Q939" s="36"/>
      <c r="R939" s="105"/>
      <c r="S939" s="36"/>
      <c r="T939" s="36"/>
      <c r="U939" s="36"/>
      <c r="V939" s="36"/>
      <c r="W939" s="36"/>
      <c r="X939" s="36"/>
      <c r="Y939" s="36"/>
      <c r="Z939" s="36"/>
      <c r="AA939" s="36"/>
      <c r="AB939" s="42"/>
      <c r="AC939" s="42"/>
      <c r="AD939" s="36"/>
      <c r="AE939" s="36"/>
      <c r="AF939" s="42"/>
      <c r="AG939" s="42"/>
      <c r="AH939" s="36"/>
      <c r="AI939" s="36"/>
      <c r="AJ939" s="36"/>
      <c r="AK939" s="36"/>
      <c r="AL939" s="36"/>
      <c r="AM939" s="36"/>
      <c r="AN939" s="36"/>
    </row>
    <row r="940" spans="1:40" ht="15.75" x14ac:dyDescent="0.25">
      <c r="A940" s="44"/>
      <c r="B940" s="36"/>
      <c r="C940" s="36"/>
      <c r="D940" s="36"/>
      <c r="E940" s="36"/>
      <c r="F940" s="36"/>
      <c r="G940" s="36"/>
      <c r="H940" s="36"/>
      <c r="I940" s="36"/>
      <c r="J940" s="105"/>
      <c r="K940" s="36"/>
      <c r="L940" s="36"/>
      <c r="M940" s="36"/>
      <c r="N940" s="105"/>
      <c r="O940" s="36"/>
      <c r="P940" s="36"/>
      <c r="Q940" s="36"/>
      <c r="R940" s="105"/>
      <c r="S940" s="36"/>
      <c r="T940" s="36"/>
      <c r="U940" s="36"/>
      <c r="V940" s="36"/>
      <c r="W940" s="36"/>
      <c r="X940" s="36"/>
      <c r="Y940" s="36"/>
      <c r="Z940" s="36"/>
      <c r="AA940" s="36"/>
      <c r="AB940" s="42"/>
      <c r="AC940" s="42"/>
      <c r="AD940" s="36"/>
      <c r="AE940" s="36"/>
      <c r="AF940" s="42"/>
      <c r="AG940" s="42"/>
      <c r="AH940" s="36"/>
      <c r="AI940" s="36"/>
      <c r="AJ940" s="36"/>
      <c r="AK940" s="36"/>
      <c r="AL940" s="36"/>
      <c r="AM940" s="36"/>
      <c r="AN940" s="36"/>
    </row>
    <row r="941" spans="1:40" ht="15.75" x14ac:dyDescent="0.25">
      <c r="A941" s="44"/>
      <c r="B941" s="36"/>
      <c r="C941" s="36"/>
      <c r="D941" s="36"/>
      <c r="E941" s="36"/>
      <c r="F941" s="36"/>
      <c r="G941" s="36"/>
      <c r="H941" s="36"/>
      <c r="I941" s="36"/>
      <c r="J941" s="105"/>
      <c r="K941" s="36"/>
      <c r="L941" s="36"/>
      <c r="M941" s="36"/>
      <c r="N941" s="105"/>
      <c r="O941" s="36"/>
      <c r="P941" s="36"/>
      <c r="Q941" s="36"/>
      <c r="R941" s="105"/>
      <c r="S941" s="36"/>
      <c r="T941" s="36"/>
      <c r="U941" s="36"/>
      <c r="V941" s="36"/>
      <c r="W941" s="36"/>
      <c r="X941" s="36"/>
      <c r="Y941" s="36"/>
      <c r="Z941" s="36"/>
      <c r="AA941" s="36"/>
      <c r="AB941" s="42"/>
      <c r="AC941" s="42"/>
      <c r="AD941" s="36"/>
      <c r="AE941" s="36"/>
      <c r="AF941" s="42"/>
      <c r="AG941" s="42"/>
      <c r="AH941" s="36"/>
      <c r="AI941" s="36"/>
      <c r="AJ941" s="36"/>
      <c r="AK941" s="36"/>
      <c r="AL941" s="36"/>
      <c r="AM941" s="36"/>
      <c r="AN941" s="36"/>
    </row>
    <row r="942" spans="1:40" ht="15.75" x14ac:dyDescent="0.25">
      <c r="A942" s="44"/>
      <c r="B942" s="36"/>
      <c r="C942" s="36"/>
      <c r="D942" s="36"/>
      <c r="E942" s="36"/>
      <c r="F942" s="36"/>
      <c r="G942" s="36"/>
      <c r="H942" s="36"/>
      <c r="I942" s="36"/>
      <c r="J942" s="105"/>
      <c r="K942" s="36"/>
      <c r="L942" s="36"/>
      <c r="M942" s="36"/>
      <c r="N942" s="105"/>
      <c r="O942" s="36"/>
      <c r="P942" s="36"/>
      <c r="Q942" s="36"/>
      <c r="R942" s="105"/>
      <c r="S942" s="36"/>
      <c r="T942" s="36"/>
      <c r="U942" s="36"/>
      <c r="V942" s="36"/>
      <c r="W942" s="36"/>
      <c r="X942" s="36"/>
      <c r="Y942" s="36"/>
      <c r="Z942" s="36"/>
      <c r="AA942" s="36"/>
      <c r="AB942" s="42"/>
      <c r="AC942" s="42"/>
      <c r="AD942" s="36"/>
      <c r="AE942" s="36"/>
      <c r="AF942" s="42"/>
      <c r="AG942" s="42"/>
      <c r="AH942" s="36"/>
      <c r="AI942" s="36"/>
      <c r="AJ942" s="36"/>
      <c r="AK942" s="36"/>
      <c r="AL942" s="36"/>
      <c r="AM942" s="36"/>
      <c r="AN942" s="36"/>
    </row>
    <row r="943" spans="1:40" ht="15.75" x14ac:dyDescent="0.25">
      <c r="A943" s="44"/>
      <c r="B943" s="36"/>
      <c r="C943" s="36"/>
      <c r="D943" s="36"/>
      <c r="E943" s="36"/>
      <c r="F943" s="36"/>
      <c r="G943" s="36"/>
      <c r="H943" s="36"/>
      <c r="I943" s="36"/>
      <c r="J943" s="105"/>
      <c r="K943" s="36"/>
      <c r="L943" s="36"/>
      <c r="M943" s="36"/>
      <c r="N943" s="105"/>
      <c r="O943" s="36"/>
      <c r="P943" s="36"/>
      <c r="Q943" s="36"/>
      <c r="R943" s="105"/>
      <c r="S943" s="36"/>
      <c r="T943" s="36"/>
      <c r="U943" s="36"/>
      <c r="V943" s="36"/>
      <c r="W943" s="36"/>
      <c r="X943" s="36"/>
      <c r="Y943" s="36"/>
      <c r="Z943" s="36"/>
      <c r="AA943" s="36"/>
      <c r="AB943" s="42"/>
      <c r="AC943" s="42"/>
      <c r="AD943" s="36"/>
      <c r="AE943" s="36"/>
      <c r="AF943" s="42"/>
      <c r="AG943" s="42"/>
      <c r="AH943" s="36"/>
      <c r="AI943" s="36"/>
      <c r="AJ943" s="36"/>
      <c r="AK943" s="36"/>
      <c r="AL943" s="36"/>
      <c r="AM943" s="36"/>
      <c r="AN943" s="36"/>
    </row>
    <row r="944" spans="1:40" ht="15.75" x14ac:dyDescent="0.25">
      <c r="A944" s="44"/>
      <c r="B944" s="36"/>
      <c r="C944" s="36"/>
      <c r="D944" s="36"/>
      <c r="E944" s="36"/>
      <c r="F944" s="36"/>
      <c r="G944" s="36"/>
      <c r="H944" s="36"/>
      <c r="I944" s="36"/>
      <c r="J944" s="105"/>
      <c r="K944" s="36"/>
      <c r="L944" s="36"/>
      <c r="M944" s="36"/>
      <c r="N944" s="105"/>
      <c r="O944" s="36"/>
      <c r="P944" s="36"/>
      <c r="Q944" s="36"/>
      <c r="R944" s="105"/>
      <c r="S944" s="36"/>
      <c r="T944" s="36"/>
      <c r="U944" s="36"/>
      <c r="V944" s="36"/>
      <c r="W944" s="36"/>
      <c r="X944" s="36"/>
      <c r="Y944" s="36"/>
      <c r="Z944" s="36"/>
      <c r="AA944" s="36"/>
      <c r="AB944" s="42"/>
      <c r="AC944" s="42"/>
      <c r="AD944" s="36"/>
      <c r="AE944" s="36"/>
      <c r="AF944" s="42"/>
      <c r="AG944" s="42"/>
      <c r="AH944" s="36"/>
      <c r="AI944" s="36"/>
      <c r="AJ944" s="36"/>
      <c r="AK944" s="36"/>
      <c r="AL944" s="36"/>
      <c r="AM944" s="36"/>
      <c r="AN944" s="36"/>
    </row>
    <row r="945" spans="1:40" ht="15.75" x14ac:dyDescent="0.25">
      <c r="A945" s="44"/>
      <c r="B945" s="36"/>
      <c r="C945" s="36"/>
      <c r="D945" s="36"/>
      <c r="E945" s="36"/>
      <c r="F945" s="36"/>
      <c r="G945" s="36"/>
      <c r="H945" s="36"/>
      <c r="I945" s="36"/>
      <c r="J945" s="105"/>
      <c r="K945" s="36"/>
      <c r="L945" s="36"/>
      <c r="M945" s="36"/>
      <c r="N945" s="105"/>
      <c r="O945" s="36"/>
      <c r="P945" s="36"/>
      <c r="Q945" s="36"/>
      <c r="R945" s="105"/>
      <c r="S945" s="36"/>
      <c r="T945" s="36"/>
      <c r="U945" s="36"/>
      <c r="V945" s="36"/>
      <c r="W945" s="36"/>
      <c r="X945" s="36"/>
      <c r="Y945" s="36"/>
      <c r="Z945" s="36"/>
      <c r="AA945" s="36"/>
      <c r="AB945" s="42"/>
      <c r="AC945" s="42"/>
      <c r="AD945" s="36"/>
      <c r="AE945" s="36"/>
      <c r="AF945" s="42"/>
      <c r="AG945" s="42"/>
      <c r="AH945" s="36"/>
      <c r="AI945" s="36"/>
      <c r="AJ945" s="36"/>
      <c r="AK945" s="36"/>
      <c r="AL945" s="36"/>
      <c r="AM945" s="36"/>
      <c r="AN945" s="36"/>
    </row>
    <row r="946" spans="1:40" ht="15.75" x14ac:dyDescent="0.25">
      <c r="A946" s="44"/>
      <c r="B946" s="36"/>
      <c r="C946" s="36"/>
      <c r="D946" s="36"/>
      <c r="E946" s="36"/>
      <c r="F946" s="36"/>
      <c r="G946" s="36"/>
      <c r="H946" s="36"/>
      <c r="I946" s="36"/>
      <c r="J946" s="105"/>
      <c r="K946" s="36"/>
      <c r="L946" s="36"/>
      <c r="M946" s="36"/>
      <c r="N946" s="105"/>
      <c r="O946" s="36"/>
      <c r="P946" s="36"/>
      <c r="Q946" s="36"/>
      <c r="R946" s="105"/>
      <c r="S946" s="36"/>
      <c r="T946" s="36"/>
      <c r="U946" s="36"/>
      <c r="V946" s="36"/>
      <c r="W946" s="36"/>
      <c r="X946" s="36"/>
      <c r="Y946" s="36"/>
      <c r="Z946" s="36"/>
      <c r="AA946" s="36"/>
      <c r="AB946" s="42"/>
      <c r="AC946" s="42"/>
      <c r="AD946" s="36"/>
      <c r="AE946" s="36"/>
      <c r="AF946" s="42"/>
      <c r="AG946" s="42"/>
      <c r="AH946" s="36"/>
      <c r="AI946" s="36"/>
      <c r="AJ946" s="36"/>
      <c r="AK946" s="36"/>
      <c r="AL946" s="36"/>
      <c r="AM946" s="36"/>
      <c r="AN946" s="36"/>
    </row>
    <row r="947" spans="1:40" ht="15.75" x14ac:dyDescent="0.25">
      <c r="A947" s="44"/>
      <c r="B947" s="36"/>
      <c r="C947" s="36"/>
      <c r="D947" s="36"/>
      <c r="E947" s="36"/>
      <c r="F947" s="36"/>
      <c r="G947" s="36"/>
      <c r="H947" s="36"/>
      <c r="I947" s="36"/>
      <c r="J947" s="105"/>
      <c r="K947" s="36"/>
      <c r="L947" s="36"/>
      <c r="M947" s="36"/>
      <c r="N947" s="105"/>
      <c r="O947" s="36"/>
      <c r="P947" s="36"/>
      <c r="Q947" s="36"/>
      <c r="R947" s="105"/>
      <c r="S947" s="36"/>
      <c r="T947" s="36"/>
      <c r="U947" s="36"/>
      <c r="V947" s="36"/>
      <c r="W947" s="36"/>
      <c r="X947" s="36"/>
      <c r="Y947" s="36"/>
      <c r="Z947" s="36"/>
      <c r="AA947" s="36"/>
      <c r="AB947" s="42"/>
      <c r="AC947" s="42"/>
      <c r="AD947" s="36"/>
      <c r="AE947" s="36"/>
      <c r="AF947" s="42"/>
      <c r="AG947" s="42"/>
      <c r="AH947" s="36"/>
      <c r="AI947" s="36"/>
      <c r="AJ947" s="36"/>
      <c r="AK947" s="36"/>
      <c r="AL947" s="36"/>
      <c r="AM947" s="36"/>
      <c r="AN947" s="36"/>
    </row>
    <row r="948" spans="1:40" ht="15.75" x14ac:dyDescent="0.25">
      <c r="A948" s="44"/>
      <c r="B948" s="36"/>
      <c r="C948" s="36"/>
      <c r="D948" s="36"/>
      <c r="E948" s="36"/>
      <c r="F948" s="36"/>
      <c r="G948" s="36"/>
      <c r="H948" s="36"/>
      <c r="I948" s="36"/>
      <c r="J948" s="105"/>
      <c r="K948" s="36"/>
      <c r="L948" s="36"/>
      <c r="M948" s="36"/>
      <c r="N948" s="105"/>
      <c r="O948" s="36"/>
      <c r="P948" s="36"/>
      <c r="Q948" s="36"/>
      <c r="R948" s="105"/>
      <c r="S948" s="36"/>
      <c r="T948" s="36"/>
      <c r="U948" s="36"/>
      <c r="V948" s="36"/>
      <c r="W948" s="36"/>
      <c r="X948" s="36"/>
      <c r="Y948" s="36"/>
      <c r="Z948" s="36"/>
      <c r="AA948" s="36"/>
      <c r="AB948" s="42"/>
      <c r="AC948" s="42"/>
      <c r="AD948" s="36"/>
      <c r="AE948" s="36"/>
      <c r="AF948" s="42"/>
      <c r="AG948" s="42"/>
      <c r="AH948" s="36"/>
      <c r="AI948" s="36"/>
      <c r="AJ948" s="36"/>
      <c r="AK948" s="36"/>
      <c r="AL948" s="36"/>
      <c r="AM948" s="36"/>
      <c r="AN948" s="36"/>
    </row>
    <row r="949" spans="1:40" ht="15.75" x14ac:dyDescent="0.25">
      <c r="A949" s="44"/>
      <c r="B949" s="36"/>
      <c r="C949" s="36"/>
      <c r="D949" s="36"/>
      <c r="E949" s="36"/>
      <c r="F949" s="36"/>
      <c r="G949" s="36"/>
      <c r="H949" s="36"/>
      <c r="I949" s="36"/>
      <c r="J949" s="105"/>
      <c r="K949" s="36"/>
      <c r="L949" s="36"/>
      <c r="M949" s="36"/>
      <c r="N949" s="105"/>
      <c r="O949" s="36"/>
      <c r="P949" s="36"/>
      <c r="Q949" s="36"/>
      <c r="R949" s="105"/>
      <c r="S949" s="36"/>
      <c r="T949" s="36"/>
      <c r="U949" s="36"/>
      <c r="V949" s="36"/>
      <c r="W949" s="36"/>
      <c r="X949" s="36"/>
      <c r="Y949" s="36"/>
      <c r="Z949" s="36"/>
      <c r="AA949" s="36"/>
      <c r="AB949" s="42"/>
      <c r="AC949" s="42"/>
      <c r="AD949" s="36"/>
      <c r="AE949" s="36"/>
      <c r="AF949" s="42"/>
      <c r="AG949" s="42"/>
      <c r="AH949" s="36"/>
      <c r="AI949" s="36"/>
      <c r="AJ949" s="36"/>
      <c r="AK949" s="36"/>
      <c r="AL949" s="36"/>
      <c r="AM949" s="36"/>
      <c r="AN949" s="36"/>
    </row>
    <row r="950" spans="1:40" ht="15.75" x14ac:dyDescent="0.25">
      <c r="A950" s="44"/>
      <c r="B950" s="36"/>
      <c r="C950" s="36"/>
      <c r="D950" s="36"/>
      <c r="E950" s="36"/>
      <c r="F950" s="36"/>
      <c r="G950" s="36"/>
      <c r="H950" s="36"/>
      <c r="I950" s="36"/>
      <c r="J950" s="105"/>
      <c r="K950" s="36"/>
      <c r="L950" s="36"/>
      <c r="M950" s="36"/>
      <c r="N950" s="105"/>
      <c r="O950" s="36"/>
      <c r="P950" s="36"/>
      <c r="Q950" s="36"/>
      <c r="R950" s="105"/>
      <c r="S950" s="36"/>
      <c r="T950" s="36"/>
      <c r="U950" s="36"/>
      <c r="V950" s="36"/>
      <c r="W950" s="36"/>
      <c r="X950" s="36"/>
      <c r="Y950" s="36"/>
      <c r="Z950" s="36"/>
      <c r="AA950" s="36"/>
      <c r="AB950" s="42"/>
      <c r="AC950" s="42"/>
      <c r="AD950" s="36"/>
      <c r="AE950" s="36"/>
      <c r="AF950" s="42"/>
      <c r="AG950" s="42"/>
      <c r="AH950" s="36"/>
      <c r="AI950" s="36"/>
      <c r="AJ950" s="36"/>
      <c r="AK950" s="36"/>
      <c r="AL950" s="36"/>
      <c r="AM950" s="36"/>
      <c r="AN950" s="36"/>
    </row>
    <row r="951" spans="1:40" ht="15.75" x14ac:dyDescent="0.25">
      <c r="A951" s="44"/>
      <c r="B951" s="36"/>
      <c r="C951" s="36"/>
      <c r="D951" s="36"/>
      <c r="E951" s="36"/>
      <c r="F951" s="36"/>
      <c r="G951" s="36"/>
      <c r="H951" s="36"/>
      <c r="I951" s="36"/>
      <c r="J951" s="105"/>
      <c r="K951" s="36"/>
      <c r="L951" s="36"/>
      <c r="M951" s="36"/>
      <c r="N951" s="105"/>
      <c r="O951" s="36"/>
      <c r="P951" s="36"/>
      <c r="Q951" s="36"/>
      <c r="R951" s="105"/>
      <c r="S951" s="36"/>
      <c r="T951" s="36"/>
      <c r="U951" s="36"/>
      <c r="V951" s="36"/>
      <c r="W951" s="36"/>
      <c r="X951" s="36"/>
      <c r="Y951" s="36"/>
      <c r="Z951" s="36"/>
      <c r="AA951" s="36"/>
      <c r="AB951" s="42"/>
      <c r="AC951" s="42"/>
      <c r="AD951" s="36"/>
      <c r="AE951" s="36"/>
      <c r="AF951" s="42"/>
      <c r="AG951" s="42"/>
      <c r="AH951" s="36"/>
      <c r="AI951" s="36"/>
      <c r="AJ951" s="36"/>
      <c r="AK951" s="36"/>
      <c r="AL951" s="36"/>
      <c r="AM951" s="36"/>
      <c r="AN951" s="36"/>
    </row>
    <row r="952" spans="1:40" ht="15.75" x14ac:dyDescent="0.25">
      <c r="A952" s="44"/>
      <c r="B952" s="36"/>
      <c r="C952" s="36"/>
      <c r="D952" s="36"/>
      <c r="E952" s="36"/>
      <c r="F952" s="36"/>
      <c r="G952" s="36"/>
      <c r="H952" s="36"/>
      <c r="I952" s="36"/>
      <c r="J952" s="105"/>
      <c r="K952" s="36"/>
      <c r="L952" s="36"/>
      <c r="M952" s="36"/>
      <c r="N952" s="105"/>
      <c r="O952" s="36"/>
      <c r="P952" s="36"/>
      <c r="Q952" s="36"/>
      <c r="R952" s="105"/>
      <c r="S952" s="36"/>
      <c r="T952" s="36"/>
      <c r="U952" s="36"/>
      <c r="V952" s="36"/>
      <c r="W952" s="36"/>
      <c r="X952" s="36"/>
      <c r="Y952" s="36"/>
      <c r="Z952" s="36"/>
      <c r="AA952" s="36"/>
      <c r="AB952" s="42"/>
      <c r="AC952" s="42"/>
      <c r="AD952" s="36"/>
      <c r="AE952" s="36"/>
      <c r="AF952" s="42"/>
      <c r="AG952" s="42"/>
      <c r="AH952" s="36"/>
      <c r="AI952" s="36"/>
      <c r="AJ952" s="36"/>
      <c r="AK952" s="36"/>
      <c r="AL952" s="36"/>
      <c r="AM952" s="36"/>
      <c r="AN952" s="36"/>
    </row>
    <row r="953" spans="1:40" ht="15.75" x14ac:dyDescent="0.25">
      <c r="A953" s="44"/>
      <c r="B953" s="36"/>
      <c r="C953" s="36"/>
      <c r="D953" s="36"/>
      <c r="E953" s="36"/>
      <c r="F953" s="36"/>
      <c r="G953" s="36"/>
      <c r="H953" s="36"/>
      <c r="I953" s="36"/>
      <c r="J953" s="105"/>
      <c r="K953" s="36"/>
      <c r="L953" s="36"/>
      <c r="M953" s="36"/>
      <c r="N953" s="105"/>
      <c r="O953" s="36"/>
      <c r="P953" s="36"/>
      <c r="Q953" s="36"/>
      <c r="R953" s="105"/>
      <c r="S953" s="36"/>
      <c r="T953" s="36"/>
      <c r="U953" s="36"/>
      <c r="V953" s="36"/>
      <c r="W953" s="36"/>
      <c r="X953" s="36"/>
      <c r="Y953" s="36"/>
      <c r="Z953" s="36"/>
      <c r="AA953" s="36"/>
      <c r="AB953" s="42"/>
      <c r="AC953" s="42"/>
      <c r="AD953" s="36"/>
      <c r="AE953" s="36"/>
      <c r="AF953" s="42"/>
      <c r="AG953" s="42"/>
      <c r="AH953" s="36"/>
      <c r="AI953" s="36"/>
      <c r="AJ953" s="36"/>
      <c r="AK953" s="36"/>
      <c r="AL953" s="36"/>
      <c r="AM953" s="36"/>
      <c r="AN953" s="36"/>
    </row>
    <row r="954" spans="1:40" ht="15.75" x14ac:dyDescent="0.25">
      <c r="A954" s="44"/>
      <c r="B954" s="36"/>
      <c r="C954" s="36"/>
      <c r="D954" s="36"/>
      <c r="E954" s="36"/>
      <c r="F954" s="36"/>
      <c r="G954" s="36"/>
      <c r="H954" s="36"/>
      <c r="I954" s="36"/>
      <c r="J954" s="105"/>
      <c r="K954" s="36"/>
      <c r="L954" s="36"/>
      <c r="M954" s="36"/>
      <c r="N954" s="105"/>
      <c r="O954" s="36"/>
      <c r="P954" s="36"/>
      <c r="Q954" s="36"/>
      <c r="R954" s="105"/>
      <c r="S954" s="36"/>
      <c r="T954" s="36"/>
      <c r="U954" s="36"/>
      <c r="V954" s="36"/>
      <c r="W954" s="36"/>
      <c r="X954" s="36"/>
      <c r="Y954" s="36"/>
      <c r="Z954" s="36"/>
      <c r="AA954" s="36"/>
      <c r="AB954" s="42"/>
      <c r="AC954" s="42"/>
      <c r="AD954" s="36"/>
      <c r="AE954" s="36"/>
      <c r="AF954" s="42"/>
      <c r="AG954" s="42"/>
      <c r="AH954" s="36"/>
      <c r="AI954" s="36"/>
      <c r="AJ954" s="36"/>
      <c r="AK954" s="36"/>
      <c r="AL954" s="36"/>
      <c r="AM954" s="36"/>
      <c r="AN954" s="36"/>
    </row>
    <row r="955" spans="1:40" ht="15.75" x14ac:dyDescent="0.25">
      <c r="A955" s="44"/>
      <c r="B955" s="36"/>
      <c r="C955" s="36"/>
      <c r="D955" s="36"/>
      <c r="E955" s="36"/>
      <c r="F955" s="36"/>
      <c r="G955" s="36"/>
      <c r="H955" s="36"/>
      <c r="I955" s="36"/>
      <c r="J955" s="105"/>
      <c r="K955" s="36"/>
      <c r="L955" s="36"/>
      <c r="M955" s="36"/>
      <c r="N955" s="105"/>
      <c r="O955" s="36"/>
      <c r="P955" s="36"/>
      <c r="Q955" s="36"/>
      <c r="R955" s="105"/>
      <c r="S955" s="36"/>
      <c r="T955" s="36"/>
      <c r="U955" s="36"/>
      <c r="V955" s="36"/>
      <c r="W955" s="36"/>
      <c r="X955" s="36"/>
      <c r="Y955" s="36"/>
      <c r="Z955" s="36"/>
      <c r="AA955" s="36"/>
      <c r="AB955" s="42"/>
      <c r="AC955" s="42"/>
      <c r="AD955" s="36"/>
      <c r="AE955" s="36"/>
      <c r="AF955" s="42"/>
      <c r="AG955" s="42"/>
      <c r="AH955" s="36"/>
      <c r="AI955" s="36"/>
      <c r="AJ955" s="36"/>
      <c r="AK955" s="36"/>
      <c r="AL955" s="36"/>
      <c r="AM955" s="36"/>
      <c r="AN955" s="36"/>
    </row>
    <row r="956" spans="1:40" ht="15.75" x14ac:dyDescent="0.25">
      <c r="A956" s="44"/>
      <c r="B956" s="36"/>
      <c r="C956" s="36"/>
      <c r="D956" s="36"/>
      <c r="E956" s="36"/>
      <c r="F956" s="36"/>
      <c r="G956" s="36"/>
      <c r="H956" s="36"/>
      <c r="I956" s="36"/>
      <c r="J956" s="105"/>
      <c r="K956" s="36"/>
      <c r="L956" s="36"/>
      <c r="M956" s="36"/>
      <c r="N956" s="105"/>
      <c r="O956" s="36"/>
      <c r="P956" s="36"/>
      <c r="Q956" s="36"/>
      <c r="R956" s="105"/>
      <c r="S956" s="36"/>
      <c r="T956" s="36"/>
      <c r="U956" s="36"/>
      <c r="V956" s="36"/>
      <c r="W956" s="36"/>
      <c r="X956" s="36"/>
      <c r="Y956" s="36"/>
      <c r="Z956" s="36"/>
      <c r="AA956" s="36"/>
      <c r="AB956" s="42"/>
      <c r="AC956" s="42"/>
      <c r="AD956" s="36"/>
      <c r="AE956" s="36"/>
      <c r="AF956" s="42"/>
      <c r="AG956" s="42"/>
      <c r="AH956" s="36"/>
      <c r="AI956" s="36"/>
      <c r="AJ956" s="36"/>
      <c r="AK956" s="36"/>
      <c r="AL956" s="36"/>
      <c r="AM956" s="36"/>
      <c r="AN956" s="36"/>
    </row>
    <row r="957" spans="1:40" ht="15.75" x14ac:dyDescent="0.25">
      <c r="A957" s="44"/>
      <c r="B957" s="36"/>
      <c r="C957" s="36"/>
      <c r="D957" s="36"/>
      <c r="E957" s="36"/>
      <c r="F957" s="36"/>
      <c r="G957" s="36"/>
      <c r="H957" s="36"/>
      <c r="I957" s="36"/>
      <c r="J957" s="105"/>
      <c r="K957" s="36"/>
      <c r="L957" s="36"/>
      <c r="M957" s="36"/>
      <c r="N957" s="105"/>
      <c r="O957" s="36"/>
      <c r="P957" s="36"/>
      <c r="Q957" s="36"/>
      <c r="R957" s="105"/>
      <c r="S957" s="36"/>
      <c r="T957" s="36"/>
      <c r="U957" s="36"/>
      <c r="V957" s="36"/>
      <c r="W957" s="36"/>
      <c r="X957" s="36"/>
      <c r="Y957" s="36"/>
      <c r="Z957" s="36"/>
      <c r="AA957" s="36"/>
      <c r="AB957" s="42"/>
      <c r="AC957" s="42"/>
      <c r="AD957" s="36"/>
      <c r="AE957" s="36"/>
      <c r="AF957" s="42"/>
      <c r="AG957" s="42"/>
      <c r="AH957" s="36"/>
      <c r="AI957" s="36"/>
      <c r="AJ957" s="36"/>
      <c r="AK957" s="36"/>
      <c r="AL957" s="36"/>
      <c r="AM957" s="36"/>
      <c r="AN957" s="36"/>
    </row>
    <row r="958" spans="1:40" ht="15.75" x14ac:dyDescent="0.25">
      <c r="A958" s="44"/>
      <c r="B958" s="36"/>
      <c r="C958" s="36"/>
      <c r="D958" s="36"/>
      <c r="E958" s="36"/>
      <c r="F958" s="36"/>
      <c r="G958" s="36"/>
      <c r="H958" s="36"/>
      <c r="I958" s="36"/>
      <c r="J958" s="105"/>
      <c r="K958" s="36"/>
      <c r="L958" s="36"/>
      <c r="M958" s="36"/>
      <c r="N958" s="105"/>
      <c r="O958" s="36"/>
      <c r="P958" s="36"/>
      <c r="Q958" s="36"/>
      <c r="R958" s="105"/>
      <c r="S958" s="36"/>
      <c r="T958" s="36"/>
      <c r="U958" s="36"/>
      <c r="V958" s="36"/>
      <c r="W958" s="36"/>
      <c r="X958" s="36"/>
      <c r="Y958" s="36"/>
      <c r="Z958" s="36"/>
      <c r="AA958" s="36"/>
      <c r="AB958" s="42"/>
      <c r="AC958" s="42"/>
      <c r="AD958" s="36"/>
      <c r="AE958" s="36"/>
      <c r="AF958" s="42"/>
      <c r="AG958" s="42"/>
      <c r="AH958" s="36"/>
      <c r="AI958" s="36"/>
      <c r="AJ958" s="36"/>
      <c r="AK958" s="36"/>
      <c r="AL958" s="36"/>
      <c r="AM958" s="36"/>
      <c r="AN958" s="36"/>
    </row>
    <row r="959" spans="1:40" ht="15.75" x14ac:dyDescent="0.25">
      <c r="A959" s="44"/>
      <c r="B959" s="36"/>
      <c r="C959" s="36"/>
      <c r="D959" s="36"/>
      <c r="E959" s="36"/>
      <c r="F959" s="36"/>
      <c r="G959" s="36"/>
      <c r="H959" s="36"/>
      <c r="I959" s="36"/>
      <c r="J959" s="105"/>
      <c r="K959" s="36"/>
      <c r="L959" s="36"/>
      <c r="M959" s="36"/>
      <c r="N959" s="105"/>
      <c r="O959" s="36"/>
      <c r="P959" s="36"/>
      <c r="Q959" s="36"/>
      <c r="R959" s="105"/>
      <c r="S959" s="36"/>
      <c r="T959" s="36"/>
      <c r="U959" s="36"/>
      <c r="V959" s="36"/>
      <c r="W959" s="36"/>
      <c r="X959" s="36"/>
      <c r="Y959" s="36"/>
      <c r="Z959" s="36"/>
      <c r="AA959" s="36"/>
      <c r="AB959" s="42"/>
      <c r="AC959" s="42"/>
      <c r="AD959" s="36"/>
      <c r="AE959" s="36"/>
      <c r="AF959" s="42"/>
      <c r="AG959" s="42"/>
      <c r="AH959" s="36"/>
      <c r="AI959" s="36"/>
      <c r="AJ959" s="36"/>
      <c r="AK959" s="36"/>
      <c r="AL959" s="36"/>
      <c r="AM959" s="36"/>
      <c r="AN959" s="36"/>
    </row>
    <row r="960" spans="1:40" ht="15.75" x14ac:dyDescent="0.25">
      <c r="A960" s="44"/>
      <c r="B960" s="36"/>
      <c r="C960" s="36"/>
      <c r="D960" s="36"/>
      <c r="E960" s="36"/>
      <c r="F960" s="36"/>
      <c r="G960" s="36"/>
      <c r="H960" s="36"/>
      <c r="I960" s="36"/>
      <c r="J960" s="105"/>
      <c r="K960" s="36"/>
      <c r="L960" s="36"/>
      <c r="M960" s="36"/>
      <c r="N960" s="105"/>
      <c r="O960" s="36"/>
      <c r="P960" s="36"/>
      <c r="Q960" s="36"/>
      <c r="R960" s="105"/>
      <c r="S960" s="36"/>
      <c r="T960" s="36"/>
      <c r="U960" s="36"/>
      <c r="V960" s="36"/>
      <c r="W960" s="36"/>
      <c r="X960" s="36"/>
      <c r="Y960" s="36"/>
      <c r="Z960" s="36"/>
      <c r="AA960" s="36"/>
      <c r="AB960" s="42"/>
      <c r="AC960" s="42"/>
      <c r="AD960" s="36"/>
      <c r="AE960" s="36"/>
      <c r="AF960" s="42"/>
      <c r="AG960" s="42"/>
      <c r="AH960" s="36"/>
      <c r="AI960" s="36"/>
      <c r="AJ960" s="36"/>
      <c r="AK960" s="36"/>
      <c r="AL960" s="36"/>
      <c r="AM960" s="36"/>
      <c r="AN960" s="36"/>
    </row>
    <row r="961" spans="1:40" ht="15.75" x14ac:dyDescent="0.25">
      <c r="A961" s="44"/>
      <c r="B961" s="36"/>
      <c r="C961" s="36"/>
      <c r="D961" s="36"/>
      <c r="E961" s="36"/>
      <c r="F961" s="36"/>
      <c r="G961" s="36"/>
      <c r="H961" s="36"/>
      <c r="I961" s="36"/>
      <c r="J961" s="105"/>
      <c r="K961" s="36"/>
      <c r="L961" s="36"/>
      <c r="M961" s="36"/>
      <c r="N961" s="105"/>
      <c r="O961" s="36"/>
      <c r="P961" s="36"/>
      <c r="Q961" s="36"/>
      <c r="R961" s="105"/>
      <c r="S961" s="36"/>
      <c r="T961" s="36"/>
      <c r="U961" s="36"/>
      <c r="V961" s="36"/>
      <c r="W961" s="36"/>
      <c r="X961" s="36"/>
      <c r="Y961" s="36"/>
      <c r="Z961" s="36"/>
      <c r="AA961" s="36"/>
      <c r="AB961" s="42"/>
      <c r="AC961" s="42"/>
      <c r="AD961" s="36"/>
      <c r="AE961" s="36"/>
      <c r="AF961" s="42"/>
      <c r="AG961" s="42"/>
      <c r="AH961" s="36"/>
      <c r="AI961" s="36"/>
      <c r="AJ961" s="36"/>
      <c r="AK961" s="36"/>
      <c r="AL961" s="36"/>
      <c r="AM961" s="36"/>
      <c r="AN961" s="36"/>
    </row>
    <row r="962" spans="1:40" ht="15.75" x14ac:dyDescent="0.25">
      <c r="A962" s="44"/>
      <c r="B962" s="36"/>
      <c r="C962" s="36"/>
      <c r="D962" s="36"/>
      <c r="E962" s="36"/>
      <c r="F962" s="36"/>
      <c r="G962" s="36"/>
      <c r="H962" s="36"/>
      <c r="I962" s="36"/>
      <c r="J962" s="105"/>
      <c r="K962" s="36"/>
      <c r="L962" s="36"/>
      <c r="M962" s="36"/>
      <c r="N962" s="105"/>
      <c r="O962" s="36"/>
      <c r="P962" s="36"/>
      <c r="Q962" s="36"/>
      <c r="R962" s="105"/>
      <c r="S962" s="36"/>
      <c r="T962" s="36"/>
      <c r="U962" s="36"/>
      <c r="V962" s="36"/>
      <c r="W962" s="36"/>
      <c r="X962" s="36"/>
      <c r="Y962" s="36"/>
      <c r="Z962" s="36"/>
      <c r="AA962" s="36"/>
      <c r="AB962" s="42"/>
      <c r="AC962" s="42"/>
      <c r="AD962" s="36"/>
      <c r="AE962" s="36"/>
      <c r="AF962" s="42"/>
      <c r="AG962" s="42"/>
      <c r="AH962" s="36"/>
      <c r="AI962" s="36"/>
      <c r="AJ962" s="36"/>
      <c r="AK962" s="36"/>
      <c r="AL962" s="36"/>
      <c r="AM962" s="36"/>
      <c r="AN962" s="36"/>
    </row>
    <row r="963" spans="1:40" ht="15.75" x14ac:dyDescent="0.25">
      <c r="A963" s="44"/>
      <c r="B963" s="36"/>
      <c r="C963" s="36"/>
      <c r="D963" s="36"/>
      <c r="E963" s="36"/>
      <c r="F963" s="36"/>
      <c r="G963" s="36"/>
      <c r="H963" s="36"/>
      <c r="I963" s="36"/>
      <c r="J963" s="105"/>
      <c r="K963" s="36"/>
      <c r="L963" s="36"/>
      <c r="M963" s="36"/>
      <c r="N963" s="105"/>
      <c r="O963" s="36"/>
      <c r="P963" s="36"/>
      <c r="Q963" s="36"/>
      <c r="R963" s="105"/>
      <c r="S963" s="36"/>
      <c r="T963" s="36"/>
      <c r="U963" s="36"/>
      <c r="V963" s="36"/>
      <c r="W963" s="36"/>
      <c r="X963" s="36"/>
      <c r="Y963" s="36"/>
      <c r="Z963" s="36"/>
      <c r="AA963" s="36"/>
      <c r="AB963" s="42"/>
      <c r="AC963" s="42"/>
      <c r="AD963" s="36"/>
      <c r="AE963" s="36"/>
      <c r="AF963" s="42"/>
      <c r="AG963" s="42"/>
      <c r="AH963" s="36"/>
      <c r="AI963" s="36"/>
      <c r="AJ963" s="36"/>
      <c r="AK963" s="36"/>
      <c r="AL963" s="36"/>
      <c r="AM963" s="36"/>
      <c r="AN963" s="36"/>
    </row>
    <row r="964" spans="1:40" ht="15.75" x14ac:dyDescent="0.25">
      <c r="A964" s="44"/>
      <c r="B964" s="36"/>
      <c r="C964" s="36"/>
      <c r="D964" s="36"/>
      <c r="E964" s="36"/>
      <c r="F964" s="36"/>
      <c r="G964" s="36"/>
      <c r="H964" s="36"/>
      <c r="I964" s="36"/>
      <c r="J964" s="105"/>
      <c r="K964" s="36"/>
      <c r="L964" s="36"/>
      <c r="M964" s="36"/>
      <c r="N964" s="105"/>
      <c r="O964" s="36"/>
      <c r="P964" s="36"/>
      <c r="Q964" s="36"/>
      <c r="R964" s="105"/>
      <c r="S964" s="36"/>
      <c r="T964" s="36"/>
      <c r="U964" s="36"/>
      <c r="V964" s="36"/>
      <c r="W964" s="36"/>
      <c r="X964" s="36"/>
      <c r="Y964" s="36"/>
      <c r="Z964" s="36"/>
      <c r="AA964" s="36"/>
      <c r="AB964" s="42"/>
      <c r="AC964" s="42"/>
      <c r="AD964" s="36"/>
      <c r="AE964" s="36"/>
      <c r="AF964" s="42"/>
      <c r="AG964" s="42"/>
      <c r="AH964" s="36"/>
      <c r="AI964" s="36"/>
      <c r="AJ964" s="36"/>
      <c r="AK964" s="36"/>
      <c r="AL964" s="36"/>
      <c r="AM964" s="36"/>
      <c r="AN964" s="36"/>
    </row>
    <row r="965" spans="1:40" ht="15.75" x14ac:dyDescent="0.25">
      <c r="A965" s="44"/>
      <c r="B965" s="36"/>
      <c r="C965" s="36"/>
      <c r="D965" s="36"/>
      <c r="E965" s="36"/>
      <c r="F965" s="36"/>
      <c r="G965" s="36"/>
      <c r="H965" s="36"/>
      <c r="I965" s="36"/>
      <c r="J965" s="105"/>
      <c r="K965" s="36"/>
      <c r="L965" s="36"/>
      <c r="M965" s="36"/>
      <c r="N965" s="105"/>
      <c r="O965" s="36"/>
      <c r="P965" s="36"/>
      <c r="Q965" s="36"/>
      <c r="R965" s="105"/>
      <c r="S965" s="36"/>
      <c r="T965" s="36"/>
      <c r="U965" s="36"/>
      <c r="V965" s="36"/>
      <c r="W965" s="36"/>
      <c r="X965" s="36"/>
      <c r="Y965" s="36"/>
      <c r="Z965" s="36"/>
      <c r="AA965" s="36"/>
      <c r="AB965" s="42"/>
      <c r="AC965" s="42"/>
      <c r="AD965" s="36"/>
      <c r="AE965" s="36"/>
      <c r="AF965" s="42"/>
      <c r="AG965" s="42"/>
      <c r="AH965" s="36"/>
      <c r="AI965" s="36"/>
      <c r="AJ965" s="36"/>
      <c r="AK965" s="36"/>
      <c r="AL965" s="36"/>
      <c r="AM965" s="36"/>
      <c r="AN965" s="36"/>
    </row>
    <row r="966" spans="1:40" ht="15.75" x14ac:dyDescent="0.25">
      <c r="A966" s="44"/>
      <c r="B966" s="36"/>
      <c r="C966" s="36"/>
      <c r="D966" s="36"/>
      <c r="E966" s="36"/>
      <c r="F966" s="36"/>
      <c r="G966" s="36"/>
      <c r="H966" s="36"/>
      <c r="I966" s="36"/>
      <c r="J966" s="105"/>
      <c r="K966" s="36"/>
      <c r="L966" s="36"/>
      <c r="M966" s="36"/>
      <c r="N966" s="105"/>
      <c r="O966" s="36"/>
      <c r="P966" s="36"/>
      <c r="Q966" s="36"/>
      <c r="R966" s="105"/>
      <c r="S966" s="36"/>
      <c r="T966" s="36"/>
      <c r="U966" s="36"/>
      <c r="V966" s="36"/>
      <c r="W966" s="36"/>
      <c r="X966" s="36"/>
      <c r="Y966" s="36"/>
      <c r="Z966" s="36"/>
      <c r="AA966" s="36"/>
      <c r="AB966" s="42"/>
      <c r="AC966" s="42"/>
      <c r="AD966" s="36"/>
      <c r="AE966" s="36"/>
      <c r="AF966" s="42"/>
      <c r="AG966" s="42"/>
      <c r="AH966" s="36"/>
      <c r="AI966" s="36"/>
      <c r="AJ966" s="36"/>
      <c r="AK966" s="36"/>
      <c r="AL966" s="36"/>
      <c r="AM966" s="36"/>
      <c r="AN966" s="36"/>
    </row>
    <row r="967" spans="1:40" ht="15.75" x14ac:dyDescent="0.25">
      <c r="A967" s="44"/>
      <c r="B967" s="36"/>
      <c r="C967" s="36"/>
      <c r="D967" s="36"/>
      <c r="E967" s="36"/>
      <c r="F967" s="36"/>
      <c r="G967" s="36"/>
      <c r="H967" s="36"/>
      <c r="I967" s="36"/>
      <c r="J967" s="105"/>
      <c r="K967" s="36"/>
      <c r="L967" s="36"/>
      <c r="M967" s="36"/>
      <c r="N967" s="105"/>
      <c r="O967" s="36"/>
      <c r="P967" s="36"/>
      <c r="Q967" s="36"/>
      <c r="R967" s="105"/>
      <c r="S967" s="36"/>
      <c r="T967" s="36"/>
      <c r="U967" s="36"/>
      <c r="V967" s="36"/>
      <c r="W967" s="36"/>
      <c r="X967" s="36"/>
      <c r="Y967" s="36"/>
      <c r="Z967" s="36"/>
      <c r="AA967" s="36"/>
      <c r="AB967" s="42"/>
      <c r="AC967" s="42"/>
      <c r="AD967" s="36"/>
      <c r="AE967" s="36"/>
      <c r="AF967" s="42"/>
      <c r="AG967" s="42"/>
      <c r="AH967" s="36"/>
      <c r="AI967" s="36"/>
      <c r="AJ967" s="36"/>
      <c r="AK967" s="36"/>
      <c r="AL967" s="36"/>
      <c r="AM967" s="36"/>
      <c r="AN967" s="36"/>
    </row>
    <row r="968" spans="1:40" ht="15.75" x14ac:dyDescent="0.25">
      <c r="A968" s="44"/>
      <c r="B968" s="36"/>
      <c r="C968" s="36"/>
      <c r="D968" s="36"/>
      <c r="E968" s="36"/>
      <c r="F968" s="36"/>
      <c r="G968" s="36"/>
      <c r="H968" s="36"/>
      <c r="I968" s="36"/>
      <c r="J968" s="105"/>
      <c r="K968" s="36"/>
      <c r="L968" s="36"/>
      <c r="M968" s="36"/>
      <c r="N968" s="105"/>
      <c r="O968" s="36"/>
      <c r="P968" s="36"/>
      <c r="Q968" s="36"/>
      <c r="R968" s="105"/>
      <c r="S968" s="36"/>
      <c r="T968" s="36"/>
      <c r="U968" s="36"/>
      <c r="V968" s="36"/>
      <c r="W968" s="36"/>
      <c r="X968" s="36"/>
      <c r="Y968" s="36"/>
      <c r="Z968" s="36"/>
      <c r="AA968" s="36"/>
      <c r="AB968" s="42"/>
      <c r="AC968" s="42"/>
      <c r="AD968" s="36"/>
      <c r="AE968" s="36"/>
      <c r="AF968" s="42"/>
      <c r="AG968" s="42"/>
      <c r="AH968" s="36"/>
      <c r="AI968" s="36"/>
      <c r="AJ968" s="36"/>
      <c r="AK968" s="36"/>
      <c r="AL968" s="36"/>
      <c r="AM968" s="36"/>
      <c r="AN968" s="36"/>
    </row>
    <row r="969" spans="1:40" ht="15.75" x14ac:dyDescent="0.25">
      <c r="A969" s="44"/>
      <c r="B969" s="36"/>
      <c r="C969" s="36"/>
      <c r="D969" s="36"/>
      <c r="E969" s="36"/>
      <c r="F969" s="36"/>
      <c r="G969" s="36"/>
      <c r="H969" s="36"/>
      <c r="I969" s="36"/>
      <c r="J969" s="105"/>
      <c r="K969" s="36"/>
      <c r="L969" s="36"/>
      <c r="M969" s="36"/>
      <c r="N969" s="105"/>
      <c r="O969" s="36"/>
      <c r="P969" s="36"/>
      <c r="Q969" s="36"/>
      <c r="R969" s="105"/>
      <c r="S969" s="36"/>
      <c r="T969" s="36"/>
      <c r="U969" s="36"/>
      <c r="V969" s="36"/>
      <c r="W969" s="36"/>
      <c r="X969" s="36"/>
      <c r="Y969" s="36"/>
      <c r="Z969" s="36"/>
      <c r="AA969" s="36"/>
      <c r="AB969" s="42"/>
      <c r="AC969" s="42"/>
      <c r="AD969" s="36"/>
      <c r="AE969" s="36"/>
      <c r="AF969" s="42"/>
      <c r="AG969" s="42"/>
      <c r="AH969" s="36"/>
      <c r="AI969" s="36"/>
      <c r="AJ969" s="36"/>
      <c r="AK969" s="36"/>
      <c r="AL969" s="36"/>
      <c r="AM969" s="36"/>
      <c r="AN969" s="36"/>
    </row>
    <row r="970" spans="1:40" ht="15.75" x14ac:dyDescent="0.25">
      <c r="A970" s="44"/>
      <c r="B970" s="36"/>
      <c r="C970" s="36"/>
      <c r="D970" s="36"/>
      <c r="E970" s="36"/>
      <c r="F970" s="36"/>
      <c r="G970" s="36"/>
      <c r="H970" s="36"/>
      <c r="I970" s="36"/>
      <c r="J970" s="105"/>
      <c r="K970" s="36"/>
      <c r="L970" s="36"/>
      <c r="M970" s="36"/>
      <c r="N970" s="105"/>
      <c r="O970" s="36"/>
      <c r="P970" s="36"/>
      <c r="Q970" s="36"/>
      <c r="R970" s="105"/>
      <c r="S970" s="36"/>
      <c r="T970" s="36"/>
      <c r="U970" s="36"/>
      <c r="V970" s="36"/>
      <c r="W970" s="36"/>
      <c r="X970" s="36"/>
      <c r="Y970" s="36"/>
      <c r="Z970" s="36"/>
      <c r="AA970" s="36"/>
      <c r="AB970" s="42"/>
      <c r="AC970" s="42"/>
      <c r="AD970" s="36"/>
      <c r="AE970" s="36"/>
      <c r="AF970" s="42"/>
      <c r="AG970" s="42"/>
      <c r="AH970" s="36"/>
      <c r="AI970" s="36"/>
      <c r="AJ970" s="36"/>
      <c r="AK970" s="36"/>
      <c r="AL970" s="36"/>
      <c r="AM970" s="36"/>
      <c r="AN970" s="36"/>
    </row>
    <row r="971" spans="1:40" ht="15.75" x14ac:dyDescent="0.25">
      <c r="A971" s="44"/>
      <c r="B971" s="36"/>
      <c r="C971" s="36"/>
      <c r="D971" s="36"/>
      <c r="E971" s="36"/>
      <c r="F971" s="36"/>
      <c r="G971" s="36"/>
      <c r="H971" s="36"/>
      <c r="I971" s="36"/>
      <c r="J971" s="105"/>
      <c r="K971" s="36"/>
      <c r="L971" s="36"/>
      <c r="M971" s="36"/>
      <c r="N971" s="105"/>
      <c r="O971" s="36"/>
      <c r="P971" s="36"/>
      <c r="Q971" s="36"/>
      <c r="R971" s="105"/>
      <c r="S971" s="36"/>
      <c r="T971" s="36"/>
      <c r="U971" s="36"/>
      <c r="V971" s="36"/>
      <c r="W971" s="36"/>
      <c r="X971" s="36"/>
      <c r="Y971" s="36"/>
      <c r="Z971" s="36"/>
      <c r="AA971" s="36"/>
      <c r="AB971" s="42"/>
      <c r="AC971" s="42"/>
      <c r="AD971" s="36"/>
      <c r="AE971" s="36"/>
      <c r="AF971" s="42"/>
      <c r="AG971" s="42"/>
      <c r="AH971" s="36"/>
      <c r="AI971" s="36"/>
      <c r="AJ971" s="36"/>
      <c r="AK971" s="36"/>
      <c r="AL971" s="36"/>
      <c r="AM971" s="36"/>
      <c r="AN971" s="36"/>
    </row>
    <row r="972" spans="1:40" ht="15.75" x14ac:dyDescent="0.25">
      <c r="A972" s="44"/>
      <c r="B972" s="36"/>
      <c r="C972" s="36"/>
      <c r="D972" s="36"/>
      <c r="E972" s="36"/>
      <c r="F972" s="36"/>
      <c r="G972" s="36"/>
      <c r="H972" s="36"/>
      <c r="I972" s="36"/>
      <c r="J972" s="105"/>
      <c r="K972" s="36"/>
      <c r="L972" s="36"/>
      <c r="M972" s="36"/>
      <c r="N972" s="105"/>
      <c r="O972" s="36"/>
      <c r="P972" s="36"/>
      <c r="Q972" s="36"/>
      <c r="R972" s="105"/>
      <c r="S972" s="36"/>
      <c r="T972" s="36"/>
      <c r="U972" s="36"/>
      <c r="V972" s="36"/>
      <c r="W972" s="36"/>
      <c r="X972" s="36"/>
      <c r="Y972" s="36"/>
      <c r="Z972" s="36"/>
      <c r="AA972" s="36"/>
      <c r="AB972" s="42"/>
      <c r="AC972" s="42"/>
      <c r="AD972" s="36"/>
      <c r="AE972" s="36"/>
      <c r="AF972" s="42"/>
      <c r="AG972" s="42"/>
      <c r="AH972" s="36"/>
      <c r="AI972" s="36"/>
      <c r="AJ972" s="36"/>
      <c r="AK972" s="36"/>
      <c r="AL972" s="36"/>
      <c r="AM972" s="36"/>
      <c r="AN972" s="36"/>
    </row>
    <row r="973" spans="1:40" ht="15.75" x14ac:dyDescent="0.25">
      <c r="A973" s="44"/>
      <c r="B973" s="36"/>
      <c r="C973" s="36"/>
      <c r="D973" s="36"/>
      <c r="E973" s="36"/>
      <c r="F973" s="36"/>
      <c r="G973" s="36"/>
      <c r="H973" s="36"/>
      <c r="I973" s="36"/>
      <c r="J973" s="105"/>
      <c r="K973" s="36"/>
      <c r="L973" s="36"/>
      <c r="M973" s="36"/>
      <c r="N973" s="105"/>
      <c r="O973" s="36"/>
      <c r="P973" s="36"/>
      <c r="Q973" s="36"/>
      <c r="R973" s="105"/>
      <c r="S973" s="36"/>
      <c r="T973" s="36"/>
      <c r="U973" s="36"/>
      <c r="V973" s="36"/>
      <c r="W973" s="36"/>
      <c r="X973" s="36"/>
      <c r="Y973" s="36"/>
      <c r="Z973" s="36"/>
      <c r="AA973" s="36"/>
      <c r="AB973" s="42"/>
      <c r="AC973" s="42"/>
      <c r="AD973" s="36"/>
      <c r="AE973" s="36"/>
      <c r="AF973" s="42"/>
      <c r="AG973" s="42"/>
      <c r="AH973" s="36"/>
      <c r="AI973" s="36"/>
      <c r="AJ973" s="36"/>
      <c r="AK973" s="36"/>
      <c r="AL973" s="36"/>
      <c r="AM973" s="36"/>
      <c r="AN973" s="36"/>
    </row>
    <row r="974" spans="1:40" ht="15.75" x14ac:dyDescent="0.25">
      <c r="A974" s="44"/>
      <c r="B974" s="36"/>
      <c r="C974" s="36"/>
      <c r="D974" s="36"/>
      <c r="E974" s="36"/>
      <c r="F974" s="36"/>
      <c r="G974" s="36"/>
      <c r="H974" s="36"/>
      <c r="I974" s="36"/>
      <c r="J974" s="105"/>
      <c r="K974" s="36"/>
      <c r="L974" s="36"/>
      <c r="M974" s="36"/>
      <c r="N974" s="105"/>
      <c r="O974" s="36"/>
      <c r="P974" s="36"/>
      <c r="Q974" s="36"/>
      <c r="R974" s="105"/>
      <c r="S974" s="36"/>
      <c r="T974" s="36"/>
      <c r="U974" s="36"/>
      <c r="V974" s="36"/>
      <c r="W974" s="36"/>
      <c r="X974" s="36"/>
      <c r="Y974" s="36"/>
      <c r="Z974" s="36"/>
      <c r="AA974" s="36"/>
      <c r="AB974" s="42"/>
      <c r="AC974" s="42"/>
      <c r="AD974" s="36"/>
      <c r="AE974" s="36"/>
      <c r="AF974" s="42"/>
      <c r="AG974" s="42"/>
      <c r="AH974" s="36"/>
      <c r="AI974" s="36"/>
      <c r="AJ974" s="36"/>
      <c r="AK974" s="36"/>
      <c r="AL974" s="36"/>
      <c r="AM974" s="36"/>
      <c r="AN974" s="36"/>
    </row>
    <row r="975" spans="1:40" ht="15.75" x14ac:dyDescent="0.25">
      <c r="A975" s="44"/>
      <c r="B975" s="36"/>
      <c r="C975" s="36"/>
      <c r="D975" s="36"/>
      <c r="E975" s="36"/>
      <c r="F975" s="36"/>
      <c r="G975" s="36"/>
      <c r="H975" s="36"/>
      <c r="I975" s="36"/>
      <c r="J975" s="105"/>
      <c r="K975" s="36"/>
      <c r="L975" s="36"/>
      <c r="M975" s="36"/>
      <c r="N975" s="105"/>
      <c r="O975" s="36"/>
      <c r="P975" s="36"/>
      <c r="Q975" s="36"/>
      <c r="R975" s="105"/>
      <c r="S975" s="36"/>
      <c r="T975" s="36"/>
      <c r="U975" s="36"/>
      <c r="V975" s="36"/>
      <c r="W975" s="36"/>
      <c r="X975" s="36"/>
      <c r="Y975" s="36"/>
      <c r="Z975" s="36"/>
      <c r="AA975" s="36"/>
      <c r="AB975" s="42"/>
      <c r="AC975" s="42"/>
      <c r="AD975" s="36"/>
      <c r="AE975" s="36"/>
      <c r="AF975" s="42"/>
      <c r="AG975" s="42"/>
      <c r="AH975" s="36"/>
      <c r="AI975" s="36"/>
      <c r="AJ975" s="36"/>
      <c r="AK975" s="36"/>
      <c r="AL975" s="36"/>
      <c r="AM975" s="36"/>
      <c r="AN975" s="36"/>
    </row>
    <row r="976" spans="1:40" ht="15.75" x14ac:dyDescent="0.25">
      <c r="A976" s="44"/>
      <c r="B976" s="36"/>
      <c r="C976" s="36"/>
      <c r="D976" s="36"/>
      <c r="E976" s="36"/>
      <c r="F976" s="36"/>
      <c r="G976" s="36"/>
      <c r="H976" s="36"/>
      <c r="I976" s="36"/>
      <c r="J976" s="105"/>
      <c r="K976" s="36"/>
      <c r="L976" s="36"/>
      <c r="M976" s="36"/>
      <c r="N976" s="105"/>
      <c r="O976" s="36"/>
      <c r="P976" s="36"/>
      <c r="Q976" s="36"/>
      <c r="R976" s="105"/>
      <c r="S976" s="36"/>
      <c r="T976" s="36"/>
      <c r="U976" s="36"/>
      <c r="V976" s="36"/>
      <c r="W976" s="36"/>
      <c r="X976" s="36"/>
      <c r="Y976" s="36"/>
      <c r="Z976" s="36"/>
      <c r="AA976" s="36"/>
      <c r="AB976" s="42"/>
      <c r="AC976" s="42"/>
      <c r="AD976" s="36"/>
      <c r="AE976" s="36"/>
      <c r="AF976" s="42"/>
      <c r="AG976" s="42"/>
      <c r="AH976" s="36"/>
      <c r="AI976" s="36"/>
      <c r="AJ976" s="36"/>
      <c r="AK976" s="36"/>
      <c r="AL976" s="36"/>
      <c r="AM976" s="36"/>
      <c r="AN976" s="36"/>
    </row>
    <row r="977" spans="1:40" ht="15.75" x14ac:dyDescent="0.25">
      <c r="A977" s="44"/>
      <c r="B977" s="36"/>
      <c r="C977" s="36"/>
      <c r="D977" s="36"/>
      <c r="E977" s="36"/>
      <c r="F977" s="36"/>
      <c r="G977" s="36"/>
      <c r="H977" s="36"/>
      <c r="I977" s="36"/>
      <c r="J977" s="105"/>
      <c r="K977" s="36"/>
      <c r="L977" s="36"/>
      <c r="M977" s="36"/>
      <c r="N977" s="105"/>
      <c r="O977" s="36"/>
      <c r="P977" s="36"/>
      <c r="Q977" s="36"/>
      <c r="R977" s="105"/>
      <c r="S977" s="36"/>
      <c r="T977" s="36"/>
      <c r="U977" s="36"/>
      <c r="V977" s="36"/>
      <c r="W977" s="36"/>
      <c r="X977" s="36"/>
      <c r="Y977" s="36"/>
      <c r="Z977" s="36"/>
      <c r="AA977" s="36"/>
      <c r="AB977" s="42"/>
      <c r="AC977" s="42"/>
      <c r="AD977" s="36"/>
      <c r="AE977" s="36"/>
      <c r="AF977" s="42"/>
      <c r="AG977" s="42"/>
      <c r="AH977" s="36"/>
      <c r="AI977" s="36"/>
      <c r="AJ977" s="36"/>
      <c r="AK977" s="36"/>
      <c r="AL977" s="36"/>
      <c r="AM977" s="36"/>
      <c r="AN977" s="36"/>
    </row>
    <row r="978" spans="1:40" ht="15.75" x14ac:dyDescent="0.25">
      <c r="A978" s="44"/>
      <c r="B978" s="36"/>
      <c r="C978" s="36"/>
      <c r="D978" s="36"/>
      <c r="E978" s="36"/>
      <c r="F978" s="36"/>
      <c r="G978" s="36"/>
      <c r="H978" s="36"/>
      <c r="I978" s="36"/>
      <c r="J978" s="105"/>
      <c r="K978" s="36"/>
      <c r="L978" s="36"/>
      <c r="M978" s="36"/>
      <c r="N978" s="105"/>
      <c r="O978" s="36"/>
      <c r="P978" s="36"/>
      <c r="Q978" s="36"/>
      <c r="R978" s="105"/>
      <c r="S978" s="36"/>
      <c r="T978" s="36"/>
      <c r="U978" s="36"/>
      <c r="V978" s="36"/>
      <c r="W978" s="36"/>
      <c r="X978" s="36"/>
      <c r="Y978" s="36"/>
      <c r="Z978" s="36"/>
      <c r="AA978" s="36"/>
      <c r="AB978" s="42"/>
      <c r="AC978" s="42"/>
      <c r="AD978" s="36"/>
      <c r="AE978" s="36"/>
      <c r="AF978" s="42"/>
      <c r="AG978" s="42"/>
      <c r="AH978" s="36"/>
      <c r="AI978" s="36"/>
      <c r="AJ978" s="36"/>
      <c r="AK978" s="36"/>
      <c r="AL978" s="36"/>
      <c r="AM978" s="36"/>
      <c r="AN978" s="36"/>
    </row>
    <row r="979" spans="1:40" ht="15.75" x14ac:dyDescent="0.25">
      <c r="A979" s="44"/>
      <c r="B979" s="36"/>
      <c r="C979" s="36"/>
      <c r="D979" s="36"/>
      <c r="E979" s="36"/>
      <c r="F979" s="36"/>
      <c r="G979" s="36"/>
      <c r="H979" s="36"/>
      <c r="I979" s="36"/>
      <c r="J979" s="105"/>
      <c r="K979" s="36"/>
      <c r="L979" s="36"/>
      <c r="M979" s="36"/>
      <c r="N979" s="105"/>
      <c r="O979" s="36"/>
      <c r="P979" s="36"/>
      <c r="Q979" s="36"/>
      <c r="R979" s="105"/>
      <c r="S979" s="36"/>
      <c r="T979" s="36"/>
      <c r="U979" s="36"/>
      <c r="V979" s="36"/>
      <c r="W979" s="36"/>
      <c r="X979" s="36"/>
      <c r="Y979" s="36"/>
      <c r="Z979" s="36"/>
      <c r="AA979" s="36"/>
      <c r="AB979" s="42"/>
      <c r="AC979" s="42"/>
      <c r="AD979" s="36"/>
      <c r="AE979" s="36"/>
      <c r="AF979" s="42"/>
      <c r="AG979" s="42"/>
      <c r="AH979" s="36"/>
      <c r="AI979" s="36"/>
      <c r="AJ979" s="36"/>
      <c r="AK979" s="36"/>
      <c r="AL979" s="36"/>
      <c r="AM979" s="36"/>
      <c r="AN979" s="36"/>
    </row>
    <row r="980" spans="1:40" ht="15.75" x14ac:dyDescent="0.25">
      <c r="A980" s="44"/>
      <c r="B980" s="36"/>
      <c r="C980" s="36"/>
      <c r="D980" s="36"/>
      <c r="E980" s="36"/>
      <c r="F980" s="36"/>
      <c r="G980" s="36"/>
      <c r="H980" s="36"/>
      <c r="I980" s="36"/>
      <c r="J980" s="105"/>
      <c r="K980" s="36"/>
      <c r="L980" s="36"/>
      <c r="M980" s="36"/>
      <c r="N980" s="105"/>
      <c r="O980" s="36"/>
      <c r="P980" s="36"/>
      <c r="Q980" s="36"/>
      <c r="R980" s="105"/>
      <c r="S980" s="36"/>
      <c r="T980" s="36"/>
      <c r="U980" s="36"/>
      <c r="V980" s="36"/>
      <c r="W980" s="36"/>
      <c r="X980" s="36"/>
      <c r="Y980" s="36"/>
      <c r="Z980" s="36"/>
      <c r="AA980" s="36"/>
      <c r="AB980" s="42"/>
      <c r="AC980" s="42"/>
      <c r="AD980" s="36"/>
      <c r="AE980" s="36"/>
      <c r="AF980" s="42"/>
      <c r="AG980" s="42"/>
      <c r="AH980" s="36"/>
      <c r="AI980" s="36"/>
      <c r="AJ980" s="36"/>
      <c r="AK980" s="36"/>
      <c r="AL980" s="36"/>
      <c r="AM980" s="36"/>
      <c r="AN980" s="36"/>
    </row>
    <row r="981" spans="1:40" ht="15.75" x14ac:dyDescent="0.25">
      <c r="A981" s="44"/>
      <c r="B981" s="36"/>
      <c r="C981" s="36"/>
      <c r="D981" s="36"/>
      <c r="E981" s="36"/>
      <c r="F981" s="36"/>
      <c r="G981" s="36"/>
      <c r="H981" s="36"/>
      <c r="I981" s="36"/>
      <c r="J981" s="105"/>
      <c r="K981" s="36"/>
      <c r="L981" s="36"/>
      <c r="M981" s="36"/>
      <c r="N981" s="105"/>
      <c r="O981" s="36"/>
      <c r="P981" s="36"/>
      <c r="Q981" s="36"/>
      <c r="R981" s="105"/>
      <c r="S981" s="36"/>
      <c r="T981" s="36"/>
      <c r="U981" s="36"/>
      <c r="V981" s="36"/>
      <c r="W981" s="36"/>
      <c r="X981" s="36"/>
      <c r="Y981" s="36"/>
      <c r="Z981" s="36"/>
      <c r="AA981" s="36"/>
      <c r="AB981" s="42"/>
      <c r="AC981" s="42"/>
      <c r="AD981" s="36"/>
      <c r="AE981" s="36"/>
      <c r="AF981" s="42"/>
      <c r="AG981" s="42"/>
      <c r="AH981" s="36"/>
      <c r="AI981" s="36"/>
      <c r="AJ981" s="36"/>
      <c r="AK981" s="36"/>
      <c r="AL981" s="36"/>
      <c r="AM981" s="36"/>
      <c r="AN981" s="36"/>
    </row>
    <row r="982" spans="1:40" ht="15.75" x14ac:dyDescent="0.25">
      <c r="A982" s="44"/>
      <c r="B982" s="36"/>
      <c r="C982" s="36"/>
      <c r="D982" s="36"/>
      <c r="E982" s="36"/>
      <c r="F982" s="36"/>
      <c r="G982" s="36"/>
      <c r="H982" s="36"/>
      <c r="I982" s="36"/>
      <c r="J982" s="105"/>
      <c r="K982" s="36"/>
      <c r="L982" s="36"/>
      <c r="M982" s="36"/>
      <c r="N982" s="105"/>
      <c r="O982" s="36"/>
      <c r="P982" s="36"/>
      <c r="Q982" s="36"/>
      <c r="R982" s="105"/>
      <c r="S982" s="36"/>
      <c r="T982" s="36"/>
      <c r="U982" s="36"/>
      <c r="V982" s="36"/>
      <c r="W982" s="36"/>
      <c r="X982" s="36"/>
      <c r="Y982" s="36"/>
      <c r="Z982" s="36"/>
      <c r="AA982" s="36"/>
      <c r="AB982" s="42"/>
      <c r="AC982" s="42"/>
      <c r="AD982" s="36"/>
      <c r="AE982" s="36"/>
      <c r="AF982" s="42"/>
      <c r="AG982" s="42"/>
      <c r="AH982" s="36"/>
      <c r="AI982" s="36"/>
      <c r="AJ982" s="36"/>
      <c r="AK982" s="36"/>
      <c r="AL982" s="36"/>
      <c r="AM982" s="36"/>
      <c r="AN982" s="36"/>
    </row>
    <row r="983" spans="1:40" ht="15.75" x14ac:dyDescent="0.25">
      <c r="A983" s="44"/>
      <c r="B983" s="36"/>
      <c r="C983" s="36"/>
      <c r="D983" s="36"/>
      <c r="E983" s="36"/>
      <c r="F983" s="36"/>
      <c r="G983" s="36"/>
      <c r="H983" s="36"/>
      <c r="I983" s="36"/>
      <c r="J983" s="105"/>
      <c r="K983" s="36"/>
      <c r="L983" s="36"/>
      <c r="M983" s="36"/>
      <c r="N983" s="105"/>
      <c r="O983" s="36"/>
      <c r="P983" s="36"/>
      <c r="Q983" s="36"/>
      <c r="R983" s="105"/>
      <c r="S983" s="36"/>
      <c r="T983" s="36"/>
      <c r="U983" s="36"/>
      <c r="V983" s="36"/>
      <c r="W983" s="36"/>
      <c r="X983" s="36"/>
      <c r="Y983" s="36"/>
      <c r="Z983" s="36"/>
      <c r="AA983" s="36"/>
      <c r="AB983" s="42"/>
      <c r="AC983" s="42"/>
      <c r="AD983" s="36"/>
      <c r="AE983" s="36"/>
      <c r="AF983" s="42"/>
      <c r="AG983" s="42"/>
      <c r="AH983" s="36"/>
      <c r="AI983" s="36"/>
      <c r="AJ983" s="36"/>
      <c r="AK983" s="36"/>
      <c r="AL983" s="36"/>
      <c r="AM983" s="36"/>
      <c r="AN983" s="36"/>
    </row>
    <row r="984" spans="1:40" ht="15.75" x14ac:dyDescent="0.25">
      <c r="A984" s="44"/>
      <c r="B984" s="36"/>
      <c r="C984" s="36"/>
      <c r="D984" s="36"/>
      <c r="E984" s="36"/>
      <c r="F984" s="36"/>
      <c r="G984" s="36"/>
      <c r="H984" s="36"/>
      <c r="I984" s="36"/>
      <c r="J984" s="105"/>
      <c r="K984" s="36"/>
      <c r="L984" s="36"/>
      <c r="M984" s="36"/>
      <c r="N984" s="105"/>
      <c r="O984" s="36"/>
      <c r="P984" s="36"/>
      <c r="Q984" s="36"/>
      <c r="R984" s="105"/>
      <c r="S984" s="36"/>
      <c r="T984" s="36"/>
      <c r="U984" s="36"/>
      <c r="V984" s="36"/>
      <c r="W984" s="36"/>
      <c r="X984" s="36"/>
      <c r="Y984" s="36"/>
      <c r="Z984" s="36"/>
      <c r="AA984" s="36"/>
      <c r="AB984" s="42"/>
      <c r="AC984" s="42"/>
      <c r="AD984" s="36"/>
      <c r="AE984" s="36"/>
      <c r="AF984" s="42"/>
      <c r="AG984" s="42"/>
      <c r="AH984" s="36"/>
      <c r="AI984" s="36"/>
      <c r="AJ984" s="36"/>
      <c r="AK984" s="36"/>
      <c r="AL984" s="36"/>
      <c r="AM984" s="36"/>
      <c r="AN984" s="36"/>
    </row>
    <row r="985" spans="1:40" ht="15.75" x14ac:dyDescent="0.25">
      <c r="A985" s="44"/>
      <c r="B985" s="36"/>
      <c r="C985" s="36"/>
      <c r="D985" s="36"/>
      <c r="E985" s="36"/>
      <c r="F985" s="36"/>
      <c r="G985" s="36"/>
      <c r="H985" s="36"/>
      <c r="I985" s="36"/>
      <c r="J985" s="105"/>
      <c r="K985" s="36"/>
      <c r="L985" s="36"/>
      <c r="M985" s="36"/>
      <c r="N985" s="105"/>
      <c r="O985" s="36"/>
      <c r="P985" s="36"/>
      <c r="Q985" s="36"/>
      <c r="R985" s="105"/>
      <c r="S985" s="36"/>
      <c r="T985" s="36"/>
      <c r="U985" s="36"/>
      <c r="V985" s="36"/>
      <c r="W985" s="36"/>
      <c r="X985" s="36"/>
      <c r="Y985" s="36"/>
      <c r="Z985" s="36"/>
      <c r="AA985" s="36"/>
      <c r="AB985" s="42"/>
      <c r="AC985" s="42"/>
      <c r="AD985" s="36"/>
      <c r="AE985" s="36"/>
      <c r="AF985" s="42"/>
      <c r="AG985" s="42"/>
      <c r="AH985" s="36"/>
      <c r="AI985" s="36"/>
      <c r="AJ985" s="36"/>
      <c r="AK985" s="36"/>
      <c r="AL985" s="36"/>
      <c r="AM985" s="36"/>
      <c r="AN985" s="36"/>
    </row>
    <row r="986" spans="1:40" ht="15.75" x14ac:dyDescent="0.25">
      <c r="A986" s="44"/>
      <c r="B986" s="36"/>
      <c r="C986" s="36"/>
      <c r="D986" s="36"/>
      <c r="E986" s="36"/>
      <c r="F986" s="36"/>
      <c r="G986" s="36"/>
      <c r="H986" s="36"/>
      <c r="I986" s="36"/>
      <c r="J986" s="105"/>
      <c r="K986" s="36"/>
      <c r="L986" s="36"/>
      <c r="M986" s="36"/>
      <c r="N986" s="105"/>
      <c r="O986" s="36"/>
      <c r="P986" s="36"/>
      <c r="Q986" s="36"/>
      <c r="R986" s="105"/>
      <c r="S986" s="36"/>
      <c r="T986" s="36"/>
      <c r="U986" s="36"/>
      <c r="V986" s="36"/>
      <c r="W986" s="36"/>
      <c r="X986" s="36"/>
      <c r="Y986" s="36"/>
      <c r="Z986" s="36"/>
      <c r="AA986" s="36"/>
      <c r="AB986" s="42"/>
      <c r="AC986" s="42"/>
      <c r="AD986" s="36"/>
      <c r="AE986" s="36"/>
      <c r="AF986" s="42"/>
      <c r="AG986" s="42"/>
      <c r="AH986" s="36"/>
      <c r="AI986" s="36"/>
      <c r="AJ986" s="36"/>
      <c r="AK986" s="36"/>
      <c r="AL986" s="36"/>
      <c r="AM986" s="36"/>
      <c r="AN986" s="36"/>
    </row>
    <row r="987" spans="1:40" ht="15.75" x14ac:dyDescent="0.25">
      <c r="A987" s="44"/>
      <c r="B987" s="36"/>
      <c r="C987" s="36"/>
      <c r="D987" s="36"/>
      <c r="E987" s="36"/>
      <c r="F987" s="36"/>
      <c r="G987" s="36"/>
      <c r="H987" s="36"/>
      <c r="I987" s="36"/>
      <c r="J987" s="105"/>
      <c r="K987" s="36"/>
      <c r="L987" s="36"/>
      <c r="M987" s="36"/>
      <c r="N987" s="105"/>
      <c r="O987" s="36"/>
      <c r="P987" s="36"/>
      <c r="Q987" s="36"/>
      <c r="R987" s="105"/>
      <c r="S987" s="36"/>
      <c r="T987" s="36"/>
      <c r="U987" s="36"/>
      <c r="V987" s="36"/>
      <c r="W987" s="36"/>
      <c r="X987" s="36"/>
      <c r="Y987" s="36"/>
      <c r="Z987" s="36"/>
      <c r="AA987" s="36"/>
      <c r="AB987" s="42"/>
      <c r="AC987" s="42"/>
      <c r="AD987" s="36"/>
      <c r="AE987" s="36"/>
      <c r="AF987" s="42"/>
      <c r="AG987" s="42"/>
      <c r="AH987" s="36"/>
      <c r="AI987" s="36"/>
      <c r="AJ987" s="36"/>
      <c r="AK987" s="36"/>
      <c r="AL987" s="36"/>
      <c r="AM987" s="36"/>
      <c r="AN987" s="36"/>
    </row>
    <row r="988" spans="1:40" ht="15.75" x14ac:dyDescent="0.25">
      <c r="A988" s="44"/>
      <c r="B988" s="36"/>
      <c r="C988" s="36"/>
      <c r="D988" s="36"/>
      <c r="E988" s="36"/>
      <c r="F988" s="36"/>
      <c r="G988" s="36"/>
      <c r="H988" s="36"/>
      <c r="I988" s="36"/>
      <c r="J988" s="105"/>
      <c r="K988" s="36"/>
      <c r="L988" s="36"/>
      <c r="M988" s="36"/>
      <c r="N988" s="105"/>
      <c r="O988" s="36"/>
      <c r="P988" s="36"/>
      <c r="Q988" s="36"/>
      <c r="R988" s="105"/>
      <c r="S988" s="36"/>
      <c r="T988" s="36"/>
      <c r="U988" s="36"/>
      <c r="V988" s="36"/>
      <c r="W988" s="36"/>
      <c r="X988" s="36"/>
      <c r="Y988" s="36"/>
      <c r="Z988" s="36"/>
      <c r="AA988" s="36"/>
      <c r="AB988" s="42"/>
      <c r="AC988" s="42"/>
      <c r="AD988" s="36"/>
      <c r="AE988" s="36"/>
      <c r="AF988" s="42"/>
      <c r="AG988" s="42"/>
      <c r="AH988" s="36"/>
      <c r="AI988" s="36"/>
      <c r="AJ988" s="36"/>
      <c r="AK988" s="36"/>
      <c r="AL988" s="36"/>
      <c r="AM988" s="36"/>
      <c r="AN988" s="36"/>
    </row>
    <row r="989" spans="1:40" ht="15.75" x14ac:dyDescent="0.25">
      <c r="A989" s="44"/>
      <c r="B989" s="36"/>
      <c r="C989" s="36"/>
      <c r="D989" s="36"/>
      <c r="E989" s="36"/>
      <c r="F989" s="36"/>
      <c r="G989" s="36"/>
      <c r="H989" s="36"/>
      <c r="I989" s="36"/>
      <c r="J989" s="105"/>
      <c r="K989" s="36"/>
      <c r="L989" s="36"/>
      <c r="M989" s="36"/>
      <c r="N989" s="105"/>
      <c r="O989" s="36"/>
      <c r="P989" s="36"/>
      <c r="Q989" s="36"/>
      <c r="R989" s="105"/>
      <c r="S989" s="36"/>
      <c r="T989" s="36"/>
      <c r="U989" s="36"/>
      <c r="V989" s="36"/>
      <c r="W989" s="36"/>
      <c r="X989" s="36"/>
      <c r="Y989" s="36"/>
      <c r="Z989" s="36"/>
      <c r="AA989" s="36"/>
      <c r="AB989" s="42"/>
      <c r="AC989" s="42"/>
      <c r="AD989" s="36"/>
      <c r="AE989" s="36"/>
      <c r="AF989" s="42"/>
      <c r="AG989" s="42"/>
      <c r="AH989" s="36"/>
      <c r="AI989" s="36"/>
      <c r="AJ989" s="36"/>
      <c r="AK989" s="36"/>
      <c r="AL989" s="36"/>
      <c r="AM989" s="36"/>
      <c r="AN989" s="36"/>
    </row>
    <row r="990" spans="1:40" ht="15.75" x14ac:dyDescent="0.25">
      <c r="A990" s="44"/>
      <c r="B990" s="36"/>
      <c r="C990" s="36"/>
      <c r="D990" s="36"/>
      <c r="E990" s="36"/>
      <c r="F990" s="36"/>
      <c r="G990" s="36"/>
      <c r="H990" s="36"/>
      <c r="I990" s="36"/>
      <c r="J990" s="105"/>
      <c r="K990" s="36"/>
      <c r="L990" s="36"/>
      <c r="M990" s="36"/>
      <c r="N990" s="105"/>
      <c r="O990" s="36"/>
      <c r="P990" s="36"/>
      <c r="Q990" s="36"/>
      <c r="R990" s="105"/>
      <c r="S990" s="36"/>
      <c r="T990" s="36"/>
      <c r="U990" s="36"/>
      <c r="V990" s="36"/>
      <c r="W990" s="36"/>
      <c r="X990" s="36"/>
      <c r="Y990" s="36"/>
      <c r="Z990" s="36"/>
      <c r="AA990" s="36"/>
      <c r="AB990" s="42"/>
      <c r="AC990" s="42"/>
      <c r="AD990" s="36"/>
      <c r="AE990" s="36"/>
      <c r="AF990" s="42"/>
      <c r="AG990" s="42"/>
      <c r="AH990" s="36"/>
      <c r="AI990" s="36"/>
      <c r="AJ990" s="36"/>
      <c r="AK990" s="36"/>
      <c r="AL990" s="36"/>
      <c r="AM990" s="36"/>
      <c r="AN990" s="36"/>
    </row>
    <row r="991" spans="1:40" ht="15.75" x14ac:dyDescent="0.25">
      <c r="A991" s="44"/>
      <c r="B991" s="36"/>
      <c r="C991" s="36"/>
      <c r="D991" s="36"/>
      <c r="E991" s="36"/>
      <c r="F991" s="36"/>
      <c r="G991" s="36"/>
      <c r="H991" s="36"/>
      <c r="I991" s="36"/>
      <c r="J991" s="105"/>
      <c r="K991" s="36"/>
      <c r="L991" s="36"/>
      <c r="M991" s="36"/>
      <c r="N991" s="105"/>
      <c r="O991" s="36"/>
      <c r="P991" s="36"/>
      <c r="Q991" s="36"/>
      <c r="R991" s="105"/>
      <c r="S991" s="36"/>
      <c r="T991" s="36"/>
      <c r="U991" s="36"/>
      <c r="V991" s="36"/>
      <c r="W991" s="36"/>
      <c r="X991" s="36"/>
      <c r="Y991" s="36"/>
      <c r="Z991" s="36"/>
      <c r="AA991" s="36"/>
      <c r="AB991" s="42"/>
      <c r="AC991" s="42"/>
      <c r="AD991" s="36"/>
      <c r="AE991" s="36"/>
      <c r="AF991" s="42"/>
      <c r="AG991" s="42"/>
      <c r="AH991" s="36"/>
      <c r="AI991" s="36"/>
      <c r="AJ991" s="36"/>
      <c r="AK991" s="36"/>
      <c r="AL991" s="36"/>
      <c r="AM991" s="36"/>
      <c r="AN991" s="36"/>
    </row>
    <row r="992" spans="1:40" ht="15.75" x14ac:dyDescent="0.25">
      <c r="A992" s="44"/>
      <c r="B992" s="36"/>
      <c r="C992" s="36"/>
      <c r="D992" s="36"/>
      <c r="E992" s="36"/>
      <c r="F992" s="36"/>
      <c r="G992" s="36"/>
      <c r="H992" s="36"/>
      <c r="I992" s="36"/>
      <c r="J992" s="105"/>
      <c r="K992" s="36"/>
      <c r="L992" s="36"/>
      <c r="M992" s="36"/>
      <c r="N992" s="105"/>
      <c r="O992" s="36"/>
      <c r="P992" s="36"/>
      <c r="Q992" s="36"/>
      <c r="R992" s="105"/>
      <c r="S992" s="36"/>
      <c r="T992" s="36"/>
      <c r="U992" s="36"/>
      <c r="V992" s="36"/>
      <c r="W992" s="36"/>
      <c r="X992" s="36"/>
      <c r="Y992" s="36"/>
      <c r="Z992" s="36"/>
      <c r="AA992" s="36"/>
      <c r="AB992" s="42"/>
      <c r="AC992" s="42"/>
      <c r="AD992" s="36"/>
      <c r="AE992" s="36"/>
      <c r="AF992" s="42"/>
      <c r="AG992" s="42"/>
      <c r="AH992" s="36"/>
      <c r="AI992" s="36"/>
      <c r="AJ992" s="36"/>
      <c r="AK992" s="36"/>
      <c r="AL992" s="36"/>
      <c r="AM992" s="36"/>
      <c r="AN992" s="36"/>
    </row>
    <row r="993" spans="1:40" ht="15.75" x14ac:dyDescent="0.25">
      <c r="A993" s="44"/>
      <c r="B993" s="36"/>
      <c r="C993" s="36"/>
      <c r="D993" s="36"/>
      <c r="E993" s="36"/>
      <c r="F993" s="36"/>
      <c r="G993" s="36"/>
      <c r="H993" s="36"/>
      <c r="I993" s="36"/>
      <c r="J993" s="105"/>
      <c r="K993" s="36"/>
      <c r="L993" s="36"/>
      <c r="M993" s="36"/>
      <c r="N993" s="105"/>
      <c r="O993" s="36"/>
      <c r="P993" s="36"/>
      <c r="Q993" s="36"/>
      <c r="R993" s="105"/>
      <c r="S993" s="36"/>
      <c r="T993" s="36"/>
      <c r="U993" s="36"/>
      <c r="V993" s="36"/>
      <c r="W993" s="36"/>
      <c r="X993" s="36"/>
      <c r="Y993" s="36"/>
      <c r="Z993" s="36"/>
      <c r="AA993" s="36"/>
      <c r="AB993" s="42"/>
      <c r="AC993" s="42"/>
      <c r="AD993" s="36"/>
      <c r="AE993" s="36"/>
      <c r="AF993" s="42"/>
      <c r="AG993" s="42"/>
      <c r="AH993" s="36"/>
      <c r="AI993" s="36"/>
      <c r="AJ993" s="36"/>
      <c r="AK993" s="36"/>
      <c r="AL993" s="36"/>
      <c r="AM993" s="36"/>
      <c r="AN993" s="36"/>
    </row>
    <row r="994" spans="1:40" ht="15.75" x14ac:dyDescent="0.25">
      <c r="A994" s="44"/>
      <c r="B994" s="36"/>
      <c r="C994" s="36"/>
      <c r="D994" s="36"/>
      <c r="E994" s="36"/>
      <c r="F994" s="36"/>
      <c r="G994" s="36"/>
      <c r="H994" s="36"/>
      <c r="I994" s="36"/>
      <c r="J994" s="105"/>
      <c r="K994" s="36"/>
      <c r="L994" s="36"/>
      <c r="M994" s="36"/>
      <c r="N994" s="105"/>
      <c r="O994" s="36"/>
      <c r="P994" s="36"/>
      <c r="Q994" s="36"/>
      <c r="R994" s="105"/>
      <c r="S994" s="36"/>
      <c r="T994" s="36"/>
      <c r="U994" s="36"/>
      <c r="V994" s="36"/>
      <c r="W994" s="36"/>
      <c r="X994" s="36"/>
      <c r="Y994" s="36"/>
      <c r="Z994" s="36"/>
      <c r="AA994" s="36"/>
      <c r="AB994" s="42"/>
      <c r="AC994" s="42"/>
      <c r="AD994" s="36"/>
      <c r="AE994" s="36"/>
      <c r="AF994" s="42"/>
      <c r="AG994" s="42"/>
      <c r="AH994" s="36"/>
      <c r="AI994" s="36"/>
      <c r="AJ994" s="36"/>
      <c r="AK994" s="36"/>
      <c r="AL994" s="36"/>
      <c r="AM994" s="36"/>
      <c r="AN994" s="36"/>
    </row>
    <row r="995" spans="1:40" ht="15.75" x14ac:dyDescent="0.25">
      <c r="A995" s="44"/>
      <c r="B995" s="36"/>
      <c r="C995" s="36"/>
      <c r="D995" s="36"/>
      <c r="E995" s="36"/>
      <c r="F995" s="36"/>
      <c r="G995" s="36"/>
      <c r="H995" s="36"/>
      <c r="I995" s="36"/>
      <c r="J995" s="105"/>
      <c r="K995" s="36"/>
      <c r="L995" s="36"/>
      <c r="M995" s="36"/>
      <c r="N995" s="105"/>
      <c r="O995" s="36"/>
      <c r="P995" s="36"/>
      <c r="Q995" s="36"/>
      <c r="R995" s="105"/>
      <c r="S995" s="36"/>
      <c r="T995" s="36"/>
      <c r="U995" s="36"/>
      <c r="V995" s="36"/>
      <c r="W995" s="36"/>
      <c r="X995" s="36"/>
      <c r="Y995" s="36"/>
      <c r="Z995" s="36"/>
      <c r="AA995" s="36"/>
      <c r="AB995" s="42"/>
      <c r="AC995" s="42"/>
      <c r="AD995" s="36"/>
      <c r="AE995" s="36"/>
      <c r="AF995" s="42"/>
      <c r="AG995" s="42"/>
      <c r="AH995" s="36"/>
      <c r="AI995" s="36"/>
      <c r="AJ995" s="36"/>
      <c r="AK995" s="36"/>
      <c r="AL995" s="36"/>
      <c r="AM995" s="36"/>
      <c r="AN995" s="36"/>
    </row>
    <row r="996" spans="1:40" ht="15.75" x14ac:dyDescent="0.25">
      <c r="A996" s="44"/>
      <c r="B996" s="36"/>
      <c r="C996" s="36"/>
      <c r="D996" s="36"/>
      <c r="E996" s="36"/>
      <c r="F996" s="36"/>
      <c r="G996" s="36"/>
      <c r="H996" s="36"/>
      <c r="I996" s="36"/>
      <c r="J996" s="105"/>
      <c r="K996" s="36"/>
      <c r="L996" s="36"/>
      <c r="M996" s="36"/>
      <c r="N996" s="105"/>
      <c r="O996" s="36"/>
      <c r="P996" s="36"/>
      <c r="Q996" s="36"/>
      <c r="R996" s="105"/>
      <c r="S996" s="36"/>
      <c r="T996" s="36"/>
      <c r="U996" s="36"/>
      <c r="V996" s="36"/>
      <c r="W996" s="36"/>
      <c r="X996" s="36"/>
      <c r="Y996" s="36"/>
      <c r="Z996" s="36"/>
      <c r="AA996" s="36"/>
      <c r="AB996" s="42"/>
      <c r="AC996" s="42"/>
      <c r="AD996" s="36"/>
      <c r="AE996" s="36"/>
      <c r="AF996" s="42"/>
      <c r="AG996" s="42"/>
      <c r="AH996" s="36"/>
      <c r="AI996" s="36"/>
      <c r="AJ996" s="36"/>
      <c r="AK996" s="36"/>
      <c r="AL996" s="36"/>
      <c r="AM996" s="36"/>
      <c r="AN996" s="36"/>
    </row>
    <row r="997" spans="1:40" ht="15.75" x14ac:dyDescent="0.25">
      <c r="A997" s="44"/>
      <c r="B997" s="36"/>
      <c r="C997" s="36"/>
      <c r="D997" s="36"/>
      <c r="E997" s="36"/>
      <c r="F997" s="36"/>
      <c r="G997" s="36"/>
      <c r="H997" s="36"/>
      <c r="I997" s="36"/>
      <c r="J997" s="105"/>
      <c r="K997" s="36"/>
      <c r="L997" s="36"/>
      <c r="M997" s="36"/>
      <c r="N997" s="105"/>
      <c r="O997" s="36"/>
      <c r="P997" s="36"/>
      <c r="Q997" s="36"/>
      <c r="R997" s="105"/>
      <c r="S997" s="36"/>
      <c r="T997" s="36"/>
      <c r="U997" s="36"/>
      <c r="V997" s="36"/>
      <c r="W997" s="36"/>
      <c r="X997" s="36"/>
      <c r="Y997" s="36"/>
      <c r="Z997" s="36"/>
      <c r="AA997" s="36"/>
      <c r="AB997" s="42"/>
      <c r="AC997" s="42"/>
      <c r="AD997" s="36"/>
      <c r="AE997" s="36"/>
      <c r="AF997" s="42"/>
      <c r="AG997" s="42"/>
      <c r="AH997" s="36"/>
      <c r="AI997" s="36"/>
      <c r="AJ997" s="36"/>
      <c r="AK997" s="36"/>
      <c r="AL997" s="36"/>
      <c r="AM997" s="36"/>
      <c r="AN997" s="36"/>
    </row>
    <row r="998" spans="1:40" ht="15.75" x14ac:dyDescent="0.25">
      <c r="A998" s="44"/>
      <c r="B998" s="36"/>
      <c r="C998" s="36"/>
      <c r="D998" s="36"/>
      <c r="E998" s="36"/>
      <c r="F998" s="36"/>
      <c r="G998" s="36"/>
      <c r="H998" s="36"/>
      <c r="I998" s="36"/>
      <c r="J998" s="105"/>
      <c r="K998" s="36"/>
      <c r="L998" s="36"/>
      <c r="M998" s="36"/>
      <c r="N998" s="105"/>
      <c r="O998" s="36"/>
      <c r="P998" s="36"/>
      <c r="Q998" s="36"/>
      <c r="R998" s="105"/>
      <c r="S998" s="36"/>
      <c r="T998" s="36"/>
      <c r="U998" s="36"/>
      <c r="V998" s="36"/>
      <c r="W998" s="36"/>
      <c r="X998" s="36"/>
      <c r="Y998" s="36"/>
      <c r="Z998" s="36"/>
      <c r="AA998" s="36"/>
      <c r="AB998" s="42"/>
      <c r="AC998" s="42"/>
      <c r="AD998" s="36"/>
      <c r="AE998" s="36"/>
      <c r="AF998" s="42"/>
      <c r="AG998" s="42"/>
      <c r="AH998" s="36"/>
      <c r="AI998" s="36"/>
      <c r="AJ998" s="36"/>
      <c r="AK998" s="36"/>
      <c r="AL998" s="36"/>
      <c r="AM998" s="36"/>
      <c r="AN998" s="36"/>
    </row>
    <row r="999" spans="1:40" ht="15.75" x14ac:dyDescent="0.25">
      <c r="A999" s="44"/>
      <c r="B999" s="36"/>
      <c r="C999" s="36"/>
      <c r="D999" s="36"/>
      <c r="E999" s="36"/>
      <c r="F999" s="36"/>
      <c r="G999" s="36"/>
      <c r="H999" s="36"/>
      <c r="I999" s="36"/>
      <c r="J999" s="105"/>
      <c r="K999" s="36"/>
      <c r="L999" s="36"/>
      <c r="M999" s="36"/>
      <c r="N999" s="105"/>
      <c r="O999" s="36"/>
      <c r="P999" s="36"/>
      <c r="Q999" s="36"/>
      <c r="R999" s="105"/>
      <c r="S999" s="36"/>
      <c r="T999" s="36"/>
      <c r="U999" s="36"/>
      <c r="V999" s="36"/>
      <c r="W999" s="36"/>
      <c r="X999" s="36"/>
      <c r="Y999" s="36"/>
      <c r="Z999" s="36"/>
      <c r="AA999" s="36"/>
      <c r="AB999" s="42"/>
      <c r="AC999" s="42"/>
      <c r="AD999" s="36"/>
      <c r="AE999" s="36"/>
      <c r="AF999" s="42"/>
      <c r="AG999" s="42"/>
      <c r="AH999" s="36"/>
      <c r="AI999" s="36"/>
      <c r="AJ999" s="36"/>
      <c r="AK999" s="36"/>
      <c r="AL999" s="36"/>
      <c r="AM999" s="36"/>
      <c r="AN999" s="36"/>
    </row>
    <row r="1000" spans="1:40" ht="15.75" x14ac:dyDescent="0.25">
      <c r="A1000" s="44"/>
      <c r="B1000" s="36"/>
      <c r="C1000" s="36"/>
      <c r="D1000" s="36"/>
      <c r="E1000" s="36"/>
      <c r="F1000" s="36"/>
      <c r="G1000" s="36"/>
      <c r="H1000" s="36"/>
      <c r="I1000" s="36"/>
      <c r="J1000" s="105"/>
      <c r="K1000" s="36"/>
      <c r="L1000" s="36"/>
      <c r="M1000" s="36"/>
      <c r="N1000" s="105"/>
      <c r="O1000" s="36"/>
      <c r="P1000" s="36"/>
      <c r="Q1000" s="36"/>
      <c r="R1000" s="105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42"/>
      <c r="AC1000" s="42"/>
      <c r="AD1000" s="36"/>
      <c r="AE1000" s="36"/>
      <c r="AF1000" s="42"/>
      <c r="AG1000" s="42"/>
      <c r="AH1000" s="36"/>
      <c r="AI1000" s="36"/>
      <c r="AJ1000" s="36"/>
      <c r="AK1000" s="36"/>
      <c r="AL1000" s="36"/>
      <c r="AM1000" s="36"/>
      <c r="AN1000" s="36"/>
    </row>
  </sheetData>
  <autoFilter ref="A1:AN54"/>
  <conditionalFormatting sqref="F2:F49 R2:R53 V2:V53">
    <cfRule type="cellIs" dxfId="87" priority="81" operator="lessThan">
      <formula>0</formula>
    </cfRule>
  </conditionalFormatting>
  <conditionalFormatting sqref="F2:F49 R2:R53 V2:V53">
    <cfRule type="cellIs" dxfId="86" priority="82" operator="greaterThanOrEqual">
      <formula>0</formula>
    </cfRule>
  </conditionalFormatting>
  <conditionalFormatting sqref="J2:J3 J4:K53">
    <cfRule type="cellIs" dxfId="85" priority="83" operator="lessThanOrEqual">
      <formula>0</formula>
    </cfRule>
  </conditionalFormatting>
  <conditionalFormatting sqref="J2:J3 J4:K53">
    <cfRule type="cellIs" dxfId="84" priority="84" operator="greaterThan">
      <formula>0</formula>
    </cfRule>
  </conditionalFormatting>
  <conditionalFormatting sqref="F53">
    <cfRule type="cellIs" dxfId="83" priority="85" operator="lessThan">
      <formula>0</formula>
    </cfRule>
  </conditionalFormatting>
  <conditionalFormatting sqref="F53">
    <cfRule type="cellIs" dxfId="82" priority="86" operator="greaterThanOrEqual">
      <formula>0</formula>
    </cfRule>
  </conditionalFormatting>
  <conditionalFormatting sqref="F50">
    <cfRule type="cellIs" dxfId="81" priority="87" operator="lessThan">
      <formula>0</formula>
    </cfRule>
  </conditionalFormatting>
  <conditionalFormatting sqref="F50">
    <cfRule type="cellIs" dxfId="80" priority="88" operator="greaterThanOrEqual">
      <formula>0</formula>
    </cfRule>
  </conditionalFormatting>
  <conditionalFormatting sqref="F51">
    <cfRule type="cellIs" dxfId="79" priority="89" operator="lessThan">
      <formula>0</formula>
    </cfRule>
  </conditionalFormatting>
  <conditionalFormatting sqref="F51">
    <cfRule type="cellIs" dxfId="78" priority="90" operator="greaterThanOrEqual">
      <formula>0</formula>
    </cfRule>
  </conditionalFormatting>
  <conditionalFormatting sqref="F52">
    <cfRule type="cellIs" dxfId="77" priority="91" operator="lessThan">
      <formula>0</formula>
    </cfRule>
  </conditionalFormatting>
  <conditionalFormatting sqref="F52">
    <cfRule type="cellIs" dxfId="76" priority="92" operator="greaterThanOrEqual">
      <formula>0</formula>
    </cfRule>
  </conditionalFormatting>
  <conditionalFormatting sqref="K2">
    <cfRule type="cellIs" dxfId="75" priority="93" operator="lessThan">
      <formula>0</formula>
    </cfRule>
  </conditionalFormatting>
  <conditionalFormatting sqref="K2">
    <cfRule type="cellIs" dxfId="74" priority="94" operator="greaterThanOrEqual">
      <formula>0</formula>
    </cfRule>
  </conditionalFormatting>
  <conditionalFormatting sqref="K3">
    <cfRule type="cellIs" dxfId="73" priority="95" operator="lessThan">
      <formula>0</formula>
    </cfRule>
  </conditionalFormatting>
  <conditionalFormatting sqref="K3">
    <cfRule type="cellIs" dxfId="72" priority="96" operator="greaterThanOrEqual">
      <formula>0</formula>
    </cfRule>
  </conditionalFormatting>
  <conditionalFormatting sqref="AD2:AD53">
    <cfRule type="cellIs" dxfId="71" priority="97" operator="lessThan">
      <formula>0</formula>
    </cfRule>
  </conditionalFormatting>
  <conditionalFormatting sqref="AD2:AD53">
    <cfRule type="cellIs" dxfId="70" priority="98" operator="greaterThanOrEqual">
      <formula>0</formula>
    </cfRule>
  </conditionalFormatting>
  <conditionalFormatting sqref="AH2:AH3 AH4:AI53">
    <cfRule type="cellIs" dxfId="69" priority="99" operator="lessThan">
      <formula>0</formula>
    </cfRule>
  </conditionalFormatting>
  <conditionalFormatting sqref="AH2:AH3 AH4:AI53">
    <cfRule type="cellIs" dxfId="68" priority="100" operator="greaterThanOrEqual">
      <formula>0</formula>
    </cfRule>
  </conditionalFormatting>
  <conditionalFormatting sqref="AI2">
    <cfRule type="cellIs" dxfId="67" priority="101" operator="lessThan">
      <formula>0</formula>
    </cfRule>
  </conditionalFormatting>
  <conditionalFormatting sqref="AI2">
    <cfRule type="cellIs" dxfId="66" priority="102" operator="greaterThanOrEqual">
      <formula>0</formula>
    </cfRule>
  </conditionalFormatting>
  <conditionalFormatting sqref="AI3">
    <cfRule type="cellIs" dxfId="65" priority="103" operator="lessThan">
      <formula>0</formula>
    </cfRule>
  </conditionalFormatting>
  <conditionalFormatting sqref="AI3">
    <cfRule type="cellIs" dxfId="64" priority="104" operator="greaterThanOrEqual">
      <formula>0</formula>
    </cfRule>
  </conditionalFormatting>
  <conditionalFormatting sqref="AL2:AL53">
    <cfRule type="cellIs" dxfId="63" priority="79" operator="lessThan">
      <formula>0</formula>
    </cfRule>
  </conditionalFormatting>
  <conditionalFormatting sqref="AL2:AL53">
    <cfRule type="cellIs" dxfId="62" priority="80" operator="greaterThanOrEqual">
      <formula>0</formula>
    </cfRule>
  </conditionalFormatting>
  <conditionalFormatting sqref="G54">
    <cfRule type="cellIs" dxfId="61" priority="47" operator="lessThan">
      <formula>0</formula>
    </cfRule>
  </conditionalFormatting>
  <conditionalFormatting sqref="G54">
    <cfRule type="cellIs" dxfId="60" priority="48" operator="greaterThanOrEqual">
      <formula>0</formula>
    </cfRule>
  </conditionalFormatting>
  <conditionalFormatting sqref="G4:G53">
    <cfRule type="cellIs" dxfId="59" priority="49" operator="lessThan">
      <formula>0</formula>
    </cfRule>
  </conditionalFormatting>
  <conditionalFormatting sqref="G4:G53">
    <cfRule type="cellIs" dxfId="58" priority="50" operator="greaterThanOrEqual">
      <formula>0</formula>
    </cfRule>
  </conditionalFormatting>
  <conditionalFormatting sqref="AM4:AM53">
    <cfRule type="cellIs" dxfId="57" priority="73" operator="lessThan">
      <formula>0</formula>
    </cfRule>
  </conditionalFormatting>
  <conditionalFormatting sqref="AM4:AM53">
    <cfRule type="cellIs" dxfId="56" priority="74" operator="greaterThanOrEqual">
      <formula>0</formula>
    </cfRule>
  </conditionalFormatting>
  <conditionalFormatting sqref="AM2">
    <cfRule type="cellIs" dxfId="55" priority="75" operator="lessThan">
      <formula>0</formula>
    </cfRule>
  </conditionalFormatting>
  <conditionalFormatting sqref="AM2">
    <cfRule type="cellIs" dxfId="54" priority="76" operator="greaterThanOrEqual">
      <formula>0</formula>
    </cfRule>
  </conditionalFormatting>
  <conditionalFormatting sqref="AM3">
    <cfRule type="cellIs" dxfId="53" priority="77" operator="lessThan">
      <formula>0</formula>
    </cfRule>
  </conditionalFormatting>
  <conditionalFormatting sqref="AM3">
    <cfRule type="cellIs" dxfId="52" priority="78" operator="greaterThanOrEqual">
      <formula>0</formula>
    </cfRule>
  </conditionalFormatting>
  <conditionalFormatting sqref="AE4:AE53">
    <cfRule type="cellIs" dxfId="51" priority="67" operator="lessThan">
      <formula>0</formula>
    </cfRule>
  </conditionalFormatting>
  <conditionalFormatting sqref="AE4:AE53">
    <cfRule type="cellIs" dxfId="50" priority="68" operator="greaterThanOrEqual">
      <formula>0</formula>
    </cfRule>
  </conditionalFormatting>
  <conditionalFormatting sqref="AE2">
    <cfRule type="cellIs" dxfId="49" priority="69" operator="lessThan">
      <formula>0</formula>
    </cfRule>
  </conditionalFormatting>
  <conditionalFormatting sqref="AE2">
    <cfRule type="cellIs" dxfId="48" priority="70" operator="greaterThanOrEqual">
      <formula>0</formula>
    </cfRule>
  </conditionalFormatting>
  <conditionalFormatting sqref="AE3">
    <cfRule type="cellIs" dxfId="47" priority="71" operator="lessThan">
      <formula>0</formula>
    </cfRule>
  </conditionalFormatting>
  <conditionalFormatting sqref="AE3">
    <cfRule type="cellIs" dxfId="46" priority="72" operator="greaterThanOrEqual">
      <formula>0</formula>
    </cfRule>
  </conditionalFormatting>
  <conditionalFormatting sqref="W4:W53">
    <cfRule type="cellIs" dxfId="45" priority="61" operator="lessThan">
      <formula>0</formula>
    </cfRule>
  </conditionalFormatting>
  <conditionalFormatting sqref="W4:W53">
    <cfRule type="cellIs" dxfId="44" priority="62" operator="greaterThanOrEqual">
      <formula>0</formula>
    </cfRule>
  </conditionalFormatting>
  <conditionalFormatting sqref="W2">
    <cfRule type="cellIs" dxfId="43" priority="63" operator="lessThan">
      <formula>0</formula>
    </cfRule>
  </conditionalFormatting>
  <conditionalFormatting sqref="W2">
    <cfRule type="cellIs" dxfId="42" priority="64" operator="greaterThanOrEqual">
      <formula>0</formula>
    </cfRule>
  </conditionalFormatting>
  <conditionalFormatting sqref="W3">
    <cfRule type="cellIs" dxfId="41" priority="65" operator="lessThan">
      <formula>0</formula>
    </cfRule>
  </conditionalFormatting>
  <conditionalFormatting sqref="W3">
    <cfRule type="cellIs" dxfId="40" priority="66" operator="greaterThanOrEqual">
      <formula>0</formula>
    </cfRule>
  </conditionalFormatting>
  <conditionalFormatting sqref="S4:S53">
    <cfRule type="cellIs" dxfId="39" priority="55" operator="lessThan">
      <formula>0</formula>
    </cfRule>
  </conditionalFormatting>
  <conditionalFormatting sqref="S4:S53">
    <cfRule type="cellIs" dxfId="38" priority="56" operator="greaterThanOrEqual">
      <formula>0</formula>
    </cfRule>
  </conditionalFormatting>
  <conditionalFormatting sqref="S2">
    <cfRule type="cellIs" dxfId="37" priority="57" operator="lessThan">
      <formula>0</formula>
    </cfRule>
  </conditionalFormatting>
  <conditionalFormatting sqref="S2">
    <cfRule type="cellIs" dxfId="36" priority="58" operator="greaterThanOrEqual">
      <formula>0</formula>
    </cfRule>
  </conditionalFormatting>
  <conditionalFormatting sqref="S3">
    <cfRule type="cellIs" dxfId="35" priority="59" operator="lessThan">
      <formula>0</formula>
    </cfRule>
  </conditionalFormatting>
  <conditionalFormatting sqref="S3">
    <cfRule type="cellIs" dxfId="34" priority="60" operator="greaterThanOrEqual">
      <formula>0</formula>
    </cfRule>
  </conditionalFormatting>
  <conditionalFormatting sqref="G2">
    <cfRule type="cellIs" dxfId="33" priority="51" operator="lessThan">
      <formula>0</formula>
    </cfRule>
  </conditionalFormatting>
  <conditionalFormatting sqref="G2">
    <cfRule type="cellIs" dxfId="32" priority="52" operator="greaterThanOrEqual">
      <formula>0</formula>
    </cfRule>
  </conditionalFormatting>
  <conditionalFormatting sqref="G3">
    <cfRule type="cellIs" dxfId="31" priority="53" operator="lessThan">
      <formula>0</formula>
    </cfRule>
  </conditionalFormatting>
  <conditionalFormatting sqref="G3">
    <cfRule type="cellIs" dxfId="30" priority="54" operator="greaterThanOrEqual">
      <formula>0</formula>
    </cfRule>
  </conditionalFormatting>
  <conditionalFormatting sqref="S54">
    <cfRule type="cellIs" dxfId="29" priority="45" operator="lessThan">
      <formula>0</formula>
    </cfRule>
  </conditionalFormatting>
  <conditionalFormatting sqref="S54">
    <cfRule type="cellIs" dxfId="28" priority="46" operator="greaterThanOrEqual">
      <formula>0</formula>
    </cfRule>
  </conditionalFormatting>
  <conditionalFormatting sqref="W54">
    <cfRule type="cellIs" dxfId="27" priority="43" operator="lessThan">
      <formula>0</formula>
    </cfRule>
  </conditionalFormatting>
  <conditionalFormatting sqref="W54">
    <cfRule type="cellIs" dxfId="26" priority="44" operator="greaterThanOrEqual">
      <formula>0</formula>
    </cfRule>
  </conditionalFormatting>
  <conditionalFormatting sqref="Z2:Z53">
    <cfRule type="cellIs" dxfId="25" priority="41" operator="lessThan">
      <formula>0</formula>
    </cfRule>
  </conditionalFormatting>
  <conditionalFormatting sqref="Z2:Z53">
    <cfRule type="cellIs" dxfId="24" priority="42" operator="greaterThanOrEqual">
      <formula>0</formula>
    </cfRule>
  </conditionalFormatting>
  <conditionalFormatting sqref="AA4:AA53">
    <cfRule type="cellIs" dxfId="23" priority="35" operator="lessThan">
      <formula>0</formula>
    </cfRule>
  </conditionalFormatting>
  <conditionalFormatting sqref="AA4:AA53">
    <cfRule type="cellIs" dxfId="22" priority="36" operator="greaterThanOrEqual">
      <formula>0</formula>
    </cfRule>
  </conditionalFormatting>
  <conditionalFormatting sqref="AA2">
    <cfRule type="cellIs" dxfId="21" priority="37" operator="lessThan">
      <formula>0</formula>
    </cfRule>
  </conditionalFormatting>
  <conditionalFormatting sqref="AA2">
    <cfRule type="cellIs" dxfId="20" priority="38" operator="greaterThanOrEqual">
      <formula>0</formula>
    </cfRule>
  </conditionalFormatting>
  <conditionalFormatting sqref="AA3">
    <cfRule type="cellIs" dxfId="19" priority="39" operator="lessThan">
      <formula>0</formula>
    </cfRule>
  </conditionalFormatting>
  <conditionalFormatting sqref="AA3">
    <cfRule type="cellIs" dxfId="18" priority="40" operator="greaterThanOrEqual">
      <formula>0</formula>
    </cfRule>
  </conditionalFormatting>
  <conditionalFormatting sqref="AA54">
    <cfRule type="cellIs" dxfId="17" priority="33" operator="lessThan">
      <formula>0</formula>
    </cfRule>
  </conditionalFormatting>
  <conditionalFormatting sqref="AA54">
    <cfRule type="cellIs" dxfId="16" priority="34" operator="greaterThanOrEqual">
      <formula>0</formula>
    </cfRule>
  </conditionalFormatting>
  <conditionalFormatting sqref="AE54">
    <cfRule type="cellIs" dxfId="15" priority="31" operator="lessThan">
      <formula>0</formula>
    </cfRule>
  </conditionalFormatting>
  <conditionalFormatting sqref="AE54">
    <cfRule type="cellIs" dxfId="14" priority="32" operator="greaterThanOrEqual">
      <formula>0</formula>
    </cfRule>
  </conditionalFormatting>
  <conditionalFormatting sqref="AI54">
    <cfRule type="cellIs" dxfId="13" priority="29" operator="lessThan">
      <formula>0</formula>
    </cfRule>
  </conditionalFormatting>
  <conditionalFormatting sqref="AI54">
    <cfRule type="cellIs" dxfId="12" priority="30" operator="greaterThanOrEqual">
      <formula>0</formula>
    </cfRule>
  </conditionalFormatting>
  <conditionalFormatting sqref="AM54">
    <cfRule type="cellIs" dxfId="11" priority="27" operator="lessThan">
      <formula>0</formula>
    </cfRule>
  </conditionalFormatting>
  <conditionalFormatting sqref="AM54">
    <cfRule type="cellIs" dxfId="10" priority="28" operator="greaterThanOrEqual">
      <formula>0</formula>
    </cfRule>
  </conditionalFormatting>
  <conditionalFormatting sqref="N2:N53">
    <cfRule type="cellIs" dxfId="9" priority="25" operator="lessThan">
      <formula>0</formula>
    </cfRule>
  </conditionalFormatting>
  <conditionalFormatting sqref="N2:N53">
    <cfRule type="cellIs" dxfId="8" priority="26" operator="greaterThanOrEqual">
      <formula>0</formula>
    </cfRule>
  </conditionalFormatting>
  <conditionalFormatting sqref="O4:O53">
    <cfRule type="cellIs" dxfId="7" priority="19" operator="lessThan">
      <formula>0</formula>
    </cfRule>
  </conditionalFormatting>
  <conditionalFormatting sqref="O4:O53">
    <cfRule type="cellIs" dxfId="6" priority="20" operator="greaterThanOrEqual">
      <formula>0</formula>
    </cfRule>
  </conditionalFormatting>
  <conditionalFormatting sqref="O2">
    <cfRule type="cellIs" dxfId="5" priority="21" operator="lessThan">
      <formula>0</formula>
    </cfRule>
  </conditionalFormatting>
  <conditionalFormatting sqref="O2">
    <cfRule type="cellIs" dxfId="4" priority="22" operator="greaterThanOrEqual">
      <formula>0</formula>
    </cfRule>
  </conditionalFormatting>
  <conditionalFormatting sqref="O3">
    <cfRule type="cellIs" dxfId="3" priority="23" operator="lessThan">
      <formula>0</formula>
    </cfRule>
  </conditionalFormatting>
  <conditionalFormatting sqref="O3">
    <cfRule type="cellIs" dxfId="2" priority="24" operator="greaterThanOrEqual">
      <formula>0</formula>
    </cfRule>
  </conditionalFormatting>
  <conditionalFormatting sqref="O54">
    <cfRule type="cellIs" dxfId="1" priority="17" operator="lessThan">
      <formula>0</formula>
    </cfRule>
  </conditionalFormatting>
  <conditionalFormatting sqref="O54">
    <cfRule type="cellIs" dxfId="0" priority="18" operator="greaterThanOrEqual">
      <formula>0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21"/>
  <sheetViews>
    <sheetView workbookViewId="0">
      <selection activeCell="D22" sqref="D22"/>
    </sheetView>
  </sheetViews>
  <sheetFormatPr defaultColWidth="11" defaultRowHeight="15.75" x14ac:dyDescent="0.25"/>
  <cols>
    <col min="3" max="3" width="26.625" bestFit="1" customWidth="1"/>
    <col min="5" max="5" width="11" style="159"/>
    <col min="10" max="10" width="16" customWidth="1"/>
    <col min="11" max="11" width="16.625" customWidth="1"/>
    <col min="17" max="17" width="11.625" bestFit="1" customWidth="1"/>
    <col min="18" max="18" width="11.625" customWidth="1"/>
    <col min="19" max="19" width="11.5" bestFit="1" customWidth="1"/>
    <col min="20" max="20" width="14" bestFit="1" customWidth="1"/>
    <col min="22" max="22" width="82.875" bestFit="1" customWidth="1"/>
  </cols>
  <sheetData>
    <row r="1" spans="1:22" s="80" customFormat="1" x14ac:dyDescent="0.25">
      <c r="A1" s="151" t="s">
        <v>19</v>
      </c>
      <c r="B1" s="151" t="s">
        <v>20</v>
      </c>
      <c r="C1" s="151" t="s">
        <v>128</v>
      </c>
      <c r="D1" s="151" t="s">
        <v>125</v>
      </c>
      <c r="E1" s="157" t="s">
        <v>126</v>
      </c>
      <c r="F1" s="151" t="s">
        <v>1</v>
      </c>
      <c r="G1" s="151" t="s">
        <v>119</v>
      </c>
      <c r="H1" s="151" t="s">
        <v>175</v>
      </c>
      <c r="I1" s="151" t="s">
        <v>176</v>
      </c>
      <c r="J1" s="151" t="s">
        <v>173</v>
      </c>
      <c r="K1" s="151" t="s">
        <v>174</v>
      </c>
      <c r="L1" s="151" t="s">
        <v>4</v>
      </c>
      <c r="M1" s="151" t="s">
        <v>5</v>
      </c>
      <c r="N1" s="151" t="s">
        <v>109</v>
      </c>
      <c r="O1" s="151" t="s">
        <v>6</v>
      </c>
      <c r="P1" s="152" t="s">
        <v>7</v>
      </c>
      <c r="Q1" s="152" t="s">
        <v>127</v>
      </c>
      <c r="R1" s="152" t="s">
        <v>181</v>
      </c>
      <c r="S1" s="152" t="s">
        <v>97</v>
      </c>
      <c r="T1" s="152" t="s">
        <v>25</v>
      </c>
      <c r="U1" s="153" t="s">
        <v>9</v>
      </c>
      <c r="V1" s="151" t="s">
        <v>26</v>
      </c>
    </row>
    <row r="2" spans="1:22" x14ac:dyDescent="0.25">
      <c r="A2" t="s">
        <v>17</v>
      </c>
      <c r="B2" t="s">
        <v>32</v>
      </c>
      <c r="C2" t="s">
        <v>131</v>
      </c>
      <c r="D2" s="154">
        <v>42749</v>
      </c>
      <c r="E2" s="158">
        <v>42750</v>
      </c>
      <c r="F2" s="98">
        <v>381</v>
      </c>
      <c r="G2" s="98">
        <f t="shared" ref="G2:G12" si="0">H2+I2</f>
        <v>4998.5950000000003</v>
      </c>
      <c r="H2" s="98">
        <v>4607</v>
      </c>
      <c r="I2" s="98">
        <f t="shared" ref="I2:I12" si="1">H2*0.085</f>
        <v>391.59500000000003</v>
      </c>
      <c r="J2" s="155">
        <f t="shared" ref="J2:J12" si="2">F2/H2</f>
        <v>8.2700238767093551E-2</v>
      </c>
      <c r="K2" s="155">
        <f t="shared" ref="K2:K12" si="3">F2/G2</f>
        <v>7.6221418218519396E-2</v>
      </c>
      <c r="L2" s="156">
        <v>4666</v>
      </c>
      <c r="M2">
        <v>4</v>
      </c>
      <c r="N2" s="85">
        <f t="shared" ref="N2:N12" si="4">M2/L2</f>
        <v>8.5726532361765965E-4</v>
      </c>
      <c r="O2" s="98">
        <f t="shared" ref="O2:O12" si="5">F2/M2</f>
        <v>95.25</v>
      </c>
      <c r="P2" s="156">
        <v>7333</v>
      </c>
      <c r="Q2" s="155">
        <f t="shared" ref="Q2:Q12" si="6">H2/P2</f>
        <v>0.62825582981044592</v>
      </c>
      <c r="R2" s="155">
        <f t="shared" ref="R2:R12" si="7">(H2/T2)*1000</f>
        <v>1.0108767441299154</v>
      </c>
      <c r="S2" s="156">
        <v>983819</v>
      </c>
      <c r="T2" s="156">
        <v>4557430</v>
      </c>
      <c r="U2" s="85">
        <f t="shared" ref="U2:U12" si="8">P2/T2</f>
        <v>1.6090208736063965E-3</v>
      </c>
      <c r="V2" t="s">
        <v>142</v>
      </c>
    </row>
    <row r="3" spans="1:22" x14ac:dyDescent="0.25">
      <c r="A3" t="s">
        <v>17</v>
      </c>
      <c r="B3" t="s">
        <v>33</v>
      </c>
      <c r="C3" t="s">
        <v>129</v>
      </c>
      <c r="D3" s="154">
        <v>42756</v>
      </c>
      <c r="E3" s="158">
        <v>42756</v>
      </c>
      <c r="F3" s="98">
        <v>569</v>
      </c>
      <c r="G3" s="98">
        <f t="shared" si="0"/>
        <v>4244.5200000000004</v>
      </c>
      <c r="H3" s="98">
        <v>3912</v>
      </c>
      <c r="I3" s="98">
        <f t="shared" si="1"/>
        <v>332.52000000000004</v>
      </c>
      <c r="J3" s="155">
        <f t="shared" si="2"/>
        <v>0.14544989775051126</v>
      </c>
      <c r="K3" s="155">
        <f t="shared" si="3"/>
        <v>0.13405520530001036</v>
      </c>
      <c r="L3" s="156">
        <v>3821</v>
      </c>
      <c r="M3">
        <v>5</v>
      </c>
      <c r="N3" s="85">
        <f t="shared" si="4"/>
        <v>1.3085579691180318E-3</v>
      </c>
      <c r="O3" s="98">
        <f t="shared" si="5"/>
        <v>113.8</v>
      </c>
      <c r="P3" s="156">
        <v>4508</v>
      </c>
      <c r="Q3" s="155">
        <f t="shared" si="6"/>
        <v>0.86779059449866902</v>
      </c>
      <c r="R3" s="155">
        <f t="shared" si="7"/>
        <v>13.632704551553021</v>
      </c>
      <c r="S3" s="156">
        <v>190495</v>
      </c>
      <c r="T3" s="156">
        <v>286957</v>
      </c>
      <c r="U3" s="85">
        <f t="shared" si="8"/>
        <v>1.5709670786912325E-2</v>
      </c>
      <c r="V3" t="s">
        <v>130</v>
      </c>
    </row>
    <row r="4" spans="1:22" x14ac:dyDescent="0.25">
      <c r="A4" t="s">
        <v>38</v>
      </c>
      <c r="B4" t="s">
        <v>37</v>
      </c>
      <c r="C4" t="s">
        <v>171</v>
      </c>
      <c r="D4" s="154">
        <v>42790</v>
      </c>
      <c r="E4" s="158">
        <v>42804</v>
      </c>
      <c r="F4" s="98">
        <v>265</v>
      </c>
      <c r="G4" s="98">
        <f t="shared" si="0"/>
        <v>24817.9211</v>
      </c>
      <c r="H4" s="98">
        <v>22873.66</v>
      </c>
      <c r="I4" s="98">
        <f t="shared" si="1"/>
        <v>1944.2611000000002</v>
      </c>
      <c r="J4" s="155">
        <f t="shared" si="2"/>
        <v>1.1585378116138825E-2</v>
      </c>
      <c r="K4" s="155">
        <f t="shared" si="3"/>
        <v>1.0677767848975875E-2</v>
      </c>
      <c r="L4" s="156">
        <v>10389</v>
      </c>
      <c r="M4">
        <v>3</v>
      </c>
      <c r="N4" s="85">
        <f t="shared" si="4"/>
        <v>2.8876696505919725E-4</v>
      </c>
      <c r="O4" s="98">
        <f t="shared" si="5"/>
        <v>88.333333333333329</v>
      </c>
      <c r="P4" s="156">
        <v>27097</v>
      </c>
      <c r="Q4" s="155">
        <f t="shared" si="6"/>
        <v>0.84413994169096207</v>
      </c>
      <c r="R4" s="155">
        <f t="shared" si="7"/>
        <v>3.2335083182015127</v>
      </c>
      <c r="S4" s="156">
        <v>1709809</v>
      </c>
      <c r="T4" s="156">
        <v>7073945</v>
      </c>
      <c r="U4" s="85">
        <f t="shared" si="8"/>
        <v>3.8305358608244763E-3</v>
      </c>
      <c r="V4" t="s">
        <v>172</v>
      </c>
    </row>
    <row r="5" spans="1:22" x14ac:dyDescent="0.25">
      <c r="A5" t="s">
        <v>43</v>
      </c>
      <c r="B5" t="s">
        <v>45</v>
      </c>
      <c r="C5" t="s">
        <v>187</v>
      </c>
      <c r="D5" s="154">
        <v>42826</v>
      </c>
      <c r="E5" s="158">
        <v>42832</v>
      </c>
      <c r="F5" s="98">
        <v>0</v>
      </c>
      <c r="G5" s="98">
        <f t="shared" si="0"/>
        <v>4703.1494999999995</v>
      </c>
      <c r="H5" s="98">
        <v>4334.7</v>
      </c>
      <c r="I5" s="98">
        <f t="shared" si="1"/>
        <v>368.4495</v>
      </c>
      <c r="J5" s="155">
        <f t="shared" si="2"/>
        <v>0</v>
      </c>
      <c r="K5" s="155">
        <f t="shared" si="3"/>
        <v>0</v>
      </c>
      <c r="L5" s="156">
        <v>0</v>
      </c>
      <c r="M5">
        <v>0</v>
      </c>
      <c r="N5" s="85" t="e">
        <f t="shared" si="4"/>
        <v>#DIV/0!</v>
      </c>
      <c r="O5" s="98" t="e">
        <f t="shared" si="5"/>
        <v>#DIV/0!</v>
      </c>
      <c r="P5" s="156">
        <v>6685</v>
      </c>
      <c r="Q5" s="155">
        <f t="shared" si="6"/>
        <v>0.64842183994016456</v>
      </c>
      <c r="R5" s="155">
        <f t="shared" si="7"/>
        <v>4.8053983823477244</v>
      </c>
      <c r="S5" s="156">
        <v>496118</v>
      </c>
      <c r="T5" s="156">
        <v>902048</v>
      </c>
      <c r="U5" s="85">
        <f t="shared" si="8"/>
        <v>7.410913831636454E-3</v>
      </c>
      <c r="V5" t="s">
        <v>188</v>
      </c>
    </row>
    <row r="6" spans="1:22" s="230" customFormat="1" x14ac:dyDescent="0.25">
      <c r="A6" s="230" t="s">
        <v>48</v>
      </c>
      <c r="B6" s="230" t="s">
        <v>49</v>
      </c>
      <c r="C6" s="230" t="s">
        <v>193</v>
      </c>
      <c r="D6" s="231">
        <v>42854</v>
      </c>
      <c r="E6" s="232">
        <v>42855</v>
      </c>
      <c r="F6" s="233">
        <v>2559</v>
      </c>
      <c r="G6" s="233">
        <f t="shared" si="0"/>
        <v>4998.3562999999995</v>
      </c>
      <c r="H6" s="233">
        <v>4606.78</v>
      </c>
      <c r="I6" s="233">
        <f t="shared" si="1"/>
        <v>391.5763</v>
      </c>
      <c r="J6" s="234">
        <f t="shared" si="2"/>
        <v>0.55548561033954302</v>
      </c>
      <c r="K6" s="234">
        <f t="shared" si="3"/>
        <v>0.51196830446040842</v>
      </c>
      <c r="L6" s="235">
        <v>6526</v>
      </c>
      <c r="M6" s="230">
        <v>17</v>
      </c>
      <c r="N6" s="236">
        <f t="shared" si="4"/>
        <v>2.6049647563591788E-3</v>
      </c>
      <c r="O6" s="233">
        <f t="shared" si="5"/>
        <v>150.52941176470588</v>
      </c>
      <c r="P6" s="235">
        <v>7348</v>
      </c>
      <c r="Q6" s="234">
        <f t="shared" si="6"/>
        <v>0.62694338595536192</v>
      </c>
      <c r="R6" s="234">
        <f t="shared" si="7"/>
        <v>10.242091291694548</v>
      </c>
      <c r="S6" s="237">
        <v>268291</v>
      </c>
      <c r="T6" s="237">
        <v>449789</v>
      </c>
      <c r="U6" s="236">
        <f t="shared" si="8"/>
        <v>1.6336548915157997E-2</v>
      </c>
      <c r="V6" s="230" t="s">
        <v>209</v>
      </c>
    </row>
    <row r="7" spans="1:22" x14ac:dyDescent="0.25">
      <c r="A7" t="s">
        <v>202</v>
      </c>
      <c r="B7" t="s">
        <v>50</v>
      </c>
      <c r="C7" s="214" t="s">
        <v>203</v>
      </c>
      <c r="D7" s="154">
        <v>42856</v>
      </c>
      <c r="E7" s="158">
        <v>42858</v>
      </c>
      <c r="F7" s="98">
        <v>489</v>
      </c>
      <c r="G7" s="98">
        <f t="shared" si="0"/>
        <v>2995.6307499999998</v>
      </c>
      <c r="H7" s="98">
        <v>2760.95</v>
      </c>
      <c r="I7" s="98">
        <f t="shared" si="1"/>
        <v>234.68074999999999</v>
      </c>
      <c r="J7" s="155">
        <f t="shared" si="2"/>
        <v>0.17711295025263044</v>
      </c>
      <c r="K7" s="155">
        <f t="shared" si="3"/>
        <v>0.16323774216832299</v>
      </c>
      <c r="L7" s="156">
        <v>5287</v>
      </c>
      <c r="M7">
        <v>6</v>
      </c>
      <c r="N7" s="85">
        <f t="shared" si="4"/>
        <v>1.1348590883298658E-3</v>
      </c>
      <c r="O7" s="98">
        <f t="shared" si="5"/>
        <v>81.5</v>
      </c>
      <c r="P7" s="156">
        <v>5730</v>
      </c>
      <c r="Q7" s="155">
        <f t="shared" si="6"/>
        <v>0.48184118673647464</v>
      </c>
      <c r="R7" s="155">
        <f t="shared" si="7"/>
        <v>7.3364156934645992</v>
      </c>
      <c r="S7" s="156">
        <v>217934</v>
      </c>
      <c r="T7" s="156">
        <v>376335</v>
      </c>
      <c r="U7" s="85">
        <f t="shared" si="8"/>
        <v>1.5225796165650285E-2</v>
      </c>
      <c r="V7" t="s">
        <v>209</v>
      </c>
    </row>
    <row r="8" spans="1:22" s="220" customFormat="1" x14ac:dyDescent="0.25">
      <c r="A8" s="220" t="s">
        <v>53</v>
      </c>
      <c r="B8" s="220" t="s">
        <v>215</v>
      </c>
      <c r="C8" s="229" t="s">
        <v>244</v>
      </c>
      <c r="D8" s="221">
        <v>42896</v>
      </c>
      <c r="E8" s="222">
        <v>42897</v>
      </c>
      <c r="F8" s="223">
        <v>917</v>
      </c>
      <c r="G8" s="223">
        <f t="shared" si="0"/>
        <v>3410.2851999999998</v>
      </c>
      <c r="H8" s="223">
        <v>3143.12</v>
      </c>
      <c r="I8" s="223">
        <f t="shared" si="1"/>
        <v>267.16520000000003</v>
      </c>
      <c r="J8" s="224">
        <f t="shared" si="2"/>
        <v>0.29174832650360155</v>
      </c>
      <c r="K8" s="224">
        <f t="shared" si="3"/>
        <v>0.26889246682359591</v>
      </c>
      <c r="L8" s="238">
        <v>1979</v>
      </c>
      <c r="M8" s="220">
        <v>7</v>
      </c>
      <c r="N8" s="227">
        <f t="shared" si="4"/>
        <v>3.5371399696816574E-3</v>
      </c>
      <c r="O8" s="223">
        <f t="shared" si="5"/>
        <v>131</v>
      </c>
      <c r="P8" s="238">
        <v>3172</v>
      </c>
      <c r="Q8" s="224">
        <f t="shared" si="6"/>
        <v>0.99089533417402265</v>
      </c>
      <c r="R8" s="224">
        <f t="shared" si="7"/>
        <v>17.741001428031179</v>
      </c>
      <c r="S8" s="238">
        <v>97210</v>
      </c>
      <c r="T8" s="239">
        <v>177167</v>
      </c>
      <c r="U8" s="227">
        <f t="shared" si="8"/>
        <v>1.7904011469404572E-2</v>
      </c>
      <c r="V8" s="220" t="s">
        <v>209</v>
      </c>
    </row>
    <row r="9" spans="1:22" s="247" customFormat="1" x14ac:dyDescent="0.25">
      <c r="A9" s="230" t="s">
        <v>231</v>
      </c>
      <c r="B9" s="230" t="s">
        <v>232</v>
      </c>
      <c r="C9" s="230" t="s">
        <v>187</v>
      </c>
      <c r="D9" s="248">
        <v>42910</v>
      </c>
      <c r="E9" s="249">
        <v>42915</v>
      </c>
      <c r="F9" s="233">
        <v>0</v>
      </c>
      <c r="G9" s="233">
        <f t="shared" si="0"/>
        <v>5995.71</v>
      </c>
      <c r="H9" s="233">
        <v>5526</v>
      </c>
      <c r="I9" s="233">
        <f t="shared" si="1"/>
        <v>469.71000000000004</v>
      </c>
      <c r="J9" s="234">
        <f t="shared" si="2"/>
        <v>0</v>
      </c>
      <c r="K9" s="234">
        <f t="shared" si="3"/>
        <v>0</v>
      </c>
      <c r="L9" s="235">
        <v>0</v>
      </c>
      <c r="M9" s="230">
        <v>0</v>
      </c>
      <c r="N9" s="236" t="e">
        <f t="shared" si="4"/>
        <v>#DIV/0!</v>
      </c>
      <c r="O9" s="233" t="e">
        <f t="shared" si="5"/>
        <v>#DIV/0!</v>
      </c>
      <c r="P9" s="235">
        <v>5488</v>
      </c>
      <c r="Q9" s="234">
        <f t="shared" si="6"/>
        <v>1.0069241982507289</v>
      </c>
      <c r="R9" s="234">
        <f t="shared" si="7"/>
        <v>9.6647929397690664</v>
      </c>
      <c r="S9" s="235">
        <v>182670</v>
      </c>
      <c r="T9" s="255">
        <v>571766</v>
      </c>
      <c r="U9" s="236">
        <f t="shared" si="8"/>
        <v>9.5983321848448488E-3</v>
      </c>
    </row>
    <row r="10" spans="1:22" x14ac:dyDescent="0.25">
      <c r="A10" s="220" t="s">
        <v>246</v>
      </c>
      <c r="B10" s="220" t="s">
        <v>64</v>
      </c>
      <c r="C10" s="229" t="s">
        <v>193</v>
      </c>
      <c r="D10" s="154">
        <v>42936</v>
      </c>
      <c r="E10" s="158">
        <v>42938</v>
      </c>
      <c r="F10" s="223">
        <v>1310</v>
      </c>
      <c r="G10" s="223">
        <f t="shared" si="0"/>
        <v>5280.7058500000003</v>
      </c>
      <c r="H10" s="223">
        <v>4867.01</v>
      </c>
      <c r="I10" s="223">
        <f t="shared" si="1"/>
        <v>413.69585000000006</v>
      </c>
      <c r="J10" s="224">
        <f t="shared" si="2"/>
        <v>0.26915909357079604</v>
      </c>
      <c r="K10" s="224">
        <f t="shared" si="3"/>
        <v>0.24807289730027282</v>
      </c>
      <c r="L10" s="238">
        <v>2875</v>
      </c>
      <c r="M10" s="220">
        <v>9</v>
      </c>
      <c r="N10" s="227">
        <f t="shared" si="4"/>
        <v>3.1304347826086958E-3</v>
      </c>
      <c r="O10" s="223">
        <f t="shared" si="5"/>
        <v>145.55555555555554</v>
      </c>
      <c r="P10" s="238">
        <v>5551</v>
      </c>
      <c r="Q10" s="224">
        <f t="shared" si="6"/>
        <v>0.87678076022338325</v>
      </c>
      <c r="R10" s="234">
        <f t="shared" si="7"/>
        <v>7.4014748172446261</v>
      </c>
      <c r="S10" s="238">
        <v>468563</v>
      </c>
      <c r="T10" s="210">
        <v>657573</v>
      </c>
      <c r="U10" s="236">
        <f t="shared" si="8"/>
        <v>8.4416483036864349E-3</v>
      </c>
      <c r="V10" s="220" t="s">
        <v>247</v>
      </c>
    </row>
    <row r="11" spans="1:22" x14ac:dyDescent="0.25">
      <c r="A11" s="220" t="s">
        <v>73</v>
      </c>
      <c r="B11" s="220" t="s">
        <v>76</v>
      </c>
      <c r="C11" s="229" t="s">
        <v>187</v>
      </c>
      <c r="D11" s="154">
        <v>42993</v>
      </c>
      <c r="E11" s="158">
        <v>42999</v>
      </c>
      <c r="F11" s="223">
        <v>0</v>
      </c>
      <c r="G11" s="223">
        <f t="shared" si="0"/>
        <v>4999.68</v>
      </c>
      <c r="H11" s="223">
        <v>4608</v>
      </c>
      <c r="I11" s="223">
        <f t="shared" si="1"/>
        <v>391.68</v>
      </c>
      <c r="J11" s="224">
        <f t="shared" si="2"/>
        <v>0</v>
      </c>
      <c r="K11" s="224">
        <f t="shared" si="3"/>
        <v>0</v>
      </c>
      <c r="L11" s="235">
        <v>0</v>
      </c>
      <c r="M11" s="230">
        <v>0</v>
      </c>
      <c r="N11" s="227" t="e">
        <f t="shared" si="4"/>
        <v>#DIV/0!</v>
      </c>
      <c r="O11" s="223" t="e">
        <f t="shared" si="5"/>
        <v>#DIV/0!</v>
      </c>
      <c r="P11" s="238">
        <v>8462</v>
      </c>
      <c r="Q11" s="224">
        <f t="shared" si="6"/>
        <v>0.54455211533916337</v>
      </c>
      <c r="R11" s="234">
        <f t="shared" si="7"/>
        <v>8.2350565355932073</v>
      </c>
      <c r="S11" s="238">
        <v>243926</v>
      </c>
      <c r="T11" s="210">
        <v>559559</v>
      </c>
      <c r="U11" s="236">
        <f t="shared" si="8"/>
        <v>1.5122623351603673E-2</v>
      </c>
      <c r="V11" s="220"/>
    </row>
    <row r="12" spans="1:22" x14ac:dyDescent="0.25">
      <c r="A12" s="220" t="s">
        <v>73</v>
      </c>
      <c r="B12" s="220" t="s">
        <v>76</v>
      </c>
      <c r="C12" s="229" t="s">
        <v>193</v>
      </c>
      <c r="D12" s="154">
        <v>43001</v>
      </c>
      <c r="E12" s="158">
        <v>43002</v>
      </c>
      <c r="F12" s="223">
        <v>3220</v>
      </c>
      <c r="G12" s="223">
        <f t="shared" si="0"/>
        <v>4970.4283999999998</v>
      </c>
      <c r="H12" s="223">
        <v>4581.04</v>
      </c>
      <c r="I12" s="223">
        <f t="shared" si="1"/>
        <v>389.38840000000005</v>
      </c>
      <c r="J12" s="224">
        <f t="shared" si="2"/>
        <v>0.70289715872378322</v>
      </c>
      <c r="K12" s="224">
        <f t="shared" si="3"/>
        <v>0.64783148269473112</v>
      </c>
      <c r="L12" s="238">
        <v>4650</v>
      </c>
      <c r="M12" s="220">
        <v>23</v>
      </c>
      <c r="N12" s="227">
        <f t="shared" si="4"/>
        <v>4.9462365591397854E-3</v>
      </c>
      <c r="O12" s="223">
        <f t="shared" si="5"/>
        <v>140</v>
      </c>
      <c r="P12" s="238">
        <v>11442</v>
      </c>
      <c r="Q12" s="224">
        <f t="shared" si="6"/>
        <v>0.40037056458661074</v>
      </c>
      <c r="R12" s="234">
        <f t="shared" si="7"/>
        <v>11.323959816484734</v>
      </c>
      <c r="S12" s="238">
        <v>234923</v>
      </c>
      <c r="T12" s="156">
        <v>404544</v>
      </c>
      <c r="U12" s="236">
        <f t="shared" si="8"/>
        <v>2.8283697199810158E-2</v>
      </c>
    </row>
    <row r="14" spans="1:22" x14ac:dyDescent="0.25">
      <c r="F14" s="229"/>
      <c r="J14" s="224"/>
    </row>
    <row r="18" spans="8:17" x14ac:dyDescent="0.25">
      <c r="H18" s="259"/>
      <c r="Q18" s="218"/>
    </row>
    <row r="19" spans="8:17" x14ac:dyDescent="0.25">
      <c r="Q19" s="218"/>
    </row>
    <row r="20" spans="8:17" x14ac:dyDescent="0.25">
      <c r="J20" s="216"/>
    </row>
    <row r="21" spans="8:17" x14ac:dyDescent="0.25">
      <c r="J21" s="217"/>
    </row>
  </sheetData>
  <autoFilter ref="A1:V1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W95"/>
  <sheetViews>
    <sheetView workbookViewId="0">
      <pane ySplit="1" topLeftCell="A65" activePane="bottomLeft" state="frozen"/>
      <selection activeCell="D1" sqref="D1"/>
      <selection pane="bottomLeft" activeCell="C90" sqref="C90"/>
    </sheetView>
  </sheetViews>
  <sheetFormatPr defaultColWidth="11" defaultRowHeight="15.75" x14ac:dyDescent="0.25"/>
  <cols>
    <col min="1" max="2" width="11" customWidth="1"/>
    <col min="3" max="3" width="26.625" customWidth="1"/>
    <col min="4" max="4" width="64.625" bestFit="1" customWidth="1"/>
    <col min="5" max="5" width="11" customWidth="1"/>
    <col min="6" max="6" width="11" style="159" customWidth="1"/>
    <col min="14" max="14" width="11" style="219"/>
    <col min="18" max="18" width="11.625" bestFit="1" customWidth="1"/>
    <col min="19" max="19" width="11.625" customWidth="1"/>
    <col min="20" max="20" width="11.5" bestFit="1" customWidth="1"/>
    <col min="21" max="21" width="14" bestFit="1" customWidth="1"/>
    <col min="23" max="23" width="28.625" customWidth="1"/>
  </cols>
  <sheetData>
    <row r="1" spans="1:23" s="80" customFormat="1" x14ac:dyDescent="0.25">
      <c r="A1" s="151" t="s">
        <v>19</v>
      </c>
      <c r="B1" s="151" t="s">
        <v>20</v>
      </c>
      <c r="C1" s="151" t="s">
        <v>128</v>
      </c>
      <c r="D1" s="151" t="s">
        <v>132</v>
      </c>
      <c r="E1" s="151" t="s">
        <v>125</v>
      </c>
      <c r="F1" s="157" t="s">
        <v>126</v>
      </c>
      <c r="G1" s="151" t="s">
        <v>1</v>
      </c>
      <c r="H1" s="151" t="s">
        <v>119</v>
      </c>
      <c r="I1" s="151" t="s">
        <v>175</v>
      </c>
      <c r="J1" s="151" t="s">
        <v>176</v>
      </c>
      <c r="K1" s="151" t="s">
        <v>173</v>
      </c>
      <c r="L1" s="151" t="s">
        <v>174</v>
      </c>
      <c r="M1" s="151" t="s">
        <v>273</v>
      </c>
      <c r="N1" s="256" t="s">
        <v>5</v>
      </c>
      <c r="O1" s="151" t="s">
        <v>109</v>
      </c>
      <c r="P1" s="151" t="s">
        <v>6</v>
      </c>
      <c r="Q1" s="152" t="s">
        <v>7</v>
      </c>
      <c r="R1" s="152" t="s">
        <v>127</v>
      </c>
      <c r="S1" s="152" t="s">
        <v>181</v>
      </c>
      <c r="T1" s="152" t="s">
        <v>97</v>
      </c>
      <c r="U1" s="152" t="s">
        <v>25</v>
      </c>
      <c r="V1" s="153" t="s">
        <v>9</v>
      </c>
      <c r="W1" s="151" t="s">
        <v>26</v>
      </c>
    </row>
    <row r="2" spans="1:23" x14ac:dyDescent="0.25">
      <c r="A2" t="s">
        <v>17</v>
      </c>
      <c r="B2" t="s">
        <v>32</v>
      </c>
      <c r="C2" t="s">
        <v>131</v>
      </c>
      <c r="D2" t="s">
        <v>133</v>
      </c>
      <c r="E2" s="154">
        <v>42749</v>
      </c>
      <c r="F2" s="158">
        <v>42750</v>
      </c>
      <c r="G2" s="98">
        <v>88</v>
      </c>
      <c r="H2" s="98">
        <f>I2+J2</f>
        <v>500.185</v>
      </c>
      <c r="I2" s="98">
        <v>461</v>
      </c>
      <c r="J2" s="98">
        <f>I2*0.085</f>
        <v>39.185000000000002</v>
      </c>
      <c r="K2" s="155">
        <f>G2/I2</f>
        <v>0.19088937093275488</v>
      </c>
      <c r="L2" s="155">
        <f>G2/H2</f>
        <v>0.17593490408548837</v>
      </c>
      <c r="M2" s="156">
        <v>608</v>
      </c>
      <c r="N2">
        <v>1</v>
      </c>
      <c r="O2" s="85">
        <f>N2/M2</f>
        <v>1.6447368421052631E-3</v>
      </c>
      <c r="P2" s="98">
        <f>G2/N2</f>
        <v>88</v>
      </c>
      <c r="Q2" s="156">
        <v>1029</v>
      </c>
      <c r="R2" s="155">
        <f>I2/Q2</f>
        <v>0.4480077745383868</v>
      </c>
      <c r="S2" s="155">
        <f>(I2/U2)*1000</f>
        <v>0.38531490508381644</v>
      </c>
      <c r="T2" s="156">
        <v>309632</v>
      </c>
      <c r="U2" s="156">
        <v>1196424</v>
      </c>
      <c r="V2" s="85">
        <f>Q2/U2</f>
        <v>8.6006298770335604E-4</v>
      </c>
      <c r="W2" t="s">
        <v>142</v>
      </c>
    </row>
    <row r="3" spans="1:23" x14ac:dyDescent="0.25">
      <c r="A3" t="s">
        <v>17</v>
      </c>
      <c r="B3" t="s">
        <v>32</v>
      </c>
      <c r="C3" t="s">
        <v>131</v>
      </c>
      <c r="D3" t="s">
        <v>134</v>
      </c>
      <c r="E3" s="154">
        <v>42749</v>
      </c>
      <c r="F3" s="158">
        <v>42750</v>
      </c>
      <c r="G3" s="98">
        <v>80</v>
      </c>
      <c r="H3" s="98">
        <f t="shared" ref="H3:H66" si="0">I3+J3</f>
        <v>500.185</v>
      </c>
      <c r="I3" s="98">
        <v>461</v>
      </c>
      <c r="J3" s="98">
        <f t="shared" ref="J3:J66" si="1">I3*0.085</f>
        <v>39.185000000000002</v>
      </c>
      <c r="K3" s="155">
        <f t="shared" ref="K3:K27" si="2">G3/I3</f>
        <v>0.17353579175704989</v>
      </c>
      <c r="L3" s="155">
        <f t="shared" ref="L3:L66" si="3">G3/H3</f>
        <v>0.15994082189589851</v>
      </c>
      <c r="M3" s="156">
        <v>558</v>
      </c>
      <c r="N3">
        <v>1</v>
      </c>
      <c r="O3" s="85">
        <f t="shared" ref="O3:O39" si="4">N3/M3</f>
        <v>1.7921146953405018E-3</v>
      </c>
      <c r="P3" s="98">
        <f t="shared" ref="P3:P27" si="5">G3/N3</f>
        <v>80</v>
      </c>
      <c r="Q3" s="156">
        <v>814</v>
      </c>
      <c r="R3" s="155">
        <f t="shared" ref="R3:R66" si="6">I3/Q3</f>
        <v>0.56633906633906639</v>
      </c>
      <c r="S3" s="155">
        <f t="shared" ref="S3:S27" si="7">(I3/U3)*1000</f>
        <v>0.64761835190260719</v>
      </c>
      <c r="T3" s="156">
        <v>179552</v>
      </c>
      <c r="U3" s="156">
        <v>711839</v>
      </c>
      <c r="V3" s="85">
        <f t="shared" ref="V3:V24" si="8">Q3/U3</f>
        <v>1.1435170031425645E-3</v>
      </c>
      <c r="W3" t="s">
        <v>142</v>
      </c>
    </row>
    <row r="4" spans="1:23" x14ac:dyDescent="0.25">
      <c r="A4" t="s">
        <v>17</v>
      </c>
      <c r="B4" t="s">
        <v>32</v>
      </c>
      <c r="C4" t="s">
        <v>131</v>
      </c>
      <c r="D4" t="s">
        <v>135</v>
      </c>
      <c r="E4" s="154">
        <v>42749</v>
      </c>
      <c r="F4" s="158">
        <v>42750</v>
      </c>
      <c r="G4" s="98">
        <v>0</v>
      </c>
      <c r="H4" s="98">
        <f t="shared" si="0"/>
        <v>500.185</v>
      </c>
      <c r="I4" s="98">
        <v>461</v>
      </c>
      <c r="J4" s="98">
        <f t="shared" si="1"/>
        <v>39.185000000000002</v>
      </c>
      <c r="K4" s="155">
        <f t="shared" si="2"/>
        <v>0</v>
      </c>
      <c r="L4" s="155">
        <f t="shared" si="3"/>
        <v>0</v>
      </c>
      <c r="M4" s="156">
        <v>542</v>
      </c>
      <c r="N4" s="156">
        <v>0</v>
      </c>
      <c r="O4" s="85">
        <f t="shared" si="4"/>
        <v>0</v>
      </c>
      <c r="P4" s="98" t="e">
        <f t="shared" si="5"/>
        <v>#DIV/0!</v>
      </c>
      <c r="Q4" s="156">
        <v>1112</v>
      </c>
      <c r="R4" s="155">
        <f t="shared" si="6"/>
        <v>0.41456834532374098</v>
      </c>
      <c r="S4" s="155">
        <f t="shared" si="7"/>
        <v>0.24401320741334356</v>
      </c>
      <c r="T4" s="156">
        <v>546702</v>
      </c>
      <c r="U4" s="156">
        <v>1889242</v>
      </c>
      <c r="V4" s="85">
        <f t="shared" si="8"/>
        <v>5.8859584955236013E-4</v>
      </c>
      <c r="W4" t="s">
        <v>142</v>
      </c>
    </row>
    <row r="5" spans="1:23" x14ac:dyDescent="0.25">
      <c r="A5" t="s">
        <v>17</v>
      </c>
      <c r="B5" t="s">
        <v>32</v>
      </c>
      <c r="C5" t="s">
        <v>131</v>
      </c>
      <c r="D5" t="s">
        <v>136</v>
      </c>
      <c r="E5" s="154">
        <v>42749</v>
      </c>
      <c r="F5" s="158">
        <v>42750</v>
      </c>
      <c r="G5" s="98">
        <v>0</v>
      </c>
      <c r="H5" s="98">
        <f t="shared" si="0"/>
        <v>500.185</v>
      </c>
      <c r="I5" s="98">
        <v>461</v>
      </c>
      <c r="J5" s="98">
        <f t="shared" si="1"/>
        <v>39.185000000000002</v>
      </c>
      <c r="K5" s="155">
        <f t="shared" si="2"/>
        <v>0</v>
      </c>
      <c r="L5" s="155">
        <f t="shared" si="3"/>
        <v>0</v>
      </c>
      <c r="M5" s="156">
        <v>586</v>
      </c>
      <c r="N5" s="156">
        <v>0</v>
      </c>
      <c r="O5" s="85">
        <f>N5/M5</f>
        <v>0</v>
      </c>
      <c r="P5" s="98" t="e">
        <f t="shared" si="5"/>
        <v>#DIV/0!</v>
      </c>
      <c r="Q5" s="156">
        <v>798</v>
      </c>
      <c r="R5" s="155">
        <f t="shared" si="6"/>
        <v>0.57769423558897248</v>
      </c>
      <c r="S5" s="155">
        <f t="shared" si="7"/>
        <v>1.3376509572473987</v>
      </c>
      <c r="T5" s="156">
        <v>80496</v>
      </c>
      <c r="U5" s="156">
        <v>344634</v>
      </c>
      <c r="V5" s="85">
        <f t="shared" si="8"/>
        <v>2.3154999216560175E-3</v>
      </c>
      <c r="W5" t="s">
        <v>142</v>
      </c>
    </row>
    <row r="6" spans="1:23" x14ac:dyDescent="0.25">
      <c r="A6" t="s">
        <v>17</v>
      </c>
      <c r="B6" t="s">
        <v>32</v>
      </c>
      <c r="C6" t="s">
        <v>131</v>
      </c>
      <c r="D6" t="s">
        <v>137</v>
      </c>
      <c r="E6" s="154">
        <v>42749</v>
      </c>
      <c r="F6" s="158">
        <v>42750</v>
      </c>
      <c r="G6" s="98">
        <v>0</v>
      </c>
      <c r="H6" s="98">
        <f t="shared" si="0"/>
        <v>500.185</v>
      </c>
      <c r="I6" s="98">
        <v>461</v>
      </c>
      <c r="J6" s="98">
        <f t="shared" si="1"/>
        <v>39.185000000000002</v>
      </c>
      <c r="K6" s="155">
        <f t="shared" si="2"/>
        <v>0</v>
      </c>
      <c r="L6" s="155">
        <f t="shared" si="3"/>
        <v>0</v>
      </c>
      <c r="M6" s="156">
        <v>522</v>
      </c>
      <c r="N6" s="156">
        <v>0</v>
      </c>
      <c r="O6" s="85">
        <f t="shared" si="4"/>
        <v>0</v>
      </c>
      <c r="P6" s="98" t="e">
        <f t="shared" si="5"/>
        <v>#DIV/0!</v>
      </c>
      <c r="Q6" s="156">
        <v>785</v>
      </c>
      <c r="R6" s="155">
        <f t="shared" si="6"/>
        <v>0.58726114649681527</v>
      </c>
      <c r="S6" s="155">
        <f t="shared" si="7"/>
        <v>1.1100649905728754</v>
      </c>
      <c r="T6" s="156">
        <v>59856</v>
      </c>
      <c r="U6" s="156">
        <v>415291</v>
      </c>
      <c r="V6" s="85">
        <f t="shared" si="8"/>
        <v>1.890240819088302E-3</v>
      </c>
      <c r="W6" t="s">
        <v>142</v>
      </c>
    </row>
    <row r="7" spans="1:23" x14ac:dyDescent="0.25">
      <c r="A7" t="s">
        <v>17</v>
      </c>
      <c r="B7" t="s">
        <v>33</v>
      </c>
      <c r="C7" t="s">
        <v>129</v>
      </c>
      <c r="D7" t="s">
        <v>138</v>
      </c>
      <c r="E7" s="154">
        <v>42756</v>
      </c>
      <c r="F7" s="158">
        <v>42756</v>
      </c>
      <c r="G7" s="98">
        <v>74</v>
      </c>
      <c r="H7" s="98">
        <f t="shared" si="0"/>
        <v>246.29500000000002</v>
      </c>
      <c r="I7" s="98">
        <v>227</v>
      </c>
      <c r="J7" s="98">
        <f t="shared" si="1"/>
        <v>19.295000000000002</v>
      </c>
      <c r="K7" s="155">
        <f t="shared" si="2"/>
        <v>0.32599118942731276</v>
      </c>
      <c r="L7" s="155">
        <f t="shared" si="3"/>
        <v>0.30045270914959699</v>
      </c>
      <c r="M7" s="156">
        <v>40</v>
      </c>
      <c r="N7">
        <v>1</v>
      </c>
      <c r="O7" s="85">
        <f t="shared" si="4"/>
        <v>2.5000000000000001E-2</v>
      </c>
      <c r="P7" s="98">
        <f t="shared" si="5"/>
        <v>74</v>
      </c>
      <c r="Q7" s="156">
        <v>52</v>
      </c>
      <c r="R7" s="155">
        <f t="shared" si="6"/>
        <v>4.365384615384615</v>
      </c>
      <c r="S7" s="155">
        <f t="shared" si="7"/>
        <v>34.23831070889895</v>
      </c>
      <c r="T7" s="156">
        <v>3035</v>
      </c>
      <c r="U7" s="156">
        <v>6630</v>
      </c>
      <c r="V7" s="85">
        <f t="shared" si="8"/>
        <v>7.8431372549019607E-3</v>
      </c>
      <c r="W7" t="s">
        <v>130</v>
      </c>
    </row>
    <row r="8" spans="1:23" x14ac:dyDescent="0.25">
      <c r="A8" t="s">
        <v>17</v>
      </c>
      <c r="B8" t="s">
        <v>33</v>
      </c>
      <c r="C8" t="s">
        <v>129</v>
      </c>
      <c r="D8" t="s">
        <v>139</v>
      </c>
      <c r="E8" s="154">
        <v>42756</v>
      </c>
      <c r="F8" s="158">
        <v>42756</v>
      </c>
      <c r="G8" s="98">
        <v>0</v>
      </c>
      <c r="H8" s="98">
        <f t="shared" si="0"/>
        <v>1000.37</v>
      </c>
      <c r="I8" s="98">
        <v>922</v>
      </c>
      <c r="J8" s="98">
        <f t="shared" si="1"/>
        <v>78.37</v>
      </c>
      <c r="K8" s="155">
        <f t="shared" si="2"/>
        <v>0</v>
      </c>
      <c r="L8" s="155">
        <f t="shared" si="3"/>
        <v>0</v>
      </c>
      <c r="M8" s="156">
        <v>627</v>
      </c>
      <c r="N8" s="156">
        <v>0</v>
      </c>
      <c r="O8" s="85">
        <f t="shared" si="4"/>
        <v>0</v>
      </c>
      <c r="P8" s="98" t="e">
        <f t="shared" si="5"/>
        <v>#DIV/0!</v>
      </c>
      <c r="Q8" s="156">
        <v>779</v>
      </c>
      <c r="R8" s="155">
        <f t="shared" si="6"/>
        <v>1.1835686777920411</v>
      </c>
      <c r="S8" s="155">
        <f t="shared" si="7"/>
        <v>14.141538083990307</v>
      </c>
      <c r="T8" s="156">
        <v>46120</v>
      </c>
      <c r="U8" s="156">
        <v>65198</v>
      </c>
      <c r="V8" s="85">
        <f t="shared" si="8"/>
        <v>1.1948219270529772E-2</v>
      </c>
      <c r="W8" t="s">
        <v>130</v>
      </c>
    </row>
    <row r="9" spans="1:23" x14ac:dyDescent="0.25">
      <c r="A9" t="s">
        <v>17</v>
      </c>
      <c r="B9" t="s">
        <v>33</v>
      </c>
      <c r="C9" t="s">
        <v>129</v>
      </c>
      <c r="D9" t="s">
        <v>140</v>
      </c>
      <c r="E9" s="154">
        <v>42756</v>
      </c>
      <c r="F9" s="158">
        <v>42756</v>
      </c>
      <c r="G9" s="98">
        <v>120</v>
      </c>
      <c r="H9" s="98">
        <f t="shared" si="0"/>
        <v>998.2</v>
      </c>
      <c r="I9" s="98">
        <v>920</v>
      </c>
      <c r="J9" s="98">
        <f t="shared" si="1"/>
        <v>78.2</v>
      </c>
      <c r="K9" s="155">
        <f t="shared" si="2"/>
        <v>0.13043478260869565</v>
      </c>
      <c r="L9" s="155">
        <f t="shared" si="3"/>
        <v>0.12021638950110197</v>
      </c>
      <c r="M9" s="156">
        <v>363</v>
      </c>
      <c r="N9">
        <v>1</v>
      </c>
      <c r="O9" s="85">
        <f t="shared" si="4"/>
        <v>2.7548209366391185E-3</v>
      </c>
      <c r="P9" s="98">
        <f t="shared" si="5"/>
        <v>120</v>
      </c>
      <c r="Q9" s="156">
        <v>443</v>
      </c>
      <c r="R9" s="155">
        <f t="shared" si="6"/>
        <v>2.0767494356659144</v>
      </c>
      <c r="S9" s="155">
        <f t="shared" si="7"/>
        <v>22.527485981537257</v>
      </c>
      <c r="T9" s="156">
        <v>21244</v>
      </c>
      <c r="U9" s="156">
        <v>40839</v>
      </c>
      <c r="V9" s="85">
        <f t="shared" si="8"/>
        <v>1.084747422806631E-2</v>
      </c>
      <c r="W9" t="s">
        <v>130</v>
      </c>
    </row>
    <row r="10" spans="1:23" x14ac:dyDescent="0.25">
      <c r="A10" t="s">
        <v>17</v>
      </c>
      <c r="B10" t="s">
        <v>33</v>
      </c>
      <c r="C10" t="s">
        <v>129</v>
      </c>
      <c r="D10" t="s">
        <v>141</v>
      </c>
      <c r="E10" s="154">
        <v>42756</v>
      </c>
      <c r="F10" s="158">
        <v>42756</v>
      </c>
      <c r="G10" s="98">
        <v>252</v>
      </c>
      <c r="H10" s="98">
        <f t="shared" si="0"/>
        <v>999.28499999999997</v>
      </c>
      <c r="I10" s="98">
        <v>921</v>
      </c>
      <c r="J10" s="98">
        <f t="shared" si="1"/>
        <v>78.285000000000011</v>
      </c>
      <c r="K10" s="155">
        <f t="shared" si="2"/>
        <v>0.2736156351791531</v>
      </c>
      <c r="L10" s="155">
        <f t="shared" si="3"/>
        <v>0.25218030892087845</v>
      </c>
      <c r="M10" s="156">
        <v>833</v>
      </c>
      <c r="N10">
        <v>1</v>
      </c>
      <c r="O10" s="85">
        <f t="shared" si="4"/>
        <v>1.2004801920768306E-3</v>
      </c>
      <c r="P10" s="98">
        <f t="shared" si="5"/>
        <v>252</v>
      </c>
      <c r="Q10" s="156">
        <v>1035</v>
      </c>
      <c r="R10" s="155">
        <f t="shared" si="6"/>
        <v>0.88985507246376816</v>
      </c>
      <c r="S10" s="155">
        <f t="shared" si="7"/>
        <v>22.551972379343276</v>
      </c>
      <c r="T10" s="156">
        <v>76511</v>
      </c>
      <c r="U10" s="156">
        <v>40839</v>
      </c>
      <c r="V10" s="85">
        <f t="shared" si="8"/>
        <v>2.5343421729229414E-2</v>
      </c>
      <c r="W10" t="s">
        <v>130</v>
      </c>
    </row>
    <row r="11" spans="1:23" x14ac:dyDescent="0.25">
      <c r="A11" t="s">
        <v>17</v>
      </c>
      <c r="B11" t="s">
        <v>33</v>
      </c>
      <c r="C11" t="s">
        <v>129</v>
      </c>
      <c r="D11" t="s">
        <v>137</v>
      </c>
      <c r="E11" s="154">
        <v>42756</v>
      </c>
      <c r="F11" s="158">
        <v>42756</v>
      </c>
      <c r="G11" s="98">
        <v>123</v>
      </c>
      <c r="H11" s="98">
        <f t="shared" si="0"/>
        <v>1000.37</v>
      </c>
      <c r="I11" s="98">
        <v>922</v>
      </c>
      <c r="J11" s="98">
        <f t="shared" si="1"/>
        <v>78.37</v>
      </c>
      <c r="K11" s="155">
        <f t="shared" si="2"/>
        <v>0.13340563991323209</v>
      </c>
      <c r="L11" s="155">
        <f t="shared" si="3"/>
        <v>0.12295450683247199</v>
      </c>
      <c r="M11" s="156">
        <v>1958</v>
      </c>
      <c r="N11">
        <v>2</v>
      </c>
      <c r="O11" s="85">
        <f t="shared" si="4"/>
        <v>1.0214504596527069E-3</v>
      </c>
      <c r="P11" s="98">
        <f t="shared" si="5"/>
        <v>61.5</v>
      </c>
      <c r="Q11" s="156">
        <v>2199</v>
      </c>
      <c r="R11" s="155">
        <f t="shared" si="6"/>
        <v>0.41928149158708505</v>
      </c>
      <c r="S11" s="155">
        <f t="shared" si="7"/>
        <v>10.840299577910244</v>
      </c>
      <c r="T11" s="156">
        <v>49344</v>
      </c>
      <c r="U11" s="156">
        <v>85053</v>
      </c>
      <c r="V11" s="85">
        <f t="shared" si="8"/>
        <v>2.5854467214560334E-2</v>
      </c>
      <c r="W11" t="s">
        <v>130</v>
      </c>
    </row>
    <row r="12" spans="1:23" x14ac:dyDescent="0.25">
      <c r="A12" t="s">
        <v>38</v>
      </c>
      <c r="B12" t="s">
        <v>37</v>
      </c>
      <c r="C12" t="s">
        <v>171</v>
      </c>
      <c r="D12" t="s">
        <v>133</v>
      </c>
      <c r="E12" s="154">
        <v>42790</v>
      </c>
      <c r="F12" s="158">
        <v>42804</v>
      </c>
      <c r="G12" s="98">
        <v>80</v>
      </c>
      <c r="H12" s="98">
        <f t="shared" si="0"/>
        <v>5663.7</v>
      </c>
      <c r="I12" s="98">
        <v>5220</v>
      </c>
      <c r="J12" s="98">
        <f t="shared" si="1"/>
        <v>443.70000000000005</v>
      </c>
      <c r="K12" s="155">
        <f t="shared" si="2"/>
        <v>1.532567049808429E-2</v>
      </c>
      <c r="L12" s="155">
        <f t="shared" si="3"/>
        <v>1.4125041933718241E-2</v>
      </c>
      <c r="M12" s="156">
        <v>2950</v>
      </c>
      <c r="N12">
        <v>1</v>
      </c>
      <c r="O12" s="85">
        <f t="shared" si="4"/>
        <v>3.3898305084745765E-4</v>
      </c>
      <c r="P12" s="98">
        <f t="shared" si="5"/>
        <v>80</v>
      </c>
      <c r="Q12" s="156">
        <v>8118</v>
      </c>
      <c r="R12" s="155">
        <f t="shared" si="6"/>
        <v>0.6430155210643016</v>
      </c>
      <c r="S12" s="155">
        <f t="shared" si="7"/>
        <v>2.9187072922392021</v>
      </c>
      <c r="T12" s="156">
        <v>563782</v>
      </c>
      <c r="U12" s="156">
        <v>1788463</v>
      </c>
      <c r="V12" s="85">
        <f t="shared" si="8"/>
        <v>4.5390930648271724E-3</v>
      </c>
      <c r="W12" t="s">
        <v>172</v>
      </c>
    </row>
    <row r="13" spans="1:23" x14ac:dyDescent="0.25">
      <c r="A13" t="s">
        <v>38</v>
      </c>
      <c r="B13" t="s">
        <v>37</v>
      </c>
      <c r="C13" t="s">
        <v>171</v>
      </c>
      <c r="D13" t="s">
        <v>135</v>
      </c>
      <c r="E13" s="154">
        <v>42790</v>
      </c>
      <c r="F13" s="158">
        <v>42804</v>
      </c>
      <c r="G13" s="98">
        <v>185</v>
      </c>
      <c r="H13" s="98">
        <f t="shared" si="0"/>
        <v>5661.0851499999999</v>
      </c>
      <c r="I13" s="98">
        <v>5217.59</v>
      </c>
      <c r="J13" s="98">
        <f t="shared" si="1"/>
        <v>443.49515000000002</v>
      </c>
      <c r="K13" s="155">
        <f t="shared" si="2"/>
        <v>3.5456983013230248E-2</v>
      </c>
      <c r="L13" s="155">
        <f t="shared" si="3"/>
        <v>3.2679247016802068E-2</v>
      </c>
      <c r="M13" s="156">
        <v>2247</v>
      </c>
      <c r="N13">
        <v>2</v>
      </c>
      <c r="O13" s="85">
        <f t="shared" si="4"/>
        <v>8.9007565643079659E-4</v>
      </c>
      <c r="P13" s="98">
        <f t="shared" si="5"/>
        <v>92.5</v>
      </c>
      <c r="Q13" s="156">
        <v>6038</v>
      </c>
      <c r="R13" s="155">
        <f t="shared" si="6"/>
        <v>0.86412553825770122</v>
      </c>
      <c r="S13" s="155">
        <f t="shared" si="7"/>
        <v>2.0937351148735495</v>
      </c>
      <c r="T13" s="156">
        <v>819745</v>
      </c>
      <c r="U13" s="156">
        <v>2492001</v>
      </c>
      <c r="V13" s="85">
        <f t="shared" si="8"/>
        <v>2.4229524787510118E-3</v>
      </c>
      <c r="W13" t="s">
        <v>172</v>
      </c>
    </row>
    <row r="14" spans="1:23" x14ac:dyDescent="0.25">
      <c r="A14" t="s">
        <v>38</v>
      </c>
      <c r="B14" t="s">
        <v>37</v>
      </c>
      <c r="C14" t="s">
        <v>171</v>
      </c>
      <c r="D14" t="s">
        <v>177</v>
      </c>
      <c r="E14" s="154">
        <v>42790</v>
      </c>
      <c r="F14" s="158">
        <v>42804</v>
      </c>
      <c r="G14" s="98">
        <v>0</v>
      </c>
      <c r="H14" s="98">
        <f t="shared" si="0"/>
        <v>5662.8971000000001</v>
      </c>
      <c r="I14" s="98">
        <v>5219.26</v>
      </c>
      <c r="J14" s="98">
        <f t="shared" si="1"/>
        <v>443.63710000000003</v>
      </c>
      <c r="K14" s="155">
        <f t="shared" si="2"/>
        <v>0</v>
      </c>
      <c r="L14" s="155">
        <f t="shared" si="3"/>
        <v>0</v>
      </c>
      <c r="M14" s="156">
        <v>2907</v>
      </c>
      <c r="N14" s="156">
        <v>0</v>
      </c>
      <c r="O14" s="85">
        <f t="shared" si="4"/>
        <v>0</v>
      </c>
      <c r="P14" s="98" t="e">
        <f t="shared" si="5"/>
        <v>#DIV/0!</v>
      </c>
      <c r="Q14" s="156">
        <v>5749</v>
      </c>
      <c r="R14" s="155">
        <f t="shared" si="6"/>
        <v>0.90785527917898767</v>
      </c>
      <c r="S14" s="155">
        <f t="shared" si="7"/>
        <v>5.6615640281339363</v>
      </c>
      <c r="T14" s="156">
        <v>422274</v>
      </c>
      <c r="U14" s="156">
        <v>921876</v>
      </c>
      <c r="V14" s="85">
        <f t="shared" si="8"/>
        <v>6.2361966251426437E-3</v>
      </c>
      <c r="W14" t="s">
        <v>172</v>
      </c>
    </row>
    <row r="15" spans="1:23" x14ac:dyDescent="0.25">
      <c r="A15" t="s">
        <v>38</v>
      </c>
      <c r="B15" t="s">
        <v>37</v>
      </c>
      <c r="C15" t="s">
        <v>171</v>
      </c>
      <c r="D15" t="s">
        <v>178</v>
      </c>
      <c r="E15" s="154">
        <v>42790</v>
      </c>
      <c r="F15" s="158">
        <v>42804</v>
      </c>
      <c r="G15" s="98">
        <v>0</v>
      </c>
      <c r="H15" s="98">
        <f t="shared" si="0"/>
        <v>5661.1176999999998</v>
      </c>
      <c r="I15" s="98">
        <v>5217.62</v>
      </c>
      <c r="J15" s="98">
        <f t="shared" si="1"/>
        <v>443.49770000000001</v>
      </c>
      <c r="K15" s="155">
        <f t="shared" si="2"/>
        <v>0</v>
      </c>
      <c r="L15" s="155">
        <f t="shared" si="3"/>
        <v>0</v>
      </c>
      <c r="M15" s="156">
        <v>1792</v>
      </c>
      <c r="N15" s="156">
        <v>0</v>
      </c>
      <c r="O15" s="85">
        <f t="shared" si="4"/>
        <v>0</v>
      </c>
      <c r="P15" s="98" t="e">
        <f t="shared" si="5"/>
        <v>#DIV/0!</v>
      </c>
      <c r="Q15" s="156">
        <v>5412</v>
      </c>
      <c r="R15" s="155">
        <f t="shared" si="6"/>
        <v>0.96408351810790838</v>
      </c>
      <c r="S15" s="155">
        <f t="shared" si="7"/>
        <v>3.8398847214740108</v>
      </c>
      <c r="T15" s="156">
        <v>539934</v>
      </c>
      <c r="U15" s="156">
        <v>1358796</v>
      </c>
      <c r="V15" s="85">
        <f t="shared" si="8"/>
        <v>3.9829378361431736E-3</v>
      </c>
      <c r="W15" t="s">
        <v>172</v>
      </c>
    </row>
    <row r="16" spans="1:23" x14ac:dyDescent="0.25">
      <c r="A16" t="s">
        <v>38</v>
      </c>
      <c r="B16" t="s">
        <v>37</v>
      </c>
      <c r="C16" t="s">
        <v>171</v>
      </c>
      <c r="D16" t="s">
        <v>179</v>
      </c>
      <c r="E16" s="154">
        <v>42790</v>
      </c>
      <c r="F16" s="158">
        <v>42804</v>
      </c>
      <c r="G16" s="98">
        <v>0</v>
      </c>
      <c r="H16" s="98">
        <f t="shared" si="0"/>
        <v>2169.1211499999999</v>
      </c>
      <c r="I16" s="98">
        <v>1999.19</v>
      </c>
      <c r="J16" s="98">
        <f t="shared" si="1"/>
        <v>169.93115000000003</v>
      </c>
      <c r="K16" s="155">
        <f t="shared" si="2"/>
        <v>0</v>
      </c>
      <c r="L16" s="155">
        <f t="shared" si="3"/>
        <v>0</v>
      </c>
      <c r="M16" s="156">
        <v>493</v>
      </c>
      <c r="N16" s="156">
        <v>0</v>
      </c>
      <c r="O16" s="85">
        <f t="shared" si="4"/>
        <v>0</v>
      </c>
      <c r="P16" s="98" t="e">
        <f t="shared" si="5"/>
        <v>#DIV/0!</v>
      </c>
      <c r="Q16" s="156">
        <v>1780</v>
      </c>
      <c r="R16" s="155">
        <f t="shared" si="6"/>
        <v>1.1231404494382022</v>
      </c>
      <c r="S16" s="155">
        <f t="shared" si="7"/>
        <v>3.8985080215050831</v>
      </c>
      <c r="T16" s="156">
        <v>240320</v>
      </c>
      <c r="U16" s="156">
        <v>512809</v>
      </c>
      <c r="V16" s="85">
        <f t="shared" si="8"/>
        <v>3.471077925699432E-3</v>
      </c>
      <c r="W16" t="s">
        <v>180</v>
      </c>
    </row>
    <row r="17" spans="1:23" x14ac:dyDescent="0.25">
      <c r="A17" t="s">
        <v>43</v>
      </c>
      <c r="B17" t="s">
        <v>45</v>
      </c>
      <c r="C17" t="s">
        <v>187</v>
      </c>
      <c r="D17" t="s">
        <v>133</v>
      </c>
      <c r="E17" s="154">
        <v>42826</v>
      </c>
      <c r="F17" s="158">
        <v>42832</v>
      </c>
      <c r="G17" s="98">
        <v>0</v>
      </c>
      <c r="H17" s="98">
        <f t="shared" si="0"/>
        <v>937.20129999999995</v>
      </c>
      <c r="I17" s="98">
        <v>863.78</v>
      </c>
      <c r="J17" s="98">
        <f t="shared" si="1"/>
        <v>73.421300000000002</v>
      </c>
      <c r="K17" s="155">
        <f t="shared" si="2"/>
        <v>0</v>
      </c>
      <c r="L17" s="155">
        <f t="shared" si="3"/>
        <v>0</v>
      </c>
      <c r="M17" s="156">
        <v>0</v>
      </c>
      <c r="N17" s="156">
        <v>0</v>
      </c>
      <c r="O17" s="85" t="e">
        <f t="shared" si="4"/>
        <v>#DIV/0!</v>
      </c>
      <c r="P17" s="98" t="e">
        <f t="shared" si="5"/>
        <v>#DIV/0!</v>
      </c>
      <c r="Q17" s="156">
        <v>1340</v>
      </c>
      <c r="R17" s="155">
        <f t="shared" si="6"/>
        <v>0.64461194029850744</v>
      </c>
      <c r="S17" s="155">
        <f t="shared" si="7"/>
        <v>3.8039749331712707</v>
      </c>
      <c r="T17" s="156">
        <v>139681</v>
      </c>
      <c r="U17" s="156">
        <v>227073</v>
      </c>
      <c r="V17" s="85">
        <f t="shared" si="8"/>
        <v>5.9011859622236018E-3</v>
      </c>
      <c r="W17" t="s">
        <v>188</v>
      </c>
    </row>
    <row r="18" spans="1:23" x14ac:dyDescent="0.25">
      <c r="A18" t="s">
        <v>43</v>
      </c>
      <c r="B18" t="s">
        <v>45</v>
      </c>
      <c r="C18" t="s">
        <v>187</v>
      </c>
      <c r="D18" t="s">
        <v>135</v>
      </c>
      <c r="E18" s="154">
        <v>42826</v>
      </c>
      <c r="F18" s="158">
        <v>42832</v>
      </c>
      <c r="G18" s="98">
        <v>0</v>
      </c>
      <c r="H18" s="98">
        <f t="shared" si="0"/>
        <v>944.40570000000002</v>
      </c>
      <c r="I18" s="98">
        <v>870.42</v>
      </c>
      <c r="J18" s="98">
        <f t="shared" si="1"/>
        <v>73.985700000000008</v>
      </c>
      <c r="K18" s="155">
        <f t="shared" si="2"/>
        <v>0</v>
      </c>
      <c r="L18" s="155">
        <f t="shared" si="3"/>
        <v>0</v>
      </c>
      <c r="M18" s="156">
        <v>0</v>
      </c>
      <c r="N18" s="156">
        <v>0</v>
      </c>
      <c r="O18" s="85" t="e">
        <f t="shared" si="4"/>
        <v>#DIV/0!</v>
      </c>
      <c r="P18" s="98" t="e">
        <f t="shared" si="5"/>
        <v>#DIV/0!</v>
      </c>
      <c r="Q18" s="156">
        <v>1245</v>
      </c>
      <c r="R18" s="155">
        <f t="shared" si="6"/>
        <v>0.69913253012048193</v>
      </c>
      <c r="S18" s="155">
        <f t="shared" si="7"/>
        <v>3.5852359553338631</v>
      </c>
      <c r="T18" s="156">
        <v>163653</v>
      </c>
      <c r="U18" s="156">
        <v>242779</v>
      </c>
      <c r="V18" s="85">
        <f t="shared" si="8"/>
        <v>5.1281206364636152E-3</v>
      </c>
      <c r="W18" t="s">
        <v>188</v>
      </c>
    </row>
    <row r="19" spans="1:23" x14ac:dyDescent="0.25">
      <c r="A19" t="s">
        <v>43</v>
      </c>
      <c r="B19" t="s">
        <v>45</v>
      </c>
      <c r="C19" t="s">
        <v>187</v>
      </c>
      <c r="D19" t="s">
        <v>189</v>
      </c>
      <c r="E19" s="154">
        <v>42826</v>
      </c>
      <c r="F19" s="158">
        <v>42832</v>
      </c>
      <c r="G19" s="98">
        <v>0</v>
      </c>
      <c r="H19" s="98">
        <f t="shared" si="0"/>
        <v>922.64060000000006</v>
      </c>
      <c r="I19" s="98">
        <v>850.36</v>
      </c>
      <c r="J19" s="98">
        <f t="shared" si="1"/>
        <v>72.280600000000007</v>
      </c>
      <c r="K19" s="155">
        <f t="shared" si="2"/>
        <v>0</v>
      </c>
      <c r="L19" s="155">
        <f t="shared" si="3"/>
        <v>0</v>
      </c>
      <c r="M19" s="156">
        <v>0</v>
      </c>
      <c r="N19" s="156">
        <v>0</v>
      </c>
      <c r="O19" s="85" t="e">
        <f t="shared" si="4"/>
        <v>#DIV/0!</v>
      </c>
      <c r="P19" s="98" t="e">
        <f t="shared" si="5"/>
        <v>#DIV/0!</v>
      </c>
      <c r="Q19" s="156">
        <v>1116</v>
      </c>
      <c r="R19" s="155">
        <f t="shared" si="6"/>
        <v>0.76197132616487462</v>
      </c>
      <c r="S19" s="155">
        <f t="shared" si="7"/>
        <v>5.5916043083154694</v>
      </c>
      <c r="T19" s="156">
        <v>91988</v>
      </c>
      <c r="U19" s="156">
        <v>152078</v>
      </c>
      <c r="V19" s="85">
        <f t="shared" si="8"/>
        <v>7.3383395362905876E-3</v>
      </c>
      <c r="W19" t="s">
        <v>188</v>
      </c>
    </row>
    <row r="20" spans="1:23" x14ac:dyDescent="0.25">
      <c r="A20" t="s">
        <v>43</v>
      </c>
      <c r="B20" t="s">
        <v>45</v>
      </c>
      <c r="C20" t="s">
        <v>187</v>
      </c>
      <c r="D20" t="s">
        <v>190</v>
      </c>
      <c r="E20" s="154">
        <v>42826</v>
      </c>
      <c r="F20" s="158">
        <v>42832</v>
      </c>
      <c r="G20" s="98">
        <v>0</v>
      </c>
      <c r="H20" s="98">
        <f t="shared" si="0"/>
        <v>949.19055000000003</v>
      </c>
      <c r="I20" s="98">
        <v>874.83</v>
      </c>
      <c r="J20" s="98">
        <f t="shared" si="1"/>
        <v>74.360550000000003</v>
      </c>
      <c r="K20" s="155">
        <f t="shared" si="2"/>
        <v>0</v>
      </c>
      <c r="L20" s="155">
        <f t="shared" si="3"/>
        <v>0</v>
      </c>
      <c r="M20" s="156">
        <v>0</v>
      </c>
      <c r="N20" s="156">
        <v>0</v>
      </c>
      <c r="O20" s="85" t="e">
        <f t="shared" si="4"/>
        <v>#DIV/0!</v>
      </c>
      <c r="P20" s="98" t="e">
        <f t="shared" si="5"/>
        <v>#DIV/0!</v>
      </c>
      <c r="Q20" s="156">
        <v>1991</v>
      </c>
      <c r="R20" s="155">
        <f t="shared" si="6"/>
        <v>0.43939226519337021</v>
      </c>
      <c r="S20" s="155">
        <f t="shared" si="7"/>
        <v>6.9136846431055199</v>
      </c>
      <c r="T20" s="156">
        <v>67035</v>
      </c>
      <c r="U20" s="156">
        <v>126536</v>
      </c>
      <c r="V20" s="85">
        <f t="shared" si="8"/>
        <v>1.5734652588986535E-2</v>
      </c>
      <c r="W20" t="s">
        <v>188</v>
      </c>
    </row>
    <row r="21" spans="1:23" x14ac:dyDescent="0.25">
      <c r="A21" t="s">
        <v>43</v>
      </c>
      <c r="B21" t="s">
        <v>45</v>
      </c>
      <c r="C21" t="s">
        <v>187</v>
      </c>
      <c r="D21" t="s">
        <v>179</v>
      </c>
      <c r="E21" s="154">
        <v>42826</v>
      </c>
      <c r="F21" s="158">
        <v>42832</v>
      </c>
      <c r="G21" s="98">
        <v>0</v>
      </c>
      <c r="H21" s="98">
        <f t="shared" si="0"/>
        <v>949.71134999999992</v>
      </c>
      <c r="I21" s="98">
        <v>875.31</v>
      </c>
      <c r="J21" s="98">
        <f t="shared" si="1"/>
        <v>74.401349999999994</v>
      </c>
      <c r="K21" s="155">
        <f t="shared" si="2"/>
        <v>0</v>
      </c>
      <c r="L21" s="155">
        <f t="shared" si="3"/>
        <v>0</v>
      </c>
      <c r="M21" s="156">
        <v>0</v>
      </c>
      <c r="N21" s="156">
        <v>0</v>
      </c>
      <c r="O21" s="85" t="e">
        <f t="shared" si="4"/>
        <v>#DIV/0!</v>
      </c>
      <c r="P21" s="98" t="e">
        <f t="shared" si="5"/>
        <v>#DIV/0!</v>
      </c>
      <c r="Q21" s="156">
        <v>993</v>
      </c>
      <c r="R21" s="155">
        <f t="shared" si="6"/>
        <v>0.88148036253776429</v>
      </c>
      <c r="S21" s="155">
        <f t="shared" si="7"/>
        <v>5.6993006993006992</v>
      </c>
      <c r="T21" s="156">
        <v>90918</v>
      </c>
      <c r="U21" s="156">
        <v>153582</v>
      </c>
      <c r="V21" s="85">
        <f t="shared" si="8"/>
        <v>6.4656014376684766E-3</v>
      </c>
      <c r="W21" t="s">
        <v>188</v>
      </c>
    </row>
    <row r="22" spans="1:23" x14ac:dyDescent="0.25">
      <c r="A22" t="s">
        <v>48</v>
      </c>
      <c r="B22" t="s">
        <v>49</v>
      </c>
      <c r="C22" s="220" t="s">
        <v>244</v>
      </c>
      <c r="D22" t="s">
        <v>194</v>
      </c>
      <c r="E22" s="154">
        <v>42854</v>
      </c>
      <c r="F22" s="158">
        <v>42855</v>
      </c>
      <c r="G22" s="98">
        <v>227</v>
      </c>
      <c r="H22" s="98">
        <f t="shared" si="0"/>
        <v>1000.0011</v>
      </c>
      <c r="I22" s="98">
        <v>921.66</v>
      </c>
      <c r="J22" s="98">
        <f t="shared" si="1"/>
        <v>78.341099999999997</v>
      </c>
      <c r="K22" s="155">
        <f t="shared" si="2"/>
        <v>0.24629472907579802</v>
      </c>
      <c r="L22" s="155">
        <f t="shared" si="3"/>
        <v>0.22699975030027469</v>
      </c>
      <c r="M22" s="156">
        <v>1698</v>
      </c>
      <c r="N22">
        <v>2</v>
      </c>
      <c r="O22" s="85">
        <f t="shared" si="4"/>
        <v>1.1778563015312131E-3</v>
      </c>
      <c r="P22" s="98">
        <f t="shared" si="5"/>
        <v>113.5</v>
      </c>
      <c r="Q22" s="156">
        <v>1844</v>
      </c>
      <c r="R22" s="155">
        <f t="shared" si="6"/>
        <v>0.49981561822125814</v>
      </c>
      <c r="S22" s="155">
        <f t="shared" si="7"/>
        <v>9.5498912029841456</v>
      </c>
      <c r="T22" s="156">
        <v>60436</v>
      </c>
      <c r="U22" s="156">
        <v>96510</v>
      </c>
      <c r="V22" s="85">
        <f t="shared" si="8"/>
        <v>1.9106828307947361E-2</v>
      </c>
      <c r="W22" s="214" t="s">
        <v>211</v>
      </c>
    </row>
    <row r="23" spans="1:23" x14ac:dyDescent="0.25">
      <c r="A23" t="s">
        <v>48</v>
      </c>
      <c r="B23" t="s">
        <v>49</v>
      </c>
      <c r="C23" s="220" t="s">
        <v>244</v>
      </c>
      <c r="D23" t="s">
        <v>195</v>
      </c>
      <c r="E23" s="154">
        <v>42854</v>
      </c>
      <c r="F23" s="158">
        <v>42855</v>
      </c>
      <c r="G23" s="98">
        <v>91</v>
      </c>
      <c r="H23" s="98">
        <f t="shared" si="0"/>
        <v>1000.0011</v>
      </c>
      <c r="I23" s="98">
        <v>921.66</v>
      </c>
      <c r="J23" s="98">
        <f t="shared" si="1"/>
        <v>78.341099999999997</v>
      </c>
      <c r="K23" s="155">
        <f t="shared" si="2"/>
        <v>9.8734891391619478E-2</v>
      </c>
      <c r="L23" s="155">
        <f t="shared" si="3"/>
        <v>9.0999899900110121E-2</v>
      </c>
      <c r="M23" s="156">
        <v>1973</v>
      </c>
      <c r="N23">
        <v>1</v>
      </c>
      <c r="O23" s="85">
        <f t="shared" si="4"/>
        <v>5.0684237202230106E-4</v>
      </c>
      <c r="P23" s="98">
        <f t="shared" si="5"/>
        <v>91</v>
      </c>
      <c r="Q23" s="156">
        <v>2228</v>
      </c>
      <c r="R23" s="155">
        <f t="shared" si="6"/>
        <v>0.41367145421903051</v>
      </c>
      <c r="S23" s="155">
        <f t="shared" si="7"/>
        <v>8.2764751838647967</v>
      </c>
      <c r="T23" s="210">
        <v>83351</v>
      </c>
      <c r="U23" s="156">
        <v>111359</v>
      </c>
      <c r="V23" s="85">
        <f t="shared" si="8"/>
        <v>2.0007363571871155E-2</v>
      </c>
      <c r="W23" s="214" t="s">
        <v>211</v>
      </c>
    </row>
    <row r="24" spans="1:23" x14ac:dyDescent="0.25">
      <c r="A24" t="s">
        <v>48</v>
      </c>
      <c r="B24" t="s">
        <v>49</v>
      </c>
      <c r="C24" s="220" t="s">
        <v>244</v>
      </c>
      <c r="D24" t="s">
        <v>196</v>
      </c>
      <c r="E24" s="154">
        <v>42854</v>
      </c>
      <c r="F24" s="158">
        <v>42855</v>
      </c>
      <c r="G24" s="98">
        <v>50</v>
      </c>
      <c r="H24" s="98">
        <f t="shared" si="0"/>
        <v>1000.0011</v>
      </c>
      <c r="I24" s="98">
        <v>921.66</v>
      </c>
      <c r="J24" s="98">
        <f t="shared" si="1"/>
        <v>78.341099999999997</v>
      </c>
      <c r="K24" s="155">
        <f t="shared" si="2"/>
        <v>5.4249940325065645E-2</v>
      </c>
      <c r="L24" s="155">
        <f t="shared" si="3"/>
        <v>4.9999945000060504E-2</v>
      </c>
      <c r="M24" s="156">
        <v>683</v>
      </c>
      <c r="N24">
        <v>1</v>
      </c>
      <c r="O24" s="85">
        <f t="shared" si="4"/>
        <v>1.4641288433382138E-3</v>
      </c>
      <c r="P24" s="98">
        <f t="shared" si="5"/>
        <v>50</v>
      </c>
      <c r="Q24" s="156">
        <v>879</v>
      </c>
      <c r="R24" s="155">
        <f t="shared" si="6"/>
        <v>1.0485324232081912</v>
      </c>
      <c r="S24" s="155">
        <f t="shared" si="7"/>
        <v>8.5409272456005407</v>
      </c>
      <c r="T24" s="156">
        <v>70021</v>
      </c>
      <c r="U24" s="156">
        <v>107911</v>
      </c>
      <c r="V24" s="85">
        <f t="shared" si="8"/>
        <v>8.145601467876306E-3</v>
      </c>
      <c r="W24" s="214" t="s">
        <v>211</v>
      </c>
    </row>
    <row r="25" spans="1:23" x14ac:dyDescent="0.25">
      <c r="A25" t="s">
        <v>48</v>
      </c>
      <c r="B25" t="s">
        <v>49</v>
      </c>
      <c r="C25" s="220" t="s">
        <v>244</v>
      </c>
      <c r="D25" t="s">
        <v>197</v>
      </c>
      <c r="E25" s="154">
        <v>42854</v>
      </c>
      <c r="F25" s="158">
        <v>42855</v>
      </c>
      <c r="G25" s="98">
        <v>843</v>
      </c>
      <c r="H25" s="98">
        <f t="shared" si="0"/>
        <v>999.69730000000004</v>
      </c>
      <c r="I25" s="98">
        <v>921.38</v>
      </c>
      <c r="J25" s="98">
        <f t="shared" si="1"/>
        <v>78.317300000000003</v>
      </c>
      <c r="K25" s="155">
        <f t="shared" si="2"/>
        <v>0.91493194990123505</v>
      </c>
      <c r="L25" s="155">
        <f t="shared" si="3"/>
        <v>0.84325525336519358</v>
      </c>
      <c r="M25" s="156">
        <v>1423</v>
      </c>
      <c r="N25">
        <v>5</v>
      </c>
      <c r="O25" s="85">
        <f t="shared" si="4"/>
        <v>3.5137034434293743E-3</v>
      </c>
      <c r="P25" s="98">
        <f t="shared" si="5"/>
        <v>168.6</v>
      </c>
      <c r="Q25" s="156">
        <v>1544</v>
      </c>
      <c r="R25" s="155">
        <f t="shared" si="6"/>
        <v>0.59674870466321239</v>
      </c>
      <c r="S25" s="155">
        <f t="shared" si="7"/>
        <v>10.767432891984434</v>
      </c>
      <c r="T25" s="156">
        <v>45881</v>
      </c>
      <c r="U25" s="156">
        <v>85571</v>
      </c>
      <c r="V25" s="85">
        <f t="shared" ref="V25:V92" si="9">Q25/U25</f>
        <v>1.8043496044220588E-2</v>
      </c>
      <c r="W25" s="214" t="s">
        <v>211</v>
      </c>
    </row>
    <row r="26" spans="1:23" x14ac:dyDescent="0.25">
      <c r="A26" t="s">
        <v>48</v>
      </c>
      <c r="B26" t="s">
        <v>198</v>
      </c>
      <c r="C26" s="220" t="s">
        <v>244</v>
      </c>
      <c r="D26" t="s">
        <v>199</v>
      </c>
      <c r="E26" s="154">
        <v>42854</v>
      </c>
      <c r="F26" s="158">
        <v>42855</v>
      </c>
      <c r="G26" s="98">
        <v>1348</v>
      </c>
      <c r="H26" s="98">
        <f t="shared" si="0"/>
        <v>998.65570000000002</v>
      </c>
      <c r="I26" s="98">
        <v>920.42</v>
      </c>
      <c r="J26" s="98">
        <f t="shared" si="1"/>
        <v>78.235700000000008</v>
      </c>
      <c r="K26" s="155">
        <f t="shared" si="2"/>
        <v>1.4645487929423524</v>
      </c>
      <c r="L26" s="155">
        <f t="shared" si="3"/>
        <v>1.3498145557072372</v>
      </c>
      <c r="M26" s="156">
        <v>749</v>
      </c>
      <c r="N26">
        <v>8</v>
      </c>
      <c r="O26" s="85">
        <f t="shared" si="4"/>
        <v>1.0680907877169559E-2</v>
      </c>
      <c r="P26" s="98">
        <f t="shared" si="5"/>
        <v>168.5</v>
      </c>
      <c r="Q26" s="156">
        <v>853</v>
      </c>
      <c r="R26" s="155">
        <f t="shared" si="6"/>
        <v>1.0790386869871043</v>
      </c>
      <c r="S26" s="155">
        <f t="shared" si="7"/>
        <v>19.002023204921755</v>
      </c>
      <c r="T26" s="156">
        <v>853</v>
      </c>
      <c r="U26" s="156">
        <v>48438</v>
      </c>
      <c r="V26" s="85">
        <f t="shared" si="9"/>
        <v>1.7610140798546597E-2</v>
      </c>
      <c r="W26" s="214" t="s">
        <v>211</v>
      </c>
    </row>
    <row r="27" spans="1:23" x14ac:dyDescent="0.25">
      <c r="A27" t="s">
        <v>48</v>
      </c>
      <c r="B27" t="s">
        <v>204</v>
      </c>
      <c r="C27" t="s">
        <v>203</v>
      </c>
      <c r="D27" t="s">
        <v>205</v>
      </c>
      <c r="E27" s="154">
        <v>42856</v>
      </c>
      <c r="F27" s="158">
        <v>42858</v>
      </c>
      <c r="G27" s="98">
        <v>85</v>
      </c>
      <c r="H27" s="98">
        <f t="shared" si="0"/>
        <v>600.005</v>
      </c>
      <c r="I27" s="98">
        <v>553</v>
      </c>
      <c r="J27" s="98">
        <f t="shared" si="1"/>
        <v>47.005000000000003</v>
      </c>
      <c r="K27" s="155">
        <f t="shared" si="2"/>
        <v>0.15370705244122965</v>
      </c>
      <c r="L27" s="155">
        <f t="shared" si="3"/>
        <v>0.14166548612094898</v>
      </c>
      <c r="M27" s="212">
        <v>1021</v>
      </c>
      <c r="N27" s="213">
        <v>1</v>
      </c>
      <c r="O27" s="85">
        <f t="shared" si="4"/>
        <v>9.7943192948090111E-4</v>
      </c>
      <c r="P27" s="98">
        <f t="shared" si="5"/>
        <v>85</v>
      </c>
      <c r="Q27" s="212">
        <v>1072</v>
      </c>
      <c r="R27" s="155">
        <f t="shared" si="6"/>
        <v>0.51585820895522383</v>
      </c>
      <c r="S27" s="155">
        <f t="shared" si="7"/>
        <v>10.820435556773043</v>
      </c>
      <c r="T27" s="156">
        <v>30756</v>
      </c>
      <c r="U27" s="156">
        <v>51107</v>
      </c>
      <c r="V27" s="85">
        <f t="shared" si="9"/>
        <v>2.0975600211321346E-2</v>
      </c>
      <c r="W27" s="214" t="s">
        <v>211</v>
      </c>
    </row>
    <row r="28" spans="1:23" x14ac:dyDescent="0.25">
      <c r="A28" t="s">
        <v>48</v>
      </c>
      <c r="B28" t="s">
        <v>204</v>
      </c>
      <c r="C28" t="s">
        <v>203</v>
      </c>
      <c r="D28" t="s">
        <v>206</v>
      </c>
      <c r="E28" s="154">
        <v>42856</v>
      </c>
      <c r="F28" s="158">
        <v>42858</v>
      </c>
      <c r="G28" s="98">
        <v>0</v>
      </c>
      <c r="H28" s="98">
        <f t="shared" si="0"/>
        <v>600.005</v>
      </c>
      <c r="I28" s="98">
        <v>553</v>
      </c>
      <c r="J28" s="98">
        <f t="shared" si="1"/>
        <v>47.005000000000003</v>
      </c>
      <c r="K28" s="155">
        <f>G28/I28</f>
        <v>0</v>
      </c>
      <c r="L28" s="155">
        <f t="shared" si="3"/>
        <v>0</v>
      </c>
      <c r="M28" s="212">
        <v>2229</v>
      </c>
      <c r="N28" s="156">
        <v>0</v>
      </c>
      <c r="O28" s="85">
        <f t="shared" si="4"/>
        <v>0</v>
      </c>
      <c r="P28" s="98" t="e">
        <f>G28/N28</f>
        <v>#DIV/0!</v>
      </c>
      <c r="Q28" s="212">
        <v>2422</v>
      </c>
      <c r="R28" s="155">
        <f t="shared" si="6"/>
        <v>0.22832369942196531</v>
      </c>
      <c r="S28" s="155">
        <f t="shared" ref="S28:S33" si="10">(I28/U28)*1000</f>
        <v>4.2229536238745791</v>
      </c>
      <c r="T28" s="156">
        <v>91092</v>
      </c>
      <c r="U28" s="156">
        <v>130951</v>
      </c>
      <c r="V28" s="85">
        <f t="shared" si="9"/>
        <v>1.8495467770387398E-2</v>
      </c>
      <c r="W28" s="214" t="s">
        <v>211</v>
      </c>
    </row>
    <row r="29" spans="1:23" x14ac:dyDescent="0.25">
      <c r="A29" t="s">
        <v>48</v>
      </c>
      <c r="B29" t="s">
        <v>204</v>
      </c>
      <c r="C29" t="s">
        <v>203</v>
      </c>
      <c r="D29" t="s">
        <v>207</v>
      </c>
      <c r="E29" s="154">
        <v>42856</v>
      </c>
      <c r="F29" s="158">
        <v>42858</v>
      </c>
      <c r="G29" s="98">
        <v>105</v>
      </c>
      <c r="H29" s="98">
        <f t="shared" si="0"/>
        <v>599.51675</v>
      </c>
      <c r="I29" s="98">
        <v>552.54999999999995</v>
      </c>
      <c r="J29" s="98">
        <f t="shared" si="1"/>
        <v>46.966749999999998</v>
      </c>
      <c r="K29" s="155">
        <f>G29/I29</f>
        <v>0.19002805176002174</v>
      </c>
      <c r="L29" s="155">
        <f t="shared" si="3"/>
        <v>0.17514106152997394</v>
      </c>
      <c r="M29" s="212">
        <v>881</v>
      </c>
      <c r="N29" s="213">
        <v>2</v>
      </c>
      <c r="O29" s="85">
        <f t="shared" si="4"/>
        <v>2.2701475595913734E-3</v>
      </c>
      <c r="P29" s="98">
        <f t="shared" ref="P29:P92" si="11">G29/N29</f>
        <v>52.5</v>
      </c>
      <c r="Q29" s="212">
        <v>945</v>
      </c>
      <c r="R29" s="155">
        <f t="shared" si="6"/>
        <v>0.58470899470899462</v>
      </c>
      <c r="S29" s="155">
        <f t="shared" si="10"/>
        <v>9.4150422573609589</v>
      </c>
      <c r="T29" s="156">
        <v>35758</v>
      </c>
      <c r="U29" s="212">
        <v>58688</v>
      </c>
      <c r="V29" s="85">
        <f t="shared" si="9"/>
        <v>1.6102099236641222E-2</v>
      </c>
      <c r="W29" s="214" t="s">
        <v>211</v>
      </c>
    </row>
    <row r="30" spans="1:23" x14ac:dyDescent="0.25">
      <c r="A30" t="s">
        <v>48</v>
      </c>
      <c r="B30" t="s">
        <v>204</v>
      </c>
      <c r="C30" t="s">
        <v>203</v>
      </c>
      <c r="D30" s="214" t="s">
        <v>210</v>
      </c>
      <c r="E30" s="154">
        <v>42856</v>
      </c>
      <c r="F30" s="158">
        <v>42858</v>
      </c>
      <c r="G30" s="98">
        <v>189</v>
      </c>
      <c r="H30" s="98">
        <f t="shared" si="0"/>
        <v>598.82234999999991</v>
      </c>
      <c r="I30" s="98">
        <v>551.91</v>
      </c>
      <c r="J30" s="98">
        <f t="shared" si="1"/>
        <v>46.912350000000004</v>
      </c>
      <c r="K30" s="155">
        <f>G30/I30</f>
        <v>0.34244713812034572</v>
      </c>
      <c r="L30" s="155">
        <f t="shared" si="3"/>
        <v>0.3156194821385675</v>
      </c>
      <c r="M30" s="212">
        <v>537</v>
      </c>
      <c r="N30" s="213">
        <v>1</v>
      </c>
      <c r="O30" s="85">
        <f t="shared" si="4"/>
        <v>1.8621973929236499E-3</v>
      </c>
      <c r="P30" s="98">
        <f t="shared" si="11"/>
        <v>189</v>
      </c>
      <c r="Q30" s="212">
        <v>636</v>
      </c>
      <c r="R30" s="155">
        <f t="shared" si="6"/>
        <v>0.86778301886792453</v>
      </c>
      <c r="S30" s="155">
        <f t="shared" si="10"/>
        <v>9.1288166991961361</v>
      </c>
      <c r="T30" s="156">
        <v>26487</v>
      </c>
      <c r="U30" s="212">
        <v>60458</v>
      </c>
      <c r="V30" s="85">
        <f t="shared" si="9"/>
        <v>1.0519699626186775E-2</v>
      </c>
      <c r="W30" s="214" t="s">
        <v>211</v>
      </c>
    </row>
    <row r="31" spans="1:23" x14ac:dyDescent="0.25">
      <c r="A31" t="s">
        <v>48</v>
      </c>
      <c r="B31" t="s">
        <v>204</v>
      </c>
      <c r="C31" t="s">
        <v>203</v>
      </c>
      <c r="D31" t="s">
        <v>208</v>
      </c>
      <c r="E31" s="154">
        <v>42856</v>
      </c>
      <c r="F31" s="158">
        <v>42858</v>
      </c>
      <c r="G31" s="98">
        <v>110</v>
      </c>
      <c r="H31" s="98">
        <f t="shared" si="0"/>
        <v>597.28165000000001</v>
      </c>
      <c r="I31" s="98">
        <v>550.49</v>
      </c>
      <c r="J31" s="98">
        <f t="shared" si="1"/>
        <v>46.791650000000004</v>
      </c>
      <c r="K31" s="155">
        <f>G31/I31</f>
        <v>0.19982197678431943</v>
      </c>
      <c r="L31" s="155">
        <f t="shared" si="3"/>
        <v>0.18416772053854324</v>
      </c>
      <c r="M31" s="212">
        <v>597</v>
      </c>
      <c r="N31" s="213">
        <v>2</v>
      </c>
      <c r="O31" s="85">
        <f t="shared" si="4"/>
        <v>3.3500837520938024E-3</v>
      </c>
      <c r="P31" s="98">
        <f t="shared" si="11"/>
        <v>55</v>
      </c>
      <c r="Q31" s="212">
        <v>655</v>
      </c>
      <c r="R31" s="155">
        <f t="shared" si="6"/>
        <v>0.84044274809160302</v>
      </c>
      <c r="S31" s="155">
        <f t="shared" si="10"/>
        <v>7.3270687199691205</v>
      </c>
      <c r="T31" s="156">
        <v>40311</v>
      </c>
      <c r="U31" s="212">
        <v>75131</v>
      </c>
      <c r="V31" s="85">
        <f t="shared" si="9"/>
        <v>8.7181057086954793E-3</v>
      </c>
      <c r="W31" s="214" t="s">
        <v>211</v>
      </c>
    </row>
    <row r="32" spans="1:23" s="220" customFormat="1" x14ac:dyDescent="0.25">
      <c r="A32" s="220" t="s">
        <v>216</v>
      </c>
      <c r="B32" s="220" t="s">
        <v>215</v>
      </c>
      <c r="C32" s="220" t="s">
        <v>244</v>
      </c>
      <c r="D32" s="220" t="s">
        <v>217</v>
      </c>
      <c r="E32" s="221">
        <v>42896</v>
      </c>
      <c r="F32" s="222">
        <v>42897</v>
      </c>
      <c r="G32" s="223">
        <v>119</v>
      </c>
      <c r="H32" s="223">
        <f t="shared" si="0"/>
        <v>555.55255</v>
      </c>
      <c r="I32" s="223">
        <v>512.03</v>
      </c>
      <c r="J32" s="223">
        <f t="shared" si="1"/>
        <v>43.522550000000003</v>
      </c>
      <c r="K32" s="224">
        <f>G32/I32</f>
        <v>0.23240825732867215</v>
      </c>
      <c r="L32" s="224">
        <f t="shared" si="3"/>
        <v>0.21420115882826926</v>
      </c>
      <c r="M32" s="225">
        <f>955+42</f>
        <v>997</v>
      </c>
      <c r="N32" s="226">
        <v>2</v>
      </c>
      <c r="O32" s="227">
        <f t="shared" si="4"/>
        <v>2.0060180541624875E-3</v>
      </c>
      <c r="P32" s="98">
        <f t="shared" si="11"/>
        <v>59.5</v>
      </c>
      <c r="Q32" s="225">
        <v>1523</v>
      </c>
      <c r="R32" s="224">
        <f t="shared" si="6"/>
        <v>0.33619829284307284</v>
      </c>
      <c r="S32" s="224">
        <f t="shared" si="10"/>
        <v>6.670705333646004</v>
      </c>
      <c r="T32" s="228">
        <v>53245</v>
      </c>
      <c r="U32" s="225">
        <v>76758</v>
      </c>
      <c r="V32" s="227">
        <f t="shared" si="9"/>
        <v>1.984158003074598E-2</v>
      </c>
    </row>
    <row r="33" spans="1:22" x14ac:dyDescent="0.25">
      <c r="A33" t="s">
        <v>216</v>
      </c>
      <c r="B33" t="s">
        <v>215</v>
      </c>
      <c r="C33" s="220" t="s">
        <v>244</v>
      </c>
      <c r="D33" t="s">
        <v>218</v>
      </c>
      <c r="E33" s="154">
        <v>42896</v>
      </c>
      <c r="F33" s="158">
        <v>42897</v>
      </c>
      <c r="G33" s="98">
        <v>531</v>
      </c>
      <c r="H33" s="98">
        <f t="shared" si="0"/>
        <v>555.55255</v>
      </c>
      <c r="I33" s="98">
        <v>512.03</v>
      </c>
      <c r="J33" s="98">
        <f t="shared" si="1"/>
        <v>43.522550000000003</v>
      </c>
      <c r="K33" s="155">
        <f t="shared" ref="K33:K74" si="12">G33/I33</f>
        <v>1.0370486104329826</v>
      </c>
      <c r="L33" s="155">
        <f t="shared" si="3"/>
        <v>0.95580517090597461</v>
      </c>
      <c r="M33" s="212">
        <v>555</v>
      </c>
      <c r="N33" s="213">
        <v>3</v>
      </c>
      <c r="O33" s="85">
        <f t="shared" si="4"/>
        <v>5.4054054054054057E-3</v>
      </c>
      <c r="P33" s="98">
        <f t="shared" si="11"/>
        <v>177</v>
      </c>
      <c r="Q33" s="212">
        <v>971</v>
      </c>
      <c r="R33" s="155">
        <f t="shared" si="6"/>
        <v>0.52732234809474765</v>
      </c>
      <c r="S33" s="155">
        <f t="shared" si="10"/>
        <v>10.496935156522273</v>
      </c>
      <c r="T33" s="215">
        <v>29879</v>
      </c>
      <c r="U33" s="212">
        <v>48779</v>
      </c>
      <c r="V33" s="85">
        <f t="shared" si="9"/>
        <v>1.9906107136267656E-2</v>
      </c>
    </row>
    <row r="34" spans="1:22" x14ac:dyDescent="0.25">
      <c r="A34" t="s">
        <v>216</v>
      </c>
      <c r="B34" t="s">
        <v>215</v>
      </c>
      <c r="C34" s="220" t="s">
        <v>244</v>
      </c>
      <c r="D34" t="s">
        <v>219</v>
      </c>
      <c r="E34" s="154">
        <v>42896</v>
      </c>
      <c r="F34" s="158">
        <v>42897</v>
      </c>
      <c r="G34" s="98">
        <v>0</v>
      </c>
      <c r="H34" s="98">
        <f t="shared" si="0"/>
        <v>491.06014999999996</v>
      </c>
      <c r="I34" s="98">
        <v>452.59</v>
      </c>
      <c r="J34" s="98">
        <f t="shared" si="1"/>
        <v>38.470150000000004</v>
      </c>
      <c r="K34" s="155">
        <f t="shared" si="12"/>
        <v>0</v>
      </c>
      <c r="L34" s="155">
        <f t="shared" si="3"/>
        <v>0</v>
      </c>
      <c r="M34">
        <v>90</v>
      </c>
      <c r="N34" s="156">
        <v>0</v>
      </c>
      <c r="O34" s="85">
        <f t="shared" si="4"/>
        <v>0</v>
      </c>
      <c r="P34" s="98" t="e">
        <f t="shared" si="11"/>
        <v>#DIV/0!</v>
      </c>
      <c r="Q34">
        <v>135</v>
      </c>
      <c r="R34" s="155">
        <f t="shared" si="6"/>
        <v>3.3525185185185182</v>
      </c>
      <c r="S34" s="155">
        <f t="shared" ref="S34:S92" si="13">(I34/U34)*1000</f>
        <v>62.323051500963921</v>
      </c>
      <c r="T34" s="210">
        <v>2795</v>
      </c>
      <c r="U34" s="210">
        <v>7262</v>
      </c>
      <c r="V34" s="85">
        <f t="shared" si="9"/>
        <v>1.8589920132194987E-2</v>
      </c>
    </row>
    <row r="35" spans="1:22" x14ac:dyDescent="0.25">
      <c r="A35" t="s">
        <v>216</v>
      </c>
      <c r="B35" t="s">
        <v>215</v>
      </c>
      <c r="C35" s="220" t="s">
        <v>244</v>
      </c>
      <c r="D35" t="s">
        <v>225</v>
      </c>
      <c r="E35" s="154">
        <v>42896</v>
      </c>
      <c r="F35" s="158">
        <v>42897</v>
      </c>
      <c r="G35" s="98">
        <v>0</v>
      </c>
      <c r="H35" s="98">
        <f t="shared" si="0"/>
        <v>442.50639999999999</v>
      </c>
      <c r="I35" s="98">
        <v>407.84</v>
      </c>
      <c r="J35" s="98">
        <f t="shared" si="1"/>
        <v>34.666400000000003</v>
      </c>
      <c r="K35" s="155">
        <f t="shared" si="12"/>
        <v>0</v>
      </c>
      <c r="L35" s="155">
        <f t="shared" si="3"/>
        <v>0</v>
      </c>
      <c r="M35">
        <v>52</v>
      </c>
      <c r="N35" s="156">
        <v>0</v>
      </c>
      <c r="O35" s="85">
        <f t="shared" si="4"/>
        <v>0</v>
      </c>
      <c r="P35" s="98" t="e">
        <f t="shared" si="11"/>
        <v>#DIV/0!</v>
      </c>
      <c r="Q35">
        <v>106</v>
      </c>
      <c r="R35" s="155">
        <f t="shared" si="6"/>
        <v>3.8475471698113206</v>
      </c>
      <c r="S35" s="155">
        <f t="shared" si="13"/>
        <v>30.840895341802781</v>
      </c>
      <c r="T35" s="210">
        <v>5022</v>
      </c>
      <c r="U35" s="210">
        <v>13224</v>
      </c>
      <c r="V35" s="85">
        <f t="shared" si="9"/>
        <v>8.0157289776164545E-3</v>
      </c>
    </row>
    <row r="36" spans="1:22" x14ac:dyDescent="0.25">
      <c r="A36" t="s">
        <v>216</v>
      </c>
      <c r="B36" t="s">
        <v>215</v>
      </c>
      <c r="C36" s="220" t="s">
        <v>244</v>
      </c>
      <c r="D36" t="s">
        <v>220</v>
      </c>
      <c r="E36" s="154">
        <v>42896</v>
      </c>
      <c r="F36" s="158">
        <v>42897</v>
      </c>
      <c r="G36" s="98">
        <v>69</v>
      </c>
      <c r="H36" s="98">
        <f t="shared" si="0"/>
        <v>433.8698</v>
      </c>
      <c r="I36" s="98">
        <v>399.88</v>
      </c>
      <c r="J36" s="98">
        <f t="shared" si="1"/>
        <v>33.989800000000002</v>
      </c>
      <c r="K36" s="155">
        <f t="shared" si="12"/>
        <v>0.1725517655296589</v>
      </c>
      <c r="L36" s="155">
        <f t="shared" si="3"/>
        <v>0.1590338852807916</v>
      </c>
      <c r="M36">
        <v>107</v>
      </c>
      <c r="N36" s="219">
        <v>1</v>
      </c>
      <c r="O36" s="85">
        <f t="shared" si="4"/>
        <v>9.3457943925233638E-3</v>
      </c>
      <c r="P36" s="98">
        <f t="shared" si="11"/>
        <v>69</v>
      </c>
      <c r="Q36">
        <v>151</v>
      </c>
      <c r="R36" s="155">
        <f t="shared" si="6"/>
        <v>2.6482119205298011</v>
      </c>
      <c r="S36" s="155">
        <f t="shared" si="13"/>
        <v>48.676810712111987</v>
      </c>
      <c r="T36" s="210">
        <v>3085</v>
      </c>
      <c r="U36" s="210">
        <v>8215</v>
      </c>
      <c r="V36" s="85">
        <f t="shared" si="9"/>
        <v>1.8381010346926355E-2</v>
      </c>
    </row>
    <row r="37" spans="1:22" x14ac:dyDescent="0.25">
      <c r="A37" t="s">
        <v>216</v>
      </c>
      <c r="B37" t="s">
        <v>215</v>
      </c>
      <c r="C37" s="220" t="s">
        <v>244</v>
      </c>
      <c r="D37" t="s">
        <v>221</v>
      </c>
      <c r="E37" s="154">
        <v>42896</v>
      </c>
      <c r="F37" s="158">
        <v>42897</v>
      </c>
      <c r="G37" s="98">
        <v>198</v>
      </c>
      <c r="H37" s="98">
        <f t="shared" si="0"/>
        <v>402.07929999999999</v>
      </c>
      <c r="I37" s="98">
        <v>370.58</v>
      </c>
      <c r="J37" s="98">
        <f t="shared" si="1"/>
        <v>31.499300000000002</v>
      </c>
      <c r="K37" s="155">
        <f t="shared" si="12"/>
        <v>0.53429758756543799</v>
      </c>
      <c r="L37" s="155">
        <f t="shared" si="3"/>
        <v>0.49244017287137143</v>
      </c>
      <c r="M37">
        <v>79</v>
      </c>
      <c r="N37" s="219">
        <v>1</v>
      </c>
      <c r="O37" s="85">
        <f t="shared" si="4"/>
        <v>1.2658227848101266E-2</v>
      </c>
      <c r="P37" s="98">
        <f t="shared" si="11"/>
        <v>198</v>
      </c>
      <c r="Q37">
        <v>107</v>
      </c>
      <c r="R37" s="155">
        <f t="shared" si="6"/>
        <v>3.4633644859813084</v>
      </c>
      <c r="S37" s="155">
        <f t="shared" si="13"/>
        <v>33.954553784130475</v>
      </c>
      <c r="T37" s="215">
        <v>4493</v>
      </c>
      <c r="U37" s="210">
        <v>10914</v>
      </c>
      <c r="V37" s="85">
        <f t="shared" si="9"/>
        <v>9.8039215686274508E-3</v>
      </c>
    </row>
    <row r="38" spans="1:22" x14ac:dyDescent="0.25">
      <c r="A38" t="s">
        <v>216</v>
      </c>
      <c r="B38" t="s">
        <v>215</v>
      </c>
      <c r="C38" s="220" t="s">
        <v>244</v>
      </c>
      <c r="D38" t="s">
        <v>224</v>
      </c>
      <c r="E38" s="154">
        <v>42896</v>
      </c>
      <c r="F38" s="158">
        <v>42897</v>
      </c>
      <c r="G38" s="98">
        <v>0</v>
      </c>
      <c r="H38" s="98">
        <f t="shared" si="0"/>
        <v>239.9803</v>
      </c>
      <c r="I38" s="98">
        <v>221.18</v>
      </c>
      <c r="J38" s="98">
        <f t="shared" si="1"/>
        <v>18.800300000000004</v>
      </c>
      <c r="K38" s="155">
        <f t="shared" si="12"/>
        <v>0</v>
      </c>
      <c r="L38" s="155">
        <f t="shared" si="3"/>
        <v>0</v>
      </c>
      <c r="M38">
        <v>43</v>
      </c>
      <c r="N38" s="156">
        <v>0</v>
      </c>
      <c r="O38" s="85">
        <f t="shared" si="4"/>
        <v>0</v>
      </c>
      <c r="P38" s="98" t="e">
        <f t="shared" si="11"/>
        <v>#DIV/0!</v>
      </c>
      <c r="Q38">
        <v>76</v>
      </c>
      <c r="R38" s="155">
        <f t="shared" si="6"/>
        <v>2.9102631578947369</v>
      </c>
      <c r="S38" s="155">
        <f t="shared" si="13"/>
        <v>45.286650286650286</v>
      </c>
      <c r="T38" s="210">
        <v>2044</v>
      </c>
      <c r="U38" s="210">
        <v>4884</v>
      </c>
      <c r="V38" s="85">
        <f t="shared" si="9"/>
        <v>1.5561015561015561E-2</v>
      </c>
    </row>
    <row r="39" spans="1:22" x14ac:dyDescent="0.25">
      <c r="A39" t="s">
        <v>216</v>
      </c>
      <c r="B39" t="s">
        <v>215</v>
      </c>
      <c r="C39" s="220" t="s">
        <v>244</v>
      </c>
      <c r="D39" t="s">
        <v>222</v>
      </c>
      <c r="E39" s="154">
        <v>42896</v>
      </c>
      <c r="F39" s="158">
        <v>42897</v>
      </c>
      <c r="G39" s="98">
        <v>0</v>
      </c>
      <c r="H39" s="98">
        <f t="shared" si="0"/>
        <v>216.6962</v>
      </c>
      <c r="I39" s="98">
        <v>199.72</v>
      </c>
      <c r="J39" s="98">
        <f t="shared" si="1"/>
        <v>16.976200000000002</v>
      </c>
      <c r="K39" s="155">
        <f t="shared" si="12"/>
        <v>0</v>
      </c>
      <c r="L39" s="155">
        <f t="shared" si="3"/>
        <v>0</v>
      </c>
      <c r="M39">
        <v>32</v>
      </c>
      <c r="N39" s="156">
        <v>0</v>
      </c>
      <c r="O39" s="85">
        <f t="shared" si="4"/>
        <v>0</v>
      </c>
      <c r="P39" s="98" t="e">
        <f t="shared" si="11"/>
        <v>#DIV/0!</v>
      </c>
      <c r="Q39">
        <v>72</v>
      </c>
      <c r="R39" s="155">
        <f t="shared" si="6"/>
        <v>2.7738888888888891</v>
      </c>
      <c r="S39" s="155">
        <f t="shared" si="13"/>
        <v>43.266897746967068</v>
      </c>
      <c r="T39" s="210">
        <v>2222</v>
      </c>
      <c r="U39" s="210">
        <v>4616</v>
      </c>
      <c r="V39" s="85">
        <f t="shared" si="9"/>
        <v>1.5597920277296361E-2</v>
      </c>
    </row>
    <row r="40" spans="1:22" x14ac:dyDescent="0.25">
      <c r="A40" t="s">
        <v>216</v>
      </c>
      <c r="B40" t="s">
        <v>215</v>
      </c>
      <c r="C40" s="220" t="s">
        <v>244</v>
      </c>
      <c r="D40" t="s">
        <v>223</v>
      </c>
      <c r="E40" s="154">
        <v>42896</v>
      </c>
      <c r="F40" s="158">
        <v>42897</v>
      </c>
      <c r="G40" s="98">
        <v>0</v>
      </c>
      <c r="H40" s="98">
        <f t="shared" si="0"/>
        <v>72.987949999999998</v>
      </c>
      <c r="I40" s="98">
        <v>67.27</v>
      </c>
      <c r="J40" s="98">
        <f t="shared" si="1"/>
        <v>5.7179500000000001</v>
      </c>
      <c r="K40" s="155">
        <f t="shared" si="12"/>
        <v>0</v>
      </c>
      <c r="L40" s="155">
        <f t="shared" si="3"/>
        <v>0</v>
      </c>
      <c r="M40">
        <v>24</v>
      </c>
      <c r="N40" s="156">
        <v>0</v>
      </c>
      <c r="O40" s="85">
        <f>N40/M40</f>
        <v>0</v>
      </c>
      <c r="P40" s="98" t="e">
        <f t="shared" si="11"/>
        <v>#DIV/0!</v>
      </c>
      <c r="Q40">
        <v>31</v>
      </c>
      <c r="R40" s="155">
        <f t="shared" si="6"/>
        <v>2.17</v>
      </c>
      <c r="S40" s="155">
        <f t="shared" si="13"/>
        <v>26.747514910536779</v>
      </c>
      <c r="T40" s="210">
        <v>1445</v>
      </c>
      <c r="U40" s="210">
        <v>2515</v>
      </c>
      <c r="V40" s="85">
        <f t="shared" si="9"/>
        <v>1.2326043737574552E-2</v>
      </c>
    </row>
    <row r="41" spans="1:22" x14ac:dyDescent="0.25">
      <c r="A41" s="247" t="s">
        <v>58</v>
      </c>
      <c r="B41" s="247" t="s">
        <v>232</v>
      </c>
      <c r="C41" s="247" t="s">
        <v>233</v>
      </c>
      <c r="D41" s="247" t="s">
        <v>234</v>
      </c>
      <c r="E41" s="248">
        <v>42910</v>
      </c>
      <c r="F41" s="249">
        <v>42915</v>
      </c>
      <c r="G41" s="250">
        <v>0</v>
      </c>
      <c r="H41" s="250">
        <f t="shared" si="0"/>
        <v>749.99540000000002</v>
      </c>
      <c r="I41" s="250">
        <v>691.24</v>
      </c>
      <c r="J41" s="250">
        <f t="shared" si="1"/>
        <v>58.755400000000002</v>
      </c>
      <c r="K41" s="251">
        <f t="shared" si="12"/>
        <v>0</v>
      </c>
      <c r="L41" s="251">
        <f t="shared" si="3"/>
        <v>0</v>
      </c>
      <c r="M41" s="252" t="s">
        <v>226</v>
      </c>
      <c r="N41" s="156">
        <v>0</v>
      </c>
      <c r="O41" s="85" t="e">
        <f>O40/O39</f>
        <v>#DIV/0!</v>
      </c>
      <c r="P41" s="98" t="e">
        <f t="shared" si="11"/>
        <v>#DIV/0!</v>
      </c>
      <c r="Q41" s="247">
        <v>647</v>
      </c>
      <c r="R41" s="251">
        <f t="shared" si="6"/>
        <v>1.0683771251931995</v>
      </c>
      <c r="S41" s="251">
        <f t="shared" si="13"/>
        <v>5.2622203274994481</v>
      </c>
      <c r="T41" s="254">
        <v>51491</v>
      </c>
      <c r="U41" s="254">
        <v>131359</v>
      </c>
      <c r="V41" s="253">
        <f t="shared" si="9"/>
        <v>4.9254333543952067E-3</v>
      </c>
    </row>
    <row r="42" spans="1:22" x14ac:dyDescent="0.25">
      <c r="A42" s="247" t="s">
        <v>58</v>
      </c>
      <c r="B42" s="247" t="s">
        <v>232</v>
      </c>
      <c r="C42" s="247" t="s">
        <v>233</v>
      </c>
      <c r="D42" s="247" t="s">
        <v>235</v>
      </c>
      <c r="E42" s="248">
        <v>42910</v>
      </c>
      <c r="F42" s="249">
        <v>42915</v>
      </c>
      <c r="G42" s="250">
        <v>0</v>
      </c>
      <c r="H42" s="250">
        <f t="shared" si="0"/>
        <v>749.99540000000002</v>
      </c>
      <c r="I42" s="250">
        <v>691.24</v>
      </c>
      <c r="J42" s="250">
        <f t="shared" si="1"/>
        <v>58.755400000000002</v>
      </c>
      <c r="K42" s="251">
        <f t="shared" si="12"/>
        <v>0</v>
      </c>
      <c r="L42" s="251">
        <f t="shared" si="3"/>
        <v>0</v>
      </c>
      <c r="M42" s="252" t="s">
        <v>226</v>
      </c>
      <c r="N42" s="156">
        <v>0</v>
      </c>
      <c r="O42" s="85" t="e">
        <f t="shared" ref="O42:O48" si="14">O41/O40</f>
        <v>#DIV/0!</v>
      </c>
      <c r="P42" s="98" t="e">
        <f t="shared" si="11"/>
        <v>#DIV/0!</v>
      </c>
      <c r="Q42" s="247">
        <v>725</v>
      </c>
      <c r="R42" s="251">
        <f t="shared" si="6"/>
        <v>0.95343448275862075</v>
      </c>
      <c r="S42" s="251">
        <f t="shared" si="13"/>
        <v>11.304191401331174</v>
      </c>
      <c r="T42" s="254">
        <v>43776</v>
      </c>
      <c r="U42" s="254">
        <v>61149</v>
      </c>
      <c r="V42" s="253">
        <f t="shared" si="9"/>
        <v>1.1856285466647043E-2</v>
      </c>
    </row>
    <row r="43" spans="1:22" x14ac:dyDescent="0.25">
      <c r="A43" s="247" t="s">
        <v>58</v>
      </c>
      <c r="B43" s="247" t="s">
        <v>232</v>
      </c>
      <c r="C43" s="247" t="s">
        <v>233</v>
      </c>
      <c r="D43" s="247" t="s">
        <v>236</v>
      </c>
      <c r="E43" s="248">
        <v>42910</v>
      </c>
      <c r="F43" s="249">
        <v>42915</v>
      </c>
      <c r="G43" s="250">
        <v>0</v>
      </c>
      <c r="H43" s="250">
        <f t="shared" si="0"/>
        <v>749.99540000000002</v>
      </c>
      <c r="I43" s="250">
        <v>691.24</v>
      </c>
      <c r="J43" s="250">
        <f t="shared" si="1"/>
        <v>58.755400000000002</v>
      </c>
      <c r="K43" s="251">
        <f t="shared" si="12"/>
        <v>0</v>
      </c>
      <c r="L43" s="251">
        <f t="shared" si="3"/>
        <v>0</v>
      </c>
      <c r="M43" s="252" t="s">
        <v>226</v>
      </c>
      <c r="N43" s="156">
        <v>0</v>
      </c>
      <c r="O43" s="85" t="e">
        <f t="shared" si="14"/>
        <v>#DIV/0!</v>
      </c>
      <c r="P43" s="98" t="e">
        <f t="shared" si="11"/>
        <v>#DIV/0!</v>
      </c>
      <c r="Q43" s="247">
        <v>719</v>
      </c>
      <c r="R43" s="251">
        <f t="shared" si="6"/>
        <v>0.96139082058414471</v>
      </c>
      <c r="S43" s="251">
        <f t="shared" si="13"/>
        <v>10.351778360164731</v>
      </c>
      <c r="T43" s="254">
        <v>53857</v>
      </c>
      <c r="U43" s="254">
        <v>66775</v>
      </c>
      <c r="V43" s="253">
        <f t="shared" si="9"/>
        <v>1.0767502807937103E-2</v>
      </c>
    </row>
    <row r="44" spans="1:22" x14ac:dyDescent="0.25">
      <c r="A44" s="247" t="s">
        <v>58</v>
      </c>
      <c r="B44" s="247" t="s">
        <v>232</v>
      </c>
      <c r="C44" s="247" t="s">
        <v>233</v>
      </c>
      <c r="D44" s="247" t="s">
        <v>218</v>
      </c>
      <c r="E44" s="248">
        <v>42910</v>
      </c>
      <c r="F44" s="249">
        <v>42915</v>
      </c>
      <c r="G44" s="250">
        <v>0</v>
      </c>
      <c r="H44" s="250">
        <f t="shared" si="0"/>
        <v>749.99540000000002</v>
      </c>
      <c r="I44" s="250">
        <v>691.24</v>
      </c>
      <c r="J44" s="250">
        <f t="shared" si="1"/>
        <v>58.755400000000002</v>
      </c>
      <c r="K44" s="251">
        <f t="shared" si="12"/>
        <v>0</v>
      </c>
      <c r="L44" s="251">
        <f t="shared" si="3"/>
        <v>0</v>
      </c>
      <c r="M44" s="252" t="s">
        <v>226</v>
      </c>
      <c r="N44" s="156">
        <v>0</v>
      </c>
      <c r="O44" s="85" t="e">
        <f t="shared" si="14"/>
        <v>#DIV/0!</v>
      </c>
      <c r="P44" s="98" t="e">
        <f t="shared" si="11"/>
        <v>#DIV/0!</v>
      </c>
      <c r="Q44" s="247">
        <v>652</v>
      </c>
      <c r="R44" s="251">
        <f t="shared" si="6"/>
        <v>1.0601840490797547</v>
      </c>
      <c r="S44" s="251">
        <f t="shared" si="13"/>
        <v>13.014026169631931</v>
      </c>
      <c r="T44" s="254">
        <v>22394</v>
      </c>
      <c r="U44" s="254">
        <v>53115</v>
      </c>
      <c r="V44" s="253">
        <f t="shared" si="9"/>
        <v>1.2275251812105809E-2</v>
      </c>
    </row>
    <row r="45" spans="1:22" x14ac:dyDescent="0.25">
      <c r="A45" s="247" t="s">
        <v>58</v>
      </c>
      <c r="B45" s="247" t="s">
        <v>232</v>
      </c>
      <c r="C45" s="247" t="s">
        <v>233</v>
      </c>
      <c r="D45" s="247" t="s">
        <v>240</v>
      </c>
      <c r="E45" s="248">
        <v>42910</v>
      </c>
      <c r="F45" s="249">
        <v>42915</v>
      </c>
      <c r="G45" s="250">
        <v>0</v>
      </c>
      <c r="H45" s="250">
        <f t="shared" si="0"/>
        <v>749.6807500000001</v>
      </c>
      <c r="I45" s="250">
        <v>690.95</v>
      </c>
      <c r="J45" s="250">
        <f t="shared" si="1"/>
        <v>58.730750000000008</v>
      </c>
      <c r="K45" s="251">
        <f t="shared" si="12"/>
        <v>0</v>
      </c>
      <c r="L45" s="251">
        <f t="shared" si="3"/>
        <v>0</v>
      </c>
      <c r="M45" s="252" t="s">
        <v>226</v>
      </c>
      <c r="N45" s="156">
        <v>0</v>
      </c>
      <c r="O45" s="85" t="e">
        <f t="shared" si="14"/>
        <v>#DIV/0!</v>
      </c>
      <c r="P45" s="98" t="e">
        <f t="shared" si="11"/>
        <v>#DIV/0!</v>
      </c>
      <c r="Q45" s="247">
        <v>649</v>
      </c>
      <c r="R45" s="251">
        <f t="shared" si="6"/>
        <v>1.0646379044684131</v>
      </c>
      <c r="S45" s="251">
        <f t="shared" si="13"/>
        <v>10.303152306820554</v>
      </c>
      <c r="T45" s="254">
        <v>49253</v>
      </c>
      <c r="U45" s="254">
        <v>67062</v>
      </c>
      <c r="V45" s="253">
        <f t="shared" si="9"/>
        <v>9.6776117622498579E-3</v>
      </c>
    </row>
    <row r="46" spans="1:22" x14ac:dyDescent="0.25">
      <c r="A46" s="247" t="s">
        <v>58</v>
      </c>
      <c r="B46" s="247" t="s">
        <v>232</v>
      </c>
      <c r="C46" s="247" t="s">
        <v>233</v>
      </c>
      <c r="D46" s="247" t="s">
        <v>237</v>
      </c>
      <c r="E46" s="248">
        <v>42910</v>
      </c>
      <c r="F46" s="249">
        <v>42915</v>
      </c>
      <c r="G46" s="250">
        <v>0</v>
      </c>
      <c r="H46" s="250">
        <f t="shared" si="0"/>
        <v>748.94295</v>
      </c>
      <c r="I46" s="250">
        <v>690.27</v>
      </c>
      <c r="J46" s="250">
        <f t="shared" si="1"/>
        <v>58.67295</v>
      </c>
      <c r="K46" s="251">
        <f t="shared" si="12"/>
        <v>0</v>
      </c>
      <c r="L46" s="251">
        <f t="shared" si="3"/>
        <v>0</v>
      </c>
      <c r="M46" s="252" t="s">
        <v>226</v>
      </c>
      <c r="N46" s="156">
        <v>0</v>
      </c>
      <c r="O46" s="85" t="e">
        <f t="shared" si="14"/>
        <v>#DIV/0!</v>
      </c>
      <c r="P46" s="98" t="e">
        <f t="shared" si="11"/>
        <v>#DIV/0!</v>
      </c>
      <c r="Q46" s="247">
        <v>824</v>
      </c>
      <c r="R46" s="251">
        <f t="shared" si="6"/>
        <v>0.83770631067961165</v>
      </c>
      <c r="S46" s="251">
        <f t="shared" si="13"/>
        <v>10.34887556221889</v>
      </c>
      <c r="T46" s="254">
        <v>44606</v>
      </c>
      <c r="U46" s="254">
        <v>66700</v>
      </c>
      <c r="V46" s="253">
        <f t="shared" si="9"/>
        <v>1.2353823088455772E-2</v>
      </c>
    </row>
    <row r="47" spans="1:22" x14ac:dyDescent="0.25">
      <c r="A47" s="247" t="s">
        <v>58</v>
      </c>
      <c r="B47" s="247" t="s">
        <v>232</v>
      </c>
      <c r="C47" s="247" t="s">
        <v>233</v>
      </c>
      <c r="D47" s="247" t="s">
        <v>238</v>
      </c>
      <c r="E47" s="248">
        <v>42910</v>
      </c>
      <c r="F47" s="249">
        <v>42915</v>
      </c>
      <c r="G47" s="250">
        <v>0</v>
      </c>
      <c r="H47" s="250">
        <f t="shared" si="0"/>
        <v>749.17079999999999</v>
      </c>
      <c r="I47" s="250">
        <v>690.48</v>
      </c>
      <c r="J47" s="250">
        <f t="shared" si="1"/>
        <v>58.690800000000003</v>
      </c>
      <c r="K47" s="251">
        <f t="shared" si="12"/>
        <v>0</v>
      </c>
      <c r="L47" s="251">
        <f t="shared" si="3"/>
        <v>0</v>
      </c>
      <c r="M47" s="252" t="s">
        <v>226</v>
      </c>
      <c r="N47" s="156">
        <v>0</v>
      </c>
      <c r="O47" s="85" t="e">
        <f t="shared" si="14"/>
        <v>#DIV/0!</v>
      </c>
      <c r="P47" s="98" t="e">
        <f t="shared" si="11"/>
        <v>#DIV/0!</v>
      </c>
      <c r="Q47" s="247">
        <v>605</v>
      </c>
      <c r="R47" s="251">
        <f t="shared" si="6"/>
        <v>1.1412892561983472</v>
      </c>
      <c r="S47" s="251">
        <f t="shared" si="13"/>
        <v>11.21036481418343</v>
      </c>
      <c r="T47" s="254">
        <v>42883</v>
      </c>
      <c r="U47" s="254">
        <v>61593</v>
      </c>
      <c r="V47" s="253">
        <f t="shared" si="9"/>
        <v>9.8225447696978548E-3</v>
      </c>
    </row>
    <row r="48" spans="1:22" x14ac:dyDescent="0.25">
      <c r="A48" s="247" t="s">
        <v>58</v>
      </c>
      <c r="B48" s="247" t="s">
        <v>232</v>
      </c>
      <c r="C48" s="247" t="s">
        <v>233</v>
      </c>
      <c r="D48" s="247" t="s">
        <v>239</v>
      </c>
      <c r="E48" s="248">
        <v>42910</v>
      </c>
      <c r="F48" s="249">
        <v>42915</v>
      </c>
      <c r="G48" s="250">
        <v>0</v>
      </c>
      <c r="H48" s="250">
        <f t="shared" si="0"/>
        <v>747.94475</v>
      </c>
      <c r="I48" s="250">
        <v>689.35</v>
      </c>
      <c r="J48" s="250">
        <f t="shared" si="1"/>
        <v>58.594750000000005</v>
      </c>
      <c r="K48" s="251">
        <f t="shared" si="12"/>
        <v>0</v>
      </c>
      <c r="L48" s="251">
        <f t="shared" si="3"/>
        <v>0</v>
      </c>
      <c r="M48" s="252" t="s">
        <v>226</v>
      </c>
      <c r="N48" s="156">
        <v>0</v>
      </c>
      <c r="O48" s="85" t="e">
        <f t="shared" si="14"/>
        <v>#DIV/0!</v>
      </c>
      <c r="P48" s="98" t="e">
        <f t="shared" si="11"/>
        <v>#DIV/0!</v>
      </c>
      <c r="Q48" s="247">
        <v>670</v>
      </c>
      <c r="R48" s="251">
        <f t="shared" si="6"/>
        <v>1.0288805970149255</v>
      </c>
      <c r="S48" s="251">
        <f t="shared" si="13"/>
        <v>10.768401649587602</v>
      </c>
      <c r="T48" s="254">
        <v>47859</v>
      </c>
      <c r="U48" s="254">
        <v>64016</v>
      </c>
      <c r="V48" s="253">
        <f t="shared" si="9"/>
        <v>1.0466133466633342E-2</v>
      </c>
    </row>
    <row r="49" spans="1:22" x14ac:dyDescent="0.25">
      <c r="A49" s="220" t="s">
        <v>246</v>
      </c>
      <c r="B49" s="220" t="s">
        <v>64</v>
      </c>
      <c r="C49" s="220" t="s">
        <v>244</v>
      </c>
      <c r="D49" s="229" t="s">
        <v>272</v>
      </c>
      <c r="E49" s="154">
        <v>42936</v>
      </c>
      <c r="F49" s="158">
        <v>42938</v>
      </c>
      <c r="G49" s="98">
        <v>180</v>
      </c>
      <c r="H49" s="258">
        <f t="shared" si="0"/>
        <v>308.14</v>
      </c>
      <c r="I49" s="258">
        <v>284</v>
      </c>
      <c r="J49" s="258">
        <f t="shared" si="1"/>
        <v>24.14</v>
      </c>
      <c r="K49" s="257">
        <f t="shared" si="12"/>
        <v>0.63380281690140849</v>
      </c>
      <c r="L49" s="257">
        <f t="shared" si="3"/>
        <v>0.58415006166028427</v>
      </c>
      <c r="M49">
        <v>298</v>
      </c>
      <c r="N49" s="219">
        <v>1</v>
      </c>
      <c r="O49" s="85">
        <f t="shared" ref="O49:O92" si="15">N49/M49</f>
        <v>3.3557046979865771E-3</v>
      </c>
      <c r="P49" s="98">
        <f t="shared" si="11"/>
        <v>180</v>
      </c>
      <c r="Q49" s="156">
        <v>296</v>
      </c>
      <c r="R49" s="155">
        <f t="shared" si="6"/>
        <v>0.95945945945945943</v>
      </c>
      <c r="S49" s="155">
        <f t="shared" si="13"/>
        <v>13.789085259273646</v>
      </c>
      <c r="T49" s="156">
        <v>16683</v>
      </c>
      <c r="U49" s="156">
        <v>20596</v>
      </c>
      <c r="V49" s="85">
        <f t="shared" si="9"/>
        <v>1.4371722664595066E-2</v>
      </c>
    </row>
    <row r="50" spans="1:22" x14ac:dyDescent="0.25">
      <c r="A50" s="220" t="s">
        <v>246</v>
      </c>
      <c r="B50" s="220" t="s">
        <v>64</v>
      </c>
      <c r="C50" s="220" t="s">
        <v>244</v>
      </c>
      <c r="D50" s="229" t="s">
        <v>270</v>
      </c>
      <c r="E50" s="154">
        <v>42936</v>
      </c>
      <c r="F50" s="158">
        <v>42938</v>
      </c>
      <c r="G50" s="98">
        <v>86</v>
      </c>
      <c r="H50" s="258">
        <f t="shared" si="0"/>
        <v>308.14</v>
      </c>
      <c r="I50" s="258">
        <v>284</v>
      </c>
      <c r="J50" s="258">
        <f t="shared" si="1"/>
        <v>24.14</v>
      </c>
      <c r="K50" s="257">
        <f t="shared" si="12"/>
        <v>0.30281690140845069</v>
      </c>
      <c r="L50" s="257">
        <f t="shared" si="3"/>
        <v>0.27909391834880248</v>
      </c>
      <c r="M50">
        <v>369</v>
      </c>
      <c r="N50" s="219">
        <v>1</v>
      </c>
      <c r="O50" s="85">
        <f t="shared" si="15"/>
        <v>2.7100271002710027E-3</v>
      </c>
      <c r="P50" s="98">
        <f t="shared" si="11"/>
        <v>86</v>
      </c>
      <c r="Q50" s="156">
        <v>371</v>
      </c>
      <c r="R50" s="155">
        <f t="shared" si="6"/>
        <v>0.76549865229110514</v>
      </c>
      <c r="S50" s="155">
        <f t="shared" si="13"/>
        <v>8.522386268155083</v>
      </c>
      <c r="T50" s="156">
        <v>29567</v>
      </c>
      <c r="U50" s="156">
        <v>33324</v>
      </c>
      <c r="V50" s="85">
        <f t="shared" si="9"/>
        <v>1.1133117272836394E-2</v>
      </c>
    </row>
    <row r="51" spans="1:22" x14ac:dyDescent="0.25">
      <c r="A51" s="220" t="s">
        <v>246</v>
      </c>
      <c r="B51" s="220" t="s">
        <v>64</v>
      </c>
      <c r="C51" s="220" t="s">
        <v>244</v>
      </c>
      <c r="D51" s="229" t="s">
        <v>248</v>
      </c>
      <c r="E51" s="154">
        <v>42936</v>
      </c>
      <c r="F51" s="158">
        <v>42938</v>
      </c>
      <c r="G51" s="98">
        <v>0</v>
      </c>
      <c r="H51" s="258">
        <f t="shared" si="0"/>
        <v>308.12914999999998</v>
      </c>
      <c r="I51" s="258">
        <v>283.99</v>
      </c>
      <c r="J51" s="258">
        <f t="shared" si="1"/>
        <v>24.139150000000001</v>
      </c>
      <c r="K51" s="257">
        <f t="shared" si="12"/>
        <v>0</v>
      </c>
      <c r="L51" s="257">
        <f t="shared" si="3"/>
        <v>0</v>
      </c>
      <c r="M51">
        <v>388</v>
      </c>
      <c r="N51" s="156">
        <v>0</v>
      </c>
      <c r="O51" s="85">
        <v>0</v>
      </c>
      <c r="P51" s="98" t="e">
        <f t="shared" si="11"/>
        <v>#DIV/0!</v>
      </c>
      <c r="Q51" s="156">
        <v>459</v>
      </c>
      <c r="R51" s="155">
        <f t="shared" si="6"/>
        <v>0.61871459694989106</v>
      </c>
      <c r="S51" s="155">
        <f t="shared" si="13"/>
        <v>3.8934740882917467</v>
      </c>
      <c r="T51" s="156">
        <v>65753</v>
      </c>
      <c r="U51" s="156">
        <v>72940</v>
      </c>
      <c r="V51" s="85">
        <f t="shared" si="9"/>
        <v>6.2928434329585963E-3</v>
      </c>
    </row>
    <row r="52" spans="1:22" x14ac:dyDescent="0.25">
      <c r="A52" s="220" t="s">
        <v>246</v>
      </c>
      <c r="B52" s="220" t="s">
        <v>64</v>
      </c>
      <c r="C52" s="220" t="s">
        <v>244</v>
      </c>
      <c r="D52" s="229" t="s">
        <v>249</v>
      </c>
      <c r="E52" s="154">
        <v>42936</v>
      </c>
      <c r="F52" s="158">
        <v>42938</v>
      </c>
      <c r="G52" s="98">
        <v>0</v>
      </c>
      <c r="H52" s="258">
        <f t="shared" si="0"/>
        <v>307.67345</v>
      </c>
      <c r="I52" s="258">
        <v>283.57</v>
      </c>
      <c r="J52" s="258">
        <f t="shared" si="1"/>
        <v>24.103450000000002</v>
      </c>
      <c r="K52" s="257">
        <f t="shared" si="12"/>
        <v>0</v>
      </c>
      <c r="L52" s="257">
        <f t="shared" si="3"/>
        <v>0</v>
      </c>
      <c r="M52">
        <v>418</v>
      </c>
      <c r="N52" s="156">
        <v>0</v>
      </c>
      <c r="O52" s="85">
        <f t="shared" si="15"/>
        <v>0</v>
      </c>
      <c r="P52" s="98" t="e">
        <f t="shared" si="11"/>
        <v>#DIV/0!</v>
      </c>
      <c r="Q52" s="156">
        <v>487</v>
      </c>
      <c r="R52" s="155">
        <f t="shared" si="6"/>
        <v>0.58227926078028747</v>
      </c>
      <c r="S52" s="155">
        <f t="shared" si="13"/>
        <v>4.5015398291900821</v>
      </c>
      <c r="T52" s="156">
        <v>56764</v>
      </c>
      <c r="U52" s="156">
        <v>62994</v>
      </c>
      <c r="V52" s="85">
        <f t="shared" si="9"/>
        <v>7.7308950058735748E-3</v>
      </c>
    </row>
    <row r="53" spans="1:22" x14ac:dyDescent="0.25">
      <c r="A53" s="220" t="s">
        <v>246</v>
      </c>
      <c r="B53" s="220" t="s">
        <v>64</v>
      </c>
      <c r="C53" s="220" t="s">
        <v>244</v>
      </c>
      <c r="D53" s="229" t="s">
        <v>271</v>
      </c>
      <c r="E53" s="154">
        <v>42936</v>
      </c>
      <c r="F53" s="158">
        <v>42938</v>
      </c>
      <c r="G53" s="98">
        <v>0</v>
      </c>
      <c r="H53" s="258">
        <f t="shared" si="0"/>
        <v>298.68965000000003</v>
      </c>
      <c r="I53" s="258">
        <v>275.29000000000002</v>
      </c>
      <c r="J53" s="258">
        <f t="shared" si="1"/>
        <v>23.399650000000005</v>
      </c>
      <c r="K53" s="257">
        <f t="shared" si="12"/>
        <v>0</v>
      </c>
      <c r="L53" s="257">
        <f t="shared" si="3"/>
        <v>0</v>
      </c>
      <c r="M53">
        <v>190</v>
      </c>
      <c r="N53" s="156">
        <v>0</v>
      </c>
      <c r="O53" s="85">
        <f t="shared" si="15"/>
        <v>0</v>
      </c>
      <c r="P53" s="98" t="e">
        <f t="shared" si="11"/>
        <v>#DIV/0!</v>
      </c>
      <c r="Q53" s="156">
        <v>151</v>
      </c>
      <c r="R53" s="155">
        <f t="shared" si="6"/>
        <v>1.8231125827814572</v>
      </c>
      <c r="S53" s="155">
        <f t="shared" si="13"/>
        <v>25.019540125420342</v>
      </c>
      <c r="T53" s="156">
        <v>8697</v>
      </c>
      <c r="U53" s="156">
        <v>11003</v>
      </c>
      <c r="V53" s="85">
        <f t="shared" si="9"/>
        <v>1.372352994637826E-2</v>
      </c>
    </row>
    <row r="54" spans="1:22" x14ac:dyDescent="0.25">
      <c r="A54" s="220" t="s">
        <v>246</v>
      </c>
      <c r="B54" s="220" t="s">
        <v>64</v>
      </c>
      <c r="C54" s="220" t="s">
        <v>244</v>
      </c>
      <c r="D54" s="229" t="s">
        <v>250</v>
      </c>
      <c r="E54" s="154">
        <v>42936</v>
      </c>
      <c r="F54" s="158">
        <v>42938</v>
      </c>
      <c r="G54" s="98">
        <v>166</v>
      </c>
      <c r="H54" s="258">
        <f t="shared" si="0"/>
        <v>286.81975</v>
      </c>
      <c r="I54" s="258">
        <v>264.35000000000002</v>
      </c>
      <c r="J54" s="258">
        <f t="shared" si="1"/>
        <v>22.469750000000005</v>
      </c>
      <c r="K54" s="257">
        <f t="shared" si="12"/>
        <v>0.62795536220919235</v>
      </c>
      <c r="L54" s="257">
        <f t="shared" si="3"/>
        <v>0.57876070249695144</v>
      </c>
      <c r="M54">
        <v>198</v>
      </c>
      <c r="N54" s="219">
        <v>1</v>
      </c>
      <c r="O54" s="85">
        <f t="shared" si="15"/>
        <v>5.0505050505050509E-3</v>
      </c>
      <c r="P54" s="98">
        <f t="shared" si="11"/>
        <v>166</v>
      </c>
      <c r="Q54" s="156">
        <v>182</v>
      </c>
      <c r="R54" s="155">
        <f t="shared" si="6"/>
        <v>1.4524725274725276</v>
      </c>
      <c r="S54" s="155">
        <f t="shared" si="13"/>
        <v>24.241173773498399</v>
      </c>
      <c r="T54" s="156">
        <v>8566</v>
      </c>
      <c r="U54" s="156">
        <v>10905</v>
      </c>
      <c r="V54" s="85">
        <f t="shared" si="9"/>
        <v>1.6689591930307199E-2</v>
      </c>
    </row>
    <row r="55" spans="1:22" x14ac:dyDescent="0.25">
      <c r="A55" s="220" t="s">
        <v>246</v>
      </c>
      <c r="B55" s="220" t="s">
        <v>64</v>
      </c>
      <c r="C55" s="220" t="s">
        <v>244</v>
      </c>
      <c r="D55" s="220" t="s">
        <v>251</v>
      </c>
      <c r="E55" s="154">
        <v>42936</v>
      </c>
      <c r="F55" s="158">
        <v>42938</v>
      </c>
      <c r="G55" s="98">
        <v>0</v>
      </c>
      <c r="H55" s="258">
        <f t="shared" si="0"/>
        <v>217</v>
      </c>
      <c r="I55" s="258">
        <v>200</v>
      </c>
      <c r="J55" s="258">
        <f t="shared" si="1"/>
        <v>17</v>
      </c>
      <c r="K55" s="257">
        <f t="shared" si="12"/>
        <v>0</v>
      </c>
      <c r="L55" s="257">
        <f t="shared" si="3"/>
        <v>0</v>
      </c>
      <c r="M55">
        <v>53</v>
      </c>
      <c r="N55" s="156">
        <v>0</v>
      </c>
      <c r="O55" s="85">
        <f t="shared" si="15"/>
        <v>0</v>
      </c>
      <c r="P55" s="98" t="e">
        <f t="shared" si="11"/>
        <v>#DIV/0!</v>
      </c>
      <c r="Q55" s="156">
        <v>328</v>
      </c>
      <c r="R55" s="155">
        <f t="shared" si="6"/>
        <v>0.6097560975609756</v>
      </c>
      <c r="S55" s="155">
        <f t="shared" si="13"/>
        <v>5.1258393561945761</v>
      </c>
      <c r="T55" s="156">
        <v>31429</v>
      </c>
      <c r="U55" s="156">
        <v>39018</v>
      </c>
      <c r="V55" s="85">
        <f t="shared" si="9"/>
        <v>8.4063765441591068E-3</v>
      </c>
    </row>
    <row r="56" spans="1:22" x14ac:dyDescent="0.25">
      <c r="A56" s="220" t="s">
        <v>246</v>
      </c>
      <c r="B56" s="220" t="s">
        <v>64</v>
      </c>
      <c r="C56" s="220" t="s">
        <v>244</v>
      </c>
      <c r="D56" s="220" t="s">
        <v>252</v>
      </c>
      <c r="E56" s="154">
        <v>42936</v>
      </c>
      <c r="F56" s="158">
        <v>42938</v>
      </c>
      <c r="G56" s="98">
        <v>0</v>
      </c>
      <c r="H56" s="258">
        <f t="shared" si="0"/>
        <v>217</v>
      </c>
      <c r="I56" s="258">
        <v>200</v>
      </c>
      <c r="J56" s="258">
        <f t="shared" si="1"/>
        <v>17</v>
      </c>
      <c r="K56" s="257">
        <f t="shared" si="12"/>
        <v>0</v>
      </c>
      <c r="L56" s="257">
        <f t="shared" si="3"/>
        <v>0</v>
      </c>
      <c r="M56">
        <v>69</v>
      </c>
      <c r="N56" s="156">
        <v>0</v>
      </c>
      <c r="O56" s="85">
        <f t="shared" si="15"/>
        <v>0</v>
      </c>
      <c r="P56" s="98" t="e">
        <f t="shared" si="11"/>
        <v>#DIV/0!</v>
      </c>
      <c r="Q56" s="156">
        <v>448</v>
      </c>
      <c r="R56" s="155">
        <f t="shared" si="6"/>
        <v>0.44642857142857145</v>
      </c>
      <c r="S56" s="155">
        <f t="shared" si="13"/>
        <v>3.4584723927441248</v>
      </c>
      <c r="T56" s="156">
        <v>52700</v>
      </c>
      <c r="U56" s="156">
        <v>57829</v>
      </c>
      <c r="V56" s="85">
        <f t="shared" si="9"/>
        <v>7.7469781597468397E-3</v>
      </c>
    </row>
    <row r="57" spans="1:22" x14ac:dyDescent="0.25">
      <c r="A57" s="220" t="s">
        <v>246</v>
      </c>
      <c r="B57" s="220" t="s">
        <v>64</v>
      </c>
      <c r="C57" s="220" t="s">
        <v>244</v>
      </c>
      <c r="D57" s="220" t="s">
        <v>253</v>
      </c>
      <c r="E57" s="154">
        <v>42936</v>
      </c>
      <c r="F57" s="158">
        <v>42938</v>
      </c>
      <c r="G57" s="98">
        <v>0</v>
      </c>
      <c r="H57" s="258">
        <f t="shared" si="0"/>
        <v>217</v>
      </c>
      <c r="I57" s="258">
        <v>200</v>
      </c>
      <c r="J57" s="258">
        <f t="shared" si="1"/>
        <v>17</v>
      </c>
      <c r="K57" s="257">
        <f t="shared" si="12"/>
        <v>0</v>
      </c>
      <c r="L57" s="257">
        <f t="shared" si="3"/>
        <v>0</v>
      </c>
      <c r="M57">
        <v>69</v>
      </c>
      <c r="N57" s="156">
        <v>0</v>
      </c>
      <c r="O57" s="85">
        <f t="shared" si="15"/>
        <v>0</v>
      </c>
      <c r="P57" s="98" t="e">
        <f t="shared" si="11"/>
        <v>#DIV/0!</v>
      </c>
      <c r="Q57" s="156">
        <v>417</v>
      </c>
      <c r="R57" s="155">
        <f t="shared" si="6"/>
        <v>0.47961630695443647</v>
      </c>
      <c r="S57" s="155">
        <f t="shared" si="13"/>
        <v>4.9065305922182425</v>
      </c>
      <c r="T57" s="156">
        <v>36565</v>
      </c>
      <c r="U57" s="156">
        <v>40762</v>
      </c>
      <c r="V57" s="85">
        <f t="shared" si="9"/>
        <v>1.0230116284775036E-2</v>
      </c>
    </row>
    <row r="58" spans="1:22" x14ac:dyDescent="0.25">
      <c r="A58" s="220" t="s">
        <v>246</v>
      </c>
      <c r="B58" s="220" t="s">
        <v>64</v>
      </c>
      <c r="C58" s="220" t="s">
        <v>244</v>
      </c>
      <c r="D58" s="220" t="s">
        <v>254</v>
      </c>
      <c r="E58" s="154">
        <v>42936</v>
      </c>
      <c r="F58" s="158">
        <v>42938</v>
      </c>
      <c r="G58" s="98">
        <v>0</v>
      </c>
      <c r="H58" s="258">
        <f t="shared" si="0"/>
        <v>217</v>
      </c>
      <c r="I58" s="258">
        <v>200</v>
      </c>
      <c r="J58" s="258">
        <f t="shared" si="1"/>
        <v>17</v>
      </c>
      <c r="K58" s="257">
        <f t="shared" si="12"/>
        <v>0</v>
      </c>
      <c r="L58" s="257">
        <f t="shared" si="3"/>
        <v>0</v>
      </c>
      <c r="M58">
        <v>45</v>
      </c>
      <c r="N58" s="156">
        <v>0</v>
      </c>
      <c r="O58" s="85">
        <f t="shared" si="15"/>
        <v>0</v>
      </c>
      <c r="P58" s="98" t="e">
        <f t="shared" si="11"/>
        <v>#DIV/0!</v>
      </c>
      <c r="Q58" s="156">
        <v>195</v>
      </c>
      <c r="R58" s="155">
        <f t="shared" si="6"/>
        <v>1.0256410256410255</v>
      </c>
      <c r="S58" s="155">
        <f t="shared" si="13"/>
        <v>6.8285021680494387</v>
      </c>
      <c r="T58" s="156">
        <v>26629</v>
      </c>
      <c r="U58" s="156">
        <v>29289</v>
      </c>
      <c r="V58" s="85">
        <f t="shared" si="9"/>
        <v>6.6577896138482022E-3</v>
      </c>
    </row>
    <row r="59" spans="1:22" x14ac:dyDescent="0.25">
      <c r="A59" s="220" t="s">
        <v>246</v>
      </c>
      <c r="B59" s="220" t="s">
        <v>64</v>
      </c>
      <c r="C59" s="220" t="s">
        <v>244</v>
      </c>
      <c r="D59" s="220" t="s">
        <v>255</v>
      </c>
      <c r="E59" s="154">
        <v>42936</v>
      </c>
      <c r="F59" s="158">
        <v>42938</v>
      </c>
      <c r="G59" s="98">
        <v>0</v>
      </c>
      <c r="H59" s="258">
        <f t="shared" si="0"/>
        <v>217</v>
      </c>
      <c r="I59" s="258">
        <v>200</v>
      </c>
      <c r="J59" s="258">
        <f t="shared" si="1"/>
        <v>17</v>
      </c>
      <c r="K59" s="257">
        <f t="shared" si="12"/>
        <v>0</v>
      </c>
      <c r="L59" s="257">
        <f t="shared" si="3"/>
        <v>0</v>
      </c>
      <c r="M59">
        <f>25+74</f>
        <v>99</v>
      </c>
      <c r="N59" s="156">
        <v>0</v>
      </c>
      <c r="O59" s="85">
        <f t="shared" si="15"/>
        <v>0</v>
      </c>
      <c r="P59" s="98" t="e">
        <f t="shared" si="11"/>
        <v>#DIV/0!</v>
      </c>
      <c r="Q59" s="156">
        <v>250</v>
      </c>
      <c r="R59" s="155">
        <f t="shared" si="6"/>
        <v>0.8</v>
      </c>
      <c r="S59" s="155">
        <f t="shared" si="13"/>
        <v>10.521332000631279</v>
      </c>
      <c r="T59" s="156">
        <v>17458</v>
      </c>
      <c r="U59" s="156">
        <v>19009</v>
      </c>
      <c r="V59" s="85">
        <f t="shared" si="9"/>
        <v>1.31516650007891E-2</v>
      </c>
    </row>
    <row r="60" spans="1:22" x14ac:dyDescent="0.25">
      <c r="A60" s="220" t="s">
        <v>246</v>
      </c>
      <c r="B60" s="220" t="s">
        <v>64</v>
      </c>
      <c r="C60" s="220" t="s">
        <v>244</v>
      </c>
      <c r="D60" s="220" t="s">
        <v>256</v>
      </c>
      <c r="E60" s="154">
        <v>42936</v>
      </c>
      <c r="F60" s="158">
        <v>42938</v>
      </c>
      <c r="G60" s="98">
        <v>0</v>
      </c>
      <c r="H60" s="258">
        <f t="shared" si="0"/>
        <v>217</v>
      </c>
      <c r="I60" s="258">
        <v>200</v>
      </c>
      <c r="J60" s="258">
        <f t="shared" si="1"/>
        <v>17</v>
      </c>
      <c r="K60" s="257">
        <f t="shared" si="12"/>
        <v>0</v>
      </c>
      <c r="L60" s="257">
        <f t="shared" si="3"/>
        <v>0</v>
      </c>
      <c r="M60">
        <v>49</v>
      </c>
      <c r="N60" s="156">
        <v>0</v>
      </c>
      <c r="O60" s="85">
        <f t="shared" si="15"/>
        <v>0</v>
      </c>
      <c r="P60" s="98" t="e">
        <f t="shared" si="11"/>
        <v>#DIV/0!</v>
      </c>
      <c r="Q60" s="156">
        <v>287</v>
      </c>
      <c r="R60" s="155">
        <f t="shared" si="6"/>
        <v>0.69686411149825789</v>
      </c>
      <c r="S60" s="155">
        <f t="shared" si="13"/>
        <v>2.725835468571117</v>
      </c>
      <c r="T60" s="156">
        <v>66840</v>
      </c>
      <c r="U60" s="156">
        <v>73372</v>
      </c>
      <c r="V60" s="85">
        <f t="shared" si="9"/>
        <v>3.9115738973995529E-3</v>
      </c>
    </row>
    <row r="61" spans="1:22" x14ac:dyDescent="0.25">
      <c r="A61" s="220" t="s">
        <v>246</v>
      </c>
      <c r="B61" s="220" t="s">
        <v>64</v>
      </c>
      <c r="C61" s="220" t="s">
        <v>244</v>
      </c>
      <c r="D61" s="220" t="s">
        <v>257</v>
      </c>
      <c r="E61" s="154">
        <v>42936</v>
      </c>
      <c r="F61" s="158">
        <v>42938</v>
      </c>
      <c r="G61" s="98">
        <v>0</v>
      </c>
      <c r="H61" s="258">
        <f t="shared" si="0"/>
        <v>216.35984999999999</v>
      </c>
      <c r="I61" s="258">
        <v>199.41</v>
      </c>
      <c r="J61" s="258">
        <f t="shared" si="1"/>
        <v>16.949850000000001</v>
      </c>
      <c r="K61" s="257">
        <f t="shared" si="12"/>
        <v>0</v>
      </c>
      <c r="L61" s="257">
        <f t="shared" si="3"/>
        <v>0</v>
      </c>
      <c r="M61">
        <v>59</v>
      </c>
      <c r="N61" s="156">
        <v>0</v>
      </c>
      <c r="O61" s="85">
        <f t="shared" si="15"/>
        <v>0</v>
      </c>
      <c r="P61" s="98" t="e">
        <f t="shared" si="11"/>
        <v>#DIV/0!</v>
      </c>
      <c r="Q61" s="156">
        <v>335</v>
      </c>
      <c r="R61" s="155">
        <f t="shared" si="6"/>
        <v>0.59525373134328352</v>
      </c>
      <c r="S61" s="155">
        <f t="shared" si="13"/>
        <v>5.1866205425650893</v>
      </c>
      <c r="T61" s="156">
        <v>32268</v>
      </c>
      <c r="U61" s="156">
        <v>38447</v>
      </c>
      <c r="V61" s="85">
        <f t="shared" si="9"/>
        <v>8.7132936249902457E-3</v>
      </c>
    </row>
    <row r="62" spans="1:22" x14ac:dyDescent="0.25">
      <c r="A62" s="220" t="s">
        <v>246</v>
      </c>
      <c r="B62" s="220" t="s">
        <v>64</v>
      </c>
      <c r="C62" s="220" t="s">
        <v>244</v>
      </c>
      <c r="D62" s="220" t="s">
        <v>258</v>
      </c>
      <c r="E62" s="154">
        <v>42936</v>
      </c>
      <c r="F62" s="158">
        <v>42938</v>
      </c>
      <c r="G62" s="98">
        <v>0</v>
      </c>
      <c r="H62" s="258">
        <f t="shared" si="0"/>
        <v>216.03435000000002</v>
      </c>
      <c r="I62" s="258">
        <v>199.11</v>
      </c>
      <c r="J62" s="258">
        <f t="shared" si="1"/>
        <v>16.924350000000004</v>
      </c>
      <c r="K62" s="257">
        <f t="shared" si="12"/>
        <v>0</v>
      </c>
      <c r="L62" s="257">
        <f t="shared" si="3"/>
        <v>0</v>
      </c>
      <c r="M62">
        <f>36+34</f>
        <v>70</v>
      </c>
      <c r="N62" s="156">
        <v>0</v>
      </c>
      <c r="O62" s="85">
        <f t="shared" si="15"/>
        <v>0</v>
      </c>
      <c r="P62" s="98" t="e">
        <f t="shared" si="11"/>
        <v>#DIV/0!</v>
      </c>
      <c r="Q62" s="156">
        <v>334</v>
      </c>
      <c r="R62" s="155">
        <f t="shared" si="6"/>
        <v>0.5961377245508982</v>
      </c>
      <c r="S62" s="155">
        <f t="shared" si="13"/>
        <v>4.495495698900454</v>
      </c>
      <c r="T62" s="156">
        <v>40155</v>
      </c>
      <c r="U62" s="156">
        <v>44291</v>
      </c>
      <c r="V62" s="85">
        <f t="shared" si="9"/>
        <v>7.5410354248041361E-3</v>
      </c>
    </row>
    <row r="63" spans="1:22" x14ac:dyDescent="0.25">
      <c r="A63" s="220" t="s">
        <v>246</v>
      </c>
      <c r="B63" s="220" t="s">
        <v>64</v>
      </c>
      <c r="C63" s="220" t="s">
        <v>244</v>
      </c>
      <c r="D63" s="220" t="s">
        <v>259</v>
      </c>
      <c r="E63" s="154">
        <v>42936</v>
      </c>
      <c r="F63" s="158">
        <v>42938</v>
      </c>
      <c r="G63" s="98">
        <v>0</v>
      </c>
      <c r="H63" s="258">
        <f t="shared" si="0"/>
        <v>214.50449999999998</v>
      </c>
      <c r="I63" s="258">
        <v>197.7</v>
      </c>
      <c r="J63" s="258">
        <f t="shared" si="1"/>
        <v>16.804500000000001</v>
      </c>
      <c r="K63" s="257">
        <f t="shared" si="12"/>
        <v>0</v>
      </c>
      <c r="L63" s="257">
        <f t="shared" si="3"/>
        <v>0</v>
      </c>
      <c r="M63">
        <v>57</v>
      </c>
      <c r="N63" s="156">
        <v>0</v>
      </c>
      <c r="O63" s="85">
        <f t="shared" si="15"/>
        <v>0</v>
      </c>
      <c r="P63" s="98" t="e">
        <f t="shared" si="11"/>
        <v>#DIV/0!</v>
      </c>
      <c r="Q63" s="156">
        <v>192</v>
      </c>
      <c r="R63" s="155">
        <f t="shared" si="6"/>
        <v>1.0296874999999999</v>
      </c>
      <c r="S63" s="155">
        <f t="shared" si="13"/>
        <v>9.0080648835831774</v>
      </c>
      <c r="T63" s="156">
        <v>16012</v>
      </c>
      <c r="U63" s="156">
        <v>21947</v>
      </c>
      <c r="V63" s="85">
        <f t="shared" si="9"/>
        <v>8.7483482936164397E-3</v>
      </c>
    </row>
    <row r="64" spans="1:22" x14ac:dyDescent="0.25">
      <c r="A64" s="220" t="s">
        <v>246</v>
      </c>
      <c r="B64" s="220" t="s">
        <v>64</v>
      </c>
      <c r="C64" s="220" t="s">
        <v>244</v>
      </c>
      <c r="D64" s="220" t="s">
        <v>267</v>
      </c>
      <c r="E64" s="154">
        <v>42936</v>
      </c>
      <c r="F64" s="158">
        <v>42938</v>
      </c>
      <c r="G64" s="98">
        <v>0</v>
      </c>
      <c r="H64" s="258">
        <f t="shared" si="0"/>
        <v>214.20069999999998</v>
      </c>
      <c r="I64" s="258">
        <v>197.42</v>
      </c>
      <c r="J64" s="258">
        <f t="shared" si="1"/>
        <v>16.7807</v>
      </c>
      <c r="K64" s="257">
        <f t="shared" si="12"/>
        <v>0</v>
      </c>
      <c r="L64" s="257">
        <f t="shared" si="3"/>
        <v>0</v>
      </c>
      <c r="M64">
        <v>38</v>
      </c>
      <c r="N64" s="156">
        <v>0</v>
      </c>
      <c r="O64" s="85">
        <f t="shared" si="15"/>
        <v>0</v>
      </c>
      <c r="P64" s="98" t="e">
        <f t="shared" si="11"/>
        <v>#DIV/0!</v>
      </c>
      <c r="Q64" s="156">
        <v>180</v>
      </c>
      <c r="R64" s="155">
        <f t="shared" si="6"/>
        <v>1.0967777777777776</v>
      </c>
      <c r="S64" s="155">
        <f t="shared" si="13"/>
        <v>9.3457678469986742</v>
      </c>
      <c r="T64" s="156">
        <v>19366</v>
      </c>
      <c r="U64" s="156">
        <v>21124</v>
      </c>
      <c r="V64" s="85">
        <f t="shared" si="9"/>
        <v>8.5211134254875968E-3</v>
      </c>
    </row>
    <row r="65" spans="1:22" x14ac:dyDescent="0.25">
      <c r="A65" s="220" t="s">
        <v>246</v>
      </c>
      <c r="B65" s="220" t="s">
        <v>64</v>
      </c>
      <c r="C65" s="220" t="s">
        <v>244</v>
      </c>
      <c r="D65" s="220" t="s">
        <v>260</v>
      </c>
      <c r="E65" s="154">
        <v>42936</v>
      </c>
      <c r="F65" s="158">
        <v>42938</v>
      </c>
      <c r="G65" s="98">
        <v>0</v>
      </c>
      <c r="H65" s="258">
        <f t="shared" si="0"/>
        <v>211.2278</v>
      </c>
      <c r="I65" s="258">
        <v>194.68</v>
      </c>
      <c r="J65" s="258">
        <f t="shared" si="1"/>
        <v>16.547800000000002</v>
      </c>
      <c r="K65" s="257">
        <f t="shared" si="12"/>
        <v>0</v>
      </c>
      <c r="L65" s="257">
        <f t="shared" si="3"/>
        <v>0</v>
      </c>
      <c r="M65">
        <v>31</v>
      </c>
      <c r="N65" s="156">
        <v>0</v>
      </c>
      <c r="O65" s="85">
        <f t="shared" si="15"/>
        <v>0</v>
      </c>
      <c r="P65" s="98" t="e">
        <f t="shared" si="11"/>
        <v>#DIV/0!</v>
      </c>
      <c r="Q65" s="156">
        <v>82</v>
      </c>
      <c r="R65" s="155">
        <f t="shared" si="6"/>
        <v>2.3741463414634145</v>
      </c>
      <c r="S65" s="155">
        <f t="shared" si="13"/>
        <v>17.26805038140855</v>
      </c>
      <c r="T65" s="156">
        <v>8728</v>
      </c>
      <c r="U65" s="156">
        <v>11274</v>
      </c>
      <c r="V65" s="85">
        <f t="shared" si="9"/>
        <v>7.2733723611850274E-3</v>
      </c>
    </row>
    <row r="66" spans="1:22" x14ac:dyDescent="0.25">
      <c r="A66" s="220" t="s">
        <v>246</v>
      </c>
      <c r="B66" s="220" t="s">
        <v>64</v>
      </c>
      <c r="C66" s="220" t="s">
        <v>244</v>
      </c>
      <c r="D66" s="220" t="s">
        <v>261</v>
      </c>
      <c r="E66" s="154">
        <v>42936</v>
      </c>
      <c r="F66" s="158">
        <v>42938</v>
      </c>
      <c r="G66" s="98">
        <v>219</v>
      </c>
      <c r="H66" s="258">
        <f t="shared" si="0"/>
        <v>205.23859999999999</v>
      </c>
      <c r="I66" s="258">
        <v>189.16</v>
      </c>
      <c r="J66" s="258">
        <f t="shared" si="1"/>
        <v>16.078600000000002</v>
      </c>
      <c r="K66" s="257">
        <f t="shared" si="12"/>
        <v>1.1577500528652993</v>
      </c>
      <c r="L66" s="257">
        <f t="shared" si="3"/>
        <v>1.0670507399680178</v>
      </c>
      <c r="M66">
        <v>141</v>
      </c>
      <c r="N66" s="219">
        <v>2</v>
      </c>
      <c r="O66" s="85">
        <f t="shared" si="15"/>
        <v>1.4184397163120567E-2</v>
      </c>
      <c r="P66" s="98">
        <f t="shared" si="11"/>
        <v>109.5</v>
      </c>
      <c r="Q66" s="156">
        <v>89</v>
      </c>
      <c r="R66" s="155">
        <f t="shared" si="6"/>
        <v>2.1253932584269664</v>
      </c>
      <c r="S66" s="155">
        <f t="shared" si="13"/>
        <v>40.635875402792699</v>
      </c>
      <c r="T66" s="156">
        <v>3171</v>
      </c>
      <c r="U66" s="156">
        <v>4655</v>
      </c>
      <c r="V66" s="85">
        <f t="shared" si="9"/>
        <v>1.911922663802363E-2</v>
      </c>
    </row>
    <row r="67" spans="1:22" x14ac:dyDescent="0.25">
      <c r="A67" s="220" t="s">
        <v>246</v>
      </c>
      <c r="B67" s="220" t="s">
        <v>64</v>
      </c>
      <c r="C67" s="220" t="s">
        <v>244</v>
      </c>
      <c r="D67" s="220" t="s">
        <v>262</v>
      </c>
      <c r="E67" s="154">
        <v>42936</v>
      </c>
      <c r="F67" s="158">
        <v>42938</v>
      </c>
      <c r="G67" s="98">
        <v>0</v>
      </c>
      <c r="H67" s="258">
        <f t="shared" ref="H67" si="16">I67+J67</f>
        <v>156.27255</v>
      </c>
      <c r="I67" s="258">
        <v>144.03</v>
      </c>
      <c r="J67" s="258">
        <f t="shared" ref="J67:J92" si="17">I67*0.085</f>
        <v>12.242550000000001</v>
      </c>
      <c r="K67" s="257">
        <f t="shared" si="12"/>
        <v>0</v>
      </c>
      <c r="L67" s="257">
        <f t="shared" ref="L67" si="18">G67/H67</f>
        <v>0</v>
      </c>
      <c r="M67">
        <v>25</v>
      </c>
      <c r="N67" s="156">
        <v>0</v>
      </c>
      <c r="O67" s="85">
        <f t="shared" si="15"/>
        <v>0</v>
      </c>
      <c r="P67" s="98" t="e">
        <f t="shared" si="11"/>
        <v>#DIV/0!</v>
      </c>
      <c r="Q67" s="156">
        <v>75</v>
      </c>
      <c r="R67" s="155">
        <f t="shared" ref="R67:R92" si="19">I67/Q67</f>
        <v>1.9204000000000001</v>
      </c>
      <c r="S67" s="155">
        <f t="shared" si="13"/>
        <v>27.50238686270766</v>
      </c>
      <c r="T67" s="156">
        <v>3126</v>
      </c>
      <c r="U67" s="156">
        <v>5237</v>
      </c>
      <c r="V67" s="85">
        <f t="shared" si="9"/>
        <v>1.4321176245942334E-2</v>
      </c>
    </row>
    <row r="68" spans="1:22" x14ac:dyDescent="0.25">
      <c r="A68" s="220" t="s">
        <v>246</v>
      </c>
      <c r="B68" s="220" t="s">
        <v>64</v>
      </c>
      <c r="C68" s="220" t="s">
        <v>244</v>
      </c>
      <c r="D68" s="220" t="s">
        <v>222</v>
      </c>
      <c r="E68" s="154">
        <v>42936</v>
      </c>
      <c r="F68" s="158">
        <v>42938</v>
      </c>
      <c r="G68" s="98">
        <v>349</v>
      </c>
      <c r="H68" s="258">
        <f t="shared" ref="H68:H92" si="20">I68+J68</f>
        <v>155.70835</v>
      </c>
      <c r="I68" s="258">
        <v>143.51</v>
      </c>
      <c r="J68" s="258">
        <f t="shared" si="17"/>
        <v>12.19835</v>
      </c>
      <c r="K68" s="257">
        <f t="shared" si="12"/>
        <v>2.4318862797017631</v>
      </c>
      <c r="L68" s="257">
        <f t="shared" ref="L68:L74" si="21">G68/H68</f>
        <v>2.2413698430430995</v>
      </c>
      <c r="M68">
        <f>99+3</f>
        <v>102</v>
      </c>
      <c r="N68" s="219">
        <v>2</v>
      </c>
      <c r="O68" s="85">
        <f t="shared" si="15"/>
        <v>1.9607843137254902E-2</v>
      </c>
      <c r="P68" s="98">
        <f t="shared" si="11"/>
        <v>174.5</v>
      </c>
      <c r="Q68" s="156">
        <v>57</v>
      </c>
      <c r="R68" s="155">
        <f t="shared" si="19"/>
        <v>2.517719298245614</v>
      </c>
      <c r="S68" s="155">
        <f t="shared" si="13"/>
        <v>44.735037406483791</v>
      </c>
      <c r="T68" s="156">
        <v>2122</v>
      </c>
      <c r="U68" s="156">
        <v>3208</v>
      </c>
      <c r="V68" s="85">
        <f t="shared" si="9"/>
        <v>1.7768079800498753E-2</v>
      </c>
    </row>
    <row r="69" spans="1:22" x14ac:dyDescent="0.25">
      <c r="A69" s="220" t="s">
        <v>246</v>
      </c>
      <c r="B69" s="220" t="s">
        <v>64</v>
      </c>
      <c r="C69" s="220" t="s">
        <v>244</v>
      </c>
      <c r="D69" s="220" t="s">
        <v>268</v>
      </c>
      <c r="E69" s="154">
        <v>42936</v>
      </c>
      <c r="F69" s="158">
        <v>42938</v>
      </c>
      <c r="G69" s="98">
        <v>190</v>
      </c>
      <c r="H69" s="258">
        <f t="shared" si="20"/>
        <v>151.33579999999998</v>
      </c>
      <c r="I69" s="258">
        <v>139.47999999999999</v>
      </c>
      <c r="J69" s="258">
        <f t="shared" si="17"/>
        <v>11.8558</v>
      </c>
      <c r="K69" s="257">
        <f t="shared" si="12"/>
        <v>1.3622024663034127</v>
      </c>
      <c r="L69" s="257">
        <f t="shared" si="21"/>
        <v>1.2554861440584451</v>
      </c>
      <c r="M69">
        <v>33</v>
      </c>
      <c r="N69" s="219">
        <v>1</v>
      </c>
      <c r="O69" s="85">
        <f t="shared" si="15"/>
        <v>3.0303030303030304E-2</v>
      </c>
      <c r="P69" s="98">
        <f t="shared" si="11"/>
        <v>190</v>
      </c>
      <c r="Q69" s="156">
        <v>72</v>
      </c>
      <c r="R69" s="155">
        <f t="shared" si="19"/>
        <v>1.9372222222222222</v>
      </c>
      <c r="S69" s="155">
        <f t="shared" si="13"/>
        <v>24.630054741303194</v>
      </c>
      <c r="T69" s="156">
        <v>3383</v>
      </c>
      <c r="U69" s="156">
        <v>5663</v>
      </c>
      <c r="V69" s="85">
        <f t="shared" si="9"/>
        <v>1.2714109129436693E-2</v>
      </c>
    </row>
    <row r="70" spans="1:22" x14ac:dyDescent="0.25">
      <c r="A70" s="220" t="s">
        <v>246</v>
      </c>
      <c r="B70" s="220" t="s">
        <v>64</v>
      </c>
      <c r="C70" s="220" t="s">
        <v>244</v>
      </c>
      <c r="D70" s="220" t="s">
        <v>269</v>
      </c>
      <c r="E70" s="154">
        <v>42936</v>
      </c>
      <c r="F70" s="158">
        <v>42938</v>
      </c>
      <c r="G70" s="98">
        <v>120</v>
      </c>
      <c r="H70" s="258">
        <f t="shared" si="20"/>
        <v>142.53645</v>
      </c>
      <c r="I70" s="258">
        <v>131.37</v>
      </c>
      <c r="J70" s="258">
        <f t="shared" si="17"/>
        <v>11.166450000000001</v>
      </c>
      <c r="K70" s="257">
        <f t="shared" si="12"/>
        <v>0.91345055948846765</v>
      </c>
      <c r="L70" s="257">
        <f t="shared" si="21"/>
        <v>0.84188991657923284</v>
      </c>
      <c r="M70">
        <v>14</v>
      </c>
      <c r="N70" s="219">
        <v>1</v>
      </c>
      <c r="O70" s="85">
        <f t="shared" si="15"/>
        <v>7.1428571428571425E-2</v>
      </c>
      <c r="P70" s="98">
        <f t="shared" si="11"/>
        <v>120</v>
      </c>
      <c r="Q70" s="156">
        <v>81</v>
      </c>
      <c r="R70" s="155">
        <f t="shared" si="19"/>
        <v>1.6218518518518519</v>
      </c>
      <c r="S70" s="155">
        <f t="shared" si="13"/>
        <v>11.945985268709649</v>
      </c>
      <c r="T70" s="156">
        <v>8687</v>
      </c>
      <c r="U70" s="156">
        <v>10997</v>
      </c>
      <c r="V70" s="85">
        <f t="shared" si="9"/>
        <v>7.3656451759570793E-3</v>
      </c>
    </row>
    <row r="71" spans="1:22" x14ac:dyDescent="0.25">
      <c r="A71" s="220" t="s">
        <v>246</v>
      </c>
      <c r="B71" s="220" t="s">
        <v>64</v>
      </c>
      <c r="C71" s="220" t="s">
        <v>244</v>
      </c>
      <c r="D71" s="220" t="s">
        <v>263</v>
      </c>
      <c r="E71" s="154">
        <v>42936</v>
      </c>
      <c r="F71" s="158">
        <v>42938</v>
      </c>
      <c r="G71" s="98">
        <v>0</v>
      </c>
      <c r="H71" s="258">
        <f t="shared" si="20"/>
        <v>107.48010000000001</v>
      </c>
      <c r="I71" s="258">
        <v>99.06</v>
      </c>
      <c r="J71" s="258">
        <f t="shared" si="17"/>
        <v>8.4201000000000015</v>
      </c>
      <c r="K71" s="257">
        <f t="shared" si="12"/>
        <v>0</v>
      </c>
      <c r="L71" s="257">
        <f t="shared" si="21"/>
        <v>0</v>
      </c>
      <c r="M71">
        <v>17</v>
      </c>
      <c r="N71" s="156">
        <v>0</v>
      </c>
      <c r="O71" s="85">
        <f t="shared" si="15"/>
        <v>0</v>
      </c>
      <c r="P71" s="98" t="e">
        <f t="shared" si="11"/>
        <v>#DIV/0!</v>
      </c>
      <c r="Q71" s="156">
        <v>55</v>
      </c>
      <c r="R71" s="155">
        <f t="shared" si="19"/>
        <v>1.8010909090909091</v>
      </c>
      <c r="S71" s="155">
        <f t="shared" si="13"/>
        <v>19.666468135795117</v>
      </c>
      <c r="T71" s="156">
        <v>3214</v>
      </c>
      <c r="U71" s="156">
        <v>5037</v>
      </c>
      <c r="V71" s="85">
        <f t="shared" si="9"/>
        <v>1.0919197935278936E-2</v>
      </c>
    </row>
    <row r="72" spans="1:22" x14ac:dyDescent="0.25">
      <c r="A72" s="220" t="s">
        <v>246</v>
      </c>
      <c r="B72" s="220" t="s">
        <v>64</v>
      </c>
      <c r="C72" s="220" t="s">
        <v>244</v>
      </c>
      <c r="D72" s="220" t="s">
        <v>264</v>
      </c>
      <c r="E72" s="154">
        <v>42936</v>
      </c>
      <c r="F72" s="158">
        <v>42938</v>
      </c>
      <c r="G72" s="98">
        <v>0</v>
      </c>
      <c r="H72" s="258">
        <f t="shared" si="20"/>
        <v>105.6139</v>
      </c>
      <c r="I72" s="258">
        <v>97.34</v>
      </c>
      <c r="J72" s="258">
        <f t="shared" si="17"/>
        <v>8.2739000000000011</v>
      </c>
      <c r="K72" s="257">
        <f t="shared" si="12"/>
        <v>0</v>
      </c>
      <c r="L72" s="257">
        <f t="shared" si="21"/>
        <v>0</v>
      </c>
      <c r="M72">
        <v>19</v>
      </c>
      <c r="N72" s="156">
        <v>0</v>
      </c>
      <c r="O72" s="85">
        <f t="shared" si="15"/>
        <v>0</v>
      </c>
      <c r="P72" s="98" t="e">
        <f t="shared" si="11"/>
        <v>#DIV/0!</v>
      </c>
      <c r="Q72" s="156">
        <v>25</v>
      </c>
      <c r="R72" s="155">
        <f t="shared" si="19"/>
        <v>3.8936000000000002</v>
      </c>
      <c r="S72" s="155">
        <f t="shared" si="13"/>
        <v>38.904876099120706</v>
      </c>
      <c r="T72" s="156">
        <v>1737</v>
      </c>
      <c r="U72" s="156">
        <v>2502</v>
      </c>
      <c r="V72" s="85">
        <f t="shared" si="9"/>
        <v>9.9920063948840919E-3</v>
      </c>
    </row>
    <row r="73" spans="1:22" x14ac:dyDescent="0.25">
      <c r="A73" s="220" t="s">
        <v>246</v>
      </c>
      <c r="B73" s="220" t="s">
        <v>64</v>
      </c>
      <c r="C73" s="220" t="s">
        <v>244</v>
      </c>
      <c r="D73" s="220" t="s">
        <v>265</v>
      </c>
      <c r="E73" s="154">
        <v>42936</v>
      </c>
      <c r="F73" s="158">
        <v>42938</v>
      </c>
      <c r="G73" s="98">
        <v>0</v>
      </c>
      <c r="H73" s="258">
        <f t="shared" si="20"/>
        <v>32.549999999999997</v>
      </c>
      <c r="I73" s="258">
        <v>30</v>
      </c>
      <c r="J73" s="258">
        <f t="shared" si="17"/>
        <v>2.5500000000000003</v>
      </c>
      <c r="K73" s="257">
        <f t="shared" si="12"/>
        <v>0</v>
      </c>
      <c r="L73" s="257">
        <f t="shared" si="21"/>
        <v>0</v>
      </c>
      <c r="M73">
        <v>7</v>
      </c>
      <c r="N73" s="156">
        <v>0</v>
      </c>
      <c r="O73" s="85">
        <f t="shared" si="15"/>
        <v>0</v>
      </c>
      <c r="P73" s="98" t="e">
        <f t="shared" si="11"/>
        <v>#DIV/0!</v>
      </c>
      <c r="Q73" s="156">
        <v>53</v>
      </c>
      <c r="R73" s="155">
        <f t="shared" si="19"/>
        <v>0.56603773584905659</v>
      </c>
      <c r="S73" s="155">
        <f t="shared" si="13"/>
        <v>3.2386915686062827</v>
      </c>
      <c r="T73" s="156">
        <v>8722</v>
      </c>
      <c r="U73" s="156">
        <v>9263</v>
      </c>
      <c r="V73" s="85">
        <f t="shared" si="9"/>
        <v>5.7216884378711004E-3</v>
      </c>
    </row>
    <row r="74" spans="1:22" x14ac:dyDescent="0.25">
      <c r="A74" s="220" t="s">
        <v>246</v>
      </c>
      <c r="B74" s="220" t="s">
        <v>64</v>
      </c>
      <c r="C74" s="220" t="s">
        <v>244</v>
      </c>
      <c r="D74" s="220" t="s">
        <v>266</v>
      </c>
      <c r="E74" s="154">
        <v>42936</v>
      </c>
      <c r="F74" s="158">
        <v>42938</v>
      </c>
      <c r="G74" s="98">
        <v>0</v>
      </c>
      <c r="H74" s="258">
        <f t="shared" si="20"/>
        <v>32.050899999999999</v>
      </c>
      <c r="I74" s="258">
        <v>29.54</v>
      </c>
      <c r="J74" s="258">
        <f t="shared" si="17"/>
        <v>2.5108999999999999</v>
      </c>
      <c r="K74" s="257">
        <f t="shared" si="12"/>
        <v>0</v>
      </c>
      <c r="L74" s="257">
        <f t="shared" si="21"/>
        <v>0</v>
      </c>
      <c r="M74">
        <v>10</v>
      </c>
      <c r="N74" s="156">
        <v>0</v>
      </c>
      <c r="O74" s="85">
        <f t="shared" si="15"/>
        <v>0</v>
      </c>
      <c r="P74" s="98" t="e">
        <f t="shared" si="11"/>
        <v>#DIV/0!</v>
      </c>
      <c r="Q74" s="156">
        <v>50</v>
      </c>
      <c r="R74" s="155">
        <f t="shared" si="19"/>
        <v>0.59079999999999999</v>
      </c>
      <c r="S74" s="155">
        <f t="shared" si="13"/>
        <v>10.232074818150329</v>
      </c>
      <c r="T74" s="156">
        <v>2488</v>
      </c>
      <c r="U74" s="156">
        <v>2887</v>
      </c>
      <c r="V74" s="85">
        <f t="shared" si="9"/>
        <v>1.7319016279875303E-2</v>
      </c>
    </row>
    <row r="75" spans="1:22" x14ac:dyDescent="0.25">
      <c r="A75" s="220" t="s">
        <v>73</v>
      </c>
      <c r="B75" s="229" t="s">
        <v>75</v>
      </c>
      <c r="C75" s="422"/>
      <c r="D75" s="422" t="s">
        <v>304</v>
      </c>
      <c r="E75" s="154">
        <v>42993</v>
      </c>
      <c r="F75" s="158">
        <v>42999</v>
      </c>
      <c r="G75" s="98">
        <v>0</v>
      </c>
      <c r="H75" s="258">
        <f t="shared" si="20"/>
        <v>1000.0011</v>
      </c>
      <c r="I75" s="258">
        <v>921.66</v>
      </c>
      <c r="J75" s="258">
        <f t="shared" si="17"/>
        <v>78.341099999999997</v>
      </c>
      <c r="K75" s="257">
        <f t="shared" ref="K75:K79" si="22">G75/I75</f>
        <v>0</v>
      </c>
      <c r="L75" s="257">
        <f t="shared" ref="L75:L79" si="23">G75/H75</f>
        <v>0</v>
      </c>
      <c r="M75" s="156">
        <v>0</v>
      </c>
      <c r="N75" s="156">
        <v>0</v>
      </c>
      <c r="O75" s="85" t="e">
        <f t="shared" ref="O75:O79" si="24">N75/M75</f>
        <v>#DIV/0!</v>
      </c>
      <c r="P75" s="98" t="e">
        <f t="shared" ref="P75:P79" si="25">G75/N75</f>
        <v>#DIV/0!</v>
      </c>
      <c r="Q75" s="156">
        <v>1639</v>
      </c>
      <c r="R75" s="155">
        <f>I75/Q75</f>
        <v>0.56233068944478337</v>
      </c>
      <c r="S75" s="155">
        <f t="shared" ref="S75:S79" si="26">(I75/U75)*1000</f>
        <v>6.6554498057509273</v>
      </c>
      <c r="T75" s="156">
        <v>80773</v>
      </c>
      <c r="U75" s="156">
        <v>138482</v>
      </c>
      <c r="V75" s="85">
        <f t="shared" si="9"/>
        <v>1.1835473202293438E-2</v>
      </c>
    </row>
    <row r="76" spans="1:22" x14ac:dyDescent="0.25">
      <c r="A76" s="220" t="s">
        <v>73</v>
      </c>
      <c r="B76" s="229" t="s">
        <v>75</v>
      </c>
      <c r="C76" s="422"/>
      <c r="D76" s="422" t="s">
        <v>305</v>
      </c>
      <c r="E76" s="154">
        <v>42993</v>
      </c>
      <c r="F76" s="158">
        <v>42999</v>
      </c>
      <c r="G76" s="98">
        <v>0</v>
      </c>
      <c r="H76" s="258">
        <f t="shared" si="20"/>
        <v>1000.0011</v>
      </c>
      <c r="I76" s="258">
        <v>921.66</v>
      </c>
      <c r="J76" s="258">
        <f t="shared" si="17"/>
        <v>78.341099999999997</v>
      </c>
      <c r="K76" s="257">
        <f t="shared" si="22"/>
        <v>0</v>
      </c>
      <c r="L76" s="257">
        <f t="shared" si="23"/>
        <v>0</v>
      </c>
      <c r="M76" s="156">
        <v>0</v>
      </c>
      <c r="N76" s="156">
        <v>0</v>
      </c>
      <c r="O76" s="85" t="e">
        <f t="shared" si="24"/>
        <v>#DIV/0!</v>
      </c>
      <c r="P76" s="98" t="e">
        <f t="shared" si="25"/>
        <v>#DIV/0!</v>
      </c>
      <c r="Q76" s="156">
        <v>1532</v>
      </c>
      <c r="R76" s="155">
        <f t="shared" ref="R76:R79" si="27">I76/Q76</f>
        <v>0.6016057441253263</v>
      </c>
      <c r="S76" s="155">
        <f t="shared" si="26"/>
        <v>8.7742046038727359</v>
      </c>
      <c r="T76" s="156">
        <v>56083</v>
      </c>
      <c r="U76" s="156">
        <v>105042</v>
      </c>
      <c r="V76" s="85">
        <f t="shared" si="9"/>
        <v>1.4584642333542773E-2</v>
      </c>
    </row>
    <row r="77" spans="1:22" x14ac:dyDescent="0.25">
      <c r="A77" s="220" t="s">
        <v>73</v>
      </c>
      <c r="B77" s="229" t="s">
        <v>75</v>
      </c>
      <c r="C77" s="422"/>
      <c r="D77" s="422" t="s">
        <v>306</v>
      </c>
      <c r="E77" s="154">
        <v>42993</v>
      </c>
      <c r="F77" s="158">
        <v>42999</v>
      </c>
      <c r="G77" s="98">
        <v>0</v>
      </c>
      <c r="H77" s="258">
        <f t="shared" si="20"/>
        <v>999.93600000000004</v>
      </c>
      <c r="I77" s="258">
        <v>921.6</v>
      </c>
      <c r="J77" s="258">
        <f t="shared" si="17"/>
        <v>78.336000000000013</v>
      </c>
      <c r="K77" s="257">
        <f t="shared" si="22"/>
        <v>0</v>
      </c>
      <c r="L77" s="257">
        <f t="shared" si="23"/>
        <v>0</v>
      </c>
      <c r="M77" s="156">
        <v>0</v>
      </c>
      <c r="N77" s="156">
        <v>0</v>
      </c>
      <c r="O77" s="85" t="e">
        <f t="shared" si="24"/>
        <v>#DIV/0!</v>
      </c>
      <c r="P77" s="98" t="e">
        <f t="shared" si="25"/>
        <v>#DIV/0!</v>
      </c>
      <c r="Q77" s="156">
        <v>1775</v>
      </c>
      <c r="R77" s="155">
        <f t="shared" si="27"/>
        <v>0.51921126760563385</v>
      </c>
      <c r="S77" s="155">
        <f t="shared" si="26"/>
        <v>7.4300410361424412</v>
      </c>
      <c r="T77" s="156">
        <v>73250</v>
      </c>
      <c r="U77" s="156">
        <v>124037</v>
      </c>
      <c r="V77" s="85">
        <f t="shared" si="9"/>
        <v>1.4310246136233544E-2</v>
      </c>
    </row>
    <row r="78" spans="1:22" x14ac:dyDescent="0.25">
      <c r="A78" s="220" t="s">
        <v>73</v>
      </c>
      <c r="B78" s="229" t="s">
        <v>75</v>
      </c>
      <c r="C78" s="422"/>
      <c r="D78" s="422" t="s">
        <v>307</v>
      </c>
      <c r="E78" s="154">
        <v>42993</v>
      </c>
      <c r="F78" s="158">
        <v>42999</v>
      </c>
      <c r="G78" s="98">
        <v>0</v>
      </c>
      <c r="H78" s="258">
        <f t="shared" si="20"/>
        <v>1000.0011</v>
      </c>
      <c r="I78" s="258">
        <v>921.66</v>
      </c>
      <c r="J78" s="258">
        <f t="shared" si="17"/>
        <v>78.341099999999997</v>
      </c>
      <c r="K78" s="257">
        <f t="shared" si="22"/>
        <v>0</v>
      </c>
      <c r="L78" s="257">
        <f t="shared" si="23"/>
        <v>0</v>
      </c>
      <c r="M78" s="156">
        <v>0</v>
      </c>
      <c r="N78" s="156">
        <v>0</v>
      </c>
      <c r="O78" s="85" t="e">
        <f t="shared" si="24"/>
        <v>#DIV/0!</v>
      </c>
      <c r="P78" s="98" t="e">
        <f t="shared" si="25"/>
        <v>#DIV/0!</v>
      </c>
      <c r="Q78" s="156">
        <v>1620</v>
      </c>
      <c r="R78" s="155">
        <f t="shared" si="27"/>
        <v>0.56892592592592595</v>
      </c>
      <c r="S78" s="155">
        <f t="shared" si="26"/>
        <v>12.061718054755797</v>
      </c>
      <c r="T78" s="156">
        <v>43554</v>
      </c>
      <c r="U78" s="156">
        <v>76412</v>
      </c>
      <c r="V78" s="85">
        <f t="shared" si="9"/>
        <v>2.1200858503899911E-2</v>
      </c>
    </row>
    <row r="79" spans="1:22" x14ac:dyDescent="0.25">
      <c r="A79" s="220" t="s">
        <v>73</v>
      </c>
      <c r="B79" s="229" t="s">
        <v>75</v>
      </c>
      <c r="C79" s="422"/>
      <c r="D79" s="422" t="s">
        <v>308</v>
      </c>
      <c r="E79" s="154">
        <v>42993</v>
      </c>
      <c r="F79" s="158">
        <v>42999</v>
      </c>
      <c r="G79" s="98">
        <v>0</v>
      </c>
      <c r="H79" s="258">
        <f t="shared" si="20"/>
        <v>1000.0011</v>
      </c>
      <c r="I79" s="258">
        <v>921.66</v>
      </c>
      <c r="J79" s="258">
        <f t="shared" si="17"/>
        <v>78.341099999999997</v>
      </c>
      <c r="K79" s="257">
        <f t="shared" si="22"/>
        <v>0</v>
      </c>
      <c r="L79" s="257">
        <f t="shared" si="23"/>
        <v>0</v>
      </c>
      <c r="M79" s="156">
        <v>0</v>
      </c>
      <c r="N79" s="156">
        <v>0</v>
      </c>
      <c r="O79" s="85" t="e">
        <f t="shared" si="24"/>
        <v>#DIV/0!</v>
      </c>
      <c r="P79" s="98" t="e">
        <f t="shared" si="25"/>
        <v>#DIV/0!</v>
      </c>
      <c r="Q79" s="156">
        <v>1896</v>
      </c>
      <c r="R79" s="155">
        <f t="shared" si="27"/>
        <v>0.48610759493670885</v>
      </c>
      <c r="S79" s="155">
        <f t="shared" si="26"/>
        <v>7.9738030557333932</v>
      </c>
      <c r="T79" s="156">
        <v>67941</v>
      </c>
      <c r="U79" s="156">
        <v>115586</v>
      </c>
      <c r="V79" s="85">
        <f t="shared" si="9"/>
        <v>1.6403370650424791E-2</v>
      </c>
    </row>
    <row r="80" spans="1:22" x14ac:dyDescent="0.25">
      <c r="A80" s="220" t="s">
        <v>73</v>
      </c>
      <c r="B80" s="220" t="s">
        <v>76</v>
      </c>
      <c r="C80" s="220" t="s">
        <v>244</v>
      </c>
      <c r="D80" s="422" t="s">
        <v>288</v>
      </c>
      <c r="E80" s="154">
        <v>43001</v>
      </c>
      <c r="F80" s="158">
        <v>43002</v>
      </c>
      <c r="G80" s="423">
        <v>778</v>
      </c>
      <c r="H80" s="258">
        <f t="shared" si="20"/>
        <v>367.1857</v>
      </c>
      <c r="I80" s="258">
        <v>338.42</v>
      </c>
      <c r="J80" s="258">
        <f t="shared" si="17"/>
        <v>28.765700000000002</v>
      </c>
      <c r="K80" s="257">
        <f t="shared" ref="K80:K92" si="28">G80/I80</f>
        <v>2.2989185036345368</v>
      </c>
      <c r="L80" s="257">
        <f t="shared" ref="L80:L92" si="29">G80/H80</f>
        <v>2.1188188973590201</v>
      </c>
      <c r="M80">
        <v>244</v>
      </c>
      <c r="N80" s="156">
        <v>5</v>
      </c>
      <c r="O80" s="85">
        <f t="shared" si="15"/>
        <v>2.0491803278688523E-2</v>
      </c>
      <c r="P80" s="98">
        <f t="shared" si="11"/>
        <v>155.6</v>
      </c>
      <c r="Q80" s="156">
        <v>204</v>
      </c>
      <c r="R80" s="155">
        <f t="shared" si="19"/>
        <v>1.658921568627451</v>
      </c>
      <c r="S80" s="155">
        <f t="shared" si="13"/>
        <v>38.243869363769917</v>
      </c>
      <c r="T80" s="156">
        <v>3827</v>
      </c>
      <c r="U80" s="156">
        <v>8849</v>
      </c>
      <c r="V80" s="85">
        <f t="shared" si="9"/>
        <v>2.3053452367499151E-2</v>
      </c>
    </row>
    <row r="81" spans="1:22" x14ac:dyDescent="0.25">
      <c r="A81" s="220" t="s">
        <v>73</v>
      </c>
      <c r="B81" s="220" t="s">
        <v>76</v>
      </c>
      <c r="C81" s="220" t="s">
        <v>244</v>
      </c>
      <c r="D81" s="422" t="s">
        <v>220</v>
      </c>
      <c r="E81" s="154">
        <v>43001</v>
      </c>
      <c r="F81" s="158">
        <v>43002</v>
      </c>
      <c r="G81" s="423">
        <v>766</v>
      </c>
      <c r="H81" s="258">
        <f t="shared" si="20"/>
        <v>384.61080000000004</v>
      </c>
      <c r="I81" s="258">
        <v>354.48</v>
      </c>
      <c r="J81" s="258">
        <f t="shared" si="17"/>
        <v>30.130800000000004</v>
      </c>
      <c r="K81" s="257">
        <f t="shared" si="28"/>
        <v>2.1609117580681563</v>
      </c>
      <c r="L81" s="257">
        <f t="shared" si="29"/>
        <v>1.9916237401549823</v>
      </c>
      <c r="M81">
        <v>306</v>
      </c>
      <c r="N81" s="156">
        <v>4</v>
      </c>
      <c r="O81" s="85">
        <f t="shared" si="15"/>
        <v>1.3071895424836602E-2</v>
      </c>
      <c r="P81" s="98">
        <f t="shared" si="11"/>
        <v>191.5</v>
      </c>
      <c r="Q81" s="156">
        <v>269</v>
      </c>
      <c r="R81" s="155">
        <f t="shared" si="19"/>
        <v>1.3177695167286245</v>
      </c>
      <c r="S81" s="155">
        <f t="shared" si="13"/>
        <v>39.968429360694557</v>
      </c>
      <c r="T81" s="156">
        <v>4198</v>
      </c>
      <c r="U81" s="156">
        <v>8869</v>
      </c>
      <c r="V81" s="85">
        <f t="shared" si="9"/>
        <v>3.0330364189874844E-2</v>
      </c>
    </row>
    <row r="82" spans="1:22" x14ac:dyDescent="0.25">
      <c r="A82" s="220" t="s">
        <v>73</v>
      </c>
      <c r="B82" s="220" t="s">
        <v>76</v>
      </c>
      <c r="C82" s="220" t="s">
        <v>244</v>
      </c>
      <c r="D82" s="422" t="s">
        <v>289</v>
      </c>
      <c r="E82" s="154">
        <v>43001</v>
      </c>
      <c r="F82" s="158">
        <v>43002</v>
      </c>
      <c r="G82" s="423">
        <v>429</v>
      </c>
      <c r="H82" s="258">
        <f t="shared" si="20"/>
        <v>376.83134999999999</v>
      </c>
      <c r="I82" s="258">
        <v>347.31</v>
      </c>
      <c r="J82" s="258">
        <f t="shared" si="17"/>
        <v>29.521350000000002</v>
      </c>
      <c r="K82" s="257">
        <f t="shared" si="28"/>
        <v>1.2352077394834586</v>
      </c>
      <c r="L82" s="257">
        <f t="shared" si="29"/>
        <v>1.1384403128879803</v>
      </c>
      <c r="M82">
        <v>234</v>
      </c>
      <c r="N82" s="156">
        <v>3</v>
      </c>
      <c r="O82" s="85">
        <f t="shared" si="15"/>
        <v>1.282051282051282E-2</v>
      </c>
      <c r="P82" s="98">
        <f t="shared" si="11"/>
        <v>143</v>
      </c>
      <c r="Q82" s="156">
        <v>201</v>
      </c>
      <c r="R82" s="155">
        <f t="shared" si="19"/>
        <v>1.727910447761194</v>
      </c>
      <c r="S82" s="155">
        <f t="shared" si="13"/>
        <v>42.793247905372105</v>
      </c>
      <c r="T82" s="156">
        <v>3896</v>
      </c>
      <c r="U82" s="156">
        <v>8116</v>
      </c>
      <c r="V82" s="85">
        <f t="shared" si="9"/>
        <v>2.4765894529324789E-2</v>
      </c>
    </row>
    <row r="83" spans="1:22" x14ac:dyDescent="0.25">
      <c r="A83" s="220" t="s">
        <v>73</v>
      </c>
      <c r="B83" s="220" t="s">
        <v>76</v>
      </c>
      <c r="C83" s="220" t="s">
        <v>244</v>
      </c>
      <c r="D83" s="422" t="s">
        <v>290</v>
      </c>
      <c r="E83" s="154">
        <v>43001</v>
      </c>
      <c r="F83" s="158">
        <v>43002</v>
      </c>
      <c r="G83" s="423">
        <v>95</v>
      </c>
      <c r="H83" s="258">
        <f t="shared" si="20"/>
        <v>384.42635000000001</v>
      </c>
      <c r="I83" s="258">
        <v>354.31</v>
      </c>
      <c r="J83" s="258">
        <f t="shared" si="17"/>
        <v>30.116350000000001</v>
      </c>
      <c r="K83" s="257">
        <f t="shared" si="28"/>
        <v>0.26812678163190429</v>
      </c>
      <c r="L83" s="257">
        <f t="shared" si="29"/>
        <v>0.24712145772525737</v>
      </c>
      <c r="M83">
        <v>165</v>
      </c>
      <c r="N83" s="156">
        <v>1</v>
      </c>
      <c r="O83" s="85">
        <f t="shared" si="15"/>
        <v>6.0606060606060606E-3</v>
      </c>
      <c r="P83" s="98">
        <f t="shared" si="11"/>
        <v>95</v>
      </c>
      <c r="Q83" s="156">
        <v>394</v>
      </c>
      <c r="R83" s="155">
        <f t="shared" si="19"/>
        <v>0.8992639593908629</v>
      </c>
      <c r="S83" s="155">
        <f t="shared" si="13"/>
        <v>31.08255110097377</v>
      </c>
      <c r="T83" s="156">
        <v>4937</v>
      </c>
      <c r="U83" s="156">
        <v>11399</v>
      </c>
      <c r="V83" s="85">
        <f t="shared" si="9"/>
        <v>3.4564435476796211E-2</v>
      </c>
    </row>
    <row r="84" spans="1:22" x14ac:dyDescent="0.25">
      <c r="A84" s="220" t="s">
        <v>73</v>
      </c>
      <c r="B84" s="220" t="s">
        <v>76</v>
      </c>
      <c r="C84" s="220" t="s">
        <v>244</v>
      </c>
      <c r="D84" s="422" t="s">
        <v>291</v>
      </c>
      <c r="E84" s="154">
        <v>43001</v>
      </c>
      <c r="F84" s="158">
        <v>43002</v>
      </c>
      <c r="G84" s="423">
        <v>199</v>
      </c>
      <c r="H84" s="258">
        <f t="shared" si="20"/>
        <v>380.48779999999999</v>
      </c>
      <c r="I84" s="258">
        <v>350.68</v>
      </c>
      <c r="J84" s="258">
        <f t="shared" si="17"/>
        <v>29.807800000000004</v>
      </c>
      <c r="K84" s="257">
        <f t="shared" si="28"/>
        <v>0.56746891753165274</v>
      </c>
      <c r="L84" s="257">
        <f t="shared" si="29"/>
        <v>0.52301282721811315</v>
      </c>
      <c r="M84">
        <v>106</v>
      </c>
      <c r="N84" s="156">
        <v>1</v>
      </c>
      <c r="O84" s="85">
        <f t="shared" si="15"/>
        <v>9.433962264150943E-3</v>
      </c>
      <c r="P84" s="98">
        <f t="shared" si="11"/>
        <v>199</v>
      </c>
      <c r="Q84" s="156">
        <v>276</v>
      </c>
      <c r="R84" s="155">
        <f t="shared" si="19"/>
        <v>1.2705797101449277</v>
      </c>
      <c r="S84" s="155">
        <f t="shared" si="13"/>
        <v>35.322320709105561</v>
      </c>
      <c r="T84" s="156">
        <v>4445</v>
      </c>
      <c r="U84" s="156">
        <v>9928</v>
      </c>
      <c r="V84" s="85">
        <f t="shared" si="9"/>
        <v>2.7800161160354553E-2</v>
      </c>
    </row>
    <row r="85" spans="1:22" x14ac:dyDescent="0.25">
      <c r="A85" s="220" t="s">
        <v>73</v>
      </c>
      <c r="B85" s="220" t="s">
        <v>76</v>
      </c>
      <c r="C85" s="220" t="s">
        <v>244</v>
      </c>
      <c r="D85" s="422" t="s">
        <v>292</v>
      </c>
      <c r="E85" s="154">
        <v>43001</v>
      </c>
      <c r="F85" s="158">
        <v>43002</v>
      </c>
      <c r="G85" s="423">
        <v>29</v>
      </c>
      <c r="H85" s="258">
        <f t="shared" si="20"/>
        <v>384.61080000000004</v>
      </c>
      <c r="I85" s="258">
        <v>354.48</v>
      </c>
      <c r="J85" s="258">
        <f t="shared" si="17"/>
        <v>30.130800000000004</v>
      </c>
      <c r="K85" s="257">
        <f t="shared" si="28"/>
        <v>8.1809975174904084E-2</v>
      </c>
      <c r="L85" s="257">
        <f t="shared" si="29"/>
        <v>7.5400898778713435E-2</v>
      </c>
      <c r="M85">
        <v>395</v>
      </c>
      <c r="N85" s="156">
        <v>1</v>
      </c>
      <c r="O85" s="85">
        <f t="shared" si="15"/>
        <v>2.5316455696202532E-3</v>
      </c>
      <c r="P85" s="98">
        <f t="shared" si="11"/>
        <v>29</v>
      </c>
      <c r="Q85" s="156">
        <v>1847</v>
      </c>
      <c r="R85" s="155">
        <f t="shared" si="19"/>
        <v>0.1919220357336221</v>
      </c>
      <c r="S85" s="155">
        <f t="shared" si="13"/>
        <v>6.0885247591075391</v>
      </c>
      <c r="T85" s="156">
        <v>50283</v>
      </c>
      <c r="U85" s="156">
        <v>58221</v>
      </c>
      <c r="V85" s="85">
        <f t="shared" si="9"/>
        <v>3.1723948403497022E-2</v>
      </c>
    </row>
    <row r="86" spans="1:22" x14ac:dyDescent="0.25">
      <c r="A86" s="220" t="s">
        <v>73</v>
      </c>
      <c r="B86" s="220" t="s">
        <v>76</v>
      </c>
      <c r="C86" s="220" t="s">
        <v>244</v>
      </c>
      <c r="D86" s="422" t="s">
        <v>293</v>
      </c>
      <c r="E86" s="154">
        <v>43001</v>
      </c>
      <c r="F86" s="158">
        <v>43002</v>
      </c>
      <c r="G86" s="423">
        <v>0</v>
      </c>
      <c r="H86" s="258">
        <f t="shared" si="20"/>
        <v>384.61080000000004</v>
      </c>
      <c r="I86" s="258">
        <v>354.48</v>
      </c>
      <c r="J86" s="258">
        <f t="shared" si="17"/>
        <v>30.130800000000004</v>
      </c>
      <c r="K86" s="257">
        <f t="shared" si="28"/>
        <v>0</v>
      </c>
      <c r="L86" s="257">
        <f t="shared" si="29"/>
        <v>0</v>
      </c>
      <c r="M86">
        <v>200</v>
      </c>
      <c r="N86" s="156">
        <v>0</v>
      </c>
      <c r="O86" s="85">
        <f t="shared" si="15"/>
        <v>0</v>
      </c>
      <c r="P86" s="98" t="e">
        <f t="shared" si="11"/>
        <v>#DIV/0!</v>
      </c>
      <c r="Q86" s="156">
        <v>1237</v>
      </c>
      <c r="R86" s="155">
        <f t="shared" si="19"/>
        <v>0.28656426839126919</v>
      </c>
      <c r="S86" s="155">
        <f t="shared" si="13"/>
        <v>7.2245546814494768</v>
      </c>
      <c r="T86" s="156">
        <v>39812</v>
      </c>
      <c r="U86" s="156">
        <v>49066</v>
      </c>
      <c r="V86" s="85">
        <f t="shared" si="9"/>
        <v>2.5210940366037583E-2</v>
      </c>
    </row>
    <row r="87" spans="1:22" x14ac:dyDescent="0.25">
      <c r="A87" s="220" t="s">
        <v>73</v>
      </c>
      <c r="B87" s="220" t="s">
        <v>76</v>
      </c>
      <c r="C87" s="220" t="s">
        <v>244</v>
      </c>
      <c r="D87" s="422" t="s">
        <v>294</v>
      </c>
      <c r="E87" s="154">
        <v>43001</v>
      </c>
      <c r="F87" s="158">
        <v>43002</v>
      </c>
      <c r="G87" s="423">
        <v>46</v>
      </c>
      <c r="H87" s="258">
        <f t="shared" si="20"/>
        <v>384.61080000000004</v>
      </c>
      <c r="I87" s="258">
        <v>354.48</v>
      </c>
      <c r="J87" s="258">
        <f t="shared" si="17"/>
        <v>30.130800000000004</v>
      </c>
      <c r="K87" s="257">
        <f t="shared" si="28"/>
        <v>0.1297675468291582</v>
      </c>
      <c r="L87" s="257">
        <f t="shared" si="29"/>
        <v>0.11960142564899372</v>
      </c>
      <c r="M87">
        <v>302</v>
      </c>
      <c r="N87" s="156">
        <v>1</v>
      </c>
      <c r="O87" s="85">
        <f t="shared" si="15"/>
        <v>3.3112582781456954E-3</v>
      </c>
      <c r="P87" s="98">
        <f t="shared" si="11"/>
        <v>46</v>
      </c>
      <c r="Q87" s="156">
        <v>1474</v>
      </c>
      <c r="R87" s="155">
        <f t="shared" si="19"/>
        <v>0.24048846675712349</v>
      </c>
      <c r="S87" s="155">
        <f t="shared" si="13"/>
        <v>6.6681715575620766</v>
      </c>
      <c r="T87" s="156">
        <v>46243</v>
      </c>
      <c r="U87" s="156">
        <v>53160</v>
      </c>
      <c r="V87" s="85">
        <f t="shared" si="9"/>
        <v>2.7727614747930774E-2</v>
      </c>
    </row>
    <row r="88" spans="1:22" x14ac:dyDescent="0.25">
      <c r="A88" s="220" t="s">
        <v>73</v>
      </c>
      <c r="B88" s="220" t="s">
        <v>76</v>
      </c>
      <c r="C88" s="220" t="s">
        <v>244</v>
      </c>
      <c r="D88" s="422" t="s">
        <v>295</v>
      </c>
      <c r="E88" s="154">
        <v>43001</v>
      </c>
      <c r="F88" s="158">
        <v>43002</v>
      </c>
      <c r="G88" s="423">
        <v>0</v>
      </c>
      <c r="H88" s="258">
        <f t="shared" si="20"/>
        <v>384.61080000000004</v>
      </c>
      <c r="I88" s="258">
        <v>354.48</v>
      </c>
      <c r="J88" s="258">
        <f t="shared" si="17"/>
        <v>30.130800000000004</v>
      </c>
      <c r="K88" s="257">
        <f t="shared" si="28"/>
        <v>0</v>
      </c>
      <c r="L88" s="257">
        <f t="shared" si="29"/>
        <v>0</v>
      </c>
      <c r="M88">
        <v>195</v>
      </c>
      <c r="N88" s="156">
        <v>0</v>
      </c>
      <c r="O88" s="85">
        <f t="shared" si="15"/>
        <v>0</v>
      </c>
      <c r="P88" s="98" t="e">
        <f t="shared" si="11"/>
        <v>#DIV/0!</v>
      </c>
      <c r="Q88" s="156">
        <v>1224</v>
      </c>
      <c r="R88" s="155">
        <f t="shared" si="19"/>
        <v>0.28960784313725491</v>
      </c>
      <c r="S88" s="155">
        <f t="shared" si="13"/>
        <v>7.7888862033354576</v>
      </c>
      <c r="T88" s="156">
        <v>35331</v>
      </c>
      <c r="U88" s="156">
        <v>45511</v>
      </c>
      <c r="V88" s="85">
        <f t="shared" si="9"/>
        <v>2.6894596910636989E-2</v>
      </c>
    </row>
    <row r="89" spans="1:22" x14ac:dyDescent="0.25">
      <c r="A89" s="220" t="s">
        <v>73</v>
      </c>
      <c r="B89" s="220" t="s">
        <v>76</v>
      </c>
      <c r="C89" s="220" t="s">
        <v>244</v>
      </c>
      <c r="D89" s="422" t="s">
        <v>296</v>
      </c>
      <c r="E89" s="154">
        <v>43001</v>
      </c>
      <c r="F89" s="158">
        <v>43002</v>
      </c>
      <c r="G89" s="423">
        <v>395</v>
      </c>
      <c r="H89" s="258">
        <f t="shared" si="20"/>
        <v>384.61080000000004</v>
      </c>
      <c r="I89" s="258">
        <v>354.48</v>
      </c>
      <c r="J89" s="258">
        <f t="shared" si="17"/>
        <v>30.130800000000004</v>
      </c>
      <c r="K89" s="257">
        <f t="shared" si="28"/>
        <v>1.1143082825547279</v>
      </c>
      <c r="L89" s="257">
        <f t="shared" si="29"/>
        <v>1.0270122419859244</v>
      </c>
      <c r="M89">
        <v>442</v>
      </c>
      <c r="N89" s="156">
        <v>3</v>
      </c>
      <c r="O89" s="85">
        <f t="shared" si="15"/>
        <v>6.7873303167420816E-3</v>
      </c>
      <c r="P89" s="98">
        <f t="shared" si="11"/>
        <v>131.66666666666666</v>
      </c>
      <c r="Q89" s="156">
        <v>1304</v>
      </c>
      <c r="R89" s="155">
        <f t="shared" si="19"/>
        <v>0.27184049079754602</v>
      </c>
      <c r="S89" s="155">
        <f t="shared" si="13"/>
        <v>9.2084686322899092</v>
      </c>
      <c r="T89" s="156">
        <v>30070</v>
      </c>
      <c r="U89" s="156">
        <v>38495</v>
      </c>
      <c r="V89" s="85">
        <f t="shared" si="9"/>
        <v>3.3874529159631121E-2</v>
      </c>
    </row>
    <row r="90" spans="1:22" x14ac:dyDescent="0.25">
      <c r="A90" s="220" t="s">
        <v>73</v>
      </c>
      <c r="B90" s="220" t="s">
        <v>76</v>
      </c>
      <c r="C90" s="220" t="s">
        <v>244</v>
      </c>
      <c r="D90" s="422" t="s">
        <v>297</v>
      </c>
      <c r="E90" s="154">
        <v>43001</v>
      </c>
      <c r="F90" s="158">
        <v>43002</v>
      </c>
      <c r="G90" s="423">
        <v>94</v>
      </c>
      <c r="H90" s="258">
        <f t="shared" si="20"/>
        <v>384.61080000000004</v>
      </c>
      <c r="I90" s="258">
        <v>354.48</v>
      </c>
      <c r="J90" s="258">
        <f t="shared" si="17"/>
        <v>30.130800000000004</v>
      </c>
      <c r="K90" s="257">
        <f t="shared" si="28"/>
        <v>0.26517716091175808</v>
      </c>
      <c r="L90" s="257">
        <f t="shared" si="29"/>
        <v>0.24440291328272631</v>
      </c>
      <c r="M90">
        <v>248</v>
      </c>
      <c r="N90" s="156">
        <v>1</v>
      </c>
      <c r="O90" s="85">
        <f t="shared" si="15"/>
        <v>4.0322580645161289E-3</v>
      </c>
      <c r="P90" s="98">
        <f t="shared" si="11"/>
        <v>94</v>
      </c>
      <c r="Q90" s="156">
        <v>940</v>
      </c>
      <c r="R90" s="155">
        <f t="shared" si="19"/>
        <v>0.3771063829787234</v>
      </c>
      <c r="S90" s="155">
        <f t="shared" si="13"/>
        <v>10.289993904032048</v>
      </c>
      <c r="T90" s="156">
        <v>27214</v>
      </c>
      <c r="U90" s="156">
        <v>34449</v>
      </c>
      <c r="V90" s="85">
        <f t="shared" si="9"/>
        <v>2.7286713692705158E-2</v>
      </c>
    </row>
    <row r="91" spans="1:22" x14ac:dyDescent="0.25">
      <c r="A91" s="220" t="s">
        <v>73</v>
      </c>
      <c r="B91" s="220" t="s">
        <v>76</v>
      </c>
      <c r="C91" s="220" t="s">
        <v>244</v>
      </c>
      <c r="D91" s="422" t="s">
        <v>298</v>
      </c>
      <c r="E91" s="154">
        <v>43001</v>
      </c>
      <c r="F91" s="158">
        <v>43002</v>
      </c>
      <c r="G91" s="423">
        <v>206</v>
      </c>
      <c r="H91" s="258">
        <f t="shared" si="20"/>
        <v>384.61080000000004</v>
      </c>
      <c r="I91" s="258">
        <v>354.48</v>
      </c>
      <c r="J91" s="258">
        <f t="shared" si="17"/>
        <v>30.130800000000004</v>
      </c>
      <c r="K91" s="257">
        <f t="shared" si="28"/>
        <v>0.58113292710449105</v>
      </c>
      <c r="L91" s="257">
        <f t="shared" si="29"/>
        <v>0.53560638442810238</v>
      </c>
      <c r="M91">
        <v>1017</v>
      </c>
      <c r="N91" s="156">
        <v>2</v>
      </c>
      <c r="O91" s="85">
        <f t="shared" si="15"/>
        <v>1.9665683382497543E-3</v>
      </c>
      <c r="P91" s="98">
        <f t="shared" si="11"/>
        <v>103</v>
      </c>
      <c r="Q91" s="156">
        <v>1156</v>
      </c>
      <c r="R91" s="155">
        <f t="shared" si="19"/>
        <v>0.30664359861591695</v>
      </c>
      <c r="S91" s="155">
        <f t="shared" si="13"/>
        <v>7.5790553975754209</v>
      </c>
      <c r="T91" s="156">
        <v>37878</v>
      </c>
      <c r="U91" s="156">
        <v>46771</v>
      </c>
      <c r="V91" s="85">
        <f t="shared" si="9"/>
        <v>2.4716170276453359E-2</v>
      </c>
    </row>
    <row r="92" spans="1:22" x14ac:dyDescent="0.25">
      <c r="A92" s="220" t="s">
        <v>73</v>
      </c>
      <c r="B92" s="220" t="s">
        <v>76</v>
      </c>
      <c r="C92" s="220" t="s">
        <v>244</v>
      </c>
      <c r="D92" s="422" t="s">
        <v>299</v>
      </c>
      <c r="E92" s="154">
        <v>43001</v>
      </c>
      <c r="F92" s="158">
        <v>43002</v>
      </c>
      <c r="G92" s="423">
        <v>183</v>
      </c>
      <c r="H92" s="258">
        <f t="shared" si="20"/>
        <v>384.61080000000004</v>
      </c>
      <c r="I92" s="258">
        <v>354.48</v>
      </c>
      <c r="J92" s="258">
        <f t="shared" si="17"/>
        <v>30.130800000000004</v>
      </c>
      <c r="K92" s="257">
        <f t="shared" si="28"/>
        <v>0.51624915368991198</v>
      </c>
      <c r="L92" s="257">
        <f t="shared" si="29"/>
        <v>0.47580567160360548</v>
      </c>
      <c r="M92">
        <v>796</v>
      </c>
      <c r="N92" s="156">
        <v>1</v>
      </c>
      <c r="O92" s="85">
        <f t="shared" si="15"/>
        <v>1.2562814070351759E-3</v>
      </c>
      <c r="P92" s="98">
        <f t="shared" si="11"/>
        <v>183</v>
      </c>
      <c r="Q92" s="156">
        <v>916</v>
      </c>
      <c r="R92" s="155">
        <f t="shared" si="19"/>
        <v>0.38698689956331878</v>
      </c>
      <c r="S92" s="155">
        <f t="shared" si="13"/>
        <v>11.178807947019868</v>
      </c>
      <c r="T92" s="156">
        <v>21744</v>
      </c>
      <c r="U92" s="156">
        <v>31710</v>
      </c>
      <c r="V92" s="85">
        <f t="shared" si="9"/>
        <v>2.8886786502680544E-2</v>
      </c>
    </row>
    <row r="93" spans="1:22" x14ac:dyDescent="0.25">
      <c r="D93" s="220"/>
      <c r="H93" s="258"/>
      <c r="J93" s="258"/>
      <c r="K93" s="257"/>
      <c r="O93" s="85"/>
      <c r="R93" s="155"/>
      <c r="V93" s="85"/>
    </row>
    <row r="94" spans="1:22" x14ac:dyDescent="0.25">
      <c r="G94" s="98"/>
      <c r="H94" s="258"/>
      <c r="I94" s="258"/>
      <c r="J94" s="258"/>
      <c r="K94" s="257"/>
      <c r="O94" s="85"/>
      <c r="Q94" s="210"/>
      <c r="R94" s="155"/>
      <c r="T94" s="156"/>
      <c r="U94" s="156"/>
      <c r="V94" s="85"/>
    </row>
    <row r="95" spans="1:22" x14ac:dyDescent="0.25">
      <c r="J95" s="424"/>
    </row>
  </sheetData>
  <autoFilter ref="A1:W9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2016 YTD Overview</vt:lpstr>
      <vt:lpstr>By Period</vt:lpstr>
      <vt:lpstr>By Week</vt:lpstr>
      <vt:lpstr>Spend Tracker</vt:lpstr>
      <vt:lpstr>Search</vt:lpstr>
      <vt:lpstr>Affiliate</vt:lpstr>
      <vt:lpstr>Linkshare Sales</vt:lpstr>
      <vt:lpstr>Social - Promos</vt:lpstr>
      <vt:lpstr>Social - Remarketing</vt:lpstr>
      <vt:lpstr>Display - Promos</vt:lpstr>
      <vt:lpstr>Display - Remarketing</vt:lpstr>
      <vt:lpstr>Social Campaigns</vt:lpstr>
      <vt:lpstr>Social Audiences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Abbott</dc:creator>
  <cp:lastModifiedBy>Nimisha Bhatia (LCL)</cp:lastModifiedBy>
  <dcterms:created xsi:type="dcterms:W3CDTF">2017-01-18T23:00:42Z</dcterms:created>
  <dcterms:modified xsi:type="dcterms:W3CDTF">2017-12-04T18:21:16Z</dcterms:modified>
</cp:coreProperties>
</file>